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drawings/drawing3.xml" ContentType="application/vnd.openxmlformats-officedocument.drawing+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drawings/drawing4.xml" ContentType="application/vnd.openxmlformats-officedocument.drawing+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drawings/drawing7.xml" ContentType="application/vnd.openxmlformats-officedocument.drawing+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drawings/drawing12.xml" ContentType="application/vnd.openxmlformats-officedocument.drawing+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drawings/drawing13.xml" ContentType="application/vnd.openxmlformats-officedocument.drawing+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drawings/drawing14.xml" ContentType="application/vnd.openxmlformats-officedocument.drawing+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drawings/drawing15.xml" ContentType="application/vnd.openxmlformats-officedocument.drawing+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drawings/drawing16.xml" ContentType="application/vnd.openxmlformats-officedocument.drawing+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drawings/drawing17.xml" ContentType="application/vnd.openxmlformats-officedocument.drawing+xml"/>
  <Override PartName="/xl/ctrlProps/ctrlProp229.xml" ContentType="application/vnd.ms-excel.controlproperties+xml"/>
  <Override PartName="/xl/ctrlProps/ctrlProp230.xml" ContentType="application/vnd.ms-excel.controlproperties+xml"/>
  <Override PartName="/xl/drawings/drawing18.xml" ContentType="application/vnd.openxmlformats-officedocument.drawing+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drawings/drawing19.xml" ContentType="application/vnd.openxmlformats-officedocument.drawing+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drawings/drawing20.xml" ContentType="application/vnd.openxmlformats-officedocument.drawing+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drawings/drawing21.xml" ContentType="application/vnd.openxmlformats-officedocument.drawing+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drawings/drawing22.xml" ContentType="application/vnd.openxmlformats-officedocument.drawing+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drawings/drawing23.xml" ContentType="application/vnd.openxmlformats-officedocument.drawing+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drawings/drawing24.xml" ContentType="application/vnd.openxmlformats-officedocument.drawing+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drawings/drawing25.xml" ContentType="application/vnd.openxmlformats-officedocument.drawing+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drawings/drawing26.xml" ContentType="application/vnd.openxmlformats-officedocument.drawing+xml"/>
  <Override PartName="/xl/ctrlProps/ctrlProp455.xml" ContentType="application/vnd.ms-excel.controlproperties+xml"/>
  <Override PartName="/xl/ctrlProps/ctrlProp456.xml" ContentType="application/vnd.ms-excel.controlproperties+xml"/>
  <Override PartName="/xl/drawings/drawing27.xml" ContentType="application/vnd.openxmlformats-officedocument.drawing+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drawings/drawing28.xml" ContentType="application/vnd.openxmlformats-officedocument.drawing+xml"/>
  <Override PartName="/xl/ctrlProps/ctrlProp482.xml" ContentType="application/vnd.ms-excel.controlproperties+xml"/>
  <Override PartName="/xl/drawings/drawing29.xml" ContentType="application/vnd.openxmlformats-officedocument.drawing+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drawings/drawing30.xml" ContentType="application/vnd.openxmlformats-officedocument.drawing+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drawings/drawing31.xml" ContentType="application/vnd.openxmlformats-officedocument.drawing+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drawings/drawing32.xml" ContentType="application/vnd.openxmlformats-officedocument.drawing+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drawings/drawing33.xml" ContentType="application/vnd.openxmlformats-officedocument.drawing+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drawings/drawing34.xml" ContentType="application/vnd.openxmlformats-officedocument.drawing+xml"/>
  <Override PartName="/xl/ctrlProps/ctrlProp617.xml" ContentType="application/vnd.ms-excel.controlproperties+xml"/>
  <Override PartName="/xl/drawings/drawing35.xml" ContentType="application/vnd.openxmlformats-officedocument.drawing+xml"/>
  <Override PartName="/xl/ctrlProps/ctrlProp618.xml" ContentType="application/vnd.ms-excel.controlproperties+xml"/>
  <Override PartName="/xl/drawings/drawing36.xml" ContentType="application/vnd.openxmlformats-officedocument.drawing+xml"/>
  <Override PartName="/xl/ctrlProps/ctrlProp619.xml" ContentType="application/vnd.ms-excel.controlproperties+xml"/>
  <Override PartName="/xl/drawings/drawing37.xml" ContentType="application/vnd.openxmlformats-officedocument.drawing+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alcChain.xml" ContentType="application/vnd.openxmlformats-officedocument.spreadsheetml.calcChain+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Headers.xml" ContentType="application/vnd.openxmlformats-officedocument.spreadsheetml.revisionHeaders+xml"/>
  <Override PartName="/xl/revisions/revisionLog3.xml" ContentType="application/vnd.openxmlformats-officedocument.spreadsheetml.revisionLog+xml"/>
  <Override PartName="/xl/revisions/revisionLog2.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5.xml" ContentType="application/vnd.openxmlformats-officedocument.spreadsheetml.revisionLog+xml"/>
  <Override PartName="/xl/revisions/revisionLog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defaultThemeVersion="124226"/>
  <mc:AlternateContent xmlns:mc="http://schemas.openxmlformats.org/markup-compatibility/2006">
    <mc:Choice Requires="x15">
      <x15ac:absPath xmlns:x15ac="http://schemas.microsoft.com/office/spreadsheetml/2010/11/ac" url="C:\Xampp Server\htdocs\Coding Testing\Test-Dep-ed\HGT_EMS_PMS\Files\"/>
    </mc:Choice>
  </mc:AlternateContent>
  <xr:revisionPtr revIDLastSave="0" documentId="13_ncr:81_{A1110D0D-6266-48F2-A87C-24C14ED87421}" xr6:coauthVersionLast="36" xr6:coauthVersionMax="47" xr10:uidLastSave="{00000000-0000-0000-0000-000000000000}"/>
  <bookViews>
    <workbookView xWindow="0" yWindow="0" windowWidth="24000" windowHeight="9675" tabRatio="869" firstSheet="3" activeTab="10" xr2:uid="{00000000-000D-0000-FFFF-FFFF00000000}"/>
  </bookViews>
  <sheets>
    <sheet name="List" sheetId="1" state="hidden" r:id="rId1"/>
    <sheet name="Dropdown" sheetId="2" state="hidden" r:id="rId2"/>
    <sheet name="activesheet" sheetId="3" state="hidden" r:id="rId3"/>
    <sheet name="List of Tables &amp; Boxes" sheetId="4" r:id="rId4"/>
    <sheet name="SchInfo" sheetId="5" r:id="rId5"/>
    <sheet name="Tables 1-2" sheetId="6" r:id="rId6"/>
    <sheet name="Table 3a" sheetId="7" r:id="rId7"/>
    <sheet name="Table 3b" sheetId="8" r:id="rId8"/>
    <sheet name="Tables 4-5" sheetId="9" r:id="rId9"/>
    <sheet name="Table 6" sheetId="10" r:id="rId10"/>
    <sheet name="Table 7" sheetId="11" r:id="rId11"/>
    <sheet name="Tables 8-9" sheetId="12" r:id="rId12"/>
    <sheet name="Tables 10-12" sheetId="13" r:id="rId13"/>
    <sheet name="Tables 13-15" sheetId="14" r:id="rId14"/>
    <sheet name="Tables 16-19" sheetId="15" r:id="rId15"/>
    <sheet name="Table 20a" sheetId="16" r:id="rId16"/>
    <sheet name="Table 20b" sheetId="17" r:id="rId17"/>
    <sheet name="Boxes 1-2" sheetId="18" r:id="rId18"/>
    <sheet name="Boxes 3-5" sheetId="19" r:id="rId19"/>
    <sheet name="Table 21-Box 6" sheetId="20" r:id="rId20"/>
    <sheet name="Table 22" sheetId="21" r:id="rId21"/>
    <sheet name="Table 23" sheetId="22" r:id="rId22"/>
    <sheet name="Box 7-Table 24" sheetId="23" r:id="rId23"/>
    <sheet name="Table 25" sheetId="24" r:id="rId24"/>
    <sheet name="Table 26" sheetId="25" r:id="rId25"/>
    <sheet name="Table 27" sheetId="26" r:id="rId26"/>
    <sheet name="Table 28" sheetId="27" r:id="rId27"/>
    <sheet name="Table 29-Box 8" sheetId="28" r:id="rId28"/>
    <sheet name="Box 9" sheetId="29" r:id="rId29"/>
    <sheet name="Box 9 cont.- Box 10" sheetId="30" r:id="rId30"/>
    <sheet name="Tables 30 A-B" sheetId="31" r:id="rId31"/>
    <sheet name="Tables 30 C &amp; D-Box 11" sheetId="32" r:id="rId32"/>
    <sheet name="Box 12-Table 31" sheetId="33" r:id="rId33"/>
    <sheet name="Tables 32-34" sheetId="34" r:id="rId34"/>
    <sheet name="Box 13" sheetId="35" r:id="rId35"/>
    <sheet name="Box 14" sheetId="36" r:id="rId36"/>
    <sheet name="Box 15" sheetId="37" r:id="rId37"/>
    <sheet name="Box 16" sheetId="38" r:id="rId38"/>
    <sheet name="Boxes 17-18" sheetId="39" r:id="rId39"/>
    <sheet name="Boxes 19-20" sheetId="40" r:id="rId40"/>
    <sheet name="Boxes 21-23" sheetId="41" r:id="rId41"/>
    <sheet name="Boxes 24-25" sheetId="42" r:id="rId42"/>
    <sheet name="Box 26" sheetId="43" r:id="rId43"/>
    <sheet name="Box 27" sheetId="44" r:id="rId44"/>
    <sheet name="Table 35" sheetId="45" r:id="rId45"/>
    <sheet name="Table 36" sheetId="46" r:id="rId46"/>
    <sheet name="Table 36 cont." sheetId="47" r:id="rId47"/>
    <sheet name="Table 37" sheetId="48" r:id="rId48"/>
    <sheet name="Table 37 cont.- Table 38" sheetId="49" r:id="rId49"/>
    <sheet name="Box 28 Part 1" sheetId="50" r:id="rId50"/>
    <sheet name="Box 28 Parts 2-4" sheetId="51" r:id="rId51"/>
    <sheet name="Box 28 Part 5" sheetId="52" r:id="rId52"/>
    <sheet name="Box 29 Part 1" sheetId="53" r:id="rId53"/>
    <sheet name="Box 29 Part 2" sheetId="54" r:id="rId54"/>
    <sheet name="Box 30 Part 1" sheetId="55" r:id="rId55"/>
    <sheet name="Box 30 Part 2" sheetId="56" r:id="rId56"/>
    <sheet name="Box 30 Part 3a" sheetId="57" r:id="rId57"/>
    <sheet name="Box 30 Part 3b" sheetId="58" r:id="rId58"/>
    <sheet name="Box 30 Part 3b cont." sheetId="59" r:id="rId59"/>
    <sheet name="Box 31 Parts 1-2" sheetId="60" r:id="rId60"/>
    <sheet name="Box 31 Part 3a" sheetId="61" r:id="rId61"/>
    <sheet name="Box 31 Part 3b" sheetId="62" r:id="rId62"/>
    <sheet name="Box 31 Part 3c" sheetId="63" r:id="rId63"/>
    <sheet name="Box 31 Part 3d" sheetId="64" r:id="rId64"/>
    <sheet name="Box 32" sheetId="65" r:id="rId65"/>
  </sheets>
  <definedNames>
    <definedName name="_Fill" localSheetId="34" hidden="1">#REF!</definedName>
    <definedName name="_Fill" localSheetId="35" hidden="1">#REF!</definedName>
    <definedName name="_Fill" localSheetId="36" hidden="1">#REF!</definedName>
    <definedName name="_Fill" localSheetId="37" hidden="1">#REF!</definedName>
    <definedName name="_Fill" localSheetId="43" hidden="1">#REF!</definedName>
    <definedName name="_Fill" localSheetId="49" hidden="1">#REF!</definedName>
    <definedName name="_Fill" localSheetId="51" hidden="1">#REF!</definedName>
    <definedName name="_Fill" localSheetId="50"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64" hidden="1">#REF!</definedName>
    <definedName name="_Fill" localSheetId="28" hidden="1">#REF!</definedName>
    <definedName name="_Fill" localSheetId="29" hidden="1">#REF!</definedName>
    <definedName name="_Fill" localSheetId="17" hidden="1">#REF!</definedName>
    <definedName name="_Fill" localSheetId="38" hidden="1">#REF!</definedName>
    <definedName name="_Fill" localSheetId="39" hidden="1">#REF!</definedName>
    <definedName name="_Fill" localSheetId="18" hidden="1">#REF!</definedName>
    <definedName name="_Fill" localSheetId="3" hidden="1">#REF!</definedName>
    <definedName name="_Fill" localSheetId="15" hidden="1">#REF!</definedName>
    <definedName name="_Fill" localSheetId="19" hidden="1">#REF!</definedName>
    <definedName name="_Fill" localSheetId="20" hidden="1">#REF!</definedName>
    <definedName name="_Fill" localSheetId="21" hidden="1">#REF!</definedName>
    <definedName name="_Fill" localSheetId="44" hidden="1">#REF!</definedName>
    <definedName name="_Fill" localSheetId="46" hidden="1">#REF!</definedName>
    <definedName name="_Fill" localSheetId="47" hidden="1">#REF!</definedName>
    <definedName name="_Fill" localSheetId="48" hidden="1">#REF!</definedName>
    <definedName name="_Fill" localSheetId="6" hidden="1">#REF!</definedName>
    <definedName name="_Fill" localSheetId="7" hidden="1">#REF!</definedName>
    <definedName name="_Fill" localSheetId="12" hidden="1">#REF!</definedName>
    <definedName name="_Fill" localSheetId="14" hidden="1">#REF!</definedName>
    <definedName name="_Fill" localSheetId="30" hidden="1">#REF!</definedName>
    <definedName name="_Fill" localSheetId="31" hidden="1">#REF!</definedName>
    <definedName name="_Fill" localSheetId="33" hidden="1">#REF!</definedName>
    <definedName name="_Fill" localSheetId="11" hidden="1">#REF!</definedName>
    <definedName name="_Fill" hidden="1">#REF!</definedName>
    <definedName name="_xlnm._FilterDatabase" localSheetId="2" hidden="1">activesheet!$A$1:$H$4699</definedName>
    <definedName name="_ref_broadcast_station">Dropdown!$J$1:$K$6</definedName>
    <definedName name="_ref_cell_serv_provider">Dropdown!$D$13:$E$21</definedName>
    <definedName name="_ref_cell_wtg">Dropdown!$G$13:$H$17</definedName>
    <definedName name="_ref_funding_source">Dropdown!$G$1:$H$9</definedName>
    <definedName name="_ref_internet">Dropdown!$A$1:$B$5</definedName>
    <definedName name="_ref_purpose">Dropdown!$J$13:$K$16</definedName>
    <definedName name="_ref_service_provider">Dropdown!$D$1:$E$9</definedName>
    <definedName name="_ref_stat_partnership">Dropdown!$G$25:$H$28</definedName>
    <definedName name="_ref_type_printer">Dropdown!$D$25:$E$32</definedName>
    <definedName name="_ref_type_radio">Dropdown!$J$25:$K$27</definedName>
    <definedName name="action_research_ongoing">'Boxes 1-2'!$N$19</definedName>
    <definedName name="action_research_sy_1819">'Boxes 1-2'!$N$18</definedName>
    <definedName name="action_research_tobe_conducted">'Boxes 1-2'!$N$20</definedName>
    <definedName name="action_research_yes">'Boxes 1-2'!$Q$16</definedName>
    <definedName name="arts_cw_f_gr11">'Tables 1-2'!$W$10</definedName>
    <definedName name="arts_cw_f_gr12">'Tables 1-2'!$AE$10</definedName>
    <definedName name="arts_cw_m_gr11">'Tables 1-2'!$S$10</definedName>
    <definedName name="arts_cw_m_gr12">'Tables 1-2'!$AA$10</definedName>
    <definedName name="arts_dance_f_gr11">'Tables 1-2'!$W$8</definedName>
    <definedName name="arts_dance_f_gr12">'Tables 1-2'!$AE$8</definedName>
    <definedName name="arts_dance_m_gr11">'Tables 1-2'!$S$8</definedName>
    <definedName name="arts_dance_m_gr12">'Tables 1-2'!$AA$8</definedName>
    <definedName name="arts_media_f_gr11">'Tables 1-2'!$W$11</definedName>
    <definedName name="arts_media_f_gr12">'Tables 1-2'!$AE$11</definedName>
    <definedName name="arts_media_m_gr11">'Tables 1-2'!$S$11</definedName>
    <definedName name="arts_media_m_gr12">'Tables 1-2'!$AA$11</definedName>
    <definedName name="arts_music_f_gr11">'Tables 1-2'!$W$7</definedName>
    <definedName name="arts_music_f_gr12">'Tables 1-2'!$AE$7</definedName>
    <definedName name="arts_music_m_gr11">'Tables 1-2'!$S$7</definedName>
    <definedName name="arts_music_m_gr12">'Tables 1-2'!$AA$7</definedName>
    <definedName name="arts_thtr_f_gr11">'Tables 1-2'!$W$9</definedName>
    <definedName name="arts_thtr_f_gr12">'Tables 1-2'!$AE$9</definedName>
    <definedName name="arts_thtr_m_gr11">'Tables 1-2'!$S$9</definedName>
    <definedName name="arts_thtr_m_gr12">'Tables 1-2'!$AA$9</definedName>
    <definedName name="arts_visual_f_gr11">'Tables 1-2'!$W$12</definedName>
    <definedName name="arts_visual_f_gr12">'Tables 1-2'!$AE$12</definedName>
    <definedName name="arts_visual_m_gr11">'Tables 1-2'!$S$12</definedName>
    <definedName name="arts_visual_m_gr12">'Tables 1-2'!$AA$12</definedName>
    <definedName name="ave_cost_monthly_bills_amount">'Table 29-Box 8'!$AQ$12</definedName>
    <definedName name="BARMM">List!$O$2:$O$16</definedName>
    <definedName name="CAR">List!$P$2:$P$9</definedName>
    <definedName name="CARAGA">List!$N$2:$N$13</definedName>
    <definedName name="child_protect_DO40_s2012">'Box 28 Part 1'!$D$23</definedName>
    <definedName name="child_protect_DO44_s2005">'Box 28 Part 1'!$D$22</definedName>
    <definedName name="child_protect_DO57_s2017">'Box 28 Part 1'!$D$24</definedName>
    <definedName name="cid_personnel_name">'Boxes 1-2'!$AD$6</definedName>
    <definedName name="cid_personnel_pos">'Boxes 1-2'!$AH$8</definedName>
    <definedName name="combo_avemonthlyexpense_fundingsource1">'Box 7-Table 24'!$AI$29</definedName>
    <definedName name="combo_avemonthlyexpense_fundingsource2">'Box 7-Table 24'!$AI$30</definedName>
    <definedName name="combo_avemonthlyexpense_fundingsource3">'Box 7-Table 24'!$AI$31</definedName>
    <definedName name="combo_avemonthlyexpense_fundingsource4">'Box 7-Table 24'!$AI$32</definedName>
    <definedName name="combo_avemonthlyexpense_fundingsource5">'Box 7-Table 24'!$AI$33</definedName>
    <definedName name="combo_avemonthlyexpense_internetserviceprovider1">'Box 7-Table 24'!$M$29</definedName>
    <definedName name="combo_avemonthlyexpense_internetserviceprovider2">'Box 7-Table 24'!$M$30</definedName>
    <definedName name="combo_avemonthlyexpense_internetserviceprovider3">'Box 7-Table 24'!$M$31</definedName>
    <definedName name="combo_avemonthlyexpense_internetserviceprovider4">'Box 7-Table 24'!$M$32</definedName>
    <definedName name="combo_avemonthlyexpense_internetserviceprovider5">'Box 7-Table 24'!$M$33</definedName>
    <definedName name="combo_avemontlyexpense_typesofinternet1">'Box 7-Table 24'!$B$29</definedName>
    <definedName name="combo_avemontlyexpense_typesofinternet2">'Box 7-Table 24'!$B$30</definedName>
    <definedName name="combo_avemontlyexpense_typesofinternet3">'Box 7-Table 24'!$B$31</definedName>
    <definedName name="combo_avemontlyexpense_typesofinternet4">'Box 7-Table 24'!$B$32</definedName>
    <definedName name="combo_avemontlyexpense_typesofinternet5">'Box 7-Table 24'!$B$33</definedName>
    <definedName name="combo_print_copy_fundingsource1">'Table 26'!$Z$7</definedName>
    <definedName name="combo_print_copy_fundingsource10">'Table 26'!$Z$16</definedName>
    <definedName name="combo_print_copy_fundingsource2">'Table 26'!$Z$8</definedName>
    <definedName name="combo_print_copy_fundingsource3">'Table 26'!$Z$9</definedName>
    <definedName name="combo_print_copy_fundingsource4">'Table 26'!$Z$10</definedName>
    <definedName name="combo_print_copy_fundingsource5">'Table 26'!$Z$11</definedName>
    <definedName name="combo_print_copy_fundingsource6">'Table 26'!$Z$12</definedName>
    <definedName name="combo_print_copy_fundingsource7">'Table 26'!$Z$13</definedName>
    <definedName name="combo_print_copy_fundingsource8">'Table 26'!$Z$14</definedName>
    <definedName name="combo_print_copy_fundingsource9">'Table 26'!$Z$15</definedName>
    <definedName name="combo_print_copy_purpose1">'Table 26'!$AH$7</definedName>
    <definedName name="combo_print_copy_purpose10">'Table 26'!$AH$16</definedName>
    <definedName name="combo_print_copy_purpose2">'Table 26'!$AH$8</definedName>
    <definedName name="combo_print_copy_purpose3">'Table 26'!$AH$9</definedName>
    <definedName name="combo_print_copy_purpose4">'Table 26'!$AH$10</definedName>
    <definedName name="combo_print_copy_purpose5">'Table 26'!$AH$11</definedName>
    <definedName name="combo_print_copy_purpose6">'Table 26'!$AH$12</definedName>
    <definedName name="combo_print_copy_purpose7">'Table 26'!$AH$13</definedName>
    <definedName name="combo_print_copy_purpose8">'Table 26'!$AH$14</definedName>
    <definedName name="combo_print_copy_purpose9">'Table 26'!$AH$15</definedName>
    <definedName name="combo_sch_cellular_com_prov1">'Table 25'!$B$7</definedName>
    <definedName name="combo_sch_cellular_com_prov2">'Table 25'!$B$10</definedName>
    <definedName name="combo_sch_cellular_com_prov3">'Table 25'!$B$13</definedName>
    <definedName name="combo_sch_cellular_com_prov4">'Table 25'!$B$16</definedName>
    <definedName name="combo_sch_cellular_com_prov5">'Table 25'!$B$19</definedName>
    <definedName name="combo_sch_cellular_fundingsource1">'Table 25'!$AK$7</definedName>
    <definedName name="combo_sch_cellular_fundingsource2">'Table 25'!$AK$10</definedName>
    <definedName name="combo_sch_cellular_fundingsource3">'Table 25'!$AK$13</definedName>
    <definedName name="combo_sch_cellular_fundingsource4">'Table 25'!$AK$16</definedName>
    <definedName name="combo_sch_cellular_fundingsource5">'Table 25'!$AK$19</definedName>
    <definedName name="combo_sch_cellular_wireless_tech1">'Table 25'!$U$7</definedName>
    <definedName name="combo_sch_cellular_wireless_tech2">'Table 25'!$U$10</definedName>
    <definedName name="combo_sch_cellular_wireless_tech3">'Table 25'!$U$13</definedName>
    <definedName name="combo_sch_cellular_wireless_tech4">'Table 25'!$U$16</definedName>
    <definedName name="combo_sch_cellular_wireless_tech5">'Table 25'!$U$19</definedName>
    <definedName name="combo_sch_print_copy1">'Table 26'!$B$7</definedName>
    <definedName name="combo_sch_print_copy10">'Table 26'!$B$16</definedName>
    <definedName name="combo_sch_print_copy2">'Table 26'!$B$8</definedName>
    <definedName name="combo_sch_print_copy3">'Table 26'!$B$9</definedName>
    <definedName name="combo_sch_print_copy4">'Table 26'!$B$10</definedName>
    <definedName name="combo_sch_print_copy5">'Table 26'!$B$11</definedName>
    <definedName name="combo_sch_print_copy6">'Table 26'!$B$12</definedName>
    <definedName name="combo_sch_print_copy7">'Table 26'!$B$13</definedName>
    <definedName name="combo_sch_print_copy8">'Table 26'!$B$14</definedName>
    <definedName name="combo_sch_print_copy9">'Table 26'!$B$15</definedName>
    <definedName name="combo_sch_shs_radio_type1">'Table 28'!$B$7</definedName>
    <definedName name="combo_sch_shs_radio_type10">'Table 28'!$B$16</definedName>
    <definedName name="combo_sch_shs_radio_type2">'Table 28'!$B$8</definedName>
    <definedName name="combo_sch_shs_radio_type3">'Table 28'!$B$9</definedName>
    <definedName name="combo_sch_shs_radio_type4">'Table 28'!$B$10</definedName>
    <definedName name="combo_sch_shs_radio_type5">'Table 28'!$B$11</definedName>
    <definedName name="combo_sch_shs_radio_type6">'Table 28'!$B$12</definedName>
    <definedName name="combo_sch_shs_radio_type7">'Table 28'!$B$13</definedName>
    <definedName name="combo_sch_shs_radio_type8">'Table 28'!$B$14</definedName>
    <definedName name="combo_sch_shs_radio_type9">'Table 28'!$B$15</definedName>
    <definedName name="combo_shs_broadcast_station_type1">'Table 27'!$B$6</definedName>
    <definedName name="combo_shs_broadcast_station_type2">'Table 27'!$B$7</definedName>
    <definedName name="combo_shs_broadcast_station_type3">'Table 27'!$B$8</definedName>
    <definedName name="combo_shs_broadcast_station_type4">'Table 27'!$B$9</definedName>
    <definedName name="combo_shs_broadcast_station_type5">'Table 27'!$B$10</definedName>
    <definedName name="combo_shs_broadcast_station_type6">'Table 27'!$B$11</definedName>
    <definedName name="combo_shs_broadcast_station_type7">'Table 27'!$B$12</definedName>
    <definedName name="combo_shs_broadcast_station_type8">'Table 27'!$B$13</definedName>
    <definedName name="combo_shs_broadcast_station_type9">'Table 27'!$B$14</definedName>
    <definedName name="cons_ip_l_f">'Box 28 Part 1'!$M$31</definedName>
    <definedName name="cons_ip_l_m">'Box 28 Part 1'!$J$31</definedName>
    <definedName name="cons_l_excl_ip_f">'Box 28 Part 1'!$G$31</definedName>
    <definedName name="cons_l_excl_ip_m">'Box 28 Part 1'!$D$31</definedName>
    <definedName name="cons_lwd_f">'Box 28 Part 1'!$Y$31</definedName>
    <definedName name="cons_lwd_m">'Box 28 Part 1'!$V$31</definedName>
    <definedName name="cons_muslim_l_f">'Box 28 Part 1'!$S$31</definedName>
    <definedName name="cons_muslim_l_m">'Box 28 Part 1'!$P$31</definedName>
    <definedName name="cp_div_cdfp">'Boxes 24-25'!$T$39</definedName>
    <definedName name="cp_div_cdfp_pos">'Boxes 24-25'!$X$41</definedName>
    <definedName name="cp_inc_bullying_cyber_lrnrs_f">'Box 26'!$R$10</definedName>
    <definedName name="cp_inc_bullying_cyber_lrnrs_m">'Box 26'!$L$10</definedName>
    <definedName name="cp_inc_bullying_due_age_g11">'Box 26'!$L$28</definedName>
    <definedName name="cp_inc_bullying_due_age_g12">'Box 26'!$R$28</definedName>
    <definedName name="cp_inc_bullying_due_disability_g11">'Box 26'!$L$32</definedName>
    <definedName name="cp_inc_bullying_due_disability_g12">'Box 26'!$R$32</definedName>
    <definedName name="cp_inc_bullying_due_gender_g11">'Box 26'!$L$29</definedName>
    <definedName name="cp_inc_bullying_due_gender_g12">'Box 26'!$R$29</definedName>
    <definedName name="cp_inc_bullying_due_others_g11">'Box 26'!$L$33</definedName>
    <definedName name="cp_inc_bullying_due_others_g12">'Box 26'!$R$33</definedName>
    <definedName name="cp_inc_bullying_due_physapp_g11">'Box 26'!$L$25</definedName>
    <definedName name="cp_inc_bullying_due_physapp_g12">'Box 26'!$R$25</definedName>
    <definedName name="cp_inc_bullying_due_race_g11">'Box 26'!$L$30</definedName>
    <definedName name="cp_inc_bullying_due_race_g12">'Box 26'!$R$30</definedName>
    <definedName name="cp_inc_bullying_due_religion_g11">'Box 26'!$L$31</definedName>
    <definedName name="cp_inc_bullying_due_religion_g12">'Box 26'!$R$31</definedName>
    <definedName name="cp_inc_bullying_due_skincolor_g11">'Box 26'!$L$27</definedName>
    <definedName name="cp_inc_bullying_due_skincolor_g12">'Box 26'!$R$27</definedName>
    <definedName name="cp_inc_bullying_due_statinlife_g11">'Box 26'!$L$26</definedName>
    <definedName name="cp_inc_bullying_due_statinlife_g12">'Box 26'!$R$26</definedName>
    <definedName name="cp_inc_bullying_g11_f">'Box 26'!$R$18</definedName>
    <definedName name="cp_inc_bullying_g11_m">'Box 26'!$L$18</definedName>
    <definedName name="cp_inc_bullying_g12_f">'Box 26'!$R$19</definedName>
    <definedName name="cp_inc_bullying_g12_m">'Box 26'!$L$19</definedName>
    <definedName name="cp_inc_bullying_genderbased_lrnrs_f">'Box 26'!$R$11</definedName>
    <definedName name="cp_inc_bullying_genderbased_lrnrs_m">'Box 26'!$L$11</definedName>
    <definedName name="cp_inc_bullying_physical_lrnrs_f">'Box 26'!$R$9</definedName>
    <definedName name="cp_inc_bullying_physical_lrnrs_m">'Box 26'!$L$9</definedName>
    <definedName name="cp_inc_bullying_social_lrnrs_f">'Box 26'!$R$12</definedName>
    <definedName name="cp_inc_bullying_social_lrnrs_m">'Box 26'!$L$12</definedName>
    <definedName name="cp_inc_vag_g11_f">'Boxes 24-25'!$U$28</definedName>
    <definedName name="cp_inc_vag_g11_m">'Boxes 24-25'!$O$28</definedName>
    <definedName name="cp_inc_vag_g12_f">'Boxes 24-25'!$U$29</definedName>
    <definedName name="cp_inc_vag_g12_m">'Boxes 24-25'!$O$29</definedName>
    <definedName name="cp_inc_violence_others_lrnrs_f">'Boxes 24-25'!$U$22</definedName>
    <definedName name="cp_inc_violence_others_lrnrs_m">'Boxes 24-25'!$O$22</definedName>
    <definedName name="cp_inc_violence_physical_lrnrs_f">'Boxes 24-25'!$U$19</definedName>
    <definedName name="cp_inc_violence_physical_lrnrs_m">'Boxes 24-25'!$O$19</definedName>
    <definedName name="cp_inc_violence_psychological_lrnrs_f">'Boxes 24-25'!$U$21</definedName>
    <definedName name="cp_inc_violence_psychological_lrnrs_m">'Boxes 24-25'!$O$21</definedName>
    <definedName name="cp_inc_violence_sexual_lrnrs_f">'Boxes 24-25'!$U$20</definedName>
    <definedName name="cp_inc_violence_sexual_lrnrs_m">'Boxes 24-25'!$O$20</definedName>
    <definedName name="cp_perp_violence_others_lrnrs_outsider">'Boxes 24-25'!$AM$22</definedName>
    <definedName name="cp_perp_violence_others_lrnrs_schpersonnel">'Boxes 24-25'!$AG$22</definedName>
    <definedName name="cp_perp_violence_physical_lrnrs_outsider">'Boxes 24-25'!$AM$19</definedName>
    <definedName name="cp_perp_violence_physical_lrnrs_schpersonnel">'Boxes 24-25'!$AG$19</definedName>
    <definedName name="cp_perp_violence_psychological_lrnrs_outsider">'Boxes 24-25'!$AM$21</definedName>
    <definedName name="cp_perp_violence_psychological_lrnrs_schpersonnel">'Boxes 24-25'!$AG$21</definedName>
    <definedName name="cp_perp_violence_sexual_lrnrs_outsider">'Boxes 24-25'!$AM$20</definedName>
    <definedName name="cp_perp_violence_sexual_lrnrs_schpersonnel">'Boxes 24-25'!$AG$20</definedName>
    <definedName name="devices_adaptive">'Tables 1-2'!$J$29</definedName>
    <definedName name="devices_assist_tech">'Tables 1-2'!$J$28</definedName>
    <definedName name="disascal_hih_acnsa_apr_abu_sayyaf">'Table 37'!$AO$17</definedName>
    <definedName name="disascal_hih_acnsa_apr_biff">'Table 37'!$AO$18</definedName>
    <definedName name="disascal_hih_acnsa_apr_ccp_npa">'Table 37'!$AO$19</definedName>
    <definedName name="disascal_hih_acnsa_apr_maute">'Table 37'!$AO$20</definedName>
    <definedName name="disascal_hih_acnsa_apr_mnlf">'Table 37'!$AO$21</definedName>
    <definedName name="disascal_hih_acnsa_apr_others_specify">'Table 37'!$AO$22</definedName>
    <definedName name="disascal_hih_acnsa_aug_abu_sayyaf">'Table 37'!$Y$17</definedName>
    <definedName name="disascal_hih_acnsa_aug_biff">'Table 37'!$Y$18</definedName>
    <definedName name="disascal_hih_acnsa_aug_ccp_npa">'Table 37'!$Y$19</definedName>
    <definedName name="disascal_hih_acnsa_aug_maute">'Table 37'!$Y$20</definedName>
    <definedName name="disascal_hih_acnsa_aug_mnlf">'Table 37'!$Y$21</definedName>
    <definedName name="disascal_hih_acnsa_aug_others_specify">'Table 37'!$Y$22</definedName>
    <definedName name="disascal_hih_acnsa_dec_abu_sayyaf">'Table 37'!$AG$17</definedName>
    <definedName name="disascal_hih_acnsa_dec_biff">'Table 37'!$AG$18</definedName>
    <definedName name="disascal_hih_acnsa_dec_ccp_npa">'Table 37'!$AG$19</definedName>
    <definedName name="disascal_hih_acnsa_dec_maute">'Table 37'!$AG$20</definedName>
    <definedName name="disascal_hih_acnsa_dec_mnlf">'Table 37'!$AG$21</definedName>
    <definedName name="disascal_hih_acnsa_dec_others_specify">'Table 37'!$AG$22</definedName>
    <definedName name="disascal_hih_acnsa_feb_abu_sayyaf">'Table 37'!$AK$17</definedName>
    <definedName name="disascal_hih_acnsa_feb_biff">'Table 37'!$AK$18</definedName>
    <definedName name="disascal_hih_acnsa_feb_ccp_npa">'Table 37'!$AK$19</definedName>
    <definedName name="disascal_hih_acnsa_feb_maute">'Table 37'!$AK$20</definedName>
    <definedName name="disascal_hih_acnsa_feb_mnlf">'Table 37'!$AK$21</definedName>
    <definedName name="disascal_hih_acnsa_feb_others_specify">'Table 37'!$AK$22</definedName>
    <definedName name="disascal_hih_acnsa_jan_abu_sayyaf">'Table 37'!$AI$17</definedName>
    <definedName name="disascal_hih_acnsa_jan_biff">'Table 37'!$AI$18</definedName>
    <definedName name="disascal_hih_acnsa_jan_ccp_npa">'Table 37'!$AI$19</definedName>
    <definedName name="disascal_hih_acnsa_jan_maute">'Table 37'!$AI$20</definedName>
    <definedName name="disascal_hih_acnsa_jan_mnlf">'Table 37'!$AI$21</definedName>
    <definedName name="disascal_hih_acnsa_jan_others_specify">'Table 37'!$AI$22</definedName>
    <definedName name="disascal_hih_acnsa_jul_abu_sayyaf">'Table 37'!$W$17</definedName>
    <definedName name="disascal_hih_acnsa_jul_biff">'Table 37'!$W$18</definedName>
    <definedName name="disascal_hih_acnsa_jul_ccp_npa">'Table 37'!$W$19</definedName>
    <definedName name="disascal_hih_acnsa_jul_maute">'Table 37'!$W$20</definedName>
    <definedName name="disascal_hih_acnsa_jul_mnlf">'Table 37'!$W$21</definedName>
    <definedName name="disascal_hih_acnsa_jul_others_specify">'Table 37'!$W$22</definedName>
    <definedName name="disascal_hih_acnsa_jun_abu_sayyaf">'Table 37'!$U$17</definedName>
    <definedName name="disascal_hih_acnsa_jun_biff">'Table 37'!$U$18</definedName>
    <definedName name="disascal_hih_acnsa_jun_ccp_npa">'Table 37'!$U$19</definedName>
    <definedName name="disascal_hih_acnsa_jun_maute">'Table 37'!$U$20</definedName>
    <definedName name="disascal_hih_acnsa_jun_mnlf">'Table 37'!$U$21</definedName>
    <definedName name="disascal_hih_acnsa_jun_others_specify">'Table 37'!$U$22</definedName>
    <definedName name="disascal_hih_acnsa_mar_abu_sayyaf">'Table 37'!$AM$17</definedName>
    <definedName name="disascal_hih_acnsa_mar_biff">'Table 37'!$AM$18</definedName>
    <definedName name="disascal_hih_acnsa_mar_ccp_npa">'Table 37'!$AM$19</definedName>
    <definedName name="disascal_hih_acnsa_mar_maute">'Table 37'!$AM$20</definedName>
    <definedName name="disascal_hih_acnsa_mar_mnlf">'Table 37'!$AM$21</definedName>
    <definedName name="disascal_hih_acnsa_mar_others_specify">'Table 37'!$AM$22</definedName>
    <definedName name="disascal_hih_acnsa_may_abu_sayyaf">'Table 37'!$AQ$17</definedName>
    <definedName name="disascal_hih_acnsa_may_biff">'Table 37'!$AQ$18</definedName>
    <definedName name="disascal_hih_acnsa_may_ccp_npa">'Table 37'!$AQ$19</definedName>
    <definedName name="disascal_hih_acnsa_may_maute">'Table 37'!$AQ$20</definedName>
    <definedName name="disascal_hih_acnsa_may_mnlf">'Table 37'!$AQ$21</definedName>
    <definedName name="disascal_hih_acnsa_may_others_specify">'Table 37'!$AQ$22</definedName>
    <definedName name="disascal_hih_acnsa_nov_abu_sayyaf">'Table 37'!$AE$17</definedName>
    <definedName name="disascal_hih_acnsa_nov_biff">'Table 37'!$AE$18</definedName>
    <definedName name="disascal_hih_acnsa_nov_ccp_npa">'Table 37'!$AE$19</definedName>
    <definedName name="disascal_hih_acnsa_nov_maute">'Table 37'!$AE$20</definedName>
    <definedName name="disascal_hih_acnsa_nov_mnlf">'Table 37'!$AE$21</definedName>
    <definedName name="disascal_hih_acnsa_nov_others_specify">'Table 37'!$AE$22</definedName>
    <definedName name="disascal_hih_acnsa_oct_abu_sayyaf">'Table 37'!$AC$17</definedName>
    <definedName name="disascal_hih_acnsa_oct_biff">'Table 37'!$AC$18</definedName>
    <definedName name="disascal_hih_acnsa_oct_ccp_npa">'Table 37'!$AC$19</definedName>
    <definedName name="disascal_hih_acnsa_oct_maute">'Table 37'!$AC$20</definedName>
    <definedName name="disascal_hih_acnsa_oct_mnlf">'Table 37'!$AC$21</definedName>
    <definedName name="disascal_hih_acnsa_oct_others_specify">'Table 37'!$AC$22</definedName>
    <definedName name="disascal_hih_acnsa_others_specify">'Table 37'!$F$23</definedName>
    <definedName name="disascal_hih_acnsa_sep_abu_sayyaf">'Table 37'!$AA$17</definedName>
    <definedName name="disascal_hih_acnsa_sep_biff">'Table 37'!$AA$18</definedName>
    <definedName name="disascal_hih_acnsa_sep_ccp_npa">'Table 37'!$AA$19</definedName>
    <definedName name="disascal_hih_acnsa_sep_maute">'Table 37'!$AA$20</definedName>
    <definedName name="disascal_hih_acnsa_sep_mnlf">'Table 37'!$AA$21</definedName>
    <definedName name="disascal_hih_acnsa_sep_others_specify">'Table 37'!$AA$22</definedName>
    <definedName name="disascal_hih_acsa_apr">'Table 37'!$AO$8</definedName>
    <definedName name="disascal_hih_acsa_apr_afp">'Table 37'!$AO$11</definedName>
    <definedName name="disascal_hih_acsa_apr_others_specify">'Table 37'!$AO$13</definedName>
    <definedName name="disascal_hih_acsa_apr_pnp">'Table 37'!$AO$12</definedName>
    <definedName name="disascal_hih_acsa_aug">'Table 37'!$Y$8</definedName>
    <definedName name="disascal_hih_acsa_aug_afp">'Table 37'!$Y$11</definedName>
    <definedName name="disascal_hih_acsa_aug_others_specify">'Table 37'!$Y$13</definedName>
    <definedName name="disascal_hih_acsa_aug_pnp">'Table 37'!$Y$12</definedName>
    <definedName name="disascal_hih_acsa_dec">'Table 37'!$AG$8</definedName>
    <definedName name="disascal_hih_acsa_dec_afp">'Table 37'!$AG$11</definedName>
    <definedName name="disascal_hih_acsa_dec_others_specify">'Table 37'!$AG$13</definedName>
    <definedName name="disascal_hih_acsa_dec_pnp">'Table 37'!$AG$12</definedName>
    <definedName name="disascal_hih_acsa_feb">'Table 37'!$AK$8</definedName>
    <definedName name="disascal_hih_acsa_feb_afp">'Table 37'!$AK$11</definedName>
    <definedName name="disascal_hih_acsa_feb_others_specify">'Table 37'!$AK$13</definedName>
    <definedName name="disascal_hih_acsa_feb_pnp">'Table 37'!$AK$12</definedName>
    <definedName name="disascal_hih_acsa_jan">'Table 37'!$AI$8</definedName>
    <definedName name="disascal_hih_acsa_jan_afp">'Table 37'!$AI$11</definedName>
    <definedName name="disascal_hih_acsa_jan_others_specify">'Table 37'!$AI$13</definedName>
    <definedName name="disascal_hih_acsa_jan_pnp">'Table 37'!$AI$12</definedName>
    <definedName name="disascal_hih_acsa_jul">'Table 37'!$W$8</definedName>
    <definedName name="disascal_hih_acsa_jul_afp">'Table 37'!$W$11</definedName>
    <definedName name="disascal_hih_acsa_jul_others_specify">'Table 37'!$W$13</definedName>
    <definedName name="disascal_hih_acsa_jul_pnp">'Table 37'!$W$12</definedName>
    <definedName name="disascal_hih_acsa_jun">'Table 37'!$U$8</definedName>
    <definedName name="disascal_hih_acsa_jun_afp">'Table 37'!$U$11</definedName>
    <definedName name="disascal_hih_acsa_jun_others_specify">'Table 37'!$U$13</definedName>
    <definedName name="disascal_hih_acsa_jun_pnp">'Table 37'!$U$12</definedName>
    <definedName name="disascal_hih_acsa_mar">'Table 37'!$AM$8</definedName>
    <definedName name="disascal_hih_acsa_mar_afp">'Table 37'!$AM$11</definedName>
    <definedName name="disascal_hih_acsa_mar_others_specify">'Table 37'!$AM$13</definedName>
    <definedName name="disascal_hih_acsa_mar_pnp">'Table 37'!$AM$12</definedName>
    <definedName name="disascal_hih_acsa_may">'Table 37'!$AQ$8</definedName>
    <definedName name="disascal_hih_acsa_may_afp">'Table 37'!$AQ$11</definedName>
    <definedName name="disascal_hih_acsa_may_others_specify">'Table 37'!$AQ$13</definedName>
    <definedName name="disascal_hih_acsa_may_pnp">'Table 37'!$AQ$12</definedName>
    <definedName name="disascal_hih_acsa_nov">'Table 37'!$AE$8</definedName>
    <definedName name="disascal_hih_acsa_nov_afp">'Table 37'!$AE$11</definedName>
    <definedName name="disascal_hih_acsa_nov_others_specify">'Table 37'!$AE$13</definedName>
    <definedName name="disascal_hih_acsa_nov_pnp">'Table 37'!$AE$12</definedName>
    <definedName name="disascal_hih_acsa_oct">'Table 37'!$AC$8</definedName>
    <definedName name="disascal_hih_acsa_oct_afp">'Table 37'!$AC$11</definedName>
    <definedName name="disascal_hih_acsa_oct_others_specify">'Table 37'!$AC$13</definedName>
    <definedName name="disascal_hih_acsa_oct_pnp">'Table 37'!$AC$12</definedName>
    <definedName name="disascal_hih_acsa_others_specify">'Table 37'!$F$14</definedName>
    <definedName name="disascal_hih_acsa_sep">'Table 37'!$AA$8</definedName>
    <definedName name="disascal_hih_acsa_sep_afp">'Table 37'!$AA$11</definedName>
    <definedName name="disascal_hih_acsa_sep_others_specify">'Table 37'!$AA$13</definedName>
    <definedName name="disascal_hih_acsa_sep_pnp">'Table 37'!$AA$12</definedName>
    <definedName name="disascal_hih_apr_bomb_schprem">'Table 36'!$AO$18</definedName>
    <definedName name="disascal_hih_apr_bombthreat_schprem">'Table 36'!$AO$17</definedName>
    <definedName name="disascal_hih_apr_crime_learners">'Table 36'!$AO$19</definedName>
    <definedName name="disascal_hih_apr_crime_nonteach_personnel">'Table 36'!$AO$20</definedName>
    <definedName name="disascal_hih_apr_crime_schhead">'Table 36'!$AO$21</definedName>
    <definedName name="disascal_hih_apr_crime_schproperty">'Table 36'!$AO$22</definedName>
    <definedName name="disascal_hih_apr_crime_teachers">'Table 36'!$AO$23</definedName>
    <definedName name="disascal_hih_apr_fire">'Table 36'!$AO$24</definedName>
    <definedName name="disascal_hih_apr_hazardous_materials">'Table 36'!$AO$25</definedName>
    <definedName name="disascal_hih_apr_healththreat">'Table 36'!$AO$26</definedName>
    <definedName name="disascal_hih_apr_hostage_insch">'Table 36'!$AO$27</definedName>
    <definedName name="disascal_hih_apr_others_specify">'Table 36'!$AO$30</definedName>
    <definedName name="disascal_hih_apr_shooting_insch">'Table 36'!$AO$28</definedName>
    <definedName name="disascal_hih_apr_structural_collapse">'Table 36'!$AO$29</definedName>
    <definedName name="disascal_hih_aug_bomb_schprem">'Table 36'!$Y$18</definedName>
    <definedName name="disascal_hih_aug_bombthreat_schprem">'Table 36'!$Y$17</definedName>
    <definedName name="disascal_hih_aug_crime_learners">'Table 36'!$Y$19</definedName>
    <definedName name="disascal_hih_aug_crime_nonteach_personnel">'Table 36'!$Y$20</definedName>
    <definedName name="disascal_hih_aug_crime_schhead">'Table 36'!$Y$21</definedName>
    <definedName name="disascal_hih_aug_crime_schproperty">'Table 36'!$Y$22</definedName>
    <definedName name="disascal_hih_aug_crime_teachers">'Table 36'!$Y$23</definedName>
    <definedName name="disascal_hih_aug_fire">'Table 36'!$Y$24</definedName>
    <definedName name="disascal_hih_aug_hazardous_materials">'Table 36'!$Y$25</definedName>
    <definedName name="disascal_hih_aug_healththreat">'Table 36'!$Y$26</definedName>
    <definedName name="disascal_hih_aug_hostage_insch">'Table 36'!$Y$27</definedName>
    <definedName name="disascal_hih_aug_others_specify">'Table 36'!$Y$30</definedName>
    <definedName name="disascal_hih_aug_shooting_insch">'Table 36'!$Y$28</definedName>
    <definedName name="disascal_hih_aug_structural_collapse">'Table 36'!$Y$29</definedName>
    <definedName name="disascal_hih_child_apr_abduction">'Table 37'!$AO$28</definedName>
    <definedName name="disascal_hih_child_apr_attacks">'Table 37'!$AO$29</definedName>
    <definedName name="disascal_hih_child_apr_denial">'Table 37'!$AO$30</definedName>
    <definedName name="disascal_hih_child_apr_killing">'Table 37'!$AO$27</definedName>
    <definedName name="disascal_hih_child_apr_recruit">'Table 37'!$AO$31</definedName>
    <definedName name="disascal_hih_child_apr_sexual">'Table 37'!$AO$32</definedName>
    <definedName name="disascal_hih_child_aug_abduction">'Table 37'!$Y$28</definedName>
    <definedName name="disascal_hih_child_aug_attacks">'Table 37'!$Y$29</definedName>
    <definedName name="disascal_hih_child_aug_denial">'Table 37'!$Y$30</definedName>
    <definedName name="disascal_hih_child_aug_killing">'Table 37'!$Y$27</definedName>
    <definedName name="disascal_hih_child_aug_recruit">'Table 37'!$Y$31</definedName>
    <definedName name="disascal_hih_child_aug_sexual">'Table 37'!$Y$32</definedName>
    <definedName name="disascal_hih_child_dec_abduction">'Table 37'!$AG$28</definedName>
    <definedName name="disascal_hih_child_dec_attacks">'Table 37'!$AG$29</definedName>
    <definedName name="disascal_hih_child_dec_denial">'Table 37'!$AG$30</definedName>
    <definedName name="disascal_hih_child_dec_killing">'Table 37'!$AG$27</definedName>
    <definedName name="disascal_hih_child_dec_recruit">'Table 37'!$AG$31</definedName>
    <definedName name="disascal_hih_child_dec_sexual">'Table 37'!$AG$32</definedName>
    <definedName name="disascal_hih_child_feb_abduction">'Table 37'!$AK$28</definedName>
    <definedName name="disascal_hih_child_feb_attacks">'Table 37'!$AK$29</definedName>
    <definedName name="disascal_hih_child_feb_denial">'Table 37'!$AK$30</definedName>
    <definedName name="disascal_hih_child_feb_killing">'Table 37'!$AK$27</definedName>
    <definedName name="disascal_hih_child_feb_recruit">'Table 37'!$AK$31</definedName>
    <definedName name="disascal_hih_child_feb_sexual">'Table 37'!$AK$32</definedName>
    <definedName name="disascal_hih_child_jan_abduction">'Table 37'!$AI$28</definedName>
    <definedName name="disascal_hih_child_jan_attacks">'Table 37'!$AI$29</definedName>
    <definedName name="disascal_hih_child_jan_denial">'Table 37'!$AI$30</definedName>
    <definedName name="disascal_hih_child_jan_killing">'Table 37'!$AI$27</definedName>
    <definedName name="disascal_hih_child_jan_recruit">'Table 37'!$AI$31</definedName>
    <definedName name="disascal_hih_child_jan_sexual">'Table 37'!$AI$32</definedName>
    <definedName name="disascal_hih_child_jul_abduction">'Table 37'!$W$28</definedName>
    <definedName name="disascal_hih_child_jul_attacks">'Table 37'!$W$29</definedName>
    <definedName name="disascal_hih_child_jul_denial">'Table 37'!$W$30</definedName>
    <definedName name="disascal_hih_child_jul_killing">'Table 37'!$W$27</definedName>
    <definedName name="disascal_hih_child_jul_recruit">'Table 37'!$W$31</definedName>
    <definedName name="disascal_hih_child_jul_sexual">'Table 37'!$W$32</definedName>
    <definedName name="disascal_hih_child_jun_abduction">'Table 37'!$U$28</definedName>
    <definedName name="disascal_hih_child_jun_attacks">'Table 37'!$U$29</definedName>
    <definedName name="disascal_hih_child_jun_denial">'Table 37'!$U$30</definedName>
    <definedName name="disascal_hih_child_jun_killing">'Table 37'!$U$27</definedName>
    <definedName name="disascal_hih_child_jun_recruit">'Table 37'!$U$31</definedName>
    <definedName name="disascal_hih_child_jun_sexual">'Table 37'!$U$32</definedName>
    <definedName name="disascal_hih_child_mar_abduction">'Table 37'!$AM$28</definedName>
    <definedName name="disascal_hih_child_mar_attacks">'Table 37'!$AM$29</definedName>
    <definedName name="disascal_hih_child_mar_denial">'Table 37'!$AM$30</definedName>
    <definedName name="disascal_hih_child_mar_killing">'Table 37'!$AM$27</definedName>
    <definedName name="disascal_hih_child_mar_recruit">'Table 37'!$AM$31</definedName>
    <definedName name="disascal_hih_child_mar_sexual">'Table 37'!$AM$32</definedName>
    <definedName name="disascal_hih_child_may_abduction">'Table 37'!$AQ$28</definedName>
    <definedName name="disascal_hih_child_may_attacks">'Table 37'!$AQ$29</definedName>
    <definedName name="disascal_hih_child_may_denial">'Table 37'!$AQ$30</definedName>
    <definedName name="disascal_hih_child_may_killing">'Table 37'!$AQ$27</definedName>
    <definedName name="disascal_hih_child_may_recruit">'Table 37'!$AQ$31</definedName>
    <definedName name="disascal_hih_child_may_sexual">'Table 37'!$AQ$32</definedName>
    <definedName name="disascal_hih_child_nov_abduction">'Table 37'!$AE$28</definedName>
    <definedName name="disascal_hih_child_nov_attacks">'Table 37'!$AE$29</definedName>
    <definedName name="disascal_hih_child_nov_denial">'Table 37'!$AE$30</definedName>
    <definedName name="disascal_hih_child_nov_killing">'Table 37'!$AE$27</definedName>
    <definedName name="disascal_hih_child_nov_recruit">'Table 37'!$AE$31</definedName>
    <definedName name="disascal_hih_child_nov_sexual">'Table 37'!$AE$32</definedName>
    <definedName name="disascal_hih_child_oct_abduction">'Table 37'!$AC$28</definedName>
    <definedName name="disascal_hih_child_oct_attacks">'Table 37'!$AC$29</definedName>
    <definedName name="disascal_hih_child_oct_denial">'Table 37'!$AC$30</definedName>
    <definedName name="disascal_hih_child_oct_killing">'Table 37'!$AC$27</definedName>
    <definedName name="disascal_hih_child_oct_recruit">'Table 37'!$AC$31</definedName>
    <definedName name="disascal_hih_child_oct_sexual">'Table 37'!$AC$32</definedName>
    <definedName name="disascal_hih_child_sep_abduction">'Table 37'!$AA$28</definedName>
    <definedName name="disascal_hih_child_sep_attacks">'Table 37'!$AA$29</definedName>
    <definedName name="disascal_hih_child_sep_denial">'Table 37'!$AA$30</definedName>
    <definedName name="disascal_hih_child_sep_killing">'Table 37'!$AA$27</definedName>
    <definedName name="disascal_hih_child_sep_recruit">'Table 37'!$AA$31</definedName>
    <definedName name="disascal_hih_child_sep_sexual">'Table 37'!$AA$32</definedName>
    <definedName name="disascal_hih_dec_bomb_schprem">'Table 36'!$AG$18</definedName>
    <definedName name="disascal_hih_dec_bombthreat_schprem">'Table 36'!$AG$17</definedName>
    <definedName name="disascal_hih_dec_crime_learners">'Table 36'!$AG$19</definedName>
    <definedName name="disascal_hih_dec_crime_nonteach_personnel">'Table 36'!$AG$20</definedName>
    <definedName name="disascal_hih_dec_crime_schhead">'Table 36'!$AG$21</definedName>
    <definedName name="disascal_hih_dec_crime_schproperty">'Table 36'!$AG$22</definedName>
    <definedName name="disascal_hih_dec_crime_teachers">'Table 36'!$AG$23</definedName>
    <definedName name="disascal_hih_dec_fire">'Table 36'!$AG$24</definedName>
    <definedName name="disascal_hih_dec_hazardous_materials">'Table 36'!$AG$25</definedName>
    <definedName name="disascal_hih_dec_healththreat">'Table 36'!$AG$26</definedName>
    <definedName name="disascal_hih_dec_hostage_insch">'Table 36'!$AG$27</definedName>
    <definedName name="disascal_hih_dec_others_specify">'Table 36'!$AG$30</definedName>
    <definedName name="disascal_hih_dec_shooting_insch">'Table 36'!$AG$28</definedName>
    <definedName name="disascal_hih_dec_structural_collapse">'Table 36'!$AG$29</definedName>
    <definedName name="disascal_hih_feb_bomb_schprem">'Table 36'!$AK$18</definedName>
    <definedName name="disascal_hih_feb_bombthreat_schprem">'Table 36'!$AK$17</definedName>
    <definedName name="disascal_hih_feb_crime_learners">'Table 36'!$AK$19</definedName>
    <definedName name="disascal_hih_feb_crime_nonteach_personnel">'Table 36'!$AK$20</definedName>
    <definedName name="disascal_hih_feb_crime_schhead">'Table 36'!$AK$21</definedName>
    <definedName name="disascal_hih_feb_crime_schproperty">'Table 36'!$AK$22</definedName>
    <definedName name="disascal_hih_feb_crime_teachers">'Table 36'!$AK$23</definedName>
    <definedName name="disascal_hih_feb_fire">'Table 36'!$AK$24</definedName>
    <definedName name="disascal_hih_feb_hazardous_materials">'Table 36'!$AK$25</definedName>
    <definedName name="disascal_hih_feb_healththreat">'Table 36'!$AK$26</definedName>
    <definedName name="disascal_hih_feb_hostage_insch">'Table 36'!$AK$27</definedName>
    <definedName name="disascal_hih_feb_others_specify">'Table 36'!$AK$30</definedName>
    <definedName name="disascal_hih_feb_shooting_insch">'Table 36'!$AK$28</definedName>
    <definedName name="disascal_hih_feb_structural_collapse">'Table 36'!$AK$29</definedName>
    <definedName name="disascal_hih_jan_bomb_schprem">'Table 36'!$AI$18</definedName>
    <definedName name="disascal_hih_jan_bombthreat_schprem">'Table 36'!$AI$17</definedName>
    <definedName name="disascal_hih_jan_crime_learners">'Table 36'!$AI$19</definedName>
    <definedName name="disascal_hih_jan_crime_nonteach_personnel">'Table 36'!$AI$20</definedName>
    <definedName name="disascal_hih_jan_crime_schhead">'Table 36'!$AI$21</definedName>
    <definedName name="disascal_hih_jan_crime_schproperty">'Table 36'!$AI$22</definedName>
    <definedName name="disascal_hih_jan_crime_teachers">'Table 36'!$AI$23</definedName>
    <definedName name="disascal_hih_jan_fire">'Table 36'!$AI$24</definedName>
    <definedName name="disascal_hih_jan_hazardous_materials">'Table 36'!$AI$25</definedName>
    <definedName name="disascal_hih_jan_healththreat">'Table 36'!$AI$26</definedName>
    <definedName name="disascal_hih_jan_hostage_insch">'Table 36'!$AI$27</definedName>
    <definedName name="disascal_hih_jan_others_specify">'Table 36'!$AI$30</definedName>
    <definedName name="disascal_hih_jan_shooting_insch">'Table 36'!$AI$28</definedName>
    <definedName name="disascal_hih_jan_structural_collapse">'Table 36'!$AI$29</definedName>
    <definedName name="disascal_hih_jul_bomb_schprem">'Table 36'!$W$18</definedName>
    <definedName name="disascal_hih_jul_bombthreat_schprem">'Table 36'!$W$17</definedName>
    <definedName name="disascal_hih_jul_crime_learners">'Table 36'!$W$19</definedName>
    <definedName name="disascal_hih_jul_crime_nonteach_personnel">'Table 36'!$W$20</definedName>
    <definedName name="disascal_hih_jul_crime_schhead">'Table 36'!$W$21</definedName>
    <definedName name="disascal_hih_jul_crime_schproperty">'Table 36'!$W$22</definedName>
    <definedName name="disascal_hih_jul_crime_teachers">'Table 36'!$W$23</definedName>
    <definedName name="disascal_hih_jul_fire">'Table 36'!$W$24</definedName>
    <definedName name="disascal_hih_jul_hazardous_materials">'Table 36'!$W$25</definedName>
    <definedName name="disascal_hih_jul_healththreat">'Table 36'!$W$26</definedName>
    <definedName name="disascal_hih_jul_hostage_insch">'Table 36'!$W$27</definedName>
    <definedName name="disascal_hih_jul_others_specify">'Table 36'!$W$30</definedName>
    <definedName name="disascal_hih_jul_shooting_insch">'Table 36'!$W$28</definedName>
    <definedName name="disascal_hih_jul_structural_collapse">'Table 36'!$W$29</definedName>
    <definedName name="disascal_hih_jun_bomb_schprem">'Table 36'!$U$18</definedName>
    <definedName name="disascal_hih_jun_bombthreat_schprem">'Table 36'!$U$17</definedName>
    <definedName name="disascal_hih_jun_crime_learners">'Table 36'!$U$19</definedName>
    <definedName name="disascal_hih_jun_crime_nonteach_personnel">'Table 36'!$U$20</definedName>
    <definedName name="disascal_hih_jun_crime_schhead">'Table 36'!$U$21</definedName>
    <definedName name="disascal_hih_jun_crime_schproperty">'Table 36'!$U$22</definedName>
    <definedName name="disascal_hih_jun_crime_teachers">'Table 36'!$U$23</definedName>
    <definedName name="disascal_hih_jun_fire">'Table 36'!$U$24</definedName>
    <definedName name="disascal_hih_jun_hazardous_materials">'Table 36'!$U$25</definedName>
    <definedName name="disascal_hih_jun_healththreat">'Table 36'!$U$26</definedName>
    <definedName name="disascal_hih_jun_hostage_insch">'Table 36'!$U$27</definedName>
    <definedName name="disascal_hih_jun_others_specify">'Table 36'!$U$30</definedName>
    <definedName name="disascal_hih_jun_shooting_insch">'Table 36'!$U$28</definedName>
    <definedName name="disascal_hih_jun_structural_collapse">'Table 36'!$U$29</definedName>
    <definedName name="disascal_hih_mar_bomb_schprem">'Table 36'!$AM$18</definedName>
    <definedName name="disascal_hih_mar_bombthreat_schprem">'Table 36'!$AM$17</definedName>
    <definedName name="disascal_hih_mar_crime_learners">'Table 36'!$AM$19</definedName>
    <definedName name="disascal_hih_mar_crime_nonteach_personnel">'Table 36'!$AM$20</definedName>
    <definedName name="disascal_hih_mar_crime_schhead">'Table 36'!$AM$21</definedName>
    <definedName name="disascal_hih_mar_crime_schproperty">'Table 36'!$AM$22</definedName>
    <definedName name="disascal_hih_mar_crime_teachers">'Table 36'!$AM$23</definedName>
    <definedName name="disascal_hih_mar_fire">'Table 36'!$AM$24</definedName>
    <definedName name="disascal_hih_mar_hazardous_materials">'Table 36'!$AM$25</definedName>
    <definedName name="disascal_hih_mar_healththreat">'Table 36'!$AM$26</definedName>
    <definedName name="disascal_hih_mar_hostage_insch">'Table 36'!$AM$27</definedName>
    <definedName name="disascal_hih_mar_others_specify">'Table 36'!$AM$30</definedName>
    <definedName name="disascal_hih_mar_shooting_insch">'Table 36'!$AM$28</definedName>
    <definedName name="disascal_hih_mar_structural_collapse">'Table 36'!$AM$29</definedName>
    <definedName name="disascal_hih_may_bomb_schprem">'Table 36'!$AQ$18</definedName>
    <definedName name="disascal_hih_may_bombthreat_schprem">'Table 36'!$AQ$17</definedName>
    <definedName name="disascal_hih_may_crime_learners">'Table 36'!$AQ$19</definedName>
    <definedName name="disascal_hih_may_crime_nonteach_personnel">'Table 36'!$AQ$20</definedName>
    <definedName name="disascal_hih_may_crime_schhead">'Table 36'!$AQ$21</definedName>
    <definedName name="disascal_hih_may_crime_schproperty">'Table 36'!$AQ$22</definedName>
    <definedName name="disascal_hih_may_crime_teachers">'Table 36'!$AQ$23</definedName>
    <definedName name="disascal_hih_may_fire">'Table 36'!$AQ$24</definedName>
    <definedName name="disascal_hih_may_hazardous_materials">'Table 36'!$AQ$25</definedName>
    <definedName name="disascal_hih_may_healththreat">'Table 36'!$AQ$26</definedName>
    <definedName name="disascal_hih_may_hostage_insch">'Table 36'!$AQ$27</definedName>
    <definedName name="disascal_hih_may_others_specify">'Table 36'!$AQ$30</definedName>
    <definedName name="disascal_hih_may_shooting_insch">'Table 36'!$AQ$28</definedName>
    <definedName name="disascal_hih_may_structural_collapse">'Table 36'!$AQ$29</definedName>
    <definedName name="disascal_hih_nov_bomb_schprem">'Table 36'!$AE$18</definedName>
    <definedName name="disascal_hih_nov_bombthreat_schprem">'Table 36'!$AE$17</definedName>
    <definedName name="disascal_hih_nov_crime_learners">'Table 36'!$AE$19</definedName>
    <definedName name="disascal_hih_nov_crime_nonteach_personnel">'Table 36'!$AE$20</definedName>
    <definedName name="disascal_hih_nov_crime_schhead">'Table 36'!$AE$21</definedName>
    <definedName name="disascal_hih_nov_crime_schproperty">'Table 36'!$AE$22</definedName>
    <definedName name="disascal_hih_nov_crime_teachers">'Table 36'!$AE$23</definedName>
    <definedName name="disascal_hih_nov_fire">'Table 36'!$AE$24</definedName>
    <definedName name="disascal_hih_nov_hazardous_materials">'Table 36'!$AE$25</definedName>
    <definedName name="disascal_hih_nov_healththreat">'Table 36'!$AE$26</definedName>
    <definedName name="disascal_hih_nov_hostage_insch">'Table 36'!$AE$27</definedName>
    <definedName name="disascal_hih_nov_others_specify">'Table 36'!$AE$30</definedName>
    <definedName name="disascal_hih_nov_shooting_insch">'Table 36'!$AE$28</definedName>
    <definedName name="disascal_hih_nov_structural_collapse">'Table 36'!$AE$29</definedName>
    <definedName name="disascal_hih_oct_bomb_schprem">'Table 36'!$AC$18</definedName>
    <definedName name="disascal_hih_oct_bombthreat_schprem">'Table 36'!$AC$17</definedName>
    <definedName name="disascal_hih_oct_crime_learners">'Table 36'!$AC$19</definedName>
    <definedName name="disascal_hih_oct_crime_nonteach_personnel">'Table 36'!$AC$20</definedName>
    <definedName name="disascal_hih_oct_crime_schhead">'Table 36'!$AC$21</definedName>
    <definedName name="disascal_hih_oct_crime_schproperty">'Table 36'!$AC$22</definedName>
    <definedName name="disascal_hih_oct_crime_teachers">'Table 36'!$AC$23</definedName>
    <definedName name="disascal_hih_oct_fire">'Table 36'!$AC$24</definedName>
    <definedName name="disascal_hih_oct_hazardous_materials">'Table 36'!$AC$25</definedName>
    <definedName name="disascal_hih_oct_healththreat">'Table 36'!$AC$26</definedName>
    <definedName name="disascal_hih_oct_hostage_insch">'Table 36'!$AC$27</definedName>
    <definedName name="disascal_hih_oct_others_specify">'Table 36'!$AC$30</definedName>
    <definedName name="disascal_hih_oct_shooting_insch">'Table 36'!$AC$28</definedName>
    <definedName name="disascal_hih_oct_structural_collapse">'Table 36'!$AC$29</definedName>
    <definedName name="disascal_hih_others_specify">'Table 36'!$C$31</definedName>
    <definedName name="disascal_hih_sep_bomb_schprem">'Table 36'!$AA$18</definedName>
    <definedName name="disascal_hih_sep_bombthreat_schprem">'Table 36'!$AA$17</definedName>
    <definedName name="disascal_hih_sep_crime_learners">'Table 36'!$AA$19</definedName>
    <definedName name="disascal_hih_sep_crime_nonteach_personnel">'Table 36'!$AA$20</definedName>
    <definedName name="disascal_hih_sep_crime_schhead">'Table 36'!$AA$21</definedName>
    <definedName name="disascal_hih_sep_crime_schproperty">'Table 36'!$AA$22</definedName>
    <definedName name="disascal_hih_sep_crime_teachers">'Table 36'!$AA$23</definedName>
    <definedName name="disascal_hih_sep_fire">'Table 36'!$AA$24</definedName>
    <definedName name="disascal_hih_sep_hazardous_materials">'Table 36'!$AA$25</definedName>
    <definedName name="disascal_hih_sep_healththreat">'Table 36'!$AA$26</definedName>
    <definedName name="disascal_hih_sep_hostage_insch">'Table 36'!$AA$27</definedName>
    <definedName name="disascal_hih_sep_others_specify">'Table 36'!$AA$30</definedName>
    <definedName name="disascal_hih_sep_shooting_insch">'Table 36'!$AA$28</definedName>
    <definedName name="disascal_hih_sep_structural_collapse">'Table 36'!$AA$29</definedName>
    <definedName name="disascal_nh_apr_drought">'Table 36'!$AO$7</definedName>
    <definedName name="disascal_nh_apr_earthquake">'Table 36'!$AO$8</definedName>
    <definedName name="disascal_nh_apr_fire">'Table 36'!$AO$9</definedName>
    <definedName name="disascal_nh_apr_flood">'Table 36'!$AO$10</definedName>
    <definedName name="disascal_nh_apr_landslide">'Table 36'!$AO$11</definedName>
    <definedName name="disascal_nh_apr_stormsurge">'Table 36'!$AO$12</definedName>
    <definedName name="disascal_nh_apr_tropicyclone">'Table 36'!$AO$13</definedName>
    <definedName name="disascal_nh_apr_tsunami">'Table 36'!$AO$14</definedName>
    <definedName name="disascal_nh_apr_volcanerupt">'Table 36'!$AO$15</definedName>
    <definedName name="disascal_nh_aug_drought">'Table 36'!$Y$7</definedName>
    <definedName name="disascal_nh_aug_earthquake">'Table 36'!$Y$8</definedName>
    <definedName name="disascal_nh_aug_fire">'Table 36'!$Y$9</definedName>
    <definedName name="disascal_nh_aug_flood">'Table 36'!$Y$10</definedName>
    <definedName name="disascal_nh_aug_landslide">'Table 36'!$Y$11</definedName>
    <definedName name="disascal_nh_aug_stormsurge">'Table 36'!$Y$12</definedName>
    <definedName name="disascal_nh_aug_tropicyclone">'Table 36'!$Y$13</definedName>
    <definedName name="disascal_nh_aug_tsunami">'Table 36'!$Y$14</definedName>
    <definedName name="disascal_nh_aug_volcanerupt">'Table 36'!$Y$15</definedName>
    <definedName name="disascal_nh_dec_drought">'Table 36'!$AG$7</definedName>
    <definedName name="disascal_nh_dec_earthquake">'Table 36'!$AG$8</definedName>
    <definedName name="disascal_nh_dec_fire">'Table 36'!$AG$9</definedName>
    <definedName name="disascal_nh_dec_flood">'Table 36'!$AG$10</definedName>
    <definedName name="disascal_nh_dec_landslide">'Table 36'!$AG$11</definedName>
    <definedName name="disascal_nh_dec_stormsurge">'Table 36'!$AG$12</definedName>
    <definedName name="disascal_nh_dec_tropicyclone">'Table 36'!$AG$13</definedName>
    <definedName name="disascal_nh_dec_tsunami">'Table 36'!$AG$14</definedName>
    <definedName name="disascal_nh_dec_volcanerupt">'Table 36'!$AG$15</definedName>
    <definedName name="disascal_nh_feb_drought">'Table 36'!$AK$7</definedName>
    <definedName name="disascal_nh_feb_earthquake">'Table 36'!$AK$8</definedName>
    <definedName name="disascal_nh_feb_fire">'Table 36'!$AK$9</definedName>
    <definedName name="disascal_nh_feb_flood">'Table 36'!$AK$10</definedName>
    <definedName name="disascal_nh_feb_landslide">'Table 36'!$AK$11</definedName>
    <definedName name="disascal_nh_feb_stormsurge">'Table 36'!$AK$12</definedName>
    <definedName name="disascal_nh_feb_tropicyclone">'Table 36'!$AK$13</definedName>
    <definedName name="disascal_nh_feb_tsunami">'Table 36'!$AK$14</definedName>
    <definedName name="disascal_nh_feb_volcanerupt">'Table 36'!$AK$15</definedName>
    <definedName name="disascal_nh_jan_drought">'Table 36'!$AI$7</definedName>
    <definedName name="disascal_nh_jan_earthquake">'Table 36'!$AI$8</definedName>
    <definedName name="disascal_nh_jan_fire">'Table 36'!$AI$9</definedName>
    <definedName name="disascal_nh_jan_flood">'Table 36'!$AI$10</definedName>
    <definedName name="disascal_nh_jan_landslide">'Table 36'!$AI$11</definedName>
    <definedName name="disascal_nh_jan_stormsurge">'Table 36'!$AI$12</definedName>
    <definedName name="disascal_nh_jan_tropicyclone">'Table 36'!$AI$13</definedName>
    <definedName name="disascal_nh_jan_tsunami">'Table 36'!$AI$14</definedName>
    <definedName name="disascal_nh_jan_volcanerupt">'Table 36'!$AI$15</definedName>
    <definedName name="disascal_nh_jul_drought">'Table 36'!$W$7</definedName>
    <definedName name="disascal_nh_jul_earthquake">'Table 36'!$W$8</definedName>
    <definedName name="disascal_nh_jul_fire">'Table 36'!$W$9</definedName>
    <definedName name="disascal_nh_jul_flood">'Table 36'!$W$10</definedName>
    <definedName name="disascal_nh_jul_landslide">'Table 36'!$W$11</definedName>
    <definedName name="disascal_nh_jul_stormsurge">'Table 36'!$W$12</definedName>
    <definedName name="disascal_nh_jul_tropicyclone">'Table 36'!$W$13</definedName>
    <definedName name="disascal_nh_jul_tsunami">'Table 36'!$W$14</definedName>
    <definedName name="disascal_nh_jul_volcanerupt">'Table 36'!$W$15</definedName>
    <definedName name="disascal_nh_jun_drought">'Table 36'!$U$7</definedName>
    <definedName name="disascal_nh_jun_earthquake">'Table 36'!$U$8</definedName>
    <definedName name="disascal_nh_jun_fire">'Table 36'!$U$9</definedName>
    <definedName name="disascal_nh_jun_flood">'Table 36'!$U$10</definedName>
    <definedName name="disascal_nh_jun_landslide">'Table 36'!$U$11</definedName>
    <definedName name="disascal_nh_jun_stormsurge">'Table 36'!$U$12</definedName>
    <definedName name="disascal_nh_jun_tropicyclone">'Table 36'!$U$13</definedName>
    <definedName name="disascal_nh_jun_tsunami">'Table 36'!$U$14</definedName>
    <definedName name="disascal_nh_jun_volcanerupt">'Table 36'!$U$15</definedName>
    <definedName name="disascal_nh_mar_drought">'Table 36'!$AM$7</definedName>
    <definedName name="disascal_nh_mar_earthquake">'Table 36'!$AM$8</definedName>
    <definedName name="disascal_nh_mar_fire">'Table 36'!$AM$9</definedName>
    <definedName name="disascal_nh_mar_flood">'Table 36'!$AM$10</definedName>
    <definedName name="disascal_nh_mar_landslide">'Table 36'!$AM$11</definedName>
    <definedName name="disascal_nh_mar_stormsurge">'Table 36'!$AM$12</definedName>
    <definedName name="disascal_nh_mar_tropicyclone">'Table 36'!$AM$13</definedName>
    <definedName name="disascal_nh_mar_tsunami">'Table 36'!$AM$14</definedName>
    <definedName name="disascal_nh_mar_volcanerupt">'Table 36'!$AM$15</definedName>
    <definedName name="disascal_nh_may_drought">'Table 36'!$AQ$7</definedName>
    <definedName name="disascal_nh_may_earthquake">'Table 36'!$AQ$8</definedName>
    <definedName name="disascal_nh_may_fire">'Table 36'!$AQ$9</definedName>
    <definedName name="disascal_nh_may_flood">'Table 36'!$AQ$10</definedName>
    <definedName name="disascal_nh_may_landslide">'Table 36'!$AQ$11</definedName>
    <definedName name="disascal_nh_may_stormsurge">'Table 36'!$AQ$12</definedName>
    <definedName name="disascal_nh_may_tropicyclone">'Table 36'!$AQ$13</definedName>
    <definedName name="disascal_nh_may_tsunami">'Table 36'!$AQ$14</definedName>
    <definedName name="disascal_nh_may_volcanerupt">'Table 36'!$AQ$15</definedName>
    <definedName name="disascal_nh_nov_drought">'Table 36'!$AE$7</definedName>
    <definedName name="disascal_nh_nov_earthquake">'Table 36'!$AE$8</definedName>
    <definedName name="disascal_nh_nov_fire">'Table 36'!$AE$9</definedName>
    <definedName name="disascal_nh_nov_flood">'Table 36'!$AE$10</definedName>
    <definedName name="disascal_nh_nov_landslide">'Table 36'!$AE$11</definedName>
    <definedName name="disascal_nh_nov_stormsurge">'Table 36'!$AE$12</definedName>
    <definedName name="disascal_nh_nov_tropicyclone">'Table 36'!$AE$13</definedName>
    <definedName name="disascal_nh_nov_tsunami">'Table 36'!$AE$14</definedName>
    <definedName name="disascal_nh_nov_volcanerupt">'Table 36'!$AE$15</definedName>
    <definedName name="disascal_nh_oct_drought">'Table 36'!$AC$7</definedName>
    <definedName name="disascal_nh_oct_earthquake">'Table 36'!$AC$8</definedName>
    <definedName name="disascal_nh_oct_fire">'Table 36'!$AC$9</definedName>
    <definedName name="disascal_nh_oct_flood">'Table 36'!$AC$10</definedName>
    <definedName name="disascal_nh_oct_landslide">'Table 36'!$AC$11</definedName>
    <definedName name="disascal_nh_oct_stormsurge">'Table 36'!$AC$12</definedName>
    <definedName name="disascal_nh_oct_tropicyclone">'Table 36'!$AC$13</definedName>
    <definedName name="disascal_nh_oct_tsunami">'Table 36'!$AC$14</definedName>
    <definedName name="disascal_nh_oct_volcanerupt">'Table 36'!$AC$15</definedName>
    <definedName name="disascal_nh_sep_drought">'Table 36'!$AA$7</definedName>
    <definedName name="disascal_nh_sep_earthquake">'Table 36'!$AA$8</definedName>
    <definedName name="disascal_nh_sep_fire">'Table 36'!$AA$9</definedName>
    <definedName name="disascal_nh_sep_flood">'Table 36'!$AA$10</definedName>
    <definedName name="disascal_nh_sep_landslide">'Table 36'!$AA$11</definedName>
    <definedName name="disascal_nh_sep_stormsurge">'Table 36'!$AA$12</definedName>
    <definedName name="disascal_nh_sep_tropicyclone">'Table 36'!$AA$13</definedName>
    <definedName name="disascal_nh_sep_tsunami">'Table 36'!$AA$14</definedName>
    <definedName name="disascal_nh_sep_volcanerupt">'Table 36'!$AA$15</definedName>
    <definedName name="disaspre_apr_earthq_drl">'Box 30 Part 2'!$T$48</definedName>
    <definedName name="disaspre_apr_fire_drl">'Box 30 Part 2'!$T$49</definedName>
    <definedName name="disaspre_apr_flood_drl">'Box 30 Part 2'!$T$50</definedName>
    <definedName name="disaspre_apr_lockdown_drl">'Box 30 Part 2'!$T$51</definedName>
    <definedName name="disaspre_apr_stormsurge_drl">'Box 30 Part 2'!$T$52</definedName>
    <definedName name="disaspre_apr_tsunami_drl">'Box 30 Part 2'!$T$53</definedName>
    <definedName name="disaspre_aug_earthq_drl">'Box 30 Part 2'!$AB$48</definedName>
    <definedName name="disaspre_aug_fire_drl">'Box 30 Part 2'!$AB$49</definedName>
    <definedName name="disaspre_aug_flood_drl">'Box 30 Part 2'!$AB$50</definedName>
    <definedName name="disaspre_aug_lockdown_drl">'Box 30 Part 2'!$AB$51</definedName>
    <definedName name="disaspre_aug_stormsurge_drl">'Box 30 Part 2'!$AB$52</definedName>
    <definedName name="disaspre_aug_tsunami_drl">'Box 30 Part 2'!$AB$53</definedName>
    <definedName name="disaspre_brigada_eskwela">'Box 30 Part 2'!$F$4</definedName>
    <definedName name="disaspre_dec_earthq_drl">'Box 30 Part 2'!$AJ$48</definedName>
    <definedName name="disaspre_dec_fire_drl">'Box 30 Part 2'!$AJ$49</definedName>
    <definedName name="disaspre_dec_flood_drl">'Box 30 Part 2'!$AJ$50</definedName>
    <definedName name="disaspre_dec_lockdown_drl">'Box 30 Part 2'!$AJ$51</definedName>
    <definedName name="disaspre_dec_stormsurge_drl">'Box 30 Part 2'!$AJ$52</definedName>
    <definedName name="disaspre_dec_tsunami_drl">'Box 30 Part 2'!$AJ$53</definedName>
    <definedName name="disaspre_emer_supply">'Box 30 Part 2'!$F$7</definedName>
    <definedName name="disaspre_feb_earthq_drl">'Box 30 Part 2'!$P$48</definedName>
    <definedName name="disaspre_feb_fire_drl">'Box 30 Part 2'!$P$49</definedName>
    <definedName name="disaspre_feb_flood_drl">'Box 30 Part 2'!$P$50</definedName>
    <definedName name="disaspre_feb_lockdown_drl">'Box 30 Part 2'!$P$51</definedName>
    <definedName name="disaspre_feb_stormsurge_drl">'Box 30 Part 2'!$P$52</definedName>
    <definedName name="disaspre_feb_tsunami_drl">'Box 30 Part 2'!$P$53</definedName>
    <definedName name="disaspre_func_warn_syst">'Box 30 Part 2'!$F$5</definedName>
    <definedName name="disaspre_jan_earthq_drl">'Box 30 Part 2'!$N$48</definedName>
    <definedName name="disaspre_jan_fire_drl">'Box 30 Part 2'!$N$49</definedName>
    <definedName name="disaspre_jan_flood_drl">'Box 30 Part 2'!$N$50</definedName>
    <definedName name="disaspre_jan_lockdown_drl">'Box 30 Part 2'!$N$51</definedName>
    <definedName name="disaspre_jan_stormsurge_drl">'Box 30 Part 2'!$N$52</definedName>
    <definedName name="disaspre_jan_tsunami_drl">'Box 30 Part 2'!$N$53</definedName>
    <definedName name="disaspre_jul_earthq_drl">'Box 30 Part 2'!$Z$48</definedName>
    <definedName name="disaspre_jul_fire_drl">'Box 30 Part 2'!$Z$49</definedName>
    <definedName name="disaspre_jul_flood_drl">'Box 30 Part 2'!$Z$50</definedName>
    <definedName name="disaspre_jul_lockdown_drl">'Box 30 Part 2'!$Z$51</definedName>
    <definedName name="disaspre_jul_stormsurge_drl">'Box 30 Part 2'!$Z$52</definedName>
    <definedName name="disaspre_jul_tsunami_drl">'Box 30 Part 2'!$Z$53</definedName>
    <definedName name="disaspre_jun_earthq_drl">'Box 30 Part 2'!$X$48</definedName>
    <definedName name="disaspre_jun_fire_drl">'Box 30 Part 2'!$X$49</definedName>
    <definedName name="disaspre_jun_flood_drl">'Box 30 Part 2'!$X$50</definedName>
    <definedName name="disaspre_jun_lockdown_drl">'Box 30 Part 2'!$X$51</definedName>
    <definedName name="disaspre_jun_stormsurge_drl">'Box 30 Part 2'!$X$52</definedName>
    <definedName name="disaspre_jun_tsunami_drl">'Box 30 Part 2'!$X$53</definedName>
    <definedName name="disaspre_mar_earthq_drl">'Box 30 Part 2'!$R$48</definedName>
    <definedName name="disaspre_mar_fire_drl">'Box 30 Part 2'!$R$49</definedName>
    <definedName name="disaspre_mar_flood_drl">'Box 30 Part 2'!$R$50</definedName>
    <definedName name="disaspre_mar_lockdown_drl">'Box 30 Part 2'!$R$51</definedName>
    <definedName name="disaspre_mar_stormsurge_drl">'Box 30 Part 2'!$R$52</definedName>
    <definedName name="disaspre_mar_tsunami_drl">'Box 30 Part 2'!$R$53</definedName>
    <definedName name="disaspre_may_earthq_drl">'Box 30 Part 2'!$V$48</definedName>
    <definedName name="disaspre_may_fire_drl">'Box 30 Part 2'!$V$49</definedName>
    <definedName name="disaspre_may_flood_drl">'Box 30 Part 2'!$V$50</definedName>
    <definedName name="disaspre_may_lockdown_drl">'Box 30 Part 2'!$V$51</definedName>
    <definedName name="disaspre_may_stormsurge_drl">'Box 30 Part 2'!$V$52</definedName>
    <definedName name="disaspre_may_tsunami_drl">'Box 30 Part 2'!$V$53</definedName>
    <definedName name="disaspre_nov_earthq_drl">'Box 30 Part 2'!$AH$48</definedName>
    <definedName name="disaspre_nov_fire_drl">'Box 30 Part 2'!$AH$49</definedName>
    <definedName name="disaspre_nov_flood_drl">'Box 30 Part 2'!$AH$50</definedName>
    <definedName name="disaspre_nov_lockdown_drl">'Box 30 Part 2'!$AH$51</definedName>
    <definedName name="disaspre_nov_stormsurge_drl">'Box 30 Part 2'!$AH$52</definedName>
    <definedName name="disaspre_nov_tsunami_drl">'Box 30 Part 2'!$AH$53</definedName>
    <definedName name="disaspre_num_emer_2fold_deped">'Box 30 Part 2'!$N$11</definedName>
    <definedName name="disaspre_num_emer_2fold_part">'Box 30 Part 2'!$Q$11</definedName>
    <definedName name="disaspre_num_emer_cad_bag_deped">'Box 30 Part 2'!$N$12</definedName>
    <definedName name="disaspre_num_emer_cad_bag_part">'Box 30 Part 2'!$Q$12</definedName>
    <definedName name="disaspre_num_emer_ccollar_deped">'Box 30 Part 2'!$N$13</definedName>
    <definedName name="disaspre_num_emer_ccollar_part">'Box 30 Part 2'!$Q$13</definedName>
    <definedName name="disaspre_num_emer_coat_deped">'Box 30 Part 2'!$N$34</definedName>
    <definedName name="disaspre_num_emer_coat_part">'Box 30 Part 2'!$Q$34</definedName>
    <definedName name="disaspre_num_emer_cot_deped">'Box 30 Part 2'!$N$14</definedName>
    <definedName name="disaspre_num_emer_cot_part">'Box 30 Part 2'!$Q$14</definedName>
    <definedName name="disaspre_num_emer_cpr_deped">'Box 30 Part 2'!$N$15</definedName>
    <definedName name="disaspre_num_emer_cpr_part">'Box 30 Part 2'!$Q$15</definedName>
    <definedName name="disaspre_num_emer_cushion_deped">'Box 30 Part 2'!$N$30</definedName>
    <definedName name="disaspre_num_emer_cushion_part">'Box 30 Part 2'!$Q$30</definedName>
    <definedName name="disaspre_num_emer_firextinguish_deped">'Box 30 Part 2'!$N$18</definedName>
    <definedName name="disaspre_num_emer_firextinguish_part">'Box 30 Part 2'!$Q$18</definedName>
    <definedName name="disaspre_num_emer_firstaid_l_deped">'Box 30 Part 2'!$N$19</definedName>
    <definedName name="disaspre_num_emer_firstaid_l_part">'Box 30 Part 2'!$Q$19</definedName>
    <definedName name="disaspre_num_emer_firstaid_per_deped">'Box 30 Part 2'!$N$20</definedName>
    <definedName name="disaspre_num_emer_firstaid_per_part">'Box 30 Part 2'!$Q$20</definedName>
    <definedName name="disaspre_num_emer_go_bag_l_deped">'Box 30 Part 2'!$N$22</definedName>
    <definedName name="disaspre_num_emer_go_bag_l_part">'Box 30 Part 2'!$Q$22</definedName>
    <definedName name="disaspre_num_emer_go_bag_per_deped">'Box 30 Part 2'!$N$24</definedName>
    <definedName name="disaspre_num_emer_go_bag_per_part">'Box 30 Part 2'!$Q$24</definedName>
    <definedName name="disaspre_num_emer_headlamp_deped">'Box 30 Part 2'!$N$16</definedName>
    <definedName name="disaspre_num_emer_headlamp_part">'Box 30 Part 2'!$Q$16</definedName>
    <definedName name="disaspre_num_emer_helmet_deped">'Box 30 Part 2'!$N$35</definedName>
    <definedName name="disaspre_num_emer_helmet_part">'Box 30 Part 2'!$Q$35</definedName>
    <definedName name="disaspre_num_emer_light_deped">'Box 30 Part 2'!$N$27</definedName>
    <definedName name="disaspre_num_emer_light_part">'Box 30 Part 2'!$Q$27</definedName>
    <definedName name="disaspre_num_emer_pa_sys_deped">'Box 30 Part 2'!$N$33</definedName>
    <definedName name="disaspre_num_emer_pa_sys_part">'Box 30 Part 2'!$Q$33</definedName>
    <definedName name="disaspre_num_emer_radio_deped">'Box 30 Part 2'!$N$26</definedName>
    <definedName name="disaspre_num_emer_radio_part">'Box 30 Part 2'!$Q$26</definedName>
    <definedName name="disaspre_num_emer_search_light_deped">'Box 30 Part 2'!$N$28</definedName>
    <definedName name="disaspre_num_emer_search_light_part">'Box 30 Part 2'!$Q$28</definedName>
    <definedName name="disaspre_num_emer_shoes_deped">'Box 30 Part 2'!$N$36</definedName>
    <definedName name="disaspre_num_emer_shoes_part">'Box 30 Part 2'!$Q$36</definedName>
    <definedName name="disaspre_num_emer_spine_board_deped">'Box 30 Part 2'!$N$31</definedName>
    <definedName name="disaspre_num_emer_spine_board_part">'Box 30 Part 2'!$Q$31</definedName>
    <definedName name="disaspre_num_emer_splinter_deped">'Box 30 Part 2'!$N$37</definedName>
    <definedName name="disaspre_num_emer_splinter_part">'Box 30 Part 2'!$Q$37</definedName>
    <definedName name="disaspre_num_emer_steel_box_deped">'Box 30 Part 2'!$N$38</definedName>
    <definedName name="disaspre_num_emer_steel_box_part">'Box 30 Part 2'!$Q$38</definedName>
    <definedName name="disaspre_num_emer_steel_cab_deped">'Box 30 Part 2'!$N$39</definedName>
    <definedName name="disaspre_num_emer_steel_cab_part">'Box 30 Part 2'!$Q$39</definedName>
    <definedName name="disaspre_num_emer_trans_bag_deped">'Box 30 Part 2'!$N$41</definedName>
    <definedName name="disaspre_num_emer_trans_bag_part">'Box 30 Part 2'!$Q$41</definedName>
    <definedName name="disaspre_num_emer_trauma_bag_deped">'Box 30 Part 2'!$N$42</definedName>
    <definedName name="disaspre_num_emer_trauma_bag_part">'Box 30 Part 2'!$Q$42</definedName>
    <definedName name="disaspre_num_emer_tvest_deped">'Box 30 Part 2'!$N$40</definedName>
    <definedName name="disaspre_num_emer_tvest_part">'Box 30 Part 2'!$Q$40</definedName>
    <definedName name="disaspre_num_emer_univ_head_deped">'Box 30 Part 2'!$N$44</definedName>
    <definedName name="disaspre_num_emer_univ_head_part">'Box 30 Part 2'!$Q$44</definedName>
    <definedName name="disaspre_num_emer_vest_deped">'Box 30 Part 2'!$N$29</definedName>
    <definedName name="disaspre_num_emer_vest_part">'Box 30 Part 2'!$Q$29</definedName>
    <definedName name="disaspre_num_emer_whistle_deped">'Box 30 Part 2'!$N$17</definedName>
    <definedName name="disaspre_num_emer_whistle_part">'Box 30 Part 2'!$Q$17</definedName>
    <definedName name="disaspre_num_hazzard_drl_ip_f">'Box 30 Part 2'!$O$65</definedName>
    <definedName name="disaspre_num_hazzard_drl_ip_m">'Box 30 Part 2'!$L$65</definedName>
    <definedName name="disaspre_num_hazzard_drl_l_f">'Box 30 Part 2'!$I$65</definedName>
    <definedName name="disaspre_num_hazzard_drl_l_m">'Box 30 Part 2'!$F$65</definedName>
    <definedName name="disaspre_num_hazzard_drl_lwd_f">'Box 30 Part 2'!$AA$65</definedName>
    <definedName name="disaspre_num_hazzard_drl_lwd_m">'Box 30 Part 2'!$X$65</definedName>
    <definedName name="disaspre_num_hazzard_drl_muslim_f">'Box 30 Part 2'!$U$65</definedName>
    <definedName name="disaspre_num_hazzard_drl_muslim_m">'Box 30 Part 2'!$R$65</definedName>
    <definedName name="disaspre_num_hazzard_drl_nonteach_f">'Box 30 Part 2'!$O$59</definedName>
    <definedName name="disaspre_num_hazzard_drl_nonteach_m">'Box 30 Part 2'!$L$59</definedName>
    <definedName name="disaspre_num_hazzard_drl_teach_f">'Box 30 Part 2'!$I$59</definedName>
    <definedName name="disaspre_num_hazzard_drl_teach_m">'Box 30 Part 2'!$F$59</definedName>
    <definedName name="disaspre_num_rescue_bic_deped">'Box 30 Part 2'!$AF$11</definedName>
    <definedName name="disaspre_num_rescue_bic_part">'Box 30 Part 2'!$AI$11</definedName>
    <definedName name="disaspre_num_rescue_fire_cabinet_deped">'Box 30 Part 2'!$AF$12</definedName>
    <definedName name="disaspre_num_rescue_fire_cabinet_part">'Box 30 Part 2'!$AI$12</definedName>
    <definedName name="disaspre_num_rescue_firehose_deped">'Box 30 Part 2'!$AF$14</definedName>
    <definedName name="disaspre_num_rescue_firehose_part">'Box 30 Part 2'!$AI$14</definedName>
    <definedName name="disaspre_num_rescue_firextinguish_deped">'Box 30 Part 2'!$AF$13</definedName>
    <definedName name="disaspre_num_rescue_firextinguish_part">'Box 30 Part 2'!$AI$13</definedName>
    <definedName name="disaspre_num_rescue_lvest_deped">'Box 30 Part 2'!$AF$15</definedName>
    <definedName name="disaspre_num_rescue_lvest_part">'Box 30 Part 2'!$AI$15</definedName>
    <definedName name="disaspre_num_rescue_mot_banca_deped">'Box 30 Part 2'!$AF$17</definedName>
    <definedName name="disaspre_num_rescue_mot_banca_part">'Box 30 Part 2'!$AI$17</definedName>
    <definedName name="disaspre_num_rescue_psprayer_deped">'Box 30 Part 2'!$AF$19</definedName>
    <definedName name="disaspre_num_rescue_psprayer_part">'Box 30 Part 2'!$AI$19</definedName>
    <definedName name="disaspre_oct_earthq_drl">'Box 30 Part 2'!$AF$48</definedName>
    <definedName name="disaspre_oct_fire_drl">'Box 30 Part 2'!$AF$49</definedName>
    <definedName name="disaspre_oct_flood_drl">'Box 30 Part 2'!$AF$50</definedName>
    <definedName name="disaspre_oct_lockdown_drl">'Box 30 Part 2'!$AF$51</definedName>
    <definedName name="disaspre_oct_stormsurge_drl">'Box 30 Part 2'!$AF$52</definedName>
    <definedName name="disaspre_oct_tsunami_drl">'Box 30 Part 2'!$AF$53</definedName>
    <definedName name="disaspre_sep_earthq_drl">'Box 30 Part 2'!$AD$48</definedName>
    <definedName name="disaspre_sep_fire_drl">'Box 30 Part 2'!$AD$49</definedName>
    <definedName name="disaspre_sep_flood_drl">'Box 30 Part 2'!$AD$50</definedName>
    <definedName name="disaspre_sep_lockdown_drl">'Box 30 Part 2'!$AD$51</definedName>
    <definedName name="disaspre_sep_stormsurge_drl">'Box 30 Part 2'!$AD$52</definedName>
    <definedName name="disaspre_sep_tsunami_drl">'Box 30 Part 2'!$AD$53</definedName>
    <definedName name="disasres_adm_eimpact">'Box 30 Part 3a'!$Z$41</definedName>
    <definedName name="disasres_adm_eimpact_days">'Box 30 Part 3a'!$AH$41</definedName>
    <definedName name="disasres_adm_home">'Box 30 Part 3a'!$Z$42</definedName>
    <definedName name="disasres_adm_home_days">'Box 30 Part 3a'!$AH$42</definedName>
    <definedName name="disasres_adm_misosa">'Box 30 Part 3a'!$Z$43</definedName>
    <definedName name="disasres_adm_misosa_days">'Box 30 Part 3a'!$AH$43</definedName>
    <definedName name="disasres_adm_nhs">'Box 30 Part 3a'!$Z$44</definedName>
    <definedName name="disasres_adm_nhs_days">'Box 30 Part 3a'!$AH$44</definedName>
    <definedName name="disasres_adm_ohsp">'Box 30 Part 3a'!$Z$45</definedName>
    <definedName name="disasres_adm_ohsp_days">'Box 30 Part 3a'!$AH$45</definedName>
    <definedName name="disasres_brigada_eskwela">'Box 30 Part 3a'!$E$4</definedName>
    <definedName name="disasres_impl_adm_disas">'Box 30 Part 3a'!$E$34</definedName>
    <definedName name="disasres_impl_adm_emer">'Box 30 Part 3a'!$E$36</definedName>
    <definedName name="disasres_ipearn_mhpss_ip_f">'Box 30 Part 3a'!$X$54</definedName>
    <definedName name="disasres_ipearn_mhpss_ip_m">'Box 30 Part 3a'!$U$54</definedName>
    <definedName name="disasres_ipearn_mhpss_lwd_f">'Box 30 Part 3a'!$AJ$54</definedName>
    <definedName name="disasres_ipearn_mhpss_lwd_m">'Box 30 Part 3a'!$AG$54</definedName>
    <definedName name="disasres_ipearn_mhpss_muslim_f">'Box 30 Part 3a'!$AD$54</definedName>
    <definedName name="disasres_ipearn_mhpss_muslim_m">'Box 30 Part 3a'!$AA$54</definedName>
    <definedName name="disasres_ipearn_pss_ip_f">'Box 30 Part 3a'!$X$55</definedName>
    <definedName name="disasres_ipearn_pss_ip_m">'Box 30 Part 3a'!$U$55</definedName>
    <definedName name="disasres_ipearn_pss_lwd_f">'Box 30 Part 3a'!$AJ$55</definedName>
    <definedName name="disasres_ipearn_pss_lwd_m">'Box 30 Part 3a'!$AG$55</definedName>
    <definedName name="disasres_ipearn_pss_muslim_f">'Box 30 Part 3a'!$AD$55</definedName>
    <definedName name="disasres_ipearn_pss_muslim_m">'Box 30 Part 3a'!$AA$55</definedName>
    <definedName name="disasres_ipearn_ref_mech_ip_f">'Box 30 Part 3a'!$X$56</definedName>
    <definedName name="disasres_ipearn_ref_mech_ip_m">'Box 30 Part 3a'!$U$56</definedName>
    <definedName name="disasres_ipearn_ref_mech_lwd_f">'Box 30 Part 3a'!$AJ$56</definedName>
    <definedName name="disasres_ipearn_ref_mech_lwd_m">'Box 30 Part 3a'!$AG$56</definedName>
    <definedName name="disasres_ipearn_ref_mech_muslim_f">'Box 30 Part 3a'!$AD$56</definedName>
    <definedName name="disasres_ipearn_ref_mech_muslim_m">'Box 30 Part 3a'!$AA$56</definedName>
    <definedName name="disasres_ipearn_sess_ip_f">'Box 30 Part 3a'!$X$53</definedName>
    <definedName name="disasres_ipearn_sess_ip_m">'Box 30 Part 3a'!$U$53</definedName>
    <definedName name="disasres_ipearn_sess_lwd_f">'Box 30 Part 3a'!$AJ$53</definedName>
    <definedName name="disasres_ipearn_sess_lwd_m">'Box 30 Part 3a'!$AG$53</definedName>
    <definedName name="disasres_ipearn_sess_muslim_f">'Box 30 Part 3a'!$AD$53</definedName>
    <definedName name="disasres_ipearn_sess_muslim_m">'Box 30 Part 3a'!$AA$53</definedName>
    <definedName name="disasres_learn_mhpss_l_f">'Box 30 Part 3a'!$R$54</definedName>
    <definedName name="disasres_learn_mhpss_l_m">'Box 30 Part 3a'!$O$54</definedName>
    <definedName name="disasres_learn_pss_l_f">'Box 30 Part 3a'!$R$55</definedName>
    <definedName name="disasres_learn_pss_l_m">'Box 30 Part 3a'!$O$55</definedName>
    <definedName name="disasres_learn_ref_mech_l_f">'Box 30 Part 3a'!$R$56</definedName>
    <definedName name="disasres_learn_ref_mech_l_m">'Box 30 Part 3a'!$O$56</definedName>
    <definedName name="disasres_learn_sess_l_f">'Box 30 Part 3a'!$R$53</definedName>
    <definedName name="disasres_learn_sess_l_m">'Box 30 Part 3a'!$O$53</definedName>
    <definedName name="disasres_num_drrms_adm">'Box 30 Part 3a'!$M$24</definedName>
    <definedName name="disasres_num_drrms_adm_date">'Box 30 Part 3a'!$Q$24</definedName>
    <definedName name="disasres_num_drrms_fund_cleanup">'Box 30 Part 3a'!$M$13</definedName>
    <definedName name="disasres_num_drrms_fund_cleanup_date">'Box 30 Part 3a'!$Q$13</definedName>
    <definedName name="disasres_num_drrms_fund_feed">'Box 30 Part 3a'!$M$19</definedName>
    <definedName name="disasres_num_drrms_fund_feed_date">'Box 30 Part 3a'!$Q$19</definedName>
    <definedName name="disasres_num_drrms_fund_templearn">'Box 30 Part 3a'!$M$15</definedName>
    <definedName name="disasres_num_drrms_fund_templearn_date">'Box 30 Part 3a'!$Q$15</definedName>
    <definedName name="disasres_num_drrms_fund_tempwash">'Box 30 Part 3a'!$M$17</definedName>
    <definedName name="disasres_num_drrms_fund_tempwash_date">'Box 30 Part 3a'!$Q$17</definedName>
    <definedName name="disasres_num_drrms_hygiene">'Box 30 Part 3a'!$M$21</definedName>
    <definedName name="disasres_num_drrms_hygiene_date">'Box 30 Part 3a'!$Q$21</definedName>
    <definedName name="disasres_num_drrms_learnkit">'Box 30 Part 3a'!$M$22</definedName>
    <definedName name="disasres_num_drrms_learnkit_date">'Box 30 Part 3a'!$Q$22</definedName>
    <definedName name="disasres_num_drrms_teachkit">'Box 30 Part 3a'!$M$23</definedName>
    <definedName name="disasres_num_drrms_teachkit_date">'Box 30 Part 3a'!$Q$23</definedName>
    <definedName name="disasres_num_grps_rehab_recover">'Box 30 Part 3b'!$AW$7</definedName>
    <definedName name="disasres_num_mhpss_conduct">'Box 30 Part 3b'!$AW$4</definedName>
    <definedName name="disasres_num_nonteach_per_mhpss_f">'Box 30 Part 3b'!$W$9</definedName>
    <definedName name="disasres_num_nonteach_per_mhpss_m">'Box 30 Part 3b'!$T$9</definedName>
    <definedName name="disasres_num_nonteach_per_pss_f">'Box 30 Part 3b'!$W$12</definedName>
    <definedName name="disasres_num_nonteach_per_pss_m">'Box 30 Part 3b'!$T$12</definedName>
    <definedName name="disasres_num_nonteach_per_refmech_f">'Box 30 Part 3b'!$W$15</definedName>
    <definedName name="disasres_num_nonteach_per_refmech_m">'Box 30 Part 3b'!$T$15</definedName>
    <definedName name="disasres_num_part_adm">'Box 30 Part 3a'!$AH$18</definedName>
    <definedName name="disasres_num_part_donate">'Box 30 Part 3a'!$AH$13</definedName>
    <definedName name="disasres_num_part_feed">'Box 30 Part 3a'!$AH$14</definedName>
    <definedName name="disasres_num_part_hygiene">'Box 30 Part 3a'!$AH$15</definedName>
    <definedName name="disasres_num_part_learnkit">'Box 30 Part 3a'!$AH$16</definedName>
    <definedName name="disasres_num_part_mhpps">'Box 30 Part 3a'!$AH$20</definedName>
    <definedName name="disasres_num_part_teachkit">'Box 30 Part 3a'!$AH$17</definedName>
    <definedName name="disasres_num_part_templearn">'Box 30 Part 3a'!$AH$21</definedName>
    <definedName name="disasres_num_part_wash">'Box 30 Part 3a'!$AH$23</definedName>
    <definedName name="disasres_num_recvd_accountmecha">'Box 30 Part 3b'!$AF$16</definedName>
    <definedName name="disasres_num_recvd_dcp">'Box 30 Part 3b'!$AF$12</definedName>
    <definedName name="disasres_num_recvd_fur">'Box 30 Part 3b'!$AF$10</definedName>
    <definedName name="disasres_num_recvd_learnresource">'Box 30 Part 3b'!$AF$14</definedName>
    <definedName name="disasres_num_teach_per_mhpss_f">'Box 30 Part 3b'!$Q$9</definedName>
    <definedName name="disasres_num_teach_per_mhpss_m">'Box 30 Part 3b'!$N$9</definedName>
    <definedName name="disasres_num_teach_per_pss_f">'Box 30 Part 3b'!$Q$12</definedName>
    <definedName name="disasres_num_teach_per_pss_m">'Box 30 Part 3b'!$N$12</definedName>
    <definedName name="disasres_num_teach_per_refmech_f">'Box 30 Part 3b'!$Q$15</definedName>
    <definedName name="disasres_num_teach_per_refmech_m">'Box 30 Part 3b'!$N$15</definedName>
    <definedName name="disasres_num_teachper_impl_f">'Box 30 Part 3a'!$R$32</definedName>
    <definedName name="disasres_num_teachper_impl_m">'Box 30 Part 3a'!$O$32</definedName>
    <definedName name="disasres_num_teachper_resp_f">'Box 30 Part 3a'!$R$31</definedName>
    <definedName name="disasres_num_teachper_resp_m">'Box 30 Part 3a'!$O$31</definedName>
    <definedName name="disasres_peace_prog">'Box 30 Part 3a'!$AI$5</definedName>
    <definedName name="disasres_radar">'Box 30 Part 3a'!$E$7</definedName>
    <definedName name="disasres_resump_classhift">'Box 30 Part 3a'!$E$41</definedName>
    <definedName name="disasres_resump_classhift_days">'Box 30 Part 3a'!$M$41</definedName>
    <definedName name="disasres_resump_makeup">'Box 30 Part 3a'!$E$42</definedName>
    <definedName name="disasres_resump_makeup_days">'Box 30 Part 3a'!$M$42</definedName>
    <definedName name="disasres_resump_module">'Box 30 Part 3a'!$E$43</definedName>
    <definedName name="disasres_resump_module_days">'Box 30 Part 3a'!$M$43</definedName>
    <definedName name="disasres_resump_online">'Box 30 Part 3a'!$E$44</definedName>
    <definedName name="disasres_resump_online_days">'Box 30 Part 3a'!$M$44</definedName>
    <definedName name="disasres_resump_peer">'Box 30 Part 3a'!$E$45</definedName>
    <definedName name="disasres_resump_peer_days">'Box 30 Part 3a'!$M$45</definedName>
    <definedName name="disasres_resump_prog">'Box 30 Part 3a'!$E$46</definedName>
    <definedName name="disasres_resump_prog_days">'Box 30 Part 3a'!$M$46</definedName>
    <definedName name="div_yfc_name">'Boxes 3-5'!$AA$52</definedName>
    <definedName name="div_yfc_pos">'Boxes 3-5'!$AE$54</definedName>
    <definedName name="do_accountant_name">'Table 29-Box 8'!$B$24</definedName>
    <definedName name="do_accountant_pos">'Table 29-Box 8'!$F$26</definedName>
    <definedName name="do_iped_focal_name">'Box 32'!$AB$60</definedName>
    <definedName name="do_iped_focal_pos_title">'Box 32'!$AF$62</definedName>
    <definedName name="do_school_health_coor_name">'Tables 30 A-B'!$Q$42</definedName>
    <definedName name="do_school_health_coor_pos">'Tables 30 A-B'!$U$44</definedName>
    <definedName name="do_sports_coordinator_name">'Box 27'!$Q$25</definedName>
    <definedName name="do_sports_coordinator_pos">'Box 27'!$U$27</definedName>
    <definedName name="drrm_cca_policies_DM084_s2019">'Box 28 Part 1'!$D$20</definedName>
    <definedName name="drrm_cca_policies_DM221_s2013">'Box 28 Part 1'!$D$26</definedName>
    <definedName name="drrm_cca_policies_DO21_s2015">'Box 28 Part 1'!$D$13</definedName>
    <definedName name="drrm_cca_policies_DO23_s2015">'Box 28 Part 1'!$D$14</definedName>
    <definedName name="drrm_cca_policies_DO24_s2021">'Box 28 Part 1'!$D$18</definedName>
    <definedName name="drrm_cca_policies_DO27_s2015">'Box 28 Part 1'!$D$15</definedName>
    <definedName name="drrm_cca_policies_DO28_s2016">'Box 28 Part 1'!$D$17</definedName>
    <definedName name="drrm_cca_policies_DO32_s2019">'Box 28 Part 1'!$D$25</definedName>
    <definedName name="drrm_cca_policies_DO33_s2021">'Box 28 Part 1'!$D$19</definedName>
    <definedName name="drrm_cca_policies_DO37_s2015">'Box 28 Part 1'!$D$16</definedName>
    <definedName name="drrm_cca_policies_DO43_s2012">'Box 28 Part 1'!$D$12</definedName>
    <definedName name="drrm_cca_policies_DO82_s2010">'Box 28 Part 1'!$D$10</definedName>
    <definedName name="drrm_cca_policies_DO83_s2011">'Box 28 Part 1'!$D$11</definedName>
    <definedName name="drrm_coordinator_name">'Table 36'!$Q$37</definedName>
    <definedName name="drrm_coordinator_pos">'Table 36'!$U$39</definedName>
    <definedName name="electrical_available_inaday_hours">'Table 29-Box 8'!$AN$17</definedName>
    <definedName name="electrical_funding_source_canteen">'Table 29-Box 8'!$AH$14</definedName>
    <definedName name="electrical_funding_source_lgu">'Table 29-Box 8'!$AB$15</definedName>
    <definedName name="electrical_funding_source_mooe">'Table 29-Box 8'!$AB$14</definedName>
    <definedName name="electrical_funding_source_others">'Table 29-Box 8'!$AH$16</definedName>
    <definedName name="electrical_funding_source_others_specify">'Table 29-Box 8'!$AM$16</definedName>
    <definedName name="electrical_funding_source_private">'Table 29-Box 8'!$AH$15</definedName>
    <definedName name="electrical_funding_source_pta">'Table 29-Box 8'!$AB$16</definedName>
    <definedName name="electrical_no_source">'Table 29-Box 8'!$AB$11</definedName>
    <definedName name="electrical_offgrid_generator">'Table 29-Box 8'!$AE$9</definedName>
    <definedName name="electrical_offgrid_others">'Table 29-Box 8'!$AE$10</definedName>
    <definedName name="electrical_offgrid_others_specify">'Table 29-Box 8'!$AJ$10</definedName>
    <definedName name="electrical_offgrid_solar_power">'Table 29-Box 8'!$AE$8</definedName>
    <definedName name="electrical_supply_sources_grid">'Table 29-Box 8'!$AB$6</definedName>
    <definedName name="electrical_supply_sources_offgrid">'Table 29-Box 8'!$AB$7</definedName>
    <definedName name="fh_canteen_mngd_others">'Boxes 19-20'!$I$34</definedName>
    <definedName name="fh_canteen_mngd_others_personnel_health_yes">'Boxes 19-20'!$AH$35</definedName>
    <definedName name="fh_canteen_mngd_others_sanitary">'Boxes 19-20'!$R$35</definedName>
    <definedName name="fh_canteen_mngd_others_specify">'Boxes 19-20'!$J$35</definedName>
    <definedName name="fh_canteen_mngd_others_validity">'Boxes 19-20'!$Z$35</definedName>
    <definedName name="fh_canteen_mngd_sch">'Boxes 19-20'!$I$30</definedName>
    <definedName name="fh_canteen_mngd_sch_personnel_health_yes">'Boxes 19-20'!$AH$30</definedName>
    <definedName name="fh_canteen_mngd_sch_sanitary">'Boxes 19-20'!$R$30</definedName>
    <definedName name="fh_canteen_mngd_sch_validity">'Boxes 19-20'!$Z$30</definedName>
    <definedName name="fh_canteen_mngd_tchcoop">'Boxes 19-20'!$I$32</definedName>
    <definedName name="fh_canteen_mngd_tchcoop_personnel_health_yes">'Boxes 19-20'!$AH$32</definedName>
    <definedName name="fh_canteen_mngd_tchcoop_sanitary">'Boxes 19-20'!$R$32</definedName>
    <definedName name="fh_canteen_mngd_tchcoop_validity">'Boxes 19-20'!$Z$32</definedName>
    <definedName name="fh_has_canteen_yes">'Boxes 19-20'!$O$27</definedName>
    <definedName name="fp_agri_crops">'Boxes 19-20'!$I$14</definedName>
    <definedName name="fp_agri_fishpond">'Boxes 19-20'!$I$13</definedName>
    <definedName name="fp_agri_fundsource_brgyfund">'Boxes 19-20'!$X$20</definedName>
    <definedName name="fp_agri_fundsource_lgufund">'Boxes 19-20'!$Q$20</definedName>
    <definedName name="fp_agri_fundsource_mooe">'Boxes 19-20'!$I$20</definedName>
    <definedName name="fp_agri_fundsource_others">'Boxes 19-20'!$AG$20</definedName>
    <definedName name="fp_agri_fundsource_others_specify">'Boxes 19-20'!$AM$20</definedName>
    <definedName name="fp_agri_fundsource_privatefund">'Boxes 19-20'!$X$21</definedName>
    <definedName name="fp_agri_fundsource_ptafund">'Boxes 19-20'!$Q$21</definedName>
    <definedName name="fp_agri_fundsource_scfund">'Boxes 19-20'!$I$21</definedName>
    <definedName name="fp_agri_gulayan">'Boxes 19-20'!$I$11</definedName>
    <definedName name="fp_agri_gulayan_fruit">'Boxes 19-20'!$X$12</definedName>
    <definedName name="fp_agri_gulayan_leafy">'Boxes 19-20'!$Q$12</definedName>
    <definedName name="fp_agri_gulayan_legumes">'Boxes 19-20'!$L$12</definedName>
    <definedName name="fp_agri_gulayan_rootcrops">'Boxes 19-20'!$AD$12</definedName>
    <definedName name="fp_agri_livestock">'Boxes 19-20'!$I$15</definedName>
    <definedName name="fp_agri_none">'Boxes 19-20'!$I$17</definedName>
    <definedName name="fp_agri_others">'Boxes 19-20'!$I$16</definedName>
    <definedName name="fp_agri_others_specify">'Boxes 19-20'!$O$16</definedName>
    <definedName name="fp_agri_usedfp_yes">'Boxes 19-20'!$Y$18</definedName>
    <definedName name="fp_fundsource_brgyfund">'Boxes 19-20'!$X$7</definedName>
    <definedName name="fp_fundsource_lgufund">'Boxes 19-20'!$Q$7</definedName>
    <definedName name="fp_fundsource_mooe">'Boxes 19-20'!$I$7</definedName>
    <definedName name="fp_fundsource_others">'Boxes 19-20'!$AG$8</definedName>
    <definedName name="fp_fundsource_others_specify">'Boxes 19-20'!$AM$8</definedName>
    <definedName name="fp_fundsource_privatefund">'Boxes 19-20'!$X$8</definedName>
    <definedName name="fp_fundsource_ptafund">'Boxes 19-20'!$Q$8</definedName>
    <definedName name="fp_fundsource_sbfp">'Boxes 19-20'!$AG$7</definedName>
    <definedName name="fp_fundsource_scfund">'Boxes 19-20'!$I$8</definedName>
    <definedName name="fp_has_yes">'Boxes 19-20'!$S$5</definedName>
    <definedName name="I">List!$A$2:$A$15</definedName>
    <definedName name="II">List!$B$2:$B$10</definedName>
    <definedName name="III">List!$C$2:$C$21</definedName>
    <definedName name="implesolidwm_composting">'Boxes 21-23'!$I$8</definedName>
    <definedName name="implesolidwm_dtcp">'Boxes 21-23'!$I$9</definedName>
    <definedName name="implesolidwm_pmsmcon">'Boxes 21-23'!$I$10</definedName>
    <definedName name="implesolidwm_postsign">'Boxes 21-23'!$V$8</definedName>
    <definedName name="implesolidwm_recyclingpr">'Boxes 21-23'!$V$9</definedName>
    <definedName name="implesolidwm_schrep">'Boxes 21-23'!$V$10</definedName>
    <definedName name="implesolidwm_stakeholder_brgy">'Boxes 21-23'!$I$14</definedName>
    <definedName name="implesolidwm_stakeholder_commulead">'Boxes 21-23'!$I$15</definedName>
    <definedName name="implesolidwm_stakeholder_localbusp">'Boxes 21-23'!$V$14</definedName>
    <definedName name="implesolidwm_stakeholder_mun_city">'Boxes 21-23'!$V$15</definedName>
    <definedName name="implesolidwm_stakeholder_parents">'Boxes 21-23'!$AH$14</definedName>
    <definedName name="implesolidwm_urfc">'Boxes 21-23'!$AH$10</definedName>
    <definedName name="implesolidwm_usppcip">'Boxes 21-23'!$AH$8</definedName>
    <definedName name="implesolidwm_usrmtt">'Boxes 21-23'!$AH$9</definedName>
    <definedName name="implesolidwm_wasteseg">'Boxes 21-23'!$AH$11</definedName>
    <definedName name="IVA">List!$D$2:$D$23</definedName>
    <definedName name="IVB">List!$E$2:$E$8</definedName>
    <definedName name="IX">List!$J$2:$J$9</definedName>
    <definedName name="lac_session_current_sy">'Boxes 1-2'!$Q$8</definedName>
    <definedName name="lac_session_last_sy">'Boxes 1-2'!$Q$7</definedName>
    <definedName name="lac_session_yes">'Boxes 1-2'!$Q$5</definedName>
    <definedName name="liqui_jantodec_amount">'Table 29-Box 8'!$J$8</definedName>
    <definedName name="loc_althighway">'Box 9 cont.- Box 10'!$D$31</definedName>
    <definedName name="loc_bythillside">'Box 9 cont.- Box 10'!$D$32</definedName>
    <definedName name="loc_nearcoast">'Box 9 cont.- Box 10'!$M$32</definedName>
    <definedName name="loc_nearfaultl">'Box 9 cont.- Box 10'!$W$31</definedName>
    <definedName name="loc_nearriverwway">'Box 9 cont.- Box 10'!$M$33</definedName>
    <definedName name="loc_onsmllisland">'Box 9 cont.- Box 10'!$M$31</definedName>
    <definedName name="loc_ontopmount">'Box 9 cont.- Box 10'!$D$33</definedName>
    <definedName name="loc_other">'Box 9 cont.- Box 10'!$W$32</definedName>
    <definedName name="loc_other_specify">'Box 9 cont.- Box 10'!$AB$32</definedName>
    <definedName name="mednurse_num_learn_exam_g11">'Tables 32-34'!$Q$24</definedName>
    <definedName name="mednurse_num_learn_exam_g12">'Tables 32-34'!$V$24</definedName>
    <definedName name="mednurse_num_learn_findings_g11">'Tables 32-34'!$Q$25</definedName>
    <definedName name="mednurse_num_learn_findings_g12">'Tables 32-34'!$V$25</definedName>
    <definedName name="mednurse_num_learn_given_intervention_g11">'Tables 32-34'!$Q$26</definedName>
    <definedName name="mednurse_num_learn_given_intervention_g12">'Tables 32-34'!$V$26</definedName>
    <definedName name="mednurse_num_learn_referred_g11">'Tables 32-34'!$Q$27</definedName>
    <definedName name="mednurse_num_learn_referred_g12">'Tables 32-34'!$V$27</definedName>
    <definedName name="mestrualh_avail_sanpads_yes">'Boxes 21-23'!$X$34</definedName>
    <definedName name="mestrualh_avail_sanpads_yes_guidoff">'Boxes 21-23'!$U$36</definedName>
    <definedName name="mestrualh_avail_sanpads_yes_others">'Boxes 21-23'!$U$37</definedName>
    <definedName name="mestrualh_avail_sanpads_yes_others_specify">'Boxes 21-23'!$Z$37</definedName>
    <definedName name="mestrualh_avail_sanpads_yeses_schcant">'Boxes 21-23'!$I$36</definedName>
    <definedName name="mestrualh_avail_sanpads_yeses_schclinic">'Boxes 21-23'!$I$37</definedName>
    <definedName name="mooe_alloc_jantodec_amount">'Table 29-Box 8'!$J$6</definedName>
    <definedName name="name_depes_lrmds">'Table 21-Box 6'!$V$37</definedName>
    <definedName name="name_depes_lrmds_pos">'Table 21-Box 6'!$Z$39</definedName>
    <definedName name="natpdruged_cl_corners_number">'Boxes 17-18'!$AG$10</definedName>
    <definedName name="natpdruged_compart_curriculumin">'Boxes 17-18'!$M$7</definedName>
    <definedName name="natpdruged_compart_extrcurriact">'Boxes 17-18'!$M$8</definedName>
    <definedName name="natpdruged_compart_other">'Boxes 17-18'!$AB$8</definedName>
    <definedName name="natpdruged_compart_other_specify">'Boxes 17-18'!$W$8</definedName>
    <definedName name="natpdruged_compart_partnwbadac">'Boxes 17-18'!$W$7</definedName>
    <definedName name="natpdruged_coord_yes">'Boxes 17-18'!$AG$9</definedName>
    <definedName name="natpdruged_established_bkd_yes">'Boxes 17-18'!$AG$11</definedName>
    <definedName name="natpdruged_implement_yes">'Boxes 17-18'!$AG$5</definedName>
    <definedName name="natpdruged_learn_bkd_g11">'Boxes 17-18'!$S$14</definedName>
    <definedName name="natpdruged_learn_bkd_g12">'Boxes 17-18'!$S$15</definedName>
    <definedName name="natpdruged_learn_train_g11">'Boxes 17-18'!$S$20</definedName>
    <definedName name="natpdruged_learn_train_g12">'Boxes 17-18'!$S$21</definedName>
    <definedName name="NCR">List!$Q$2:$Q$17</definedName>
    <definedName name="need_more_abm">'Table 21-Box 6'!$AH$30</definedName>
    <definedName name="need_more_appsubj">'Table 21-Box 6'!$AH$29</definedName>
    <definedName name="need_more_core">'Table 21-Box 6'!$AH$28</definedName>
    <definedName name="need_more_humms">'Table 21-Box 6'!$AH$32</definedName>
    <definedName name="need_more_others">'Table 21-Box 6'!$AQ$32</definedName>
    <definedName name="need_more_otherspec">'Table 21-Box 6'!$AP$30</definedName>
    <definedName name="need_more_sptrac">'Table 21-Box 6'!$AP$29</definedName>
    <definedName name="need_more_stem">'Table 21-Box 6'!$AP$28</definedName>
    <definedName name="num_oer_devloc_editwork_q1_g11">'Table 21-Box 6'!$V$7</definedName>
    <definedName name="num_oer_devloc_editwork_q1_g12">'Table 21-Box 6'!$V$8</definedName>
    <definedName name="num_oer_devloc_editwork_q2_g11">'Table 21-Box 6'!$Y$7</definedName>
    <definedName name="num_oer_devloc_editwork_q2_g12">'Table 21-Box 6'!$Y$8</definedName>
    <definedName name="num_oer_devloc_editwork_q3_g11">'Table 21-Box 6'!$AB$7</definedName>
    <definedName name="num_oer_devloc_editwork_q3_g12">'Table 21-Box 6'!$AB$8</definedName>
    <definedName name="num_oer_devloc_editwork_q4_g11">'Table 21-Box 6'!$AE$7</definedName>
    <definedName name="num_oer_devloc_editwork_q4_g12">'Table 21-Box 6'!$AE$8</definedName>
    <definedName name="num_oer_devloc_origwork_q1_g11">'Table 21-Box 6'!$G$7</definedName>
    <definedName name="num_oer_devloc_origwork_q1_g12">'Table 21-Box 6'!$G$8</definedName>
    <definedName name="num_oer_devloc_origwork_q2_g11">'Table 21-Box 6'!$J$7</definedName>
    <definedName name="num_oer_devloc_origwork_q2_g12">'Table 21-Box 6'!$J$8</definedName>
    <definedName name="num_oer_devloc_origwork_q3_g11">'Table 21-Box 6'!$M$7</definedName>
    <definedName name="num_oer_devloc_origwork_q3_g12">'Table 21-Box 6'!$M$8</definedName>
    <definedName name="num_oer_devloc_origwork_q4_g11">'Table 21-Box 6'!$P$7</definedName>
    <definedName name="num_oer_devloc_origwork_q4_g12">'Table 21-Box 6'!$P$8</definedName>
    <definedName name="num_teach_depedtv_freq_f">'Table 21-Box 6'!$O$24</definedName>
    <definedName name="num_teach_depedtv_freq_m">'Table 21-Box 6'!$J$24</definedName>
    <definedName name="num_teach_depedtv_nvr_f">'Table 21-Box 6'!$O$26</definedName>
    <definedName name="num_teach_depedtv_nvr_m">'Table 21-Box 6'!$J$26</definedName>
    <definedName name="num_teach_depedtv_sel_f">'Table 21-Box 6'!$O$25</definedName>
    <definedName name="num_teach_depedtv_sel_m">'Table 21-Box 6'!$J$25</definedName>
    <definedName name="num_teachers_reside_outsideschmun_g11_f">'Box 32'!$R$22</definedName>
    <definedName name="num_teachers_reside_outsideschmun_g11_m">'Box 32'!$O$22</definedName>
    <definedName name="num_teachers_reside_outsideschmun_g12_f">'Box 32'!$X$22</definedName>
    <definedName name="num_teachers_reside_outsideschmun_g12_m">'Box 32'!$U$22</definedName>
    <definedName name="num_teachers_reside_withinschmun_g11_f">'Box 32'!$R$21</definedName>
    <definedName name="num_teachers_reside_withinschmun_g11_m">'Box 32'!$O$21</definedName>
    <definedName name="num_teachers_reside_withinschmun_g12_f">'Box 32'!$X$21</definedName>
    <definedName name="num_teachers_reside_withinschmun_g12_m">'Box 32'!$U$21</definedName>
    <definedName name="numteach_highest_educ_attainment_bachelor_f">'Tables 16-19'!$Q$6</definedName>
    <definedName name="numteach_highest_educ_attainment_bachelor_m">'Tables 16-19'!$M$6</definedName>
    <definedName name="numteach_highest_educ_attainment_doctor_f">'Tables 16-19'!$Q$10</definedName>
    <definedName name="numteach_highest_educ_attainment_doctor_m">'Tables 16-19'!$M$10</definedName>
    <definedName name="numteach_highest_educ_attainment_doctor_units_f">'Tables 16-19'!$Q$9</definedName>
    <definedName name="numteach_highest_educ_attainment_doctor_units_m">'Tables 16-19'!$M$9</definedName>
    <definedName name="numteach_highest_educ_attainment_master_f">'Tables 16-19'!$Q$8</definedName>
    <definedName name="numteach_highest_educ_attainment_master_m">'Tables 16-19'!$M$8</definedName>
    <definedName name="numteach_highest_educ_attainment_masterunits_f">'Tables 16-19'!$Q$7</definedName>
    <definedName name="numteach_highest_educ_attainment_masterunits_m">'Tables 16-19'!$M$7</definedName>
    <definedName name="numteach_scieducmajor_bio_f">'Tables 16-19'!$BA$7</definedName>
    <definedName name="numteach_scieducmajor_bio_m">'Tables 16-19'!$AW$7</definedName>
    <definedName name="numteach_scieducmajor_chem_f">'Tables 16-19'!$BA$8</definedName>
    <definedName name="numteach_scieducmajor_chem_m">'Tables 16-19'!$AW$8</definedName>
    <definedName name="numteach_scieducmajor_gensci_f">'Tables 16-19'!$BA$6</definedName>
    <definedName name="numteach_scieducmajor_gensci_m">'Tables 16-19'!$AW$6</definedName>
    <definedName name="numteach_scieducmajor_others_f">'Tables 16-19'!$BA$10</definedName>
    <definedName name="numteach_scieducmajor_others_m">'Tables 16-19'!$AW$10</definedName>
    <definedName name="numteach_scieducmajor_physics_f">'Tables 16-19'!$BA$9</definedName>
    <definedName name="numteach_scieducmajor_physics_m">'Tables 16-19'!$AW$9</definedName>
    <definedName name="ok_sa_deped_fbpage_add">'Boxes 17-18'!$AG$31</definedName>
    <definedName name="ok_sa_deped_fbpageyes">'Boxes 17-18'!$AG$30</definedName>
    <definedName name="ok_sa_deped_focal">'Boxes 17-18'!$AG$28</definedName>
    <definedName name="ok_sa_deped_ohw">'Boxes 17-18'!$AG$29</definedName>
    <definedName name="opmainsanf_sanfclean_attwiceawk">'Boxes 21-23'!$I$23</definedName>
    <definedName name="opmainsanf_sanfclean_avecos_monbm_amount">'Boxes 21-23'!$Z$24</definedName>
    <definedName name="opmainsanf_sanfclean_daily">'Boxes 21-23'!$I$22</definedName>
    <definedName name="opmainsanf_sanfclean_lessonceawk">'Boxes 21-23'!$U$23</definedName>
    <definedName name="opmainsanf_sanfclean_onceawk">'Boxes 21-23'!$U$22</definedName>
    <definedName name="opmainsanf_sanfclean_payavecos_monbm_lgu">'Boxes 21-23'!$I$27</definedName>
    <definedName name="opmainsanf_sanfclean_payavecos_monbm_other">'Boxes 21-23'!$U$28</definedName>
    <definedName name="opmainsanf_sanfclean_payavecos_monbm_other_specify">'Boxes 21-23'!$Z$28</definedName>
    <definedName name="opmainsanf_sanfclean_payavecos_monbm_privinds">'Boxes 21-23'!$U$27</definedName>
    <definedName name="opmainsanf_sanfclean_payavecos_monbm_pta">'Boxes 21-23'!$I$28</definedName>
    <definedName name="opmainsanf_sanfclean_payavecos_monbmes_schcantf">'Boxes 21-23'!$U$26</definedName>
    <definedName name="opmainsanf_sanfclean_payavecos_monbmes_schmooe">'Boxes 21-23'!$I$26</definedName>
    <definedName name="personnel_nonteach_acct1_actual_f">'Table 6'!$S$34</definedName>
    <definedName name="personnel_nonteach_acct1_actual_m">'Table 6'!$P$34</definedName>
    <definedName name="personnel_nonteach_acct1_borrowed_f">'Table 6'!$AX$34</definedName>
    <definedName name="personnel_nonteach_acct1_borrowed_m">'Table 6'!$AU$34</definedName>
    <definedName name="personnel_nonteach_acct1_detailed_es">'Table 6'!$AH$34</definedName>
    <definedName name="personnel_nonteach_acct1_detailed_hs">'Table 6'!$AE$34</definedName>
    <definedName name="personnel_nonteach_acct1_detailed_outdiv">'Table 6'!$AK$34</definedName>
    <definedName name="personnel_nonteach_acct1_onleave">'Table 6'!$Y$34</definedName>
    <definedName name="personnel_nonteach_acct1_psipop">'Table 6'!$M$34</definedName>
    <definedName name="personnel_nonteach_acct1_vacant">'Table 6'!$AB$34</definedName>
    <definedName name="personnel_nonteach_adminaide6_actual_f">'Table 6'!$S$42</definedName>
    <definedName name="personnel_nonteach_adminaide6_actual_m">'Table 6'!$P$42</definedName>
    <definedName name="personnel_nonteach_adminaide6_borrowed_f">'Table 6'!$AX$42</definedName>
    <definedName name="personnel_nonteach_adminaide6_borrowed_m">'Table 6'!$AU$42</definedName>
    <definedName name="personnel_nonteach_adminaide6_detailed_es">'Table 6'!$AH$42</definedName>
    <definedName name="personnel_nonteach_adminaide6_detailed_hs">'Table 6'!$AE$42</definedName>
    <definedName name="personnel_nonteach_adminaide6_detailed_outdiv">'Table 6'!$AK$42</definedName>
    <definedName name="personnel_nonteach_adminaide6_onleave">'Table 6'!$Y$42</definedName>
    <definedName name="personnel_nonteach_adminaide6_psipop">'Table 6'!$M$42</definedName>
    <definedName name="personnel_nonteach_adminaide6_vacant">'Table 6'!$AB$42</definedName>
    <definedName name="personnel_nonteach_adminasst1_actual_f">'Table 6'!$S$41</definedName>
    <definedName name="personnel_nonteach_adminasst1_actual_m">'Table 6'!$P$41</definedName>
    <definedName name="personnel_nonteach_adminasst1_borrowed_f">'Table 6'!$AX$41</definedName>
    <definedName name="personnel_nonteach_adminasst1_borrowed_m">'Table 6'!$AU$41</definedName>
    <definedName name="personnel_nonteach_adminasst1_detailed_es">'Table 6'!$AH$41</definedName>
    <definedName name="personnel_nonteach_adminasst1_detailed_hs">'Table 6'!$AE$41</definedName>
    <definedName name="personnel_nonteach_adminasst1_detailed_outdiv">'Table 6'!$AK$41</definedName>
    <definedName name="personnel_nonteach_adminasst1_onleave">'Table 6'!$Y$41</definedName>
    <definedName name="personnel_nonteach_adminasst1_psipop">'Table 6'!$M$41</definedName>
    <definedName name="personnel_nonteach_adminasst1_vacant">'Table 6'!$AB$41</definedName>
    <definedName name="personnel_nonteach_adminasst2_actual_f">'Table 6'!$S$40</definedName>
    <definedName name="personnel_nonteach_adminasst2_actual_m">'Table 6'!$P$40</definedName>
    <definedName name="personnel_nonteach_adminasst2_borrowed_f">'Table 6'!$AX$40</definedName>
    <definedName name="personnel_nonteach_adminasst2_borrowed_m">'Table 6'!$AU$40</definedName>
    <definedName name="personnel_nonteach_adminasst2_detailed_es">'Table 6'!$AH$40</definedName>
    <definedName name="personnel_nonteach_adminasst2_detailed_hs">'Table 6'!$AE$40</definedName>
    <definedName name="personnel_nonteach_adminasst2_detailed_outdiv">'Table 6'!$AK$40</definedName>
    <definedName name="personnel_nonteach_adminasst2_onleave">'Table 6'!$Y$40</definedName>
    <definedName name="personnel_nonteach_adminasst2_psipop">'Table 6'!$M$40</definedName>
    <definedName name="personnel_nonteach_adminasst2_vacant">'Table 6'!$AB$40</definedName>
    <definedName name="personnel_nonteach_adminofcr2_actual_f">'Table 6'!$S$25</definedName>
    <definedName name="personnel_nonteach_adminofcr2_actual_m">'Table 6'!$P$25</definedName>
    <definedName name="personnel_nonteach_adminofcr2_borrowed_f">'Table 6'!$AX$25</definedName>
    <definedName name="personnel_nonteach_adminofcr2_borrowed_m">'Table 6'!$AU$25</definedName>
    <definedName name="personnel_nonteach_adminofcr2_detailed_es">'Table 6'!$AH$25</definedName>
    <definedName name="personnel_nonteach_adminofcr2_detailed_hs">'Table 6'!$AE$25</definedName>
    <definedName name="personnel_nonteach_adminofcr2_detailed_outdiv">'Table 6'!$AK$25</definedName>
    <definedName name="personnel_nonteach_adminofcr2_onleave">'Table 6'!$Y$25</definedName>
    <definedName name="personnel_nonteach_adminofcr2_psipop">'Table 6'!$M$25</definedName>
    <definedName name="personnel_nonteach_adminofcr2_vacant">'Table 6'!$AB$25</definedName>
    <definedName name="personnel_nonteach_adminofcr4_actual_f">'Table 6'!$S$24</definedName>
    <definedName name="personnel_nonteach_adminofcr4_actual_m">'Table 6'!$P$24</definedName>
    <definedName name="personnel_nonteach_adminofcr4_borrowed_f">'Table 6'!$AX$24</definedName>
    <definedName name="personnel_nonteach_adminofcr4_borrowed_m">'Table 6'!$AU$24</definedName>
    <definedName name="personnel_nonteach_adminofcr4_detailed_es">'Table 6'!$AH$24</definedName>
    <definedName name="personnel_nonteach_adminofcr4_detailed_hs">'Table 6'!$AE$24</definedName>
    <definedName name="personnel_nonteach_adminofcr4_detailed_outdiv">'Table 6'!$AK$24</definedName>
    <definedName name="personnel_nonteach_adminofcr4_onleave">'Table 6'!$Y$24</definedName>
    <definedName name="personnel_nonteach_adminofcr4_psipop">'Table 6'!$M$24</definedName>
    <definedName name="personnel_nonteach_adminofcr4_vacant">'Table 6'!$AB$24</definedName>
    <definedName name="personnel_nonteach_chsr1_actual_f">'Table 6'!$S$37</definedName>
    <definedName name="personnel_nonteach_chsr1_actual_m">'Table 6'!$P$37</definedName>
    <definedName name="personnel_nonteach_chsr1_borrowed_f">'Table 6'!$AX$37</definedName>
    <definedName name="personnel_nonteach_chsr1_borrowed_m">'Table 6'!$AU$37</definedName>
    <definedName name="personnel_nonteach_chsr1_detailed_es">'Table 6'!$AH$37</definedName>
    <definedName name="personnel_nonteach_chsr1_detailed_hs">'Table 6'!$AE$37</definedName>
    <definedName name="personnel_nonteach_chsr1_detailed_outdiv">'Table 6'!$AK$37</definedName>
    <definedName name="personnel_nonteach_chsr1_onleave">'Table 6'!$Y$37</definedName>
    <definedName name="personnel_nonteach_chsr1_psipop">'Table 6'!$M$37</definedName>
    <definedName name="personnel_nonteach_chsr1_vacant">'Table 6'!$AB$37</definedName>
    <definedName name="personnel_nonteach_guidancecounsel1_actual_f">'Table 6'!$S$33</definedName>
    <definedName name="personnel_nonteach_guidancecounsel1_actual_m">'Table 6'!$P$33</definedName>
    <definedName name="personnel_nonteach_guidancecounsel1_borrowed_f">'Table 6'!$AX$33</definedName>
    <definedName name="personnel_nonteach_guidancecounsel1_borrowed_m">'Table 6'!$AU$33</definedName>
    <definedName name="personnel_nonteach_guidancecounsel1_detailed_es">'Table 6'!$AH$33</definedName>
    <definedName name="personnel_nonteach_guidancecounsel1_detailed_hs">'Table 6'!$AE$33</definedName>
    <definedName name="personnel_nonteach_guidancecounsel1_detailed_outdiv">'Table 6'!$AK$33</definedName>
    <definedName name="personnel_nonteach_guidancecounsel1_onleave">'Table 6'!$Y$33</definedName>
    <definedName name="personnel_nonteach_guidancecounsel1_psipop">'Table 6'!$M$33</definedName>
    <definedName name="personnel_nonteach_guidancecounsel1_vacant">'Table 6'!$AB$33</definedName>
    <definedName name="personnel_nonteach_guidancecounsel2_actual_f">'Table 6'!$S$32</definedName>
    <definedName name="personnel_nonteach_guidancecounsel2_actual_m">'Table 6'!$P$32</definedName>
    <definedName name="personnel_nonteach_guidancecounsel2_borrowed_f">'Table 6'!$AX$32</definedName>
    <definedName name="personnel_nonteach_guidancecounsel2_borrowed_m">'Table 6'!$AU$32</definedName>
    <definedName name="personnel_nonteach_guidancecounsel2_detailed_es">'Table 6'!$AH$32</definedName>
    <definedName name="personnel_nonteach_guidancecounsel2_detailed_hs">'Table 6'!$AE$32</definedName>
    <definedName name="personnel_nonteach_guidancecounsel2_detailed_outdiv">'Table 6'!$AK$32</definedName>
    <definedName name="personnel_nonteach_guidancecounsel2_onleave">'Table 6'!$Y$32</definedName>
    <definedName name="personnel_nonteach_guidancecounsel2_psipop">'Table 6'!$M$32</definedName>
    <definedName name="personnel_nonteach_guidancecounsel2_vacant">'Table 6'!$AB$32</definedName>
    <definedName name="personnel_nonteach_guidancecounsel3_actual_f">'Table 6'!$S$31</definedName>
    <definedName name="personnel_nonteach_guidancecounsel3_actual_m">'Table 6'!$P$31</definedName>
    <definedName name="personnel_nonteach_guidancecounsel3_borrowed_f">'Table 6'!$AX$31</definedName>
    <definedName name="personnel_nonteach_guidancecounsel3_borrowed_m">'Table 6'!$AU$31</definedName>
    <definedName name="personnel_nonteach_guidancecounsel3_detailed_es">'Table 6'!$AH$31</definedName>
    <definedName name="personnel_nonteach_guidancecounsel3_detailed_hs">'Table 6'!$AE$31</definedName>
    <definedName name="personnel_nonteach_guidancecounsel3_detailed_outdiv">'Table 6'!$AK$31</definedName>
    <definedName name="personnel_nonteach_guidancecounsel3_onleave">'Table 6'!$Y$31</definedName>
    <definedName name="personnel_nonteach_guidancecounsel3_psipop">'Table 6'!$M$31</definedName>
    <definedName name="personnel_nonteach_guidancecounsel3_vacant">'Table 6'!$AB$31</definedName>
    <definedName name="personnel_nonteach_guidancespcl2_borrowed_f">'Table 6'!$AX$29</definedName>
    <definedName name="personnel_nonteach_guidancespcl2_borrowed_m">'Table 6'!$AU$29</definedName>
    <definedName name="personnel_nonteach_guidancespcl2_detailed_es">'Table 6'!$AH$29</definedName>
    <definedName name="personnel_nonteach_guidancespcl2_detailed_hs">'Table 6'!$AE$29</definedName>
    <definedName name="personnel_nonteach_guidancespcl2_detailed_outdiv">'Table 6'!$AK$29</definedName>
    <definedName name="personnel_nonteach_guidancespcl2_onleave">'Table 6'!$Y$29</definedName>
    <definedName name="personnel_nonteach_guidancespcl2_vacant">'Table 6'!$AB$29</definedName>
    <definedName name="personnel_nonteach_guidancesrvspcl1_actual_f">'Table 6'!$S$30</definedName>
    <definedName name="personnel_nonteach_guidancesrvspcl1_actual_m">'Table 6'!$P$30</definedName>
    <definedName name="personnel_nonteach_guidancesrvspcl1_borrowed_f">'Table 6'!$AX$30</definedName>
    <definedName name="personnel_nonteach_guidancesrvspcl1_borrowed_m">'Table 6'!$AU$30</definedName>
    <definedName name="personnel_nonteach_guidancesrvspcl1_detailed_es">'Table 6'!$AH$30</definedName>
    <definedName name="personnel_nonteach_guidancesrvspcl1_detailed_hs">'Table 6'!$AE$30</definedName>
    <definedName name="personnel_nonteach_guidancesrvspcl1_detailed_outdiv">'Table 6'!$AK$30</definedName>
    <definedName name="personnel_nonteach_guidancesrvspcl1_onleave">'Table 6'!$Y$30</definedName>
    <definedName name="personnel_nonteach_guidancesrvspcl1_psipop">'Table 6'!$M$30</definedName>
    <definedName name="personnel_nonteach_guidancesrvspcl1_vacant">'Table 6'!$AB$30</definedName>
    <definedName name="personnel_nonteach_guidancesrvspcl2_actual_f">'Table 6'!$S$29</definedName>
    <definedName name="personnel_nonteach_guidancesrvspcl2_actual_m">'Table 6'!$P$29</definedName>
    <definedName name="personnel_nonteach_guidancesrvspcl2_psipop">'Table 6'!$M$29</definedName>
    <definedName name="personnel_nonteach_heo1_actual_f">'Table 6'!$S$43</definedName>
    <definedName name="personnel_nonteach_heo1_actual_m">'Table 6'!$P$43</definedName>
    <definedName name="personnel_nonteach_heo1_borrowed_f">'Table 6'!$AX$43</definedName>
    <definedName name="personnel_nonteach_heo1_borrowed_m">'Table 6'!$AU$43</definedName>
    <definedName name="personnel_nonteach_heo1_detailed_es">'Table 6'!$AH$43</definedName>
    <definedName name="personnel_nonteach_heo1_detailed_hs">'Table 6'!$AE$43</definedName>
    <definedName name="personnel_nonteach_heo1_detailed_outdiv">'Table 6'!$AK$43</definedName>
    <definedName name="personnel_nonteach_heo1_onleave">'Table 6'!$Y$43</definedName>
    <definedName name="personnel_nonteach_heo1_psipop">'Table 6'!$M$43</definedName>
    <definedName name="personnel_nonteach_heo1_vacant">'Table 6'!$AB$43</definedName>
    <definedName name="personnel_nonteach_ht1_actual_f">'Table 6'!$S$22</definedName>
    <definedName name="personnel_nonteach_ht1_actual_m">'Table 6'!$P$22</definedName>
    <definedName name="personnel_nonteach_ht1_borrowed_f">'Table 6'!$AX$22</definedName>
    <definedName name="personnel_nonteach_ht1_borrowed_m">'Table 6'!$AU$22</definedName>
    <definedName name="personnel_nonteach_ht1_detailed_es">'Table 6'!$AH$22</definedName>
    <definedName name="personnel_nonteach_ht1_detailed_hs">'Table 6'!$AE$22</definedName>
    <definedName name="personnel_nonteach_ht1_detailed_outdiv">'Table 6'!$AK$22</definedName>
    <definedName name="personnel_nonteach_ht1_onleave">'Table 6'!$Y$22</definedName>
    <definedName name="personnel_nonteach_ht1_psipop">'Table 6'!$M$22</definedName>
    <definedName name="personnel_nonteach_ht1_vacant">'Table 6'!$AB$22</definedName>
    <definedName name="personnel_nonteach_ht2_actual_f">'Table 6'!$S$21</definedName>
    <definedName name="personnel_nonteach_ht2_actual_m">'Table 6'!$P$21</definedName>
    <definedName name="personnel_nonteach_ht2_borrowed_f">'Table 6'!$AX$21</definedName>
    <definedName name="personnel_nonteach_ht2_borrowed_m">'Table 6'!$AU$21</definedName>
    <definedName name="personnel_nonteach_ht2_detailed_es">'Table 6'!$AH$21</definedName>
    <definedName name="personnel_nonteach_ht2_detailed_hs">'Table 6'!$AE$21</definedName>
    <definedName name="personnel_nonteach_ht2_detailed_outdiv">'Table 6'!$AK$21</definedName>
    <definedName name="personnel_nonteach_ht2_onleave">'Table 6'!$Y$21</definedName>
    <definedName name="personnel_nonteach_ht2_psipop">'Table 6'!$M$21</definedName>
    <definedName name="personnel_nonteach_ht2_vacant">'Table 6'!$AB$21</definedName>
    <definedName name="personnel_nonteach_ht3_actual_f">'Table 6'!$S$20</definedName>
    <definedName name="personnel_nonteach_ht3_actual_m">'Table 6'!$P$20</definedName>
    <definedName name="personnel_nonteach_ht3_borrowed_f">'Table 6'!$AX$20</definedName>
    <definedName name="personnel_nonteach_ht3_borrowed_m">'Table 6'!$AU$20</definedName>
    <definedName name="personnel_nonteach_ht3_detailed_es">'Table 6'!$AH$20</definedName>
    <definedName name="personnel_nonteach_ht3_detailed_hs">'Table 6'!$AE$20</definedName>
    <definedName name="personnel_nonteach_ht3_detailed_outdiv">'Table 6'!$AK$20</definedName>
    <definedName name="personnel_nonteach_ht3_onleave">'Table 6'!$Y$20</definedName>
    <definedName name="personnel_nonteach_ht3_psipop">'Table 6'!$M$20</definedName>
    <definedName name="personnel_nonteach_ht3_vacant">'Table 6'!$AB$20</definedName>
    <definedName name="personnel_nonteach_ht4_actual_f">'Table 6'!$S$19</definedName>
    <definedName name="personnel_nonteach_ht4_actual_m">'Table 6'!$P$19</definedName>
    <definedName name="personnel_nonteach_ht4_borrowed_f">'Table 6'!$AX$19</definedName>
    <definedName name="personnel_nonteach_ht4_borrowed_m">'Table 6'!$AU$19</definedName>
    <definedName name="personnel_nonteach_ht4_detailed_es">'Table 6'!$AH$19</definedName>
    <definedName name="personnel_nonteach_ht4_detailed_hs">'Table 6'!$AE$19</definedName>
    <definedName name="personnel_nonteach_ht4_detailed_outdiv">'Table 6'!$AK$19</definedName>
    <definedName name="personnel_nonteach_ht4_onleave">'Table 6'!$Y$19</definedName>
    <definedName name="personnel_nonteach_ht4_psipop">'Table 6'!$M$19</definedName>
    <definedName name="personnel_nonteach_ht4_vacant">'Table 6'!$AB$19</definedName>
    <definedName name="personnel_nonteach_ht5_actual_f">'Table 6'!$S$18</definedName>
    <definedName name="personnel_nonteach_ht5_actual_m">'Table 6'!$P$18</definedName>
    <definedName name="personnel_nonteach_ht5_borrowed_f">'Table 6'!$AX$18</definedName>
    <definedName name="personnel_nonteach_ht5_borrowed_m">'Table 6'!$AU$18</definedName>
    <definedName name="personnel_nonteach_ht5_detailed_es">'Table 6'!$AH$18</definedName>
    <definedName name="personnel_nonteach_ht5_detailed_hs">'Table 6'!$AE$18</definedName>
    <definedName name="personnel_nonteach_ht5_detailed_outdiv">'Table 6'!$AK$18</definedName>
    <definedName name="personnel_nonteach_ht5_onleave">'Table 6'!$Y$18</definedName>
    <definedName name="personnel_nonteach_ht5_psipop">'Table 6'!$M$18</definedName>
    <definedName name="personnel_nonteach_ht5_vacant">'Table 6'!$AB$18</definedName>
    <definedName name="personnel_nonteach_ht6_actual_f">'Table 6'!$S$17</definedName>
    <definedName name="personnel_nonteach_ht6_actual_m">'Table 6'!$P$17</definedName>
    <definedName name="personnel_nonteach_ht6_borrowed_f">'Table 6'!$AX$17</definedName>
    <definedName name="personnel_nonteach_ht6_borrowed_m">'Table 6'!$AU$17</definedName>
    <definedName name="personnel_nonteach_ht6_detailed_es">'Table 6'!$AH$17</definedName>
    <definedName name="personnel_nonteach_ht6_detailed_hs">'Table 6'!$AE$17</definedName>
    <definedName name="personnel_nonteach_ht6_detailed_outdiv">'Table 6'!$AK$17</definedName>
    <definedName name="personnel_nonteach_ht6_onleave">'Table 6'!$Y$17</definedName>
    <definedName name="personnel_nonteach_ht6_psipop">'Table 6'!$M$17</definedName>
    <definedName name="personnel_nonteach_ht6_vacant">'Table 6'!$AB$17</definedName>
    <definedName name="personnel_nonteach_leo1_actual_f">'Table 6'!$S$45</definedName>
    <definedName name="personnel_nonteach_leo1_actual_m">'Table 6'!$P$45</definedName>
    <definedName name="personnel_nonteach_leo1_borrowed_f">'Table 6'!$AX$45</definedName>
    <definedName name="personnel_nonteach_leo1_borrowed_m">'Table 6'!$AU$45</definedName>
    <definedName name="personnel_nonteach_leo1_detailed_es">'Table 6'!$AH$45</definedName>
    <definedName name="personnel_nonteach_leo1_detailed_hs">'Table 6'!$AE$45</definedName>
    <definedName name="personnel_nonteach_leo1_detailed_outdiv">'Table 6'!$AK$45</definedName>
    <definedName name="personnel_nonteach_leo1_onleave">'Table 6'!$Y$45</definedName>
    <definedName name="personnel_nonteach_leo1_psipop">'Table 6'!$M$45</definedName>
    <definedName name="personnel_nonteach_leo1_vacant">'Table 6'!$AB$45</definedName>
    <definedName name="personnel_nonteach_pdo1_actual_f">'Table 6'!$S$35</definedName>
    <definedName name="personnel_nonteach_pdo1_actual_m">'Table 6'!$P$35</definedName>
    <definedName name="personnel_nonteach_pdo1_borrowed_f">'Table 6'!$AX$35</definedName>
    <definedName name="personnel_nonteach_pdo1_borrowed_m">'Table 6'!$AU$35</definedName>
    <definedName name="personnel_nonteach_pdo1_detailed_es">'Table 6'!$AH$35</definedName>
    <definedName name="personnel_nonteach_pdo1_detailed_hs">'Table 6'!$AE$35</definedName>
    <definedName name="personnel_nonteach_pdo1_detailed_outdiv">'Table 6'!$AK$35</definedName>
    <definedName name="personnel_nonteach_pdo1_onleave">'Table 6'!$Y$35</definedName>
    <definedName name="personnel_nonteach_pdo1_psipop">'Table 6'!$M$35</definedName>
    <definedName name="personnel_nonteach_pdo1_vacant">'Table 6'!$AB$35</definedName>
    <definedName name="personnel_nonteach_registrar1_actual_f">'Table 6'!$S$36</definedName>
    <definedName name="personnel_nonteach_registrar1_actual_m">'Table 6'!$P$36</definedName>
    <definedName name="personnel_nonteach_registrar1_borrowed_f">'Table 6'!$AX$36</definedName>
    <definedName name="personnel_nonteach_registrar1_borrowed_m">'Table 6'!$AU$36</definedName>
    <definedName name="personnel_nonteach_registrar1_detailed_es">'Table 6'!$AH$36</definedName>
    <definedName name="personnel_nonteach_registrar1_detailed_hs">'Table 6'!$AE$36</definedName>
    <definedName name="personnel_nonteach_registrar1_detailed_outdiv">'Table 6'!$AK$36</definedName>
    <definedName name="personnel_nonteach_registrar1_onleave">'Table 6'!$Y$36</definedName>
    <definedName name="personnel_nonteach_registrar1_psipop">'Table 6'!$M$36</definedName>
    <definedName name="personnel_nonteach_registrar1_vacant">'Table 6'!$AB$36</definedName>
    <definedName name="personnel_nonteach_sap1_actual_f">'Table 6'!$S$16</definedName>
    <definedName name="personnel_nonteach_sap1_actual_m">'Table 6'!$P$16</definedName>
    <definedName name="personnel_nonteach_sap1_borrowed_f">'Table 6'!$AX$16</definedName>
    <definedName name="personnel_nonteach_sap1_borrowed_m">'Table 6'!$AU$16</definedName>
    <definedName name="personnel_nonteach_sap1_detailed_es">'Table 6'!$AH$16</definedName>
    <definedName name="personnel_nonteach_sap1_detailed_hs">'Table 6'!$AE$16</definedName>
    <definedName name="personnel_nonteach_sap1_detailed_outdiv">'Table 6'!$AK$16</definedName>
    <definedName name="personnel_nonteach_sap1_onleave">'Table 6'!$Y$16</definedName>
    <definedName name="personnel_nonteach_sap1_psipop">'Table 6'!$M$16</definedName>
    <definedName name="personnel_nonteach_sap1_vacant">'Table 6'!$AB$16</definedName>
    <definedName name="personnel_nonteach_sap2_actual_f">'Table 6'!$S$15</definedName>
    <definedName name="personnel_nonteach_sap2_actual_m">'Table 6'!$P$15</definedName>
    <definedName name="personnel_nonteach_sap2_borrowed_f">'Table 6'!$AX$15</definedName>
    <definedName name="personnel_nonteach_sap2_borrowed_m">'Table 6'!$AU$15</definedName>
    <definedName name="personnel_nonteach_sap2_detailed_es">'Table 6'!$AH$15</definedName>
    <definedName name="personnel_nonteach_sap2_detailed_hs">'Table 6'!$AE$15</definedName>
    <definedName name="personnel_nonteach_sap2_detailed_outdiv">'Table 6'!$AK$15</definedName>
    <definedName name="personnel_nonteach_sap2_onleave">'Table 6'!$Y$15</definedName>
    <definedName name="personnel_nonteach_sap2_psipop">'Table 6'!$M$15</definedName>
    <definedName name="personnel_nonteach_sap2_vacant">'Table 6'!$AB$15</definedName>
    <definedName name="personnel_nonteach_sap3_actual_f">'Table 6'!$S$14</definedName>
    <definedName name="personnel_nonteach_sap3_actual_m">'Table 6'!$P$14</definedName>
    <definedName name="personnel_nonteach_sap3_borrowed_f">'Table 6'!$AX$14</definedName>
    <definedName name="personnel_nonteach_sap3_borrowed_m">'Table 6'!$AU$14</definedName>
    <definedName name="personnel_nonteach_sap3_detailed_es">'Table 6'!$AH$14</definedName>
    <definedName name="personnel_nonteach_sap3_detailed_hs">'Table 6'!$AE$14</definedName>
    <definedName name="personnel_nonteach_sap3_detailed_outdiv">'Table 6'!$AK$14</definedName>
    <definedName name="personnel_nonteach_sap3_onleave">'Table 6'!$Y$14</definedName>
    <definedName name="personnel_nonteach_sap3_psipop">'Table 6'!$M$14</definedName>
    <definedName name="personnel_nonteach_sap3_vacant">'Table 6'!$AB$14</definedName>
    <definedName name="personnel_nonteach_schlibr1_actual_f">'Table 6'!$S$28</definedName>
    <definedName name="personnel_nonteach_schlibr1_actual_m">'Table 6'!$P$28</definedName>
    <definedName name="personnel_nonteach_schlibr1_borrowed_f">'Table 6'!$AX$28</definedName>
    <definedName name="personnel_nonteach_schlibr1_borrowed_m">'Table 6'!$AU$28</definedName>
    <definedName name="personnel_nonteach_schlibr1_detailed_es">'Table 6'!$AH$28</definedName>
    <definedName name="personnel_nonteach_schlibr1_detailed_hs">'Table 6'!$AE$28</definedName>
    <definedName name="personnel_nonteach_schlibr1_detailed_outdiv">'Table 6'!$AK$28</definedName>
    <definedName name="personnel_nonteach_schlibr1_onleave">'Table 6'!$Y$28</definedName>
    <definedName name="personnel_nonteach_schlibr1_psipop">'Table 6'!$M$28</definedName>
    <definedName name="personnel_nonteach_schlibr1_vacant">'Table 6'!$AB$28</definedName>
    <definedName name="personnel_nonteach_schlibr2_actual_f">'Table 6'!$S$27</definedName>
    <definedName name="personnel_nonteach_schlibr2_actual_m">'Table 6'!$P$27</definedName>
    <definedName name="personnel_nonteach_schlibr2_borrowed_f">'Table 6'!$AX$27</definedName>
    <definedName name="personnel_nonteach_schlibr2_borrowed_m">'Table 6'!$AU$27</definedName>
    <definedName name="personnel_nonteach_schlibr2_detailed_es">'Table 6'!$AH$27</definedName>
    <definedName name="personnel_nonteach_schlibr2_detailed_hs">'Table 6'!$AE$27</definedName>
    <definedName name="personnel_nonteach_schlibr2_detailed_outdiv">'Table 6'!$AK$27</definedName>
    <definedName name="personnel_nonteach_schlibr2_onleave">'Table 6'!$Y$27</definedName>
    <definedName name="personnel_nonteach_schlibr2_psipop">'Table 6'!$M$27</definedName>
    <definedName name="personnel_nonteach_schlibr2_vacant">'Table 6'!$AB$27</definedName>
    <definedName name="personnel_nonteach_schlibr3_actual_f">'Table 6'!$S$26</definedName>
    <definedName name="personnel_nonteach_schlibr3_actual_m">'Table 6'!$P$26</definedName>
    <definedName name="personnel_nonteach_schlibr3_borrowed_f">'Table 6'!$AX$26</definedName>
    <definedName name="personnel_nonteach_schlibr3_borrowed_m">'Table 6'!$AU$26</definedName>
    <definedName name="personnel_nonteach_schlibr3_detailed_es">'Table 6'!$AH$26</definedName>
    <definedName name="personnel_nonteach_schlibr3_detailed_hs">'Table 6'!$AE$26</definedName>
    <definedName name="personnel_nonteach_schlibr3_detailed_outdiv">'Table 6'!$AK$26</definedName>
    <definedName name="personnel_nonteach_schlibr3_onleave">'Table 6'!$Y$26</definedName>
    <definedName name="personnel_nonteach_schlibr3_psipop">'Table 6'!$M$26</definedName>
    <definedName name="personnel_nonteach_schlibr3_vacant">'Table 6'!$AB$26</definedName>
    <definedName name="personnel_nonteach_schnurse_actual_f">'Table 6'!$S$23</definedName>
    <definedName name="personnel_nonteach_schnurse_actual_m">'Table 6'!$P$23</definedName>
    <definedName name="personnel_nonteach_schnurse_borrowed_f">'Table 6'!$AX$23</definedName>
    <definedName name="personnel_nonteach_schnurse_borrowed_m">'Table 6'!$AU$23</definedName>
    <definedName name="personnel_nonteach_schnurse_detailed_es">'Table 6'!$AH$23</definedName>
    <definedName name="personnel_nonteach_schnurse_detailed_hs">'Table 6'!$AE$23</definedName>
    <definedName name="personnel_nonteach_schnurse_detailed_outdiv">'Table 6'!$AK$23</definedName>
    <definedName name="personnel_nonteach_schnurse_onleave">'Table 6'!$Y$23</definedName>
    <definedName name="personnel_nonteach_schnurse_psipop">'Table 6'!$M$23</definedName>
    <definedName name="personnel_nonteach_schnurse_vacant">'Table 6'!$AB$23</definedName>
    <definedName name="personnel_nonteach_seniorbk_actual_f">'Table 6'!$S$39</definedName>
    <definedName name="personnel_nonteach_seniorbk_actual_m">'Table 6'!$P$39</definedName>
    <definedName name="personnel_nonteach_seniorbk_borrowed_f">'Table 6'!$AX$39</definedName>
    <definedName name="personnel_nonteach_seniorbk_borrowed_m">'Table 6'!$AU$39</definedName>
    <definedName name="personnel_nonteach_seniorbk_detailed_es">'Table 6'!$AH$39</definedName>
    <definedName name="personnel_nonteach_seniorbk_detailed_hs">'Table 6'!$AE$39</definedName>
    <definedName name="personnel_nonteach_seniorbk_detailed_outdiv">'Table 6'!$AK$39</definedName>
    <definedName name="personnel_nonteach_seniorbk_onleave">'Table 6'!$Y$39</definedName>
    <definedName name="personnel_nonteach_seniorbk_psipop">'Table 6'!$M$39</definedName>
    <definedName name="personnel_nonteach_seniorbk_vacant">'Table 6'!$AB$39</definedName>
    <definedName name="personnel_nonteach_sg1_actual_f">'Table 6'!$S$44</definedName>
    <definedName name="personnel_nonteach_sg1_actual_m">'Table 6'!$P$44</definedName>
    <definedName name="personnel_nonteach_sg1_borrowed_f">'Table 6'!$AX$44</definedName>
    <definedName name="personnel_nonteach_sg1_borrowed_m">'Table 6'!$AU$44</definedName>
    <definedName name="personnel_nonteach_sg1_detailed_es">'Table 6'!$AH$44</definedName>
    <definedName name="personnel_nonteach_sg1_detailed_hs">'Table 6'!$AE$44</definedName>
    <definedName name="personnel_nonteach_sg1_detailed_outdiv">'Table 6'!$AK$44</definedName>
    <definedName name="personnel_nonteach_sg1_onleave">'Table 6'!$Y$44</definedName>
    <definedName name="personnel_nonteach_sg1_psipop">'Table 6'!$M$44</definedName>
    <definedName name="personnel_nonteach_sg1_vacant">'Table 6'!$AB$44</definedName>
    <definedName name="personnel_nonteach_sp1_actual_f">'Table 6'!$S$13</definedName>
    <definedName name="personnel_nonteach_sp1_actual_m">'Table 6'!$P$13</definedName>
    <definedName name="personnel_nonteach_sp1_borrowed_f">'Table 6'!$AX$13</definedName>
    <definedName name="personnel_nonteach_sp1_borrowed_m">'Table 6'!$AU$13</definedName>
    <definedName name="personnel_nonteach_sp1_detailed_es">'Table 6'!$AH$13</definedName>
    <definedName name="personnel_nonteach_sp1_detailed_hs">'Table 6'!$AE$13</definedName>
    <definedName name="personnel_nonteach_sp1_detailed_outdiv">'Table 6'!$AK$13</definedName>
    <definedName name="personnel_nonteach_sp1_onleave">'Table 6'!$Y$13</definedName>
    <definedName name="personnel_nonteach_sp1_psipop">'Table 6'!$M$13</definedName>
    <definedName name="personnel_nonteach_sp1_vacant">'Table 6'!$AB$13</definedName>
    <definedName name="personnel_nonteach_sp2_actual_f">'Table 6'!$S$12</definedName>
    <definedName name="personnel_nonteach_sp2_actual_m">'Table 6'!$P$12</definedName>
    <definedName name="personnel_nonteach_sp2_borrowed_f">'Table 6'!$AX$12</definedName>
    <definedName name="personnel_nonteach_sp2_borrowed_m">'Table 6'!$AU$12</definedName>
    <definedName name="personnel_nonteach_sp2_detailed_es">'Table 6'!$AH$12</definedName>
    <definedName name="personnel_nonteach_sp2_detailed_hs">'Table 6'!$AE$12</definedName>
    <definedName name="personnel_nonteach_sp2_detailed_outdiv">'Table 6'!$AK$12</definedName>
    <definedName name="personnel_nonteach_sp2_onleave">'Table 6'!$Y$12</definedName>
    <definedName name="personnel_nonteach_sp2_psipop">'Table 6'!$M$12</definedName>
    <definedName name="personnel_nonteach_sp2_vacant">'Table 6'!$AB$12</definedName>
    <definedName name="personnel_nonteach_sp3_actual_f">'Table 6'!$S$11</definedName>
    <definedName name="personnel_nonteach_sp3_actual_m">'Table 6'!$P$11</definedName>
    <definedName name="personnel_nonteach_sp3_borrowed_f">'Table 6'!$AX$11</definedName>
    <definedName name="personnel_nonteach_sp3_borrowed_m">'Table 6'!$AU$11</definedName>
    <definedName name="personnel_nonteach_sp3_detailed_es">'Table 6'!$AH$11</definedName>
    <definedName name="personnel_nonteach_sp3_detailed_hs">'Table 6'!$AE$11</definedName>
    <definedName name="personnel_nonteach_sp3_detailed_outdiv">'Table 6'!$AK$11</definedName>
    <definedName name="personnel_nonteach_sp3_onleave">'Table 6'!$Y$11</definedName>
    <definedName name="personnel_nonteach_sp3_psipop">'Table 6'!$M$11</definedName>
    <definedName name="personnel_nonteach_sp3_vacant">'Table 6'!$AB$11</definedName>
    <definedName name="personnel_nonteach_sp4_actual_f">'Table 6'!$S$10</definedName>
    <definedName name="personnel_nonteach_sp4_actual_m">'Table 6'!$P$10</definedName>
    <definedName name="personnel_nonteach_sp4_borrowed_f">'Table 6'!$AX$10</definedName>
    <definedName name="personnel_nonteach_sp4_borrowed_m">'Table 6'!$AU$10</definedName>
    <definedName name="personnel_nonteach_sp4_detailed_es">'Table 6'!$AH$10</definedName>
    <definedName name="personnel_nonteach_sp4_detailed_hs">'Table 6'!$AE$10</definedName>
    <definedName name="personnel_nonteach_sp4_detailed_outdiv">'Table 6'!$AK$10</definedName>
    <definedName name="personnel_nonteach_sp4_onleave">'Table 6'!$Y$10</definedName>
    <definedName name="personnel_nonteach_sp4_psipop">'Table 6'!$M$10</definedName>
    <definedName name="personnel_nonteach_sp4_vacant">'Table 6'!$AB$10</definedName>
    <definedName name="personnel_nonteach_supplofcr1_actual_f">'Table 6'!$S$38</definedName>
    <definedName name="personnel_nonteach_supplofcr1_actual_m">'Table 6'!$P$38</definedName>
    <definedName name="personnel_nonteach_supplofcr1_borrowed_f">'Table 6'!$AX$38</definedName>
    <definedName name="personnel_nonteach_supplofcr1_borrowed_m">'Table 6'!$AU$38</definedName>
    <definedName name="personnel_nonteach_supplofcr1_detailed_es">'Table 6'!$AH$38</definedName>
    <definedName name="personnel_nonteach_supplofcr1_detailed_hs">'Table 6'!$AE$38</definedName>
    <definedName name="personnel_nonteach_supplofcr1_detailed_outdiv">'Table 6'!$AK$38</definedName>
    <definedName name="personnel_nonteach_supplofcr1_onleave">'Table 6'!$Y$38</definedName>
    <definedName name="personnel_nonteach_supplofcr1_psipop">'Table 6'!$M$38</definedName>
    <definedName name="personnel_nonteach_supplofcr1_vacant">'Table 6'!$AB$38</definedName>
    <definedName name="personnel_nonteach_uw1_actual_f">'Table 6'!$S$46</definedName>
    <definedName name="personnel_nonteach_uw1_actual_m">'Table 6'!$P$46</definedName>
    <definedName name="personnel_nonteach_uw1_borrowed_f">'Table 6'!$AX$46</definedName>
    <definedName name="personnel_nonteach_uw1_borrowed_m">'Table 6'!$AU$46</definedName>
    <definedName name="personnel_nonteach_uw1_detailed_es">'Table 6'!$AH$46</definedName>
    <definedName name="personnel_nonteach_uw1_detailed_hs">'Table 6'!$AE$46</definedName>
    <definedName name="personnel_nonteach_uw1_detailed_outdiv">'Table 6'!$AK$46</definedName>
    <definedName name="personnel_nonteach_uw1_onleave">'Table 6'!$Y$46</definedName>
    <definedName name="personnel_nonteach_uw1_psipop">'Table 6'!$M$46</definedName>
    <definedName name="personnel_nonteach_uw1_vacant">'Table 6'!$AB$46</definedName>
    <definedName name="personnel_teach_mt1_actual_f">'Table 7'!$S$13</definedName>
    <definedName name="personnel_teach_mt1_actual_m">'Table 7'!$P$13</definedName>
    <definedName name="personnel_teach_mt1_borrowed_f">'Table 7'!$AX$13</definedName>
    <definedName name="personnel_teach_mt1_borrowed_m">'Table 7'!$AU$13</definedName>
    <definedName name="personnel_teach_mt1_contrac_full">'Tables 8-9'!$Z$10</definedName>
    <definedName name="personnel_teach_mt1_contrac_part">'Tables 8-9'!$AD$10</definedName>
    <definedName name="personnel_teach_mt1_detailed_es">'Table 7'!$AH$13</definedName>
    <definedName name="personnel_teach_mt1_detailed_hs">'Table 7'!$AE$13</definedName>
    <definedName name="personnel_teach_mt1_detailed_outdiv">'Table 7'!$AK$13</definedName>
    <definedName name="personnel_teach_mt1_onleave">'Table 7'!$Y$13</definedName>
    <definedName name="personnel_teach_mt1_permanent">'Tables 8-9'!$R$10</definedName>
    <definedName name="personnel_teach_mt1_provisional">'Tables 8-9'!$V$10</definedName>
    <definedName name="personnel_teach_mt1_psipop">'Tables 8-9'!$L$10</definedName>
    <definedName name="personnel_teach_mt1_psipop_latest">'Table 7'!$M$13</definedName>
    <definedName name="personnel_teach_mt1_vacant">'Table 7'!$AB$13</definedName>
    <definedName name="personnel_teach_mt2_actual_f">'Table 7'!$S$12</definedName>
    <definedName name="personnel_teach_mt2_actual_m">'Table 7'!$P$12</definedName>
    <definedName name="personnel_teach_mt2_borrowed_f">'Table 7'!$AX$12</definedName>
    <definedName name="personnel_teach_mt2_borrowed_m">'Table 7'!$AU$12</definedName>
    <definedName name="personnel_teach_mt2_contrac_full">'Tables 8-9'!$Z$9</definedName>
    <definedName name="personnel_teach_mt2_contrac_part">'Tables 8-9'!$AD$9</definedName>
    <definedName name="personnel_teach_mt2_detailed_es">'Table 7'!$AH$12</definedName>
    <definedName name="personnel_teach_mt2_detailed_hs">'Table 7'!$AE$12</definedName>
    <definedName name="personnel_teach_mt2_detailed_outdiv">'Table 7'!$AK$12</definedName>
    <definedName name="personnel_teach_mt2_onleave">'Table 7'!$Y$12</definedName>
    <definedName name="personnel_teach_mt2_permanent">'Tables 8-9'!$R$9</definedName>
    <definedName name="personnel_teach_mt2_provisional">'Tables 8-9'!$V$9</definedName>
    <definedName name="personnel_teach_mt2_psipop">'Tables 8-9'!$L$9</definedName>
    <definedName name="personnel_teach_mt2_psipop_latest">'Table 7'!$M$12</definedName>
    <definedName name="personnel_teach_mt2_vacant">'Table 7'!$AB$12</definedName>
    <definedName name="personnel_teach_mt3_actual_f">'Table 7'!$S$11</definedName>
    <definedName name="personnel_teach_mt3_actual_m">'Table 7'!$P$11</definedName>
    <definedName name="personnel_teach_mt3_borrowed_f">'Table 7'!$AX$11</definedName>
    <definedName name="personnel_teach_mt3_borrowed_m">'Table 7'!$AU$11</definedName>
    <definedName name="personnel_teach_mt3_contrac_full">'Tables 8-9'!$Z$8</definedName>
    <definedName name="personnel_teach_mt3_contrac_part">'Tables 8-9'!$AD$8</definedName>
    <definedName name="personnel_teach_mt3_detailed_es">'Table 7'!$AH$11</definedName>
    <definedName name="personnel_teach_mt3_detailed_hs">'Table 7'!$AE$11</definedName>
    <definedName name="personnel_teach_mt3_detailed_outdiv">'Table 7'!$AK$11</definedName>
    <definedName name="personnel_teach_mt3_onleave">'Table 7'!$Y$11</definedName>
    <definedName name="personnel_teach_mt3_permanent">'Tables 8-9'!$R$8</definedName>
    <definedName name="personnel_teach_mt3_provisional">'Tables 8-9'!$V$8</definedName>
    <definedName name="personnel_teach_mt3_psipop">'Tables 8-9'!$L$8</definedName>
    <definedName name="personnel_teach_mt3_psipop_latest">'Table 7'!$M$11</definedName>
    <definedName name="personnel_teach_mt3_vacant">'Table 7'!$AB$11</definedName>
    <definedName name="personnel_teach_mt4_actual_f">'Table 7'!$S$10</definedName>
    <definedName name="personnel_teach_mt4_actual_m">'Table 7'!$P$10</definedName>
    <definedName name="personnel_teach_mt4_borrowed_f">'Table 7'!$AX$10</definedName>
    <definedName name="personnel_teach_mt4_borrowed_m">'Table 7'!$AU$10</definedName>
    <definedName name="personnel_teach_mt4_contrac_full">'Tables 8-9'!$Z$7</definedName>
    <definedName name="personnel_teach_mt4_contrac_part">'Tables 8-9'!$AD$7</definedName>
    <definedName name="personnel_teach_mt4_detailed_es">'Table 7'!$AH$10</definedName>
    <definedName name="personnel_teach_mt4_detailed_hs">'Table 7'!$AE$10</definedName>
    <definedName name="personnel_teach_mt4_detailed_outdiv">'Table 7'!$AK$10</definedName>
    <definedName name="personnel_teach_mt4_onleave">'Table 7'!$Y$10</definedName>
    <definedName name="personnel_teach_mt4_permanent">'Tables 8-9'!$R$7</definedName>
    <definedName name="personnel_teach_mt4_provisional">'Tables 8-9'!$V$7</definedName>
    <definedName name="personnel_teach_mt4_psipop">'Tables 8-9'!$L$7</definedName>
    <definedName name="personnel_teach_mt4_psipop_latest">'Table 7'!$M$10</definedName>
    <definedName name="personnel_teach_mt4_vacant">'Table 7'!$AB$10</definedName>
    <definedName name="personnel_teach_sst1_actual_f">'Table 7'!$S$17</definedName>
    <definedName name="personnel_teach_sst1_actual_m">'Table 7'!$P$17</definedName>
    <definedName name="personnel_teach_sst1_borrowed_f">'Table 7'!$AX$17</definedName>
    <definedName name="personnel_teach_sst1_borrowed_m">'Table 7'!$AU$17</definedName>
    <definedName name="personnel_teach_sst1_contrac_full">'Tables 8-9'!$Z$14</definedName>
    <definedName name="personnel_teach_sst1_contrac_part">'Tables 8-9'!$AD$14</definedName>
    <definedName name="personnel_teach_sst1_detailed_es">'Table 7'!$AH$17</definedName>
    <definedName name="personnel_teach_sst1_detailed_hs">'Table 7'!$AE$17</definedName>
    <definedName name="personnel_teach_sst1_detailed_outdiv">'Table 7'!$AK$17</definedName>
    <definedName name="personnel_teach_sst1_onleave">'Table 7'!$Y$17</definedName>
    <definedName name="personnel_teach_sst1_permanent">'Tables 8-9'!$R$14</definedName>
    <definedName name="personnel_teach_sst1_provisional">'Tables 8-9'!$V$14</definedName>
    <definedName name="personnel_teach_sst1_psipop">'Tables 8-9'!$L$14</definedName>
    <definedName name="personnel_teach_sst1_psipop_latest">'Table 7'!$M$17</definedName>
    <definedName name="personnel_teach_sst1_vacant">'Table 7'!$AB$17</definedName>
    <definedName name="personnel_teach_t1_actual_f">'Table 7'!$S$16</definedName>
    <definedName name="personnel_teach_t1_actual_m">'Table 7'!$P$16</definedName>
    <definedName name="personnel_teach_t1_borrowed_f">'Table 7'!$AX$16</definedName>
    <definedName name="personnel_teach_t1_borrowed_m">'Table 7'!$AU$16</definedName>
    <definedName name="personnel_teach_t1_contrac_full">'Tables 8-9'!$Z$13</definedName>
    <definedName name="personnel_teach_t1_contrac_part">'Tables 8-9'!$AD$13</definedName>
    <definedName name="personnel_teach_t1_detailed_es">'Table 7'!$AH$16</definedName>
    <definedName name="personnel_teach_t1_detailed_hs">'Table 7'!$AE$16</definedName>
    <definedName name="personnel_teach_t1_detailed_outdiv">'Table 7'!$AK$16</definedName>
    <definedName name="personnel_teach_t1_onleave">'Table 7'!$Y$16</definedName>
    <definedName name="personnel_teach_t1_permanent">'Tables 8-9'!$R$13</definedName>
    <definedName name="personnel_teach_t1_provisional">'Tables 8-9'!$V$13</definedName>
    <definedName name="personnel_teach_t1_psipop">'Tables 8-9'!$L$13</definedName>
    <definedName name="personnel_teach_t1_psipop_latest">'Table 7'!$M$16</definedName>
    <definedName name="personnel_teach_t1_vacant">'Table 7'!$AB$16</definedName>
    <definedName name="personnel_teach_t2_actual_f">'Table 7'!$S$15</definedName>
    <definedName name="personnel_teach_t2_actual_m">'Table 7'!$P$15</definedName>
    <definedName name="personnel_teach_t2_borrowed_f">'Table 7'!$AX$15</definedName>
    <definedName name="personnel_teach_t2_borrowed_m">'Table 7'!$AU$15</definedName>
    <definedName name="personnel_teach_t2_contrac_full">'Tables 8-9'!$Z$12</definedName>
    <definedName name="personnel_teach_t2_contrac_part">'Tables 8-9'!$AD$12</definedName>
    <definedName name="personnel_teach_t2_detailed_es">'Table 7'!$AH$15</definedName>
    <definedName name="personnel_teach_t2_detailed_hs">'Table 7'!$AE$15</definedName>
    <definedName name="personnel_teach_t2_detailed_outdiv">'Table 7'!$AK$15</definedName>
    <definedName name="personnel_teach_t2_onleave">'Table 7'!$Y$15</definedName>
    <definedName name="personnel_teach_t2_permanent">'Tables 8-9'!$R$12</definedName>
    <definedName name="personnel_teach_t2_provisional">'Tables 8-9'!$V$12</definedName>
    <definedName name="personnel_teach_t2_psipop">'Tables 8-9'!$L$12</definedName>
    <definedName name="personnel_teach_t2_psipop_latest">'Table 7'!$M$15</definedName>
    <definedName name="personnel_teach_t2_vacant">'Table 7'!$AB$15</definedName>
    <definedName name="personnel_teach_t3_actual_f">'Table 7'!$S$14</definedName>
    <definedName name="personnel_teach_t3_actual_m">'Table 7'!$P$14</definedName>
    <definedName name="personnel_teach_t3_borrowed_f">'Table 7'!$AX$14</definedName>
    <definedName name="personnel_teach_t3_borrowed_m">'Table 7'!$AU$14</definedName>
    <definedName name="personnel_teach_t3_contrac_full">'Tables 8-9'!$Z$11</definedName>
    <definedName name="personnel_teach_t3_contrac_part">'Tables 8-9'!$AD$11</definedName>
    <definedName name="personnel_teach_t3_detailed_es">'Table 7'!$AH$14</definedName>
    <definedName name="personnel_teach_t3_detailed_hs">'Table 7'!$AE$14</definedName>
    <definedName name="personnel_teach_t3_detailed_outdiv">'Table 7'!$AK$14</definedName>
    <definedName name="personnel_teach_t3_onleave">'Table 7'!$Y$14</definedName>
    <definedName name="personnel_teach_t3_permanent">'Tables 8-9'!$R$11</definedName>
    <definedName name="personnel_teach_t3_provisional">'Tables 8-9'!$V$11</definedName>
    <definedName name="personnel_teach_t3_psipop">'Tables 8-9'!$L$11</definedName>
    <definedName name="personnel_teach_t3_psipop_latest">'Table 7'!$M$14</definedName>
    <definedName name="personnel_teach_t3_vacant">'Table 7'!$AB$14</definedName>
    <definedName name="phyfacoor_doengr_name">'Table 29-Box 8'!$AJ$24</definedName>
    <definedName name="phyfacoor_doengr_pos">'Table 29-Box 8'!$AN$26</definedName>
    <definedName name="_xlnm.Print_Area" localSheetId="34">'Box 13'!$A$1:$AP$47</definedName>
    <definedName name="_xlnm.Print_Area" localSheetId="35">'Box 14'!$A$1:$AY$35</definedName>
    <definedName name="_xlnm.Print_Area" localSheetId="37">'Box 16'!$A$1:$AZ$51</definedName>
    <definedName name="_xlnm.Print_Area" localSheetId="42">'Box 26'!$A$1:$AJ$54</definedName>
    <definedName name="_xlnm.Print_Area" localSheetId="49">'Box 28 Part 1'!$A$1:$AH$51</definedName>
    <definedName name="_xlnm.Print_Area" localSheetId="51">'Box 28 Part 5'!$A$1:$AJ$41</definedName>
    <definedName name="_xlnm.Print_Area" localSheetId="50">'Box 28 Parts 2-4'!$A$1:$AJ$59</definedName>
    <definedName name="_xlnm.Print_Area" localSheetId="52">'Box 29 Part 1'!$A$1:$AL$52</definedName>
    <definedName name="_xlnm.Print_Area" localSheetId="53">'Box 29 Part 2'!$A$1:$AI$36</definedName>
    <definedName name="_xlnm.Print_Area" localSheetId="54">'Box 30 Part 1'!$A$1:$AL$77</definedName>
    <definedName name="_xlnm.Print_Area" localSheetId="55">'Box 30 Part 2'!$A$1:$AS$77</definedName>
    <definedName name="_xlnm.Print_Area" localSheetId="56">'Box 30 Part 3a'!$A$1:$AQ$69</definedName>
    <definedName name="_xlnm.Print_Area" localSheetId="57">'Box 30 Part 3b'!$A$1:$BD$42</definedName>
    <definedName name="_xlnm.Print_Area" localSheetId="58">'Box 30 Part 3b cont.'!$A$1:$BE$22</definedName>
    <definedName name="_xlnm.Print_Area" localSheetId="60">'Box 31 Part 3a'!$A$1:$AR$62</definedName>
    <definedName name="_xlnm.Print_Area" localSheetId="61">'Box 31 Part 3b'!$A$1:$AU$63</definedName>
    <definedName name="_xlnm.Print_Area" localSheetId="62">'Box 31 Part 3c'!$A$1:$AS$63</definedName>
    <definedName name="_xlnm.Print_Area" localSheetId="63">'Box 31 Part 3d'!$A$1:$AP$43</definedName>
    <definedName name="_xlnm.Print_Area" localSheetId="59">'Box 31 Parts 1-2'!$A$1:$AZ$64</definedName>
    <definedName name="_xlnm.Print_Area" localSheetId="64">'Box 32'!$A$1:$AT$73</definedName>
    <definedName name="_xlnm.Print_Area" localSheetId="22">'Box 7-Table 24'!$A$1:$AV$50</definedName>
    <definedName name="_xlnm.Print_Area" localSheetId="28">'Box 9'!$A$1:$BA$56</definedName>
    <definedName name="_xlnm.Print_Area" localSheetId="29">'Box 9 cont.- Box 10'!$A$1:$BC$43</definedName>
    <definedName name="_xlnm.Print_Area" localSheetId="38">'Boxes 17-18'!$A$1:$AV$38</definedName>
    <definedName name="_xlnm.Print_Area" localSheetId="39">'Boxes 19-20'!$A$1:$AW$45</definedName>
    <definedName name="_xlnm.Print_Area" localSheetId="40">'Boxes 21-23'!$A$1:$AX$46</definedName>
    <definedName name="_xlnm.Print_Area" localSheetId="41">'Boxes 24-25'!$A$1:$BB$43</definedName>
    <definedName name="_xlnm.Print_Area" localSheetId="18">'Boxes 3-5'!$A$1:$AP$61</definedName>
    <definedName name="_xlnm.Print_Area" localSheetId="19">'Table 21-Box 6'!$A$1:$BC$41</definedName>
    <definedName name="_xlnm.Print_Area" localSheetId="23">'Table 25'!$A$1:$AW$48</definedName>
    <definedName name="_xlnm.Print_Area" localSheetId="27">'Table 29-Box 8'!$A$1:$BB$33</definedName>
    <definedName name="_xlnm.Print_Area" localSheetId="44">'Table 35'!$A$1:$AO$47</definedName>
    <definedName name="_xlnm.Print_Area" localSheetId="45">'Table 36'!$A$1:$AY$41</definedName>
    <definedName name="_xlnm.Print_Area" localSheetId="46">'Table 36 cont.'!$A$1:$AW$22</definedName>
    <definedName name="_xlnm.Print_Area" localSheetId="47">'Table 37'!$A$1:$AV$41</definedName>
    <definedName name="_xlnm.Print_Area" localSheetId="48">'Table 37 cont.- Table 38'!$A$1:$AX$28</definedName>
    <definedName name="_xlnm.Print_Area" localSheetId="13">'Tables 13-15'!$A$1:$AU$60</definedName>
    <definedName name="_xlnm.Print_Area" localSheetId="14">'Tables 16-19'!$A$1:$BJ$54</definedName>
    <definedName name="_xlnm.Print_Area" localSheetId="30">'Tables 30 A-B'!$A$1:$AU$48</definedName>
    <definedName name="_xlnm.Print_Area" localSheetId="31">'Tables 30 C &amp; D-Box 11'!$A$1:$AK$53</definedName>
    <definedName name="_xlnm.Print_Area" localSheetId="33">'Tables 32-34'!$A$1:$BN$44</definedName>
    <definedName name="resilince_dev_mphss_train_manual">'Box 31 Part 3d'!$D$12</definedName>
    <definedName name="resilince_num_ccam_arts_ip_f">'Box 31 Part 3b'!$Y$22</definedName>
    <definedName name="resilince_num_ccam_arts_ip_m">'Box 31 Part 3b'!$V$22</definedName>
    <definedName name="resilince_num_ccam_arts_l_f">'Box 31 Part 3b'!$S$22</definedName>
    <definedName name="resilince_num_ccam_arts_l_m">'Box 31 Part 3b'!$P$22</definedName>
    <definedName name="resilince_num_ccam_arts_lwd_f">'Box 31 Part 3b'!$AK$22</definedName>
    <definedName name="resilince_num_ccam_arts_lwd_m">'Box 31 Part 3b'!$AH$22</definedName>
    <definedName name="resilince_num_ccam_arts_muslim_f">'Box 31 Part 3b'!$AE$22</definedName>
    <definedName name="resilince_num_ccam_arts_muslim_m">'Box 31 Part 3b'!$AB$22</definedName>
    <definedName name="resilince_num_ccam_arts_nonteach_per_f">'Box 31 Part 3a'!$AI$31</definedName>
    <definedName name="resilince_num_ccam_arts_nonteach_per_m">'Box 31 Part 3a'!$AF$31</definedName>
    <definedName name="resilince_num_ccam_arts_teach_per_f">'Box 31 Part 3a'!$AC$31</definedName>
    <definedName name="resilince_num_ccam_arts_teach_per_m">'Box 31 Part 3a'!$Z$31</definedName>
    <definedName name="resilince_num_ccam_climate_action_ip_f">'Box 31 Part 3b'!$Y$23</definedName>
    <definedName name="resilince_num_ccam_climate_action_ip_m">'Box 31 Part 3b'!$V$23</definedName>
    <definedName name="resilince_num_ccam_climate_action_l_f">'Box 31 Part 3b'!$S$23</definedName>
    <definedName name="resilince_num_ccam_climate_action_l_m">'Box 31 Part 3b'!$P$23</definedName>
    <definedName name="resilince_num_ccam_climate_action_lwd_f">'Box 31 Part 3b'!$AK$23</definedName>
    <definedName name="resilince_num_ccam_climate_action_lwd_m">'Box 31 Part 3b'!$AH$23</definedName>
    <definedName name="resilince_num_ccam_climate_action_muslim_f">'Box 31 Part 3b'!$AE$23</definedName>
    <definedName name="resilince_num_ccam_climate_action_muslim_m">'Box 31 Part 3b'!$AB$23</definedName>
    <definedName name="resilince_num_ccam_climate_action_nonteach_per_f">'Box 31 Part 3a'!$AI$32</definedName>
    <definedName name="resilince_num_ccam_climate_action_nonteach_per_m">'Box 31 Part 3a'!$AF$32</definedName>
    <definedName name="resilince_num_ccam_climate_action_teach_per_f">'Box 31 Part 3a'!$AC$32</definedName>
    <definedName name="resilince_num_ccam_climate_action_teach_per_m">'Box 31 Part 3a'!$Z$32</definedName>
    <definedName name="resilince_num_ccam_climate_change_ip_f">'Box 31 Part 3b'!$Y$24</definedName>
    <definedName name="resilince_num_ccam_climate_change_ip_m">'Box 31 Part 3b'!$V$24</definedName>
    <definedName name="resilince_num_ccam_climate_change_l_f">'Box 31 Part 3b'!$S$24</definedName>
    <definedName name="resilince_num_ccam_climate_change_l_m">'Box 31 Part 3b'!$P$24</definedName>
    <definedName name="resilince_num_ccam_climate_change_lwd_f">'Box 31 Part 3b'!$AK$24</definedName>
    <definedName name="resilince_num_ccam_climate_change_lwd_m">'Box 31 Part 3b'!$AH$24</definedName>
    <definedName name="resilince_num_ccam_climate_change_muslim_f">'Box 31 Part 3b'!$AE$24</definedName>
    <definedName name="resilince_num_ccam_climate_change_muslim_m">'Box 31 Part 3b'!$AB$24</definedName>
    <definedName name="resilince_num_ccam_climate_change_nonteach_per_f">'Box 31 Part 3a'!$AI$33</definedName>
    <definedName name="resilince_num_ccam_climate_change_nonteach_per_m">'Box 31 Part 3a'!$AF$33</definedName>
    <definedName name="resilince_num_ccam_climate_change_teach_per_f">'Box 31 Part 3a'!$AC$33</definedName>
    <definedName name="resilince_num_ccam_climate_change_teach_per_m">'Box 31 Part 3a'!$Z$33</definedName>
    <definedName name="resilince_num_ccam_climate_maker_nonteach_per_f">'Box 31 Part 3a'!$AI$34</definedName>
    <definedName name="resilince_num_ccam_climate_maker_nonteach_per_m">'Box 31 Part 3a'!$AF$34</definedName>
    <definedName name="resilince_num_ccam_climate_maker_teach_per_f">'Box 31 Part 3a'!$AC$34</definedName>
    <definedName name="resilince_num_ccam_climate_maker_teach_per_m">'Box 31 Part 3a'!$Z$34</definedName>
    <definedName name="resilince_num_ccam_commsplevent_ip_f">'Box 31 Part 3b'!$Y$32</definedName>
    <definedName name="resilince_num_ccam_commsplevent_ip_m">'Box 31 Part 3b'!$V$32</definedName>
    <definedName name="resilince_num_ccam_commsplevent_l_f">'Box 31 Part 3b'!$S$32</definedName>
    <definedName name="resilince_num_ccam_commsplevent_l_m">'Box 31 Part 3b'!$P$32</definedName>
    <definedName name="resilince_num_ccam_commsplevent_lwd_f">'Box 31 Part 3b'!$AK$32</definedName>
    <definedName name="resilince_num_ccam_commsplevent_lwd_m">'Box 31 Part 3b'!$AH$32</definedName>
    <definedName name="resilince_num_ccam_commsplevent_muslim_f">'Box 31 Part 3b'!$AE$32</definedName>
    <definedName name="resilince_num_ccam_commsplevent_muslim_m">'Box 31 Part 3b'!$AB$32</definedName>
    <definedName name="resilince_num_ccam_commsplevent_nonteach_per_f">'Box 31 Part 3a'!$AI$43</definedName>
    <definedName name="resilince_num_ccam_commsplevent_nonteach_per_m">'Box 31 Part 3a'!$AF$43</definedName>
    <definedName name="resilince_num_ccam_commsplevent_teach_per_f">'Box 31 Part 3a'!$AC$43</definedName>
    <definedName name="resilince_num_ccam_commsplevent_teach_per_m">'Box 31 Part 3a'!$Z$43</definedName>
    <definedName name="resilince_num_ccam_enviro_journal_ip_f">'Box 31 Part 3b'!$Y$25</definedName>
    <definedName name="resilince_num_ccam_enviro_journal_ip_m">'Box 31 Part 3b'!$V$25</definedName>
    <definedName name="resilince_num_ccam_enviro_journal_l_f">'Box 31 Part 3b'!$S$25</definedName>
    <definedName name="resilince_num_ccam_enviro_journal_l_m">'Box 31 Part 3b'!$P$25</definedName>
    <definedName name="resilince_num_ccam_enviro_journal_lwd_f">'Box 31 Part 3b'!$AK$25</definedName>
    <definedName name="resilince_num_ccam_enviro_journal_lwd_m">'Box 31 Part 3b'!$AH$25</definedName>
    <definedName name="resilince_num_ccam_enviro_journal_muslim_f">'Box 31 Part 3b'!$AE$25</definedName>
    <definedName name="resilince_num_ccam_enviro_journal_muslim_m">'Box 31 Part 3b'!$AB$25</definedName>
    <definedName name="resilince_num_ccam_enviro_journal_nonteach_per_f">'Box 31 Part 3a'!$AI$35</definedName>
    <definedName name="resilince_num_ccam_enviro_journal_nonteach_per_m">'Box 31 Part 3a'!$AF$35</definedName>
    <definedName name="resilince_num_ccam_enviro_journal_teach_per_f">'Box 31 Part 3a'!$AC$35</definedName>
    <definedName name="resilince_num_ccam_enviro_journal_teach_per_m">'Box 31 Part 3a'!$Z$35</definedName>
    <definedName name="resilince_num_ccam_gulayan_ip_f">'Box 31 Part 3b'!$Y$26</definedName>
    <definedName name="resilince_num_ccam_gulayan_ip_m">'Box 31 Part 3b'!$V$26</definedName>
    <definedName name="resilince_num_ccam_gulayan_l_f">'Box 31 Part 3b'!$S$26</definedName>
    <definedName name="resilince_num_ccam_gulayan_l_m">'Box 31 Part 3b'!$P$26</definedName>
    <definedName name="resilince_num_ccam_gulayan_lwd_f">'Box 31 Part 3b'!$AK$26</definedName>
    <definedName name="resilince_num_ccam_gulayan_lwd_m">'Box 31 Part 3b'!$AH$26</definedName>
    <definedName name="resilince_num_ccam_gulayan_muslim_f">'Box 31 Part 3b'!$AE$26</definedName>
    <definedName name="resilince_num_ccam_gulayan_muslim_m">'Box 31 Part 3b'!$AB$26</definedName>
    <definedName name="resilince_num_ccam_gulayan_nonteach_per_f">'Box 31 Part 3a'!$AI$36</definedName>
    <definedName name="resilince_num_ccam_gulayan_nonteach_per_m">'Box 31 Part 3a'!$AF$36</definedName>
    <definedName name="resilince_num_ccam_gulayan_teach_per_f">'Box 31 Part 3a'!$AC$36</definedName>
    <definedName name="resilince_num_ccam_gulayan_teach_per_m">'Box 31 Part 3a'!$Z$36</definedName>
    <definedName name="resilince_num_ccam_kalikhasan_ip_f">'Box 31 Part 3b'!$Y$27</definedName>
    <definedName name="resilince_num_ccam_kalikhasan_ip_m">'Box 31 Part 3b'!$V$27</definedName>
    <definedName name="resilince_num_ccam_kalikhasan_l_f">'Box 31 Part 3b'!$S$27</definedName>
    <definedName name="resilince_num_ccam_kalikhasan_l_m">'Box 31 Part 3b'!$P$27</definedName>
    <definedName name="resilince_num_ccam_kalikhasan_lwd_f">'Box 31 Part 3b'!$AK$27</definedName>
    <definedName name="resilince_num_ccam_kalikhasan_lwd_m">'Box 31 Part 3b'!$AH$27</definedName>
    <definedName name="resilince_num_ccam_kalikhasan_muslim_f">'Box 31 Part 3b'!$AE$27</definedName>
    <definedName name="resilince_num_ccam_kalikhasan_muslim_m">'Box 31 Part 3b'!$AB$27</definedName>
    <definedName name="resilince_num_ccam_kalikhasan_nonteach_per_f">'Box 31 Part 3a'!$AI$38</definedName>
    <definedName name="resilince_num_ccam_kalikhasan_nonteach_per_m">'Box 31 Part 3a'!$AF$38</definedName>
    <definedName name="resilince_num_ccam_kalikhasan_teach_per_f">'Box 31 Part 3a'!$AC$38</definedName>
    <definedName name="resilince_num_ccam_kalikhasan_teach_per_m">'Box 31 Part 3a'!$Z$38</definedName>
    <definedName name="resilince_num_ccam_l_others_secify">'Box 31 Part 3b'!$E$34</definedName>
    <definedName name="resilince_num_ccam_mat_recover_nonteach_per_f">'Box 31 Part 3a'!$AI$37</definedName>
    <definedName name="resilince_num_ccam_mat_recover_nonteach_per_m">'Box 31 Part 3a'!$AF$37</definedName>
    <definedName name="resilince_num_ccam_mat_recover_teach_per_f">'Box 31 Part 3a'!$AC$37</definedName>
    <definedName name="resilince_num_ccam_mat_recover_teach_per_m">'Box 31 Part 3a'!$Z$37</definedName>
    <definedName name="resilince_num_ccam_others_ip_f">'Box 31 Part 3b'!$Y$33</definedName>
    <definedName name="resilince_num_ccam_others_ip_m">'Box 31 Part 3b'!$V$33</definedName>
    <definedName name="resilince_num_ccam_others_l_f">'Box 31 Part 3b'!$S$33</definedName>
    <definedName name="resilince_num_ccam_others_l_m">'Box 31 Part 3b'!$P$33</definedName>
    <definedName name="resilince_num_ccam_others_lwd_f">'Box 31 Part 3b'!$AK$33</definedName>
    <definedName name="resilince_num_ccam_others_lwd_m">'Box 31 Part 3b'!$AH$33</definedName>
    <definedName name="resilince_num_ccam_others_muslim_f">'Box 31 Part 3b'!$AE$33</definedName>
    <definedName name="resilince_num_ccam_others_muslim_m">'Box 31 Part 3b'!$AB$33</definedName>
    <definedName name="resilince_num_ccam_others_nonteach_per_f">'Box 31 Part 3a'!$AI$44</definedName>
    <definedName name="resilince_num_ccam_others_nonteach_per_m">'Box 31 Part 3a'!$AF$44</definedName>
    <definedName name="resilince_num_ccam_others_specify">'Box 31 Part 3a'!$K$44</definedName>
    <definedName name="resilince_num_ccam_others_teach_per_f">'Box 31 Part 3a'!$AC$44</definedName>
    <definedName name="resilince_num_ccam_others_teach_per_m">'Box 31 Part 3a'!$Z$44</definedName>
    <definedName name="resilince_num_ccam_recycling_ip_f">'Box 31 Part 3b'!$Y$29</definedName>
    <definedName name="resilince_num_ccam_recycling_ip_m">'Box 31 Part 3b'!$V$29</definedName>
    <definedName name="resilince_num_ccam_recycling_l_f">'Box 31 Part 3b'!$S$29</definedName>
    <definedName name="resilince_num_ccam_recycling_l_m">'Box 31 Part 3b'!$P$29</definedName>
    <definedName name="resilince_num_ccam_recycling_lwd_f">'Box 31 Part 3b'!$AK$29</definedName>
    <definedName name="resilince_num_ccam_recycling_lwd_m">'Box 31 Part 3b'!$AH$29</definedName>
    <definedName name="resilince_num_ccam_recycling_muslim_f">'Box 31 Part 3b'!$AE$29</definedName>
    <definedName name="resilince_num_ccam_recycling_muslim_m">'Box 31 Part 3b'!$AB$29</definedName>
    <definedName name="resilince_num_ccam_recycling_nonteach_per_f">'Box 31 Part 3a'!$AI$40</definedName>
    <definedName name="resilince_num_ccam_recycling_nonteach_per_m">'Box 31 Part 3a'!$AF$40</definedName>
    <definedName name="resilince_num_ccam_recycling_teach_per_f">'Box 31 Part 3a'!$AC$40</definedName>
    <definedName name="resilince_num_ccam_recycling_teach_per_m">'Box 31 Part 3a'!$Z$40</definedName>
    <definedName name="resilince_num_ccam_solidwaste_ip_f">'Box 31 Part 3b'!$Y$28</definedName>
    <definedName name="resilince_num_ccam_solidwaste_ip_m">'Box 31 Part 3b'!$V$28</definedName>
    <definedName name="resilince_num_ccam_solidwaste_l_f">'Box 31 Part 3b'!$S$28</definedName>
    <definedName name="resilince_num_ccam_solidwaste_l_m">'Box 31 Part 3b'!$P$28</definedName>
    <definedName name="resilince_num_ccam_solidwaste_lwd_f">'Box 31 Part 3b'!$AK$28</definedName>
    <definedName name="resilince_num_ccam_solidwaste_lwd_m">'Box 31 Part 3b'!$AH$28</definedName>
    <definedName name="resilince_num_ccam_solidwaste_muslim_f">'Box 31 Part 3b'!$AE$28</definedName>
    <definedName name="resilince_num_ccam_solidwaste_muslim_m">'Box 31 Part 3b'!$AB$28</definedName>
    <definedName name="resilince_num_ccam_solidwaste_nonteach_per_f">'Box 31 Part 3a'!$AI$39</definedName>
    <definedName name="resilince_num_ccam_solidwaste_nonteach_per_m">'Box 31 Part 3a'!$AF$39</definedName>
    <definedName name="resilince_num_ccam_solidwaste_teach_per_f">'Box 31 Part 3a'!$AC$39</definedName>
    <definedName name="resilince_num_ccam_solidwaste_teach_per_m">'Box 31 Part 3a'!$Z$39</definedName>
    <definedName name="resilince_num_ccam_train">'Box 31 Part 3b'!$J$53</definedName>
    <definedName name="resilince_num_ccam_treeplanting_ip_f">'Box 31 Part 3b'!$Y$30</definedName>
    <definedName name="resilince_num_ccam_treeplanting_ip_m">'Box 31 Part 3b'!$V$30</definedName>
    <definedName name="resilince_num_ccam_treeplanting_l_f">'Box 31 Part 3b'!$S$30</definedName>
    <definedName name="resilince_num_ccam_treeplanting_l_m">'Box 31 Part 3b'!$P$30</definedName>
    <definedName name="resilince_num_ccam_treeplanting_lwd_f">'Box 31 Part 3b'!$AK$30</definedName>
    <definedName name="resilince_num_ccam_treeplanting_lwd_m">'Box 31 Part 3b'!$AH$30</definedName>
    <definedName name="resilince_num_ccam_treeplanting_muslim_f">'Box 31 Part 3b'!$AE$30</definedName>
    <definedName name="resilince_num_ccam_treeplanting_muslim_m">'Box 31 Part 3b'!$AB$30</definedName>
    <definedName name="resilince_num_ccam_treeplanting_nonteach_per_f">'Box 31 Part 3a'!$AI$41</definedName>
    <definedName name="resilince_num_ccam_treeplanting_nonteach_per_m">'Box 31 Part 3a'!$AF$41</definedName>
    <definedName name="resilince_num_ccam_treeplanting_teach_per_f">'Box 31 Part 3a'!$AC$41</definedName>
    <definedName name="resilince_num_ccam_treeplanting_teach_per_m">'Box 31 Part 3a'!$Z$41</definedName>
    <definedName name="resilince_num_ccam_youthstrike_ip_f">'Box 31 Part 3b'!$Y$31</definedName>
    <definedName name="resilince_num_ccam_youthstrike_ip_m">'Box 31 Part 3b'!$V$31</definedName>
    <definedName name="resilince_num_ccam_youthstrike_l_f">'Box 31 Part 3b'!$S$31</definedName>
    <definedName name="resilince_num_ccam_youthstrike_l_m">'Box 31 Part 3b'!$P$31</definedName>
    <definedName name="resilince_num_ccam_youthstrike_lwd_f">'Box 31 Part 3b'!$AK$31</definedName>
    <definedName name="resilince_num_ccam_youthstrike_lwd_m">'Box 31 Part 3b'!$AH$31</definedName>
    <definedName name="resilince_num_ccam_youthstrike_muslim_f">'Box 31 Part 3b'!$AE$31</definedName>
    <definedName name="resilince_num_ccam_youthstrike_muslim_m">'Box 31 Part 3b'!$AB$31</definedName>
    <definedName name="resilince_num_ccam_youthstrike_nonteach_per_f">'Box 31 Part 3a'!$AI$42</definedName>
    <definedName name="resilince_num_ccam_youthstrike_nonteach_per_m">'Box 31 Part 3a'!$AF$42</definedName>
    <definedName name="resilince_num_ccam_youthstrike_teach_per_f">'Box 31 Part 3a'!$AC$42</definedName>
    <definedName name="resilince_num_ccam_youthstrike_teach_per_m">'Box 31 Part 3a'!$Z$42</definedName>
    <definedName name="resilince_num_co_led_ip_f">'Box 31 Part 3c'!$X$10</definedName>
    <definedName name="resilince_num_co_led_ip_m">'Box 31 Part 3c'!$U$10</definedName>
    <definedName name="resilince_num_co_led_l_f">'Box 31 Part 3c'!$R$10</definedName>
    <definedName name="resilince_num_co_led_l_m">'Box 31 Part 3c'!$O$10</definedName>
    <definedName name="resilince_num_co_led_lwd_f">'Box 31 Part 3c'!$AJ$10</definedName>
    <definedName name="resilince_num_co_led_lwd_m">'Box 31 Part 3c'!$AG$10</definedName>
    <definedName name="resilince_num_co_led_muslim_f">'Box 31 Part 3c'!$AD$10</definedName>
    <definedName name="resilince_num_co_led_muslim_m">'Box 31 Part 3c'!$AA$10</definedName>
    <definedName name="resilince_num_comp_traincourse_ip_f">'Box 31 Part 3c'!$X$8</definedName>
    <definedName name="resilince_num_comp_traincourse_ip_m">'Box 31 Part 3c'!$U$8</definedName>
    <definedName name="resilince_num_comp_traincourse_l_f">'Box 31 Part 3c'!$R$8</definedName>
    <definedName name="resilince_num_comp_traincourse_l_m">'Box 31 Part 3c'!$O$8</definedName>
    <definedName name="resilince_num_comp_traincourse_lwd_f">'Box 31 Part 3c'!$AJ$8</definedName>
    <definedName name="resilince_num_comp_traincourse_lwd_m">'Box 31 Part 3c'!$AG$8</definedName>
    <definedName name="resilince_num_comp_traincourse_muslim_f">'Box 31 Part 3c'!$AD$8</definedName>
    <definedName name="resilince_num_comp_traincourse_muslim_m">'Box 31 Part 3c'!$AA$8</definedName>
    <definedName name="resilince_num_compl_train_course_nonteach_f">'Box 31 Part 3d'!$M$10</definedName>
    <definedName name="resilince_num_compl_train_course_nonteach_m">'Box 31 Part 3d'!$J$10</definedName>
    <definedName name="resilince_num_compl_train_course_teach_f">'Box 31 Part 3d'!$G$10</definedName>
    <definedName name="resilince_num_compl_train_course_teach_m">'Box 31 Part 3d'!$D$10</definedName>
    <definedName name="resilince_num_dev_learning_resources">'Box 31 Part 3b'!$D$47</definedName>
    <definedName name="resilince_num_drrm_basic_ip_f">'Box 31 Part 3b'!$Y$9</definedName>
    <definedName name="resilince_num_drrm_basic_ip_m">'Box 31 Part 3b'!$V$9</definedName>
    <definedName name="resilince_num_drrm_basic_l_f">'Box 31 Part 3b'!$S$9</definedName>
    <definedName name="resilince_num_drrm_basic_l_m">'Box 31 Part 3b'!$P$9</definedName>
    <definedName name="resilince_num_drrm_basic_lwd_f">'Box 31 Part 3b'!$AK$9</definedName>
    <definedName name="resilince_num_drrm_basic_lwd_m">'Box 31 Part 3b'!$AH$9</definedName>
    <definedName name="resilince_num_drrm_basic_muslim_f">'Box 31 Part 3b'!$AE$9</definedName>
    <definedName name="resilince_num_drrm_basic_muslim_m">'Box 31 Part 3b'!$AB$9</definedName>
    <definedName name="resilince_num_drrm_basic_nonteach_per_f">'Box 31 Part 3a'!$AI$19</definedName>
    <definedName name="resilince_num_drrm_basic_nonteach_per_m">'Box 31 Part 3a'!$AF$19</definedName>
    <definedName name="resilince_num_drrm_basic_teach_per_f">'Box 31 Part 3a'!$AC$19</definedName>
    <definedName name="resilince_num_drrm_basic_teach_per_m">'Box 31 Part 3a'!$Z$19</definedName>
    <definedName name="resilince_num_drrm_camp_ip_f">'Box 31 Part 3b'!$Y$14</definedName>
    <definedName name="resilince_num_drrm_camp_ip_m">'Box 31 Part 3b'!$V$14</definedName>
    <definedName name="resilince_num_drrm_camp_journal_ip_f">'Box 31 Part 3b'!$Y$17</definedName>
    <definedName name="resilince_num_drrm_camp_journal_ip_m">'Box 31 Part 3b'!$V$17</definedName>
    <definedName name="resilince_num_drrm_camp_journal_l_f">'Box 31 Part 3b'!$S$17</definedName>
    <definedName name="resilince_num_drrm_camp_journal_l_m">'Box 31 Part 3b'!$P$17</definedName>
    <definedName name="resilince_num_drrm_camp_journal_lwd_f">'Box 31 Part 3b'!$AK$17</definedName>
    <definedName name="resilince_num_drrm_camp_journal_lwd_m">'Box 31 Part 3b'!$AH$17</definedName>
    <definedName name="resilince_num_drrm_camp_journal_muslim_f">'Box 31 Part 3b'!$AE$17</definedName>
    <definedName name="resilince_num_drrm_camp_journal_muslim_m">'Box 31 Part 3b'!$AB$17</definedName>
    <definedName name="resilince_num_drrm_camp_journal_nonteach_per_f">'Box 31 Part 3a'!$AI$26</definedName>
    <definedName name="resilince_num_drrm_camp_journal_nonteach_per_m">'Box 31 Part 3a'!$AF$26</definedName>
    <definedName name="resilince_num_drrm_camp_journal_teach_per_f">'Box 31 Part 3a'!$AC$26</definedName>
    <definedName name="resilince_num_drrm_camp_journal_teach_per_m">'Box 31 Part 3a'!$Z$26</definedName>
    <definedName name="resilince_num_drrm_camp_l_f">'Box 31 Part 3b'!$S$14</definedName>
    <definedName name="resilince_num_drrm_camp_l_m">'Box 31 Part 3b'!$P$14</definedName>
    <definedName name="resilince_num_drrm_camp_lwd_f">'Box 31 Part 3b'!$AK$14</definedName>
    <definedName name="resilince_num_drrm_camp_lwd_m">'Box 31 Part 3b'!$AH$14</definedName>
    <definedName name="resilince_num_drrm_camp_muslim_f">'Box 31 Part 3b'!$AE$14</definedName>
    <definedName name="resilince_num_drrm_camp_muslim_m">'Box 31 Part 3b'!$AB$14</definedName>
    <definedName name="resilince_num_drrm_drrm_camp_nonteach_per_f">'Box 31 Part 3a'!$AI$23</definedName>
    <definedName name="resilince_num_drrm_drrm_camp_nonteach_per_m">'Box 31 Part 3a'!$AF$23</definedName>
    <definedName name="resilince_num_drrm_drrm_camp_teach_per_f">'Box 31 Part 3a'!$AC$23</definedName>
    <definedName name="resilince_num_drrm_drrm_camp_teach_per_m">'Box 31 Part 3a'!$Z$23</definedName>
    <definedName name="resilince_num_drrm_learners_others_specify">'Box 31 Part 3b'!$E$19</definedName>
    <definedName name="resilince_num_drrm_mhpss_ip_f">'Box 31 Part 3b'!$Y$12</definedName>
    <definedName name="resilince_num_drrm_mhpss_ip_m">'Box 31 Part 3b'!$V$12</definedName>
    <definedName name="resilince_num_drrm_mhpss_l_f">'Box 31 Part 3b'!$S$12</definedName>
    <definedName name="resilince_num_drrm_mhpss_l_m">'Box 31 Part 3b'!$P$12</definedName>
    <definedName name="resilince_num_drrm_mhpss_lwd_f">'Box 31 Part 3b'!$AK$12</definedName>
    <definedName name="resilince_num_drrm_mhpss_lwd_m">'Box 31 Part 3b'!$AH$12</definedName>
    <definedName name="resilince_num_drrm_mhpss_muslim_f">'Box 31 Part 3b'!$AE$12</definedName>
    <definedName name="resilince_num_drrm_mhpss_muslim_m">'Box 31 Part 3b'!$AB$12</definedName>
    <definedName name="resilince_num_drrm_others_ip_f">'Box 31 Part 3b'!$Y$18</definedName>
    <definedName name="resilince_num_drrm_others_ip_m">'Box 31 Part 3b'!$V$18</definedName>
    <definedName name="resilince_num_drrm_others_l_f">'Box 31 Part 3b'!$S$18</definedName>
    <definedName name="resilince_num_drrm_others_l_m">'Box 31 Part 3b'!$P$18</definedName>
    <definedName name="resilince_num_drrm_others_lwd_f">'Box 31 Part 3b'!$AK$18</definedName>
    <definedName name="resilince_num_drrm_others_lwd_m">'Box 31 Part 3b'!$AH$18</definedName>
    <definedName name="resilince_num_drrm_others_muslim_f">'Box 31 Part 3b'!$AE$18</definedName>
    <definedName name="resilince_num_drrm_others_muslim_m">'Box 31 Part 3b'!$AB$18</definedName>
    <definedName name="resilince_num_drrm_others_nonteach_per_f">'Box 31 Part 3a'!$AI$27</definedName>
    <definedName name="resilince_num_drrm_others_nonteach_per_m">'Box 31 Part 3a'!$AF$27</definedName>
    <definedName name="resilince_num_drrm_others_specify">'Box 31 Part 3a'!$K$27</definedName>
    <definedName name="resilince_num_drrm_others_teach_per_f">'Box 31 Part 3a'!$AC$27</definedName>
    <definedName name="resilince_num_drrm_others_teach_per_m">'Box 31 Part 3a'!$Z$27</definedName>
    <definedName name="resilince_num_drrm_part_l">'Box 31 Part 3a'!$F$13</definedName>
    <definedName name="resilince_num_drrm_part_lgu">'Box 31 Part 3a'!$U$13</definedName>
    <definedName name="resilince_num_drrm_part_ngo">'Box 31 Part 3a'!$Z$13</definedName>
    <definedName name="resilince_num_drrm_part_par">'Box 31 Part 3a'!$P$13</definedName>
    <definedName name="resilince_num_drrm_part_per">'Box 31 Part 3a'!$K$13</definedName>
    <definedName name="resilince_num_drrm_quake_ip_f">'Box 31 Part 3b'!$Y$10</definedName>
    <definedName name="resilince_num_drrm_quake_ip_m">'Box 31 Part 3b'!$V$10</definedName>
    <definedName name="resilince_num_drrm_quake_l_f">'Box 31 Part 3b'!$S$10</definedName>
    <definedName name="resilince_num_drrm_quake_l_m">'Box 31 Part 3b'!$P$10</definedName>
    <definedName name="resilince_num_drrm_quake_lwd_f">'Box 31 Part 3b'!$AK$10</definedName>
    <definedName name="resilince_num_drrm_quake_lwd_m">'Box 31 Part 3b'!$AH$10</definedName>
    <definedName name="resilince_num_drrm_quake_muslim_f">'Box 31 Part 3b'!$AE$10</definedName>
    <definedName name="resilince_num_drrm_quake_muslim_m">'Box 31 Part 3b'!$AB$10</definedName>
    <definedName name="resilince_num_drrm_quake_nonteach_per_f">'Box 31 Part 3a'!$AI$20</definedName>
    <definedName name="resilince_num_drrm_quake_nonteach_per_m">'Box 31 Part 3a'!$AF$20</definedName>
    <definedName name="resilince_num_drrm_quake_teach_per_f">'Box 31 Part 3a'!$AC$20</definedName>
    <definedName name="resilince_num_drrm_quake_teach_per_m">'Box 31 Part 3a'!$Z$20</definedName>
    <definedName name="resilince_num_drrm_spl_event_ip_f">'Box 31 Part 3b'!$Y$13</definedName>
    <definedName name="resilince_num_drrm_spl_event_ip_m">'Box 31 Part 3b'!$V$13</definedName>
    <definedName name="resilince_num_drrm_spl_event_l_f">'Box 31 Part 3b'!$S$13</definedName>
    <definedName name="resilince_num_drrm_spl_event_l_m">'Box 31 Part 3b'!$P$13</definedName>
    <definedName name="resilince_num_drrm_spl_event_lwd_f">'Box 31 Part 3b'!$AK$13</definedName>
    <definedName name="resilince_num_drrm_spl_event_lwd_m">'Box 31 Part 3b'!$AH$13</definedName>
    <definedName name="resilince_num_drrm_spl_event_muslim_f">'Box 31 Part 3b'!$AE$13</definedName>
    <definedName name="resilince_num_drrm_spl_event_muslim_m">'Box 31 Part 3b'!$AB$13</definedName>
    <definedName name="resilince_num_drrm_spl_event_nonteach_per_f">'Box 31 Part 3a'!$AI$22</definedName>
    <definedName name="resilince_num_drrm_spl_event_nonteach_per_m">'Box 31 Part 3a'!$AF$22</definedName>
    <definedName name="resilince_num_drrm_spl_event_teach_per_f">'Box 31 Part 3a'!$AC$22</definedName>
    <definedName name="resilince_num_drrm_spl_event_teach_per_m">'Box 31 Part 3a'!$Z$22</definedName>
    <definedName name="resilince_num_drrm_sw_ip_f">'Box 31 Part 3b'!$Y$11</definedName>
    <definedName name="resilince_num_drrm_sw_ip_m">'Box 31 Part 3b'!$V$11</definedName>
    <definedName name="resilince_num_drrm_sw_l_f">'Box 31 Part 3b'!$S$11</definedName>
    <definedName name="resilince_num_drrm_sw_l_m">'Box 31 Part 3b'!$P$11</definedName>
    <definedName name="resilince_num_drrm_sw_lwd_f">'Box 31 Part 3b'!$AK$11</definedName>
    <definedName name="resilince_num_drrm_sw_lwd_m">'Box 31 Part 3b'!$AH$11</definedName>
    <definedName name="resilince_num_drrm_sw_muslim_f">'Box 31 Part 3b'!$AE$11</definedName>
    <definedName name="resilince_num_drrm_sw_muslim_m">'Box 31 Part 3b'!$AB$11</definedName>
    <definedName name="resilince_num_drrm_sw_nonteach_per_f">'Box 31 Part 3a'!$AI$21</definedName>
    <definedName name="resilince_num_drrm_sw_nonteach_per_m">'Box 31 Part 3a'!$AF$21</definedName>
    <definedName name="resilince_num_drrm_sw_teach_per_f">'Box 31 Part 3a'!$AC$21</definedName>
    <definedName name="resilince_num_drrm_sw_teach_per_m">'Box 31 Part 3a'!$Z$21</definedName>
    <definedName name="resilince_num_drrm_train">'Box 31 Part 3b'!$J$52</definedName>
    <definedName name="resilince_num_drrm_youth_act_ip_f">'Box 31 Part 3b'!$Y$16</definedName>
    <definedName name="resilince_num_drrm_youth_act_ip_m">'Box 31 Part 3b'!$V$16</definedName>
    <definedName name="resilince_num_drrm_youth_act_l_f">'Box 31 Part 3b'!$S$16</definedName>
    <definedName name="resilince_num_drrm_youth_act_l_m">'Box 31 Part 3b'!$P$16</definedName>
    <definedName name="resilince_num_drrm_youth_act_lwd_f">'Box 31 Part 3b'!$AK$16</definedName>
    <definedName name="resilince_num_drrm_youth_act_lwd_m">'Box 31 Part 3b'!$AH$16</definedName>
    <definedName name="resilince_num_drrm_youth_act_muslim_f">'Box 31 Part 3b'!$AE$16</definedName>
    <definedName name="resilince_num_drrm_youth_act_muslim_m">'Box 31 Part 3b'!$AB$16</definedName>
    <definedName name="resilince_num_drrm_youth_act_nonteach_per_f">'Box 31 Part 3a'!$AI$25</definedName>
    <definedName name="resilince_num_drrm_youth_act_nonteach_per_m">'Box 31 Part 3a'!$AF$25</definedName>
    <definedName name="resilince_num_drrm_youth_act_teach_per_f">'Box 31 Part 3a'!$AC$25</definedName>
    <definedName name="resilince_num_drrm_youth_act_teach_per_m">'Box 31 Part 3a'!$Z$25</definedName>
    <definedName name="resilince_num_drrm_youth_council_ip_f">'Box 31 Part 3b'!$Y$15</definedName>
    <definedName name="resilince_num_drrm_youth_council_ip_m">'Box 31 Part 3b'!$V$15</definedName>
    <definedName name="resilince_num_drrm_youth_council_l_f">'Box 31 Part 3b'!$S$15</definedName>
    <definedName name="resilince_num_drrm_youth_council_l_m">'Box 31 Part 3b'!$P$15</definedName>
    <definedName name="resilince_num_drrm_youth_council_lwd_f">'Box 31 Part 3b'!$AK$15</definedName>
    <definedName name="resilince_num_drrm_youth_council_lwd_m">'Box 31 Part 3b'!$AH$15</definedName>
    <definedName name="resilince_num_drrm_youth_council_muslim_f">'Box 31 Part 3b'!$AE$15</definedName>
    <definedName name="resilince_num_drrm_youth_council_muslim_m">'Box 31 Part 3b'!$AB$15</definedName>
    <definedName name="resilince_num_drrm_youth_council_nonteach_per_f">'Box 31 Part 3a'!$AI$24</definedName>
    <definedName name="resilince_num_drrm_youth_council_nonteach_per_m">'Box 31 Part 3a'!$AF$24</definedName>
    <definedName name="resilince_num_drrm_youth_council_teach_per_f">'Box 31 Part 3a'!$AC$24</definedName>
    <definedName name="resilince_num_drrm_youth_council_teach_per_m">'Box 31 Part 3a'!$Z$24</definedName>
    <definedName name="resilince_num_led_ip_f">'Box 31 Part 3c'!$X$11</definedName>
    <definedName name="resilince_num_led_ip_m">'Box 31 Part 3c'!$U$11</definedName>
    <definedName name="resilince_num_led_l_f">'Box 31 Part 3c'!$R$11</definedName>
    <definedName name="resilince_num_led_l_m">'Box 31 Part 3c'!$O$11</definedName>
    <definedName name="resilince_num_led_lwd_f">'Box 31 Part 3c'!$AJ$11</definedName>
    <definedName name="resilince_num_led_lwd_m">'Box 31 Part 3c'!$AG$11</definedName>
    <definedName name="resilince_num_led_muslim_f">'Box 31 Part 3c'!$AD$11</definedName>
    <definedName name="resilince_num_led_muslim_m">'Box 31 Part 3c'!$AA$11</definedName>
    <definedName name="resilince_num_peace_artscontest_ip_f">'Box 31 Part 3b'!$Y$39</definedName>
    <definedName name="resilince_num_peace_artscontest_ip_m">'Box 31 Part 3b'!$V$39</definedName>
    <definedName name="resilince_num_peace_artscontest_l_f">'Box 31 Part 3b'!$S$39</definedName>
    <definedName name="resilince_num_peace_artscontest_l_m">'Box 31 Part 3b'!$P$39</definedName>
    <definedName name="resilince_num_peace_artscontest_lwd_f">'Box 31 Part 3b'!$AK$39</definedName>
    <definedName name="resilince_num_peace_artscontest_lwd_m">'Box 31 Part 3b'!$AH$39</definedName>
    <definedName name="resilince_num_peace_artscontest_muslim_f">'Box 31 Part 3b'!$AE$39</definedName>
    <definedName name="resilince_num_peace_artscontest_muslim_m">'Box 31 Part 3b'!$AB$39</definedName>
    <definedName name="resilince_num_peace_artscontest_nonteach_per_f">'Box 31 Part 3a'!$AI$50</definedName>
    <definedName name="resilince_num_peace_artscontest_nonteach_per_m">'Box 31 Part 3a'!$AF$50</definedName>
    <definedName name="resilince_num_peace_artscontest_teach_per_f">'Box 31 Part 3a'!$AC$50</definedName>
    <definedName name="resilince_num_peace_artscontest_teach_per_m">'Box 31 Part 3a'!$Z$50</definedName>
    <definedName name="resilince_num_peace_commsplevent_ip_f">'Box 31 Part 3b'!$Y$40</definedName>
    <definedName name="resilince_num_peace_commsplevent_ip_m">'Box 31 Part 3b'!$V$40</definedName>
    <definedName name="resilince_num_peace_commsplevent_l_f">'Box 31 Part 3b'!$S$40</definedName>
    <definedName name="resilince_num_peace_commsplevent_l_m">'Box 31 Part 3b'!$P$40</definedName>
    <definedName name="resilince_num_peace_commsplevent_lwd_f">'Box 31 Part 3b'!$AK$40</definedName>
    <definedName name="resilince_num_peace_commsplevent_lwd_m">'Box 31 Part 3b'!$AH$40</definedName>
    <definedName name="resilince_num_peace_commsplevent_muslim_f">'Box 31 Part 3b'!$AE$40</definedName>
    <definedName name="resilince_num_peace_commsplevent_muslim_m">'Box 31 Part 3b'!$AB$40</definedName>
    <definedName name="resilince_num_peace_commsplevent_nonteach_per_f">'Box 31 Part 3a'!$AI$51</definedName>
    <definedName name="resilince_num_peace_commsplevent_nonteach_per_m">'Box 31 Part 3a'!$AF$51</definedName>
    <definedName name="resilince_num_peace_commsplevent_teach_per_f">'Box 31 Part 3a'!$AC$51</definedName>
    <definedName name="resilince_num_peace_commsplevent_teach_per_m">'Box 31 Part 3a'!$Z$51</definedName>
    <definedName name="resilince_num_peace_conf_ip_f">'Box 31 Part 3b'!$Y$37</definedName>
    <definedName name="resilince_num_peace_conf_ip_m">'Box 31 Part 3b'!$V$37</definedName>
    <definedName name="resilince_num_peace_conf_l_f">'Box 31 Part 3b'!$S$37</definedName>
    <definedName name="resilince_num_peace_conf_l_m">'Box 31 Part 3b'!$P$37</definedName>
    <definedName name="resilince_num_peace_conf_lwd_f">'Box 31 Part 3b'!$AK$37</definedName>
    <definedName name="resilince_num_peace_conf_lwd_m">'Box 31 Part 3b'!$AH$37</definedName>
    <definedName name="resilince_num_peace_conf_muslim_f">'Box 31 Part 3b'!$AE$37</definedName>
    <definedName name="resilince_num_peace_conf_muslim_m">'Box 31 Part 3b'!$AB$37</definedName>
    <definedName name="resilince_num_peace_conf_nonteach_per_f">'Box 31 Part 3a'!$AI$48</definedName>
    <definedName name="resilince_num_peace_conf_nonteach_per_m">'Box 31 Part 3a'!$AF$48</definedName>
    <definedName name="resilince_num_peace_conf_teach_per_f">'Box 31 Part 3a'!$AC$48</definedName>
    <definedName name="resilince_num_peace_conf_teach_per_m">'Box 31 Part 3a'!$Z$48</definedName>
    <definedName name="resilince_num_peace_l_others_specify">'Box 31 Part 3b'!$E$42</definedName>
    <definedName name="resilince_num_peace_others_ip_f">'Box 31 Part 3b'!$Y$41</definedName>
    <definedName name="resilince_num_peace_others_ip_m">'Box 31 Part 3b'!$V$41</definedName>
    <definedName name="resilince_num_peace_others_l_f">'Box 31 Part 3b'!$S$41</definedName>
    <definedName name="resilince_num_peace_others_l_m">'Box 31 Part 3b'!$P$41</definedName>
    <definedName name="resilince_num_peace_others_lwd_f">'Box 31 Part 3b'!$AK$41</definedName>
    <definedName name="resilince_num_peace_others_lwd_m">'Box 31 Part 3b'!$AH$41</definedName>
    <definedName name="resilince_num_peace_others_muslim_f">'Box 31 Part 3b'!$AE$41</definedName>
    <definedName name="resilince_num_peace_others_muslim_m">'Box 31 Part 3b'!$AB$41</definedName>
    <definedName name="resilince_num_peace_others_nonteach_per_f">'Box 31 Part 3a'!$AI$52</definedName>
    <definedName name="resilince_num_peace_others_nonteach_per_m">'Box 31 Part 3a'!$AF$52</definedName>
    <definedName name="resilince_num_peace_others_specify">'Box 31 Part 3a'!$K$52</definedName>
    <definedName name="resilince_num_peace_others_teach_per_f">'Box 31 Part 3a'!$AC$52</definedName>
    <definedName name="resilince_num_peace_others_teach_per_m">'Box 31 Part 3a'!$Z$52</definedName>
    <definedName name="resilince_num_peace_train">'Box 31 Part 3b'!$J$54</definedName>
    <definedName name="resilince_num_peace_youthnet_ip_f">'Box 31 Part 3b'!$Y$38</definedName>
    <definedName name="resilince_num_peace_youthnet_ip_m">'Box 31 Part 3b'!$V$38</definedName>
    <definedName name="resilince_num_peace_youthnet_l_f">'Box 31 Part 3b'!$S$38</definedName>
    <definedName name="resilince_num_peace_youthnet_l_m">'Box 31 Part 3b'!$P$38</definedName>
    <definedName name="resilince_num_peace_youthnet_lwd_f">'Box 31 Part 3b'!$AK$38</definedName>
    <definedName name="resilince_num_peace_youthnet_lwd_m">'Box 31 Part 3b'!$AH$38</definedName>
    <definedName name="resilince_num_peace_youthnet_muslim_f">'Box 31 Part 3b'!$AE$38</definedName>
    <definedName name="resilince_num_peace_youthnet_muslim_m">'Box 31 Part 3b'!$AB$38</definedName>
    <definedName name="resilince_num_peace_youthnet_nonteach_per_f">'Box 31 Part 3a'!$AI$49</definedName>
    <definedName name="resilince_num_peace_youthnet_nonteach_per_m">'Box 31 Part 3a'!$AF$49</definedName>
    <definedName name="resilince_num_peace_youthnet_teach_per_f">'Box 31 Part 3a'!$AC$49</definedName>
    <definedName name="resilince_num_peace_youthnet_teach_per_m">'Box 31 Part 3a'!$Z$49</definedName>
    <definedName name="resilince_num_ppaled_l_ccam">'Box 31 Part 3c'!$K$20</definedName>
    <definedName name="resilince_num_ppaled_l_drrm">'Box 31 Part 3c'!$K$19</definedName>
    <definedName name="resilince_num_ppaled_l_peace">'Box 31 Part 3c'!$K$21</definedName>
    <definedName name="resilince_num_train_conduct_ccam_l">'Box 31 Part 3d'!$I$19</definedName>
    <definedName name="resilince_num_train_conduct_ccam_per">'Box 31 Part 3d'!$N$19</definedName>
    <definedName name="resilince_num_train_conduct_drrm_l">'Box 31 Part 3d'!$I$18</definedName>
    <definedName name="resilince_num_train_conduct_drrm_per">'Box 31 Part 3d'!$N$18</definedName>
    <definedName name="resilince_num_train_conduct_mhpss_psych_nonteach_f">'Box 31 Part 3d'!$AH$20</definedName>
    <definedName name="resilince_num_train_conduct_mhpss_psych_nonteach_m">'Box 31 Part 3d'!$AE$20</definedName>
    <definedName name="resilince_num_train_conduct_mhpss_psych_teach_f">'Box 31 Part 3d'!$AB$20</definedName>
    <definedName name="resilince_num_train_conduct_mhpss_psych_teach_m">'Box 31 Part 3d'!$Y$20</definedName>
    <definedName name="resilince_num_train_conduct_peace_l">'Box 31 Part 3d'!$I$20</definedName>
    <definedName name="resilince_num_train_conduct_peace_per">'Box 31 Part 3d'!$N$20</definedName>
    <definedName name="resilince_num_train_manual">'Box 31 Part 3c'!$E$22</definedName>
    <definedName name="resilince_num_train_provide_mhpss_ip_f">'Box 31 Part 3d'!$M$26</definedName>
    <definedName name="resilince_num_train_provide_mhpss_ip_m">'Box 31 Part 3d'!$J$26</definedName>
    <definedName name="resilince_num_train_provide_mhpss_l_f">'Box 31 Part 3d'!$G$26</definedName>
    <definedName name="resilince_num_train_provide_mhpss_l_m">'Box 31 Part 3d'!$D$26</definedName>
    <definedName name="resilince_num_train_provide_mhpss_lwd_f">'Box 31 Part 3d'!$Y$26</definedName>
    <definedName name="resilince_num_train_provide_mhpss_lwd_m">'Box 31 Part 3d'!$V$26</definedName>
    <definedName name="resilince_num_train_provide_mhpss_muslim_f">'Box 31 Part 3d'!$S$26</definedName>
    <definedName name="resilince_num_train_provide_mhpss_muslim_m">'Box 31 Part 3d'!$P$26</definedName>
    <definedName name="resilince_num_trained_intg_teach_f">'Box 31 Part 3d'!$AB$10</definedName>
    <definedName name="resilince_num_trained_intg_teach_m">'Box 31 Part 3d'!$X$10</definedName>
    <definedName name="resilince_num_trained_ip_f">'Box 31 Part 3c'!$X$9</definedName>
    <definedName name="resilince_num_trained_ip_m">'Box 31 Part 3c'!$U$9</definedName>
    <definedName name="resilince_num_trained_l_f">'Box 31 Part 3c'!$R$9</definedName>
    <definedName name="resilince_num_trained_l_m">'Box 31 Part 3c'!$O$9</definedName>
    <definedName name="resilince_num_trained_lwd_f">'Box 31 Part 3c'!$AJ$9</definedName>
    <definedName name="resilince_num_trained_lwd_m">'Box 31 Part 3c'!$AG$9</definedName>
    <definedName name="resilince_num_trained_muslim_f">'Box 31 Part 3c'!$AD$9</definedName>
    <definedName name="resilince_num_trained_muslim_m">'Box 31 Part 3c'!$AA$9</definedName>
    <definedName name="resilince_num_trainmodule_adm_nonteach_per_f">'Box 31 Part 3c'!$AH$34</definedName>
    <definedName name="resilince_num_trainmodule_adm_nonteach_per_m">'Box 31 Part 3c'!$AE$34</definedName>
    <definedName name="resilince_num_trainmodule_adm_teach_per_f">'Box 31 Part 3c'!$AB$34</definedName>
    <definedName name="resilince_num_trainmodule_adm_teach_per_m">'Box 31 Part 3c'!$Y$34</definedName>
    <definedName name="resilince_num_trainmodule_basiceie_nonteach_per_f">'Box 31 Part 3c'!$AH$39</definedName>
    <definedName name="resilince_num_trainmodule_basiceie_nonteach_per_m">'Box 31 Part 3c'!$AE$39</definedName>
    <definedName name="resilince_num_trainmodule_basiceie_teach_per_f">'Box 31 Part 3c'!$AB$39</definedName>
    <definedName name="resilince_num_trainmodule_basiceie_teach_per_m">'Box 31 Part 3c'!$Y$39</definedName>
    <definedName name="resilince_num_trainmodule_baslifsup_nonteach_per_f">'Box 31 Part 3c'!$AH$49</definedName>
    <definedName name="resilince_num_trainmodule_baslifsup_nonteach_per_m">'Box 31 Part 3c'!$AE$49</definedName>
    <definedName name="resilince_num_trainmodule_baslifsup_teach_per_f">'Box 31 Part 3c'!$AB$49</definedName>
    <definedName name="resilince_num_trainmodule_baslifsup_teach_per_m">'Box 31 Part 3c'!$Y$49</definedName>
    <definedName name="resilince_num_trainmodule_cchange_global_nonteach_per_f">'Box 31 Part 3c'!$AH$45</definedName>
    <definedName name="resilince_num_trainmodule_cchange_global_nonteach_per_m">'Box 31 Part 3c'!$AE$45</definedName>
    <definedName name="resilince_num_trainmodule_cchange_global_teach_per_f">'Box 31 Part 3c'!$AB$45</definedName>
    <definedName name="resilince_num_trainmodule_cchange_global_teach_per_m">'Box 31 Part 3c'!$Y$45</definedName>
    <definedName name="resilince_num_trainmodule_childcntrd_nonteach_per_f">'Box 31 Part 3c'!$AH$32</definedName>
    <definedName name="resilince_num_trainmodule_childcntrd_nonteach_per_m">'Box 31 Part 3c'!$AE$32</definedName>
    <definedName name="resilince_num_trainmodule_childcntrd_teach_per_f">'Box 31 Part 3c'!$AB$32</definedName>
    <definedName name="resilince_num_trainmodule_childcntrd_teach_per_m">'Box 31 Part 3c'!$Y$32</definedName>
    <definedName name="resilince_num_trainmodule_climatechange_nonteach_per_f">'Box 31 Part 3c'!$AH$29</definedName>
    <definedName name="resilince_num_trainmodule_climatechange_nonteach_per_m">'Box 31 Part 3c'!$AE$29</definedName>
    <definedName name="resilince_num_trainmodule_climatechange_teach_per_f">'Box 31 Part 3c'!$AB$29</definedName>
    <definedName name="resilince_num_trainmodule_climatechange_teach_per_m">'Box 31 Part 3c'!$Y$29</definedName>
    <definedName name="resilince_num_trainmodule_cmg_nonteach_per_f">'Box 31 Part 3c'!$AH$37</definedName>
    <definedName name="resilince_num_trainmodule_cmg_nonteach_per_m">'Box 31 Part 3c'!$AE$37</definedName>
    <definedName name="resilince_num_trainmodule_cmg_teach_per_f">'Box 31 Part 3c'!$AB$37</definedName>
    <definedName name="resilince_num_trainmodule_cmg_teach_per_m">'Box 31 Part 3c'!$Y$37</definedName>
    <definedName name="resilince_num_trainmodule_compre_drrm_nonteach_per_f">'Box 31 Part 3c'!$AH$31</definedName>
    <definedName name="resilince_num_trainmodule_compre_drrm_nonteach_per_m">'Box 31 Part 3c'!$AE$31</definedName>
    <definedName name="resilince_num_trainmodule_compre_drrm_teach_per_f">'Box 31 Part 3c'!$AB$31</definedName>
    <definedName name="resilince_num_trainmodule_compre_drrm_teach_per_m">'Box 31 Part 3c'!$Y$31</definedName>
    <definedName name="resilince_num_trainmodule_consense_edu_nonteach_per_f">'Box 31 Part 3c'!$AH$47</definedName>
    <definedName name="resilince_num_trainmodule_consense_edu_nonteach_per_m">'Box 31 Part 3c'!$AE$47</definedName>
    <definedName name="resilince_num_trainmodule_consense_edu_teach_per_f">'Box 31 Part 3c'!$AB$47</definedName>
    <definedName name="resilince_num_trainmodule_consense_edu_teach_per_m">'Box 31 Part 3c'!$Y$47</definedName>
    <definedName name="resilince_num_trainmodule_contplan_be_nonteach_per_f">'Box 31 Part 3c'!$AH$41</definedName>
    <definedName name="resilince_num_trainmodule_contplan_be_nonteach_per_m">'Box 31 Part 3c'!$AE$41</definedName>
    <definedName name="resilince_num_trainmodule_contplan_be_teach_per_f">'Box 31 Part 3c'!$AB$41</definedName>
    <definedName name="resilince_num_trainmodule_contplan_be_teach_per_m">'Box 31 Part 3c'!$Y$41</definedName>
    <definedName name="resilince_num_trainmodule_eie_nonteach_per_f">'Box 31 Part 3c'!$AH$33</definedName>
    <definedName name="resilince_num_trainmodule_eie_nonteach_per_m">'Box 31 Part 3c'!$AE$33</definedName>
    <definedName name="resilince_num_trainmodule_eie_teach_per_f">'Box 31 Part 3c'!$AB$33</definedName>
    <definedName name="resilince_num_trainmodule_eie_teach_per_m">'Box 31 Part 3c'!$Y$33</definedName>
    <definedName name="resilince_num_trainmodule_im_nonteach_per_f">'Box 31 Part 3c'!$AH$35</definedName>
    <definedName name="resilince_num_trainmodule_im_nonteach_per_m">'Box 31 Part 3c'!$AE$35</definedName>
    <definedName name="resilince_num_trainmodule_im_teach_per_f">'Box 31 Part 3c'!$AB$35</definedName>
    <definedName name="resilince_num_trainmodule_im_teach_per_m">'Box 31 Part 3c'!$Y$35</definedName>
    <definedName name="resilince_num_trainmodule_intlfound_nonteach_per_f">'Box 31 Part 3c'!$AH$30</definedName>
    <definedName name="resilince_num_trainmodule_intlfound_nonteach_per_m">'Box 31 Part 3c'!$AE$30</definedName>
    <definedName name="resilince_num_trainmodule_intlfound_teach_per_f">'Box 31 Part 3c'!$AB$30</definedName>
    <definedName name="resilince_num_trainmodule_intlfound_teach_per_m">'Box 31 Part 3c'!$Y$30</definedName>
    <definedName name="resilince_num_trainmodule_mhpss_nonteach_per_f">'Box 31 Part 3c'!$AH$48</definedName>
    <definedName name="resilince_num_trainmodule_mhpss_nonteach_per_m">'Box 31 Part 3c'!$AE$48</definedName>
    <definedName name="resilince_num_trainmodule_mhpss_teach_per_f">'Box 31 Part 3c'!$AB$48</definedName>
    <definedName name="resilince_num_trainmodule_mhpss_teach_per_m">'Box 31 Part 3c'!$Y$48</definedName>
    <definedName name="resilince_num_trainmodule_others_nonteach_per_f">'Box 31 Part 3c'!$AH$51</definedName>
    <definedName name="resilince_num_trainmodule_others_nonteach_per_m">'Box 31 Part 3c'!$AE$51</definedName>
    <definedName name="resilince_num_trainmodule_others_specify">'Box 31 Part 3c'!$F$52</definedName>
    <definedName name="resilince_num_trainmodule_others_teach_per_f">'Box 31 Part 3c'!$AB$51</definedName>
    <definedName name="resilince_num_trainmodule_others_teach_per_m">'Box 31 Part 3c'!$Y$51</definedName>
    <definedName name="resilince_num_trainmodule_plancycle_nonteach_per_f">'Box 31 Part 3c'!$AH$43</definedName>
    <definedName name="resilince_num_trainmodule_plancycle_nonteach_per_m">'Box 31 Part 3c'!$AE$43</definedName>
    <definedName name="resilince_num_trainmodule_plancycle_teach_per_f">'Box 31 Part 3c'!$AB$43</definedName>
    <definedName name="resilince_num_trainmodule_plancycle_teach_per_m">'Box 31 Part 3c'!$Y$43</definedName>
    <definedName name="resilince_num_trainmodule_resmobpart_nonteach_per_f">'Box 31 Part 3c'!$AH$40</definedName>
    <definedName name="resilince_num_trainmodule_resmobpart_nonteach_per_m">'Box 31 Part 3c'!$AE$40</definedName>
    <definedName name="resilince_num_trainmodule_resmobpart_teach_per_f">'Box 31 Part 3c'!$AB$40</definedName>
    <definedName name="resilince_num_trainmodule_resmobpart_teach_per_m">'Box 31 Part 3c'!$Y$40</definedName>
    <definedName name="resilince_num_trainmodule_schbased_nonteach_per_f">'Box 31 Part 3c'!$AH$36</definedName>
    <definedName name="resilince_num_trainmodule_schbased_nonteach_per_m">'Box 31 Part 3c'!$AE$36</definedName>
    <definedName name="resilince_num_trainmodule_schbased_teach_per_f">'Box 31 Part 3c'!$AB$36</definedName>
    <definedName name="resilince_num_trainmodule_schbased_teach_per_m">'Box 31 Part 3c'!$Y$36</definedName>
    <definedName name="resilince_num_trainmodule_staffsafe_sec_nonteach_per_f">'Box 31 Part 3c'!$AH$50</definedName>
    <definedName name="resilince_num_trainmodule_staffsafe_sec_nonteach_per_m">'Box 31 Part 3c'!$AE$50</definedName>
    <definedName name="resilince_num_trainmodule_staffsafe_sec_teach_per_f">'Box 31 Part 3c'!$AB$50</definedName>
    <definedName name="resilince_num_trainmodule_staffsafe_sec_teach_per_m">'Box 31 Part 3c'!$Y$50</definedName>
    <definedName name="resilince_num_trainmodule_tls_nonteach_per_f">'Box 31 Part 3c'!$AH$38</definedName>
    <definedName name="resilince_num_trainmodule_tls_nonteach_per_m">'Box 31 Part 3c'!$AE$38</definedName>
    <definedName name="resilince_num_trainmodule_tls_teach_per_f">'Box 31 Part 3c'!$AB$38</definedName>
    <definedName name="resilince_num_trainmodule_tls_teach_per_m">'Box 31 Part 3c'!$Y$38</definedName>
    <definedName name="resilince_num_trainmodule_uclimatechg_nonteach_per_f">'Box 31 Part 3c'!$AH$44</definedName>
    <definedName name="resilince_num_trainmodule_uclimatechg_nonteach_per_m">'Box 31 Part 3c'!$AE$44</definedName>
    <definedName name="resilince_num_trainmodule_uclimatechg_teach_per_f">'Box 31 Part 3c'!$AB$44</definedName>
    <definedName name="resilince_num_trainmodule_uclimatechg_teach_per_m">'Box 31 Part 3c'!$Y$44</definedName>
    <definedName name="resilince_num_trainmodule_ucomhazard_nonteach_per_f">'Box 31 Part 3c'!$AH$42</definedName>
    <definedName name="resilince_num_trainmodule_ucomhazard_nonteach_per_m">'Box 31 Part 3c'!$AE$42</definedName>
    <definedName name="resilince_num_trainmodule_ucomhazard_teach_per_f">'Box 31 Part 3c'!$AB$42</definedName>
    <definedName name="resilince_num_trainmodule_ucomhazard_teach_per_m">'Box 31 Part 3c'!$Y$42</definedName>
    <definedName name="resilince_num_trainmodule_upeace_conf_nonteach_per_f">'Box 31 Part 3c'!$AH$46</definedName>
    <definedName name="resilince_num_trainmodule_upeace_conf_nonteach_per_m">'Box 31 Part 3c'!$AE$46</definedName>
    <definedName name="resilince_num_trainmodule_upeace_conf_teach_per_f">'Box 31 Part 3c'!$AB$46</definedName>
    <definedName name="resilince_num_trainmodule_upeace_conf_teach_per_m">'Box 31 Part 3c'!$Y$46</definedName>
    <definedName name="resilince_train_nonteach_per_f">'Box 31 Part 3a'!$O$8</definedName>
    <definedName name="resilince_train_nonteach_per_m">'Box 31 Part 3a'!$L$8</definedName>
    <definedName name="resilince_train_teach_per_f">'Box 31 Part 3a'!$I$8</definedName>
    <definedName name="resilince_train_teach_per_m">'Box 31 Part 3a'!$F$8</definedName>
    <definedName name="result_disasinci_apr_num_arm_conflict">'Table 37 cont.- Table 38'!$AO$17</definedName>
    <definedName name="result_disasinci_apr_num_cls">'Table 37 cont.- Table 38'!$AO$13</definedName>
    <definedName name="result_disasinci_apr_num_days">'Table 37 cont.- Table 38'!$AO$14</definedName>
    <definedName name="result_disasinci_aug_num_arm_conflict">'Table 37 cont.- Table 38'!$Y$17</definedName>
    <definedName name="result_disasinci_aug_num_cls">'Table 37 cont.- Table 38'!$Y$13</definedName>
    <definedName name="result_disasinci_aug_num_days">'Table 37 cont.- Table 38'!$Y$14</definedName>
    <definedName name="result_disasinci_dec_num_arm_conflict">'Table 37 cont.- Table 38'!$AG$17</definedName>
    <definedName name="result_disasinci_dec_num_cls">'Table 37 cont.- Table 38'!$AG$13</definedName>
    <definedName name="result_disasinci_dec_num_days">'Table 37 cont.- Table 38'!$AG$14</definedName>
    <definedName name="result_disasinci_feb_num_arm_conflict">'Table 37 cont.- Table 38'!$AK$17</definedName>
    <definedName name="result_disasinci_feb_num_cls">'Table 37 cont.- Table 38'!$AK$13</definedName>
    <definedName name="result_disasinci_feb_num_days">'Table 37 cont.- Table 38'!$AK$14</definedName>
    <definedName name="result_disasinci_hih_apr_num_suspend">'Table 37 cont.- Table 38'!$AO$16</definedName>
    <definedName name="result_disasinci_hih_aug_num_suspend">'Table 37 cont.- Table 38'!$Y$16</definedName>
    <definedName name="result_disasinci_hih_dec_num_suspend">'Table 37 cont.- Table 38'!$AG$16</definedName>
    <definedName name="result_disasinci_hih_feb_num_suspend">'Table 37 cont.- Table 38'!$AK$16</definedName>
    <definedName name="result_disasinci_hih_jan_num_suspend">'Table 37 cont.- Table 38'!$AI$16</definedName>
    <definedName name="result_disasinci_hih_jul_num_suspend">'Table 37 cont.- Table 38'!$W$16</definedName>
    <definedName name="result_disasinci_hih_jun_num_suspend">'Table 37 cont.- Table 38'!$U$16</definedName>
    <definedName name="result_disasinci_hih_mar_num_suspend">'Table 37 cont.- Table 38'!$AM$16</definedName>
    <definedName name="result_disasinci_hih_may_num_suspend">'Table 37 cont.- Table 38'!$AQ$16</definedName>
    <definedName name="result_disasinci_hih_nov_num_suspend">'Table 37 cont.- Table 38'!$AE$16</definedName>
    <definedName name="result_disasinci_hih_oct_num_suspend">'Table 37 cont.- Table 38'!$AC$16</definedName>
    <definedName name="result_disasinci_hih_sep_num_suspend">'Table 37 cont.- Table 38'!$AA$16</definedName>
    <definedName name="result_disasinci_jan_num_arm_conflict">'Table 37 cont.- Table 38'!$AI$17</definedName>
    <definedName name="result_disasinci_jan_num_cls">'Table 37 cont.- Table 38'!$AI$13</definedName>
    <definedName name="result_disasinci_jan_num_days">'Table 37 cont.- Table 38'!$AI$14</definedName>
    <definedName name="result_disasinci_jul_num_arm_conflict">'Table 37 cont.- Table 38'!$W$17</definedName>
    <definedName name="result_disasinci_jul_num_cls">'Table 37 cont.- Table 38'!$W$13</definedName>
    <definedName name="result_disasinci_jul_num_days">'Table 37 cont.- Table 38'!$W$14</definedName>
    <definedName name="result_disasinci_jun_num_arm_conflict">'Table 37 cont.- Table 38'!$U$17</definedName>
    <definedName name="result_disasinci_jun_num_cls">'Table 37 cont.- Table 38'!$U$13</definedName>
    <definedName name="result_disasinci_jun_num_days">'Table 37 cont.- Table 38'!$U$14</definedName>
    <definedName name="result_disasinci_mar_num_arm_conflict">'Table 37 cont.- Table 38'!$AM$17</definedName>
    <definedName name="result_disasinci_mar_num_cls">'Table 37 cont.- Table 38'!$AM$13</definedName>
    <definedName name="result_disasinci_mar_num_days">'Table 37 cont.- Table 38'!$AM$14</definedName>
    <definedName name="result_disasinci_may_num_arm_conflict">'Table 37 cont.- Table 38'!$AQ$17</definedName>
    <definedName name="result_disasinci_may_num_cls">'Table 37 cont.- Table 38'!$AQ$13</definedName>
    <definedName name="result_disasinci_may_num_days">'Table 37 cont.- Table 38'!$AQ$14</definedName>
    <definedName name="result_disasinci_nh_apr_num_suspend">'Table 37 cont.- Table 38'!$AO$15</definedName>
    <definedName name="result_disasinci_nh_aug_num_suspend">'Table 37 cont.- Table 38'!$Y$15</definedName>
    <definedName name="result_disasinci_nh_dec_num_suspend">'Table 37 cont.- Table 38'!$AG$15</definedName>
    <definedName name="result_disasinci_nh_feb_num_suspend">'Table 37 cont.- Table 38'!$AK$15</definedName>
    <definedName name="result_disasinci_nh_jan_num_suspend">'Table 37 cont.- Table 38'!$AI$15</definedName>
    <definedName name="result_disasinci_nh_jul_num_suspend">'Table 37 cont.- Table 38'!$W$15</definedName>
    <definedName name="result_disasinci_nh_jun_num_suspend">'Table 37 cont.- Table 38'!$U$15</definedName>
    <definedName name="result_disasinci_nh_mar_num_suspend">'Table 37 cont.- Table 38'!$AM$15</definedName>
    <definedName name="result_disasinci_nh_may_num_suspend">'Table 37 cont.- Table 38'!$AQ$15</definedName>
    <definedName name="result_disasinci_nh_nov_num_suspend">'Table 37 cont.- Table 38'!$AE$15</definedName>
    <definedName name="result_disasinci_nh_oct_num_suspend">'Table 37 cont.- Table 38'!$AC$15</definedName>
    <definedName name="result_disasinci_nh_sep_num_suspend">'Table 37 cont.- Table 38'!$AA$15</definedName>
    <definedName name="result_disasinci_nov_num_arm_conflict">'Table 37 cont.- Table 38'!$AE$17</definedName>
    <definedName name="result_disasinci_nov_num_cls">'Table 37 cont.- Table 38'!$AE$13</definedName>
    <definedName name="result_disasinci_nov_num_days">'Table 37 cont.- Table 38'!$AE$14</definedName>
    <definedName name="result_disasinci_oct_num_arm_conflict">'Table 37 cont.- Table 38'!$AC$17</definedName>
    <definedName name="result_disasinci_oct_num_cls">'Table 37 cont.- Table 38'!$AC$13</definedName>
    <definedName name="result_disasinci_oct_num_days">'Table 37 cont.- Table 38'!$AC$14</definedName>
    <definedName name="result_disasinci_sep_num_arm_conflict">'Table 37 cont.- Table 38'!$AA$17</definedName>
    <definedName name="result_disasinci_sep_num_cls">'Table 37 cont.- Table 38'!$AA$13</definedName>
    <definedName name="result_disasinci_sep_num_days">'Table 37 cont.- Table 38'!$AA$14</definedName>
    <definedName name="riskreduce_assess_rel_comp">'Box 31 Parts 1-2'!$D$30</definedName>
    <definedName name="riskreduce_ccam_abm_g11">'Box 31 Parts 1-2'!$Y$11</definedName>
    <definedName name="riskreduce_ccam_abm_g12">'Box 31 Parts 1-2'!$AB$11</definedName>
    <definedName name="riskreduce_ccam_agrifish_g11">'Box 31 Parts 1-2'!$Y$15</definedName>
    <definedName name="riskreduce_ccam_agrifish_g12">'Box 31 Parts 1-2'!$AB$15</definedName>
    <definedName name="riskreduce_ccam_als">'Box 31 Parts 1-2'!$S$27</definedName>
    <definedName name="riskreduce_ccam_artsdesign_g11">'Box 31 Parts 1-2'!$Y$19</definedName>
    <definedName name="riskreduce_ccam_artsdesign_g12">'Box 31 Parts 1-2'!$AB$19</definedName>
    <definedName name="riskreduce_ccam_context_learn">'Box 31 Parts 1-2'!$AH$27</definedName>
    <definedName name="riskreduce_ccam_gas_g11">'Box 31 Parts 1-2'!$Y$14</definedName>
    <definedName name="riskreduce_ccam_gas_g12">'Box 31 Parts 1-2'!$AB$14</definedName>
    <definedName name="riskreduce_ccam_he_g11">'Box 31 Parts 1-2'!$Y$16</definedName>
    <definedName name="riskreduce_ccam_he_g12">'Box 31 Parts 1-2'!$AB$16</definedName>
    <definedName name="riskreduce_ccam_humss_g11">'Box 31 Parts 1-2'!$Y$12</definedName>
    <definedName name="riskreduce_ccam_humss_g12">'Box 31 Parts 1-2'!$AB$12</definedName>
    <definedName name="riskreduce_ccam_ict_g11">'Box 31 Parts 1-2'!$Y$17</definedName>
    <definedName name="riskreduce_ccam_ict_g12">'Box 31 Parts 1-2'!$AB$17</definedName>
    <definedName name="riskreduce_ccam_intro_contents">'Box 31 Parts 1-2'!$AC$27</definedName>
    <definedName name="riskreduce_ccam_iped">'Box 31 Parts 1-2'!$N$27</definedName>
    <definedName name="riskreduce_ccam_learn_competence">'Box 31 Parts 1-2'!$X$27</definedName>
    <definedName name="riskreduce_ccam_others_g11">'Box 31 Parts 1-2'!$Y$20</definedName>
    <definedName name="riskreduce_ccam_others_g12">'Box 31 Parts 1-2'!$AB$20</definedName>
    <definedName name="riskreduce_ccam_sped">'Box 31 Parts 1-2'!$I$27</definedName>
    <definedName name="riskreduce_ccam_sports_g11">'Box 31 Parts 1-2'!$Y$18</definedName>
    <definedName name="riskreduce_ccam_sports_g12">'Box 31 Parts 1-2'!$AB$18</definedName>
    <definedName name="riskreduce_ccam_stem_g11">'Box 31 Parts 1-2'!$Y$13</definedName>
    <definedName name="riskreduce_ccam_stem_g12">'Box 31 Parts 1-2'!$AB$13</definedName>
    <definedName name="riskreduce_drrm_abm_g11">'Box 31 Parts 1-2'!$S$11</definedName>
    <definedName name="riskreduce_drrm_abm_g12">'Box 31 Parts 1-2'!$V$11</definedName>
    <definedName name="riskreduce_drrm_agrifish_g11">'Box 31 Parts 1-2'!$S$15</definedName>
    <definedName name="riskreduce_drrm_agrifish_g12">'Box 31 Parts 1-2'!$V$15</definedName>
    <definedName name="riskreduce_drrm_als">'Box 31 Parts 1-2'!$S$26</definedName>
    <definedName name="riskreduce_drrm_artsdesign_g11">'Box 31 Parts 1-2'!$S$19</definedName>
    <definedName name="riskreduce_drrm_artsdesign_g12">'Box 31 Parts 1-2'!$V$19</definedName>
    <definedName name="riskreduce_drrm_context_learn">'Box 31 Parts 1-2'!$AH$26</definedName>
    <definedName name="riskreduce_drrm_gas_g11">'Box 31 Parts 1-2'!$S$14</definedName>
    <definedName name="riskreduce_drrm_gas_g12">'Box 31 Parts 1-2'!$V$14</definedName>
    <definedName name="riskreduce_drrm_he_g11">'Box 31 Parts 1-2'!$S$16</definedName>
    <definedName name="riskreduce_drrm_he_g12">'Box 31 Parts 1-2'!$V$16</definedName>
    <definedName name="riskreduce_drrm_humss_g11">'Box 31 Parts 1-2'!$S$12</definedName>
    <definedName name="riskreduce_drrm_humss_g12">'Box 31 Parts 1-2'!$V$12</definedName>
    <definedName name="riskreduce_drrm_ict_g11">'Box 31 Parts 1-2'!$S$17</definedName>
    <definedName name="riskreduce_drrm_ict_g12">'Box 31 Parts 1-2'!$V$17</definedName>
    <definedName name="riskreduce_drrm_intro_contents">'Box 31 Parts 1-2'!$AC$26</definedName>
    <definedName name="riskreduce_drrm_iped">'Box 31 Parts 1-2'!$N$26</definedName>
    <definedName name="riskreduce_drrm_learn_competence">'Box 31 Parts 1-2'!$X$26</definedName>
    <definedName name="riskreduce_drrm_others_g11">'Box 31 Parts 1-2'!$S$20</definedName>
    <definedName name="riskreduce_drrm_others_g12">'Box 31 Parts 1-2'!$V$20</definedName>
    <definedName name="riskreduce_drrm_sped">'Box 31 Parts 1-2'!$I$26</definedName>
    <definedName name="riskreduce_drrm_sports_g11">'Box 31 Parts 1-2'!$S$18</definedName>
    <definedName name="riskreduce_drrm_sports_g12">'Box 31 Parts 1-2'!$V$18</definedName>
    <definedName name="riskreduce_drrm_stem_g11">'Box 31 Parts 1-2'!$S$13</definedName>
    <definedName name="riskreduce_drrm_stem_g12">'Box 31 Parts 1-2'!$V$13</definedName>
    <definedName name="riskreduce_iec_codev_ip_f">'Box 31 Parts 1-2'!$W$50</definedName>
    <definedName name="riskreduce_iec_codev_ip_m">'Box 31 Parts 1-2'!$T$50</definedName>
    <definedName name="riskreduce_iec_codev_l_f">'Box 31 Parts 1-2'!$Q$50</definedName>
    <definedName name="riskreduce_iec_codev_l_m">'Box 31 Parts 1-2'!$N$50</definedName>
    <definedName name="riskreduce_iec_codev_lwd_f">'Box 31 Parts 1-2'!$AI$50</definedName>
    <definedName name="riskreduce_iec_codev_lwd_m">'Box 31 Parts 1-2'!$AF$50</definedName>
    <definedName name="riskreduce_iec_codev_muslim_f">'Box 31 Parts 1-2'!$AC$50</definedName>
    <definedName name="riskreduce_iec_codev_muslim_m">'Box 31 Parts 1-2'!$Z$50</definedName>
    <definedName name="riskreduce_iec_consult_ip_f">'Box 31 Parts 1-2'!$W$49</definedName>
    <definedName name="riskreduce_iec_consult_ip_m">'Box 31 Parts 1-2'!$T$49</definedName>
    <definedName name="riskreduce_iec_consult_l_f">'Box 31 Parts 1-2'!$Q$49</definedName>
    <definedName name="riskreduce_iec_consult_l_m">'Box 31 Parts 1-2'!$N$49</definedName>
    <definedName name="riskreduce_iec_consult_lwd_f">'Box 31 Parts 1-2'!$AI$49</definedName>
    <definedName name="riskreduce_iec_consult_lwd_m">'Box 31 Parts 1-2'!$AF$49</definedName>
    <definedName name="riskreduce_iec_consult_muslim_f">'Box 31 Parts 1-2'!$AC$49</definedName>
    <definedName name="riskreduce_iec_consult_muslim_m">'Box 31 Parts 1-2'!$Z$49</definedName>
    <definedName name="riskreduce_iec_initiate_ip_f">'Box 31 Parts 1-2'!$W$51</definedName>
    <definedName name="riskreduce_iec_initiate_ip_m">'Box 31 Parts 1-2'!$T$51</definedName>
    <definedName name="riskreduce_iec_initiate_l_f">'Box 31 Parts 1-2'!$Q$51</definedName>
    <definedName name="riskreduce_iec_initiate_l_m">'Box 31 Parts 1-2'!$N$51</definedName>
    <definedName name="riskreduce_iec_initiate_lwd_f">'Box 31 Parts 1-2'!$AI$51</definedName>
    <definedName name="riskreduce_iec_initiate_lwd_m">'Box 31 Parts 1-2'!$AF$51</definedName>
    <definedName name="riskreduce_iec_initiate_muslim_f">'Box 31 Parts 1-2'!$AC$51</definedName>
    <definedName name="riskreduce_iec_initiate_muslim_m">'Box 31 Parts 1-2'!$Z$51</definedName>
    <definedName name="riskreduce_iec_nonteach_f">'Box 31 Parts 1-2'!$AO$42</definedName>
    <definedName name="riskreduce_iec_nonteach_m">'Box 31 Parts 1-2'!$AL$42</definedName>
    <definedName name="riskreduce_iec_part_ip_f">'Box 31 Parts 1-2'!$W$48</definedName>
    <definedName name="riskreduce_iec_part_ip_m">'Box 31 Parts 1-2'!$T$48</definedName>
    <definedName name="riskreduce_iec_part_l_f">'Box 31 Parts 1-2'!$Q$48</definedName>
    <definedName name="riskreduce_iec_part_l_m">'Box 31 Parts 1-2'!$N$48</definedName>
    <definedName name="riskreduce_iec_part_lwd_f">'Box 31 Parts 1-2'!$AI$48</definedName>
    <definedName name="riskreduce_iec_part_lwd_m">'Box 31 Parts 1-2'!$AF$48</definedName>
    <definedName name="riskreduce_iec_part_muslim_f">'Box 31 Parts 1-2'!$AC$48</definedName>
    <definedName name="riskreduce_iec_part_muslim_m">'Box 31 Parts 1-2'!$Z$48</definedName>
    <definedName name="riskreduce_iec_teach_f">'Box 31 Parts 1-2'!$AI$42</definedName>
    <definedName name="riskreduce_iec_teach_m">'Box 31 Parts 1-2'!$AF$42</definedName>
    <definedName name="riskreduce_peace_als">'Box 31 Parts 1-2'!$S$28</definedName>
    <definedName name="riskreduce_peace_context_learn">'Box 31 Parts 1-2'!$AH$28</definedName>
    <definedName name="riskreduce_peace_intro_contents">'Box 31 Parts 1-2'!$AC$28</definedName>
    <definedName name="riskreduce_peace_iped">'Box 31 Parts 1-2'!$N$28</definedName>
    <definedName name="riskreduce_peace_learn_competence">'Box 31 Parts 1-2'!$X$28</definedName>
    <definedName name="riskreduce_peace_sped">'Box 31 Parts 1-2'!$I$28</definedName>
    <definedName name="riskreduce_peacebuilding_abm_g11">'Box 31 Parts 1-2'!$AE$11</definedName>
    <definedName name="riskreduce_peacebuilding_abm_g12">'Box 31 Parts 1-2'!$AH$11</definedName>
    <definedName name="riskreduce_peacebuilding_agrifish_g11">'Box 31 Parts 1-2'!$AE$15</definedName>
    <definedName name="riskreduce_peacebuilding_agrifish_g12">'Box 31 Parts 1-2'!$AH$15</definedName>
    <definedName name="riskreduce_peacebuilding_artsdesign_g11">'Box 31 Parts 1-2'!$AE$19</definedName>
    <definedName name="riskreduce_peacebuilding_artsdesign_g12">'Box 31 Parts 1-2'!$AH$19</definedName>
    <definedName name="riskreduce_peacebuilding_gas_g11">'Box 31 Parts 1-2'!$AE$14</definedName>
    <definedName name="riskreduce_peacebuilding_gas_g12">'Box 31 Parts 1-2'!$AH$14</definedName>
    <definedName name="riskreduce_peacebuilding_he_g11">'Box 31 Parts 1-2'!$AE$16</definedName>
    <definedName name="riskreduce_peacebuilding_he_g12">'Box 31 Parts 1-2'!$AH$16</definedName>
    <definedName name="riskreduce_peacebuilding_humss_g11">'Box 31 Parts 1-2'!$AE$12</definedName>
    <definedName name="riskreduce_peacebuilding_humss_g12">'Box 31 Parts 1-2'!$AH$12</definedName>
    <definedName name="riskreduce_peacebuilding_ict_g11">'Box 31 Parts 1-2'!$AE$17</definedName>
    <definedName name="riskreduce_peacebuilding_ict_g12">'Box 31 Parts 1-2'!$AH$17</definedName>
    <definedName name="riskreduce_peacebuilding_others_g11">'Box 31 Parts 1-2'!$AE$20</definedName>
    <definedName name="riskreduce_peacebuilding_others_g12">'Box 31 Parts 1-2'!$AH$20</definedName>
    <definedName name="riskreduce_peacebuilding_sports_g11">'Box 31 Parts 1-2'!$AE$18</definedName>
    <definedName name="riskreduce_peacebuilding_sports_g12">'Box 31 Parts 1-2'!$AH$18</definedName>
    <definedName name="riskreduce_peacebuilding_stem_g11">'Box 31 Parts 1-2'!$AE$13</definedName>
    <definedName name="riskreduce_peacebuilding_stem_g12">'Box 31 Parts 1-2'!$AH$13</definedName>
    <definedName name="riskreduce_update_iec_mat">'Box 31 Parts 1-2'!$D$39</definedName>
    <definedName name="riskreduce_use_iec_mat">'Box 31 Parts 1-2'!$D$35</definedName>
    <definedName name="safelearn_facilities_instructional_resilient">'Box 29 Part 1'!$AB$17</definedName>
    <definedName name="safelearn_facilities_instructional_retrofitted">'Box 29 Part 1'!$AB$13</definedName>
    <definedName name="safelearn_facilities_instructional_safe">'Box 29 Part 1'!$K$10</definedName>
    <definedName name="safelearn_facilities_instructional_unsafe">'Box 29 Part 1'!$Q$10</definedName>
    <definedName name="safelearn_facilities_noninstructional_resilient">'Box 29 Part 1'!$AB$19</definedName>
    <definedName name="safelearn_facilities_noninstructional_retrofitted">'Box 29 Part 1'!$AB$15</definedName>
    <definedName name="safelearn_facilities_noninstructional_safe">'Box 29 Part 1'!$K$11</definedName>
    <definedName name="safelearn_facilities_noninstructional_unsafe">'Box 29 Part 1'!$Q$11</definedName>
    <definedName name="safelearn_facilities_nonstructural_hazard_mit_others">'Box 29 Part 1'!$S$27</definedName>
    <definedName name="safelearn_facilities_nonstructural_hazard_mit_others_specify">'Box 29 Part 1'!$X$27</definedName>
    <definedName name="safelearn_facilities_nonstructural_hazard_mit_porous">'Box 29 Part 1'!$G$28</definedName>
    <definedName name="safelearn_facilities_nonstructural_hazard_mit_pruning">'Box 29 Part 1'!$S$26</definedName>
    <definedName name="safelearn_facilities_nonstructural_hazard_mit_slope_protect">'Box 29 Part 1'!$G$26</definedName>
    <definedName name="safelearn_facilities_nonstructural_hazard_mit_vege">'Box 29 Part 1'!$G$27</definedName>
    <definedName name="safelearn_facilities_reg_inspect">'Box 29 Part 1'!$D$29</definedName>
    <definedName name="safelearn_facilities_reg_repair">'Box 29 Part 1'!$D$31</definedName>
    <definedName name="safelearn_facilities_sh_budget">'Box 29 Part 1'!$D$30</definedName>
    <definedName name="safelearn_facilities_structural_hazard_mit_fire">'Box 29 Part 1'!$G$23</definedName>
    <definedName name="safelearn_facilities_structural_hazard_mit_fld">'Box 29 Part 1'!$G$22</definedName>
    <definedName name="safelearn_facilities_structural_hazard_mit_others">'Box 29 Part 1'!$S$23</definedName>
    <definedName name="safelearn_facilities_structural_hazard_mit_others_specify">'Box 29 Part 1'!$X$23</definedName>
    <definedName name="safelearn_facilities_structural_hazard_mit_sea">'Box 29 Part 1'!$G$24</definedName>
    <definedName name="safelearn_facilities_structural_hazard_mit_slope">'Box 29 Part 1'!$S$22</definedName>
    <definedName name="safelearn_main_fac_apr">'Box 29 Part 1'!$V$36</definedName>
    <definedName name="safelearn_main_fac_aug">'Box 29 Part 1'!$P$38</definedName>
    <definedName name="safelearn_main_fac_dec">'Box 29 Part 1'!$AB$38</definedName>
    <definedName name="safelearn_main_fac_feb">'Box 29 Part 1'!$P$36</definedName>
    <definedName name="safelearn_main_fac_jan">'Box 29 Part 1'!$M$36</definedName>
    <definedName name="safelearn_main_fac_july">'Box 29 Part 1'!$M$38</definedName>
    <definedName name="safelearn_main_fac_jun">'Box 29 Part 1'!$AB$36</definedName>
    <definedName name="safelearn_main_fac_mar">'Box 29 Part 1'!$S$36</definedName>
    <definedName name="safelearn_main_fac_may">'Box 29 Part 1'!$Y$36</definedName>
    <definedName name="safelearn_main_fac_nov">'Box 29 Part 1'!$Y$38</definedName>
    <definedName name="safelearn_main_fac_oct">'Box 29 Part 1'!$V$38</definedName>
    <definedName name="safelearn_main_fac_sep">'Box 29 Part 1'!$S$38</definedName>
    <definedName name="safelearn_rehab_recover_instruction_reconstruct_basic">'Box 29 Part 2'!$K$12</definedName>
    <definedName name="safelearn_rehab_recover_instruction_reconstruct_expart">'Box 29 Part 2'!$Z$12</definedName>
    <definedName name="safelearn_rehab_recover_instruction_reconstruct_ndrrm">'Box 29 Part 2'!$U$12</definedName>
    <definedName name="safelearn_rehab_recover_instruction_reconstruct_quick">'Box 29 Part 2'!$P$12</definedName>
    <definedName name="safelearn_rehab_recover_instruction_rep_basic">'Box 29 Part 2'!$K$9</definedName>
    <definedName name="safelearn_rehab_recover_instruction_rep_expart">'Box 29 Part 2'!$Z$9</definedName>
    <definedName name="safelearn_rehab_recover_instruction_rep_ndrrm">'Box 29 Part 2'!$U$9</definedName>
    <definedName name="safelearn_rehab_recover_instruction_rep_quick">'Box 29 Part 2'!$P$9</definedName>
    <definedName name="safelearn_rehab_recover_noninstruction_reconstruct_basic">'Box 29 Part 2'!$K$13</definedName>
    <definedName name="safelearn_rehab_recover_noninstruction_reconstruct_expart">'Box 29 Part 2'!$Z$13</definedName>
    <definedName name="safelearn_rehab_recover_noninstruction_reconstruct_ndrrm">'Box 29 Part 2'!$U$13</definedName>
    <definedName name="safelearn_rehab_recover_noninstruction_reconstruct_quick">'Box 29 Part 2'!$P$13</definedName>
    <definedName name="safelearn_rehab_recover_noninstruction_rep_basic">'Box 29 Part 2'!$K$10</definedName>
    <definedName name="safelearn_rehab_recover_noninstruction_rep_expart">'Box 29 Part 2'!$Z$10</definedName>
    <definedName name="safelearn_rehab_recover_noninstruction_rep_ndrrm">'Box 29 Part 2'!$U$10</definedName>
    <definedName name="safelearn_rehab_recover_noninstruction_rep_quick">'Box 29 Part 2'!$P$10</definedName>
    <definedName name="safelearn_rehab_recover_safe_precaution_yes">'Box 29 Part 2'!$D$4</definedName>
    <definedName name="sch_add_brgy">SchInfo!$N$25</definedName>
    <definedName name="sch_add_mun_city">SchInfo!$G$27</definedName>
    <definedName name="sch_add_no">SchInfo!$G$25</definedName>
    <definedName name="sch_add_prov">SchInfo!$N$27</definedName>
    <definedName name="sch_add_street">SchInfo!$I$25</definedName>
    <definedName name="sch_add_zip">SchInfo!$T$27</definedName>
    <definedName name="sch_annex_extension_sch">SchInfo!$C$30</definedName>
    <definedName name="sch_avail_sp_sportsclub_aerogymn">'Box 27'!$S$18</definedName>
    <definedName name="sch_avail_sp_sportsclub_arch">'Box 27'!$S$5</definedName>
    <definedName name="sch_avail_sp_sportsclub_arnis">'Box 27'!$S$6</definedName>
    <definedName name="sch_avail_sp_sportsclub_athlrun">'Box 27'!$S$8</definedName>
    <definedName name="sch_avail_sp_sportsclub_athlthrow">'Box 27'!$S$7</definedName>
    <definedName name="sch_avail_sp_sportsclub_badm">'Box 27'!$S$9</definedName>
    <definedName name="sch_avail_sp_sportsclub_baseball">'Box 27'!$S$11</definedName>
    <definedName name="sch_avail_sp_sportsclub_basket">'Box 27'!$S$10</definedName>
    <definedName name="sch_avail_sp_sportsclub_billard">'Box 27'!$S$12</definedName>
    <definedName name="sch_avail_sp_sportsclub_bocce">'Box 27'!$AL$17</definedName>
    <definedName name="sch_avail_sp_sportsclub_boxing">'Box 27'!$S$13</definedName>
    <definedName name="sch_avail_sp_sportsclub_chess">'Box 27'!$S$14</definedName>
    <definedName name="sch_avail_sp_sportsclub_dancesports">'Box 27'!$S$15</definedName>
    <definedName name="sch_avail_sp_sportsclub_football">'Box 27'!$S$16</definedName>
    <definedName name="sch_avail_sp_sportsclub_futsal">'Box 27'!$S$17</definedName>
    <definedName name="sch_avail_sp_sportsclub_goalball">'Box 27'!$AL$18</definedName>
    <definedName name="sch_avail_sp_sportsclub_mag">'Box 27'!$S$19</definedName>
    <definedName name="sch_avail_sp_sportsclub_pencak">'Box 27'!$AL$7</definedName>
    <definedName name="sch_avail_sp_sportsclub_rg">'Box 27'!$AL$6</definedName>
    <definedName name="sch_avail_sp_sportsclub_sepaktakraw">'Box 27'!$AL$8</definedName>
    <definedName name="sch_avail_sp_sportsclub_softball">'Box 27'!$AL$9</definedName>
    <definedName name="sch_avail_sp_sportsclub_swimming">'Box 27'!$AL$10</definedName>
    <definedName name="sch_avail_sp_sportsclub_tabletennis">'Box 27'!$AL$11</definedName>
    <definedName name="sch_avail_sp_sportsclub_taekwondo">'Box 27'!$AL$12</definedName>
    <definedName name="sch_avail_sp_sportsclub_tennis">'Box 27'!$AL$13</definedName>
    <definedName name="sch_avail_sp_sportsclub_volleyball">'Box 27'!$AL$14</definedName>
    <definedName name="sch_avail_sp_sportsclub_wag">'Box 27'!$AL$5</definedName>
    <definedName name="sch_avail_sp_sportsclub_wrestling">'Box 27'!$AL$15</definedName>
    <definedName name="sch_avail_sp_sportsclub_wushu">'Box 27'!$AL$16</definedName>
    <definedName name="sch_avail_sp_sportsevent_aerogymn">'Box 27'!$P$18</definedName>
    <definedName name="sch_avail_sp_sportsevent_arch">'Box 27'!$P$5</definedName>
    <definedName name="sch_avail_sp_sportsevent_arnis">'Box 27'!$P$6</definedName>
    <definedName name="sch_avail_sp_sportsevent_athlrun">'Box 27'!$P$8</definedName>
    <definedName name="sch_avail_sp_sportsevent_athlthrow">'Box 27'!$P$7</definedName>
    <definedName name="sch_avail_sp_sportsevent_badm">'Box 27'!$P$9</definedName>
    <definedName name="sch_avail_sp_sportsevent_baseball">'Box 27'!$P$11</definedName>
    <definedName name="sch_avail_sp_sportsevent_basket">'Box 27'!$P$10</definedName>
    <definedName name="sch_avail_sp_sportsevent_billard">'Box 27'!$P$12</definedName>
    <definedName name="sch_avail_sp_sportsevent_bocce">'Box 27'!$AI$17</definedName>
    <definedName name="sch_avail_sp_sportsevent_boxing">'Box 27'!$P$13</definedName>
    <definedName name="sch_avail_sp_sportsevent_chess">'Box 27'!$P$14</definedName>
    <definedName name="sch_avail_sp_sportsevent_dancesports">'Box 27'!$P$15</definedName>
    <definedName name="sch_avail_sp_sportsevent_football">'Box 27'!$P$16</definedName>
    <definedName name="sch_avail_sp_sportsevent_futsal">'Box 27'!$P$17</definedName>
    <definedName name="sch_avail_sp_sportsevent_goalball">'Box 27'!$AI$18</definedName>
    <definedName name="sch_avail_sp_sportsevent_mag">'Box 27'!$P$19</definedName>
    <definedName name="sch_avail_sp_sportsevent_pencak">'Box 27'!$AI$7</definedName>
    <definedName name="sch_avail_sp_sportsevent_rg">'Box 27'!$AI$6</definedName>
    <definedName name="sch_avail_sp_sportsevent_sepaktakraw">'Box 27'!$AI$8</definedName>
    <definedName name="sch_avail_sp_sportsevent_softball">'Box 27'!$AI$9</definedName>
    <definedName name="sch_avail_sp_sportsevent_swimming">'Box 27'!$AI$10</definedName>
    <definedName name="sch_avail_sp_sportsevent_tabletennis">'Box 27'!$AI$11</definedName>
    <definedName name="sch_avail_sp_sportsevent_taekwondo">'Box 27'!$AI$12</definedName>
    <definedName name="sch_avail_sp_sportsevent_tennis">'Box 27'!$AI$13</definedName>
    <definedName name="sch_avail_sp_sportsevent_volleyball">'Box 27'!$AI$14</definedName>
    <definedName name="sch_avail_sp_sportsevent_wag">'Box 27'!$AI$5</definedName>
    <definedName name="sch_avail_sp_sportsevent_wrestling">'Box 27'!$AI$15</definedName>
    <definedName name="sch_avail_sp_sportsevent_wushu">'Box 27'!$AI$16</definedName>
    <definedName name="sch_avail_sp_sportssportsfac_aerogymn">'Box 27'!$V$18</definedName>
    <definedName name="sch_avail_sp_sportssportsfac_arch">'Box 27'!$V$5</definedName>
    <definedName name="sch_avail_sp_sportssportsfac_arnis">'Box 27'!$V$6</definedName>
    <definedName name="sch_avail_sp_sportssportsfac_athlrun">'Box 27'!$V$8</definedName>
    <definedName name="sch_avail_sp_sportssportsfac_athlthrow">'Box 27'!$V$7</definedName>
    <definedName name="sch_avail_sp_sportssportsfac_badm">'Box 27'!$V$9</definedName>
    <definedName name="sch_avail_sp_sportssportsfac_baseball">'Box 27'!$V$11</definedName>
    <definedName name="sch_avail_sp_sportssportsfac_basket">'Box 27'!$V$10</definedName>
    <definedName name="sch_avail_sp_sportssportsfac_billard">'Box 27'!$V$12</definedName>
    <definedName name="sch_avail_sp_sportssportsfac_bocce">'Box 27'!$AO$17</definedName>
    <definedName name="sch_avail_sp_sportssportsfac_boxing">'Box 27'!$V$13</definedName>
    <definedName name="sch_avail_sp_sportssportsfac_chess">'Box 27'!$V$14</definedName>
    <definedName name="sch_avail_sp_sportssportsfac_dancesports">'Box 27'!$V$15</definedName>
    <definedName name="sch_avail_sp_sportssportsfac_football">'Box 27'!$V$16</definedName>
    <definedName name="sch_avail_sp_sportssportsfac_futsal">'Box 27'!$V$17</definedName>
    <definedName name="sch_avail_sp_sportssportsfac_goalball">'Box 27'!$AO$18</definedName>
    <definedName name="sch_avail_sp_sportssportsfac_mag">'Box 27'!$V$19</definedName>
    <definedName name="sch_avail_sp_sportssportsfac_pencak">'Box 27'!$AO$7</definedName>
    <definedName name="sch_avail_sp_sportssportsfac_rg">'Box 27'!$AO$6</definedName>
    <definedName name="sch_avail_sp_sportssportsfac_sepaktakraw">'Box 27'!$AO$8</definedName>
    <definedName name="sch_avail_sp_sportssportsfac_softball">'Box 27'!$AO$9</definedName>
    <definedName name="sch_avail_sp_sportssportsfac_swimming">'Box 27'!$AO$10</definedName>
    <definedName name="sch_avail_sp_sportssportsfac_tabletennis">'Box 27'!$AO$11</definedName>
    <definedName name="sch_avail_sp_sportssportsfac_taekwondo">'Box 27'!$AO$12</definedName>
    <definedName name="sch_avail_sp_sportssportsfac_tennis">'Box 27'!$AO$13</definedName>
    <definedName name="sch_avail_sp_sportssportsfac_volleyball">'Box 27'!$AO$14</definedName>
    <definedName name="sch_avail_sp_sportssportsfac_wag">'Box 27'!$AO$5</definedName>
    <definedName name="sch_avail_sp_sportssportsfac_wrestling">'Box 27'!$AO$15</definedName>
    <definedName name="sch_avail_sp_sportssportsfac_wushu">'Box 27'!$AO$16</definedName>
    <definedName name="sch_cancer_brainspine_died_amongl">'Box 14'!$AK$11</definedName>
    <definedName name="sch_cancer_brainspine_livingw_amongl">'Box 14'!$W$11</definedName>
    <definedName name="sch_cancer_brainspine_patient_amongl">'Box 14'!$P$11</definedName>
    <definedName name="sch_cancer_brainspine_survivor_amongl">'Box 14'!$AD$11</definedName>
    <definedName name="sch_cancer_breast_died_amongsper">'Box 14'!$AK$20</definedName>
    <definedName name="sch_cancer_breast_livingw_amongsper">'Box 14'!$W$20</definedName>
    <definedName name="sch_cancer_breast_patient_amongsper">'Box 14'!$P$20</definedName>
    <definedName name="sch_cancer_breast_survivor_amongsper">'Box 14'!$AD$20</definedName>
    <definedName name="sch_cancer_leuk_died_amongl">'Box 14'!$AK$10</definedName>
    <definedName name="sch_cancer_leuk_livingw_amongl">'Box 14'!$W$10</definedName>
    <definedName name="sch_cancer_leuk_patient_amongl">'Box 14'!$P$10</definedName>
    <definedName name="sch_cancer_leuk_survivor_amongl">'Box 14'!$AD$10</definedName>
    <definedName name="sch_cancer_lung_died_amongsper">'Box 14'!$AK$21</definedName>
    <definedName name="sch_cancer_lung_livingw_amongsper">'Box 14'!$W$21</definedName>
    <definedName name="sch_cancer_lung_patient_amongsper">'Box 14'!$P$21</definedName>
    <definedName name="sch_cancer_lung_survivor_amongsper">'Box 14'!$AD$21</definedName>
    <definedName name="sch_cancer_othrs_died_amongl">'Box 14'!$AK$12</definedName>
    <definedName name="sch_cancer_othrs_died_amongsper">'Box 14'!$AK$22</definedName>
    <definedName name="sch_cancer_othrs_livingw_amongl">'Box 14'!$W$12</definedName>
    <definedName name="sch_cancer_othrs_livingw_amongsper">'Box 14'!$W$22</definedName>
    <definedName name="sch_cancer_othrs_patient_amongl">'Box 14'!$P$12</definedName>
    <definedName name="sch_cancer_othrs_patient_amongsper">'Box 14'!$P$22</definedName>
    <definedName name="sch_cancer_othrs_survivor_amongl">'Box 14'!$AD$12</definedName>
    <definedName name="sch_cancer_othrs_survivor_amongsper">'Box 14'!$AD$22</definedName>
    <definedName name="sch_celeb_ipday_ifyes">'Box 32'!$N$27</definedName>
    <definedName name="sch_celeb_ipmonth_ifyes">'Box 32'!$N$28</definedName>
    <definedName name="sch_celebrate_nmhwyes">'Box 13'!$AA$18</definedName>
    <definedName name="sch_cellular_avemonthlyexpense1">'Table 25'!$AC$7</definedName>
    <definedName name="sch_cellular_avemonthlyexpense2">'Table 25'!$AC$10</definedName>
    <definedName name="sch_cellular_avemonthlyexpense3">'Table 25'!$AC$13</definedName>
    <definedName name="sch_cellular_avemonthlyexpense4">'Table 25'!$AC$16</definedName>
    <definedName name="sch_cellular_avemonthlyexpense5">'Table 25'!$AC$19</definedName>
    <definedName name="sch_cellular_com_call1">'Table 25'!$J$8</definedName>
    <definedName name="sch_cellular_com_call2">'Table 25'!$J$11</definedName>
    <definedName name="sch_cellular_com_call3">'Table 25'!$J$14</definedName>
    <definedName name="sch_cellular_com_call4">'Table 25'!$J$17</definedName>
    <definedName name="sch_cellular_com_call5">'Table 25'!$J$20</definedName>
    <definedName name="sch_cellular_com_nosign1">'Table 25'!$P$8</definedName>
    <definedName name="sch_cellular_com_nosign2">'Table 25'!$P$11</definedName>
    <definedName name="sch_cellular_com_nosign3">'Table 25'!$P$14</definedName>
    <definedName name="sch_cellular_com_nosign4">'Table 25'!$P$17</definedName>
    <definedName name="sch_cellular_com_nosign5">'Table 25'!$P$20</definedName>
    <definedName name="sch_cellular_com_send_viewimage1">'Table 25'!$J$9</definedName>
    <definedName name="sch_cellular_com_send_viewimage2">'Table 25'!$J$12</definedName>
    <definedName name="sch_cellular_com_send_viewimage3">'Table 25'!$J$15</definedName>
    <definedName name="sch_cellular_com_send_viewimage4">'Table 25'!$J$18</definedName>
    <definedName name="sch_cellular_com_send_viewimage5">'Table 25'!$J$21</definedName>
    <definedName name="sch_cellular_com_text_sms1">'Table 25'!$J$7</definedName>
    <definedName name="sch_cellular_com_text_sms2">'Table 25'!$J$10</definedName>
    <definedName name="sch_cellular_com_text_sms3">'Table 25'!$J$13</definedName>
    <definedName name="sch_cellular_com_text_sms4">'Table 25'!$J$16</definedName>
    <definedName name="sch_cellular_com_text_sms5">'Table 25'!$J$19</definedName>
    <definedName name="sch_cellular_com_vcall1">'Table 25'!$P$7</definedName>
    <definedName name="sch_cellular_com_vcall2">'Table 25'!$P$10</definedName>
    <definedName name="sch_cellular_com_vcall3">'Table 25'!$P$13</definedName>
    <definedName name="sch_cellular_com_vcall4">'Table 25'!$P$16</definedName>
    <definedName name="sch_cellular_com_vcall5">'Table 25'!$P$19</definedName>
    <definedName name="sch_cgp_cond_careerguidact_yes">'Boxes 3-5'!$Z$46</definedName>
    <definedName name="sch_cgp_fcareerguidact_yes">'Boxes 3-5'!$Z$47</definedName>
    <definedName name="sch_cgp_guidadv_numyrs">'Boxes 3-5'!$Z$45</definedName>
    <definedName name="sch_cgp_guidadv_yes">'Boxes 3-5'!$Z$44</definedName>
    <definedName name="sch_cgp_guidancecounsel_numyrs_ass">'Boxes 3-5'!$Z$43</definedName>
    <definedName name="sch_cgp_guidancecounsel_yes">'Boxes 3-5'!$Z$41</definedName>
    <definedName name="sch_cgp_guidoffc_yes">'Boxes 3-5'!$Z$48</definedName>
    <definedName name="sch_clinic_bpa">'Tables 30 C &amp; D-Box 11'!$X$36</definedName>
    <definedName name="sch_clinic_designated_teach_yes">'Tables 30 C &amp; D-Box 11'!$U$20</definedName>
    <definedName name="sch_clinic_designated_yes">'Tables 30 C &amp; D-Box 11'!$U$18</definedName>
    <definedName name="sch_clinic_first_aids">'Tables 30 C &amp; D-Box 11'!$X$34</definedName>
    <definedName name="sch_clinic_scale_bathroom_unit">'Tables 30 C &amp; D-Box 11'!$S$26</definedName>
    <definedName name="sch_clinic_scale_beambalance_unit">'Tables 30 C &amp; D-Box 11'!$S$27</definedName>
    <definedName name="sch_clinic_scale_others_specify_unit">'Tables 30 C &amp; D-Box 11'!$K$28</definedName>
    <definedName name="sch_clinic_scale_others_unit">'Tables 30 C &amp; D-Box 11'!$S$28</definedName>
    <definedName name="sch_clinic_thermometers">'Tables 30 C &amp; D-Box 11'!$X$35</definedName>
    <definedName name="sch_clinic_tools_height_microtoise">'Tables 30 C &amp; D-Box 11'!$O$32</definedName>
    <definedName name="sch_clinic_tools_height_others_specify_value">'Tables 30 C &amp; D-Box 11'!$U$32</definedName>
    <definedName name="sch_clinic_tools_height_others_value">'Tables 30 C &amp; D-Box 11'!$Z$32</definedName>
    <definedName name="sch_clinic_tools_height_stadiometer">'Tables 30 C &amp; D-Box 11'!$O$33</definedName>
    <definedName name="sch_clinic_tools_height_steeltape">'Tables 30 C &amp; D-Box 11'!$H$33</definedName>
    <definedName name="sch_clinic_tools_height_tapemeasure">'Tables 30 C &amp; D-Box 11'!$H$32</definedName>
    <definedName name="sch_clinic_training">'Tables 30 C &amp; D-Box 11'!$X$37</definedName>
    <definedName name="sch_cond_cant_reach_regcars_regpuv">'Box 32'!$D$9</definedName>
    <definedName name="sch_cond_occ_danger_geo_challenges">'Box 32'!$D$11</definedName>
    <definedName name="sch_cond_peaceandordertensions_past5yrs">'Box 32'!$D$7</definedName>
    <definedName name="sch_cpc_fmeet_annually">'Boxes 24-25'!$AB$6</definedName>
    <definedName name="sch_cpc_fmeet_monthly">'Boxes 24-25'!$T$6</definedName>
    <definedName name="sch_cpc_fmeet_others">'Boxes 24-25'!$AF$6</definedName>
    <definedName name="sch_cpc_fmeet_others_specify">'Boxes 24-25'!$AK$6</definedName>
    <definedName name="sch_cpc_fmeet_quarterly">'Boxes 24-25'!$X$6</definedName>
    <definedName name="sch_cpc_yes">'Boxes 24-25'!$AF$5</definedName>
    <definedName name="sch_date_est">SchInfo!$AH$29</definedName>
    <definedName name="sch_dhr_name">'Tables 4-5'!$AI$5</definedName>
    <definedName name="sch_dhr_position">'Tables 4-5'!$AM$7</definedName>
    <definedName name="sch_div_ito_name">'Table 22'!$S$39</definedName>
    <definedName name="sch_division">SchInfo!$AH$22</definedName>
    <definedName name="sch_divsped_name">'Tables 1-2'!$AG$28</definedName>
    <definedName name="sch_divsped_postion">'Tables 1-2'!$AK$31</definedName>
    <definedName name="sch_drrm_ccam_peacebuild_ccam_ppa_cost">'Box 28 Parts 2-4'!$P$27</definedName>
    <definedName name="sch_drrm_ccam_peacebuild_ccam_ppa_no">'Box 28 Parts 2-4'!$M$27</definedName>
    <definedName name="sch_drrm_ccam_peacebuild_ccam_ppa_percent">'Box 28 Parts 2-4'!$S$27</definedName>
    <definedName name="sch_drrm_ccam_peacebuild_dim_non_teachper_f">'Box 28 Parts 2-4'!$M$36</definedName>
    <definedName name="sch_drrm_ccam_peacebuild_dim_non_teachper_m">'Box 28 Parts 2-4'!$J$36</definedName>
    <definedName name="sch_drrm_ccam_peacebuild_dim_prog_dev">'Box 28 Parts 2-4'!$AB$42</definedName>
    <definedName name="sch_drrm_ccam_peacebuild_dim_research">'Box 28 Parts 2-4'!$AB$40</definedName>
    <definedName name="sch_drrm_ccam_peacebuild_dim_sw_dcr">'Box 28 Parts 2-4'!$D$44</definedName>
    <definedName name="sch_drrm_ccam_peacebuild_dim_teachper_f">'Box 28 Parts 2-4'!$G$36</definedName>
    <definedName name="sch_drrm_ccam_peacebuild_dim_teachper_m">'Box 28 Parts 2-4'!$D$36</definedName>
    <definedName name="sch_drrm_ccam_peacebuild_dim_train">'Box 28 Parts 2-4'!$AB$38</definedName>
    <definedName name="sch_drrm_ccam_peacebuild_docs_drrm">'Box 28 Part 5'!$J$12</definedName>
    <definedName name="sch_drrm_ccam_peacebuild_docs_peacebuild">'Box 28 Part 5'!$P$12</definedName>
    <definedName name="sch_drrm_ccam_peacebuild_drrm_coor">'Box 28 Parts 2-4'!$D$23</definedName>
    <definedName name="sch_drrm_ccam_peacebuild_drrm_ppa_cost">'Box 28 Parts 2-4'!$G$27</definedName>
    <definedName name="sch_drrm_ccam_peacebuild_drrm_ppa_no">'Box 28 Parts 2-4'!$D$27</definedName>
    <definedName name="sch_drrm_ccam_peacebuild_drrm_ppa_percent">'Box 28 Parts 2-4'!$J$27</definedName>
    <definedName name="sch_drrm_ccam_peacebuild_func_team">'Box 28 Parts 2-4'!$D$22</definedName>
    <definedName name="sch_drrm_ccam_peacebuild_monitor_cssyes">'Box 28 Part 5'!$D$6</definedName>
    <definedName name="sch_drrm_ccam_peacebuild_monitor_evaluate_implementyes">'Box 28 Part 5'!$D$4</definedName>
    <definedName name="sch_drrm_ccam_peacebuild_nos_prog">'Box 28 Part 5'!$AB$14</definedName>
    <definedName name="sch_drrm_ccam_peacebuild_pbuild_ppa_cost">'Box 28 Parts 2-4'!$Y$27</definedName>
    <definedName name="sch_drrm_ccam_peacebuild_pbuild_ppa_no">'Box 28 Parts 2-4'!$V$27</definedName>
    <definedName name="sch_drrm_ccam_peacebuild_pbuild_ppa_percent">'Box 28 Parts 2-4'!$AB$27</definedName>
    <definedName name="sch_drrm_ccam_peacebuild_plan">'Box 28 Parts 2-4'!$D$4</definedName>
    <definedName name="sch_drrm_ccam_peacebuild_plan_dev_expart">'Box 28 Parts 2-4'!$W$6</definedName>
    <definedName name="sch_drrm_ccam_peacebuild_plan_dev_ip_l_f">'Box 28 Parts 2-4'!$M$15</definedName>
    <definedName name="sch_drrm_ccam_peacebuild_plan_dev_ip_l_m">'Box 28 Parts 2-4'!$J$15</definedName>
    <definedName name="sch_drrm_ccam_peacebuild_plan_dev_l_excl_ip_f">'Box 28 Parts 2-4'!$G$15</definedName>
    <definedName name="sch_drrm_ccam_peacebuild_plan_dev_l_excl_ip_m">'Box 28 Parts 2-4'!$D$15</definedName>
    <definedName name="sch_drrm_ccam_peacebuild_plan_dev_lgu">'Box 28 Parts 2-4'!$S$6</definedName>
    <definedName name="sch_drrm_ccam_peacebuild_plan_dev_lwd_f">'Box 28 Parts 2-4'!$Y$15</definedName>
    <definedName name="sch_drrm_ccam_peacebuild_plan_dev_lwd_m">'Box 28 Parts 2-4'!$V$15</definedName>
    <definedName name="sch_drrm_ccam_peacebuild_plan_dev_muslim_l_f">'Box 28 Parts 2-4'!$S$15</definedName>
    <definedName name="sch_drrm_ccam_peacebuild_plan_dev_muslim_l_m">'Box 28 Parts 2-4'!$P$15</definedName>
    <definedName name="sch_drrm_ccam_peacebuild_plan_dev_parents">'Box 28 Parts 2-4'!$N$6</definedName>
    <definedName name="sch_drrm_ccam_peacebuild_plan_dev_sp">'Box 28 Parts 2-4'!$G$6</definedName>
    <definedName name="sch_drrm_ccam_peacebuild_plan_gensense">'Box 28 Parts 2-4'!$D$9</definedName>
    <definedName name="sch_drrm_ccam_peacebuild_plan_iksp">'Box 28 Parts 2-4'!$D$8</definedName>
    <definedName name="sch_drrm_ccam_peacebuild_plan_lwd">'Box 28 Parts 2-4'!$D$7</definedName>
    <definedName name="sch_drrm_ccam_peacebuild_plan2">'Box 28 Parts 2-4'!$D$10</definedName>
    <definedName name="sch_email_add">SchInfo!$AH$28</definedName>
    <definedName name="sch_exca_bull_amongl_g11">'Box 13'!$I$24</definedName>
    <definedName name="sch_exca_bull_amongl_g12">'Box 13'!$I$25</definedName>
    <definedName name="sch_exca_bull_amongsper_g11">'Box 13'!$I$32</definedName>
    <definedName name="sch_exca_bull_amongsper_g12">'Box 13'!$I$33</definedName>
    <definedName name="sch_exca_mental_amongl_g11">'Box 13'!$N$24</definedName>
    <definedName name="sch_exca_mental_amongl_g12">'Box 13'!$N$25</definedName>
    <definedName name="sch_exca_mental_amongsper_g11">'Box 13'!$N$32</definedName>
    <definedName name="sch_exca_mental_amongsper_g12">'Box 13'!$N$33</definedName>
    <definedName name="sch_excac_other_amongl_g11">'Box 13'!$AH$24</definedName>
    <definedName name="sch_excac_other_amongl_g12">'Box 13'!$AH$25</definedName>
    <definedName name="sch_excac_other_amongsper_g11">'Box 13'!$AH$32</definedName>
    <definedName name="sch_excac_other_amongsper_g12">'Box 13'!$AH$33</definedName>
    <definedName name="sch_excac_psycho_amongl_g11">'Box 13'!$AC$24</definedName>
    <definedName name="sch_excac_psycho_amongl_g12">'Box 13'!$AC$25</definedName>
    <definedName name="sch_excac_psycho_amongsper_g11">'Box 13'!$AC$32</definedName>
    <definedName name="sch_excac_psycho_amongsper_g12">'Box 13'!$AC$33</definedName>
    <definedName name="sch_excac_selfcare_amongl_g11">'Box 13'!$X$24</definedName>
    <definedName name="sch_excac_selfcare_amongl_g12">'Box 13'!$X$25</definedName>
    <definedName name="sch_excac_selfcare_amongsper_g11">'Box 13'!$X$32</definedName>
    <definedName name="sch_excac_selfcare_amongsper_g12">'Box 13'!$X$33</definedName>
    <definedName name="sch_excac_suiprevent_amongl_g11">'Box 13'!$S$24</definedName>
    <definedName name="sch_excac_suiprevent_amongl_g12">'Box 13'!$S$25</definedName>
    <definedName name="sch_excac_suiprevent_amongsper_g11">'Box 13'!$S$32</definedName>
    <definedName name="sch_excac_suiprevent_amongsper_g12">'Box 13'!$S$33</definedName>
    <definedName name="sch_farm">SchInfo!$C$31</definedName>
    <definedName name="sch_fax_no">SchInfo!$AH$26</definedName>
    <definedName name="sch_female_learners_given_wifa_jan_mar_2021_g11">'Tables 30 C &amp; D-Box 11'!$R$13</definedName>
    <definedName name="sch_female_learners_given_wifa_jan_mar_2021_g12">'Tables 30 C &amp; D-Box 11'!$W$13</definedName>
    <definedName name="sch_female_learners_given_wifa_july_sept_2020_g11">'Tables 30 C &amp; D-Box 11'!$R$12</definedName>
    <definedName name="sch_female_learners_given_wifa_july_sept_2020_g12">'Tables 30 C &amp; D-Box 11'!$W$12</definedName>
    <definedName name="sch_female_learners_wifa_with_consent_g11">'Tables 30 C &amp; D-Box 11'!$R$11</definedName>
    <definedName name="sch_female_learners_wifa_with_consent_g12">'Tables 30 C &amp; D-Box 11'!$W$11</definedName>
    <definedName name="sch_guidance_officeyes">'Box 13'!$AA$5</definedName>
    <definedName name="sch_head_attend_iped_ifyes">'Box 32'!$V$30</definedName>
    <definedName name="sch_head_ip_ifyes">'Box 32'!$N$29</definedName>
    <definedName name="sch_head_ip_ifyes_ethnicity">'Box 32'!$AA$29</definedName>
    <definedName name="sch_head_name">SchInfo!$F$35</definedName>
    <definedName name="sch_head_pos_title">SchInfo!$F$37</definedName>
    <definedName name="sch_health_learners_dewormed_g11_f">'Tables 30 C &amp; D-Box 11'!$R$6</definedName>
    <definedName name="sch_health_learners_dewormed_g11_m">'Tables 30 C &amp; D-Box 11'!$O$6</definedName>
    <definedName name="sch_health_learners_dewormed_g12_f">'Tables 30 C &amp; D-Box 11'!$X$6</definedName>
    <definedName name="sch_health_learners_dewormed_g12_m">'Tables 30 C &amp; D-Box 11'!$U$6</definedName>
    <definedName name="sch_health_nsh_normal_g11_f">'Tables 30 A-B'!$V$24</definedName>
    <definedName name="sch_health_nsh_normal_g11_m">'Tables 30 A-B'!$R$24</definedName>
    <definedName name="sch_health_nsh_normal_g12_f">'Tables 30 A-B'!$AD$24</definedName>
    <definedName name="sch_health_nsh_normal_g12_m">'Tables 30 A-B'!$Z$24</definedName>
    <definedName name="sch_health_nsh_severely_stunted_g11_f">'Tables 30 A-B'!$V$22</definedName>
    <definedName name="sch_health_nsh_severely_stunted_g11_m">'Tables 30 A-B'!$R$22</definedName>
    <definedName name="sch_health_nsh_severely_stunted_g12_f">'Tables 30 A-B'!$AD$22</definedName>
    <definedName name="sch_health_nsh_severely_stunted_g12_m">'Tables 30 A-B'!$Z$22</definedName>
    <definedName name="sch_health_nsh_stunted_g11_f">'Tables 30 A-B'!$V$23</definedName>
    <definedName name="sch_health_nsh_stunted_g11_m">'Tables 30 A-B'!$R$23</definedName>
    <definedName name="sch_health_nsh_stunted_g12_f">'Tables 30 A-B'!$AD$23</definedName>
    <definedName name="sch_health_nsh_stunted_g12_m">'Tables 30 A-B'!$Z$23</definedName>
    <definedName name="sch_health_nsh_tall_g11_f">'Tables 30 A-B'!$V$25</definedName>
    <definedName name="sch_health_nsh_tall_g11_m">'Tables 30 A-B'!$R$25</definedName>
    <definedName name="sch_health_nsh_tall_g12_f">'Tables 30 A-B'!$AD$25</definedName>
    <definedName name="sch_health_nsh_tall_g12_m">'Tables 30 A-B'!$Z$25</definedName>
    <definedName name="sch_health_nsw_normal_g11_f">'Tables 30 A-B'!$V$15</definedName>
    <definedName name="sch_health_nsw_normal_g11_m">'Tables 30 A-B'!$R$15</definedName>
    <definedName name="sch_health_nsw_normal_g12_f">'Tables 30 A-B'!$AD$15</definedName>
    <definedName name="sch_health_nsw_normal_g12_m">'Tables 30 A-B'!$Z$15</definedName>
    <definedName name="sch_health_nsw_obese_g11_f">'Tables 30 A-B'!$V$16</definedName>
    <definedName name="sch_health_nsw_obese_g11_m">'Tables 30 A-B'!$R$16</definedName>
    <definedName name="sch_health_nsw_obese_g12_f">'Tables 30 A-B'!$AD$16</definedName>
    <definedName name="sch_health_nsw_obese_g12_m">'Tables 30 A-B'!$Z$16</definedName>
    <definedName name="sch_health_nsw_overweight_g11_f">'Tables 30 A-B'!$V$17</definedName>
    <definedName name="sch_health_nsw_overweight_g11_m">'Tables 30 A-B'!$R$17</definedName>
    <definedName name="sch_health_nsw_overweight_g12_f">'Tables 30 A-B'!$AD$17</definedName>
    <definedName name="sch_health_nsw_overweight_g12_m">'Tables 30 A-B'!$Z$17</definedName>
    <definedName name="sch_health_nsw_severelywasted_g11_f">'Tables 30 A-B'!$V$18</definedName>
    <definedName name="sch_health_nsw_severelywasted_g11_m">'Tables 30 A-B'!$R$18</definedName>
    <definedName name="sch_health_nsw_severelywasted_g12_f">'Tables 30 A-B'!$AD$18</definedName>
    <definedName name="sch_health_nsw_severelywasted_g12_m">'Tables 30 A-B'!$Z$18</definedName>
    <definedName name="sch_health_nsw_wasted_g11_f">'Tables 30 A-B'!$V$19</definedName>
    <definedName name="sch_health_nsw_wasted_g11_m">'Tables 30 A-B'!$R$19</definedName>
    <definedName name="sch_health_nsw_wasted_g12_f">'Tables 30 A-B'!$AD$19</definedName>
    <definedName name="sch_health_nsw_wasted_g12_m">'Tables 30 A-B'!$Z$19</definedName>
    <definedName name="sch_heath_vacc_mcv_g11_f">'Tables 30 A-B'!$V$7</definedName>
    <definedName name="sch_heath_vacc_mcv_g11_m">'Tables 30 A-B'!$R$7</definedName>
    <definedName name="sch_heath_vacc_mcv_g12_f">'Tables 30 A-B'!$AD$7</definedName>
    <definedName name="sch_heath_vacc_mcv_g12_m">'Tables 30 A-B'!$Z$7</definedName>
    <definedName name="sch_heath_vacc_td_g11_f">'Tables 30 A-B'!$V$8</definedName>
    <definedName name="sch_heath_vacc_td_g11_m">'Tables 30 A-B'!$R$8</definedName>
    <definedName name="sch_heath_vacc_td_g12_f">'Tables 30 A-B'!$AD$8</definedName>
    <definedName name="sch_heath_vacc_td_g12_m">'Tables 30 A-B'!$Z$8</definedName>
    <definedName name="sch_id">SchInfo!$AQ$2</definedName>
    <definedName name="sch_impreg_adm_g11">'Box 15'!$T$17</definedName>
    <definedName name="sch_impreg_adm_g12">'Box 15'!$T$18</definedName>
    <definedName name="sch_impreg_drop_g11">'Box 15'!$AL$17</definedName>
    <definedName name="sch_impreg_drop_g12">'Box 15'!$AL$18</definedName>
    <definedName name="sch_impreg_insch_g11">'Box 15'!$N$17</definedName>
    <definedName name="sch_impreg_insch_g12">'Box 15'!$N$18</definedName>
    <definedName name="sch_impreg_transin_g11">'Box 15'!$Z$17</definedName>
    <definedName name="sch_impreg_transin_g12">'Box 15'!$Z$18</definedName>
    <definedName name="sch_impreg_transout_g11">'Box 15'!$AF$17</definedName>
    <definedName name="sch_impreg_transout_g12">'Box 15'!$AF$18</definedName>
    <definedName name="sch_intercon_isp_subscribe_adminuse_yes">'Box 7-Table 24'!$H$12</definedName>
    <definedName name="sch_intercon_isp_subscribe_clinstructionuse_yes">'Box 7-Table 24'!$H$13</definedName>
    <definedName name="sch_intercon_isp_subscribe_yes">'Box 7-Table 24'!$AA$10</definedName>
    <definedName name="sch_intercon_isp_yes">'Box 7-Table 24'!$U$5</definedName>
    <definedName name="sch_intercon_isp_yes_bayantel">'Box 7-Table 24'!$H$7</definedName>
    <definedName name="sch_intercon_isp_yes_digitel">'Box 7-Table 24'!$H$8</definedName>
    <definedName name="sch_intercon_isp_yes_globe">'Box 7-Table 24'!$O$7</definedName>
    <definedName name="sch_intercon_isp_yes_other_specify">'Box 7-Table 24'!$AF$8</definedName>
    <definedName name="sch_intercon_isp_yes_otherspec">'Box 7-Table 24'!$AA$8</definedName>
    <definedName name="sch_intercon_isp_yes_pldt">'Box 7-Table 24'!$O$8</definedName>
    <definedName name="sch_intercon_isp_yes_smart">'Box 7-Table 24'!$U$7</definedName>
    <definedName name="sch_intercon_isp_yes_sun">'Box 7-Table 24'!$U$8</definedName>
    <definedName name="sch_intercon_isp_yes_witg">'Box 7-Table 24'!$AA$7</definedName>
    <definedName name="sch_intercon_num_speedtest_download_mbps">'Box 7-Table 24'!$X$17</definedName>
    <definedName name="sch_intercon_num_speedtest_ping_ms">'Box 7-Table 24'!$X$16</definedName>
    <definedName name="sch_intercon_num_speedtest_timetested">'Box 7-Table 24'!$K$17</definedName>
    <definedName name="sch_intercon_num_speedtest_upload_mbps">'Box 7-Table 24'!$AK$16</definedName>
    <definedName name="sch_intercon_speedtest_datetested_mm_dd_yyyy">'Box 7-Table 24'!$K$16</definedName>
    <definedName name="sch_internet_avemonthlyexpense1">'Box 7-Table 24'!$X$29</definedName>
    <definedName name="sch_internet_avemonthlyexpense2">'Box 7-Table 24'!$X$30</definedName>
    <definedName name="sch_internet_avemonthlyexpense3">'Box 7-Table 24'!$X$31</definedName>
    <definedName name="sch_internet_avemonthlyexpense4">'Box 7-Table 24'!$X$32</definedName>
    <definedName name="sch_internet_avemonthlyexpense5">'Box 7-Table 24'!$X$33</definedName>
    <definedName name="sch_iu">SchInfo!$C$32</definedName>
    <definedName name="sch_learn_both_smoke_endsennds_g11">'Box 16'!$AH$38</definedName>
    <definedName name="sch_learn_both_smoke_endsennds_g12">'Box 16'!$AH$39</definedName>
    <definedName name="sch_learn_endsennds_not_smoke_g11">'Box 16'!$Y$38</definedName>
    <definedName name="sch_learn_endsennds_not_smoke_g12">'Box 16'!$Y$39</definedName>
    <definedName name="sch_learn_smoke_not_endsennds_g11">'Box 16'!$P$38</definedName>
    <definedName name="sch_learn_smoke_not_endsennds_g12">'Box 16'!$P$39</definedName>
    <definedName name="sch_leg_dist">SchInfo!$AH$23</definedName>
    <definedName name="sch_lev_pol_l">'Box 28 Part 1'!$D$37</definedName>
    <definedName name="sch_lev_pol_lgu">'Box 28 Part 1'!$S$37</definedName>
    <definedName name="sch_lev_pol_ngo">'Box 28 Part 1'!$X$37</definedName>
    <definedName name="sch_lev_pol_parents">'Box 28 Part 1'!$N$37</definedName>
    <definedName name="sch_lev_pol_per">'Box 28 Part 1'!$I$37</definedName>
    <definedName name="sch_loc_ancest_dom_armed_conf">'Box 32'!$P$50</definedName>
    <definedName name="sch_mental_guidancelcoun_numlearner_g11">'Box 13'!$L$12</definedName>
    <definedName name="sch_mental_guidancelcoun_numlearner_g12">'Box 13'!$L$13</definedName>
    <definedName name="sch_mh_atpsuicide_learners_aftersy_aug">'Tables 32-34'!$Y$36</definedName>
    <definedName name="sch_mh_atpsuicide_learners_aftersy_jul">'Tables 32-34'!$W$36</definedName>
    <definedName name="sch_mh_atpsuicide_learners_aftersy_jun">'Tables 32-34'!$U$36</definedName>
    <definedName name="sch_mh_atpsuicide_learners_duringsy_aug">'Tables 32-34'!$AA$36</definedName>
    <definedName name="sch_mh_atpsuicide_learners_duringsy_nov">'Tables 32-34'!$AG$36</definedName>
    <definedName name="sch_mh_atpsuicide_learners_duringsy_oct">'Tables 32-34'!$AE$36</definedName>
    <definedName name="sch_mh_atpsuicide_learners_duringsy_sep">'Tables 32-34'!$AC$36</definedName>
    <definedName name="sch_mh_atpsuicide_learners_lastsy_apr">'Tables 32-34'!$O$36</definedName>
    <definedName name="sch_mh_atpsuicide_learners_lastsy_dec">'Tables 32-34'!$G$36</definedName>
    <definedName name="sch_mh_atpsuicide_learners_lastsy_feb">'Tables 32-34'!$K$36</definedName>
    <definedName name="sch_mh_atpsuicide_learners_lastsy_jan">'Tables 32-34'!$I$36</definedName>
    <definedName name="sch_mh_atpsuicide_learners_lastsy_jun">'Tables 32-34'!$S$36</definedName>
    <definedName name="sch_mh_atpsuicide_learners_lastsy_mar">'Tables 32-34'!$M$36</definedName>
    <definedName name="sch_mh_atpsuicide_learners_lastsy_may">'Tables 32-34'!$Q$36</definedName>
    <definedName name="sch_mh_atpsuicide_personnel_aftersy_aug">'Tables 32-34'!$BA$36</definedName>
    <definedName name="sch_mh_atpsuicide_personnel_aftersy_jul">'Tables 32-34'!$AY$36</definedName>
    <definedName name="sch_mh_atpsuicide_personnel_aftersy_jun">'Tables 32-34'!$AW$36</definedName>
    <definedName name="sch_mh_atpsuicide_personnel_duringsy_aug">'Tables 32-34'!$BC$36</definedName>
    <definedName name="sch_mh_atpsuicide_personnel_duringsy_nov">'Tables 32-34'!$BI$36</definedName>
    <definedName name="sch_mh_atpsuicide_personnel_duringsy_oct">'Tables 32-34'!$BG$36</definedName>
    <definedName name="sch_mh_atpsuicide_personnel_duringsy_sep">'Tables 32-34'!$BE$36</definedName>
    <definedName name="sch_mh_atpsuicide_personnel_lastsy_apr">'Tables 32-34'!$AQ$36</definedName>
    <definedName name="sch_mh_atpsuicide_personnel_lastsy_dec">'Tables 32-34'!$AI$36</definedName>
    <definedName name="sch_mh_atpsuicide_personnel_lastsy_feb">'Tables 32-34'!$AM$36</definedName>
    <definedName name="sch_mh_atpsuicide_personnel_lastsy_jan">'Tables 32-34'!$AK$36</definedName>
    <definedName name="sch_mh_atpsuicide_personnel_lastsy_jun">'Tables 32-34'!$AU$36</definedName>
    <definedName name="sch_mh_atpsuicide_personnel_lastsy_mar">'Tables 32-34'!$AO$36</definedName>
    <definedName name="sch_mh_atpsuicide_personnel_lastsy_may">'Tables 32-34'!$AS$36</definedName>
    <definedName name="sch_mh_suicide_learners_aftersy_aug">'Tables 32-34'!$Y$35</definedName>
    <definedName name="sch_mh_suicide_learners_aftersy_jul">'Tables 32-34'!$W$35</definedName>
    <definedName name="sch_mh_suicide_learners_aftersy_jun">'Tables 32-34'!$U$35</definedName>
    <definedName name="sch_mh_suicide_learners_duringsy_aug">'Tables 32-34'!$AA$35</definedName>
    <definedName name="sch_mh_suicide_learners_duringsy_nov">'Tables 32-34'!$AG$35</definedName>
    <definedName name="sch_mh_suicide_learners_duringsy_oct">'Tables 32-34'!$AE$35</definedName>
    <definedName name="sch_mh_suicide_learners_duringsy_sep">'Tables 32-34'!$AC$35</definedName>
    <definedName name="sch_mh_suicide_learners_lastsy_apr">'Tables 32-34'!$O$35</definedName>
    <definedName name="sch_mh_suicide_learners_lastsy_dec">'Tables 32-34'!$G$35</definedName>
    <definedName name="sch_mh_suicide_learners_lastsy_feb">'Tables 32-34'!$K$35</definedName>
    <definedName name="sch_mh_suicide_learners_lastsy_jan">'Tables 32-34'!$I$35</definedName>
    <definedName name="sch_mh_suicide_learners_lastsy_jun">'Tables 32-34'!$S$35</definedName>
    <definedName name="sch_mh_suicide_learners_lastsy_mar">'Tables 32-34'!$M$35</definedName>
    <definedName name="sch_mh_suicide_learners_lastsy_may">'Tables 32-34'!$Q$35</definedName>
    <definedName name="sch_mh_suicide_personnel_aftersy_aug">'Tables 32-34'!$BA$35</definedName>
    <definedName name="sch_mh_suicide_personnel_aftersy_jul">'Tables 32-34'!$AY$35</definedName>
    <definedName name="sch_mh_suicide_personnel_aftersy_jun">'Tables 32-34'!$AW$35</definedName>
    <definedName name="sch_mh_suicide_personnel_duringsy_aug">'Tables 32-34'!$BC$35</definedName>
    <definedName name="sch_mh_suicide_personnel_duringsy_nov">'Tables 32-34'!$BI$35</definedName>
    <definedName name="sch_mh_suicide_personnel_duringsy_oct">'Tables 32-34'!$BG$35</definedName>
    <definedName name="sch_mh_suicide_personnel_duringsy_sep">'Tables 32-34'!$BE$35</definedName>
    <definedName name="sch_mh_suicide_personnel_lastsy_apr">'Tables 32-34'!$AQ$35</definedName>
    <definedName name="sch_mh_suicide_personnel_lastsy_dec">'Tables 32-34'!$AI$35</definedName>
    <definedName name="sch_mh_suicide_personnel_lastsy_feb">'Tables 32-34'!$AM$35</definedName>
    <definedName name="sch_mh_suicide_personnel_lastsy_jan">'Tables 32-34'!$AK$35</definedName>
    <definedName name="sch_mh_suicide_personnel_lastsy_jun">'Tables 32-34'!$AU$35</definedName>
    <definedName name="sch_mh_suicide_personnel_lastsy_mar">'Tables 32-34'!$AO$35</definedName>
    <definedName name="sch_mh_suicide_personnel_lastsy_may">'Tables 32-34'!$AS$35</definedName>
    <definedName name="sch_mob_no">SchInfo!$AH$25</definedName>
    <definedName name="sch_mother_sch_id">SchInfo!$R$30</definedName>
    <definedName name="sch_name">SchInfo!$G$21</definedName>
    <definedName name="sch_nosmoking_postschgate_yes">'Box 16'!$AI$7</definedName>
    <definedName name="sch_nosmoking_sign_yes">'Box 16'!$AI$6</definedName>
    <definedName name="sch_num_cpcases_refer_apprauth">'Boxes 24-25'!$AF$7</definedName>
    <definedName name="sch_num_funct_computers_acad_desktop_depeddcp">'Table 22'!$K$7</definedName>
    <definedName name="sch_num_funct_computers_acad_desktop_lgusef">'Table 22'!$U$7</definedName>
    <definedName name="sch_num_funct_computers_acad_desktop_othergov">'Table 22'!$AJ$7</definedName>
    <definedName name="sch_num_funct_computers_acad_desktop_others">'Table 22'!$AO$7</definedName>
    <definedName name="sch_num_funct_computers_acad_desktop_privatedon">'Table 22'!$AE$7</definedName>
    <definedName name="sch_num_funct_computers_acad_desktop_pta">'Table 22'!$Z$7</definedName>
    <definedName name="sch_num_funct_computers_acad_dvt_depeddcp">'Table 22'!$K$11</definedName>
    <definedName name="sch_num_funct_computers_acad_dvt_depednondcp">'Table 22'!$P$11</definedName>
    <definedName name="sch_num_funct_computers_acad_dvt_lgusef">'Table 22'!$U$11</definedName>
    <definedName name="sch_num_funct_computers_acad_dvt_othergov">'Table 22'!$AJ$11</definedName>
    <definedName name="sch_num_funct_computers_acad_dvt_others">'Table 22'!$AO$11</definedName>
    <definedName name="sch_num_funct_computers_acad_dvt_privatedon">'Table 22'!$AE$11</definedName>
    <definedName name="sch_num_funct_computers_acad_dvt_pta">'Table 22'!$Z$11</definedName>
    <definedName name="sch_num_funct_computers_acad_lapel_depeddcp">'Table 23'!$K$13</definedName>
    <definedName name="sch_num_funct_computers_acad_lapel_depednondcp">'Table 23'!$P$13</definedName>
    <definedName name="sch_num_funct_computers_acad_lapel_lgusef">'Table 23'!$U$13</definedName>
    <definedName name="sch_num_funct_computers_acad_lapel_othergov">'Table 23'!$AJ$13</definedName>
    <definedName name="sch_num_funct_computers_acad_lapel_others">'Table 23'!$AO$13</definedName>
    <definedName name="sch_num_funct_computers_acad_lapel_privatedon">'Table 23'!$AE$13</definedName>
    <definedName name="sch_num_funct_computers_acad_lapel_pta">'Table 23'!$Z$13</definedName>
    <definedName name="sch_num_funct_computers_acad_ledtv_depeddcp">'Table 23'!$K$7</definedName>
    <definedName name="sch_num_funct_computers_acad_ledtv_depednondcp">'Table 23'!$P$7</definedName>
    <definedName name="sch_num_funct_computers_acad_ledtv_lgusef">'Table 23'!$U$7</definedName>
    <definedName name="sch_num_funct_computers_acad_ledtv_othergov">'Table 23'!$AJ$7</definedName>
    <definedName name="sch_num_funct_computers_acad_ledtv_others">'Table 23'!$AO$7</definedName>
    <definedName name="sch_num_funct_computers_acad_ledtv_privatedon">'Table 23'!$AE$7</definedName>
    <definedName name="sch_num_funct_computers_acad_ledtv_pta">'Table 23'!$Z$7</definedName>
    <definedName name="sch_num_funct_computers_acad_netswitch_depeddcp">'Table 23'!$K$8</definedName>
    <definedName name="sch_num_funct_computers_acad_netswitch_depednondcp">'Table 23'!$P$8</definedName>
    <definedName name="sch_num_funct_computers_acad_netswitch_lgusef">'Table 23'!$U$8</definedName>
    <definedName name="sch_num_funct_computers_acad_netswitch_othergov">'Table 23'!$AJ$8</definedName>
    <definedName name="sch_num_funct_computers_acad_netswitch_others">'Table 23'!$AO$8</definedName>
    <definedName name="sch_num_funct_computers_acad_netswitch_privatedon">'Table 23'!$AE$8</definedName>
    <definedName name="sch_num_funct_computers_acad_netswitch_pta">'Table 23'!$Z$8</definedName>
    <definedName name="sch_num_funct_computers_acad_notnetbook_depeddcp">'Table 22'!$K$8</definedName>
    <definedName name="sch_num_funct_computers_acad_notnetbook_depednondcp">'Table 22'!$P$8</definedName>
    <definedName name="sch_num_funct_computers_acad_notnetbook_lgusef">'Table 22'!$U$8</definedName>
    <definedName name="sch_num_funct_computers_acad_notnetbook_othergov">'Table 22'!$AJ$8</definedName>
    <definedName name="sch_num_funct_computers_acad_notnetbook_others">'Table 22'!$AO$8</definedName>
    <definedName name="sch_num_funct_computers_acad_notnetbook_privatedon">'Table 22'!$AE$8</definedName>
    <definedName name="sch_num_funct_computers_acad_notnetbook_pta">'Table 22'!$Z$8</definedName>
    <definedName name="sch_num_funct_computers_acad_printer_depeddcp">'Table 23'!$K$9</definedName>
    <definedName name="sch_num_funct_computers_acad_printer_depednondcp">'Table 23'!$P$9</definedName>
    <definedName name="sch_num_funct_computers_acad_printer_lgusef">'Table 23'!$U$9</definedName>
    <definedName name="sch_num_funct_computers_acad_printer_othergov">'Table 23'!$AJ$9</definedName>
    <definedName name="sch_num_funct_computers_acad_printer_others">'Table 23'!$AO$9</definedName>
    <definedName name="sch_num_funct_computers_acad_printer_privatedon">'Table 23'!$AE$9</definedName>
    <definedName name="sch_num_funct_computers_acad_printer_pta">'Table 23'!$Z$9</definedName>
    <definedName name="sch_num_funct_computers_acad_projector_depeddcp">'Table 23'!$K$10</definedName>
    <definedName name="sch_num_funct_computers_acad_projector_depednondcp">'Table 23'!$P$10</definedName>
    <definedName name="sch_num_funct_computers_acad_projector_lgusef">'Table 23'!$U$10</definedName>
    <definedName name="sch_num_funct_computers_acad_projector_othergov">'Table 23'!$AJ$10</definedName>
    <definedName name="sch_num_funct_computers_acad_projector_others">'Table 23'!$AO$10</definedName>
    <definedName name="sch_num_funct_computers_acad_projector_privatedon">'Table 23'!$AE$10</definedName>
    <definedName name="sch_num_funct_computers_acad_projector_pta">'Table 23'!$Z$10</definedName>
    <definedName name="sch_num_funct_computers_acad_router_depeddcp">'Table 23'!$K$12</definedName>
    <definedName name="sch_num_funct_computers_acad_router_depednondcp">'Table 23'!$P$12</definedName>
    <definedName name="sch_num_funct_computers_acad_router_lgusef">'Table 23'!$U$12</definedName>
    <definedName name="sch_num_funct_computers_acad_router_othergov">'Table 23'!$AJ$12</definedName>
    <definedName name="sch_num_funct_computers_acad_router_others">'Table 23'!$AO$12</definedName>
    <definedName name="sch_num_funct_computers_acad_router_privatedon">'Table 23'!$AE$12</definedName>
    <definedName name="sch_num_funct_computers_acad_router_pta">'Table 23'!$Z$12</definedName>
    <definedName name="sch_num_funct_computers_acad_sgs_desktop_depednondcp">'Table 22'!$P$7</definedName>
    <definedName name="sch_num_funct_computers_acad_tablet_depeddcp">'Table 22'!$K$9</definedName>
    <definedName name="sch_num_funct_computers_acad_tablet_depednondcp">'Table 22'!$P$9</definedName>
    <definedName name="sch_num_funct_computers_acad_tablet_lgusef">'Table 22'!$U$9</definedName>
    <definedName name="sch_num_funct_computers_acad_tablet_othergov">'Table 22'!$AJ$9</definedName>
    <definedName name="sch_num_funct_computers_acad_tablet_others">'Table 22'!$AO$9</definedName>
    <definedName name="sch_num_funct_computers_acad_tablet_privatedon">'Table 22'!$AE$9</definedName>
    <definedName name="sch_num_funct_computers_acad_tablet_pta">'Table 22'!$Z$9</definedName>
    <definedName name="sch_num_funct_computers_acad_tabletpc_depeddcp">'Table 22'!$K$10</definedName>
    <definedName name="sch_num_funct_computers_acad_tabletpc_depednondcp">'Table 22'!$P$10</definedName>
    <definedName name="sch_num_funct_computers_acad_tabletpc_lgusef">'Table 22'!$U$10</definedName>
    <definedName name="sch_num_funct_computers_acad_tabletpc_othergov">'Table 22'!$AJ$10</definedName>
    <definedName name="sch_num_funct_computers_acad_tabletpc_others">'Table 22'!$AO$10</definedName>
    <definedName name="sch_num_funct_computers_acad_tabletpc_privatedon">'Table 22'!$AE$10</definedName>
    <definedName name="sch_num_funct_computers_acad_tabletpc_pta">'Table 22'!$Z$10</definedName>
    <definedName name="sch_num_funct_computers_acad_ups_depeddcp">'Table 23'!$K$11</definedName>
    <definedName name="sch_num_funct_computers_acad_ups_depednondcp">'Table 23'!$P$11</definedName>
    <definedName name="sch_num_funct_computers_acad_ups_lgusef">'Table 23'!$U$11</definedName>
    <definedName name="sch_num_funct_computers_acad_ups_othergov">'Table 23'!$AJ$11</definedName>
    <definedName name="sch_num_funct_computers_acad_ups_others">'Table 23'!$AO$11</definedName>
    <definedName name="sch_num_funct_computers_acad_ups_privatedon">'Table 23'!$AE$11</definedName>
    <definedName name="sch_num_funct_computers_acad_ups_pta">'Table 23'!$Z$11</definedName>
    <definedName name="sch_num_funct_computers_admin_desktop_depeddcp">'Table 22'!$K$13</definedName>
    <definedName name="sch_num_funct_computers_admin_desktop_depednondcp">'Table 22'!$P$13</definedName>
    <definedName name="sch_num_funct_computers_admin_desktop_lgusef">'Table 22'!$U$13</definedName>
    <definedName name="sch_num_funct_computers_admin_desktop_othergov">'Table 22'!$AJ$13</definedName>
    <definedName name="sch_num_funct_computers_admin_desktop_others">'Table 22'!$AO$13</definedName>
    <definedName name="sch_num_funct_computers_admin_desktop_privatedon">'Table 22'!$AE$13</definedName>
    <definedName name="sch_num_funct_computers_admin_desktop_pta">'Table 22'!$Z$13</definedName>
    <definedName name="sch_num_funct_computers_admin_dvt_depeddcp">'Table 22'!$K$17</definedName>
    <definedName name="sch_num_funct_computers_admin_dvt_depednondcp">'Table 22'!$P$17</definedName>
    <definedName name="sch_num_funct_computers_admin_dvt_lgusef">'Table 22'!$U$17</definedName>
    <definedName name="sch_num_funct_computers_admin_dvt_othergov">'Table 22'!$AJ$17</definedName>
    <definedName name="sch_num_funct_computers_admin_dvt_others">'Table 22'!$AO$17</definedName>
    <definedName name="sch_num_funct_computers_admin_dvt_privatedon">'Table 22'!$AE$17</definedName>
    <definedName name="sch_num_funct_computers_admin_dvt_pta">'Table 22'!$Z$17</definedName>
    <definedName name="sch_num_funct_computers_admin_ledtv_depeddcp">'Table 23'!$K$15</definedName>
    <definedName name="sch_num_funct_computers_admin_ledtv_depednondcp">'Table 23'!$P$15</definedName>
    <definedName name="sch_num_funct_computers_admin_ledtv_lgusef">'Table 23'!$U$15</definedName>
    <definedName name="sch_num_funct_computers_admin_ledtv_othergov">'Table 23'!$AJ$15</definedName>
    <definedName name="sch_num_funct_computers_admin_ledtv_others">'Table 23'!$AO$15</definedName>
    <definedName name="sch_num_funct_computers_admin_ledtv_privatedon">'Table 23'!$AE$15</definedName>
    <definedName name="sch_num_funct_computers_admin_ledtv_pta">'Table 23'!$Z$15</definedName>
    <definedName name="sch_num_funct_computers_admin_netswitch_depeddcp">'Table 23'!$K$16</definedName>
    <definedName name="sch_num_funct_computers_admin_netswitch_depednondcp">'Table 23'!$P$16</definedName>
    <definedName name="sch_num_funct_computers_admin_netswitch_lgusef">'Table 23'!$U$16</definedName>
    <definedName name="sch_num_funct_computers_admin_netswitch_othergov">'Table 23'!$AJ$16</definedName>
    <definedName name="sch_num_funct_computers_admin_netswitch_others">'Table 23'!$AO$16</definedName>
    <definedName name="sch_num_funct_computers_admin_netswitch_privatedon">'Table 23'!$AE$16</definedName>
    <definedName name="sch_num_funct_computers_admin_netswitch_pta">'Table 23'!$Z$16</definedName>
    <definedName name="sch_num_funct_computers_admin_notnetbook_depeddcp">'Table 22'!$K$14</definedName>
    <definedName name="sch_num_funct_computers_admin_notnetbook_depednondcp">'Table 22'!$P$14</definedName>
    <definedName name="sch_num_funct_computers_admin_notnetbook_lgusef">'Table 22'!$U$14</definedName>
    <definedName name="sch_num_funct_computers_admin_notnetbook_othergov">'Table 22'!$AJ$14</definedName>
    <definedName name="sch_num_funct_computers_admin_notnetbook_others">'Table 22'!$AO$14</definedName>
    <definedName name="sch_num_funct_computers_admin_notnetbook_privatedon">'Table 22'!$AE$14</definedName>
    <definedName name="sch_num_funct_computers_admin_notnetbook_pta">'Table 22'!$Z$14</definedName>
    <definedName name="sch_num_funct_computers_admin_printer_depeddcp">'Table 23'!$K$17</definedName>
    <definedName name="sch_num_funct_computers_admin_printer_depednondcp">'Table 23'!$P$17</definedName>
    <definedName name="sch_num_funct_computers_admin_printer_lgusef">'Table 23'!$U$17</definedName>
    <definedName name="sch_num_funct_computers_admin_printer_othergov">'Table 23'!$AJ$17</definedName>
    <definedName name="sch_num_funct_computers_admin_printer_others">'Table 23'!$AO$17</definedName>
    <definedName name="sch_num_funct_computers_admin_printer_privatedon">'Table 23'!$AE$17</definedName>
    <definedName name="sch_num_funct_computers_admin_printer_pta">'Table 23'!$Z$17</definedName>
    <definedName name="sch_num_funct_computers_admin_projector_depeddcp">'Table 23'!$K$18</definedName>
    <definedName name="sch_num_funct_computers_admin_projector_depednondcp">'Table 23'!$P$18</definedName>
    <definedName name="sch_num_funct_computers_admin_projector_lgusef">'Table 23'!$U$18</definedName>
    <definedName name="sch_num_funct_computers_admin_projector_othergov">'Table 23'!$AJ$18</definedName>
    <definedName name="sch_num_funct_computers_admin_projector_others">'Table 23'!$AO$18</definedName>
    <definedName name="sch_num_funct_computers_admin_projector_privatedon">'Table 23'!$AE$18</definedName>
    <definedName name="sch_num_funct_computers_admin_projector_pta">'Table 23'!$Z$18</definedName>
    <definedName name="sch_num_funct_computers_admin_router_depeddcp">'Table 23'!$K$20</definedName>
    <definedName name="sch_num_funct_computers_admin_router_depednondcp">'Table 23'!$P$20</definedName>
    <definedName name="sch_num_funct_computers_admin_router_lgusef">'Table 23'!$U$20</definedName>
    <definedName name="sch_num_funct_computers_admin_router_othergov">'Table 23'!$AJ$20</definedName>
    <definedName name="sch_num_funct_computers_admin_router_others">'Table 23'!$AO$20</definedName>
    <definedName name="sch_num_funct_computers_admin_router_privatedon">'Table 23'!$AE$20</definedName>
    <definedName name="sch_num_funct_computers_admin_router_pta">'Table 23'!$Z$20</definedName>
    <definedName name="sch_num_funct_computers_admin_tablet_depeddcp">'Table 22'!$K$15</definedName>
    <definedName name="sch_num_funct_computers_admin_tablet_depednondcp">'Table 22'!$P$15</definedName>
    <definedName name="sch_num_funct_computers_admin_tablet_lgusef">'Table 22'!$U$15</definedName>
    <definedName name="sch_num_funct_computers_admin_tablet_othergov">'Table 22'!$AJ$15</definedName>
    <definedName name="sch_num_funct_computers_admin_tablet_others">'Table 22'!$AO$15</definedName>
    <definedName name="sch_num_funct_computers_admin_tablet_privatedon">'Table 22'!$AE$15</definedName>
    <definedName name="sch_num_funct_computers_admin_tablet_pta">'Table 22'!$Z$15</definedName>
    <definedName name="sch_num_funct_computers_admin_tabletpc_depeddcp">'Table 22'!$K$16</definedName>
    <definedName name="sch_num_funct_computers_admin_tabletpc_depednondcp">'Table 22'!$P$16</definedName>
    <definedName name="sch_num_funct_computers_admin_tabletpc_lgusef">'Table 22'!$U$16</definedName>
    <definedName name="sch_num_funct_computers_admin_tabletpc_othergov">'Table 22'!$AJ$16</definedName>
    <definedName name="sch_num_funct_computers_admin_tabletpc_others">'Table 22'!$AO$16</definedName>
    <definedName name="sch_num_funct_computers_admin_tabletpc_privatedon">'Table 22'!$AE$16</definedName>
    <definedName name="sch_num_funct_computers_admin_tabletpc_pta">'Table 22'!$Z$16</definedName>
    <definedName name="sch_num_funct_computers_admin_ups_depeddcp">'Table 23'!$K$19</definedName>
    <definedName name="sch_num_funct_computers_admin_ups_depednondcp">'Table 23'!$P$19</definedName>
    <definedName name="sch_num_funct_computers_admin_ups_lgusef">'Table 23'!$U$19</definedName>
    <definedName name="sch_num_funct_computers_admin_ups_othergov">'Table 23'!$AJ$19</definedName>
    <definedName name="sch_num_funct_computers_admin_ups_others">'Table 23'!$AO$19</definedName>
    <definedName name="sch_num_funct_computers_admin_ups_privatedon">'Table 23'!$AE$19</definedName>
    <definedName name="sch_num_funct_computers_admin_ups_pta">'Table 23'!$Z$19</definedName>
    <definedName name="sch_num_learn_vac_measle_gr11_f">'Box 32'!$O$46</definedName>
    <definedName name="sch_num_learn_vac_measle_gr11_m">'Box 32'!$M$46</definedName>
    <definedName name="sch_num_learn_vac_measle_gr12_f">'Box 32'!$S$46</definedName>
    <definedName name="sch_num_learn_vac_measle_gr12_m">'Box 32'!$Q$46</definedName>
    <definedName name="sch_num_learn_vac_pap_vir_gr11_f">'Box 32'!$O$48</definedName>
    <definedName name="sch_num_learn_vac_pap_vir_gr11_m">'Box 32'!$M$48</definedName>
    <definedName name="sch_num_learn_vac_pap_vir_gr12_f">'Box 32'!$S$48</definedName>
    <definedName name="sch_num_learn_vac_pap_vir_gr12_m">'Box 32'!$Q$48</definedName>
    <definedName name="sch_num_learn_vac_tet_dip_gr11_f">'Box 32'!$O$47</definedName>
    <definedName name="sch_num_learn_vac_tet_dip_gr11_m">'Box 32'!$M$47</definedName>
    <definedName name="sch_num_learn_vac_tet_dip_gr12_f">'Box 32'!$S$47</definedName>
    <definedName name="sch_num_learn_vac_tet_dip_gr12_m">'Box 32'!$Q$47</definedName>
    <definedName name="sch_num_teach_ip_gr11_f">'Box 32'!$H$35</definedName>
    <definedName name="sch_num_teach_ip_gr11_m">'Box 32'!$E$35</definedName>
    <definedName name="sch_num_teach_ip_gr12_f">'Box 32'!$N$35</definedName>
    <definedName name="sch_num_teach_ip_gr12_m">'Box 32'!$K$35</definedName>
    <definedName name="sch_num_teach_orient_iped_f">'Box 32'!$K$38</definedName>
    <definedName name="sch_num_teach_orient_iped_m">'Box 32'!$E$38</definedName>
    <definedName name="sch_num_teach_train_iped_f">'Box 32'!$K$41</definedName>
    <definedName name="sch_num_teach_train_iped_m">'Box 32'!$E$41</definedName>
    <definedName name="sch_operational_centeryes">'Box 15'!$AA$21</definedName>
    <definedName name="sch_oralh_details_num_dmftpermatet_g11">'Tables 32-34'!$Q$9</definedName>
    <definedName name="sch_oralh_details_num_dmftpermatet_g12">'Tables 32-34'!$V$9</definedName>
    <definedName name="sch_oralh_details_num_dmfttempotet_g11">'Tables 32-34'!$Q$12</definedName>
    <definedName name="sch_oralh_details_num_dmfttempotet_g12">'Tables 32-34'!$V$12</definedName>
    <definedName name="sch_oralh_details_num_learner_dmftpermatet_11">'Tables 32-34'!$Q$8</definedName>
    <definedName name="sch_oralh_details_num_learner_dmftpermatet_12">'Tables 32-34'!$V$8</definedName>
    <definedName name="sch_oralh_details_num_learner_dmfttempotet_g11">'Tables 32-34'!$Q$11</definedName>
    <definedName name="sch_oralh_details_num_learner_dmfttempotet_g12">'Tables 32-34'!$V$11</definedName>
    <definedName name="sch_oralh_details_num_learner_fthgumdisease_g11">'Tables 32-34'!$Q$13</definedName>
    <definedName name="sch_oralh_details_num_learner_fthgumdisease_g12">'Tables 32-34'!$V$13</definedName>
    <definedName name="sch_oralh_details_num_learner_wosigdentalanom_g11">'Tables 32-34'!$Q$14</definedName>
    <definedName name="sch_oralh_details_num_learner_wosigdentalanom_g12">'Tables 32-34'!$V$14</definedName>
    <definedName name="sch_oralh_details_num_lexamined_g11">'Tables 32-34'!$Q$6</definedName>
    <definedName name="sch_oralh_details_num_lexamined_g12">'Tables 32-34'!$V$6</definedName>
    <definedName name="sch_po3_name">SchInfo!$R$35</definedName>
    <definedName name="sch_preg_adm_g11">'Box 15'!$T$9</definedName>
    <definedName name="sch_preg_adm_g12">'Box 15'!$T$10</definedName>
    <definedName name="sch_preg_drop_g11">'Box 15'!$AL$9</definedName>
    <definedName name="sch_preg_drop_g12">'Box 15'!$AL$10</definedName>
    <definedName name="sch_preg_insch_g11">'Box 15'!$N$9</definedName>
    <definedName name="sch_preg_insch_g12">'Box 15'!$N$10</definedName>
    <definedName name="sch_preg_transin_g11">'Box 15'!$Z$9</definedName>
    <definedName name="sch_preg_transin_g12">'Box 15'!$Z$10</definedName>
    <definedName name="sch_preg_transout_g11">'Box 15'!$AF$9</definedName>
    <definedName name="sch_preg_transout_g12">'Box 15'!$AF$10</definedName>
    <definedName name="sch_prev_name">SchInfo!$G$23</definedName>
    <definedName name="sch_print_copy_avemonthexp1">'Table 26'!$R$7</definedName>
    <definedName name="sch_print_copy_avemonthexp10">'Table 26'!$R$16</definedName>
    <definedName name="sch_print_copy_avemonthexp2">'Table 26'!$R$8</definedName>
    <definedName name="sch_print_copy_avemonthexp3">'Table 26'!$R$9</definedName>
    <definedName name="sch_print_copy_avemonthexp4">'Table 26'!$R$10</definedName>
    <definedName name="sch_print_copy_avemonthexp5">'Table 26'!$R$11</definedName>
    <definedName name="sch_print_copy_avemonthexp6">'Table 26'!$R$12</definedName>
    <definedName name="sch_print_copy_avemonthexp7">'Table 26'!$R$13</definedName>
    <definedName name="sch_print_copy_avemonthexp8">'Table 26'!$R$14</definedName>
    <definedName name="sch_print_copy_avemonthexp9">'Table 26'!$R$15</definedName>
    <definedName name="sch_print_copy_brand_model1">'Table 26'!$J$7</definedName>
    <definedName name="sch_print_copy_brand_model10">'Table 26'!$J$16</definedName>
    <definedName name="sch_print_copy_brand_model2">'Table 26'!$J$8</definedName>
    <definedName name="sch_print_copy_brand_model3">'Table 26'!$J$9</definedName>
    <definedName name="sch_print_copy_brand_model4">'Table 26'!$J$10</definedName>
    <definedName name="sch_print_copy_brand_model5">'Table 26'!$J$11</definedName>
    <definedName name="sch_print_copy_brand_model6">'Table 26'!$J$12</definedName>
    <definedName name="sch_print_copy_brand_model7">'Table 26'!$J$13</definedName>
    <definedName name="sch_print_copy_brand_model8">'Table 26'!$J$14</definedName>
    <definedName name="sch_print_copy_brand_model9">'Table 26'!$J$15</definedName>
    <definedName name="sch_reg_guidance_counselyes">'Box 13'!$AA$7</definedName>
    <definedName name="sch_region">SchInfo!$AH$21</definedName>
    <definedName name="sch_screening_toolyes">'Box 13'!$AA$16</definedName>
    <definedName name="sch_sdo_head_name">SchInfo!$AM$35</definedName>
    <definedName name="sch_sdo_pos_title">SchInfo!$AM$37</definedName>
    <definedName name="sch_seps_name">'Tables 4-5'!$AI$25</definedName>
    <definedName name="sch_seps_name_prs_sgod">'Boxes 1-2'!$AD$17</definedName>
    <definedName name="sch_sgp_spgadviser_yes">'Boxes 3-5'!$Z$6</definedName>
    <definedName name="sch_sgp_spgadviser_yes_num_advisers">'Boxes 3-5'!$Z$7</definedName>
    <definedName name="sch_sgp_spgcouncil_yes">'Boxes 3-5'!$Z$5</definedName>
    <definedName name="sch_sh_both_smoke_endsennds">'Box 16'!$AA$19</definedName>
    <definedName name="sch_sh_endsennds_not_smoke">'Box 16'!$G$20</definedName>
    <definedName name="sch_sh_neither_smoke_endsennds">'Box 16'!$AA$20</definedName>
    <definedName name="sch_sh_smoke_not_endsennds">'Box 16'!$G$19</definedName>
    <definedName name="sch_shs_radio_frequency1">'Table 28'!$R$7</definedName>
    <definedName name="sch_shs_radio_frequency10">'Table 28'!$R$16</definedName>
    <definedName name="sch_shs_radio_frequency2">'Table 28'!$R$8</definedName>
    <definedName name="sch_shs_radio_frequency3">'Table 28'!$R$9</definedName>
    <definedName name="sch_shs_radio_frequency4">'Table 28'!$R$10</definedName>
    <definedName name="sch_shs_radio_frequency5">'Table 28'!$R$11</definedName>
    <definedName name="sch_shs_radio_frequency6">'Table 28'!$R$12</definedName>
    <definedName name="sch_shs_radio_frequency7">'Table 28'!$R$13</definedName>
    <definedName name="sch_shs_radio_frequency8">'Table 28'!$R$14</definedName>
    <definedName name="sch_shs_radio_frequency9">'Table 28'!$R$15</definedName>
    <definedName name="sch_shs_radio_ntc_lic1">'Table 28'!$Z$7</definedName>
    <definedName name="sch_shs_radio_ntc_lic10">'Table 28'!$Z$16</definedName>
    <definedName name="sch_shs_radio_ntc_lic2">'Table 28'!$Z$8</definedName>
    <definedName name="sch_shs_radio_ntc_lic3">'Table 28'!$Z$9</definedName>
    <definedName name="sch_shs_radio_ntc_lic4">'Table 28'!$Z$10</definedName>
    <definedName name="sch_shs_radio_ntc_lic5">'Table 28'!$Z$11</definedName>
    <definedName name="sch_shs_radio_ntc_lic6">'Table 28'!$Z$12</definedName>
    <definedName name="sch_shs_radio_ntc_lic7">'Table 28'!$Z$13</definedName>
    <definedName name="sch_shs_radio_ntc_lic8">'Table 28'!$Z$14</definedName>
    <definedName name="sch_shs_radio_ntc_lic9">'Table 28'!$Z$15</definedName>
    <definedName name="sch_shs_radio_purpose1">'Table 28'!$J$7</definedName>
    <definedName name="sch_shs_radio_purpose10">'Table 28'!$J$16</definedName>
    <definedName name="sch_shs_radio_purpose2">'Table 28'!$J$8</definedName>
    <definedName name="sch_shs_radio_purpose3">'Table 28'!$J$9</definedName>
    <definedName name="sch_shs_radio_purpose4">'Table 28'!$J$10</definedName>
    <definedName name="sch_shs_radio_purpose5">'Table 28'!$J$11</definedName>
    <definedName name="sch_shs_radio_purpose6">'Table 28'!$J$12</definedName>
    <definedName name="sch_shs_radio_purpose7">'Table 28'!$J$13</definedName>
    <definedName name="sch_shs_radio_purpose8">'Table 28'!$J$14</definedName>
    <definedName name="sch_shs_radio_purpose9">'Table 28'!$J$15</definedName>
    <definedName name="sch_shs_radio_unit1">'Table 28'!$AH$7</definedName>
    <definedName name="sch_shs_radio_unit10">'Table 28'!$AH$16</definedName>
    <definedName name="sch_shs_radio_unit2">'Table 28'!$AH$8</definedName>
    <definedName name="sch_shs_radio_unit3">'Table 28'!$AH$9</definedName>
    <definedName name="sch_shs_radio_unit4">'Table 28'!$AH$10</definedName>
    <definedName name="sch_shs_radio_unit5">'Table 28'!$AH$11</definedName>
    <definedName name="sch_shs_radio_unit6">'Table 28'!$AH$12</definedName>
    <definedName name="sch_shs_radio_unit7">'Table 28'!$AH$13</definedName>
    <definedName name="sch_shs_radio_unit8">'Table 28'!$AH$14</definedName>
    <definedName name="sch_shs_radio_unit9">'Table 28'!$AH$15</definedName>
    <definedName name="sch_sp_se_num_coaches_aerogymn">'Table 35'!$N$18</definedName>
    <definedName name="sch_sp_se_num_coaches_arch">'Table 35'!$N$5</definedName>
    <definedName name="sch_sp_se_num_coaches_arnis">'Table 35'!$N$6</definedName>
    <definedName name="sch_sp_se_num_coaches_athlthrow">'Table 35'!$N$7</definedName>
    <definedName name="sch_sp_se_num_coaches_athltrun">'Table 35'!$N$8</definedName>
    <definedName name="sch_sp_se_num_coaches_badm">'Table 35'!$N$9</definedName>
    <definedName name="sch_sp_se_num_coaches_baseball">'Table 35'!$N$11</definedName>
    <definedName name="sch_sp_se_num_coaches_basket">'Table 35'!$N$10</definedName>
    <definedName name="sch_sp_se_num_coaches_billard">'Table 35'!$N$12</definedName>
    <definedName name="sch_sp_se_num_coaches_bocce">'Table 35'!$N$32</definedName>
    <definedName name="sch_sp_se_num_coaches_boxing">'Table 35'!$N$13</definedName>
    <definedName name="sch_sp_se_num_coaches_chess">'Table 35'!$N$14</definedName>
    <definedName name="sch_sp_se_num_coaches_dancesports">'Table 35'!$N$15</definedName>
    <definedName name="sch_sp_se_num_coaches_football">'Table 35'!$N$16</definedName>
    <definedName name="sch_sp_se_num_coaches_futsal">'Table 35'!$N$17</definedName>
    <definedName name="sch_sp_se_num_coaches_goalball">'Table 35'!$N$33</definedName>
    <definedName name="sch_sp_se_num_coaches_mag">'Table 35'!$N$19</definedName>
    <definedName name="sch_sp_se_num_coaches_pencak">'Table 35'!$N$22</definedName>
    <definedName name="sch_sp_se_num_coaches_rg">'Table 35'!$N$21</definedName>
    <definedName name="sch_sp_se_num_coaches_sepaktakraw">'Table 35'!$N$23</definedName>
    <definedName name="sch_sp_se_num_coaches_softball">'Table 35'!$N$24</definedName>
    <definedName name="sch_sp_se_num_coaches_swimming">'Table 35'!$N$25</definedName>
    <definedName name="sch_sp_se_num_coaches_tabletennis">'Table 35'!$N$26</definedName>
    <definedName name="sch_sp_se_num_coaches_taekwondo">'Table 35'!$N$27</definedName>
    <definedName name="sch_sp_se_num_coaches_tennis">'Table 35'!$N$28</definedName>
    <definedName name="sch_sp_se_num_coaches_volleyball">'Table 35'!$N$29</definedName>
    <definedName name="sch_sp_se_num_coaches_wag">'Table 35'!$N$20</definedName>
    <definedName name="sch_sp_se_num_coaches_wrestling">'Table 35'!$N$30</definedName>
    <definedName name="sch_sp_se_num_coaches_wushu">'Table 35'!$N$31</definedName>
    <definedName name="sch_sp_se_num_nonpeteachss_aerogymn">'Table 35'!$AC$18</definedName>
    <definedName name="sch_sp_se_num_nonpeteachss_arch">'Table 35'!$AC$5</definedName>
    <definedName name="sch_sp_se_num_nonpeteachss_arnis">'Table 35'!$AC$6</definedName>
    <definedName name="sch_sp_se_num_nonpeteachss_athlthrow">'Table 35'!$AC$7</definedName>
    <definedName name="sch_sp_se_num_nonpeteachss_athltrun">'Table 35'!$AC$8</definedName>
    <definedName name="sch_sp_se_num_nonpeteachss_badm">'Table 35'!$AC$9</definedName>
    <definedName name="sch_sp_se_num_nonpeteachss_baseball">'Table 35'!$AC$11</definedName>
    <definedName name="sch_sp_se_num_nonpeteachss_basket">'Table 35'!$AC$10</definedName>
    <definedName name="sch_sp_se_num_nonpeteachss_billard">'Table 35'!$AC$12</definedName>
    <definedName name="sch_sp_se_num_nonpeteachss_bocce">'Table 35'!$AC$32</definedName>
    <definedName name="sch_sp_se_num_nonpeteachss_boxing">'Table 35'!$AC$13</definedName>
    <definedName name="sch_sp_se_num_nonpeteachss_chess">'Table 35'!$AC$14</definedName>
    <definedName name="sch_sp_se_num_nonpeteachss_dancesports">'Table 35'!$AC$15</definedName>
    <definedName name="sch_sp_se_num_nonpeteachss_football">'Table 35'!$AC$16</definedName>
    <definedName name="sch_sp_se_num_nonpeteachss_futsal">'Table 35'!$AC$17</definedName>
    <definedName name="sch_sp_se_num_nonpeteachss_goalball">'Table 35'!$AC$33</definedName>
    <definedName name="sch_sp_se_num_nonpeteachss_mag">'Table 35'!$AC$19</definedName>
    <definedName name="sch_sp_se_num_nonpeteachss_pencak">'Table 35'!$AC$22</definedName>
    <definedName name="sch_sp_se_num_nonpeteachss_rg">'Table 35'!$AC$21</definedName>
    <definedName name="sch_sp_se_num_nonpeteachss_sepaktakraw">'Table 35'!$AC$23</definedName>
    <definedName name="sch_sp_se_num_nonpeteachss_softball">'Table 35'!$AC$24</definedName>
    <definedName name="sch_sp_se_num_nonpeteachss_swimming">'Table 35'!$AC$25</definedName>
    <definedName name="sch_sp_se_num_nonpeteachss_tabletennis">'Table 35'!$AC$26</definedName>
    <definedName name="sch_sp_se_num_nonpeteachss_taekwondo">'Table 35'!$AC$27</definedName>
    <definedName name="sch_sp_se_num_nonpeteachss_tennis">'Table 35'!$AC$28</definedName>
    <definedName name="sch_sp_se_num_nonpeteachss_volleyball">'Table 35'!$AC$29</definedName>
    <definedName name="sch_sp_se_num_nonpeteachss_wag">'Table 35'!$AC$20</definedName>
    <definedName name="sch_sp_se_num_nonpeteachss_wrestling">'Table 35'!$AC$30</definedName>
    <definedName name="sch_sp_se_num_nonpeteachss_wushu">'Table 35'!$AC$31</definedName>
    <definedName name="sch_sp_se_num_nonteachpss_aerogymn">'Table 35'!$AH$18</definedName>
    <definedName name="sch_sp_se_num_nonteachpss_arch">'Table 35'!$AH$5</definedName>
    <definedName name="sch_sp_se_num_nonteachpss_arnis">'Table 35'!$AH$6</definedName>
    <definedName name="sch_sp_se_num_nonteachpss_athlthrow">'Table 35'!$AH$7</definedName>
    <definedName name="sch_sp_se_num_nonteachpss_athltrun">'Table 35'!$AH$8</definedName>
    <definedName name="sch_sp_se_num_nonteachpss_badm">'Table 35'!$AH$9</definedName>
    <definedName name="sch_sp_se_num_nonteachpss_baseball">'Table 35'!$AH$11</definedName>
    <definedName name="sch_sp_se_num_nonteachpss_basket">'Table 35'!$AH$10</definedName>
    <definedName name="sch_sp_se_num_nonteachpss_billard">'Table 35'!$AH$12</definedName>
    <definedName name="sch_sp_se_num_nonteachpss_bocce">'Table 35'!$AH$32</definedName>
    <definedName name="sch_sp_se_num_nonteachpss_boxing">'Table 35'!$AH$13</definedName>
    <definedName name="sch_sp_se_num_nonteachpss_chess">'Table 35'!$AH$14</definedName>
    <definedName name="sch_sp_se_num_nonteachpss_dancesports">'Table 35'!$AH$15</definedName>
    <definedName name="sch_sp_se_num_nonteachpss_football">'Table 35'!$AH$16</definedName>
    <definedName name="sch_sp_se_num_nonteachpss_futsal">'Table 35'!$AH$17</definedName>
    <definedName name="sch_sp_se_num_nonteachpss_goalball">'Table 35'!$AH$33</definedName>
    <definedName name="sch_sp_se_num_nonteachpss_mag">'Table 35'!$AH$19</definedName>
    <definedName name="sch_sp_se_num_nonteachpss_pencak">'Table 35'!$AH$22</definedName>
    <definedName name="sch_sp_se_num_nonteachpss_rg">'Table 35'!$AH$21</definedName>
    <definedName name="sch_sp_se_num_nonteachpss_sepaktakraw">'Table 35'!$AH$23</definedName>
    <definedName name="sch_sp_se_num_nonteachpss_softball">'Table 35'!$AH$24</definedName>
    <definedName name="sch_sp_se_num_nonteachpss_swimming">'Table 35'!$AH$25</definedName>
    <definedName name="sch_sp_se_num_nonteachpss_tabletennis">'Table 35'!$AH$26</definedName>
    <definedName name="sch_sp_se_num_nonteachpss_taekwondo">'Table 35'!$AH$27</definedName>
    <definedName name="sch_sp_se_num_nonteachpss_tennis">'Table 35'!$AH$28</definedName>
    <definedName name="sch_sp_se_num_nonteachpss_volleyball">'Table 35'!$AH$29</definedName>
    <definedName name="sch_sp_se_num_nonteachpss_wag">'Table 35'!$AH$20</definedName>
    <definedName name="sch_sp_se_num_nonteachpss_wrestling">'Table 35'!$AH$30</definedName>
    <definedName name="sch_sp_se_num_nonteachpss_wushu">'Table 35'!$AH$31</definedName>
    <definedName name="sch_sp_se_num_officials_aerogymn">'Table 35'!$S$18</definedName>
    <definedName name="sch_sp_se_num_officials_arch">'Table 35'!$S$5</definedName>
    <definedName name="sch_sp_se_num_officials_arnis">'Table 35'!$S$6</definedName>
    <definedName name="sch_sp_se_num_officials_athlthrow">'Table 35'!$S$7</definedName>
    <definedName name="sch_sp_se_num_officials_athltrun">'Table 35'!$S$8</definedName>
    <definedName name="sch_sp_se_num_officials_badm">'Table 35'!$S$9</definedName>
    <definedName name="sch_sp_se_num_officials_baseball">'Table 35'!$S$11</definedName>
    <definedName name="sch_sp_se_num_officials_basket">'Table 35'!$S$10</definedName>
    <definedName name="sch_sp_se_num_officials_billard">'Table 35'!$S$12</definedName>
    <definedName name="sch_sp_se_num_officials_bocce">'Table 35'!$S$32</definedName>
    <definedName name="sch_sp_se_num_officials_boxing">'Table 35'!$S$13</definedName>
    <definedName name="sch_sp_se_num_officials_chess">'Table 35'!$S$14</definedName>
    <definedName name="sch_sp_se_num_officials_dancesports">'Table 35'!$S$15</definedName>
    <definedName name="sch_sp_se_num_officials_football">'Table 35'!$S$16</definedName>
    <definedName name="sch_sp_se_num_officials_futsal">'Table 35'!$S$17</definedName>
    <definedName name="sch_sp_se_num_officials_goalball">'Table 35'!$S$33</definedName>
    <definedName name="sch_sp_se_num_officials_mag">'Table 35'!$S$19</definedName>
    <definedName name="sch_sp_se_num_officials_pencak">'Table 35'!$S$22</definedName>
    <definedName name="sch_sp_se_num_officials_rg">'Table 35'!$S$21</definedName>
    <definedName name="sch_sp_se_num_officials_sepaktakraw">'Table 35'!$S$23</definedName>
    <definedName name="sch_sp_se_num_officials_softball">'Table 35'!$S$24</definedName>
    <definedName name="sch_sp_se_num_officials_swimming">'Table 35'!$S$25</definedName>
    <definedName name="sch_sp_se_num_officials_tabletennis">'Table 35'!$S$26</definedName>
    <definedName name="sch_sp_se_num_officials_taekwondo">'Table 35'!$S$27</definedName>
    <definedName name="sch_sp_se_num_officials_tennis">'Table 35'!$S$28</definedName>
    <definedName name="sch_sp_se_num_officials_volleyball">'Table 35'!$S$29</definedName>
    <definedName name="sch_sp_se_num_officials_wag">'Table 35'!$S$20</definedName>
    <definedName name="sch_sp_se_num_officials_wrestling">'Table 35'!$S$30</definedName>
    <definedName name="sch_sp_se_num_officials_wushu">'Table 35'!$S$31</definedName>
    <definedName name="sch_sp_se_num_peteachss_aerogymn">'Table 35'!$X$18</definedName>
    <definedName name="sch_sp_se_num_peteachss_arch">'Table 35'!$X$5</definedName>
    <definedName name="sch_sp_se_num_peteachss_arnis">'Table 35'!$X$6</definedName>
    <definedName name="sch_sp_se_num_peteachss_athlthrow">'Table 35'!$X$7</definedName>
    <definedName name="sch_sp_se_num_peteachss_athltrun">'Table 35'!$X$8</definedName>
    <definedName name="sch_sp_se_num_peteachss_badm">'Table 35'!$X$9</definedName>
    <definedName name="sch_sp_se_num_peteachss_baseball">'Table 35'!$X$11</definedName>
    <definedName name="sch_sp_se_num_peteachss_basket">'Table 35'!$X$10</definedName>
    <definedName name="sch_sp_se_num_peteachss_billard">'Table 35'!$X$12</definedName>
    <definedName name="sch_sp_se_num_peteachss_bocce">'Table 35'!$X$32</definedName>
    <definedName name="sch_sp_se_num_peteachss_boxing">'Table 35'!$X$13</definedName>
    <definedName name="sch_sp_se_num_peteachss_chess">'Table 35'!$X$14</definedName>
    <definedName name="sch_sp_se_num_peteachss_dancesports">'Table 35'!$X$15</definedName>
    <definedName name="sch_sp_se_num_peteachss_football">'Table 35'!$X$16</definedName>
    <definedName name="sch_sp_se_num_peteachss_futsal">'Table 35'!$X$17</definedName>
    <definedName name="sch_sp_se_num_peteachss_goalball">'Table 35'!$X$33</definedName>
    <definedName name="sch_sp_se_num_peteachss_mag">'Table 35'!$X$19</definedName>
    <definedName name="sch_sp_se_num_peteachss_pencak">'Table 35'!$X$22</definedName>
    <definedName name="sch_sp_se_num_peteachss_rg">'Table 35'!$X$21</definedName>
    <definedName name="sch_sp_se_num_peteachss_sepaktakraw">'Table 35'!$X$23</definedName>
    <definedName name="sch_sp_se_num_peteachss_softball">'Table 35'!$X$24</definedName>
    <definedName name="sch_sp_se_num_peteachss_swimming">'Table 35'!$X$25</definedName>
    <definedName name="sch_sp_se_num_peteachss_tabletennis">'Table 35'!$X$26</definedName>
    <definedName name="sch_sp_se_num_peteachss_taekwondo">'Table 35'!$X$27</definedName>
    <definedName name="sch_sp_se_num_peteachss_tennis">'Table 35'!$X$28</definedName>
    <definedName name="sch_sp_se_num_peteachss_volleyball">'Table 35'!$X$29</definedName>
    <definedName name="sch_sp_se_num_peteachss_wag">'Table 35'!$X$20</definedName>
    <definedName name="sch_sp_se_num_peteachss_wrestling">'Table 35'!$X$30</definedName>
    <definedName name="sch_sp_se_num_peteachss_wushu">'Table 35'!$X$31</definedName>
    <definedName name="sch_spg_jdivsearch_yes">'Boxes 3-5'!$Z$18</definedName>
    <definedName name="sch_spga_cto_sat_yes">'Boxes 3-5'!$Z$21</definedName>
    <definedName name="sch_spgactshs_schfees_collect_yes">'Boxes 3-5'!$Z$15</definedName>
    <definedName name="sch_spgadviser_deload_yes">'Boxes 3-5'!$Z$14</definedName>
    <definedName name="sch_spgadviser_hacadegree_doctorate_unit">'Boxes 3-5'!$P$13</definedName>
    <definedName name="sch_spgadviser_hacadegree_master_unit">'Boxes 3-5'!$G$13</definedName>
    <definedName name="sch_spgadviser_hacadegree_mastergrad">'Boxes 3-5'!$P$12</definedName>
    <definedName name="sch_spgadviser_hacadegree_postgrad">'Boxes 3-5'!$Z$12</definedName>
    <definedName name="sch_spgadviser_hacadegree_undergrad">'Boxes 3-5'!$G$12</definedName>
    <definedName name="sch_spgadviser_subjhandle_ap">'Boxes 3-5'!$P$10</definedName>
    <definedName name="sch_spgadviser_subjhandle_fil">'Boxes 3-5'!$G$10</definedName>
    <definedName name="sch_spgadviser_subjhandle_math">'Boxes 3-5'!$P$9</definedName>
    <definedName name="sch_spgadviser_subjhandle_others">'Boxes 3-5'!$AE$9</definedName>
    <definedName name="sch_spgadviser_subjhandle_otherspec">'Boxes 3-5'!$Z$9</definedName>
    <definedName name="sch_spgadviser_subjhandle_sci">'Boxes 3-5'!$G$9</definedName>
    <definedName name="sch_spgbudget_sipappinc_yes">'Boxes 3-5'!$Z$16</definedName>
    <definedName name="sch_spgroom_yes">'Boxes 3-5'!$Z$17</definedName>
    <definedName name="sch_spgwon_nationalaward_yes">'Boxes 3-5'!$Z$19</definedName>
    <definedName name="sch_ssg_adaec_yes">'Boxes 3-5'!$AD$32</definedName>
    <definedName name="sch_ssg_curricular_org_activities_yes">'Boxes 3-5'!$AD$35</definedName>
    <definedName name="sch_ssg_esc_rts_yes">'Boxes 3-5'!$AD$31</definedName>
    <definedName name="sch_ssg_lead_ngp_yes">'Boxes 3-5'!$AD$29</definedName>
    <definedName name="sch_ssg_learner_brigada_eskwela_yes">'Boxes 3-5'!$AD$28</definedName>
    <definedName name="sch_ssg_prevent_learner_dropout_yes">'Boxes 3-5'!$AD$30</definedName>
    <definedName name="sch_ssg_smoke_tobacoo_free_yes">'Boxes 3-5'!$AD$33</definedName>
    <definedName name="sch_ssg_tmcsep_wtdoct_yes">'Boxes 3-5'!$AD$34</definedName>
    <definedName name="sch_store_ecigaryes">'Box 16'!$AI$11</definedName>
    <definedName name="sch_store_tobaccoyess">'Box 16'!$AI$10</definedName>
    <definedName name="sch_studcodeconduct_yes">'Boxes 24-25'!$AF$9</definedName>
    <definedName name="sch_teach_both_smoke_endsennds_g11">'Box 16'!$AH$28</definedName>
    <definedName name="sch_teach_both_smoke_endsennds_g12">'Box 16'!$AH$29</definedName>
    <definedName name="sch_teach_endsennds_not_smoke_g11">'Box 16'!$Y$28</definedName>
    <definedName name="sch_teach_endsennds_not_smoke_g12">'Box 16'!$Y$29</definedName>
    <definedName name="sch_teach_smoke_not_endsennds_g11">'Box 16'!$P$28</definedName>
    <definedName name="sch_teach_smoke_not_endsennds_g12">'Box 16'!$P$29</definedName>
    <definedName name="sch_tel_no">SchInfo!$AH$24</definedName>
    <definedName name="sch_train_arh_g11">'Box 15'!$Z$26</definedName>
    <definedName name="sch_train_arh_g12">'Box 15'!$Z$27</definedName>
    <definedName name="sch_train_asrh_g11">'Box 15'!$T$26</definedName>
    <definedName name="sch_train_asrh_g12">'Box 15'!$T$27</definedName>
    <definedName name="sch_train_hivaids_g11">'Box 15'!$N$26</definedName>
    <definedName name="sch_train_hivaids_g12">'Box 15'!$N$27</definedName>
    <definedName name="sch_train_learnyes">'Box 13'!$AF$20</definedName>
    <definedName name="sch_train_redcross_g11">'Box 15'!$AL$26</definedName>
    <definedName name="sch_train_redcross_g12">'Box 15'!$AL$27</definedName>
    <definedName name="sch_train_teach_adept_g11">'Box 15'!$T$33</definedName>
    <definedName name="sch_train_teach_adept_g12">'Box 15'!$T$34</definedName>
    <definedName name="sch_train_teach_aja_g11">'Box 15'!$N$33</definedName>
    <definedName name="sch_train_teach_aja_g12">'Box 15'!$N$34</definedName>
    <definedName name="sch_train_teach_hivaids_g11">'Box 15'!$Z$33</definedName>
    <definedName name="sch_train_teach_hivaids_g12">'Box 15'!$Z$34</definedName>
    <definedName name="sch_train_teachyes">'Box 13'!$AF$28</definedName>
    <definedName name="sch_train_teen_g11">'Box 15'!$AF$26</definedName>
    <definedName name="sch_train_teen_g12">'Box 15'!$AF$27</definedName>
    <definedName name="sch_watch_avail_hazard_map">'Box 30 Part 1'!$D$10</definedName>
    <definedName name="sch_watch_conduct_hazard_map">'Box 30 Part 1'!$D$7</definedName>
    <definedName name="sch_watch_cont_plan_act_earthquake_prepared">'Box 30 Part 1'!$D$51</definedName>
    <definedName name="sch_watch_cont_plan_docs_moa">'Box 30 Part 1'!$D$46</definedName>
    <definedName name="sch_watch_cont_plan_drrm_com_plan">'Box 30 Part 1'!$D$52</definedName>
    <definedName name="sch_watch_cont_plan_fam_earthquake_prepared">'Box 30 Part 1'!$D$50</definedName>
    <definedName name="sch_watch_cont_plan_l">'Box 30 Part 1'!$G$45</definedName>
    <definedName name="sch_watch_cont_plan_lgu">'Box 30 Part 1'!$W$45</definedName>
    <definedName name="sch_watch_cont_plan_par">'Box 30 Part 1'!$R$45</definedName>
    <definedName name="sch_watch_cont_plan_part">'Box 30 Part 1'!$AB$45</definedName>
    <definedName name="sch_watch_cont_plan_per">'Box 30 Part 1'!$L$45</definedName>
    <definedName name="sch_watch_cont_plan_support_arm_conf">'Box 30 Part 1'!$AD$58</definedName>
    <definedName name="sch_watch_cont_plan_support_drrm">'Box 30 Part 1'!$AD$56</definedName>
    <definedName name="sch_watch_cont_plan_support_ppa">'Box 30 Part 1'!$AD$60</definedName>
    <definedName name="sch_watch_cont_plan_terms_fac">'Box 30 Part 1'!$D$48</definedName>
    <definedName name="sch_watch_cont_plan_train_teach_nonteach">'Box 30 Part 1'!$AD$62</definedName>
    <definedName name="sch_watch_cont_plan_with_lgu">'Box 30 Part 1'!$D$54</definedName>
    <definedName name="sch_watch_cont_plan_with_part">'Box 30 Part 1'!$D$53</definedName>
    <definedName name="sch_watch_covid_health_safe">'Box 30 Part 1'!$D$42</definedName>
    <definedName name="sch_watch_covid_mgmt">'Box 30 Part 1'!$T$41</definedName>
    <definedName name="sch_watch_covid_ppe">'Box 30 Part 1'!$T$39</definedName>
    <definedName name="sch_watch_covid_quarantine_fac">'Box 30 Part 1'!$D$39</definedName>
    <definedName name="sch_watch_human_induce_hazard_armed_conflict">'Box 30 Part 1'!$V$18</definedName>
    <definedName name="sch_watch_human_induce_hazard_bomb_threat">'Box 30 Part 1'!$V$19</definedName>
    <definedName name="sch_watch_human_induce_hazard_civil_violence">'Box 30 Part 1'!$V$20</definedName>
    <definedName name="sch_watch_human_induce_hazard_fire">'Box 30 Part 1'!$V$21</definedName>
    <definedName name="sch_watch_human_induce_hazard_others">'Box 30 Part 1'!$V$22</definedName>
    <definedName name="sch_watch_human_induce_hazard_othrs_specify">'Box 30 Part 1'!$AA$22</definedName>
    <definedName name="sch_watch_inc_hazard_map">'Box 30 Part 1'!$D$8</definedName>
    <definedName name="sch_watch_link_hazard_map">'Box 30 Part 1'!$D$14</definedName>
    <definedName name="sch_watch_nat_hazard_drought">'Box 30 Part 1'!$D$21</definedName>
    <definedName name="sch_watch_nat_hazard_earthquake">'Box 30 Part 1'!$J$18</definedName>
    <definedName name="sch_watch_nat_hazard_fire">'Box 30 Part 1'!$J$21</definedName>
    <definedName name="sch_watch_nat_hazard_flood">'Box 30 Part 1'!$D$20</definedName>
    <definedName name="sch_watch_nat_hazard_landslide">'Box 30 Part 1'!$D$22</definedName>
    <definedName name="sch_watch_nat_hazard_others">'Box 30 Part 1'!$J$22</definedName>
    <definedName name="sch_watch_nat_hazard_others_specify">'Box 30 Part 1'!$O$22</definedName>
    <definedName name="sch_watch_nat_hazard_storm_surge">'Box 30 Part 1'!$D$19</definedName>
    <definedName name="sch_watch_nat_hazard_trop_cyclone">'Box 30 Part 1'!$D$18</definedName>
    <definedName name="sch_watch_nat_hazard_tsunami">'Box 30 Part 1'!$J$20</definedName>
    <definedName name="sch_watch_nat_hazard_vol_erupt">'Box 30 Part 1'!$J$19</definedName>
    <definedName name="sch_watch_present_hazard_map">'Box 30 Part 1'!$D$12</definedName>
    <definedName name="sch_watch_stand_cont_class_resume">'Box 30 Part 1'!$T$29</definedName>
    <definedName name="sch_watch_stand_cont_drrm">'Box 30 Part 1'!$T$34</definedName>
    <definedName name="sch_watch_stand_cont_emergency_supply">'Box 30 Part 1'!$T$30</definedName>
    <definedName name="sch_watch_stand_cont_evac">'Box 30 Part 1'!$D$28</definedName>
    <definedName name="sch_watch_stand_cont_evac_center">'Box 30 Part 1'!$D$36</definedName>
    <definedName name="sch_watch_stand_cont_lockdown">'Box 30 Part 1'!$T$36</definedName>
    <definedName name="sch_watch_stand_cont_part">'Box 30 Part 1'!$T$32</definedName>
    <definedName name="sch_watch_stand_cont_recover">'Box 30 Part 1'!$D$33</definedName>
    <definedName name="sch_watch_stand_cont_reunify">'Box 30 Part 1'!$D$29</definedName>
    <definedName name="sch_watch_stand_cont_temp_evac_center">'Box 30 Part 1'!$T$26</definedName>
    <definedName name="sch_watch_stand_cont_tls_wash">'Box 30 Part 1'!$D$34</definedName>
    <definedName name="sch_watch_stand_cont_track">'Box 30 Part 1'!$D$31</definedName>
    <definedName name="sch_watch_stand_cont_vulnerable">'Box 30 Part 1'!$D$26</definedName>
    <definedName name="sch_web_add">SchInfo!$AH$27</definedName>
    <definedName name="sch_wf_group_hw_no_water_outlets">'Box 12-Table 31'!$AG$40</definedName>
    <definedName name="sch_wf_group_hw_nonfunctional">'Box 12-Table 31'!$W$40</definedName>
    <definedName name="sch_wf_group_hw_wosoap">'Box 12-Table 31'!$R$40</definedName>
    <definedName name="sch_wf_group_hw_wsoap">'Box 12-Table 31'!$M$40</definedName>
    <definedName name="sch_wf_individual_hw_no_water_outlets">'Box 12-Table 31'!$AG$41</definedName>
    <definedName name="sch_wf_individual_hw_nonfunctional">'Box 12-Table 31'!$W$41</definedName>
    <definedName name="sch_wf_individual_hw_wosoap">'Box 12-Table 31'!$R$41</definedName>
    <definedName name="sch_wf_individual_hw_wsoap">'Box 12-Table 31'!$M$41</definedName>
    <definedName name="sch_workexp_IPcomm_devtlessonplans_ifyes">'Box 32'!$AJ$25</definedName>
    <definedName name="sch_ws_drinking_yes">'Box 12-Table 31'!$AD$16</definedName>
    <definedName name="sch_ws_ifyshs_avecost">'Box 12-Table 31'!$X$11</definedName>
    <definedName name="sch_ws_ifyshs_fundsource_lgu">'Box 12-Table 31'!$J$14</definedName>
    <definedName name="sch_ws_ifyshs_fundsource_others">'Box 12-Table 31'!$X$15</definedName>
    <definedName name="sch_ws_ifyshs_fundsource_others_specify">'Box 12-Table 31'!$AD$15</definedName>
    <definedName name="sch_ws_ifyshs_fundsource_private">'Box 12-Table 31'!$X$14</definedName>
    <definedName name="sch_ws_ifyshs_fundsource_pta">'Box 12-Table 31'!$J$15</definedName>
    <definedName name="sch_ws_ifyshs_fundsource_schcanteen">'Box 12-Table 31'!$X$13</definedName>
    <definedName name="sch_ws_ifyshs_fundsource_schmooe">'Box 12-Table 31'!$J$13</definedName>
    <definedName name="sch_ws_ifyshs_mechanism_yes">'Box 12-Table 31'!$AD$25</definedName>
    <definedName name="sch_ws_ifyshs_natural">'Box 12-Table 31'!$J$10</definedName>
    <definedName name="sch_ws_ifyshs_others">'Box 12-Table 31'!$X$9</definedName>
    <definedName name="sch_ws_ifyshs_others_specify">'Box 12-Table 31'!$AC$9</definedName>
    <definedName name="sch_ws_ifyshs_pipe">'Box 12-Table 31'!$J$8</definedName>
    <definedName name="sch_ws_ifyshs_rainwater">'Box 12-Table 31'!$X$8</definedName>
    <definedName name="sch_ws_ifyshs_test_frequency_annually">'Box 12-Table 31'!$X$20</definedName>
    <definedName name="sch_ws_ifyshs_test_frequency_monthly">'Box 12-Table 31'!$J$20</definedName>
    <definedName name="sch_ws_ifyshs_test_frequency_quarterly">'Box 12-Table 31'!$J$21</definedName>
    <definedName name="sch_ws_ifyshs_test_frequent_others">'Box 12-Table 31'!$X$21</definedName>
    <definedName name="sch_ws_ifyshs_test_frequent_others_specify">'Box 12-Table 31'!$AD$21</definedName>
    <definedName name="sch_ws_ifyshs_test_last">'Box 12-Table 31'!$U$22</definedName>
    <definedName name="sch_ws_ifyshs_water_unavailable_yes">'Box 12-Table 31'!$AD$23</definedName>
    <definedName name="sch_ws_ifyshs_well">'Box 12-Table 31'!$J$9</definedName>
    <definedName name="sch_ws_mechanism_ifyshs_accessible_water">'Box 12-Table 31'!$J$29</definedName>
    <definedName name="sch_ws_mechanism_ifyshs_bring_water">'Box 12-Table 31'!$J$27</definedName>
    <definedName name="sch_ws_mechanism_ifyshs_others">'Box 12-Table 31'!$J$30</definedName>
    <definedName name="sch_ws_mechanism_ifyshs_others_specify">'Box 12-Table 31'!$P$30</definedName>
    <definedName name="sch_ws_mechanism_ifyshs_refillable_containers">'Box 12-Table 31'!$J$28</definedName>
    <definedName name="sch_ws_result_safe_yes">'Box 12-Table 31'!$AD$18</definedName>
    <definedName name="sch_ws_water_safety_yes">'Box 12-Table 31'!$AD$17</definedName>
    <definedName name="sch_ws_wsource_yes">'Box 12-Table 31'!$AD$5</definedName>
    <definedName name="sch_yfcpdo_numvisit">'Boxes 3-5'!$Z$20</definedName>
    <definedName name="shs_broadcast_station_add1">'Table 27'!$AP$6</definedName>
    <definedName name="shs_broadcast_station_add2">'Table 27'!$AP$7</definedName>
    <definedName name="shs_broadcast_station_add3">'Table 27'!$AP$8</definedName>
    <definedName name="shs_broadcast_station_add4">'Table 27'!$AP$9</definedName>
    <definedName name="shs_broadcast_station_add5">'Table 27'!$AP$10</definedName>
    <definedName name="shs_broadcast_station_add6">'Table 27'!$AP$11</definedName>
    <definedName name="shs_broadcast_station_add7">'Table 27'!$AP$12</definedName>
    <definedName name="shs_broadcast_station_add8">'Table 27'!$AP$13</definedName>
    <definedName name="shs_broadcast_station_add9">'Table 27'!$AP$14</definedName>
    <definedName name="shs_broadcast_station_broadcast_start1">'Table 27'!$AF$6</definedName>
    <definedName name="shs_broadcast_station_broadcast_start2">'Table 27'!$AF$7</definedName>
    <definedName name="shs_broadcast_station_broadcast_start3">'Table 27'!$AF$8</definedName>
    <definedName name="shs_broadcast_station_broadcast_start4">'Table 27'!$AF$9</definedName>
    <definedName name="shs_broadcast_station_broadcast_start5">'Table 27'!$AF$10</definedName>
    <definedName name="shs_broadcast_station_broadcast_start6">'Table 27'!$AF$11</definedName>
    <definedName name="shs_broadcast_station_broadcast_start7">'Table 27'!$AF$12</definedName>
    <definedName name="shs_broadcast_station_broadcast_start8">'Table 27'!$AF$13</definedName>
    <definedName name="shs_broadcast_station_broadcast_start9">'Table 27'!$AF$14</definedName>
    <definedName name="shs_broadcast_station_e_add1">'Table 27'!$AU$6</definedName>
    <definedName name="shs_broadcast_station_e_add2">'Table 27'!$AU$7</definedName>
    <definedName name="shs_broadcast_station_e_add3">'Table 27'!$AU$8</definedName>
    <definedName name="shs_broadcast_station_e_add4">'Table 27'!$AU$9</definedName>
    <definedName name="shs_broadcast_station_e_add5">'Table 27'!$AU$10</definedName>
    <definedName name="shs_broadcast_station_e_add6">'Table 27'!$AU$11</definedName>
    <definedName name="shs_broadcast_station_e_add7">'Table 27'!$AU$12</definedName>
    <definedName name="shs_broadcast_station_e_add8">'Table 27'!$AU$13</definedName>
    <definedName name="shs_broadcast_station_e_add9">'Table 27'!$AU$14</definedName>
    <definedName name="shs_broadcast_station_frequency1">'Table 27'!$L$6</definedName>
    <definedName name="shs_broadcast_station_frequency2">'Table 27'!$L$7</definedName>
    <definedName name="shs_broadcast_station_frequency3">'Table 27'!$L$8</definedName>
    <definedName name="shs_broadcast_station_frequency4">'Table 27'!$L$9</definedName>
    <definedName name="shs_broadcast_station_frequency5">'Table 27'!$L$10</definedName>
    <definedName name="shs_broadcast_station_frequency6">'Table 27'!$L$11</definedName>
    <definedName name="shs_broadcast_station_frequency7">'Table 27'!$L$12</definedName>
    <definedName name="shs_broadcast_station_frequency8">'Table 27'!$L$13</definedName>
    <definedName name="shs_broadcast_station_frequency9">'Table 27'!$L$14</definedName>
    <definedName name="shs_broadcast_station_name1">'Table 27'!$G$6</definedName>
    <definedName name="shs_broadcast_station_name2">'Table 27'!$G$7</definedName>
    <definedName name="shs_broadcast_station_name3">'Table 27'!$G$8</definedName>
    <definedName name="shs_broadcast_station_name4">'Table 27'!$G$9</definedName>
    <definedName name="shs_broadcast_station_name5">'Table 27'!$G$10</definedName>
    <definedName name="shs_broadcast_station_name6">'Table 27'!$G$11</definedName>
    <definedName name="shs_broadcast_station_name7">'Table 27'!$G$12</definedName>
    <definedName name="shs_broadcast_station_name8">'Table 27'!$G$13</definedName>
    <definedName name="shs_broadcast_station_name9">'Table 27'!$G$14</definedName>
    <definedName name="shs_broadcast_station_ntc_lic1">'Table 27'!$Q$6</definedName>
    <definedName name="shs_broadcast_station_ntc_lic2">'Table 27'!$Q$7</definedName>
    <definedName name="shs_broadcast_station_ntc_lic3">'Table 27'!$Q$8</definedName>
    <definedName name="shs_broadcast_station_ntc_lic4">'Table 27'!$Q$9</definedName>
    <definedName name="shs_broadcast_station_ntc_lic5">'Table 27'!$Q$10</definedName>
    <definedName name="shs_broadcast_station_ntc_lic6">'Table 27'!$Q$11</definedName>
    <definedName name="shs_broadcast_station_ntc_lic7">'Table 27'!$Q$12</definedName>
    <definedName name="shs_broadcast_station_ntc_lic8">'Table 27'!$Q$13</definedName>
    <definedName name="shs_broadcast_station_ntc_lic9">'Table 27'!$Q$14</definedName>
    <definedName name="shs_broadcast_station_owner_name1">'Table 27'!$V$6</definedName>
    <definedName name="shs_broadcast_station_owner_name2">'Table 27'!$V$7</definedName>
    <definedName name="shs_broadcast_station_owner_name3">'Table 27'!$V$8</definedName>
    <definedName name="shs_broadcast_station_owner_name4">'Table 27'!$V$9</definedName>
    <definedName name="shs_broadcast_station_owner_name5">'Table 27'!$V$10</definedName>
    <definedName name="shs_broadcast_station_owner_name6">'Table 27'!$V$11</definedName>
    <definedName name="shs_broadcast_station_owner_name7">'Table 27'!$V$12</definedName>
    <definedName name="shs_broadcast_station_owner_name8">'Table 27'!$V$13</definedName>
    <definedName name="shs_broadcast_station_owner_name9">'Table 27'!$V$14</definedName>
    <definedName name="shs_broadcast_station_part_status1">'Table 27'!$AA$6</definedName>
    <definedName name="shs_broadcast_station_part_status2">'Table 27'!$AA$7</definedName>
    <definedName name="shs_broadcast_station_part_status3">'Table 27'!$AA$8</definedName>
    <definedName name="shs_broadcast_station_part_status4">'Table 27'!$AA$9</definedName>
    <definedName name="shs_broadcast_station_part_status5">'Table 27'!$AA$10</definedName>
    <definedName name="shs_broadcast_station_part_status6">'Table 27'!$AA$11</definedName>
    <definedName name="shs_broadcast_station_part_status7">'Table 27'!$AA$12</definedName>
    <definedName name="shs_broadcast_station_part_status8">'Table 27'!$AA$13</definedName>
    <definedName name="shs_broadcast_station_part_status9">'Table 27'!$AA$14</definedName>
    <definedName name="shs_broadcast_station_tel_cell1">'Table 27'!$AK$6</definedName>
    <definedName name="shs_broadcast_station_tel_cell2">'Table 27'!$AK$7</definedName>
    <definedName name="shs_broadcast_station_tel_cell3">'Table 27'!$AK$8</definedName>
    <definedName name="shs_broadcast_station_tel_cell4">'Table 27'!$AK$9</definedName>
    <definedName name="shs_broadcast_station_tel_cell5">'Table 27'!$AK$10</definedName>
    <definedName name="shs_broadcast_station_tel_cell6">'Table 27'!$AK$11</definedName>
    <definedName name="shs_broadcast_station_tel_cell7">'Table 27'!$AK$12</definedName>
    <definedName name="shs_broadcast_station_tel_cell8">'Table 27'!$AK$13</definedName>
    <definedName name="shs_broadcast_station_tel_cell9">'Table 27'!$AK$14</definedName>
    <definedName name="site_deped">'Box 9'!$E$7</definedName>
    <definedName name="site_land_area">'Box 9'!$AB$5</definedName>
    <definedName name="site_leg_own_adverseclaim">'Box 9'!$AL$17</definedName>
    <definedName name="site_leg_own_encroach">'Box 9'!$AL$18</definedName>
    <definedName name="site_leg_own_others">'Box 9'!$AL$20</definedName>
    <definedName name="site_leg_own_specify">'Box 9'!$AQ$20</definedName>
    <definedName name="site_leg_own_willegalsetler">'Box 9'!$AL$19</definedName>
    <definedName name="site_lgu">'Box 9'!$E$8</definedName>
    <definedName name="site_mode_cloa">'Box 9'!$S$16</definedName>
    <definedName name="site_mode_donation">'Box 9'!$S$9</definedName>
    <definedName name="site_mode_exchange_swapping">'Box 9'!$S$13</definedName>
    <definedName name="site_mode_expropriation">'Box 9'!$S$12</definedName>
    <definedName name="site_mode_others">'Box 9'!$S$19</definedName>
    <definedName name="site_mode_pres_proc">'Box 9'!$S$14</definedName>
    <definedName name="site_mode_purchase">'Box 9'!$S$10</definedName>
    <definedName name="site_mode_slup">'Box 9'!$S$18</definedName>
    <definedName name="site_mode_specify">'Box 9'!$T$20</definedName>
    <definedName name="site_mode_spl_patent">'Box 9'!$S$15</definedName>
    <definedName name="site_mode_usufruct_agree">'Box 9'!$S$11</definedName>
    <definedName name="site_modeyr_cloa">'Box 9'!$AD$16</definedName>
    <definedName name="site_modeyr_donation">'Box 9'!$AD$9</definedName>
    <definedName name="site_modeyr_exchange_swapping">'Box 9'!$AD$13</definedName>
    <definedName name="site_modeyr_expropriation">'Box 9'!$AD$12</definedName>
    <definedName name="site_modeyr_others">'Box 9'!$AD$19</definedName>
    <definedName name="site_modeyr_pres_proc">'Box 9'!$AD$14</definedName>
    <definedName name="site_modeyr_purchase">'Box 9'!$AD$10</definedName>
    <definedName name="site_modeyr_slup">'Box 9'!$AD$18</definedName>
    <definedName name="site_modeyr_spl_patent">'Box 9'!$AD$15</definedName>
    <definedName name="site_modeyr_usufruct_agree">'Box 9'!$AD$11</definedName>
    <definedName name="site_othergov">'Box 9'!$I$7</definedName>
    <definedName name="site_prvt_ind">'Box 9'!$I$8</definedName>
    <definedName name="site_schsite_protec_area">'Box 9'!$AL$24</definedName>
    <definedName name="site_schsite_timber_forest">'Box 9'!$AL$25</definedName>
    <definedName name="site_specify">'Box 9'!$J$26</definedName>
    <definedName name="site_w_ancesdom_cadtyes">'Box 9'!$AL$9</definedName>
    <definedName name="site_w_ancesdom_usuyes">'Box 9'!$AL$7</definedName>
    <definedName name="site_w_ancesland_caltyes">'Box 9'!$AL$14</definedName>
    <definedName name="site_w_ancesland_usuyes">'Box 9'!$AL$12</definedName>
    <definedName name="site_yes">'Box 9'!$I$9</definedName>
    <definedName name="site_yes_cert_stew">'Box 9'!$E$19</definedName>
    <definedName name="site_yes_cloa">'Box 9'!$E$13</definedName>
    <definedName name="site_yes_deed_abso">'Box 9'!$E$17</definedName>
    <definedName name="site_yes_deed_donation">'Box 9'!$E$18</definedName>
    <definedName name="site_yes_flag">'Box 9'!$E$25</definedName>
    <definedName name="site_yes_lease">'Box 9'!$E$24</definedName>
    <definedName name="site_yes_moa">'Box 9'!$E$23</definedName>
    <definedName name="site_yes_oct">'Box 9'!$E$11</definedName>
    <definedName name="site_yes_others">'Box 9'!$E$26</definedName>
    <definedName name="site_yes_pres_proc">'Box 9'!$E$15</definedName>
    <definedName name="site_yes_slup">'Box 9'!$E$20</definedName>
    <definedName name="site_yes_spl_patent">'Box 9'!$E$14</definedName>
    <definedName name="site_yes_tax_dec">'Box 9'!$E$16</definedName>
    <definedName name="site_yes_tct">'Box 9'!$E$12</definedName>
    <definedName name="site_yes_usufruct">'Box 9'!$E$22</definedName>
    <definedName name="solidwm_complieswma_yes">'Boxes 21-23'!$AC$5</definedName>
    <definedName name="tchrs_tesdanatlquali_agri_agricrops_diploma">'Table 20a'!$AK$31</definedName>
    <definedName name="tchrs_tesdanatlquali_agri_agricrops_nc1">'Table 20a'!$U$31</definedName>
    <definedName name="tchrs_tesdanatlquali_agri_agricrops_nc2">'Table 20a'!$Y$31</definedName>
    <definedName name="tchrs_tesdanatlquali_agri_agricrops_nc3">'Table 20a'!$AC$31</definedName>
    <definedName name="tchrs_tesdanatlquali_agri_agricrops_nc4">'Table 20a'!$AG$31</definedName>
    <definedName name="tchrs_tesdanatlquali_agri_agricrops_trainingmngt">'Table 20a'!$AO$31</definedName>
    <definedName name="tchrs_tesdanatlquali_agri_animalhealth_diploma">'Table 20a'!$AK$32</definedName>
    <definedName name="tchrs_tesdanatlquali_agri_animalhealth_nc1">'Table 20a'!$U$32</definedName>
    <definedName name="tchrs_tesdanatlquali_agri_animalhealth_nc2">'Table 20a'!$Y$32</definedName>
    <definedName name="tchrs_tesdanatlquali_agri_animalhealth_nc3">'Table 20a'!$AC$32</definedName>
    <definedName name="tchrs_tesdanatlquali_agri_animalhealth_nc4">'Table 20a'!$AG$32</definedName>
    <definedName name="tchrs_tesdanatlquali_agri_animalhealth_trainingmngt">'Table 20a'!$AO$32</definedName>
    <definedName name="tchrs_tesdanatlquali_agri_animalprod_diploma">'Table 20a'!$AK$33</definedName>
    <definedName name="tchrs_tesdanatlquali_agri_animalprod_nc1">'Table 20a'!$U$33</definedName>
    <definedName name="tchrs_tesdanatlquali_agri_animalprod_nc2">'Table 20a'!$Y$33</definedName>
    <definedName name="tchrs_tesdanatlquali_agri_animalprod_nc3">'Table 20a'!$AC$33</definedName>
    <definedName name="tchrs_tesdanatlquali_agri_animalprod_nc4">'Table 20a'!$AG$33</definedName>
    <definedName name="tchrs_tesdanatlquali_agri_animalprod_trainingmngt">'Table 20a'!$AO$33</definedName>
    <definedName name="tchrs_tesdanatlquali_agri_aquaculture_diploma">'Table 20a'!$AK$34</definedName>
    <definedName name="tchrs_tesdanatlquali_agri_aquaculture_nc1">'Table 20a'!$U$34</definedName>
    <definedName name="tchrs_tesdanatlquali_agri_aquaculture_nc2">'Table 20a'!$Y$34</definedName>
    <definedName name="tchrs_tesdanatlquali_agri_aquaculture_nc3">'Table 20a'!$AC$34</definedName>
    <definedName name="tchrs_tesdanatlquali_agri_aquaculture_nc4">'Table 20a'!$AG$34</definedName>
    <definedName name="tchrs_tesdanatlquali_agri_aquaculture_trainingmngt">'Table 20a'!$AO$34</definedName>
    <definedName name="tchrs_tesdanatlquali_agri_artiruminants_diploma">'Table 20a'!$AK$35</definedName>
    <definedName name="tchrs_tesdanatlquali_agri_artiruminants_nc1">'Table 20a'!$U$35</definedName>
    <definedName name="tchrs_tesdanatlquali_agri_artiruminants_nc2">'Table 20a'!$Y$35</definedName>
    <definedName name="tchrs_tesdanatlquali_agri_artiruminants_nc3">'Table 20a'!$AC$35</definedName>
    <definedName name="tchrs_tesdanatlquali_agri_artiruminants_nc4">'Table 20a'!$AG$35</definedName>
    <definedName name="tchrs_tesdanatlquali_agri_artiruminants_trainingmngt">'Table 20a'!$AO$35</definedName>
    <definedName name="tchrs_tesdanatlquali_agri_artiswine_diploma">'Table 20a'!$AK$36</definedName>
    <definedName name="tchrs_tesdanatlquali_agri_artiswine_nc1">'Table 20a'!$U$36</definedName>
    <definedName name="tchrs_tesdanatlquali_agri_artiswine_nc2">'Table 20a'!$Y$36</definedName>
    <definedName name="tchrs_tesdanatlquali_agri_artiswine_nc3">'Table 20a'!$AC$36</definedName>
    <definedName name="tchrs_tesdanatlquali_agri_artiswine_nc4">'Table 20a'!$AG$36</definedName>
    <definedName name="tchrs_tesdanatlquali_agri_artiswine_trainingmngt">'Table 20a'!$AO$36</definedName>
    <definedName name="tchrs_tesdanatlquali_agri_fishcapture_diploma">'Table 20a'!$AK$37</definedName>
    <definedName name="tchrs_tesdanatlquali_agri_fishcapture_nc1">'Table 20a'!$U$37</definedName>
    <definedName name="tchrs_tesdanatlquali_agri_fishcapture_nc2">'Table 20a'!$Y$37</definedName>
    <definedName name="tchrs_tesdanatlquali_agri_fishcapture_nc3">'Table 20a'!$AC$37</definedName>
    <definedName name="tchrs_tesdanatlquali_agri_fishcapture_nc4">'Table 20a'!$AG$37</definedName>
    <definedName name="tchrs_tesdanatlquali_agri_fishcapture_trainingmngt">'Table 20a'!$AO$37</definedName>
    <definedName name="tchrs_tesdanatlquali_agri_fishinggear_diploma">'Table 20a'!$AK$40</definedName>
    <definedName name="tchrs_tesdanatlquali_agri_fishinggear_nc1">'Table 20a'!$U$40</definedName>
    <definedName name="tchrs_tesdanatlquali_agri_fishinggear_nc2">'Table 20a'!$Y$40</definedName>
    <definedName name="tchrs_tesdanatlquali_agri_fishinggear_nc3">'Table 20a'!$AC$40</definedName>
    <definedName name="tchrs_tesdanatlquali_agri_fishinggear_nc4">'Table 20a'!$AG$40</definedName>
    <definedName name="tchrs_tesdanatlquali_agri_fishinggear_trainingmngt">'Table 20a'!$AO$40</definedName>
    <definedName name="tchrs_tesdanatlquali_agri_fishportnwharf_diploma">'Table 20a'!$AK$39</definedName>
    <definedName name="tchrs_tesdanatlquali_agri_fishportnwharf_nc1">'Table 20a'!$U$39</definedName>
    <definedName name="tchrs_tesdanatlquali_agri_fishportnwharf_nc2">'Table 20a'!$Y$39</definedName>
    <definedName name="tchrs_tesdanatlquali_agri_fishportnwharf_nc3">'Table 20a'!$AC$39</definedName>
    <definedName name="tchrs_tesdanatlquali_agri_fishportnwharf_nc4">'Table 20a'!$AG$39</definedName>
    <definedName name="tchrs_tesdanatlquali_agri_fishportnwharf_trainingmngt">'Table 20a'!$AO$39</definedName>
    <definedName name="tchrs_tesdanatlquali_agri_fishprocessing_diploma">'Table 20a'!$AK$41</definedName>
    <definedName name="tchrs_tesdanatlquali_agri_fishprocessing_nc1">'Table 20a'!$U$41</definedName>
    <definedName name="tchrs_tesdanatlquali_agri_fishprocessing_nc2">'Table 20a'!$Y$41</definedName>
    <definedName name="tchrs_tesdanatlquali_agri_fishprocessing_nc3">'Table 20a'!$AC$41</definedName>
    <definedName name="tchrs_tesdanatlquali_agri_fishprocessing_nc4">'Table 20a'!$AG$41</definedName>
    <definedName name="tchrs_tesdanatlquali_agri_fishprocessing_trainingmngt">'Table 20a'!$AO$41</definedName>
    <definedName name="tchrs_tesdanatlquali_agri_fishprod_diploma">'Table 20a'!$AK$38</definedName>
    <definedName name="tchrs_tesdanatlquali_agri_fishprod_nc1">'Table 20a'!$U$38</definedName>
    <definedName name="tchrs_tesdanatlquali_agri_fishprod_nc2">'Table 20a'!$Y$38</definedName>
    <definedName name="tchrs_tesdanatlquali_agri_fishprod_nc3">'Table 20a'!$AC$38</definedName>
    <definedName name="tchrs_tesdanatlquali_agri_fishprod_nc4">'Table 20a'!$AG$38</definedName>
    <definedName name="tchrs_tesdanatlquali_agri_fishprod_trainingmngt">'Table 20a'!$AO$38</definedName>
    <definedName name="tchrs_tesdanatlquali_agri_horiculture_diploma">'Table 20a'!$AK$42</definedName>
    <definedName name="tchrs_tesdanatlquali_agri_horiculture_nc1">'Table 20a'!$U$42</definedName>
    <definedName name="tchrs_tesdanatlquali_agri_horiculture_nc2">'Table 20a'!$Y$42</definedName>
    <definedName name="tchrs_tesdanatlquali_agri_horiculture_nc3">'Table 20a'!$AC$42</definedName>
    <definedName name="tchrs_tesdanatlquali_agri_horiculture_nc4">'Table 20a'!$AG$42</definedName>
    <definedName name="tchrs_tesdanatlquali_agri_horiculture_trainingmngt">'Table 20a'!$AO$42</definedName>
    <definedName name="tchrs_tesdanatlquali_agri_lanscapenmain_diploma">'Table 20a'!$AK$43</definedName>
    <definedName name="tchrs_tesdanatlquali_agri_lanscapenmain_nc1">'Table 20a'!$U$43</definedName>
    <definedName name="tchrs_tesdanatlquali_agri_lanscapenmain_nc2">'Table 20a'!$Y$43</definedName>
    <definedName name="tchrs_tesdanatlquali_agri_lanscapenmain_nc3">'Table 20a'!$AC$43</definedName>
    <definedName name="tchrs_tesdanatlquali_agri_lanscapenmain_nc4">'Table 20a'!$AG$43</definedName>
    <definedName name="tchrs_tesdanatlquali_agri_lanscapenmain_trainingmngt">'Table 20a'!$AO$43</definedName>
    <definedName name="tchrs_tesdanatlquali_agri_organicagri_diploma">'Table 20a'!$AK$44</definedName>
    <definedName name="tchrs_tesdanatlquali_agri_organicagri_nc1">'Table 20a'!$U$44</definedName>
    <definedName name="tchrs_tesdanatlquali_agri_organicagri_nc2">'Table 20a'!$Y$44</definedName>
    <definedName name="tchrs_tesdanatlquali_agri_organicagri_nc3">'Table 20a'!$AC$44</definedName>
    <definedName name="tchrs_tesdanatlquali_agri_organicagri_nc4">'Table 20a'!$AG$44</definedName>
    <definedName name="tchrs_tesdanatlquali_agri_organicagri_trainingmngt">'Table 20a'!$AO$44</definedName>
    <definedName name="tchrs_tesdanatlquali_agri_pestmngt_diploma">'Table 20a'!$AK$45</definedName>
    <definedName name="tchrs_tesdanatlquali_agri_pestmngt_nc1">'Table 20a'!$U$45</definedName>
    <definedName name="tchrs_tesdanatlquali_agri_pestmngt_nc2">'Table 20a'!$Y$45</definedName>
    <definedName name="tchrs_tesdanatlquali_agri_pestmngt_nc3">'Table 20a'!$AC$45</definedName>
    <definedName name="tchrs_tesdanatlquali_agri_pestmngt_nc4">'Table 20a'!$AG$45</definedName>
    <definedName name="tchrs_tesdanatlquali_agri_pestmngt_trainingmngt">'Table 20a'!$AO$45</definedName>
    <definedName name="tchrs_tesdanatlquali_agri_ricemachinery_diploma">'Table 20a'!$AK$46</definedName>
    <definedName name="tchrs_tesdanatlquali_agri_ricemachinery_nc1">'Table 20a'!$U$46</definedName>
    <definedName name="tchrs_tesdanatlquali_agri_ricemachinery_nc2">'Table 20a'!$Y$46</definedName>
    <definedName name="tchrs_tesdanatlquali_agri_ricemachinery_nc3">'Table 20a'!$AC$46</definedName>
    <definedName name="tchrs_tesdanatlquali_agri_ricemachinery_nc4">'Table 20a'!$AG$46</definedName>
    <definedName name="tchrs_tesdanatlquali_agri_ricemachinery_trainingmngt">'Table 20a'!$AO$46</definedName>
    <definedName name="tchrs_tesdanatlquali_agri_rubberprocessing_diploma">'Table 20a'!$AK$47</definedName>
    <definedName name="tchrs_tesdanatlquali_agri_rubberprocessing_nc1">'Table 20a'!$U$47</definedName>
    <definedName name="tchrs_tesdanatlquali_agri_rubberprocessing_nc2">'Table 20a'!$Y$47</definedName>
    <definedName name="tchrs_tesdanatlquali_agri_rubberprocessing_nc3">'Table 20a'!$AC$47</definedName>
    <definedName name="tchrs_tesdanatlquali_agri_rubberprocessing_nc4">'Table 20a'!$AG$47</definedName>
    <definedName name="tchrs_tesdanatlquali_agri_rubberprocessing_trainingmngt">'Table 20a'!$AO$47</definedName>
    <definedName name="tchrs_tesdanatlquali_agri_rubberproduction_diploma">'Table 20a'!$AK$48</definedName>
    <definedName name="tchrs_tesdanatlquali_agri_rubberproduction_nc1">'Table 20a'!$U$48</definedName>
    <definedName name="tchrs_tesdanatlquali_agri_rubberproduction_nc2">'Table 20a'!$Y$48</definedName>
    <definedName name="tchrs_tesdanatlquali_agri_rubberproduction_nc3">'Table 20a'!$AC$48</definedName>
    <definedName name="tchrs_tesdanatlquali_agri_rubberproduction_nc4">'Table 20a'!$AG$48</definedName>
    <definedName name="tchrs_tesdanatlquali_agri_rubberproduction_trainingmngt">'Table 20a'!$AO$48</definedName>
    <definedName name="tchrs_tesdanatlquali_agri_slaughteringop_diploma">'Table 20a'!$AK$49</definedName>
    <definedName name="tchrs_tesdanatlquali_agri_slaughteringop_nc1">'Table 20a'!$U$49</definedName>
    <definedName name="tchrs_tesdanatlquali_agri_slaughteringop_nc2">'Table 20a'!$Y$49</definedName>
    <definedName name="tchrs_tesdanatlquali_agri_slaughteringop_nc3">'Table 20a'!$AC$49</definedName>
    <definedName name="tchrs_tesdanatlquali_agri_slaughteringop_nc4">'Table 20a'!$AG$49</definedName>
    <definedName name="tchrs_tesdanatlquali_agri_slaughteringop_trainingmngt">'Table 20a'!$AO$49</definedName>
    <definedName name="tchrs_tesdanatlquali_he_attractions_diploma">'Table 20a'!$AK$6</definedName>
    <definedName name="tchrs_tesdanatlquali_he_attractions_nc1">'Table 20a'!$U$6</definedName>
    <definedName name="tchrs_tesdanatlquali_he_attractions_nc2">'Table 20a'!$Y$6</definedName>
    <definedName name="tchrs_tesdanatlquali_he_attractions_nc3">'Table 20a'!$AC$6</definedName>
    <definedName name="tchrs_tesdanatlquali_he_attractions_nc4">'Table 20a'!$AG$6</definedName>
    <definedName name="tchrs_tesdanatlquali_he_attractions_trainingmngt">'Table 20a'!$AO$6</definedName>
    <definedName name="tchrs_tesdanatlquali_he_barbering_diploma">'Table 20a'!$AK$7</definedName>
    <definedName name="tchrs_tesdanatlquali_he_barbering_nc1">'Table 20a'!$U$7</definedName>
    <definedName name="tchrs_tesdanatlquali_he_barbering_nc2">'Table 20a'!$Y$7</definedName>
    <definedName name="tchrs_tesdanatlquali_he_barbering_nc3">'Table 20a'!$AC$7</definedName>
    <definedName name="tchrs_tesdanatlquali_he_barbering_nc4">'Table 20a'!$AG$7</definedName>
    <definedName name="tchrs_tesdanatlquali_he_barbering_trainingmngt">'Table 20a'!$AO$7</definedName>
    <definedName name="tchrs_tesdanatlquali_he_bartending_diploma">'Table 20a'!$AK$8</definedName>
    <definedName name="tchrs_tesdanatlquali_he_bartending_nc1">'Table 20a'!$U$8</definedName>
    <definedName name="tchrs_tesdanatlquali_he_bartending_nc2">'Table 20a'!$Y$8</definedName>
    <definedName name="tchrs_tesdanatlquali_he_bartending_nc3">'Table 20a'!$AC$8</definedName>
    <definedName name="tchrs_tesdanatlquali_he_bartending_nc4">'Table 20a'!$AG$8</definedName>
    <definedName name="tchrs_tesdanatlquali_he_bartending_trainingmngt">'Table 20a'!$AO$8</definedName>
    <definedName name="tchrs_tesdanatlquali_he_beautynail_diploma">'Table 20a'!$AK$9</definedName>
    <definedName name="tchrs_tesdanatlquali_he_beautynail_nc1">'Table 20a'!$U$9</definedName>
    <definedName name="tchrs_tesdanatlquali_he_beautynail_nc2">'Table 20a'!$Y$9</definedName>
    <definedName name="tchrs_tesdanatlquali_he_beautynail_nc3">'Table 20a'!$AC$9</definedName>
    <definedName name="tchrs_tesdanatlquali_he_beautynail_nc4">'Table 20a'!$AG$9</definedName>
    <definedName name="tchrs_tesdanatlquali_he_beautynail_trainingmngt">'Table 20a'!$AO$9</definedName>
    <definedName name="tchrs_tesdanatlquali_he_breadnpastry_diploma">'Table 20a'!$AK$10</definedName>
    <definedName name="tchrs_tesdanatlquali_he_breadnpastry_nc1">'Table 20a'!$U$10</definedName>
    <definedName name="tchrs_tesdanatlquali_he_breadnpastry_nc2">'Table 20a'!$Y$10</definedName>
    <definedName name="tchrs_tesdanatlquali_he_breadnpastry_nc3">'Table 20a'!$AC$10</definedName>
    <definedName name="tchrs_tesdanatlquali_he_breadnpastry_nc4">'Table 20a'!$AG$10</definedName>
    <definedName name="tchrs_tesdanatlquali_he_breadnpastry_trainingmngt">'Table 20a'!$AO$10</definedName>
    <definedName name="tchrs_tesdanatlquali_he_caregiving_diploma">'Table 20a'!$AK$11</definedName>
    <definedName name="tchrs_tesdanatlquali_he_caregiving_nc1">'Table 20a'!$U$11</definedName>
    <definedName name="tchrs_tesdanatlquali_he_caregiving_nc2">'Table 20a'!$Y$11</definedName>
    <definedName name="tchrs_tesdanatlquali_he_caregiving_nc3">'Table 20a'!$AC$11</definedName>
    <definedName name="tchrs_tesdanatlquali_he_caregiving_nc4">'Table 20a'!$AG$11</definedName>
    <definedName name="tchrs_tesdanatlquali_he_caregiving_trainingmngt">'Table 20a'!$AO$11</definedName>
    <definedName name="tchrs_tesdanatlquali_he_comcooking_diploma">'Table 20a'!$AK$12</definedName>
    <definedName name="tchrs_tesdanatlquali_he_comcooking_nc1">'Table 20a'!$U$12</definedName>
    <definedName name="tchrs_tesdanatlquali_he_comcooking_nc2">'Table 20a'!$Y$12</definedName>
    <definedName name="tchrs_tesdanatlquali_he_comcooking_nc3">'Table 20a'!$AC$12</definedName>
    <definedName name="tchrs_tesdanatlquali_he_comcooking_nc4">'Table 20a'!$AG$12</definedName>
    <definedName name="tchrs_tesdanatlquali_he_comcooking_trainingmngt">'Table 20a'!$AO$12</definedName>
    <definedName name="tchrs_tesdanatlquali_he_cookery_diploma">'Table 20a'!$AK$13</definedName>
    <definedName name="tchrs_tesdanatlquali_he_cookery_nc1">'Table 20a'!$U$13</definedName>
    <definedName name="tchrs_tesdanatlquali_he_cookery_nc2">'Table 20a'!$Y$13</definedName>
    <definedName name="tchrs_tesdanatlquali_he_cookery_nc3">'Table 20a'!$AC$13</definedName>
    <definedName name="tchrs_tesdanatlquali_he_cookery_nc4">'Table 20a'!$AG$13</definedName>
    <definedName name="tchrs_tesdanatlquali_he_cookery_trainingmngt">'Table 20a'!$AO$13</definedName>
    <definedName name="tchrs_tesdanatlquali_he_dressmaking_diploma">'Table 20a'!$AK$14</definedName>
    <definedName name="tchrs_tesdanatlquali_he_dressmaking_nc1">'Table 20a'!$U$14</definedName>
    <definedName name="tchrs_tesdanatlquali_he_dressmaking_nc2">'Table 20a'!$Y$14</definedName>
    <definedName name="tchrs_tesdanatlquali_he_dressmaking_nc3">'Table 20a'!$AC$14</definedName>
    <definedName name="tchrs_tesdanatlquali_he_dressmaking_nc4">'Table 20a'!$AG$14</definedName>
    <definedName name="tchrs_tesdanatlquali_he_dressmaking_trainingmngt">'Table 20a'!$AO$14</definedName>
    <definedName name="tchrs_tesdanatlquali_he_eventsmngt_diploma">'Table 20a'!$AK$15</definedName>
    <definedName name="tchrs_tesdanatlquali_he_eventsmngt_nc1">'Table 20a'!$U$15</definedName>
    <definedName name="tchrs_tesdanatlquali_he_eventsmngt_nc2">'Table 20a'!$Y$15</definedName>
    <definedName name="tchrs_tesdanatlquali_he_eventsmngt_nc3">'Table 20a'!$AC$15</definedName>
    <definedName name="tchrs_tesdanatlquali_he_eventsmngt_nc4">'Table 20a'!$AG$15</definedName>
    <definedName name="tchrs_tesdanatlquali_he_eventsmngt_trainingmngt">'Table 20a'!$AO$15</definedName>
    <definedName name="tchrs_tesdanatlquali_he_fashiondesign_diploma">'Table 20a'!$AK$16</definedName>
    <definedName name="tchrs_tesdanatlquali_he_fashiondesign_nc1">'Table 20a'!$U$16</definedName>
    <definedName name="tchrs_tesdanatlquali_he_fashiondesign_nc2">'Table 20a'!$Y$16</definedName>
    <definedName name="tchrs_tesdanatlquali_he_fashiondesign_nc3">'Table 20a'!$AC$16</definedName>
    <definedName name="tchrs_tesdanatlquali_he_fashiondesign_nc4">'Table 20a'!$AG$16</definedName>
    <definedName name="tchrs_tesdanatlquali_he_fashiondesign_trainingmngt">'Table 20a'!$AO$16</definedName>
    <definedName name="tchrs_tesdanatlquali_he_foodnbeverage_diploma">'Table 20a'!$AK$17</definedName>
    <definedName name="tchrs_tesdanatlquali_he_foodnbeverage_nc1">'Table 20a'!$U$17</definedName>
    <definedName name="tchrs_tesdanatlquali_he_foodnbeverage_nc2">'Table 20a'!$Y$17</definedName>
    <definedName name="tchrs_tesdanatlquali_he_foodnbeverage_nc3">'Table 20a'!$AC$17</definedName>
    <definedName name="tchrs_tesdanatlquali_he_foodnbeverage_nc4">'Table 20a'!$AG$17</definedName>
    <definedName name="tchrs_tesdanatlquali_he_foodnbeverage_trainingmngt">'Table 20a'!$AO$17</definedName>
    <definedName name="tchrs_tesdanatlquali_he_frontofc_diploma">'Table 20a'!$AK$18</definedName>
    <definedName name="tchrs_tesdanatlquali_he_frontofc_nc1">'Table 20a'!$U$18</definedName>
    <definedName name="tchrs_tesdanatlquali_he_frontofc_nc2">'Table 20a'!$Y$18</definedName>
    <definedName name="tchrs_tesdanatlquali_he_frontofc_nc3">'Table 20a'!$AC$18</definedName>
    <definedName name="tchrs_tesdanatlquali_he_frontofc_nc4">'Table 20a'!$AG$18</definedName>
    <definedName name="tchrs_tesdanatlquali_he_frontofc_trainingmngt">'Table 20a'!$AO$18</definedName>
    <definedName name="tchrs_tesdanatlquali_he_hairdressing_diploma">'Table 20a'!$AK$19</definedName>
    <definedName name="tchrs_tesdanatlquali_he_hairdressing_nc1">'Table 20a'!$U$19</definedName>
    <definedName name="tchrs_tesdanatlquali_he_hairdressing_nc2">'Table 20a'!$Y$19</definedName>
    <definedName name="tchrs_tesdanatlquali_he_hairdressing_nc3">'Table 20a'!$AC$19</definedName>
    <definedName name="tchrs_tesdanatlquali_he_hairdressing_nc4">'Table 20a'!$AG$19</definedName>
    <definedName name="tchrs_tesdanatlquali_he_hairdressing_trainingmngt">'Table 20a'!$AO$19</definedName>
    <definedName name="tchrs_tesdanatlquali_he_handibasketry_diploma">'Table 20a'!$AK$20</definedName>
    <definedName name="tchrs_tesdanatlquali_he_handibasketry_nc1">'Table 20a'!$U$20</definedName>
    <definedName name="tchrs_tesdanatlquali_he_handibasketry_nc2">'Table 20a'!$Y$20</definedName>
    <definedName name="tchrs_tesdanatlquali_he_handibasketry_nc3">'Table 20a'!$AC$20</definedName>
    <definedName name="tchrs_tesdanatlquali_he_handibasketry_nc4">'Table 20a'!$AG$20</definedName>
    <definedName name="tchrs_tesdanatlquali_he_handibasketry_trainingmngt">'Table 20a'!$AO$20</definedName>
    <definedName name="tchrs_tesdanatlquali_he_handifashion_diploma">'Table 20a'!$AK$21</definedName>
    <definedName name="tchrs_tesdanatlquali_he_handifashion_nc1">'Table 20a'!$U$21</definedName>
    <definedName name="tchrs_tesdanatlquali_he_handifashion_nc2">'Table 20a'!$Y$21</definedName>
    <definedName name="tchrs_tesdanatlquali_he_handifashion_nc3">'Table 20a'!$AC$21</definedName>
    <definedName name="tchrs_tesdanatlquali_he_handifashion_nc4">'Table 20a'!$AG$21</definedName>
    <definedName name="tchrs_tesdanatlquali_he_handifashion_trainingmngt">'Table 20a'!$AO$21</definedName>
    <definedName name="tchrs_tesdanatlquali_he_handineedle_diploma">'Table 20a'!$AK$22</definedName>
    <definedName name="tchrs_tesdanatlquali_he_handineedle_nc1">'Table 20a'!$U$22</definedName>
    <definedName name="tchrs_tesdanatlquali_he_handineedle_nc2">'Table 20a'!$Y$22</definedName>
    <definedName name="tchrs_tesdanatlquali_he_handineedle_nc3">'Table 20a'!$AC$22</definedName>
    <definedName name="tchrs_tesdanatlquali_he_handineedle_nc4">'Table 20a'!$AG$22</definedName>
    <definedName name="tchrs_tesdanatlquali_he_handineedle_trainingmngt">'Table 20a'!$AO$22</definedName>
    <definedName name="tchrs_tesdanatlquali_he_handiwoodcraft_diploma">'Table 20a'!$AK$23</definedName>
    <definedName name="tchrs_tesdanatlquali_he_handiwoodcraft_nc1">'Table 20a'!$U$23</definedName>
    <definedName name="tchrs_tesdanatlquali_he_handiwoodcraft_nc2">'Table 20a'!$Y$23</definedName>
    <definedName name="tchrs_tesdanatlquali_he_handiwoodcraft_nc3">'Table 20a'!$AC$23</definedName>
    <definedName name="tchrs_tesdanatlquali_he_handiwoodcraft_nc4">'Table 20a'!$AG$23</definedName>
    <definedName name="tchrs_tesdanatlquali_he_handiwoodcraft_trainingmngt">'Table 20a'!$AO$23</definedName>
    <definedName name="tchrs_tesdanatlquali_he_housekeeping_diploma">'Table 20a'!$AK$24</definedName>
    <definedName name="tchrs_tesdanatlquali_he_housekeeping_nc1">'Table 20a'!$U$24</definedName>
    <definedName name="tchrs_tesdanatlquali_he_housekeeping_nc2">'Table 20a'!$Y$24</definedName>
    <definedName name="tchrs_tesdanatlquali_he_housekeeping_nc3">'Table 20a'!$AC$24</definedName>
    <definedName name="tchrs_tesdanatlquali_he_housekeeping_nc4">'Table 20a'!$AG$24</definedName>
    <definedName name="tchrs_tesdanatlquali_he_housekeeping_trainingmngt">'Table 20a'!$AO$24</definedName>
    <definedName name="tchrs_tesdanatlquali_he_localguiding_diploma">'Table 20a'!$AK$26</definedName>
    <definedName name="tchrs_tesdanatlquali_he_localguiding_nc1">'Table 20a'!$U$26</definedName>
    <definedName name="tchrs_tesdanatlquali_he_localguiding_nc2">'Table 20a'!$Y$26</definedName>
    <definedName name="tchrs_tesdanatlquali_he_localguiding_nc3">'Table 20a'!$AC$26</definedName>
    <definedName name="tchrs_tesdanatlquali_he_localguiding_nc4">'Table 20a'!$AG$26</definedName>
    <definedName name="tchrs_tesdanatlquali_he_localguiding_trainingmngt">'Table 20a'!$AO$26</definedName>
    <definedName name="tchrs_tesdanatlquali_he_tailoring_diploma">'Table 20a'!$AK$25</definedName>
    <definedName name="tchrs_tesdanatlquali_he_tailoring_nc1">'Table 20a'!$U$25</definedName>
    <definedName name="tchrs_tesdanatlquali_he_tailoring_nc2">'Table 20a'!$Y$25</definedName>
    <definedName name="tchrs_tesdanatlquali_he_tailoring_nc3">'Table 20a'!$AC$25</definedName>
    <definedName name="tchrs_tesdanatlquali_he_tailoring_nc4">'Table 20a'!$AG$25</definedName>
    <definedName name="tchrs_tesdanatlquali_he_tailoring_trainingmngt">'Table 20a'!$AO$25</definedName>
    <definedName name="tchrs_tesdanatlquali_he_tourismpromotion_diploma">'Table 20a'!$AK$27</definedName>
    <definedName name="tchrs_tesdanatlquali_he_tourismpromotion_nc1">'Table 20a'!$U$27</definedName>
    <definedName name="tchrs_tesdanatlquali_he_tourismpromotion_nc2">'Table 20a'!$Y$27</definedName>
    <definedName name="tchrs_tesdanatlquali_he_tourismpromotion_nc3">'Table 20a'!$AC$27</definedName>
    <definedName name="tchrs_tesdanatlquali_he_tourismpromotion_nc4">'Table 20a'!$AG$27</definedName>
    <definedName name="tchrs_tesdanatlquali_he_tourismpromotion_trainingmngt">'Table 20a'!$AO$27</definedName>
    <definedName name="tchrs_tesdanatlquali_he_travelservices_diploma">'Table 20a'!$AK$28</definedName>
    <definedName name="tchrs_tesdanatlquali_he_travelservices_nc1">'Table 20a'!$U$28</definedName>
    <definedName name="tchrs_tesdanatlquali_he_travelservices_nc2">'Table 20a'!$Y$28</definedName>
    <definedName name="tchrs_tesdanatlquali_he_travelservices_nc3">'Table 20a'!$AC$28</definedName>
    <definedName name="tchrs_tesdanatlquali_he_travelservices_nc4">'Table 20a'!$AG$28</definedName>
    <definedName name="tchrs_tesdanatlquali_he_travelservices_trainingmngt">'Table 20a'!$AO$28</definedName>
    <definedName name="tchrs_tesdanatlquali_he_wellnessmassage_diploma">'Table 20a'!$AK$29</definedName>
    <definedName name="tchrs_tesdanatlquali_he_wellnessmassage_nc1">'Table 20a'!$U$29</definedName>
    <definedName name="tchrs_tesdanatlquali_he_wellnessmassage_nc2">'Table 20a'!$Y$29</definedName>
    <definedName name="tchrs_tesdanatlquali_he_wellnessmassage_nc3">'Table 20a'!$AC$29</definedName>
    <definedName name="tchrs_tesdanatlquali_he_wellnessmassage_nc4">'Table 20a'!$AG$29</definedName>
    <definedName name="tchrs_tesdanatlquali_he_wellnessmassage_trainingmngt">'Table 20a'!$AO$29</definedName>
    <definedName name="tchrs_tesdanatlquali_ict_animation_diploma">'Table 20b'!$AK$29</definedName>
    <definedName name="tchrs_tesdanatlquali_ict_animation_nc1">'Table 20b'!$U$29</definedName>
    <definedName name="tchrs_tesdanatlquali_ict_animation_nc2">'Table 20b'!$Y$29</definedName>
    <definedName name="tchrs_tesdanatlquali_ict_animation_nc3">'Table 20b'!$AC$29</definedName>
    <definedName name="tchrs_tesdanatlquali_ict_animation_nc4">'Table 20b'!$AG$29</definedName>
    <definedName name="tchrs_tesdanatlquali_ict_animation_trainingmngt">'Table 20b'!$AO$29</definedName>
    <definedName name="tchrs_tesdanatlquali_ict_broadbandinst_diploma">'Table 20b'!$AK$30</definedName>
    <definedName name="tchrs_tesdanatlquali_ict_broadbandinst_nc1">'Table 20b'!$U$30</definedName>
    <definedName name="tchrs_tesdanatlquali_ict_broadbandinst_nc2">'Table 20b'!$Y$30</definedName>
    <definedName name="tchrs_tesdanatlquali_ict_broadbandinst_nc3">'Table 20b'!$AC$30</definedName>
    <definedName name="tchrs_tesdanatlquali_ict_broadbandinst_nc4">'Table 20b'!$AG$30</definedName>
    <definedName name="tchrs_tesdanatlquali_ict_broadbandinst_trainingmngt">'Table 20b'!$AO$30</definedName>
    <definedName name="tchrs_tesdanatlquali_ict_comphardwaresrvcing_diploma">'Table 20b'!$AK$31</definedName>
    <definedName name="tchrs_tesdanatlquali_ict_comphardwaresrvcing_nc1">'Table 20b'!$U$31</definedName>
    <definedName name="tchrs_tesdanatlquali_ict_comphardwaresrvcing_nc2">'Table 20b'!$Y$31</definedName>
    <definedName name="tchrs_tesdanatlquali_ict_comphardwaresrvcing_nc3">'Table 20b'!$AC$31</definedName>
    <definedName name="tchrs_tesdanatlquali_ict_comphardwaresrvcing_nc4">'Table 20b'!$AG$31</definedName>
    <definedName name="tchrs_tesdanatlquali_ict_comphardwaresrvcing_trainingmngt">'Table 20b'!$AO$31</definedName>
    <definedName name="tchrs_tesdanatlquali_ict_compprogramnciv_diploma">'Table 20b'!$AK$32</definedName>
    <definedName name="tchrs_tesdanatlquali_ict_compprogramnciv_nc1">'Table 20b'!$U$32</definedName>
    <definedName name="tchrs_tesdanatlquali_ict_compprogramnciv_nc2">'Table 20b'!$Y$32</definedName>
    <definedName name="tchrs_tesdanatlquali_ict_compprogramnciv_nc3">'Table 20b'!$AC$32</definedName>
    <definedName name="tchrs_tesdanatlquali_ict_compprogramnciv_nc4">'Table 20b'!$AG$32</definedName>
    <definedName name="tchrs_tesdanatlquali_ict_compprogramnciv_trainingmngt">'Table 20b'!$AO$32</definedName>
    <definedName name="tchrs_tesdanatlquali_ict_conttactservices_diploma">'Table 20b'!$AK$33</definedName>
    <definedName name="tchrs_tesdanatlquali_ict_conttactservices_nc1">'Table 20b'!$U$33</definedName>
    <definedName name="tchrs_tesdanatlquali_ict_conttactservices_nc2">'Table 20b'!$Y$33</definedName>
    <definedName name="tchrs_tesdanatlquali_ict_conttactservices_nc3">'Table 20b'!$AC$33</definedName>
    <definedName name="tchrs_tesdanatlquali_ict_conttactservices_nc4">'Table 20b'!$AG$33</definedName>
    <definedName name="tchrs_tesdanatlquali_ict_conttactservices_trainingmngt">'Table 20b'!$AO$33</definedName>
    <definedName name="tchrs_tesdanatlquali_ict_illustration_diploma">'Table 20b'!$AK$34</definedName>
    <definedName name="tchrs_tesdanatlquali_ict_illustration_nc1">'Table 20b'!$U$34</definedName>
    <definedName name="tchrs_tesdanatlquali_ict_illustration_nc2">'Table 20b'!$Y$34</definedName>
    <definedName name="tchrs_tesdanatlquali_ict_illustration_nc3">'Table 20b'!$AC$34</definedName>
    <definedName name="tchrs_tesdanatlquali_ict_illustration_nc4">'Table 20b'!$AG$34</definedName>
    <definedName name="tchrs_tesdanatlquali_ict_illustration_trainingmngt">'Table 20b'!$AO$34</definedName>
    <definedName name="tchrs_tesdanatlquali_ict_medtranscription_diploma">'Table 20b'!$AK$35</definedName>
    <definedName name="tchrs_tesdanatlquali_ict_medtranscription_nc1">'Table 20b'!$U$35</definedName>
    <definedName name="tchrs_tesdanatlquali_ict_medtranscription_nc2">'Table 20b'!$Y$35</definedName>
    <definedName name="tchrs_tesdanatlquali_ict_medtranscription_nc3">'Table 20b'!$AC$35</definedName>
    <definedName name="tchrs_tesdanatlquali_ict_medtranscription_nc4">'Table 20b'!$AG$35</definedName>
    <definedName name="tchrs_tesdanatlquali_ict_medtranscription_trainingmngt">'Table 20b'!$AO$35</definedName>
    <definedName name="tchrs_tesdanatlquali_ict_techdrafting_diploma">'Table 20b'!$AK$36</definedName>
    <definedName name="tchrs_tesdanatlquali_ict_techdrafting_nc1">'Table 20b'!$U$36</definedName>
    <definedName name="tchrs_tesdanatlquali_ict_techdrafting_nc2">'Table 20b'!$Y$36</definedName>
    <definedName name="tchrs_tesdanatlquali_ict_techdrafting_nc3">'Table 20b'!$AC$36</definedName>
    <definedName name="tchrs_tesdanatlquali_ict_techdrafting_nc4">'Table 20b'!$AG$36</definedName>
    <definedName name="tchrs_tesdanatlquali_ict_techdrafting_trainingmngt">'Table 20b'!$AO$36</definedName>
    <definedName name="tchrs_tesdanatlquali_ict_telcomospinst_diploma">'Table 20b'!$AK$38</definedName>
    <definedName name="tchrs_tesdanatlquali_ict_telcomospinst_nc1">'Table 20b'!$U$38</definedName>
    <definedName name="tchrs_tesdanatlquali_ict_telcomospinst_nc2">'Table 20b'!$Y$38</definedName>
    <definedName name="tchrs_tesdanatlquali_ict_telcomospinst_nc3">'Table 20b'!$AC$38</definedName>
    <definedName name="tchrs_tesdanatlquali_ict_telcomospinst_nc4">'Table 20b'!$AG$38</definedName>
    <definedName name="tchrs_tesdanatlquali_ict_telcomospinst_trainingmngt">'Table 20b'!$AO$38</definedName>
    <definedName name="tchrs_tesdanatlquali_ict_telcomosppotsndsl_diploma">'Table 20b'!$AK$37</definedName>
    <definedName name="tchrs_tesdanatlquali_ict_telcomosppotsndsl_nc1">'Table 20b'!$U$37</definedName>
    <definedName name="tchrs_tesdanatlquali_ict_telcomosppotsndsl_nc2">'Table 20b'!$Y$37</definedName>
    <definedName name="tchrs_tesdanatlquali_ict_telcomosppotsndsl_nc3">'Table 20b'!$AC$37</definedName>
    <definedName name="tchrs_tesdanatlquali_ict_telcomosppotsndsl_nc4">'Table 20b'!$AG$37</definedName>
    <definedName name="tchrs_tesdanatlquali_ict_telcomosppotsndsl_trainingmngt">'Table 20b'!$AO$37</definedName>
    <definedName name="tchrs_tesdanatlquali_indus_autoservicing_diploma">'Table 20b'!$AK$6</definedName>
    <definedName name="tchrs_tesdanatlquali_indus_autoservicing_nc1">'Table 20b'!$U$6</definedName>
    <definedName name="tchrs_tesdanatlquali_indus_autoservicing_nc2">'Table 20b'!$Y$6</definedName>
    <definedName name="tchrs_tesdanatlquali_indus_autoservicing_nc3">'Table 20b'!$AC$6</definedName>
    <definedName name="tchrs_tesdanatlquali_indus_autoservicing_nc4">'Table 20b'!$AG$6</definedName>
    <definedName name="tchrs_tesdanatlquali_indus_autoservicing_trainingmngt">'Table 20b'!$AO$6</definedName>
    <definedName name="tchrs_tesdanatlquali_indus_carpentry_diploma">'Table 20b'!$AK$7</definedName>
    <definedName name="tchrs_tesdanatlquali_indus_carpentry_nc1">'Table 20b'!$U$7</definedName>
    <definedName name="tchrs_tesdanatlquali_indus_carpentry_nc2">'Table 20b'!$Y$7</definedName>
    <definedName name="tchrs_tesdanatlquali_indus_carpentry_nc3">'Table 20b'!$AC$7</definedName>
    <definedName name="tchrs_tesdanatlquali_indus_carpentry_nc4">'Table 20b'!$AG$7</definedName>
    <definedName name="tchrs_tesdanatlquali_indus_carpentry_trainingmngt">'Table 20b'!$AO$7</definedName>
    <definedName name="tchrs_tesdanatlquali_indus_conselecsrvcng_diploma">'Table 20b'!$AK$9</definedName>
    <definedName name="tchrs_tesdanatlquali_indus_conselecsrvcng_nc1">'Table 20b'!$U$9</definedName>
    <definedName name="tchrs_tesdanatlquali_indus_conselecsrvcng_nc2">'Table 20b'!$Y$9</definedName>
    <definedName name="tchrs_tesdanatlquali_indus_conselecsrvcng_nc3">'Table 20b'!$AC$9</definedName>
    <definedName name="tchrs_tesdanatlquali_indus_conselecsrvcng_nc4">'Table 20b'!$AG$9</definedName>
    <definedName name="tchrs_tesdanatlquali_indus_conselecsrvcng_trainingmngt">'Table 20b'!$AO$9</definedName>
    <definedName name="tchrs_tesdanatlquali_indus_constpainting_diploma">'Table 20b'!$AK$8</definedName>
    <definedName name="tchrs_tesdanatlquali_indus_constpainting_nc1">'Table 20b'!$U$8</definedName>
    <definedName name="tchrs_tesdanatlquali_indus_constpainting_nc2">'Table 20b'!$Y$8</definedName>
    <definedName name="tchrs_tesdanatlquali_indus_constpainting_nc3">'Table 20b'!$AC$8</definedName>
    <definedName name="tchrs_tesdanatlquali_indus_constpainting_nc4">'Table 20b'!$AG$8</definedName>
    <definedName name="tchrs_tesdanatlquali_indus_constpainting_trainingmngt">'Table 20b'!$AO$8</definedName>
    <definedName name="tchrs_tesdanatlquali_indus_domarcservicing_diploma">'Table 20b'!$AK$10</definedName>
    <definedName name="tchrs_tesdanatlquali_indus_domarcservicing_nc1">'Table 20b'!$U$10</definedName>
    <definedName name="tchrs_tesdanatlquali_indus_domarcservicing_nc2">'Table 20b'!$Y$10</definedName>
    <definedName name="tchrs_tesdanatlquali_indus_domarcservicing_nc3">'Table 20b'!$AC$10</definedName>
    <definedName name="tchrs_tesdanatlquali_indus_domarcservicing_nc4">'Table 20b'!$AG$10</definedName>
    <definedName name="tchrs_tesdanatlquali_indus_domarcservicing_trainingmngt">'Table 20b'!$AO$10</definedName>
    <definedName name="tchrs_tesdanatlquali_indus_driving_diploma">'Table 20b'!$AK$11</definedName>
    <definedName name="tchrs_tesdanatlquali_indus_driving_nc1">'Table 20b'!$U$11</definedName>
    <definedName name="tchrs_tesdanatlquali_indus_driving_nc2">'Table 20b'!$Y$11</definedName>
    <definedName name="tchrs_tesdanatlquali_indus_driving_nc3">'Table 20b'!$AC$11</definedName>
    <definedName name="tchrs_tesdanatlquali_indus_driving_nc4">'Table 20b'!$AG$11</definedName>
    <definedName name="tchrs_tesdanatlquali_indus_driving_trainingmngt">'Table 20b'!$AO$11</definedName>
    <definedName name="tchrs_tesdanatlquali_indus_electricinst_diploma">'Table 20b'!$AK$14</definedName>
    <definedName name="tchrs_tesdanatlquali_indus_electricinst_nc1">'Table 20b'!$U$14</definedName>
    <definedName name="tchrs_tesdanatlquali_indus_electricinst_nc2">'Table 20b'!$Y$14</definedName>
    <definedName name="tchrs_tesdanatlquali_indus_electricinst_nc3">'Table 20b'!$AC$14</definedName>
    <definedName name="tchrs_tesdanatlquali_indus_electricinst_nc4">'Table 20b'!$AG$14</definedName>
    <definedName name="tchrs_tesdanatlquali_indus_electricinst_trainingmngt">'Table 20b'!$AO$14</definedName>
    <definedName name="tchrs_tesdanatlquali_indus_electricpower_diploma">'Table 20b'!$AK$12</definedName>
    <definedName name="tchrs_tesdanatlquali_indus_electricpower_nc1">'Table 20b'!$U$12</definedName>
    <definedName name="tchrs_tesdanatlquali_indus_electricpower_nc2">'Table 20b'!$Y$12</definedName>
    <definedName name="tchrs_tesdanatlquali_indus_electricpower_nc3">'Table 20b'!$AC$12</definedName>
    <definedName name="tchrs_tesdanatlquali_indus_electricpower_nc4">'Table 20b'!$AG$12</definedName>
    <definedName name="tchrs_tesdanatlquali_indus_electricpower_trainingmngt">'Table 20b'!$AO$12</definedName>
    <definedName name="tchrs_tesdanatlquali_indus_electroprod_diploma">'Table 20b'!$AK$13</definedName>
    <definedName name="tchrs_tesdanatlquali_indus_electroprod_nc1">'Table 20b'!$U$13</definedName>
    <definedName name="tchrs_tesdanatlquali_indus_electroprod_nc2">'Table 20b'!$Y$13</definedName>
    <definedName name="tchrs_tesdanatlquali_indus_electroprod_nc3">'Table 20b'!$AC$13</definedName>
    <definedName name="tchrs_tesdanatlquali_indus_electroprod_nc4">'Table 20b'!$AG$13</definedName>
    <definedName name="tchrs_tesdanatlquali_indus_electroprod_trainingmngt">'Table 20b'!$AO$13</definedName>
    <definedName name="tchrs_tesdanatlquali_indus_furnituremkng_diploma">'Table 20b'!$AK$15</definedName>
    <definedName name="tchrs_tesdanatlquali_indus_furnituremkng_nc1">'Table 20b'!$U$15</definedName>
    <definedName name="tchrs_tesdanatlquali_indus_furnituremkng_nc2">'Table 20b'!$Y$15</definedName>
    <definedName name="tchrs_tesdanatlquali_indus_furnituremkng_nc3">'Table 20b'!$AC$15</definedName>
    <definedName name="tchrs_tesdanatlquali_indus_furnituremkng_nc4">'Table 20b'!$AG$15</definedName>
    <definedName name="tchrs_tesdanatlquali_indus_furnituremkng_trainingmngt">'Table 20b'!$AO$15</definedName>
    <definedName name="tchrs_tesdanatlquali_indus_gmaw_diploma">'Table 20b'!$AK$17</definedName>
    <definedName name="tchrs_tesdanatlquali_indus_gmaw_nc1">'Table 20b'!$U$17</definedName>
    <definedName name="tchrs_tesdanatlquali_indus_gmaw_nc2">'Table 20b'!$Y$17</definedName>
    <definedName name="tchrs_tesdanatlquali_indus_gmaw_nc3">'Table 20b'!$AC$17</definedName>
    <definedName name="tchrs_tesdanatlquali_indus_gmaw_nc4">'Table 20b'!$AG$17</definedName>
    <definedName name="tchrs_tesdanatlquali_indus_gmaw_trainingmngt">'Table 20b'!$AO$17</definedName>
    <definedName name="tchrs_tesdanatlquali_indus_gtaw_diploma">'Table 20b'!$AK$18</definedName>
    <definedName name="tchrs_tesdanatlquali_indus_gtaw_nc1">'Table 20b'!$U$18</definedName>
    <definedName name="tchrs_tesdanatlquali_indus_gtaw_nc2">'Table 20b'!$Y$18</definedName>
    <definedName name="tchrs_tesdanatlquali_indus_gtaw_nc3">'Table 20b'!$AC$18</definedName>
    <definedName name="tchrs_tesdanatlquali_indus_gtaw_nc4">'Table 20b'!$AG$18</definedName>
    <definedName name="tchrs_tesdanatlquali_indus_gtaw_trainingmngt">'Table 20b'!$AO$18</definedName>
    <definedName name="tchrs_tesdanatlquali_indus_instncontrol_diploma">'Table 20b'!$AK$16</definedName>
    <definedName name="tchrs_tesdanatlquali_indus_instncontrol_nc1">'Table 20b'!$U$16</definedName>
    <definedName name="tchrs_tesdanatlquali_indus_instncontrol_nc2">'Table 20b'!$Y$16</definedName>
    <definedName name="tchrs_tesdanatlquali_indus_instncontrol_nc3">'Table 20b'!$AC$16</definedName>
    <definedName name="tchrs_tesdanatlquali_indus_instncontrol_nc4">'Table 20b'!$AG$16</definedName>
    <definedName name="tchrs_tesdanatlquali_indus_instncontrol_trainingmngt">'Table 20b'!$AO$16</definedName>
    <definedName name="tchrs_tesdanatlquali_indus_machining_diploma">'Table 20b'!$AK$19</definedName>
    <definedName name="tchrs_tesdanatlquali_indus_machining_nc1">'Table 20b'!$U$19</definedName>
    <definedName name="tchrs_tesdanatlquali_indus_machining_nc2">'Table 20b'!$Y$19</definedName>
    <definedName name="tchrs_tesdanatlquali_indus_machining_nc3">'Table 20b'!$AC$19</definedName>
    <definedName name="tchrs_tesdanatlquali_indus_machining_nc4">'Table 20b'!$AG$19</definedName>
    <definedName name="tchrs_tesdanatlquali_indus_machining_trainingmngt">'Table 20b'!$AO$19</definedName>
    <definedName name="tchrs_tesdanatlquali_indus_masonry_diploma">'Table 20b'!$AK$20</definedName>
    <definedName name="tchrs_tesdanatlquali_indus_masonry_nc1">'Table 20b'!$U$20</definedName>
    <definedName name="tchrs_tesdanatlquali_indus_masonry_nc2">'Table 20b'!$Y$20</definedName>
    <definedName name="tchrs_tesdanatlquali_indus_masonry_nc3">'Table 20b'!$AC$20</definedName>
    <definedName name="tchrs_tesdanatlquali_indus_masonry_nc4">'Table 20b'!$AG$20</definedName>
    <definedName name="tchrs_tesdanatlquali_indus_masonry_trainingmngt">'Table 20b'!$AO$20</definedName>
    <definedName name="tchrs_tesdanatlquali_indus_mechservicing_diploma">'Table 20b'!$AK$21</definedName>
    <definedName name="tchrs_tesdanatlquali_indus_mechservicing_nc1">'Table 20b'!$U$21</definedName>
    <definedName name="tchrs_tesdanatlquali_indus_mechservicing_nc2">'Table 20b'!$Y$21</definedName>
    <definedName name="tchrs_tesdanatlquali_indus_mechservicing_nc3">'Table 20b'!$AC$21</definedName>
    <definedName name="tchrs_tesdanatlquali_indus_mechservicing_nc4">'Table 20b'!$AG$21</definedName>
    <definedName name="tchrs_tesdanatlquali_indus_mechservicing_trainingmngt">'Table 20b'!$AO$21</definedName>
    <definedName name="tchrs_tesdanatlquali_indus_motorcycleservicing_diploma">'Table 20b'!$AK$22</definedName>
    <definedName name="tchrs_tesdanatlquali_indus_motorcycleservicing_nc1">'Table 20b'!$U$22</definedName>
    <definedName name="tchrs_tesdanatlquali_indus_motorcycleservicing_nc2">'Table 20b'!$Y$22</definedName>
    <definedName name="tchrs_tesdanatlquali_indus_motorcycleservicing_nc3">'Table 20b'!$AC$22</definedName>
    <definedName name="tchrs_tesdanatlquali_indus_motorcycleservicing_nc4">'Table 20b'!$AG$22</definedName>
    <definedName name="tchrs_tesdanatlquali_indus_motorcycleservicing_trainingmngt">'Table 20b'!$AO$22</definedName>
    <definedName name="tchrs_tesdanatlquali_indus_pacuncre_diploma">'Table 20b'!$AK$24</definedName>
    <definedName name="tchrs_tesdanatlquali_indus_pacuncre_nc1">'Table 20b'!$U$24</definedName>
    <definedName name="tchrs_tesdanatlquali_indus_pacuncre_nc2">'Table 20b'!$Y$24</definedName>
    <definedName name="tchrs_tesdanatlquali_indus_pacuncre_nc3">'Table 20b'!$AC$24</definedName>
    <definedName name="tchrs_tesdanatlquali_indus_pacuncre_nc4">'Table 20b'!$AG$24</definedName>
    <definedName name="tchrs_tesdanatlquali_indus_pacuncre_trainingmngt">'Table 20b'!$AO$24</definedName>
    <definedName name="tchrs_tesdanatlquali_indus_plumbing_diploma">'Table 20b'!$AK$23</definedName>
    <definedName name="tchrs_tesdanatlquali_indus_plumbing_nc1">'Table 20b'!$U$23</definedName>
    <definedName name="tchrs_tesdanatlquali_indus_plumbing_nc2">'Table 20b'!$Y$23</definedName>
    <definedName name="tchrs_tesdanatlquali_indus_plumbing_nc3">'Table 20b'!$AC$23</definedName>
    <definedName name="tchrs_tesdanatlquali_indus_plumbing_nc4">'Table 20b'!$AG$23</definedName>
    <definedName name="tchrs_tesdanatlquali_indus_plumbing_trainingmngt">'Table 20b'!$AO$23</definedName>
    <definedName name="tchrs_tesdanatlquali_indus_shieldedwelding_diploma">'Table 20b'!$AK$25</definedName>
    <definedName name="tchrs_tesdanatlquali_indus_shieldedwelding_nc1">'Table 20b'!$U$25</definedName>
    <definedName name="tchrs_tesdanatlquali_indus_shieldedwelding_nc2">'Table 20b'!$Y$25</definedName>
    <definedName name="tchrs_tesdanatlquali_indus_shieldedwelding_nc3">'Table 20b'!$AC$25</definedName>
    <definedName name="tchrs_tesdanatlquali_indus_shieldedwelding_nc4">'Table 20b'!$AG$25</definedName>
    <definedName name="tchrs_tesdanatlquali_indus_shieldedwelding_trainingmngt">'Table 20b'!$AO$25</definedName>
    <definedName name="tchrs_tesdanatlquali_indus_tilesetting_diploma">'Table 20b'!$AK$26</definedName>
    <definedName name="tchrs_tesdanatlquali_indus_tilesetting_nc1">'Table 20b'!$U$26</definedName>
    <definedName name="tchrs_tesdanatlquali_indus_tilesetting_nc2">'Table 20b'!$Y$26</definedName>
    <definedName name="tchrs_tesdanatlquali_indus_tilesetting_nc3">'Table 20b'!$AC$26</definedName>
    <definedName name="tchrs_tesdanatlquali_indus_tilesetting_nc4">'Table 20b'!$AG$26</definedName>
    <definedName name="tchrs_tesdanatlquali_indus_tilesetting_trainingmngt">'Table 20b'!$AO$26</definedName>
    <definedName name="tchrs_tesdanatlquali_indus_translineinstmain_diploma">'Table 20b'!$AK$27</definedName>
    <definedName name="tchrs_tesdanatlquali_indus_translineinstmain_nc1">'Table 20b'!$U$27</definedName>
    <definedName name="tchrs_tesdanatlquali_indus_translineinstmain_nc2">'Table 20b'!$Y$27</definedName>
    <definedName name="tchrs_tesdanatlquali_indus_translineinstmain_nc3">'Table 20b'!$AC$27</definedName>
    <definedName name="tchrs_tesdanatlquali_indus_translineinstmain_nc4">'Table 20b'!$AG$27</definedName>
    <definedName name="tchrs_tesdanatlquali_indus_translineinstmain_trainingmngt">'Table 20b'!$AO$27</definedName>
    <definedName name="tchrs_tesdanatlquali_tvl_enginewatch_diploma">'Table 20b'!$AK$41</definedName>
    <definedName name="tchrs_tesdanatlquali_tvl_enginewatch_nc1">'Table 20b'!$U$41</definedName>
    <definedName name="tchrs_tesdanatlquali_tvl_enginewatch_nc2">'Table 20b'!$Y$41</definedName>
    <definedName name="tchrs_tesdanatlquali_tvl_enginewatch_nc3">'Table 20b'!$AC$41</definedName>
    <definedName name="tchrs_tesdanatlquali_tvl_enginewatch_nc4">'Table 20b'!$AG$41</definedName>
    <definedName name="tchrs_tesdanatlquali_tvl_enginewatch_trainingmngt">'Table 20b'!$AO$41</definedName>
    <definedName name="tchrs_tesdanatlquali_tvl_naviwatch_diploma">'Table 20b'!$AK$40</definedName>
    <definedName name="tchrs_tesdanatlquali_tvl_naviwatch_nc1">'Table 20b'!$U$40</definedName>
    <definedName name="tchrs_tesdanatlquali_tvl_naviwatch_nc2">'Table 20b'!$Y$40</definedName>
    <definedName name="tchrs_tesdanatlquali_tvl_naviwatch_nc3">'Table 20b'!$AC$40</definedName>
    <definedName name="tchrs_tesdanatlquali_tvl_naviwatch_nc4">'Table 20b'!$AG$40</definedName>
    <definedName name="tchrs_tesdanatlquali_tvl_naviwatch_trainingmngt">'Table 20b'!$AO$40</definedName>
    <definedName name="tchrs_tesdanatlquali_tvl_safety_diploma">'Table 20b'!$AK$42</definedName>
    <definedName name="tchrs_tesdanatlquali_tvl_safety_nc1">'Table 20b'!$U$42</definedName>
    <definedName name="tchrs_tesdanatlquali_tvl_safety_nc2">'Table 20b'!$Y$42</definedName>
    <definedName name="tchrs_tesdanatlquali_tvl_safety_nc3">'Table 20b'!$AC$42</definedName>
    <definedName name="tchrs_tesdanatlquali_tvl_safety_nc4">'Table 20b'!$AG$42</definedName>
    <definedName name="tchrs_tesdanatlquali_tvl_safety_trainingmngt">'Table 20b'!$AO$42</definedName>
    <definedName name="tchrs_tesdanatlquali_tvl_shipcatering_diploma">'Table 20b'!$AK$43</definedName>
    <definedName name="tchrs_tesdanatlquali_tvl_shipcatering_nc1">'Table 20b'!$U$43</definedName>
    <definedName name="tchrs_tesdanatlquali_tvl_shipcatering_nc2">'Table 20b'!$Y$43</definedName>
    <definedName name="tchrs_tesdanatlquali_tvl_shipcatering_nc3">'Table 20b'!$AC$43</definedName>
    <definedName name="tchrs_tesdanatlquali_tvl_shipcatering_nc4">'Table 20b'!$AG$43</definedName>
    <definedName name="tchrs_tesdanatlquali_tvl_shipcatering_trainingmngt">'Table 20b'!$AO$43</definedName>
    <definedName name="teach_assign_mt1_fullt_ancilliary">'Tables 8-9'!$Z$34</definedName>
    <definedName name="teach_assign_mt1_fullt_ancilliary_addload">'Tables 8-9'!$N$34</definedName>
    <definedName name="teach_assign_mt1_fullt_noancilliary">'Tables 8-9'!$J$34</definedName>
    <definedName name="teach_assign_mt1_part_ancilliary_200min">'Tables 8-9'!$R$34</definedName>
    <definedName name="teach_assign_mt1_part_ancilliary_less200min">'Tables 8-9'!$V$34</definedName>
    <definedName name="teach_assign_mt2_fullt_ancilliary">'Tables 8-9'!$Z$33</definedName>
    <definedName name="teach_assign_mt2_fullt_ancilliary_addload">'Tables 8-9'!$N$33</definedName>
    <definedName name="teach_assign_mt2_fullt_noancilliary">'Tables 8-9'!$J$33</definedName>
    <definedName name="teach_assign_mt2_part_ancilliary_200min">'Tables 8-9'!$R$33</definedName>
    <definedName name="teach_assign_mt2_part_ancilliary_less200min">'Tables 8-9'!$V$33</definedName>
    <definedName name="teach_assign_mt3_fullt_ancilliary">'Tables 8-9'!$Z$32</definedName>
    <definedName name="teach_assign_mt3_fullt_ancilliary_addload">'Tables 8-9'!$N$32</definedName>
    <definedName name="teach_assign_mt3_fullt_noancilliary">'Tables 8-9'!$J$32</definedName>
    <definedName name="teach_assign_mt3_part_ancilliary_200min">'Tables 8-9'!$R$32</definedName>
    <definedName name="teach_assign_mt3_part_ancilliary_less200min">'Tables 8-9'!$V$32</definedName>
    <definedName name="teach_assign_mt4_fullt_ancilliary">'Tables 8-9'!$Z$31</definedName>
    <definedName name="teach_assign_mt4_fullt_ancilliary_addload">'Tables 8-9'!$N$31</definedName>
    <definedName name="teach_assign_mt4_fullt_noancilliary">'Tables 8-9'!$J$31</definedName>
    <definedName name="teach_assign_mt4_part_ancilliary_200min">'Tables 8-9'!$R$31</definedName>
    <definedName name="teach_assign_mt4_part_ancilliary_less200min">'Tables 8-9'!$V$31</definedName>
    <definedName name="teach_assign_sst1_fullt_ancilliary">'Tables 8-9'!$Z$38</definedName>
    <definedName name="teach_assign_sst1_fullt_ancilliary_addload">'Tables 8-9'!$N$38</definedName>
    <definedName name="teach_assign_sst1_fullt_noancilliary">'Tables 8-9'!$J$38</definedName>
    <definedName name="teach_assign_sst1_part_ancilliary_200min">'Tables 8-9'!$R$38</definedName>
    <definedName name="teach_assign_sst1_part_ancilliary_less200min">'Tables 8-9'!$V$38</definedName>
    <definedName name="teach_assign_t1_fullt_ancilliary">'Tables 8-9'!$Z$37</definedName>
    <definedName name="teach_assign_t1_fullt_ancilliary_addload">'Tables 8-9'!$N$37</definedName>
    <definedName name="teach_assign_t1_fullt_noancilliary">'Tables 8-9'!$J$37</definedName>
    <definedName name="teach_assign_t1_part_ancilliary_200min">'Tables 8-9'!$R$37</definedName>
    <definedName name="teach_assign_t1_part_ancilliary_less200min">'Tables 8-9'!$V$37</definedName>
    <definedName name="teach_assign_t2_fullt_ancilliary">'Tables 8-9'!$Z$36</definedName>
    <definedName name="teach_assign_t2_fullt_ancilliary_addload">'Tables 8-9'!$N$36</definedName>
    <definedName name="teach_assign_t2_fullt_noancilliary">'Tables 8-9'!$J$36</definedName>
    <definedName name="teach_assign_t2_part_ancilliary_200min">'Tables 8-9'!$R$36</definedName>
    <definedName name="teach_assign_t2_part_ancilliary_less200min">'Tables 8-9'!$V$36</definedName>
    <definedName name="teach_assign_t3_fullt_ancilliary">'Tables 8-9'!$Z$35</definedName>
    <definedName name="teach_assign_t3_fullt_ancilliary_addload">'Tables 8-9'!$N$35</definedName>
    <definedName name="teach_assign_t3_fullt_noancilliary">'Tables 8-9'!$J$35</definedName>
    <definedName name="teach_assign_t3_part_ancilliary_200min">'Tables 8-9'!$R$35</definedName>
    <definedName name="teach_assign_t3_part_ancilliary_less200min">'Tables 8-9'!$V$35</definedName>
    <definedName name="teach_grade_sex_count_more_once_f_g11">'Tables 13-15'!$T$7</definedName>
    <definedName name="teach_grade_sex_count_more_once_f_g12">'Tables 13-15'!$T$8</definedName>
    <definedName name="teach_grade_sex_count_more_once_m_g11">'Tables 13-15'!$Q$7</definedName>
    <definedName name="teach_grade_sex_count_more_once_m_g12">'Tables 13-15'!$Q$8</definedName>
    <definedName name="teach_grade_sex_count_once_f_g11">'Tables 13-15'!$K$7</definedName>
    <definedName name="teach_grade_sex_count_once_f_g12">'Tables 13-15'!$K$8</definedName>
    <definedName name="teach_grade_sex_count_once_m_g11">'Tables 13-15'!$H$7</definedName>
    <definedName name="teach_grade_sex_count_once_m_g12">'Tables 13-15'!$H$8</definedName>
    <definedName name="teach_grade_tlv_sex_count_more_once_f_g11">'Tables 13-15'!$T$19</definedName>
    <definedName name="teach_grade_tlv_sex_count_more_once_f_g12">'Tables 13-15'!$T$20</definedName>
    <definedName name="teach_grade_tlv_sex_count_more_once_m_g11">'Tables 13-15'!$Q$19</definedName>
    <definedName name="teach_grade_tlv_sex_count_more_once_m_g12">'Tables 13-15'!$Q$20</definedName>
    <definedName name="teach_grade_tlv_sex_count_once_f_g11">'Tables 13-15'!$K$19</definedName>
    <definedName name="teach_grade_tlv_sex_count_once_f_g12">'Tables 13-15'!$K$20</definedName>
    <definedName name="teach_grade_tlv_sex_count_once_m_g11">'Tables 13-15'!$H$19</definedName>
    <definedName name="teach_grade_tlv_sex_count_once_m_g12">'Tables 13-15'!$H$20</definedName>
    <definedName name="teach_local_fund_city">'Tables 4-5'!$H$7</definedName>
    <definedName name="teach_local_fund_lgu">'Tables 4-5'!$N$7</definedName>
    <definedName name="teach_local_fund_others">'Tables 4-5'!$T$7</definedName>
    <definedName name="teach_local_fund_provincial">'Tables 4-5'!$B$7</definedName>
    <definedName name="teach_meth_depedtv_broadcast">'Table 21-Box 6'!$AH$22</definedName>
    <definedName name="teach_meth_depedtv_dl">'Table 21-Box 6'!$AQ$23</definedName>
    <definedName name="teach_meth_depedtv_fb">'Table 21-Box 6'!$AH$23</definedName>
    <definedName name="teach_meth_depedtv_yt">'Table 21-Box 6'!$AQ$22</definedName>
    <definedName name="teach_qualified_f">'Tables 4-5'!$G$25</definedName>
    <definedName name="teach_qualified_m">'Tables 4-5'!$B$25</definedName>
    <definedName name="teach_train_ict_hw_f">'Tables 10-12'!$AG$11</definedName>
    <definedName name="teach_train_ict_hw_m">'Tables 10-12'!$AD$11</definedName>
    <definedName name="teach_train_ict_intg_f">'Tables 10-12'!$AG$8</definedName>
    <definedName name="teach_train_ict_intg_m">'Tables 10-12'!$AD$8</definedName>
    <definedName name="teach_train_ict_lit_f">'Tables 10-12'!$AG$9</definedName>
    <definedName name="teach_train_ict_lit_m">'Tables 10-12'!$AD$9</definedName>
    <definedName name="teach_train_ict_others_f">'Tables 10-12'!$AG$12</definedName>
    <definedName name="teach_train_ict_others_m">'Tables 10-12'!$AD$12</definedName>
    <definedName name="teach_train_ict_sw_f">'Tables 10-12'!$AG$10</definedName>
    <definedName name="teach_train_ict_sw_m">'Tables 10-12'!$AD$10</definedName>
    <definedName name="teach_train_int1_f">'Tables 10-12'!$M$9</definedName>
    <definedName name="teach_train_int1_m">'Tables 10-12'!$J$9</definedName>
    <definedName name="teach_train_int2_f">'Tables 10-12'!$M$8</definedName>
    <definedName name="teach_train_int2_m">'Tables 10-12'!$J$8</definedName>
    <definedName name="teach_train_int3_f">'Tables 10-12'!$M$7</definedName>
    <definedName name="teach_train_int3_m">'Tables 10-12'!$J$7</definedName>
    <definedName name="teach_train_mt1_f">'Tables 10-12'!$M$13</definedName>
    <definedName name="teach_train_mt1_m">'Tables 10-12'!$J$13</definedName>
    <definedName name="teach_train_mt2_f">'Tables 10-12'!$M$12</definedName>
    <definedName name="teach_train_mt2_m">'Tables 10-12'!$J$12</definedName>
    <definedName name="teach_train_mt3_f">'Tables 10-12'!$M$11</definedName>
    <definedName name="teach_train_mt3_m">'Tables 10-12'!$J$11</definedName>
    <definedName name="teach_train_mt4_f">'Tables 10-12'!$M$10</definedName>
    <definedName name="teach_train_mt4_m">'Tables 10-12'!$J$10</definedName>
    <definedName name="teach_train_ped_collab_f">'Tables 10-12'!$BA$10</definedName>
    <definedName name="teach_train_ped_collab_m">'Tables 10-12'!$AX$10</definedName>
    <definedName name="teach_train_ped_const_f">'Tables 10-12'!$BA$7</definedName>
    <definedName name="teach_train_ped_const_m">'Tables 10-12'!$AX$7</definedName>
    <definedName name="teach_train_ped_inc_educ_f">'Tables 10-12'!$BA$12</definedName>
    <definedName name="teach_train_ped_inc_educ_m">'Tables 10-12'!$AX$12</definedName>
    <definedName name="teach_train_ped_inq_based_f">'Tables 10-12'!$BA$8</definedName>
    <definedName name="teach_train_ped_inq_based_m">'Tables 10-12'!$AX$8</definedName>
    <definedName name="teach_train_ped_integ_f">'Tables 10-12'!$BA$11</definedName>
    <definedName name="teach_train_ped_integ_m">'Tables 10-12'!$AX$11</definedName>
    <definedName name="teach_train_ped_others_f">'Tables 10-12'!$BA$13</definedName>
    <definedName name="teach_train_ped_others_m">'Tables 10-12'!$AX$13</definedName>
    <definedName name="teach_train_ped_ref_f">'Tables 10-12'!$BA$9</definedName>
    <definedName name="teach_train_ped_ref_m">'Tables 10-12'!$AX$9</definedName>
    <definedName name="teach_train_sped1_f">'Tables 10-12'!$M$22</definedName>
    <definedName name="teach_train_sped1_m">'Tables 10-12'!$J$22</definedName>
    <definedName name="teach_train_sped2_f">'Tables 10-12'!$M$21</definedName>
    <definedName name="teach_train_sped2_m">'Tables 10-12'!$J$21</definedName>
    <definedName name="teach_train_sped3_f">'Tables 10-12'!$M$20</definedName>
    <definedName name="teach_train_sped3_m">'Tables 10-12'!$J$20</definedName>
    <definedName name="teach_train_sped4_f">'Tables 10-12'!$M$19</definedName>
    <definedName name="teach_train_sped4_m">'Tables 10-12'!$J$19</definedName>
    <definedName name="teach_train_sped5_f">'Tables 10-12'!$M$18</definedName>
    <definedName name="teach_train_sped5_m">'Tables 10-12'!$J$18</definedName>
    <definedName name="teach_train_sst1_f">'Tables 10-12'!$M$17</definedName>
    <definedName name="teach_train_sst1_m">'Tables 10-12'!$J$17</definedName>
    <definedName name="teach_train_t1_f">'Tables 10-12'!$M$16</definedName>
    <definedName name="teach_train_t1_m">'Tables 10-12'!$J$16</definedName>
    <definedName name="teach_train_t2_f">'Tables 10-12'!$M$15</definedName>
    <definedName name="teach_train_t2_m">'Tables 10-12'!$J$15</definedName>
    <definedName name="teach_train_t3_f">'Tables 10-12'!$M$14</definedName>
    <definedName name="teach_train_t3_m">'Tables 10-12'!$J$14</definedName>
    <definedName name="teach_trained_f">'Tables 4-5'!$V$25</definedName>
    <definedName name="teach_trained_m">'Tables 4-5'!$Q$25</definedName>
    <definedName name="teachassgn_com_media_f_g11">'Tables 13-15'!$Y$36</definedName>
    <definedName name="teachassgn_com_media_f_g12">'Tables 13-15'!$AG$36</definedName>
    <definedName name="teachassgn_com_media_m_g11">'Tables 13-15'!$U$36</definedName>
    <definedName name="teachassgn_com_media_m_g12">'Tables 13-15'!$AC$36</definedName>
    <definedName name="teachassgn_disasterreadiness_f_g11">'Tables 13-15'!$Y$50</definedName>
    <definedName name="teachassgn_disasterreadiness_f_g12">'Tables 13-15'!$AG$50</definedName>
    <definedName name="teachassgn_disasterreadiness_m_g11">'Tables 13-15'!$U$50</definedName>
    <definedName name="teachassgn_disasterreadiness_m_g12">'Tables 13-15'!$AC$50</definedName>
    <definedName name="teachassgn_hum_contemparts_f_g11">'Tables 13-15'!$Y$34</definedName>
    <definedName name="teachassgn_hum_contemparts_f_g12">'Tables 13-15'!$AG$34</definedName>
    <definedName name="teachassgn_hum_contemparts_m_g11">'Tables 13-15'!$U$34</definedName>
    <definedName name="teachassgn_hum_contemparts_m_g12">'Tables 13-15'!$AC$34</definedName>
    <definedName name="teachassgn_hum_lit_f_g11">'Tables 13-15'!$Y$33</definedName>
    <definedName name="teachassgn_hum_lit_f_g12">'Tables 13-15'!$AG$33</definedName>
    <definedName name="teachassgn_hum_lit_m_g11">'Tables 13-15'!$U$33</definedName>
    <definedName name="teachassgn_hum_lit_m_g12">'Tables 13-15'!$AC$33</definedName>
    <definedName name="teachassgn_lang_komatpanitikan_f_g11">'Tables 13-15'!$Y$30</definedName>
    <definedName name="teachassgn_lang_komatpanitikan_f_g12">'Tables 13-15'!$AG$30</definedName>
    <definedName name="teachassgn_lang_komatpanitikan_m_g11">'Tables 13-15'!$U$30</definedName>
    <definedName name="teachassgn_lang_komatpanitikan_m_g12">'Tables 13-15'!$AC$30</definedName>
    <definedName name="teachassgn_lang_oralcom_f_g11">'Tables 13-15'!$Y$28</definedName>
    <definedName name="teachassgn_lang_oralcom_f_g12">'Tables 13-15'!$AG$28</definedName>
    <definedName name="teachassgn_lang_oralcom_m_g11">'Tables 13-15'!$U$28</definedName>
    <definedName name="teachassgn_lang_oralcom_m_g12">'Tables 13-15'!$AC$28</definedName>
    <definedName name="teachassgn_lang_pagbasaatpagsusuri_f_g11">'Tables 13-15'!$Y$31</definedName>
    <definedName name="teachassgn_lang_pagbasaatpagsusuri_f_g12">'Tables 13-15'!$AG$31</definedName>
    <definedName name="teachassgn_lang_pagbasaatpagsusuri_m_g11">'Tables 13-15'!$U$31</definedName>
    <definedName name="teachassgn_lang_pagbasaatpagsusuri_m_g12">'Tables 13-15'!$AC$31</definedName>
    <definedName name="teachassgn_lang_readnwrite_f_g11">'Tables 13-15'!$Y$29</definedName>
    <definedName name="teachassgn_lang_readnwrite_f_g12">'Tables 13-15'!$AG$29</definedName>
    <definedName name="teachassgn_lang_readnwrite_m_g11">'Tables 13-15'!$U$29</definedName>
    <definedName name="teachassgn_lang_readnwrite_m_g12">'Tables 13-15'!$AC$29</definedName>
    <definedName name="teachassgn_math_genmath_f_g11">'Tables 13-15'!$Y$38</definedName>
    <definedName name="teachassgn_math_genmath_f_g12">'Tables 13-15'!$AG$38</definedName>
    <definedName name="teachassgn_math_genmath_m_g11">'Tables 13-15'!$U$38</definedName>
    <definedName name="teachassgn_math_genmath_m_g12">'Tables 13-15'!$AC$38</definedName>
    <definedName name="teachassgn_math_stat_f_g11">'Tables 13-15'!$Y$39</definedName>
    <definedName name="teachassgn_math_stat_f_g12">'Tables 13-15'!$AG$39</definedName>
    <definedName name="teachassgn_math_stat_m_g11">'Tables 13-15'!$U$39</definedName>
    <definedName name="teachassgn_math_stat_m_g12">'Tables 13-15'!$AC$39</definedName>
    <definedName name="teachassgn_pe_phyeduc_f_g11">'Tables 13-15'!$Y$49</definedName>
    <definedName name="teachassgn_pe_phyeduc_f_g12">'Tables 13-15'!$AG$49</definedName>
    <definedName name="teachassgn_pe_phyeduc_m_g11">'Tables 13-15'!$U$49</definedName>
    <definedName name="teachassgn_pe_phyeduc_m_g12">'Tables 13-15'!$AC$49</definedName>
    <definedName name="teachassgn_philo_introphilo_f_g11">'Tables 13-15'!$Y$47</definedName>
    <definedName name="teachassgn_philo_introphilo_f_g12">'Tables 13-15'!$AG$47</definedName>
    <definedName name="teachassgn_philo_introphilo_m_g11">'Tables 13-15'!$U$47</definedName>
    <definedName name="teachassgn_philo_introphilo_m_g12">'Tables 13-15'!$AC$47</definedName>
    <definedName name="teachassgn_sci_earthnlife_f_g11">'Tables 13-15'!$Y$41</definedName>
    <definedName name="teachassgn_sci_earthnlife_f_g12">'Tables 13-15'!$AG$41</definedName>
    <definedName name="teachassgn_sci_earthnlife_m_g11">'Tables 13-15'!$U$41</definedName>
    <definedName name="teachassgn_sci_earthnlife_m_g12">'Tables 13-15'!$AC$41</definedName>
    <definedName name="teachassgn_sci_physci_f_g11">'Tables 13-15'!$Y$42</definedName>
    <definedName name="teachassgn_sci_physci_f_g12">'Tables 13-15'!$AG$42</definedName>
    <definedName name="teachassgn_sci_physci_m_g11">'Tables 13-15'!$U$42</definedName>
    <definedName name="teachassgn_sci_physci_m_g12">'Tables 13-15'!$AC$42</definedName>
    <definedName name="teachassgn_socsci_culturensociety_f_g11">'Tables 13-15'!$Y$45</definedName>
    <definedName name="teachassgn_socsci_culturensociety_f_g12">'Tables 13-15'!$AG$45</definedName>
    <definedName name="teachassgn_socsci_culturensociety_m_g11">'Tables 13-15'!$U$45</definedName>
    <definedName name="teachassgn_socsci_culturensociety_m_g12">'Tables 13-15'!$AC$45</definedName>
    <definedName name="teachassgn_socsci_personaldev_f_g11">'Tables 13-15'!$Y$44</definedName>
    <definedName name="teachassgn_socsci_personaldev_f_g12">'Tables 13-15'!$AG$44</definedName>
    <definedName name="teachassgn_socsci_personaldev_m_g11">'Tables 13-15'!$U$44</definedName>
    <definedName name="teachassgn_socsci_personaldev_m_g12">'Tables 13-15'!$AC$44</definedName>
    <definedName name="teachassign_spcl_com_bachmajor_greaterthan40">'Tables 16-19'!$Z$24</definedName>
    <definedName name="teachassign_spcl_com_bachmajor_notgreaterthan40">'Tables 16-19'!$U$24</definedName>
    <definedName name="teachassign_spcl_com_bachminor_greaterthan40">'Tables 16-19'!$AJ$24</definedName>
    <definedName name="teachassign_spcl_com_bachminor_notgreaterthan40">'Tables 16-19'!$AE$24</definedName>
    <definedName name="teachassign_spcl_com_gradmajor_greaterthan40">'Tables 16-19'!$P$24</definedName>
    <definedName name="teachassign_spcl_com_gradmajor_notgreaterthan40">'Tables 16-19'!$K$24</definedName>
    <definedName name="teachassign_spcl_com_nospcltraining_greaterthan40">'Tables 16-19'!$BD$24</definedName>
    <definedName name="teachassign_spcl_com_nospcltraining_notgreaterthan40">'Tables 16-19'!$AY$24</definedName>
    <definedName name="teachassign_spcl_com_withspcltraining_greaterthan40">'Tables 16-19'!$AT$24</definedName>
    <definedName name="teachassign_spcl_com_withspcltraining_notgreaterthan40">'Tables 16-19'!$AO$24</definedName>
    <definedName name="teachassign_spcl_eng_bachmajor_greaterthan40">'Tables 16-19'!$Z$21</definedName>
    <definedName name="teachassign_spcl_eng_bachmajor_notgreaterthan40">'Tables 16-19'!$U$21</definedName>
    <definedName name="teachassign_spcl_eng_bachminor_greaterthan40">'Tables 16-19'!$AJ$21</definedName>
    <definedName name="teachassign_spcl_eng_bachminor_notgreaterthan40">'Tables 16-19'!$AE$21</definedName>
    <definedName name="teachassign_spcl_eng_gradmajor_greaterthan40">'Tables 16-19'!$P$21</definedName>
    <definedName name="teachassign_spcl_eng_gradmajor_notgreaterthan40">'Tables 16-19'!$K$21</definedName>
    <definedName name="teachassign_spcl_eng_nospcltraining_greaterthan40">'Tables 16-19'!$BD$21</definedName>
    <definedName name="teachassign_spcl_eng_nospcltraining_notgreaterthan40">'Tables 16-19'!$AY$21</definedName>
    <definedName name="teachassign_spcl_eng_withspcltraining_greaterthan40">'Tables 16-19'!$AT$21</definedName>
    <definedName name="teachassign_spcl_eng_withspcltraining_notgreaterthan40">'Tables 16-19'!$AO$21</definedName>
    <definedName name="teachassign_spcl_fil_bachmajor_greaterthan40">'Tables 16-19'!$Z$22</definedName>
    <definedName name="teachassign_spcl_fil_bachmajor_notgreaterthan40">'Tables 16-19'!$U$22</definedName>
    <definedName name="teachassign_spcl_fil_bachminor_greaterthan40">'Tables 16-19'!$AJ$22</definedName>
    <definedName name="teachassign_spcl_fil_bachminor_notgreaterthan40">'Tables 16-19'!$AE$22</definedName>
    <definedName name="teachassign_spcl_fil_gradmajor_greaterthan40">'Tables 16-19'!$P$22</definedName>
    <definedName name="teachassign_spcl_fil_gradmajor_notgreaterthan40">'Tables 16-19'!$K$22</definedName>
    <definedName name="teachassign_spcl_fil_nospcltraining_greaterthan40">'Tables 16-19'!$BD$22</definedName>
    <definedName name="teachassign_spcl_fil_nospcltraining_notgreaterthan40">'Tables 16-19'!$AY$22</definedName>
    <definedName name="teachassign_spcl_fil_withspcltraining_greaterthan40">'Tables 16-19'!$AT$22</definedName>
    <definedName name="teachassign_spcl_fil_withspcltraining_notgreaterthan40">'Tables 16-19'!$AO$22</definedName>
    <definedName name="teachassign_spcl_ftime_eng_maj_eng">'Tables 16-19'!$G$41</definedName>
    <definedName name="teachassign_spcl_ftime_eng_maj_fil">'Tables 16-19'!$J$41</definedName>
    <definedName name="teachassign_spcl_ftime_eng_maj_math">'Tables 16-19'!$M$41</definedName>
    <definedName name="teachassign_spcl_ftime_eng_maj_sci">'Tables 16-19'!$P$41</definedName>
    <definedName name="teachassign_spcl_ftime_eng_majmin_othersubject">'Tables 16-19'!$AE$41</definedName>
    <definedName name="teachassign_spcl_ftime_eng_min_eng">'Tables 16-19'!$S$41</definedName>
    <definedName name="teachassign_spcl_ftime_eng_min_fil">'Tables 16-19'!$V$41</definedName>
    <definedName name="teachassign_spcl_ftime_eng_min_math">'Tables 16-19'!$Y$41</definedName>
    <definedName name="teachassign_spcl_ftime_eng_min_sci">'Tables 16-19'!$AB$41</definedName>
    <definedName name="teachassign_spcl_ftime_fil_maj_eng">'Tables 16-19'!$G$42</definedName>
    <definedName name="teachassign_spcl_ftime_fil_maj_fil">'Tables 16-19'!$J$42</definedName>
    <definedName name="teachassign_spcl_ftime_fil_maj_math">'Tables 16-19'!$M$42</definedName>
    <definedName name="teachassign_spcl_ftime_fil_maj_sci">'Tables 16-19'!$P$42</definedName>
    <definedName name="teachassign_spcl_ftime_fil_majmin_othersubject">'Tables 16-19'!$AE$42</definedName>
    <definedName name="teachassign_spcl_ftime_fil_min_eng">'Tables 16-19'!$S$42</definedName>
    <definedName name="teachassign_spcl_ftime_fil_min_fil">'Tables 16-19'!$V$42</definedName>
    <definedName name="teachassign_spcl_ftime_fil_min_math">'Tables 16-19'!$Y$42</definedName>
    <definedName name="teachassign_spcl_ftime_fil_min_sci">'Tables 16-19'!$AB$42</definedName>
    <definedName name="teachassign_spcl_ftime_math_maj_eng">'Tables 16-19'!$G$43</definedName>
    <definedName name="teachassign_spcl_ftime_math_maj_fil">'Tables 16-19'!$J$43</definedName>
    <definedName name="teachassign_spcl_ftime_math_maj_math">'Tables 16-19'!$M$43</definedName>
    <definedName name="teachassign_spcl_ftime_math_maj_sci">'Tables 16-19'!$P$43</definedName>
    <definedName name="teachassign_spcl_ftime_math_majmin_othersubject">'Tables 16-19'!$AE$43</definedName>
    <definedName name="teachassign_spcl_ftime_math_min_eng">'Tables 16-19'!$S$43</definedName>
    <definedName name="teachassign_spcl_ftime_math_min_fil">'Tables 16-19'!$V$43</definedName>
    <definedName name="teachassign_spcl_ftime_math_min_math">'Tables 16-19'!$Y$43</definedName>
    <definedName name="teachassign_spcl_ftime_math_min_sci">'Tables 16-19'!$AB$43</definedName>
    <definedName name="teachassign_spcl_ftime_sci_maj_eng">'Tables 16-19'!$G$44</definedName>
    <definedName name="teachassign_spcl_ftime_sci_maj_fil">'Tables 16-19'!$J$44</definedName>
    <definedName name="teachassign_spcl_ftime_sci_maj_math">'Tables 16-19'!$M$44</definedName>
    <definedName name="teachassign_spcl_ftime_sci_maj_sci">'Tables 16-19'!$P$44</definedName>
    <definedName name="teachassign_spcl_ftime_sci_majmin_othersubject">'Tables 16-19'!$AE$44</definedName>
    <definedName name="teachassign_spcl_ftime_sci_min_eng">'Tables 16-19'!$S$44</definedName>
    <definedName name="teachassign_spcl_ftime_sci_min_fil">'Tables 16-19'!$V$44</definedName>
    <definedName name="teachassign_spcl_ftime_sci_min_math">'Tables 16-19'!$Y$44</definedName>
    <definedName name="teachassign_spcl_ftime_sci_min_sci">'Tables 16-19'!$AB$44</definedName>
    <definedName name="teachassign_spcl_hum_bachmajor_greaterthan40">'Tables 16-19'!$Z$23</definedName>
    <definedName name="teachassign_spcl_hum_bachmajor_notgreaterthan40">'Tables 16-19'!$U$23</definedName>
    <definedName name="teachassign_spcl_hum_bachminor_greaterthan40">'Tables 16-19'!$AJ$23</definedName>
    <definedName name="teachassign_spcl_hum_bachminor_notgreaterthan40">'Tables 16-19'!$AE$23</definedName>
    <definedName name="teachassign_spcl_hum_gradmajor_greaterthan40">'Tables 16-19'!$P$23</definedName>
    <definedName name="teachassign_spcl_hum_gradmajor_notgreaterthan40">'Tables 16-19'!$K$23</definedName>
    <definedName name="teachassign_spcl_hum_nospcltraining_greaterthan40">'Tables 16-19'!$BD$23</definedName>
    <definedName name="teachassign_spcl_hum_nospcltraining_notgreaterthan40">'Tables 16-19'!$AY$23</definedName>
    <definedName name="teachassign_spcl_hum_withspcltraining_greaterthan40">'Tables 16-19'!$AT$23</definedName>
    <definedName name="teachassign_spcl_hum_withspcltraining_notgreaterthan40">'Tables 16-19'!$AO$23</definedName>
    <definedName name="teachassign_spcl_math_bachmajor_greaterthan40">'Tables 16-19'!$Z$25</definedName>
    <definedName name="teachassign_spcl_math_bachmajor_notgreaterthan40">'Tables 16-19'!$U$25</definedName>
    <definedName name="teachassign_spcl_math_bachminor_greaterthan40">'Tables 16-19'!$AJ$25</definedName>
    <definedName name="teachassign_spcl_math_bachminor_notgreaterthan40">'Tables 16-19'!$AE$25</definedName>
    <definedName name="teachassign_spcl_math_gradmajor_greaterthan40">'Tables 16-19'!$P$25</definedName>
    <definedName name="teachassign_spcl_math_gradmajor_notgreaterthan40">'Tables 16-19'!$K$25</definedName>
    <definedName name="teachassign_spcl_math_nospcltraining_greaterthan40">'Tables 16-19'!$BD$25</definedName>
    <definedName name="teachassign_spcl_math_nospcltraining_notgreaterthan40">'Tables 16-19'!$AY$25</definedName>
    <definedName name="teachassign_spcl_math_withspcltraining_greaterthan40">'Tables 16-19'!$AT$25</definedName>
    <definedName name="teachassign_spcl_math_withspcltraining_notgreaterthan40">'Tables 16-19'!$AO$25</definedName>
    <definedName name="teachassign_spcl_penhealth_bachmajor_greaterthan40">'Tables 16-19'!$Z$29</definedName>
    <definedName name="teachassign_spcl_penhealth_bachmajor_notgreaterthan40">'Tables 16-19'!$U$29</definedName>
    <definedName name="teachassign_spcl_penhealth_bachminor_greaterthan40">'Tables 16-19'!$AJ$29</definedName>
    <definedName name="teachassign_spcl_penhealth_bachminor_notgreaterthan40">'Tables 16-19'!$AE$29</definedName>
    <definedName name="teachassign_spcl_penhealth_gradmajor_greaterthan40">'Tables 16-19'!$P$29</definedName>
    <definedName name="teachassign_spcl_penhealth_gradmajor_notgreaterthan40">'Tables 16-19'!$K$29</definedName>
    <definedName name="teachassign_spcl_penhealth_nospcltraining_greaterthan40">'Tables 16-19'!$BD$29</definedName>
    <definedName name="teachassign_spcl_penhealth_nospcltraining_notgreaterthan40">'Tables 16-19'!$AY$29</definedName>
    <definedName name="teachassign_spcl_penhealth_withspcltraining_greaterthan40">'Tables 16-19'!$AT$29</definedName>
    <definedName name="teachassign_spcl_penhealth_withspcltraining_notgreaterthan40">'Tables 16-19'!$AO$29</definedName>
    <definedName name="teachassign_spcl_philo_bachmajor_greaterthan40">'Tables 16-19'!$Z$28</definedName>
    <definedName name="teachassign_spcl_philo_bachmajor_notgreaterthan40">'Tables 16-19'!$U$28</definedName>
    <definedName name="teachassign_spcl_philo_bachminor_greaterthan40">'Tables 16-19'!$AJ$28</definedName>
    <definedName name="teachassign_spcl_philo_bachminor_notgreaterthan40">'Tables 16-19'!$AE$28</definedName>
    <definedName name="teachassign_spcl_philo_gradmajor_greaterthan40">'Tables 16-19'!$P$28</definedName>
    <definedName name="teachassign_spcl_philo_gradmajor_notgreaterthan40">'Tables 16-19'!$K$28</definedName>
    <definedName name="teachassign_spcl_philo_nospcltraining_greaterthan40">'Tables 16-19'!$BD$28</definedName>
    <definedName name="teachassign_spcl_philo_nospcltraining_notgreaterthan40">'Tables 16-19'!$AY$28</definedName>
    <definedName name="teachassign_spcl_philo_withspcltraining_greaterthan40">'Tables 16-19'!$AT$28</definedName>
    <definedName name="teachassign_spcl_philo_withspcltraining_notgreaterthan40">'Tables 16-19'!$AO$28</definedName>
    <definedName name="teachassign_spcl_ptime_eng_maj_eng">'Tables 16-19'!$AH$41</definedName>
    <definedName name="teachassign_spcl_ptime_eng_maj_fil">'Tables 16-19'!$AK$41</definedName>
    <definedName name="teachassign_spcl_ptime_eng_maj_math">'Tables 16-19'!$AN$41</definedName>
    <definedName name="teachassign_spcl_ptime_eng_maj_sci">'Tables 16-19'!$AQ$41</definedName>
    <definedName name="teachassign_spcl_ptime_eng_majmin_othersubject">'Tables 16-19'!$BF$41</definedName>
    <definedName name="teachassign_spcl_ptime_eng_min_eng">'Tables 16-19'!$AT$41</definedName>
    <definedName name="teachassign_spcl_ptime_eng_min_fil">'Tables 16-19'!$AW$41</definedName>
    <definedName name="teachassign_spcl_ptime_eng_min_math">'Tables 16-19'!$AZ$41</definedName>
    <definedName name="teachassign_spcl_ptime_eng_min_sci">'Tables 16-19'!$BC$41</definedName>
    <definedName name="teachassign_spcl_ptime_fil_maj_eng">'Tables 16-19'!$AH$42</definedName>
    <definedName name="teachassign_spcl_ptime_fil_maj_fil">'Tables 16-19'!$AK$42</definedName>
    <definedName name="teachassign_spcl_ptime_fil_maj_math">'Tables 16-19'!$AN$42</definedName>
    <definedName name="teachassign_spcl_ptime_fil_maj_sci">'Tables 16-19'!$AQ$42</definedName>
    <definedName name="teachassign_spcl_ptime_fil_majmin_othersubject">'Tables 16-19'!$BF$42</definedName>
    <definedName name="teachassign_spcl_ptime_fil_min_eng">'Tables 16-19'!$AT$42</definedName>
    <definedName name="teachassign_spcl_ptime_fil_min_fil">'Tables 16-19'!$AW$42</definedName>
    <definedName name="teachassign_spcl_ptime_fil_min_math">'Tables 16-19'!$AZ$42</definedName>
    <definedName name="teachassign_spcl_ptime_fil_min_sci">'Tables 16-19'!$BC$42</definedName>
    <definedName name="teachassign_spcl_ptime_math_maj_eng">'Tables 16-19'!$AH$43</definedName>
    <definedName name="teachassign_spcl_ptime_math_maj_fil">'Tables 16-19'!$AK$43</definedName>
    <definedName name="teachassign_spcl_ptime_math_maj_math">'Tables 16-19'!$AN$43</definedName>
    <definedName name="teachassign_spcl_ptime_math_maj_sci">'Tables 16-19'!$AQ$43</definedName>
    <definedName name="teachassign_spcl_ptime_math_majmin_othersubject">'Tables 16-19'!$BF$43</definedName>
    <definedName name="teachassign_spcl_ptime_math_min_eng">'Tables 16-19'!$AT$43</definedName>
    <definedName name="teachassign_spcl_ptime_math_min_fil">'Tables 16-19'!$AW$43</definedName>
    <definedName name="teachassign_spcl_ptime_math_min_math">'Tables 16-19'!$AZ$43</definedName>
    <definedName name="teachassign_spcl_ptime_math_min_sci">'Tables 16-19'!$BC$43</definedName>
    <definedName name="teachassign_spcl_ptime_sci_maj_eng">'Tables 16-19'!$AH$44</definedName>
    <definedName name="teachassign_spcl_ptime_sci_maj_fil">'Tables 16-19'!$AK$44</definedName>
    <definedName name="teachassign_spcl_ptime_sci_maj_math">'Tables 16-19'!$AN$44</definedName>
    <definedName name="teachassign_spcl_ptime_sci_maj_sci">'Tables 16-19'!$AQ$44</definedName>
    <definedName name="teachassign_spcl_ptime_sci_majmin_othersubject">'Tables 16-19'!$BF$44</definedName>
    <definedName name="teachassign_spcl_ptime_sci_min_eng">'Tables 16-19'!$AT$44</definedName>
    <definedName name="teachassign_spcl_ptime_sci_min_fil">'Tables 16-19'!$AW$44</definedName>
    <definedName name="teachassign_spcl_ptime_sci_min_math">'Tables 16-19'!$AZ$44</definedName>
    <definedName name="teachassign_spcl_ptime_sci_min_sci">'Tables 16-19'!$BC$44</definedName>
    <definedName name="teachassign_spcl_sci_bachmajor_greaterthan40">'Tables 16-19'!$Z$26</definedName>
    <definedName name="teachassign_spcl_sci_bachmajor_notgreaterthan40">'Tables 16-19'!$U$26</definedName>
    <definedName name="teachassign_spcl_sci_bachminor_greaterthan40">'Tables 16-19'!$AJ$26</definedName>
    <definedName name="teachassign_spcl_sci_bachminor_notgreaterthan40">'Tables 16-19'!$AE$26</definedName>
    <definedName name="teachassign_spcl_sci_gradmajor_greaterthan40">'Tables 16-19'!$P$26</definedName>
    <definedName name="teachassign_spcl_sci_gradmajor_notgreaterthan40">'Tables 16-19'!$K$26</definedName>
    <definedName name="teachassign_spcl_sci_nospcltraining_greaterthan40">'Tables 16-19'!$BD$26</definedName>
    <definedName name="teachassign_spcl_sci_nospcltraining_notgreaterthan40">'Tables 16-19'!$AY$26</definedName>
    <definedName name="teachassign_spcl_sci_withspcltraining_greaterthan40">'Tables 16-19'!$AT$26</definedName>
    <definedName name="teachassign_spcl_sci_withspcltraining_notgreaterthan40">'Tables 16-19'!$AO$26</definedName>
    <definedName name="teachassign_spcl_socsci_bachmajor_greaterthan40">'Tables 16-19'!$Z$27</definedName>
    <definedName name="teachassign_spcl_socsci_bachmajor_notgreaterthan40">'Tables 16-19'!$U$27</definedName>
    <definedName name="teachassign_spcl_socsci_bachminor_greaterthan40">'Tables 16-19'!$AJ$27</definedName>
    <definedName name="teachassign_spcl_socsci_bachminor_notgreaterthan40">'Tables 16-19'!$AE$27</definedName>
    <definedName name="teachassign_spcl_socsci_gradmajor_greaterthan40">'Tables 16-19'!$P$27</definedName>
    <definedName name="teachassign_spcl_socsci_gradmajor_notgreaterthan40">'Tables 16-19'!$K$27</definedName>
    <definedName name="teachassign_spcl_socsci_nospcltraining_greaterthan40">'Tables 16-19'!$BD$27</definedName>
    <definedName name="teachassign_spcl_socsci_nospcltraining_notgreaterthan40">'Tables 16-19'!$AY$27</definedName>
    <definedName name="teachassign_spcl_socsci_withspcltraining_greaterthan40">'Tables 16-19'!$AT$27</definedName>
    <definedName name="teachassign_spcl_socsci_withspcltraining_notgreaterthan40">'Tables 16-19'!$AO$27</definedName>
    <definedName name="tobacco_measures_partnerships">'Box 16'!$AI$13</definedName>
    <definedName name="tobacco_measures_partnerships_instrument">'Box 16'!$AI$14</definedName>
    <definedName name="tobacco_measures_partnerships_not_connected">'Box 16'!$AI$15</definedName>
    <definedName name="tvl_agricrops_nc1_f_psrs_2021">'Table 3a'!$AE$34</definedName>
    <definedName name="tvl_agricrops_nc1_f_tkrs_2021">'Table 3a'!$Y$34</definedName>
    <definedName name="tvl_agricrops_nc1_m_psrs_2021">'Table 3a'!$AB$34</definedName>
    <definedName name="tvl_agricrops_nc1_m_tkrs_2021">'Table 3a'!$V$34</definedName>
    <definedName name="tvl_agricrops_nc2_f_psrs_2021">'Table 3a'!$AE$35</definedName>
    <definedName name="tvl_agricrops_nc2_f_tkrs_2021">'Table 3a'!$Y$35</definedName>
    <definedName name="tvl_agricrops_nc2_m_psrs_2021">'Table 3a'!$AB$35</definedName>
    <definedName name="tvl_agricrops_nc2_m_tkrs_2021">'Table 3a'!$V$35</definedName>
    <definedName name="tvl_agricrops_nc3_f_psrs_2021">'Table 3a'!$AE$36</definedName>
    <definedName name="tvl_agricrops_nc3_f_tkrs_2021">'Table 3a'!$Y$36</definedName>
    <definedName name="tvl_agricrops_nc3_m_psrs_2021">'Table 3a'!$AB$36</definedName>
    <definedName name="tvl_agricrops_nc3_m_tkrs_2021">'Table 3a'!$V$36</definedName>
    <definedName name="tvl_animalhealthcare_nc3_f_psrs_2021">'Table 3a'!$AE$37</definedName>
    <definedName name="tvl_animalhealthcare_nc3_f_tkrs_2021">'Table 3a'!$Y$37</definedName>
    <definedName name="tvl_animalhealthcare_nc3_m_psrs_2021">'Table 3a'!$AB$37</definedName>
    <definedName name="tvl_animalhealthcare_nc3_m_tkrs_2021">'Table 3a'!$V$37</definedName>
    <definedName name="tvl_animalprodpoultry_nc2_f_psrs_2021">'Table 3a'!$AE$38</definedName>
    <definedName name="tvl_animalprodpoultry_nc2_f_tkrs_2021">'Table 3a'!$Y$38</definedName>
    <definedName name="tvl_animalprodpoultry_nc2_m_psrs_2021">'Table 3a'!$AB$38</definedName>
    <definedName name="tvl_animalprodpoultry_nc2_m_tkrs_2021">'Table 3a'!$V$38</definedName>
    <definedName name="tvl_animalprodruminants_nc2_f_psrs_2021">'Table 3a'!$AE$39</definedName>
    <definedName name="tvl_animalprodruminants_nc2_f_tkrs_2021">'Table 3a'!$Y$39</definedName>
    <definedName name="tvl_animalprodruminants_nc2_m_psrs_2021">'Table 3a'!$AB$39</definedName>
    <definedName name="tvl_animalprodruminants_nc2_m_tkrs_2021">'Table 3a'!$V$39</definedName>
    <definedName name="tvl_animalprodswine_nc2_f_psrs_2021">'Table 3a'!$AE$40</definedName>
    <definedName name="tvl_animalprodswine_nc2_f_tkrs_2021">'Table 3a'!$Y$40</definedName>
    <definedName name="tvl_animalprodswine_nc2_m_psrs_2021">'Table 3a'!$AB$40</definedName>
    <definedName name="tvl_animalprodswine_nc2_m_tkrs_2021">'Table 3a'!$V$40</definedName>
    <definedName name="tvl_animation_nc2_f_psrs_2021">'Table 3b'!$AE$35</definedName>
    <definedName name="tvl_animation_nc2_f_tkrs_2021">'Table 3b'!$Y$35</definedName>
    <definedName name="tvl_animation_nc2_m_psrs_2021">'Table 3b'!$AB$35</definedName>
    <definedName name="tvl_animation_nc2_m_tkrs_2021">'Table 3b'!$V$35</definedName>
    <definedName name="tvl_aquaculture_nc2_f_psrs_2021">'Table 3a'!$AE$41</definedName>
    <definedName name="tvl_aquaculture_nc2_f_tkrs_2021">'Table 3a'!$Y$41</definedName>
    <definedName name="tvl_aquaculture_nc2_m_psrs_2021">'Table 3a'!$AB$41</definedName>
    <definedName name="tvl_aquaculture_nc2_m_tkrs_2021">'Table 3a'!$V$41</definedName>
    <definedName name="tvl_artificialinseminationruminants_nc2_f_psrs_2021">'Table 3a'!$AE$42</definedName>
    <definedName name="tvl_artificialinseminationruminants_nc2_f_tkrs_2021">'Table 3a'!$Y$42</definedName>
    <definedName name="tvl_artificialinseminationruminants_nc2_m_psrs_2021">'Table 3a'!$AB$42</definedName>
    <definedName name="tvl_artificialinseminationruminants_nc2_m_tkrs_2021">'Table 3a'!$V$42</definedName>
    <definedName name="tvl_artificialinseminationswine_nc2_f_psrs_2021">'Table 3a'!$AE$43</definedName>
    <definedName name="tvl_artificialinseminationswine_nc2_f_tkrs_2021">'Table 3a'!$Y$43</definedName>
    <definedName name="tvl_artificialinseminationswine_nc2_m_psrs_2021">'Table 3a'!$AB$43</definedName>
    <definedName name="tvl_artificialinseminationswine_nc2_m_tkrs_2021">'Table 3a'!$V$43</definedName>
    <definedName name="tvl_attractions_nc2_f_psrs_2021">'Table 3a'!$AE$8</definedName>
    <definedName name="tvl_attractions_nc2_f_tkrs_2021">'Table 3a'!$Y$8</definedName>
    <definedName name="tvl_attractions_nc2_m_psrs_2021">'Table 3a'!$AB$8</definedName>
    <definedName name="tvl_attractions_nc2_m_tkrs_2021">'Table 3a'!$V$8</definedName>
    <definedName name="tvl_automotiveservicing_nc1_f_psrs_2021">'Table 3b'!$AE$8</definedName>
    <definedName name="tvl_automotiveservicing_nc1_f_tkrs_2021">'Table 3b'!$Y$8</definedName>
    <definedName name="tvl_automotiveservicing_nc1_m_psrs_2021">'Table 3b'!$AB$8</definedName>
    <definedName name="tvl_automotiveservicing_nc1_m_tkrs_2021">'Table 3b'!$V$8</definedName>
    <definedName name="tvl_automotiveservicing_nc2_f_psrs_2021">'Table 3b'!$AE$9</definedName>
    <definedName name="tvl_automotiveservicing_nc2_f_tkrs_2021">'Table 3b'!$Y$9</definedName>
    <definedName name="tvl_automotiveservicing_nc2_m_psrs_2021">'Table 3b'!$AB$9</definedName>
    <definedName name="tvl_automotiveservicing_nc2_m_tkrs_2021">'Table 3b'!$V$9</definedName>
    <definedName name="tvl_barbering_nc2_f_psrs_2021">'Table 3a'!$AE$9</definedName>
    <definedName name="tvl_barbering_nc2_f_tkrs_2021">'Table 3a'!$Y$9</definedName>
    <definedName name="tvl_barbering_nc2_m_psrs_2021">'Table 3a'!$AB$9</definedName>
    <definedName name="tvl_barbering_nc2_m_tkrs_2021">'Table 3a'!$V$9</definedName>
    <definedName name="tvl_bartending_nc2_f_psrs_2021">'Table 3a'!$AE$10</definedName>
    <definedName name="tvl_bartending_nc2_f_tkrs_2021">'Table 3a'!$Y$10</definedName>
    <definedName name="tvl_bartending_nc2_m_psrs_2021">'Table 3a'!$AB$10</definedName>
    <definedName name="tvl_bartending_nc2_m_tkrs_2021">'Table 3a'!$V$10</definedName>
    <definedName name="tvl_beautynnail_nc2_f_psrs_2021">'Table 3a'!$AE$11</definedName>
    <definedName name="tvl_beautynnail_nc2_f_tkrs_2021">'Table 3a'!$Y$11</definedName>
    <definedName name="tvl_beautynnail_nc2_m_psrs_2021">'Table 3a'!$AB$11</definedName>
    <definedName name="tvl_beautynnail_nc2_m_tkrs_2021">'Table 3a'!$V$11</definedName>
    <definedName name="tvl_breadpastry_nc2_f_psrs_2021">'Table 3a'!$AE$12</definedName>
    <definedName name="tvl_breadpastry_nc2_f_tkrs_2021">'Table 3a'!$Y$12</definedName>
    <definedName name="tvl_breadpastry_nc2_m_psrs_2021">'Table 3a'!$AB$12</definedName>
    <definedName name="tvl_breadpastry_nc2_m_tkrs_2021">'Table 3a'!$V$12</definedName>
    <definedName name="tvl_broadbandinsatallation_nc2_f_psrs_2021">'Table 3b'!$AE$36</definedName>
    <definedName name="tvl_broadbandinsatallation_nc2_f_tkrs_2021">'Table 3b'!$Y$36</definedName>
    <definedName name="tvl_broadbandinsatallation_nc2_m_psrs_2021">'Table 3b'!$AB$36</definedName>
    <definedName name="tvl_broadbandinsatallation_nc2_m_tkrs_2021">'Table 3b'!$V$36</definedName>
    <definedName name="tvl_caregiving_nc2_f_psrs_2021">'Table 3a'!$AE$13</definedName>
    <definedName name="tvl_caregiving_nc2_f_tkrs_2021">'Table 3a'!$Y$13</definedName>
    <definedName name="tvl_caregiving_nc2_m_psrs_2021">'Table 3a'!$AB$13</definedName>
    <definedName name="tvl_caregiving_nc2_m_tkrs_2021">'Table 3a'!$V$13</definedName>
    <definedName name="tvl_carpentry_nc2_f_psrs_2021">'Table 3b'!$AE$10</definedName>
    <definedName name="tvl_carpentry_nc2_f_tkrs_2021">'Table 3b'!$Y$10</definedName>
    <definedName name="tvl_carpentry_nc2_m_psrs_2021">'Table 3b'!$AB$10</definedName>
    <definedName name="tvl_carpentry_nc2_m_tkrs_2021">'Table 3b'!$V$10</definedName>
    <definedName name="tvl_carpentry_nc3_f_psrs_2021">'Table 3b'!$AE$11</definedName>
    <definedName name="tvl_carpentry_nc3_f_tkrs_2021">'Table 3b'!$Y$11</definedName>
    <definedName name="tvl_carpentry_nc3_m_psrs_2021">'Table 3b'!$AB$11</definedName>
    <definedName name="tvl_carpentry_nc3_m_tkrs_2021">'Table 3b'!$V$11</definedName>
    <definedName name="tvl_commercialcooking_nc2_f_psrs_2021">'Table 3a'!$AE$14</definedName>
    <definedName name="tvl_commercialcooking_nc2_f_tkrs_2021">'Table 3a'!$Y$14</definedName>
    <definedName name="tvl_commercialcooking_nc2_m_psrs_2021">'Table 3a'!$AB$14</definedName>
    <definedName name="tvl_commercialcooking_nc2_m_tkrs_2021">'Table 3a'!$V$14</definedName>
    <definedName name="tvl_compprogrammingjava_nc3_f_psrs_2021">'Table 3b'!$AE$38</definedName>
    <definedName name="tvl_compprogrammingjava_nc3_f_tkrs_2021">'Table 3b'!$Y$38</definedName>
    <definedName name="tvl_compprogrammingjava_nc3_m_psrs_2021">'Table 3b'!$AB$38</definedName>
    <definedName name="tvl_compprogrammingjava_nc3_m_tkrs_2021">'Table 3b'!$V$38</definedName>
    <definedName name="tvl_compprogrammingnettech_nc3_f_psrs_2021">'Table 3b'!$AE$37</definedName>
    <definedName name="tvl_compprogrammingnettech_nc3_f_tkrs_2021">'Table 3b'!$Y$37</definedName>
    <definedName name="tvl_compprogrammingnettech_nc3_m_psrs_2021">'Table 3b'!$AB$37</definedName>
    <definedName name="tvl_compprogrammingnettech_nc3_m_tkrs_2021">'Table 3b'!$V$37</definedName>
    <definedName name="tvl_compprogrammingoracle_nc3_f_psrs_2021">'Table 3b'!$AE$39</definedName>
    <definedName name="tvl_compprogrammingoracle_nc3_f_tkrs_2021">'Table 3b'!$Y$39</definedName>
    <definedName name="tvl_compprogrammingoracle_nc3_m_psrs_2021">'Table 3b'!$AB$39</definedName>
    <definedName name="tvl_compprogrammingoracle_nc3_m_tkrs_2021">'Table 3b'!$V$39</definedName>
    <definedName name="tvl_compsystemservicing_nc2_f_psrs_2021">'Table 3b'!$AE$40</definedName>
    <definedName name="tvl_compsystemservicing_nc2_f_tkrs_2021">'Table 3b'!$Y$40</definedName>
    <definedName name="tvl_compsystemservicing_nc2_m_psrs_2021">'Table 3b'!$AB$40</definedName>
    <definedName name="tvl_compsystemservicing_nc2_m_tkrs_2021">'Table 3b'!$V$40</definedName>
    <definedName name="tvl_constructionpainting_nc2_f_psrs_2021">'Table 3b'!$AE$12</definedName>
    <definedName name="tvl_constructionpainting_nc2_f_tkrs_2021">'Table 3b'!$Y$12</definedName>
    <definedName name="tvl_constructionpainting_nc2_m_psrs_2021">'Table 3b'!$AB$12</definedName>
    <definedName name="tvl_constructionpainting_nc2_m_tkrs_2021">'Table 3b'!$V$12</definedName>
    <definedName name="tvl_contactcenterservices_nc2_f_psrs_2021">'Table 3b'!$AE$41</definedName>
    <definedName name="tvl_contactcenterservices_nc2_f_tkrs_2021">'Table 3b'!$Y$41</definedName>
    <definedName name="tvl_contactcenterservices_nc2_m_psrs_2021">'Table 3b'!$AB$41</definedName>
    <definedName name="tvl_contactcenterservices_nc2_m_tkrs_2021">'Table 3b'!$V$41</definedName>
    <definedName name="tvl_cookery_nc2_f_psrs_2021">'Table 3a'!$AE$15</definedName>
    <definedName name="tvl_cookery_nc2_f_tkrs_2021">'Table 3a'!$Y$15</definedName>
    <definedName name="tvl_cookery_nc2_m_psrs_2021">'Table 3a'!$AB$15</definedName>
    <definedName name="tvl_cookery_nc2_m_tkrs_2021">'Table 3a'!$V$15</definedName>
    <definedName name="tvl_domrefrigeration_nc2_f_psrs_2021">'Table 3b'!$AE$13</definedName>
    <definedName name="tvl_domrefrigeration_nc2_f_tkrs_2021">'Table 3b'!$Y$13</definedName>
    <definedName name="tvl_domrefrigeration_nc2_m_psrs_2021">'Table 3b'!$AB$13</definedName>
    <definedName name="tvl_domrefrigeration_nc2_m_tkrs_2021">'Table 3b'!$V$13</definedName>
    <definedName name="tvl_dressmaking_nc2_f_psrs_2021">'Table 3a'!$AE$16</definedName>
    <definedName name="tvl_dressmaking_nc2_f_tkrs_2021">'Table 3a'!$Y$16</definedName>
    <definedName name="tvl_dressmaking_nc2_m_psrs_2021">'Table 3a'!$AB$16</definedName>
    <definedName name="tvl_dressmaking_nc2_m_tkrs_2021">'Table 3a'!$V$16</definedName>
    <definedName name="tvl_driving_nc2_f_psrs_2021">'Table 3b'!$AE$14</definedName>
    <definedName name="tvl_driving_nc2_f_tkrs_2021">'Table 3b'!$Y$14</definedName>
    <definedName name="tvl_driving_nc2_m_psrs_2021">'Table 3b'!$AB$14</definedName>
    <definedName name="tvl_driving_nc2_m_tkrs_2021">'Table 3b'!$V$14</definedName>
    <definedName name="tvl_elecinstallation_nc2_f_psrs_2021">'Table 3b'!$AE$15</definedName>
    <definedName name="tvl_elecinstallation_nc2_f_tkrs_2021">'Table 3b'!$Y$15</definedName>
    <definedName name="tvl_elecinstallation_nc2_m_psrs_2021">'Table 3b'!$AB$15</definedName>
    <definedName name="tvl_elecinstallation_nc2_m_tkrs_2021">'Table 3b'!$V$15</definedName>
    <definedName name="tvl_elecpowerdist_nc2_f_psrs_2021">'Table 3b'!$AE$16</definedName>
    <definedName name="tvl_elecpowerdist_nc2_f_tkrs_2021">'Table 3b'!$Y$16</definedName>
    <definedName name="tvl_elecpowerdist_nc2_m_psrs_2021">'Table 3b'!$AB$16</definedName>
    <definedName name="tvl_elecpowerdist_nc2_m_tkrs_2021">'Table 3b'!$V$16</definedName>
    <definedName name="tvl_elecproduction_nc2_f_psrs_2021">'Table 3b'!$AE$17</definedName>
    <definedName name="tvl_elecproduction_nc2_f_tkrs_2021">'Table 3b'!$Y$17</definedName>
    <definedName name="tvl_elecproduction_nc2_m_psrs_2021">'Table 3b'!$AB$17</definedName>
    <definedName name="tvl_elecproduction_nc2_m_tkrs_2021">'Table 3b'!$V$17</definedName>
    <definedName name="tvl_enginewatch1_f_psrs_2021">'Table 3b'!$AE$51</definedName>
    <definedName name="tvl_enginewatch1_f_tkrs_2021">'Table 3b'!$Y$51</definedName>
    <definedName name="tvl_enginewatch1_m_psrs_2021">'Table 3b'!$AB$51</definedName>
    <definedName name="tvl_enginewatch1_m_tkrs_2021">'Table 3b'!$V$51</definedName>
    <definedName name="tvl_enginewatch2_f_psrs_2021">'Table 3b'!$AE$52</definedName>
    <definedName name="tvl_enginewatch2_f_tkrs_2021">'Table 3b'!$Y$52</definedName>
    <definedName name="tvl_enginewatch2_m_psrs_2021">'Table 3b'!$AB$52</definedName>
    <definedName name="tvl_enginewatch2_m_tkrs_2021">'Table 3b'!$V$52</definedName>
    <definedName name="tvl_eventsmgt_nc3_f_psrs_2021">'Table 3a'!$AE$17</definedName>
    <definedName name="tvl_eventsmgt_nc3_f_tkrs_2021">'Table 3a'!$Y$17</definedName>
    <definedName name="tvl_eventsmgt_nc3_m_psrs_2021">'Table 3a'!$AB$17</definedName>
    <definedName name="tvl_eventsmgt_nc3_m_tkrs_2021">'Table 3a'!$V$17</definedName>
    <definedName name="tvl_fashiondesign_nc3_f_psrs_2021">'Table 3a'!$AE$18</definedName>
    <definedName name="tvl_fashiondesign_nc3_f_tkrs_2021">'Table 3a'!$Y$18</definedName>
    <definedName name="tvl_fashiondesign_nc3_m_psrs_2021">'Table 3a'!$AB$18</definedName>
    <definedName name="tvl_fashiondesign_nc3_m_tkrs_2021">'Table 3a'!$V$18</definedName>
    <definedName name="tvl_fishcapture_nc2_f_psrs_2021">'Table 3a'!$AE$44</definedName>
    <definedName name="tvl_fishcapture_nc2_f_tkrs_2021">'Table 3a'!$Y$44</definedName>
    <definedName name="tvl_fishcapture_nc2_m_psrs_2021">'Table 3a'!$AB$44</definedName>
    <definedName name="tvl_fishcapture_nc2_m_tkrs_2021">'Table 3a'!$V$44</definedName>
    <definedName name="tvl_fishinggearrepair_nc3_f_psrs_2021">'Table 3a'!$AE$45</definedName>
    <definedName name="tvl_fishinggearrepair_nc3_f_tkrs_2021">'Table 3a'!$Y$45</definedName>
    <definedName name="tvl_fishinggearrepair_nc3_m_psrs_2021">'Table 3a'!$AB$45</definedName>
    <definedName name="tvl_fishinggearrepair_nc3_m_tkrs_2021">'Table 3a'!$V$45</definedName>
    <definedName name="tvl_fishproductspackaging_nc2_f_psrs_2021">'Table 3a'!$AE$46</definedName>
    <definedName name="tvl_fishproductspackaging_nc2_f_tkrs_2021">'Table 3a'!$Y$46</definedName>
    <definedName name="tvl_fishproductspackaging_nc2_m_psrs_2021">'Table 3a'!$AB$46</definedName>
    <definedName name="tvl_fishproductspackaging_nc2_m_tkrs_2021">'Table 3a'!$V$46</definedName>
    <definedName name="tvl_fishwharfop_nc1_f_psrs_2021">'Table 3a'!$AE$47</definedName>
    <definedName name="tvl_fishwharfop_nc1_f_tkrs_2021">'Table 3a'!$Y$47</definedName>
    <definedName name="tvl_fishwharfop_nc1_m_psrs_2021">'Table 3a'!$AB$47</definedName>
    <definedName name="tvl_fishwharfop_nc1_m_tkrs_2021">'Table 3a'!$V$47</definedName>
    <definedName name="tvl_foodnbeverage_nc2_f_psrs_2021">'Table 3a'!$AE$19</definedName>
    <definedName name="tvl_foodnbeverage_nc2_f_tkrs_2021">'Table 3a'!$Y$19</definedName>
    <definedName name="tvl_foodnbeverage_nc2_m_psrs_2021">'Table 3a'!$AB$19</definedName>
    <definedName name="tvl_foodnbeverage_nc2_m_tkrs_2021">'Table 3a'!$V$19</definedName>
    <definedName name="tvl_foodprocessing_nc2_f_psrs_2021">'Table 3a'!$AE$48</definedName>
    <definedName name="tvl_foodprocessing_nc2_f_tkrs_2021">'Table 3a'!$Y$48</definedName>
    <definedName name="tvl_foodprocessing_nc2_m_psrs_2021">'Table 3a'!$AB$48</definedName>
    <definedName name="tvl_foodprocessing_nc2_m_tkrs_2021">'Table 3a'!$V$48</definedName>
    <definedName name="tvl_frontoffice_nc2_f_psrs_2021">'Table 3a'!$AE$20</definedName>
    <definedName name="tvl_frontoffice_nc2_f_tkrs_2021">'Table 3a'!$Y$20</definedName>
    <definedName name="tvl_frontoffice_nc2_m_psrs_2021">'Table 3a'!$AB$20</definedName>
    <definedName name="tvl_frontoffice_nc2_m_tkrs_2021">'Table 3a'!$V$20</definedName>
    <definedName name="tvl_furnituremaking_nc2_f_psrs_2021">'Table 3b'!$AE$18</definedName>
    <definedName name="tvl_furnituremaking_nc2_f_tkrs_2021">'Table 3b'!$Y$18</definedName>
    <definedName name="tvl_furnituremaking_nc2_m_psrs_2021">'Table 3b'!$AB$18</definedName>
    <definedName name="tvl_furnituremaking_nc2_m_tkrs_2021">'Table 3b'!$V$18</definedName>
    <definedName name="tvl_gasmetalwelding_nc2_f_psrs_2021">'Table 3b'!$AE$20</definedName>
    <definedName name="tvl_gasmetalwelding_nc2_f_tkrs_2021">'Table 3b'!$Y$20</definedName>
    <definedName name="tvl_gasmetalwelding_nc2_m_psrs_2021">'Table 3b'!$AB$20</definedName>
    <definedName name="tvl_gasmetalwelding_nc2_m_tkrs_2021">'Table 3b'!$V$20</definedName>
    <definedName name="tvl_gastungstenwelding_nc2_f_psrs_2021">'Table 3b'!$AE$21</definedName>
    <definedName name="tvl_gastungstenwelding_nc2_f_tkrs_2021">'Table 3b'!$Y$21</definedName>
    <definedName name="tvl_gastungstenwelding_nc2_m_psrs_2021">'Table 3b'!$AB$21</definedName>
    <definedName name="tvl_gastungstenwelding_nc2_m_tkrs_2021">'Table 3b'!$V$21</definedName>
    <definedName name="tvl_hairdressing_nc2_f_psrs_2021">'Table 3a'!$AE$21</definedName>
    <definedName name="tvl_hairdressing_nc2_f_tkrs_2021">'Table 3a'!$Y$21</definedName>
    <definedName name="tvl_hairdressing_nc2_m_psrs_2021">'Table 3a'!$AB$21</definedName>
    <definedName name="tvl_hairdressing_nc2_m_tkrs_2021">'Table 3a'!$V$21</definedName>
    <definedName name="tvl_hairdressing_nc3_f_psrs_2021">'Table 3a'!$AE$22</definedName>
    <definedName name="tvl_hairdressing_nc3_f_tkrs_2021">'Table 3a'!$Y$22</definedName>
    <definedName name="tvl_hairdressing_nc3_m_psrs_2021">'Table 3a'!$AB$22</definedName>
    <definedName name="tvl_hairdressing_nc3_m_tkrs_2021">'Table 3a'!$V$22</definedName>
    <definedName name="tvl_handibasketry_nonnc_f_psrs_2021">'Table 3a'!$AE$23</definedName>
    <definedName name="tvl_handibasketry_nonnc_f_tkrs_2021">'Table 3a'!$Y$23</definedName>
    <definedName name="tvl_handibasketry_nonnc_m_psrs_2021">'Table 3a'!$AB$23</definedName>
    <definedName name="tvl_handibasketry_nonnc_m_tkrs_2021">'Table 3a'!$V$23</definedName>
    <definedName name="tvl_handifashion_nonnc_f_psrs_2021">'Table 3a'!$AE$24</definedName>
    <definedName name="tvl_handifashion_nonnc_f_tkrs_2021">'Table 3a'!$Y$24</definedName>
    <definedName name="tvl_handifashion_nonnc_m_psrs_2021">'Table 3a'!$AB$24</definedName>
    <definedName name="tvl_handifashion_nonnc_m_tkrs_2021">'Table 3a'!$V$24</definedName>
    <definedName name="tvl_handineedlecraft_nonnc_f_psrs_2021">'Table 3a'!$AE$25</definedName>
    <definedName name="tvl_handineedlecraft_nonnc_f_tkrs_2021">'Table 3a'!$Y$25</definedName>
    <definedName name="tvl_handineedlecraft_nonnc_m_psrs_2021">'Table 3a'!$AB$25</definedName>
    <definedName name="tvl_handineedlecraft_nonnc_m_tkrs_2021">'Table 3a'!$V$25</definedName>
    <definedName name="tvl_handiwoodcraft_nonnc_f_psrs_2021">'Table 3a'!$AE$26</definedName>
    <definedName name="tvl_handiwoodcraft_nonnc_f_tkrs_2021">'Table 3a'!$Y$26</definedName>
    <definedName name="tvl_handiwoodcraft_nonnc_m_psrs_2021">'Table 3a'!$AB$26</definedName>
    <definedName name="tvl_handiwoodcraft_nonnc_m_tkrs_2021">'Table 3a'!$V$26</definedName>
    <definedName name="tvl_horticulture_nc3_f_psrs_2021">'Table 3a'!$AE$49</definedName>
    <definedName name="tvl_horticulture_nc3_f_tkrs_2021">'Table 3a'!$Y$49</definedName>
    <definedName name="tvl_horticulture_nc3_m_psrs_2021">'Table 3a'!$AB$49</definedName>
    <definedName name="tvl_horticulture_nc3_m_tkrs_2021">'Table 3a'!$V$49</definedName>
    <definedName name="tvl_housekeeping_nc2_f_psrs_2021">'Table 3a'!$AE$27</definedName>
    <definedName name="tvl_housekeeping_nc2_f_tkrs_2021">'Table 3a'!$Y$27</definedName>
    <definedName name="tvl_housekeeping_nc2_m_psrs_2021">'Table 3a'!$AB$27</definedName>
    <definedName name="tvl_housekeeping_nc2_m_tkrs_2021">'Table 3a'!$V$27</definedName>
    <definedName name="tvl_illustration_nc2_f_psrs_2021">'Table 3b'!$AE$42</definedName>
    <definedName name="tvl_illustration_nc2_f_tkrs_2021">'Table 3b'!$Y$42</definedName>
    <definedName name="tvl_illustration_nc2_m_psrs_2021">'Table 3b'!$AB$42</definedName>
    <definedName name="tvl_illustration_nc2_m_tkrs_2021">'Table 3b'!$V$42</definedName>
    <definedName name="tvl_instncontrol_nc2_f_psrs_2021">'Table 3b'!$AE$19</definedName>
    <definedName name="tvl_instncontrol_nc2_f_tkrs_2021">'Table 3b'!$Y$19</definedName>
    <definedName name="tvl_instncontrol_nc2_m_psrs_2021">'Table 3b'!$AB$19</definedName>
    <definedName name="tvl_instncontrol_nc2_m_tkrs_2021">'Table 3b'!$V$19</definedName>
    <definedName name="tvl_landscapeinstallation_nc2_f_psrs_2021">'Table 3a'!$AE$50</definedName>
    <definedName name="tvl_landscapeinstallation_nc2_f_tkrs_2021">'Table 3a'!$Y$50</definedName>
    <definedName name="tvl_landscapeinstallation_nc2_m_psrs_2021">'Table 3a'!$AB$50</definedName>
    <definedName name="tvl_landscapeinstallation_nc2_m_tkrs_2021">'Table 3a'!$V$50</definedName>
    <definedName name="tvl_localguiding_nc2_f_psrs_2021">'Table 3a'!$AE$28</definedName>
    <definedName name="tvl_localguiding_nc2_f_tkrs_2021">'Table 3a'!$Y$28</definedName>
    <definedName name="tvl_localguiding_nc2_m_psrs_2021">'Table 3a'!$AB$28</definedName>
    <definedName name="tvl_localguiding_nc2_m_tkrs_2021">'Table 3a'!$V$28</definedName>
    <definedName name="tvl_machining_nc1_f_psrs_2021">'Table 3b'!$AE$22</definedName>
    <definedName name="tvl_machining_nc1_f_tkrs_2021">'Table 3b'!$Y$22</definedName>
    <definedName name="tvl_machining_nc1_m_psrs_2021">'Table 3b'!$AB$22</definedName>
    <definedName name="tvl_machining_nc1_m_tkrs_2021">'Table 3b'!$V$22</definedName>
    <definedName name="tvl_machining_nc2_f_psrs_2021">'Table 3b'!$AE$23</definedName>
    <definedName name="tvl_machining_nc2_f_tkrs_2021">'Table 3b'!$Y$23</definedName>
    <definedName name="tvl_machining_nc2_m_psrs_2021">'Table 3b'!$AB$23</definedName>
    <definedName name="tvl_machining_nc2_m_tkrs_2021">'Table 3b'!$V$23</definedName>
    <definedName name="tvl_masonry_nc2_f_psrs_2021">'Table 3b'!$AE$24</definedName>
    <definedName name="tvl_masonry_nc2_f_tkrs_2021">'Table 3b'!$Y$24</definedName>
    <definedName name="tvl_masonry_nc2_m_psrs_2021">'Table 3b'!$AB$24</definedName>
    <definedName name="tvl_masonry_nc2_m_tkrs_2021">'Table 3b'!$V$24</definedName>
    <definedName name="tvl_mechservicing_nc2_f_psrs_2021">'Table 3b'!$AE$25</definedName>
    <definedName name="tvl_mechservicing_nc2_f_tkrs_2021">'Table 3b'!$Y$25</definedName>
    <definedName name="tvl_mechservicing_nc2_m_psrs_2021">'Table 3b'!$AB$25</definedName>
    <definedName name="tvl_mechservicing_nc2_m_tkrs_2021">'Table 3b'!$V$25</definedName>
    <definedName name="tvl_medicaltranscription_nc2_f_psrs_2021">'Table 3b'!$AE$43</definedName>
    <definedName name="tvl_medicaltranscription_nc2_f_tkrs_2021">'Table 3b'!$Y$43</definedName>
    <definedName name="tvl_medicaltranscription_nc2_m_psrs_2021">'Table 3b'!$AB$43</definedName>
    <definedName name="tvl_medicaltranscription_nc2_m_tkrs_2021">'Table 3b'!$V$43</definedName>
    <definedName name="tvl_motorcyclservicing_nc2_f_psrs_2021">'Table 3b'!$AE$26</definedName>
    <definedName name="tvl_motorcyclservicing_nc2_f_tkrs_2021">'Table 3b'!$Y$26</definedName>
    <definedName name="tvl_motorcyclservicing_nc2_m_psrs_2021">'Table 3b'!$AB$26</definedName>
    <definedName name="tvl_motorcyclservicing_nc2_m_tkrs_2021">'Table 3b'!$V$26</definedName>
    <definedName name="tvl_navigationalwatch1_f_psrs_2021">'Table 3b'!$AE$48</definedName>
    <definedName name="tvl_navigationalwatch1_f_tkrs_2021">'Table 3b'!$Y$48</definedName>
    <definedName name="tvl_navigationalwatch1_m_psrs_2021">'Table 3b'!$AB$48</definedName>
    <definedName name="tvl_navigationalwatch1_m_tkrs_2021">'Table 3b'!$V$48</definedName>
    <definedName name="tvl_navigationalwatch2_f_psrs_2021">'Table 3b'!$AE$49</definedName>
    <definedName name="tvl_navigationalwatch2_f_tkrs_2021">'Table 3b'!$Y$49</definedName>
    <definedName name="tvl_navigationalwatch2_m_psrs_2021">'Table 3b'!$AB$49</definedName>
    <definedName name="tvl_navigationalwatch2_m_tkrs_2021">'Table 3b'!$V$49</definedName>
    <definedName name="tvl_navigationalwatch3_f_psrs_2021">'Table 3b'!$AE$50</definedName>
    <definedName name="tvl_navigationalwatch3_f_tkrs_2021">'Table 3b'!$Y$50</definedName>
    <definedName name="tvl_navigationalwatch3_m_psrs_2021">'Table 3b'!$AB$50</definedName>
    <definedName name="tvl_navigationalwatch3_m_tkrs_2021">'Table 3b'!$V$50</definedName>
    <definedName name="tvl_organicagri_nc2_f_psrs_2021">'Table 3a'!$AE$51</definedName>
    <definedName name="tvl_organicagri_nc2_f_tkrs_2021">'Table 3a'!$Y$51</definedName>
    <definedName name="tvl_organicagri_nc2_m_psrs_2021">'Table 3a'!$AB$51</definedName>
    <definedName name="tvl_organicagri_nc2_m_tkrs_2021">'Table 3a'!$V$51</definedName>
    <definedName name="tvl_pestmgt_nc2_f_psrs_2021">'Table 3a'!$AE$52</definedName>
    <definedName name="tvl_pestmgt_nc2_f_tkrs_2021">'Table 3a'!$Y$52</definedName>
    <definedName name="tvl_pestmgt_nc2_m_psrs_2021">'Table 3a'!$AB$52</definedName>
    <definedName name="tvl_pestmgt_nc2_m_tkrs_2021">'Table 3a'!$V$52</definedName>
    <definedName name="tvl_plumbing_nc1_f_psrs_2021">'Table 3b'!$AE$27</definedName>
    <definedName name="tvl_plumbing_nc1_f_tkrs_2021">'Table 3b'!$Y$27</definedName>
    <definedName name="tvl_plumbing_nc1_m_psrs_2021">'Table 3b'!$AB$27</definedName>
    <definedName name="tvl_plumbing_nc1_m_tkrs_2021">'Table 3b'!$V$27</definedName>
    <definedName name="tvl_plumbing_nc2_f_psrs_2021">'Table 3b'!$AE$28</definedName>
    <definedName name="tvl_plumbing_nc2_f_tkrs_2021">'Table 3b'!$Y$28</definedName>
    <definedName name="tvl_plumbing_nc2_m_psrs_2021">'Table 3b'!$AB$28</definedName>
    <definedName name="tvl_plumbing_nc2_m_tkrs_2021">'Table 3b'!$V$28</definedName>
    <definedName name="tvl_refnairconservicing_nc3_f_psrs_2021">'Table 3b'!$AE$29</definedName>
    <definedName name="tvl_refnairconservicing_nc3_f_tkrs_2021">'Table 3b'!$Y$29</definedName>
    <definedName name="tvl_refnairconservicing_nc3_m_psrs_2021">'Table 3b'!$AB$29</definedName>
    <definedName name="tvl_refnairconservicing_nc3_m_tkrs_2021">'Table 3b'!$V$29</definedName>
    <definedName name="tvl_ricemachinery_nc2_f_psrs_2021">'Table 3a'!$AE$53</definedName>
    <definedName name="tvl_ricemachinery_nc2_f_tkrs_2021">'Table 3a'!$Y$53</definedName>
    <definedName name="tvl_ricemachinery_nc2_m_psrs_2021">'Table 3a'!$AB$53</definedName>
    <definedName name="tvl_ricemachinery_nc2_m_tkrs_2021">'Table 3a'!$V$53</definedName>
    <definedName name="tvl_rubberprocessing_nc2_f_psrs_2021">'Table 3a'!$AE$54</definedName>
    <definedName name="tvl_rubberprocessing_nc2_f_tkrs_2021">'Table 3a'!$Y$54</definedName>
    <definedName name="tvl_rubberprocessing_nc2_m_psrs_2021">'Table 3a'!$AB$54</definedName>
    <definedName name="tvl_rubberprocessing_nc2_m_tkrs_2021">'Table 3a'!$V$54</definedName>
    <definedName name="tvl_rubberproduction_nc2_f_psrs_2021">'Table 3a'!$AE$55</definedName>
    <definedName name="tvl_rubberproduction_nc2_f_tkrs_2021">'Table 3a'!$Y$55</definedName>
    <definedName name="tvl_rubberproduction_nc2_m_psrs_2021">'Table 3a'!$AB$55</definedName>
    <definedName name="tvl_rubberproduction_nc2_m_tkrs_2021">'Table 3a'!$V$55</definedName>
    <definedName name="tvl_safety1_f_psrs_2021">'Table 3b'!$AE$53</definedName>
    <definedName name="tvl_safety1_f_tkrs_2021">'Table 3b'!$Y$53</definedName>
    <definedName name="tvl_safety1_m_psrs_2021">'Table 3b'!$AB$53</definedName>
    <definedName name="tvl_safety1_m_tkrs_2021">'Table 3b'!$V$53</definedName>
    <definedName name="tvl_safety2_f_psrs_2021">'Table 3b'!$AE$54</definedName>
    <definedName name="tvl_safety2_f_tkrs_2021">'Table 3b'!$Y$54</definedName>
    <definedName name="tvl_safety2_m_psrs_2021">'Table 3b'!$AB$54</definedName>
    <definedName name="tvl_safety2_m_tkrs_2021">'Table 3b'!$V$54</definedName>
    <definedName name="tvl_shieldedmetalwelding_nc1_f_psrs_2021">'Table 3b'!$AE$30</definedName>
    <definedName name="tvl_shieldedmetalwelding_nc1_f_tkrs_2021">'Table 3b'!$Y$30</definedName>
    <definedName name="tvl_shieldedmetalwelding_nc1_m_psrs_2021">'Table 3b'!$AB$30</definedName>
    <definedName name="tvl_shieldedmetalwelding_nc1_m_tkrs_2021">'Table 3b'!$V$30</definedName>
    <definedName name="tvl_shieldedmetalwelding_nc2_f_psrs_2021">'Table 3b'!$AE$31</definedName>
    <definedName name="tvl_shieldedmetalwelding_nc2_f_tkrs_2021">'Table 3b'!$Y$31</definedName>
    <definedName name="tvl_shieldedmetalwelding_nc2_m_psrs_2021">'Table 3b'!$AB$31</definedName>
    <definedName name="tvl_shieldedmetalwelding_nc2_m_tkrs_2021">'Table 3b'!$V$31</definedName>
    <definedName name="tvl_shipcateringservices_nc1_f_psrs_2021">'Table 3b'!$AE$55</definedName>
    <definedName name="tvl_shipcateringservices_nc1_f_tkrs_2021">'Table 3b'!$Y$55</definedName>
    <definedName name="tvl_shipcateringservices_nc1_m_psrs_2021">'Table 3b'!$AB$55</definedName>
    <definedName name="tvl_shipcateringservices_nc1_m_tkrs_2021">'Table 3b'!$V$55</definedName>
    <definedName name="tvl_slaughteringops_nc2_f_psrs_2021">'Table 3a'!$AE$56</definedName>
    <definedName name="tvl_slaughteringops_nc2_f_tkrs_2021">'Table 3a'!$Y$56</definedName>
    <definedName name="tvl_slaughteringops_nc2_m_psrs_2021">'Table 3a'!$AB$56</definedName>
    <definedName name="tvl_slaughteringops_nc2_m_tkrs_2021">'Table 3a'!$V$56</definedName>
    <definedName name="tvl_tailoring_nc2_f_psrs_2021">'Table 3a'!$AE$29</definedName>
    <definedName name="tvl_tailoring_nc2_f_tkrs_2021">'Table 3a'!$Y$29</definedName>
    <definedName name="tvl_tailoring_nc2_m_psrs_2021">'Table 3a'!$AB$29</definedName>
    <definedName name="tvl_tailoring_nc2_m_tkrs_2021">'Table 3a'!$V$29</definedName>
    <definedName name="tvl_techdrafting_nc2_f_psrs_2021">'Table 3b'!$AE$44</definedName>
    <definedName name="tvl_techdrafting_nc2_f_tkrs_2021">'Table 3b'!$Y$44</definedName>
    <definedName name="tvl_techdrafting_nc2_m_psrs_2021">'Table 3b'!$AB$44</definedName>
    <definedName name="tvl_techdrafting_nc2_m_tkrs_2021">'Table 3b'!$V$44</definedName>
    <definedName name="tvl_telcomospinstfiber_nc2_f_psrs_2021">'Table 3b'!$AE$46</definedName>
    <definedName name="tvl_telcomospinstfiber_nc2_f_tkrs_2021">'Table 3b'!$Y$46</definedName>
    <definedName name="tvl_telcomospinstfiber_nc2_m_psrs_2021">'Table 3b'!$AB$46</definedName>
    <definedName name="tvl_telcomospinstfiber_nc2_m_tkrs_2021">'Table 3b'!$V$46</definedName>
    <definedName name="tvl_telcomospnsubslineinst_nc2_f_psrs_2021">'Table 3b'!$AE$45</definedName>
    <definedName name="tvl_telcomospnsubslineinst_nc2_f_tkrs_2021">'Table 3b'!$Y$45</definedName>
    <definedName name="tvl_telcomospnsubslineinst_nc2_m_psrs_2021">'Table 3b'!$AB$45</definedName>
    <definedName name="tvl_telcomospnsubslineinst_nc2_m_tkrs_2021">'Table 3b'!$V$45</definedName>
    <definedName name="tvl_tilesetting_nc2_f_psrs_2021">'Table 3b'!$AE$32</definedName>
    <definedName name="tvl_tilesetting_nc2_f_tkrs_2021">'Table 3b'!$Y$32</definedName>
    <definedName name="tvl_tilesetting_nc2_m_psrs_2021">'Table 3b'!$AB$32</definedName>
    <definedName name="tvl_tilesetting_nc2_m_tkrs_2021">'Table 3b'!$V$32</definedName>
    <definedName name="tvl_tourismpromotion_nc2_f_psrs_2021">'Table 3a'!$AE$30</definedName>
    <definedName name="tvl_tourismpromotion_nc2_f_tkrs_2021">'Table 3a'!$Y$30</definedName>
    <definedName name="tvl_tourismpromotion_nc2_m_psrs_2021">'Table 3a'!$AB$30</definedName>
    <definedName name="tvl_tourismpromotion_nc2_m_tkrs_2021">'Table 3a'!$V$30</definedName>
    <definedName name="tvl_translineinstallation_nc2_f_psrs_2021">'Table 3b'!$AE$33</definedName>
    <definedName name="tvl_translineinstallation_nc2_f_tkrs_2021">'Table 3b'!$Y$33</definedName>
    <definedName name="tvl_translineinstallation_nc2_m_psrs_2021">'Table 3b'!$AB$33</definedName>
    <definedName name="tvl_translineinstallation_nc2_m_tkrs_2021">'Table 3b'!$V$33</definedName>
    <definedName name="tvl_travelservices_nc2_f_psrs_2021">'Table 3a'!$AE$31</definedName>
    <definedName name="tvl_travelservices_nc2_f_tkrs_2021">'Table 3a'!$Y$31</definedName>
    <definedName name="tvl_travelservices_nc2_m_psrs_2021">'Table 3a'!$AB$31</definedName>
    <definedName name="tvl_travelservices_nc2_m_tkrs_2021">'Table 3a'!$V$31</definedName>
    <definedName name="tvl_wellness_nc2_f_psrs_2021">'Table 3a'!$AE$32</definedName>
    <definedName name="tvl_wellness_nc2_f_tkrs_2021">'Table 3a'!$Y$32</definedName>
    <definedName name="tvl_wellness_nc2_m_psrs_2021">'Table 3a'!$AB$32</definedName>
    <definedName name="tvl_wellness_nc2_m_tkrs_2021">'Table 3a'!$V$32</definedName>
    <definedName name="utili_jantodec_amount">'Table 29-Box 8'!$J$7</definedName>
    <definedName name="V">List!$F$2:$F$14</definedName>
    <definedName name="VI">List!$G$2:$G$22</definedName>
    <definedName name="VII">List!$H$2:$H$20</definedName>
    <definedName name="VIII">List!$I$2:$I$14</definedName>
    <definedName name="w">'Table 6'!$AU$20</definedName>
    <definedName name="X">List!$K$2:$K$15</definedName>
    <definedName name="XI">List!$L$2:$L$12</definedName>
    <definedName name="XII">List!$M$2:$M$9</definedName>
    <definedName name="Z_6EFEFCA0_BF14_457A_85A3_29CBF2A862A5_.wvu.FilterData" localSheetId="2" hidden="1">activesheet!$A$1:$H$4699</definedName>
    <definedName name="Z_6EFEFCA0_BF14_457A_85A3_29CBF2A862A5_.wvu.PrintArea" localSheetId="34" hidden="1">'Box 13'!$A$1:$AP$47</definedName>
    <definedName name="Z_6EFEFCA0_BF14_457A_85A3_29CBF2A862A5_.wvu.PrintArea" localSheetId="35" hidden="1">'Box 14'!$A$1:$AY$35</definedName>
    <definedName name="Z_6EFEFCA0_BF14_457A_85A3_29CBF2A862A5_.wvu.PrintArea" localSheetId="37" hidden="1">'Box 16'!$A$1:$AZ$51</definedName>
    <definedName name="Z_6EFEFCA0_BF14_457A_85A3_29CBF2A862A5_.wvu.PrintArea" localSheetId="42" hidden="1">'Box 26'!$A$1:$AJ$54</definedName>
    <definedName name="Z_6EFEFCA0_BF14_457A_85A3_29CBF2A862A5_.wvu.PrintArea" localSheetId="49" hidden="1">'Box 28 Part 1'!$A$1:$AH$51</definedName>
    <definedName name="Z_6EFEFCA0_BF14_457A_85A3_29CBF2A862A5_.wvu.PrintArea" localSheetId="51" hidden="1">'Box 28 Part 5'!$A$1:$AJ$41</definedName>
    <definedName name="Z_6EFEFCA0_BF14_457A_85A3_29CBF2A862A5_.wvu.PrintArea" localSheetId="50" hidden="1">'Box 28 Parts 2-4'!$A$1:$AJ$59</definedName>
    <definedName name="Z_6EFEFCA0_BF14_457A_85A3_29CBF2A862A5_.wvu.PrintArea" localSheetId="52" hidden="1">'Box 29 Part 1'!$A$1:$AL$52</definedName>
    <definedName name="Z_6EFEFCA0_BF14_457A_85A3_29CBF2A862A5_.wvu.PrintArea" localSheetId="53" hidden="1">'Box 29 Part 2'!$A$1:$AI$36</definedName>
    <definedName name="Z_6EFEFCA0_BF14_457A_85A3_29CBF2A862A5_.wvu.PrintArea" localSheetId="54" hidden="1">'Box 30 Part 1'!$A$1:$AL$77</definedName>
    <definedName name="Z_6EFEFCA0_BF14_457A_85A3_29CBF2A862A5_.wvu.PrintArea" localSheetId="55" hidden="1">'Box 30 Part 2'!$A$1:$AS$77</definedName>
    <definedName name="Z_6EFEFCA0_BF14_457A_85A3_29CBF2A862A5_.wvu.PrintArea" localSheetId="56" hidden="1">'Box 30 Part 3a'!$A$1:$AQ$69</definedName>
    <definedName name="Z_6EFEFCA0_BF14_457A_85A3_29CBF2A862A5_.wvu.PrintArea" localSheetId="57" hidden="1">'Box 30 Part 3b'!$A$1:$BD$42</definedName>
    <definedName name="Z_6EFEFCA0_BF14_457A_85A3_29CBF2A862A5_.wvu.PrintArea" localSheetId="58" hidden="1">'Box 30 Part 3b cont.'!$A$1:$BE$22</definedName>
    <definedName name="Z_6EFEFCA0_BF14_457A_85A3_29CBF2A862A5_.wvu.PrintArea" localSheetId="60" hidden="1">'Box 31 Part 3a'!$A$1:$AR$62</definedName>
    <definedName name="Z_6EFEFCA0_BF14_457A_85A3_29CBF2A862A5_.wvu.PrintArea" localSheetId="61" hidden="1">'Box 31 Part 3b'!$A$1:$AU$63</definedName>
    <definedName name="Z_6EFEFCA0_BF14_457A_85A3_29CBF2A862A5_.wvu.PrintArea" localSheetId="62" hidden="1">'Box 31 Part 3c'!$A$1:$AS$63</definedName>
    <definedName name="Z_6EFEFCA0_BF14_457A_85A3_29CBF2A862A5_.wvu.PrintArea" localSheetId="63" hidden="1">'Box 31 Part 3d'!$A$1:$AP$43</definedName>
    <definedName name="Z_6EFEFCA0_BF14_457A_85A3_29CBF2A862A5_.wvu.PrintArea" localSheetId="59" hidden="1">'Box 31 Parts 1-2'!$A$1:$AZ$64</definedName>
    <definedName name="Z_6EFEFCA0_BF14_457A_85A3_29CBF2A862A5_.wvu.PrintArea" localSheetId="64" hidden="1">'Box 32'!$A$1:$AT$73</definedName>
    <definedName name="Z_6EFEFCA0_BF14_457A_85A3_29CBF2A862A5_.wvu.PrintArea" localSheetId="22" hidden="1">'Box 7-Table 24'!$A$1:$AV$50</definedName>
    <definedName name="Z_6EFEFCA0_BF14_457A_85A3_29CBF2A862A5_.wvu.PrintArea" localSheetId="28" hidden="1">'Box 9'!$A$1:$BA$56</definedName>
    <definedName name="Z_6EFEFCA0_BF14_457A_85A3_29CBF2A862A5_.wvu.PrintArea" localSheetId="29" hidden="1">'Box 9 cont.- Box 10'!$A$1:$BC$43</definedName>
    <definedName name="Z_6EFEFCA0_BF14_457A_85A3_29CBF2A862A5_.wvu.PrintArea" localSheetId="38" hidden="1">'Boxes 17-18'!$A$1:$AV$38</definedName>
    <definedName name="Z_6EFEFCA0_BF14_457A_85A3_29CBF2A862A5_.wvu.PrintArea" localSheetId="39" hidden="1">'Boxes 19-20'!$A$1:$AW$45</definedName>
    <definedName name="Z_6EFEFCA0_BF14_457A_85A3_29CBF2A862A5_.wvu.PrintArea" localSheetId="40" hidden="1">'Boxes 21-23'!$A$1:$AX$46</definedName>
    <definedName name="Z_6EFEFCA0_BF14_457A_85A3_29CBF2A862A5_.wvu.PrintArea" localSheetId="41" hidden="1">'Boxes 24-25'!$A$1:$BB$43</definedName>
    <definedName name="Z_6EFEFCA0_BF14_457A_85A3_29CBF2A862A5_.wvu.PrintArea" localSheetId="18" hidden="1">'Boxes 3-5'!$A$1:$AP$61</definedName>
    <definedName name="Z_6EFEFCA0_BF14_457A_85A3_29CBF2A862A5_.wvu.PrintArea" localSheetId="19" hidden="1">'Table 21-Box 6'!$A$1:$BC$41</definedName>
    <definedName name="Z_6EFEFCA0_BF14_457A_85A3_29CBF2A862A5_.wvu.PrintArea" localSheetId="23" hidden="1">'Table 25'!$A$1:$AW$48</definedName>
    <definedName name="Z_6EFEFCA0_BF14_457A_85A3_29CBF2A862A5_.wvu.PrintArea" localSheetId="27" hidden="1">'Table 29-Box 8'!$A$1:$BB$33</definedName>
    <definedName name="Z_6EFEFCA0_BF14_457A_85A3_29CBF2A862A5_.wvu.PrintArea" localSheetId="44" hidden="1">'Table 35'!$A$1:$AO$47</definedName>
    <definedName name="Z_6EFEFCA0_BF14_457A_85A3_29CBF2A862A5_.wvu.PrintArea" localSheetId="45" hidden="1">'Table 36'!$A$1:$AY$41</definedName>
    <definedName name="Z_6EFEFCA0_BF14_457A_85A3_29CBF2A862A5_.wvu.PrintArea" localSheetId="46" hidden="1">'Table 36 cont.'!$A$1:$AW$22</definedName>
    <definedName name="Z_6EFEFCA0_BF14_457A_85A3_29CBF2A862A5_.wvu.PrintArea" localSheetId="47" hidden="1">'Table 37'!$A$1:$AV$41</definedName>
    <definedName name="Z_6EFEFCA0_BF14_457A_85A3_29CBF2A862A5_.wvu.PrintArea" localSheetId="48" hidden="1">'Table 37 cont.- Table 38'!$A$1:$AX$28</definedName>
    <definedName name="Z_6EFEFCA0_BF14_457A_85A3_29CBF2A862A5_.wvu.PrintArea" localSheetId="13" hidden="1">'Tables 13-15'!$A$1:$AU$60</definedName>
    <definedName name="Z_6EFEFCA0_BF14_457A_85A3_29CBF2A862A5_.wvu.PrintArea" localSheetId="14" hidden="1">'Tables 16-19'!$A$1:$BJ$54</definedName>
    <definedName name="Z_6EFEFCA0_BF14_457A_85A3_29CBF2A862A5_.wvu.PrintArea" localSheetId="30" hidden="1">'Tables 30 A-B'!$A$1:$AU$48</definedName>
    <definedName name="Z_6EFEFCA0_BF14_457A_85A3_29CBF2A862A5_.wvu.PrintArea" localSheetId="31" hidden="1">'Tables 30 C &amp; D-Box 11'!$A$1:$AK$53</definedName>
    <definedName name="Z_6EFEFCA0_BF14_457A_85A3_29CBF2A862A5_.wvu.PrintArea" localSheetId="33" hidden="1">'Tables 32-34'!$A$1:$BN$44</definedName>
    <definedName name="Z_6EFEFCA0_BF14_457A_85A3_29CBF2A862A5_.wvu.Rows" localSheetId="37" hidden="1">'Box 16'!$8:$8,'Box 16'!$31:$31</definedName>
  </definedNames>
  <calcPr calcId="191029"/>
  <customWorkbookViews>
    <customWorkbookView name="User - Personal View" guid="{6EFEFCA0-BF14-457A-85A3-29CBF2A862A5}" mergeInterval="0" personalView="1" maximized="1" xWindow="-11" yWindow="-11" windowWidth="1942" windowHeight="1042" tabRatio="869" activeSheetId="4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E2558" i="3" l="1" a="1"/>
  <c r="E2558" i="3" s="1"/>
  <c r="E2530" i="3" a="1"/>
  <c r="E2530" i="3" s="1"/>
  <c r="E2555" i="3" a="1"/>
  <c r="E2555" i="3" s="1"/>
  <c r="E2527" i="3" a="1"/>
  <c r="E2527" i="3" s="1"/>
  <c r="E2544" i="3" a="1"/>
  <c r="E2544" i="3" s="1"/>
  <c r="E2541" i="3" a="1"/>
  <c r="E2541" i="3" s="1"/>
  <c r="E2516" i="3" a="1"/>
  <c r="E2516" i="3" s="1"/>
  <c r="E2513" i="3" a="1"/>
  <c r="E2513" i="3" s="1"/>
  <c r="AI49" i="8" l="1"/>
  <c r="AI50" i="8"/>
  <c r="AI51" i="8"/>
  <c r="AI52" i="8"/>
  <c r="AI53" i="8"/>
  <c r="AI54" i="8"/>
  <c r="AI55" i="8"/>
  <c r="AI48" i="8"/>
  <c r="E433" i="3"/>
  <c r="E432" i="3"/>
  <c r="E431" i="3" a="1"/>
  <c r="E431" i="3" s="1"/>
  <c r="E430" i="3"/>
  <c r="E429" i="3"/>
  <c r="E428" i="3"/>
  <c r="E427" i="3" a="1"/>
  <c r="E427" i="3" s="1"/>
  <c r="E426" i="3"/>
  <c r="E425" i="3"/>
  <c r="E424" i="3"/>
  <c r="E423" i="3" a="1"/>
  <c r="E423" i="3" s="1"/>
  <c r="E422" i="3"/>
  <c r="E421" i="3"/>
  <c r="E420" i="3"/>
  <c r="E419" i="3" a="1"/>
  <c r="E419" i="3" s="1"/>
  <c r="E418" i="3"/>
  <c r="E417" i="3"/>
  <c r="E416" i="3"/>
  <c r="E415" i="3" a="1"/>
  <c r="E415" i="3" s="1"/>
  <c r="E414" i="3"/>
  <c r="E413" i="3"/>
  <c r="E412" i="3"/>
  <c r="E411" i="3" a="1"/>
  <c r="E411" i="3" s="1"/>
  <c r="E410" i="3"/>
  <c r="E409" i="3"/>
  <c r="E408" i="3"/>
  <c r="E407" i="3" a="1"/>
  <c r="E407" i="3" s="1"/>
  <c r="E406" i="3"/>
  <c r="E405" i="3"/>
  <c r="E404" i="3"/>
  <c r="E403" i="3" a="1"/>
  <c r="E403" i="3" s="1"/>
  <c r="E402" i="3"/>
  <c r="E401" i="3"/>
  <c r="E400" i="3"/>
  <c r="E399" i="3" a="1"/>
  <c r="E399" i="3" s="1"/>
  <c r="E398" i="3"/>
  <c r="E397" i="3"/>
  <c r="E396" i="3"/>
  <c r="E395" i="3" a="1"/>
  <c r="E395" i="3" s="1"/>
  <c r="E394" i="3"/>
  <c r="E393" i="3"/>
  <c r="E392" i="3"/>
  <c r="E391" i="3" a="1"/>
  <c r="E391" i="3" s="1"/>
  <c r="E390" i="3"/>
  <c r="E389" i="3"/>
  <c r="E388" i="3"/>
  <c r="E387" i="3" a="1"/>
  <c r="E387" i="3" s="1"/>
  <c r="E386" i="3"/>
  <c r="E385" i="3"/>
  <c r="E384" i="3"/>
  <c r="E383" i="3" a="1"/>
  <c r="E383" i="3" s="1"/>
  <c r="E382" i="3"/>
  <c r="E381" i="3"/>
  <c r="E380" i="3"/>
  <c r="E379" i="3" a="1"/>
  <c r="E379" i="3" s="1"/>
  <c r="E378" i="3"/>
  <c r="E377" i="3"/>
  <c r="E376" i="3"/>
  <c r="E375" i="3" a="1"/>
  <c r="E375" i="3" s="1"/>
  <c r="E374" i="3"/>
  <c r="E373" i="3"/>
  <c r="E372" i="3"/>
  <c r="E371" i="3" a="1"/>
  <c r="E371" i="3" s="1"/>
  <c r="E370" i="3"/>
  <c r="E369" i="3"/>
  <c r="E368" i="3"/>
  <c r="E367" i="3" a="1"/>
  <c r="E367" i="3" s="1"/>
  <c r="E366" i="3"/>
  <c r="E365" i="3"/>
  <c r="E364" i="3"/>
  <c r="E363" i="3" a="1"/>
  <c r="E363" i="3" s="1"/>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a="1"/>
  <c r="E255" i="3" s="1"/>
  <c r="E254" i="3"/>
  <c r="E253" i="3"/>
  <c r="E252" i="3"/>
  <c r="E251" i="3" a="1"/>
  <c r="E251" i="3" s="1"/>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AI36" i="8" l="1"/>
  <c r="AI37" i="8"/>
  <c r="AI38" i="8"/>
  <c r="AI39" i="8"/>
  <c r="AI40" i="8"/>
  <c r="AI41" i="8"/>
  <c r="AI42" i="8"/>
  <c r="AI43" i="8"/>
  <c r="AI44" i="8"/>
  <c r="AI45" i="8"/>
  <c r="AI46" i="8"/>
  <c r="AI35" i="8"/>
  <c r="AI35" i="7"/>
  <c r="AI36" i="7"/>
  <c r="AI37" i="7"/>
  <c r="AI38" i="7"/>
  <c r="AI39" i="7"/>
  <c r="AI40" i="7"/>
  <c r="AI41" i="7"/>
  <c r="AI42" i="7"/>
  <c r="AI43" i="7"/>
  <c r="AI44" i="7"/>
  <c r="AI45" i="7"/>
  <c r="AI46" i="7"/>
  <c r="AI47" i="7"/>
  <c r="AI48" i="7"/>
  <c r="AI49" i="7"/>
  <c r="AI50" i="7"/>
  <c r="AI51" i="7"/>
  <c r="AI52" i="7"/>
  <c r="AI53" i="7"/>
  <c r="AI54" i="7"/>
  <c r="AI55" i="7"/>
  <c r="AI56" i="7"/>
  <c r="AI34" i="7"/>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8" i="8"/>
  <c r="AI9" i="7"/>
  <c r="AI10" i="7"/>
  <c r="AI11" i="7"/>
  <c r="AI12" i="7"/>
  <c r="AI13" i="7"/>
  <c r="AI14" i="7"/>
  <c r="AI15" i="7"/>
  <c r="AI16" i="7"/>
  <c r="AI17" i="7"/>
  <c r="AI18" i="7"/>
  <c r="AI19" i="7"/>
  <c r="AI20" i="7"/>
  <c r="AI21" i="7"/>
  <c r="AI22" i="7"/>
  <c r="AI23" i="7"/>
  <c r="AI24" i="7"/>
  <c r="AI25" i="7"/>
  <c r="AI26" i="7"/>
  <c r="AI27" i="7"/>
  <c r="AI28" i="7"/>
  <c r="AI29" i="7"/>
  <c r="AI30" i="7"/>
  <c r="AI31" i="7"/>
  <c r="AI32" i="7"/>
  <c r="AI8" i="7"/>
  <c r="AH22" i="31" l="1"/>
  <c r="K29" i="32"/>
  <c r="T24" i="20"/>
  <c r="I34" i="35"/>
  <c r="E2256" i="3"/>
  <c r="E2255" i="3"/>
  <c r="E2254" i="3"/>
  <c r="E2253" i="3"/>
  <c r="E2252" i="3"/>
  <c r="E2251" i="3"/>
  <c r="E2250" i="3"/>
  <c r="E2249" i="3"/>
  <c r="E2248" i="3"/>
  <c r="E2247" i="3"/>
  <c r="E2246" i="3"/>
  <c r="E2245" i="3"/>
  <c r="E2244" i="3"/>
  <c r="E2243" i="3"/>
  <c r="E2242" i="3"/>
  <c r="E2241" i="3"/>
  <c r="E2240" i="3"/>
  <c r="E2239" i="3"/>
  <c r="E2238" i="3"/>
  <c r="E2237" i="3"/>
  <c r="E2193" i="3"/>
  <c r="E2192"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7" i="3"/>
  <c r="E2128" i="3"/>
  <c r="E2106" i="3"/>
  <c r="E2105" i="3"/>
  <c r="E2104" i="3"/>
  <c r="E2103" i="3"/>
  <c r="E2102" i="3"/>
  <c r="E2101" i="3"/>
  <c r="E2100" i="3"/>
  <c r="E2099" i="3"/>
  <c r="E2098" i="3"/>
  <c r="E2097" i="3"/>
  <c r="E2096" i="3"/>
  <c r="E2095" i="3"/>
  <c r="E2094" i="3"/>
  <c r="E2093" i="3"/>
  <c r="E2092" i="3"/>
  <c r="E2086" i="3"/>
  <c r="E2085" i="3"/>
  <c r="E2084" i="3"/>
  <c r="E2083" i="3"/>
  <c r="E2082" i="3"/>
  <c r="E2056" i="3"/>
  <c r="E2055" i="3"/>
  <c r="E2054" i="3"/>
  <c r="E2053" i="3"/>
  <c r="E2052" i="3"/>
  <c r="E2051" i="3"/>
  <c r="E2050" i="3"/>
  <c r="E2049" i="3"/>
  <c r="E2048" i="3"/>
  <c r="E2047" i="3"/>
  <c r="E2041" i="3"/>
  <c r="E2040" i="3"/>
  <c r="E2039" i="3"/>
  <c r="E2038" i="3"/>
  <c r="E2036" i="3"/>
  <c r="E2035" i="3"/>
  <c r="E2034" i="3"/>
  <c r="E2033" i="3"/>
  <c r="E2032" i="3"/>
  <c r="E2037" i="3"/>
  <c r="AC18" i="29"/>
  <c r="AC16" i="29"/>
  <c r="AC15" i="29"/>
  <c r="AC14" i="29"/>
  <c r="AC12" i="29"/>
  <c r="AC13" i="29"/>
  <c r="AC11" i="29"/>
  <c r="AC10" i="29"/>
  <c r="AC9" i="29"/>
  <c r="T22" i="29"/>
  <c r="B23" i="23" l="1"/>
  <c r="E2814" i="3" l="1"/>
  <c r="AI14" i="12"/>
  <c r="AI13" i="12"/>
  <c r="AI12" i="12"/>
  <c r="AI11" i="12"/>
  <c r="AI10" i="12"/>
  <c r="AI9" i="12"/>
  <c r="AI8" i="12"/>
  <c r="AI7" i="12"/>
  <c r="V17" i="11"/>
  <c r="V16" i="11"/>
  <c r="V15" i="11"/>
  <c r="V14" i="11"/>
  <c r="V13" i="11"/>
  <c r="V12" i="11"/>
  <c r="V11" i="11"/>
  <c r="V10" i="11"/>
  <c r="V18" i="11" l="1"/>
  <c r="AJ29" i="65"/>
  <c r="AL8" i="31"/>
  <c r="AH8" i="31"/>
  <c r="AL7" i="31"/>
  <c r="AH7" i="31"/>
  <c r="E3612" i="3" a="1"/>
  <c r="E3612" i="3" s="1"/>
  <c r="E3615" i="3" a="1"/>
  <c r="E3615" i="3" s="1"/>
  <c r="E3614" i="3" a="1"/>
  <c r="E3614" i="3" s="1"/>
  <c r="E3613" i="3" a="1"/>
  <c r="E3613" i="3" s="1"/>
  <c r="E3611" i="3" a="1"/>
  <c r="E3611" i="3" s="1"/>
  <c r="E2380" i="3" a="1"/>
  <c r="E2380" i="3" s="1"/>
  <c r="E2379" i="3" a="1"/>
  <c r="E2379" i="3" s="1"/>
  <c r="E2378" i="3" a="1"/>
  <c r="E2378" i="3" s="1"/>
  <c r="E2377" i="3" a="1"/>
  <c r="E2377" i="3" s="1"/>
  <c r="E2376" i="3" a="1"/>
  <c r="E2376" i="3" s="1"/>
  <c r="E2375" i="3" a="1"/>
  <c r="E2375" i="3" s="1"/>
  <c r="E2374" i="3" a="1"/>
  <c r="E2374" i="3" s="1"/>
  <c r="E2373" i="3" a="1"/>
  <c r="E2373" i="3" s="1"/>
  <c r="R31" i="5" l="1" a="1"/>
  <c r="R31" i="5" s="1"/>
  <c r="E27" i="3" a="1"/>
  <c r="E27" i="3" s="1"/>
  <c r="E26" i="3" a="1"/>
  <c r="E26" i="3" s="1"/>
  <c r="E2" i="3"/>
  <c r="E29" i="3" l="1"/>
  <c r="E28" i="3"/>
  <c r="F54" i="63" l="1"/>
  <c r="E43" i="62"/>
  <c r="E35" i="62"/>
  <c r="E20" i="62"/>
  <c r="K53" i="61"/>
  <c r="K45" i="61"/>
  <c r="K28" i="61"/>
  <c r="AA23" i="55" l="1"/>
  <c r="O23" i="55"/>
  <c r="X28" i="53" l="1"/>
  <c r="X24" i="53"/>
  <c r="E3610" i="3" a="1"/>
  <c r="E3610" i="3" s="1"/>
  <c r="E3609" i="3" a="1"/>
  <c r="E3609" i="3" s="1"/>
  <c r="E3608" i="3" a="1"/>
  <c r="E3608" i="3" s="1"/>
  <c r="F24" i="48" l="1"/>
  <c r="F15" i="48"/>
  <c r="C33" i="46" l="1"/>
  <c r="AA22" i="42" l="1"/>
  <c r="AA21" i="42"/>
  <c r="AA20" i="42"/>
  <c r="AA19" i="42"/>
  <c r="AR6" i="42"/>
  <c r="Z38" i="41"/>
  <c r="Z29" i="41"/>
  <c r="J37" i="40"/>
  <c r="AM21" i="40"/>
  <c r="U16" i="40"/>
  <c r="AM10" i="40"/>
  <c r="AG32" i="39"/>
  <c r="AI8" i="39"/>
  <c r="E2561" i="3" l="1" a="1"/>
  <c r="E2561" i="3" s="1"/>
  <c r="E2560" i="3" a="1"/>
  <c r="E2560" i="3" s="1"/>
  <c r="E2559" i="3" a="1"/>
  <c r="E2559" i="3" s="1"/>
  <c r="E2557" i="3" a="1"/>
  <c r="E2557" i="3" s="1"/>
  <c r="E2556" i="3" a="1"/>
  <c r="E2556" i="3" s="1"/>
  <c r="E2554" i="3" a="1"/>
  <c r="E2554" i="3" s="1"/>
  <c r="E2553" i="3" a="1"/>
  <c r="E2553" i="3" s="1"/>
  <c r="E2552" i="3" a="1"/>
  <c r="E2552" i="3" s="1"/>
  <c r="E2551" i="3" a="1"/>
  <c r="E2551" i="3" s="1"/>
  <c r="E2550" i="3" a="1"/>
  <c r="E2550" i="3" s="1"/>
  <c r="E2549" i="3" a="1"/>
  <c r="E2549" i="3" s="1"/>
  <c r="E2548" i="3" a="1"/>
  <c r="E2548" i="3" s="1"/>
  <c r="E2547" i="3" a="1"/>
  <c r="E2547" i="3" s="1"/>
  <c r="E2546" i="3" a="1"/>
  <c r="E2546" i="3" s="1"/>
  <c r="E2545" i="3" a="1"/>
  <c r="E2545" i="3" s="1"/>
  <c r="E2543" i="3" a="1"/>
  <c r="E2543" i="3" s="1"/>
  <c r="E2542" i="3" a="1"/>
  <c r="E2542" i="3" s="1"/>
  <c r="E2540" i="3" a="1"/>
  <c r="E2540" i="3" s="1"/>
  <c r="E2539" i="3" a="1"/>
  <c r="E2539" i="3" s="1"/>
  <c r="E2538" i="3" a="1"/>
  <c r="E2538" i="3" s="1"/>
  <c r="E2537" i="3" a="1"/>
  <c r="E2537" i="3" s="1"/>
  <c r="E2536" i="3" a="1"/>
  <c r="E2536" i="3" s="1"/>
  <c r="E2535" i="3" a="1"/>
  <c r="E2535" i="3" s="1"/>
  <c r="E2534" i="3" a="1"/>
  <c r="E2534" i="3" s="1"/>
  <c r="E2533" i="3" a="1"/>
  <c r="E2533" i="3" s="1"/>
  <c r="E2532" i="3" a="1"/>
  <c r="E2532" i="3" s="1"/>
  <c r="E2531" i="3" a="1"/>
  <c r="E2531" i="3" s="1"/>
  <c r="E2529" i="3" a="1"/>
  <c r="E2529" i="3" s="1"/>
  <c r="E2528" i="3" a="1"/>
  <c r="E2528" i="3" s="1"/>
  <c r="E2526" i="3" a="1"/>
  <c r="E2526" i="3" s="1"/>
  <c r="E2525" i="3" a="1"/>
  <c r="E2525" i="3" s="1"/>
  <c r="E2524" i="3" a="1"/>
  <c r="E2524" i="3" s="1"/>
  <c r="E2523" i="3" a="1"/>
  <c r="E2523" i="3" s="1"/>
  <c r="E2522" i="3" a="1"/>
  <c r="E2522" i="3" s="1"/>
  <c r="E2521" i="3" a="1"/>
  <c r="E2521" i="3" s="1"/>
  <c r="E2520" i="3" a="1"/>
  <c r="E2520" i="3" s="1"/>
  <c r="E2519" i="3" a="1"/>
  <c r="E2519" i="3" s="1"/>
  <c r="E2518" i="3" a="1"/>
  <c r="E2518" i="3" s="1"/>
  <c r="E2517" i="3" a="1"/>
  <c r="E2517" i="3" s="1"/>
  <c r="E2515" i="3" a="1"/>
  <c r="E2515" i="3" s="1"/>
  <c r="E2514" i="3" a="1"/>
  <c r="E2514" i="3" s="1"/>
  <c r="E2512" i="3" a="1"/>
  <c r="E2512" i="3" s="1"/>
  <c r="E2511" i="3" a="1"/>
  <c r="E2511" i="3" s="1"/>
  <c r="E2510" i="3" a="1"/>
  <c r="E2510" i="3" s="1"/>
  <c r="E2509" i="3" a="1"/>
  <c r="E2509" i="3" s="1"/>
  <c r="E2508" i="3" a="1"/>
  <c r="E2508" i="3" s="1"/>
  <c r="E2507" i="3" a="1"/>
  <c r="E2507" i="3" s="1"/>
  <c r="E2506" i="3" a="1"/>
  <c r="E2506" i="3" s="1"/>
  <c r="U30" i="33" l="1"/>
  <c r="AI21" i="33"/>
  <c r="AI15" i="33"/>
  <c r="AC10" i="33"/>
  <c r="S29" i="32"/>
  <c r="Z33" i="32"/>
  <c r="AB33" i="30"/>
  <c r="AQ22" i="29"/>
  <c r="O26" i="29"/>
  <c r="AS16" i="28" l="1"/>
  <c r="AP10" i="28"/>
  <c r="E2200" i="3"/>
  <c r="E2199" i="3"/>
  <c r="E2198" i="3"/>
  <c r="E2197" i="3"/>
  <c r="E2196" i="3"/>
  <c r="E2195" i="3"/>
  <c r="E2194" i="3"/>
  <c r="AF9" i="23" l="1"/>
  <c r="AQ33" i="20" l="1"/>
  <c r="AE10" i="19" l="1"/>
  <c r="AK18" i="11" l="1"/>
  <c r="AK47" i="10"/>
  <c r="BG26" i="10"/>
  <c r="BD26" i="10"/>
  <c r="BA26" i="10"/>
  <c r="AO26" i="10"/>
  <c r="V26" i="10"/>
  <c r="BG25" i="10"/>
  <c r="BD25" i="10"/>
  <c r="BA25" i="10"/>
  <c r="AO25" i="10"/>
  <c r="V25" i="10"/>
  <c r="BJ25" i="10" l="1"/>
  <c r="AR25" i="10"/>
  <c r="AR26" i="10"/>
  <c r="BJ26" i="10"/>
  <c r="AL25" i="31"/>
  <c r="AH25" i="31"/>
  <c r="AL24" i="31"/>
  <c r="AH24" i="31"/>
  <c r="AL23" i="31"/>
  <c r="AH23" i="31"/>
  <c r="AL22" i="31"/>
  <c r="R46" i="57" l="1"/>
  <c r="R45" i="57"/>
  <c r="R44" i="57"/>
  <c r="R43" i="57"/>
  <c r="R42" i="57"/>
  <c r="R41" i="57"/>
  <c r="AM45" i="57"/>
  <c r="AM44" i="57"/>
  <c r="AM43" i="57"/>
  <c r="AM42" i="57"/>
  <c r="AM41" i="57"/>
  <c r="W48" i="65"/>
  <c r="U48" i="65"/>
  <c r="W47" i="65"/>
  <c r="U47" i="65"/>
  <c r="W46" i="65"/>
  <c r="U46" i="65"/>
  <c r="Q41" i="65"/>
  <c r="Q38" i="65"/>
  <c r="T35" i="65"/>
  <c r="Q35" i="65"/>
  <c r="X23" i="65"/>
  <c r="U23" i="65"/>
  <c r="R23" i="65"/>
  <c r="O23" i="65"/>
  <c r="AD22" i="65"/>
  <c r="AA22" i="65"/>
  <c r="AD21" i="65"/>
  <c r="AA21" i="65"/>
  <c r="E4697" i="3" a="1"/>
  <c r="E4697" i="3" s="1"/>
  <c r="F4697" i="3" s="1"/>
  <c r="E4699" i="3" a="1"/>
  <c r="E4699" i="3" s="1"/>
  <c r="E4698" i="3" a="1"/>
  <c r="E4698" i="3" s="1"/>
  <c r="E4670" i="3" a="1"/>
  <c r="E4670" i="3" s="1"/>
  <c r="E4669" i="3" a="1"/>
  <c r="E4669" i="3" s="1"/>
  <c r="E4668" i="3" a="1"/>
  <c r="E4668" i="3" s="1"/>
  <c r="E4667" i="3" a="1"/>
  <c r="E4667" i="3" s="1"/>
  <c r="E4666" i="3" a="1"/>
  <c r="E4666" i="3" s="1"/>
  <c r="E4665" i="3" a="1"/>
  <c r="E4665" i="3" s="1"/>
  <c r="E4664" i="3" a="1"/>
  <c r="E4664" i="3" s="1"/>
  <c r="E4663" i="3" a="1"/>
  <c r="E4663" i="3" s="1"/>
  <c r="E4696" i="3" a="1"/>
  <c r="E4696" i="3" s="1"/>
  <c r="E4695" i="3" a="1"/>
  <c r="E4695" i="3" s="1"/>
  <c r="E4694" i="3" a="1"/>
  <c r="E4694" i="3" s="1"/>
  <c r="E4693" i="3" a="1"/>
  <c r="E4693" i="3" s="1"/>
  <c r="E4692" i="3" a="1"/>
  <c r="E4692" i="3" s="1"/>
  <c r="E4691" i="3" a="1"/>
  <c r="E4691" i="3" s="1"/>
  <c r="E4690" i="3" a="1"/>
  <c r="E4690" i="3" s="1"/>
  <c r="E4689" i="3" a="1"/>
  <c r="E4689" i="3" s="1"/>
  <c r="E4688" i="3" a="1"/>
  <c r="E4688" i="3" s="1"/>
  <c r="E4687" i="3" a="1"/>
  <c r="E4687" i="3" s="1"/>
  <c r="E4686" i="3" a="1"/>
  <c r="E4686" i="3" s="1"/>
  <c r="E4685" i="3" a="1"/>
  <c r="E4685" i="3" s="1"/>
  <c r="E4684" i="3" a="1"/>
  <c r="E4684" i="3" s="1"/>
  <c r="E4683" i="3" a="1"/>
  <c r="E4683" i="3" s="1"/>
  <c r="E4682" i="3" a="1"/>
  <c r="E4682" i="3" s="1"/>
  <c r="E4681" i="3" a="1"/>
  <c r="E4681" i="3" s="1"/>
  <c r="E4680" i="3" a="1"/>
  <c r="E4680" i="3" s="1"/>
  <c r="E4679" i="3" a="1"/>
  <c r="E4679" i="3" s="1"/>
  <c r="E4678" i="3" a="1"/>
  <c r="E4678" i="3" s="1"/>
  <c r="E4677" i="3" a="1"/>
  <c r="E4677" i="3" s="1"/>
  <c r="E4676" i="3" a="1"/>
  <c r="E4676" i="3" s="1"/>
  <c r="F4676" i="3" s="1"/>
  <c r="E4675" i="3" a="1"/>
  <c r="E4675" i="3" s="1"/>
  <c r="E4674" i="3" a="1"/>
  <c r="E4674" i="3" s="1"/>
  <c r="F4674" i="3" s="1"/>
  <c r="E4673" i="3" a="1"/>
  <c r="E4673" i="3" s="1"/>
  <c r="F4673" i="3" s="1"/>
  <c r="E4672" i="3" a="1"/>
  <c r="E4672" i="3" s="1"/>
  <c r="F4672" i="3" s="1"/>
  <c r="E4671" i="3" a="1"/>
  <c r="E4671" i="3" s="1"/>
  <c r="F4671" i="3" s="1"/>
  <c r="E4662" i="3" a="1"/>
  <c r="E4662" i="3" s="1"/>
  <c r="F4662" i="3" s="1"/>
  <c r="E4661" i="3" a="1"/>
  <c r="E4661" i="3" s="1"/>
  <c r="F4661" i="3" s="1"/>
  <c r="E4660" i="3" a="1"/>
  <c r="E4660" i="3" s="1"/>
  <c r="F4660" i="3" s="1"/>
  <c r="AD23" i="65" l="1"/>
  <c r="AA23" i="65"/>
  <c r="E4651" i="3"/>
  <c r="E4650" i="3"/>
  <c r="E4649" i="3" a="1"/>
  <c r="E4649" i="3" s="1"/>
  <c r="E4648" i="3" a="1"/>
  <c r="E4648" i="3" s="1"/>
  <c r="E4659" i="3" a="1"/>
  <c r="E4659" i="3" s="1"/>
  <c r="E4658" i="3" a="1"/>
  <c r="E4658" i="3" s="1"/>
  <c r="E4657" i="3" a="1"/>
  <c r="E4657" i="3" s="1"/>
  <c r="E4656" i="3" a="1"/>
  <c r="E4656" i="3" s="1"/>
  <c r="E4655" i="3" a="1"/>
  <c r="E4655" i="3" s="1"/>
  <c r="E4654" i="3" a="1"/>
  <c r="E4654" i="3" s="1"/>
  <c r="E4653" i="3" a="1"/>
  <c r="E4653" i="3" s="1"/>
  <c r="E4652" i="3" a="1"/>
  <c r="E4652" i="3" s="1"/>
  <c r="E4647" i="3" a="1"/>
  <c r="E4647" i="3" s="1"/>
  <c r="E4646" i="3" a="1"/>
  <c r="E4646" i="3" s="1"/>
  <c r="E4645" i="3" a="1"/>
  <c r="E4645" i="3" s="1"/>
  <c r="E4644" i="3" a="1"/>
  <c r="E4644" i="3" s="1"/>
  <c r="E4643" i="3" a="1"/>
  <c r="E4643" i="3" s="1"/>
  <c r="E4642" i="3" a="1"/>
  <c r="E4642" i="3" s="1"/>
  <c r="E4641" i="3" a="1"/>
  <c r="E4641" i="3" s="1"/>
  <c r="F4641" i="3" s="1"/>
  <c r="E4640" i="3" a="1"/>
  <c r="E4640" i="3" s="1"/>
  <c r="E4639" i="3" a="1"/>
  <c r="E4639" i="3" s="1"/>
  <c r="E4638" i="3" a="1"/>
  <c r="E4638" i="3" s="1"/>
  <c r="E4637" i="3" a="1"/>
  <c r="E4637" i="3" s="1"/>
  <c r="E4636" i="3" a="1"/>
  <c r="E4636" i="3" s="1"/>
  <c r="E4635" i="3" a="1"/>
  <c r="E4635" i="3" s="1"/>
  <c r="E4634" i="3" a="1"/>
  <c r="E4634" i="3" s="1"/>
  <c r="E4633" i="3" a="1"/>
  <c r="E4633" i="3" s="1"/>
  <c r="E4632" i="3" a="1"/>
  <c r="E4632" i="3" s="1"/>
  <c r="E4631" i="3" a="1"/>
  <c r="E4631" i="3" s="1"/>
  <c r="E4630" i="3" a="1"/>
  <c r="E4630" i="3" s="1"/>
  <c r="E4629" i="3" a="1"/>
  <c r="E4629" i="3" s="1"/>
  <c r="E4628" i="3" a="1"/>
  <c r="E4628" i="3" s="1"/>
  <c r="E4627" i="3" a="1"/>
  <c r="E4627" i="3" s="1"/>
  <c r="E4626" i="3" a="1"/>
  <c r="E4626" i="3" s="1"/>
  <c r="E4625" i="3" a="1"/>
  <c r="E4625" i="3" s="1"/>
  <c r="E4624" i="3" a="1"/>
  <c r="E4624" i="3" s="1"/>
  <c r="E4623" i="3" a="1"/>
  <c r="E4623" i="3" s="1"/>
  <c r="E4622" i="3" a="1"/>
  <c r="E4622" i="3" s="1"/>
  <c r="E4621" i="3" a="1"/>
  <c r="E4621" i="3" s="1"/>
  <c r="E4620" i="3" a="1"/>
  <c r="E4620" i="3" s="1"/>
  <c r="E4619" i="3" a="1"/>
  <c r="E4619" i="3" s="1"/>
  <c r="E4618" i="3" a="1"/>
  <c r="E4618" i="3" s="1"/>
  <c r="E4617" i="3" a="1"/>
  <c r="E4617" i="3" s="1"/>
  <c r="E4616" i="3" a="1"/>
  <c r="E4616" i="3" s="1"/>
  <c r="E4615" i="3" a="1"/>
  <c r="E4615" i="3" s="1"/>
  <c r="E4614" i="3" a="1"/>
  <c r="E4614" i="3" s="1"/>
  <c r="E4613" i="3" a="1"/>
  <c r="E4613" i="3" s="1"/>
  <c r="E4612" i="3" a="1"/>
  <c r="E4612" i="3" s="1"/>
  <c r="E4611" i="3" a="1"/>
  <c r="E4611" i="3" s="1"/>
  <c r="E4610" i="3" a="1"/>
  <c r="E4610" i="3" s="1"/>
  <c r="E4609" i="3" a="1"/>
  <c r="E4609" i="3" s="1"/>
  <c r="E4608" i="3" a="1"/>
  <c r="E4608" i="3" s="1"/>
  <c r="E4607" i="3" a="1"/>
  <c r="E4607" i="3" s="1"/>
  <c r="E4606" i="3" a="1"/>
  <c r="E4606" i="3" s="1"/>
  <c r="E4605" i="3" a="1"/>
  <c r="E4605" i="3" s="1"/>
  <c r="E4604" i="3" a="1"/>
  <c r="E4604" i="3" s="1"/>
  <c r="E4603" i="3" a="1"/>
  <c r="E4603" i="3" s="1"/>
  <c r="E4602" i="3" a="1"/>
  <c r="E4602" i="3" s="1"/>
  <c r="E4601" i="3" a="1"/>
  <c r="E4601" i="3" s="1"/>
  <c r="E4600" i="3" a="1"/>
  <c r="E4600" i="3" s="1"/>
  <c r="E4599" i="3" a="1"/>
  <c r="E4599" i="3" s="1"/>
  <c r="E4598" i="3" a="1"/>
  <c r="E4598" i="3" s="1"/>
  <c r="E4597" i="3" a="1"/>
  <c r="E4597" i="3" s="1"/>
  <c r="E4596" i="3" a="1"/>
  <c r="E4596" i="3" s="1"/>
  <c r="E4595" i="3" a="1"/>
  <c r="E4595" i="3" s="1"/>
  <c r="E4594" i="3" a="1"/>
  <c r="E4594" i="3" s="1"/>
  <c r="E4593" i="3" a="1"/>
  <c r="E4593" i="3" s="1"/>
  <c r="E4592" i="3" a="1"/>
  <c r="E4592" i="3" s="1"/>
  <c r="E4591" i="3" a="1"/>
  <c r="E4591" i="3" s="1"/>
  <c r="E4590" i="3" a="1"/>
  <c r="E4590" i="3" s="1"/>
  <c r="E4589" i="3" a="1"/>
  <c r="E4589" i="3" s="1"/>
  <c r="E4588" i="3" a="1"/>
  <c r="E4588" i="3" s="1"/>
  <c r="E4587" i="3" a="1"/>
  <c r="E4587" i="3" s="1"/>
  <c r="E4586" i="3" a="1"/>
  <c r="E4586" i="3" s="1"/>
  <c r="E4585" i="3" a="1"/>
  <c r="E4585" i="3" s="1"/>
  <c r="E4584" i="3" a="1"/>
  <c r="E4584" i="3" s="1"/>
  <c r="E4583" i="3" a="1"/>
  <c r="E4583" i="3" s="1"/>
  <c r="E4582" i="3" a="1"/>
  <c r="E4582" i="3" s="1"/>
  <c r="E4581" i="3" a="1"/>
  <c r="E4581" i="3" s="1"/>
  <c r="E4580" i="3" a="1"/>
  <c r="E4580" i="3" s="1"/>
  <c r="E4579" i="3" a="1"/>
  <c r="E4579" i="3" s="1"/>
  <c r="E4578" i="3" a="1"/>
  <c r="E4578" i="3" s="1"/>
  <c r="E4577" i="3" a="1"/>
  <c r="E4577" i="3" s="1"/>
  <c r="E4576" i="3" a="1"/>
  <c r="E4576" i="3" s="1"/>
  <c r="E4575" i="3" a="1"/>
  <c r="E4575" i="3" s="1"/>
  <c r="E4574" i="3" a="1"/>
  <c r="E4574" i="3" s="1"/>
  <c r="E4573" i="3" a="1"/>
  <c r="E4573" i="3" s="1"/>
  <c r="E4572" i="3" a="1"/>
  <c r="E4572" i="3" s="1"/>
  <c r="E4571" i="3" a="1"/>
  <c r="E4571" i="3" s="1"/>
  <c r="E4570" i="3" a="1"/>
  <c r="E4570" i="3" s="1"/>
  <c r="E4569" i="3" a="1"/>
  <c r="E4569" i="3" s="1"/>
  <c r="E4568" i="3" a="1"/>
  <c r="E4568" i="3" s="1"/>
  <c r="E4567" i="3" a="1"/>
  <c r="E4567" i="3" s="1"/>
  <c r="E4566" i="3" a="1"/>
  <c r="E4566" i="3" s="1"/>
  <c r="E4565" i="3" a="1"/>
  <c r="E4565" i="3" s="1"/>
  <c r="E4564" i="3" a="1"/>
  <c r="E4564" i="3" s="1"/>
  <c r="E4563" i="3" a="1"/>
  <c r="E4563" i="3" s="1"/>
  <c r="E4562" i="3" a="1"/>
  <c r="E4562" i="3" s="1"/>
  <c r="E4561" i="3" a="1"/>
  <c r="E4561" i="3" s="1"/>
  <c r="E4560" i="3" a="1"/>
  <c r="E4560" i="3" s="1"/>
  <c r="E4559" i="3" a="1"/>
  <c r="E4559" i="3" s="1"/>
  <c r="E4558" i="3" a="1"/>
  <c r="E4558" i="3" s="1"/>
  <c r="E4557" i="3" a="1"/>
  <c r="E4557" i="3" s="1"/>
  <c r="E4556" i="3" a="1"/>
  <c r="E4556" i="3" s="1"/>
  <c r="E4555" i="3" a="1"/>
  <c r="E4555" i="3" s="1"/>
  <c r="E4554" i="3" a="1"/>
  <c r="E4554" i="3" s="1"/>
  <c r="E4553" i="3" a="1"/>
  <c r="E4553" i="3" s="1"/>
  <c r="E4552" i="3" a="1"/>
  <c r="E4552" i="3" s="1"/>
  <c r="E4551" i="3" a="1"/>
  <c r="E4551" i="3" s="1"/>
  <c r="E4550" i="3" a="1"/>
  <c r="E4550" i="3" s="1"/>
  <c r="E4549" i="3" a="1"/>
  <c r="E4549" i="3" s="1"/>
  <c r="E4548" i="3" a="1"/>
  <c r="E4548" i="3" s="1"/>
  <c r="E4547" i="3" a="1"/>
  <c r="E4547" i="3" s="1"/>
  <c r="E4546" i="3" a="1"/>
  <c r="E4546" i="3" s="1"/>
  <c r="E4545" i="3" a="1"/>
  <c r="E4545" i="3" s="1"/>
  <c r="E4544" i="3" a="1"/>
  <c r="E4544" i="3" s="1"/>
  <c r="E4543" i="3" a="1"/>
  <c r="E4543" i="3" s="1"/>
  <c r="E4542" i="3" a="1"/>
  <c r="E4542" i="3" s="1"/>
  <c r="E4541" i="3" a="1"/>
  <c r="E4541" i="3" s="1"/>
  <c r="F4541" i="3" s="1"/>
  <c r="E4540" i="3" a="1"/>
  <c r="E4540" i="3" s="1"/>
  <c r="E4539" i="3" a="1"/>
  <c r="E4539" i="3" s="1"/>
  <c r="E4538" i="3" a="1"/>
  <c r="E4538" i="3" s="1"/>
  <c r="E4537" i="3" a="1"/>
  <c r="E4537" i="3" s="1"/>
  <c r="E4536" i="3" a="1"/>
  <c r="E4536" i="3" s="1"/>
  <c r="E4535" i="3" a="1"/>
  <c r="E4535" i="3" s="1"/>
  <c r="E4534" i="3" a="1"/>
  <c r="E4534" i="3" s="1"/>
  <c r="E4533" i="3" a="1"/>
  <c r="E4533" i="3" s="1"/>
  <c r="E4532" i="3" a="1"/>
  <c r="E4532" i="3" s="1"/>
  <c r="E4531" i="3" a="1"/>
  <c r="E4531" i="3" s="1"/>
  <c r="E4530" i="3" a="1"/>
  <c r="E4530" i="3" s="1"/>
  <c r="E4529" i="3" a="1"/>
  <c r="E4529" i="3" s="1"/>
  <c r="E4528" i="3" a="1"/>
  <c r="E4528" i="3" s="1"/>
  <c r="E4527" i="3" a="1"/>
  <c r="E4527" i="3" s="1"/>
  <c r="E4526" i="3" a="1"/>
  <c r="E4526" i="3" s="1"/>
  <c r="E4525" i="3" a="1"/>
  <c r="E4525" i="3" s="1"/>
  <c r="E4524" i="3" a="1"/>
  <c r="E4524" i="3" s="1"/>
  <c r="E4523" i="3" a="1"/>
  <c r="E4523" i="3" s="1"/>
  <c r="E4522" i="3" a="1"/>
  <c r="E4522" i="3" s="1"/>
  <c r="E4521" i="3" a="1"/>
  <c r="E4521" i="3" s="1"/>
  <c r="E4520" i="3" a="1"/>
  <c r="E4520" i="3" s="1"/>
  <c r="E4519" i="3" a="1"/>
  <c r="E4519" i="3" s="1"/>
  <c r="E4518" i="3" a="1"/>
  <c r="E4518" i="3" s="1"/>
  <c r="E4517" i="3" a="1"/>
  <c r="E4517" i="3" s="1"/>
  <c r="E4516" i="3" a="1"/>
  <c r="E4516" i="3" s="1"/>
  <c r="E4515" i="3" a="1"/>
  <c r="E4515" i="3" s="1"/>
  <c r="E4514" i="3" a="1"/>
  <c r="E4514" i="3" s="1"/>
  <c r="E4513" i="3" a="1"/>
  <c r="E4513" i="3" s="1"/>
  <c r="E4512" i="3" a="1"/>
  <c r="E4512" i="3" s="1"/>
  <c r="E4511" i="3" a="1"/>
  <c r="E4511" i="3" s="1"/>
  <c r="E4510" i="3" a="1"/>
  <c r="E4510" i="3" s="1"/>
  <c r="E4509" i="3" a="1"/>
  <c r="E4509" i="3" s="1"/>
  <c r="E4508" i="3" a="1"/>
  <c r="E4508" i="3" s="1"/>
  <c r="E4507" i="3" a="1"/>
  <c r="E4507" i="3" s="1"/>
  <c r="E4506" i="3" a="1"/>
  <c r="E4506" i="3" s="1"/>
  <c r="E4501" i="3" a="1"/>
  <c r="E4501" i="3" s="1"/>
  <c r="E4460" i="3" a="1"/>
  <c r="E4460" i="3" s="1"/>
  <c r="E4363" i="3" a="1"/>
  <c r="E4363" i="3" s="1"/>
  <c r="E4505" i="3" a="1"/>
  <c r="E4505" i="3" s="1"/>
  <c r="E4504" i="3" a="1"/>
  <c r="E4504" i="3" s="1"/>
  <c r="E4503" i="3" a="1"/>
  <c r="E4503" i="3" s="1"/>
  <c r="E4502" i="3" a="1"/>
  <c r="E4502" i="3" s="1"/>
  <c r="F4502" i="3" s="1"/>
  <c r="E4500" i="3" a="1"/>
  <c r="E4500" i="3" s="1"/>
  <c r="E4499" i="3" a="1"/>
  <c r="E4499" i="3" s="1"/>
  <c r="E4498" i="3" a="1"/>
  <c r="E4498" i="3" s="1"/>
  <c r="E4497" i="3" a="1"/>
  <c r="E4497" i="3" s="1"/>
  <c r="E4496" i="3" a="1"/>
  <c r="E4496" i="3" s="1"/>
  <c r="E4495" i="3" a="1"/>
  <c r="E4495" i="3" s="1"/>
  <c r="E4494" i="3" a="1"/>
  <c r="E4494" i="3" s="1"/>
  <c r="E4493" i="3" a="1"/>
  <c r="E4493" i="3" s="1"/>
  <c r="E4492" i="3" a="1"/>
  <c r="E4492" i="3" s="1"/>
  <c r="E4491" i="3" a="1"/>
  <c r="E4491" i="3" s="1"/>
  <c r="E4490" i="3" a="1"/>
  <c r="E4490" i="3" s="1"/>
  <c r="E4489" i="3" a="1"/>
  <c r="E4489" i="3" s="1"/>
  <c r="E4488" i="3" a="1"/>
  <c r="E4488" i="3" s="1"/>
  <c r="E4487" i="3" a="1"/>
  <c r="E4487" i="3" s="1"/>
  <c r="E4486" i="3" a="1"/>
  <c r="E4486" i="3" s="1"/>
  <c r="E4485" i="3" a="1"/>
  <c r="E4485" i="3" s="1"/>
  <c r="E4484" i="3" a="1"/>
  <c r="E4484" i="3" s="1"/>
  <c r="E4483" i="3" a="1"/>
  <c r="E4483" i="3" s="1"/>
  <c r="E4482" i="3" a="1"/>
  <c r="E4482" i="3" s="1"/>
  <c r="E4481" i="3" a="1"/>
  <c r="E4481" i="3" s="1"/>
  <c r="E4480" i="3" a="1"/>
  <c r="E4480" i="3" s="1"/>
  <c r="E4479" i="3" a="1"/>
  <c r="E4479" i="3" s="1"/>
  <c r="E4478" i="3" a="1"/>
  <c r="E4478" i="3" s="1"/>
  <c r="E4477" i="3" a="1"/>
  <c r="E4477" i="3" s="1"/>
  <c r="E4476" i="3" a="1"/>
  <c r="E4476" i="3" s="1"/>
  <c r="E4475" i="3" a="1"/>
  <c r="E4475" i="3" s="1"/>
  <c r="E4474" i="3" a="1"/>
  <c r="E4474" i="3" s="1"/>
  <c r="E4473" i="3" a="1"/>
  <c r="E4473" i="3" s="1"/>
  <c r="E4472" i="3" a="1"/>
  <c r="E4472" i="3" s="1"/>
  <c r="E4471" i="3" a="1"/>
  <c r="E4471" i="3" s="1"/>
  <c r="E4470" i="3" a="1"/>
  <c r="E4470" i="3" s="1"/>
  <c r="E4469" i="3" a="1"/>
  <c r="E4469" i="3" s="1"/>
  <c r="E4468" i="3" a="1"/>
  <c r="E4468" i="3" s="1"/>
  <c r="E4467" i="3" a="1"/>
  <c r="E4467" i="3" s="1"/>
  <c r="E4466" i="3" a="1"/>
  <c r="E4466" i="3" s="1"/>
  <c r="E4465" i="3" a="1"/>
  <c r="E4465" i="3" s="1"/>
  <c r="E4464" i="3" a="1"/>
  <c r="E4464" i="3" s="1"/>
  <c r="E4463" i="3" a="1"/>
  <c r="E4463" i="3" s="1"/>
  <c r="E4462" i="3" a="1"/>
  <c r="E4462" i="3" s="1"/>
  <c r="E4461" i="3" a="1"/>
  <c r="E4461" i="3" s="1"/>
  <c r="E4459" i="3" a="1"/>
  <c r="E4459" i="3" s="1"/>
  <c r="E4458" i="3" a="1"/>
  <c r="E4458" i="3" s="1"/>
  <c r="E4457" i="3" a="1"/>
  <c r="E4457" i="3" s="1"/>
  <c r="E4456" i="3" a="1"/>
  <c r="E4456" i="3" s="1"/>
  <c r="E4455" i="3" a="1"/>
  <c r="E4455" i="3" s="1"/>
  <c r="E4454" i="3" a="1"/>
  <c r="E4454" i="3" s="1"/>
  <c r="E4453" i="3" a="1"/>
  <c r="E4453" i="3" s="1"/>
  <c r="E4452" i="3" a="1"/>
  <c r="E4452" i="3" s="1"/>
  <c r="E4451" i="3" a="1"/>
  <c r="E4451" i="3" s="1"/>
  <c r="E4450" i="3" a="1"/>
  <c r="E4450" i="3" s="1"/>
  <c r="E4449" i="3" a="1"/>
  <c r="E4449" i="3" s="1"/>
  <c r="E4448" i="3" a="1"/>
  <c r="E4448" i="3" s="1"/>
  <c r="E4447" i="3" a="1"/>
  <c r="E4447" i="3" s="1"/>
  <c r="E4446" i="3" a="1"/>
  <c r="E4446" i="3" s="1"/>
  <c r="E4445" i="3" a="1"/>
  <c r="E4445" i="3" s="1"/>
  <c r="E4444" i="3" a="1"/>
  <c r="E4444" i="3" s="1"/>
  <c r="E4443" i="3" a="1"/>
  <c r="E4443" i="3" s="1"/>
  <c r="E4442" i="3" a="1"/>
  <c r="E4442" i="3" s="1"/>
  <c r="E4441" i="3" a="1"/>
  <c r="E4441" i="3" s="1"/>
  <c r="E4440" i="3" a="1"/>
  <c r="E4440" i="3" s="1"/>
  <c r="E4439" i="3" a="1"/>
  <c r="E4439" i="3" s="1"/>
  <c r="E4438" i="3" a="1"/>
  <c r="E4438" i="3" s="1"/>
  <c r="E4437" i="3" a="1"/>
  <c r="E4437" i="3" s="1"/>
  <c r="E4436" i="3" a="1"/>
  <c r="E4436" i="3" s="1"/>
  <c r="E4435" i="3" a="1"/>
  <c r="E4435" i="3" s="1"/>
  <c r="E4434" i="3" a="1"/>
  <c r="E4434" i="3" s="1"/>
  <c r="E4433" i="3" a="1"/>
  <c r="E4433" i="3" s="1"/>
  <c r="E4432" i="3" a="1"/>
  <c r="E4432" i="3" s="1"/>
  <c r="E4431" i="3" a="1"/>
  <c r="E4431" i="3" s="1"/>
  <c r="E4430" i="3" a="1"/>
  <c r="E4430" i="3" s="1"/>
  <c r="E4429" i="3" a="1"/>
  <c r="E4429" i="3" s="1"/>
  <c r="E4428" i="3" a="1"/>
  <c r="E4428" i="3" s="1"/>
  <c r="E4427" i="3" a="1"/>
  <c r="E4427" i="3" s="1"/>
  <c r="E4426" i="3" a="1"/>
  <c r="E4426" i="3" s="1"/>
  <c r="E4425" i="3" a="1"/>
  <c r="E4425" i="3" s="1"/>
  <c r="E4424" i="3" a="1"/>
  <c r="E4424" i="3" s="1"/>
  <c r="E4423" i="3" a="1"/>
  <c r="E4423" i="3" s="1"/>
  <c r="E4422" i="3" a="1"/>
  <c r="E4422" i="3" s="1"/>
  <c r="E4421" i="3" a="1"/>
  <c r="E4421" i="3" s="1"/>
  <c r="E4420" i="3" a="1"/>
  <c r="E4420" i="3" s="1"/>
  <c r="E4419" i="3" a="1"/>
  <c r="E4419" i="3" s="1"/>
  <c r="E4418" i="3" a="1"/>
  <c r="E4418" i="3" s="1"/>
  <c r="E4417" i="3" a="1"/>
  <c r="E4417" i="3" s="1"/>
  <c r="E4416" i="3" a="1"/>
  <c r="E4416" i="3" s="1"/>
  <c r="E4415" i="3" a="1"/>
  <c r="E4415" i="3" s="1"/>
  <c r="E4414" i="3" a="1"/>
  <c r="E4414" i="3" s="1"/>
  <c r="E4413" i="3" a="1"/>
  <c r="E4413" i="3" s="1"/>
  <c r="E4412" i="3" a="1"/>
  <c r="E4412" i="3" s="1"/>
  <c r="E4411" i="3" a="1"/>
  <c r="E4411" i="3" s="1"/>
  <c r="E4410" i="3" a="1"/>
  <c r="E4410" i="3" s="1"/>
  <c r="E4409" i="3" a="1"/>
  <c r="E4409" i="3" s="1"/>
  <c r="E4408" i="3" a="1"/>
  <c r="E4408" i="3" s="1"/>
  <c r="E4407" i="3" a="1"/>
  <c r="E4407" i="3" s="1"/>
  <c r="E4406" i="3" a="1"/>
  <c r="E4406" i="3" s="1"/>
  <c r="E4405" i="3" a="1"/>
  <c r="E4405" i="3" s="1"/>
  <c r="E4404" i="3" a="1"/>
  <c r="E4404" i="3" s="1"/>
  <c r="E4403" i="3" a="1"/>
  <c r="E4403" i="3" s="1"/>
  <c r="E4402" i="3" a="1"/>
  <c r="E4402" i="3" s="1"/>
  <c r="E4401" i="3" a="1"/>
  <c r="E4401" i="3" s="1"/>
  <c r="E4400" i="3" a="1"/>
  <c r="E4400" i="3" s="1"/>
  <c r="E4399" i="3" a="1"/>
  <c r="E4399" i="3" s="1"/>
  <c r="E4398" i="3" a="1"/>
  <c r="E4398" i="3" s="1"/>
  <c r="E4397" i="3" a="1"/>
  <c r="E4397" i="3" s="1"/>
  <c r="E4396" i="3" a="1"/>
  <c r="E4396" i="3" s="1"/>
  <c r="E4395" i="3" a="1"/>
  <c r="E4395" i="3" s="1"/>
  <c r="E4394" i="3" a="1"/>
  <c r="E4394" i="3" s="1"/>
  <c r="E4393" i="3" a="1"/>
  <c r="E4393" i="3" s="1"/>
  <c r="E4392" i="3" a="1"/>
  <c r="E4392" i="3" s="1"/>
  <c r="E4391" i="3" a="1"/>
  <c r="E4391" i="3" s="1"/>
  <c r="E4390" i="3" a="1"/>
  <c r="E4390" i="3" s="1"/>
  <c r="E4389" i="3" a="1"/>
  <c r="E4389" i="3" s="1"/>
  <c r="E4388" i="3" a="1"/>
  <c r="E4388" i="3" s="1"/>
  <c r="E4387" i="3" a="1"/>
  <c r="E4387" i="3" s="1"/>
  <c r="E4386" i="3" a="1"/>
  <c r="E4386" i="3" s="1"/>
  <c r="E4385" i="3" a="1"/>
  <c r="E4385" i="3" s="1"/>
  <c r="E4384" i="3" a="1"/>
  <c r="E4384" i="3" s="1"/>
  <c r="E4383" i="3" a="1"/>
  <c r="E4383" i="3" s="1"/>
  <c r="E4382" i="3" a="1"/>
  <c r="E4382" i="3" s="1"/>
  <c r="E4381" i="3" a="1"/>
  <c r="E4381" i="3" s="1"/>
  <c r="E4380" i="3" a="1"/>
  <c r="E4380" i="3" s="1"/>
  <c r="E4379" i="3" a="1"/>
  <c r="E4379" i="3" s="1"/>
  <c r="E4378" i="3" a="1"/>
  <c r="E4378" i="3" s="1"/>
  <c r="E4377" i="3" a="1"/>
  <c r="E4377" i="3" s="1"/>
  <c r="E4376" i="3" a="1"/>
  <c r="E4376" i="3" s="1"/>
  <c r="E4375" i="3" a="1"/>
  <c r="E4375" i="3" s="1"/>
  <c r="E4374" i="3" a="1"/>
  <c r="E4374" i="3" s="1"/>
  <c r="E4373" i="3" a="1"/>
  <c r="E4373" i="3" s="1"/>
  <c r="E4372" i="3" a="1"/>
  <c r="E4372" i="3" s="1"/>
  <c r="E4371" i="3" a="1"/>
  <c r="E4371" i="3" s="1"/>
  <c r="E4370" i="3" a="1"/>
  <c r="E4370" i="3" s="1"/>
  <c r="E4369" i="3" a="1"/>
  <c r="E4369" i="3" s="1"/>
  <c r="E4368" i="3" a="1"/>
  <c r="E4368" i="3" s="1"/>
  <c r="E4367" i="3" a="1"/>
  <c r="E4367" i="3" s="1"/>
  <c r="E4366" i="3" a="1"/>
  <c r="E4366" i="3" s="1"/>
  <c r="E4365" i="3" a="1"/>
  <c r="E4365" i="3" s="1"/>
  <c r="E4364" i="3" a="1"/>
  <c r="E4364" i="3" s="1"/>
  <c r="E4362" i="3" a="1"/>
  <c r="E4362" i="3" s="1"/>
  <c r="E4361" i="3" a="1"/>
  <c r="E4361" i="3" s="1"/>
  <c r="E4360" i="3" a="1"/>
  <c r="E4360" i="3" s="1"/>
  <c r="E4359" i="3" a="1"/>
  <c r="E4359" i="3" s="1"/>
  <c r="E4358" i="3" a="1"/>
  <c r="E4358" i="3" s="1"/>
  <c r="E4357" i="3" a="1"/>
  <c r="E4357" i="3" s="1"/>
  <c r="E4356" i="3" a="1"/>
  <c r="E4356" i="3" s="1"/>
  <c r="E4355" i="3" a="1"/>
  <c r="E4355" i="3" s="1"/>
  <c r="E4354" i="3" a="1"/>
  <c r="E4354" i="3" s="1"/>
  <c r="E4353" i="3" a="1"/>
  <c r="E4353" i="3" s="1"/>
  <c r="E4352" i="3" a="1"/>
  <c r="E4352" i="3" s="1"/>
  <c r="E4351" i="3" a="1"/>
  <c r="E4351" i="3" s="1"/>
  <c r="E4350" i="3" a="1"/>
  <c r="E4350" i="3" s="1"/>
  <c r="E4349" i="3" a="1"/>
  <c r="E4349" i="3" s="1"/>
  <c r="E4348" i="3" a="1"/>
  <c r="E4348" i="3" s="1"/>
  <c r="E4347" i="3" a="1"/>
  <c r="E4347" i="3" s="1"/>
  <c r="E4346" i="3" a="1"/>
  <c r="E4346" i="3" s="1"/>
  <c r="E4345" i="3" a="1"/>
  <c r="E4345" i="3" s="1"/>
  <c r="E4344" i="3" a="1"/>
  <c r="E4344" i="3" s="1"/>
  <c r="E4343" i="3" a="1"/>
  <c r="E4343" i="3" s="1"/>
  <c r="E4342" i="3" a="1"/>
  <c r="E4342" i="3" s="1"/>
  <c r="E4341" i="3" a="1"/>
  <c r="E4341" i="3" s="1"/>
  <c r="E4340" i="3" a="1"/>
  <c r="E4340" i="3" s="1"/>
  <c r="E4339" i="3" a="1"/>
  <c r="E4339" i="3" s="1"/>
  <c r="E4338" i="3" a="1"/>
  <c r="E4338" i="3" s="1"/>
  <c r="E4337" i="3" a="1"/>
  <c r="E4337" i="3" s="1"/>
  <c r="E4336" i="3" a="1"/>
  <c r="E4336" i="3" s="1"/>
  <c r="E4335" i="3" a="1"/>
  <c r="E4335" i="3" s="1"/>
  <c r="E4334" i="3" a="1"/>
  <c r="E4334" i="3" s="1"/>
  <c r="E4333" i="3" a="1"/>
  <c r="E4333" i="3" s="1"/>
  <c r="E4332" i="3" a="1"/>
  <c r="E4332" i="3" s="1"/>
  <c r="E4331" i="3" a="1"/>
  <c r="E4331" i="3" s="1"/>
  <c r="E4330" i="3" a="1"/>
  <c r="E4330" i="3" s="1"/>
  <c r="E4329" i="3" a="1"/>
  <c r="E4329" i="3" s="1"/>
  <c r="E4328" i="3" a="1"/>
  <c r="E4328" i="3" s="1"/>
  <c r="E4327" i="3" a="1"/>
  <c r="E4327" i="3" s="1"/>
  <c r="E4326" i="3" a="1"/>
  <c r="E4326" i="3" s="1"/>
  <c r="E4325" i="3" a="1"/>
  <c r="E4325" i="3" s="1"/>
  <c r="E4324" i="3" a="1"/>
  <c r="E4324" i="3" s="1"/>
  <c r="E4323" i="3" a="1"/>
  <c r="E4323" i="3" s="1"/>
  <c r="E4322" i="3" a="1"/>
  <c r="E4322" i="3" s="1"/>
  <c r="E4321" i="3" a="1"/>
  <c r="E4321" i="3" s="1"/>
  <c r="E4320" i="3" a="1"/>
  <c r="E4320" i="3" s="1"/>
  <c r="E4319" i="3" a="1"/>
  <c r="E4319" i="3" s="1"/>
  <c r="E4318" i="3" a="1"/>
  <c r="E4318" i="3" s="1"/>
  <c r="E4317" i="3" a="1"/>
  <c r="E4317" i="3" s="1"/>
  <c r="E4316" i="3" a="1"/>
  <c r="E4316" i="3" s="1"/>
  <c r="E4315" i="3" a="1"/>
  <c r="E4315" i="3" s="1"/>
  <c r="E4314" i="3" a="1"/>
  <c r="E4314" i="3" s="1"/>
  <c r="E4313" i="3" a="1"/>
  <c r="E4313" i="3" s="1"/>
  <c r="E4312" i="3" a="1"/>
  <c r="E4312" i="3" s="1"/>
  <c r="E4311" i="3" a="1"/>
  <c r="E4311" i="3" s="1"/>
  <c r="E4310" i="3" a="1"/>
  <c r="E4310" i="3" s="1"/>
  <c r="E4309" i="3" a="1"/>
  <c r="E4309" i="3" s="1"/>
  <c r="E4308" i="3" a="1"/>
  <c r="E4308" i="3" s="1"/>
  <c r="E4307" i="3" a="1"/>
  <c r="E4307" i="3" s="1"/>
  <c r="E4306" i="3" a="1"/>
  <c r="E4306" i="3" s="1"/>
  <c r="E4305" i="3" a="1"/>
  <c r="E4305" i="3" s="1"/>
  <c r="E4304" i="3" a="1"/>
  <c r="E4304" i="3" s="1"/>
  <c r="E4303" i="3" a="1"/>
  <c r="E4303" i="3" s="1"/>
  <c r="E4302" i="3" a="1"/>
  <c r="E4302" i="3" s="1"/>
  <c r="E4301" i="3" a="1"/>
  <c r="E4301" i="3" s="1"/>
  <c r="E4300" i="3" a="1"/>
  <c r="E4300" i="3" s="1"/>
  <c r="E4299" i="3" a="1"/>
  <c r="E4299" i="3" s="1"/>
  <c r="E4298" i="3" a="1"/>
  <c r="E4298" i="3" s="1"/>
  <c r="E4297" i="3" a="1"/>
  <c r="E4297" i="3" s="1"/>
  <c r="E4296" i="3" a="1"/>
  <c r="E4296" i="3" s="1"/>
  <c r="E4295" i="3" a="1"/>
  <c r="E4295" i="3" s="1"/>
  <c r="E4294" i="3" a="1"/>
  <c r="E4294" i="3" s="1"/>
  <c r="E4293" i="3" a="1"/>
  <c r="E4293" i="3" s="1"/>
  <c r="E4292" i="3" a="1"/>
  <c r="E4292" i="3" s="1"/>
  <c r="E4291" i="3" a="1"/>
  <c r="E4291" i="3" s="1"/>
  <c r="E4290" i="3" a="1"/>
  <c r="E4290" i="3" s="1"/>
  <c r="E4289" i="3" a="1"/>
  <c r="E4289" i="3" s="1"/>
  <c r="E4288" i="3" a="1"/>
  <c r="E4288" i="3" s="1"/>
  <c r="E4287" i="3" a="1"/>
  <c r="E4287" i="3" s="1"/>
  <c r="E4286" i="3" a="1"/>
  <c r="E4286" i="3" s="1"/>
  <c r="E4285" i="3" a="1"/>
  <c r="E4285" i="3" s="1"/>
  <c r="E4284" i="3" a="1"/>
  <c r="E4284" i="3" s="1"/>
  <c r="E4283" i="3" a="1"/>
  <c r="E4283" i="3" s="1"/>
  <c r="E4282" i="3" a="1"/>
  <c r="E4282" i="3" s="1"/>
  <c r="E4281" i="3" a="1"/>
  <c r="E4281" i="3" s="1"/>
  <c r="E4280" i="3" a="1"/>
  <c r="E4280" i="3" s="1"/>
  <c r="E4279" i="3" a="1"/>
  <c r="E4279" i="3" s="1"/>
  <c r="E4278" i="3" a="1"/>
  <c r="E4278" i="3" s="1"/>
  <c r="E4277" i="3" a="1"/>
  <c r="E4277" i="3" s="1"/>
  <c r="E4276" i="3" a="1"/>
  <c r="E4276" i="3" s="1"/>
  <c r="E4275" i="3" a="1"/>
  <c r="E4275" i="3" s="1"/>
  <c r="E4274" i="3" a="1"/>
  <c r="E4274" i="3" s="1"/>
  <c r="E4273" i="3" a="1"/>
  <c r="E4273" i="3" s="1"/>
  <c r="E4272" i="3" a="1"/>
  <c r="E4272" i="3" s="1"/>
  <c r="E4271" i="3" a="1"/>
  <c r="E4271" i="3" s="1"/>
  <c r="E4270" i="3" a="1"/>
  <c r="E4270" i="3" s="1"/>
  <c r="E4269" i="3" a="1"/>
  <c r="E4269" i="3" s="1"/>
  <c r="E4268" i="3" a="1"/>
  <c r="E4268" i="3" s="1"/>
  <c r="E4267" i="3" a="1"/>
  <c r="E4267" i="3" s="1"/>
  <c r="E4266" i="3" a="1"/>
  <c r="E4266" i="3" s="1"/>
  <c r="E4265" i="3" a="1"/>
  <c r="E4265" i="3" s="1"/>
  <c r="E4264" i="3" a="1"/>
  <c r="E4264" i="3" s="1"/>
  <c r="E4263" i="3" a="1"/>
  <c r="E4263" i="3" s="1"/>
  <c r="E4262" i="3" a="1"/>
  <c r="E4262" i="3" s="1"/>
  <c r="E4261" i="3" a="1"/>
  <c r="E4261" i="3" s="1"/>
  <c r="E4260" i="3" a="1"/>
  <c r="E4260" i="3" s="1"/>
  <c r="E4259" i="3" a="1"/>
  <c r="E4259" i="3" s="1"/>
  <c r="E4258" i="3" a="1"/>
  <c r="E4258" i="3" s="1"/>
  <c r="E4257" i="3" a="1"/>
  <c r="E4257" i="3" s="1"/>
  <c r="E4256" i="3" a="1"/>
  <c r="E4256" i="3" s="1"/>
  <c r="E4255" i="3" a="1"/>
  <c r="E4255" i="3" s="1"/>
  <c r="E4254" i="3" a="1"/>
  <c r="E4254" i="3" s="1"/>
  <c r="E4253" i="3" a="1"/>
  <c r="E4253" i="3" s="1"/>
  <c r="E4252" i="3" a="1"/>
  <c r="E4252" i="3" s="1"/>
  <c r="E4251" i="3" a="1"/>
  <c r="E4251" i="3" s="1"/>
  <c r="E4250" i="3" a="1"/>
  <c r="E4250" i="3" s="1"/>
  <c r="E4249" i="3" a="1"/>
  <c r="E4249" i="3" s="1"/>
  <c r="E4248" i="3" a="1"/>
  <c r="E4248" i="3" s="1"/>
  <c r="E4247" i="3" a="1"/>
  <c r="E4247" i="3" s="1"/>
  <c r="E4246" i="3" a="1"/>
  <c r="E4246" i="3" s="1"/>
  <c r="E4245" i="3" a="1"/>
  <c r="E4245" i="3" s="1"/>
  <c r="E4244" i="3" a="1"/>
  <c r="E4244" i="3" s="1"/>
  <c r="E4243" i="3" a="1"/>
  <c r="E4243" i="3" s="1"/>
  <c r="E4242" i="3" a="1"/>
  <c r="E4242" i="3" s="1"/>
  <c r="E4241" i="3" a="1"/>
  <c r="E4241" i="3" s="1"/>
  <c r="E4240" i="3" a="1"/>
  <c r="E4240" i="3" s="1"/>
  <c r="E4239" i="3" a="1"/>
  <c r="E4239" i="3" s="1"/>
  <c r="E4238" i="3" a="1"/>
  <c r="E4238" i="3" s="1"/>
  <c r="E4237" i="3" a="1"/>
  <c r="E4237" i="3" s="1"/>
  <c r="E4236" i="3" a="1"/>
  <c r="E4236" i="3" s="1"/>
  <c r="E4235" i="3" a="1"/>
  <c r="E4235" i="3" s="1"/>
  <c r="E4234" i="3" a="1"/>
  <c r="E4234" i="3" s="1"/>
  <c r="E4233" i="3" a="1"/>
  <c r="E4233" i="3" s="1"/>
  <c r="E4232" i="3" a="1"/>
  <c r="E4232" i="3" s="1"/>
  <c r="E4231" i="3" a="1"/>
  <c r="E4231" i="3" s="1"/>
  <c r="E4230" i="3" a="1"/>
  <c r="E4230" i="3" s="1"/>
  <c r="E4229" i="3" a="1"/>
  <c r="E4229" i="3" s="1"/>
  <c r="E4228" i="3" a="1"/>
  <c r="E4228" i="3" s="1"/>
  <c r="E4227" i="3" a="1"/>
  <c r="E4227" i="3" s="1"/>
  <c r="E4226" i="3" a="1"/>
  <c r="E4226" i="3" s="1"/>
  <c r="E4225" i="3" a="1"/>
  <c r="E4225" i="3" s="1"/>
  <c r="E4224" i="3" a="1"/>
  <c r="E4224" i="3" s="1"/>
  <c r="E4223" i="3" a="1"/>
  <c r="E4223" i="3" s="1"/>
  <c r="E4222" i="3" a="1"/>
  <c r="E4222" i="3" s="1"/>
  <c r="E4221" i="3" a="1"/>
  <c r="E4221" i="3" s="1"/>
  <c r="E4220" i="3" a="1"/>
  <c r="E4220" i="3" s="1"/>
  <c r="E4219" i="3" a="1"/>
  <c r="E4219" i="3" s="1"/>
  <c r="E4218" i="3" a="1"/>
  <c r="E4218" i="3" s="1"/>
  <c r="E4217" i="3" a="1"/>
  <c r="E4217" i="3" s="1"/>
  <c r="E4216" i="3" a="1"/>
  <c r="E4216" i="3" s="1"/>
  <c r="E4215" i="3" a="1"/>
  <c r="E4215" i="3" s="1"/>
  <c r="E4214" i="3" a="1"/>
  <c r="E4214" i="3" s="1"/>
  <c r="E4213" i="3" a="1"/>
  <c r="E4213" i="3" s="1"/>
  <c r="E4212" i="3" a="1"/>
  <c r="E4212" i="3" s="1"/>
  <c r="E4211" i="3" a="1"/>
  <c r="E4211" i="3" s="1"/>
  <c r="E4210" i="3" a="1"/>
  <c r="E4210" i="3" s="1"/>
  <c r="E4209" i="3" a="1"/>
  <c r="E4209" i="3" s="1"/>
  <c r="E4208" i="3" a="1"/>
  <c r="E4208" i="3" s="1"/>
  <c r="E4207" i="3" a="1"/>
  <c r="E4207" i="3" s="1"/>
  <c r="E4206" i="3" a="1"/>
  <c r="E4206" i="3" s="1"/>
  <c r="E4205" i="3" a="1"/>
  <c r="E4205" i="3" s="1"/>
  <c r="E4204" i="3" a="1"/>
  <c r="E4204" i="3" s="1"/>
  <c r="E4203" i="3" a="1"/>
  <c r="E4203" i="3" s="1"/>
  <c r="E4202" i="3" a="1"/>
  <c r="E4202" i="3" s="1"/>
  <c r="E4201" i="3" a="1"/>
  <c r="E4201" i="3" s="1"/>
  <c r="E4200" i="3" a="1"/>
  <c r="E4200" i="3" s="1"/>
  <c r="E4199" i="3" a="1"/>
  <c r="E4199" i="3" s="1"/>
  <c r="E4198" i="3" a="1"/>
  <c r="E4198" i="3" s="1"/>
  <c r="E4197" i="3" a="1"/>
  <c r="E4197" i="3" s="1"/>
  <c r="E4196" i="3" a="1"/>
  <c r="E4196" i="3" s="1"/>
  <c r="E4195" i="3" a="1"/>
  <c r="E4195" i="3" s="1"/>
  <c r="E4194" i="3" a="1"/>
  <c r="E4194" i="3" s="1"/>
  <c r="E4193" i="3" a="1"/>
  <c r="E4193" i="3" s="1"/>
  <c r="E4192" i="3" a="1"/>
  <c r="E4192" i="3" s="1"/>
  <c r="E4191" i="3" a="1"/>
  <c r="E4191" i="3" s="1"/>
  <c r="E4190" i="3" a="1"/>
  <c r="E4190" i="3" s="1"/>
  <c r="E4189" i="3" a="1"/>
  <c r="E4189" i="3" s="1"/>
  <c r="E4188" i="3" a="1"/>
  <c r="E4188" i="3" s="1"/>
  <c r="E4187" i="3" a="1"/>
  <c r="E4187" i="3" s="1"/>
  <c r="E4186" i="3" a="1"/>
  <c r="E4186" i="3" s="1"/>
  <c r="E4185" i="3" a="1"/>
  <c r="E4185" i="3" s="1"/>
  <c r="E4184" i="3" a="1"/>
  <c r="E4184" i="3" s="1"/>
  <c r="E4183" i="3" a="1"/>
  <c r="E4183" i="3" s="1"/>
  <c r="E4182" i="3" a="1"/>
  <c r="E4182" i="3" s="1"/>
  <c r="E4181" i="3" a="1"/>
  <c r="E4181" i="3" s="1"/>
  <c r="E4180" i="3" a="1"/>
  <c r="E4180" i="3" s="1"/>
  <c r="E4179" i="3" a="1"/>
  <c r="E4179" i="3" s="1"/>
  <c r="E4178" i="3" a="1"/>
  <c r="E4178" i="3" s="1"/>
  <c r="E4177" i="3" a="1"/>
  <c r="E4177" i="3" s="1"/>
  <c r="E4176" i="3" a="1"/>
  <c r="E4176" i="3" s="1"/>
  <c r="E4175" i="3" a="1"/>
  <c r="E4175" i="3" s="1"/>
  <c r="E4174" i="3" a="1"/>
  <c r="E4174" i="3" s="1"/>
  <c r="E4173" i="3" a="1"/>
  <c r="E4173" i="3" s="1"/>
  <c r="E4172" i="3" a="1"/>
  <c r="E4172" i="3" s="1"/>
  <c r="E4171" i="3" a="1"/>
  <c r="E4171" i="3" s="1"/>
  <c r="E4170" i="3" a="1"/>
  <c r="E4170" i="3" s="1"/>
  <c r="E4169" i="3" a="1"/>
  <c r="E4169" i="3" s="1"/>
  <c r="E4168" i="3" a="1"/>
  <c r="E4168" i="3" s="1"/>
  <c r="E4167" i="3" a="1"/>
  <c r="E4167" i="3" s="1"/>
  <c r="E4166" i="3" a="1"/>
  <c r="E4166" i="3" s="1"/>
  <c r="E4165" i="3" a="1"/>
  <c r="E4165" i="3" s="1"/>
  <c r="E4164" i="3" a="1"/>
  <c r="E4164" i="3" s="1"/>
  <c r="E4163" i="3" a="1"/>
  <c r="E4163" i="3" s="1"/>
  <c r="E4162" i="3" a="1"/>
  <c r="E4162" i="3" s="1"/>
  <c r="E4161" i="3" a="1"/>
  <c r="E4161" i="3" s="1"/>
  <c r="E4160" i="3" a="1"/>
  <c r="E4160" i="3" s="1"/>
  <c r="E4159" i="3" a="1"/>
  <c r="E4159" i="3" s="1"/>
  <c r="F29" i="3" l="1"/>
  <c r="F28" i="3"/>
  <c r="F26" i="3"/>
  <c r="E4158" i="3" l="1" a="1"/>
  <c r="E4158" i="3" s="1"/>
  <c r="E4157" i="3" a="1"/>
  <c r="E4157" i="3" s="1"/>
  <c r="E4156" i="3" a="1"/>
  <c r="E4156" i="3" s="1"/>
  <c r="E4155" i="3" a="1"/>
  <c r="E4155" i="3" s="1"/>
  <c r="E4154" i="3" a="1"/>
  <c r="E4154" i="3" s="1"/>
  <c r="E4153" i="3" a="1"/>
  <c r="E4153" i="3" s="1"/>
  <c r="E4152" i="3" a="1"/>
  <c r="E4152" i="3" s="1"/>
  <c r="E4151" i="3" a="1"/>
  <c r="E4151" i="3" s="1"/>
  <c r="E4150" i="3" a="1"/>
  <c r="E4150" i="3" s="1"/>
  <c r="E4149" i="3" a="1"/>
  <c r="E4149" i="3" s="1"/>
  <c r="E4148" i="3" a="1"/>
  <c r="E4148" i="3" s="1"/>
  <c r="E4147" i="3" a="1"/>
  <c r="E4147" i="3" s="1"/>
  <c r="E4146" i="3" a="1"/>
  <c r="E4146" i="3" s="1"/>
  <c r="E4145" i="3" a="1"/>
  <c r="E4145" i="3" s="1"/>
  <c r="E4144" i="3" a="1"/>
  <c r="E4144" i="3" s="1"/>
  <c r="E4143" i="3" a="1"/>
  <c r="E4143" i="3" s="1"/>
  <c r="E4142" i="3" a="1"/>
  <c r="E4142" i="3" s="1"/>
  <c r="E4141" i="3" a="1"/>
  <c r="E4141" i="3" s="1"/>
  <c r="E4140" i="3" a="1"/>
  <c r="E4140" i="3" s="1"/>
  <c r="E4139" i="3" a="1"/>
  <c r="E4139" i="3" s="1"/>
  <c r="E4138" i="3" a="1"/>
  <c r="E4138" i="3" s="1"/>
  <c r="E4137" i="3" a="1"/>
  <c r="E4137" i="3" s="1"/>
  <c r="E4136" i="3" a="1"/>
  <c r="E4136" i="3" s="1"/>
  <c r="E4135" i="3" a="1"/>
  <c r="E4135" i="3" s="1"/>
  <c r="E4134" i="3" a="1"/>
  <c r="E4134" i="3" s="1"/>
  <c r="E4133" i="3" a="1"/>
  <c r="E4133" i="3" s="1"/>
  <c r="E4132" i="3" a="1"/>
  <c r="E4132" i="3" s="1"/>
  <c r="E4131" i="3" a="1"/>
  <c r="E4131" i="3" s="1"/>
  <c r="E4130" i="3" a="1"/>
  <c r="E4130" i="3" s="1"/>
  <c r="E4129" i="3" a="1"/>
  <c r="E4129" i="3" s="1"/>
  <c r="E4128" i="3" a="1"/>
  <c r="E4128" i="3" s="1"/>
  <c r="E4127" i="3" a="1"/>
  <c r="E4127" i="3" s="1"/>
  <c r="E4126" i="3" a="1"/>
  <c r="E4126" i="3" s="1"/>
  <c r="E4125" i="3" a="1"/>
  <c r="E4125" i="3" s="1"/>
  <c r="E4124" i="3" a="1"/>
  <c r="E4124" i="3" s="1"/>
  <c r="E4123" i="3" a="1"/>
  <c r="E4123" i="3" s="1"/>
  <c r="E4122" i="3" a="1"/>
  <c r="E4122" i="3" s="1"/>
  <c r="F4122" i="3" s="1"/>
  <c r="E4121" i="3" a="1"/>
  <c r="E4121" i="3" s="1"/>
  <c r="F4121" i="3" s="1"/>
  <c r="E4120" i="3" a="1"/>
  <c r="E4120" i="3" s="1"/>
  <c r="F4120" i="3" s="1"/>
  <c r="E4119" i="3" a="1"/>
  <c r="E4119" i="3" s="1"/>
  <c r="E4118" i="3" a="1"/>
  <c r="E4118" i="3" s="1"/>
  <c r="E4117" i="3" a="1"/>
  <c r="E4117" i="3" s="1"/>
  <c r="E4116" i="3" a="1"/>
  <c r="E4116" i="3" s="1"/>
  <c r="E4115" i="3" a="1"/>
  <c r="E4115" i="3" s="1"/>
  <c r="E4114" i="3" a="1"/>
  <c r="E4114" i="3" s="1"/>
  <c r="E4113" i="3" a="1"/>
  <c r="E4113" i="3" s="1"/>
  <c r="E4112" i="3" a="1"/>
  <c r="E4112" i="3" s="1"/>
  <c r="E4111" i="3" a="1"/>
  <c r="E4111" i="3" s="1"/>
  <c r="E4110" i="3" a="1"/>
  <c r="E4110" i="3" s="1"/>
  <c r="E4109" i="3" a="1"/>
  <c r="E4109" i="3" s="1"/>
  <c r="E4108" i="3" a="1"/>
  <c r="E4108" i="3" s="1"/>
  <c r="E4107" i="3" a="1"/>
  <c r="E4107" i="3" s="1"/>
  <c r="E4106" i="3" a="1"/>
  <c r="E4106" i="3" s="1"/>
  <c r="E4105" i="3" a="1"/>
  <c r="E4105" i="3" s="1"/>
  <c r="E4104" i="3" a="1"/>
  <c r="E4104" i="3" s="1"/>
  <c r="E4103" i="3" a="1"/>
  <c r="E4103" i="3" s="1"/>
  <c r="E4102" i="3" a="1"/>
  <c r="E4102" i="3" s="1"/>
  <c r="E4101" i="3" a="1"/>
  <c r="E4101" i="3" s="1"/>
  <c r="F4101" i="3" s="1"/>
  <c r="E4100" i="3" a="1"/>
  <c r="E4100" i="3" s="1"/>
  <c r="F4100" i="3" s="1"/>
  <c r="E4099" i="3" a="1"/>
  <c r="E4099" i="3" s="1"/>
  <c r="F4099" i="3" s="1"/>
  <c r="E4098" i="3" a="1"/>
  <c r="E4098" i="3" s="1"/>
  <c r="F4098" i="3" s="1"/>
  <c r="E4097" i="3" a="1"/>
  <c r="E4097" i="3" s="1"/>
  <c r="F4097" i="3" s="1"/>
  <c r="E4096" i="3" a="1"/>
  <c r="E4096" i="3" s="1"/>
  <c r="F4096" i="3" s="1"/>
  <c r="E4095" i="3" a="1"/>
  <c r="E4095" i="3" s="1"/>
  <c r="F4095" i="3" s="1"/>
  <c r="E4094" i="3" a="1"/>
  <c r="E4094" i="3" s="1"/>
  <c r="F4094" i="3" s="1"/>
  <c r="E4093" i="3" a="1"/>
  <c r="E4093" i="3" s="1"/>
  <c r="F4093" i="3" s="1"/>
  <c r="E4092" i="3" a="1"/>
  <c r="E4092" i="3" s="1"/>
  <c r="F4092" i="3" s="1"/>
  <c r="E4091" i="3" a="1"/>
  <c r="E4091" i="3" s="1"/>
  <c r="F4091" i="3" s="1"/>
  <c r="E4090" i="3" a="1"/>
  <c r="E4090" i="3" s="1"/>
  <c r="F4090" i="3" s="1"/>
  <c r="E4089" i="3" a="1"/>
  <c r="E4089" i="3" s="1"/>
  <c r="F4089" i="3" s="1"/>
  <c r="E4088" i="3" a="1"/>
  <c r="E4088" i="3" s="1"/>
  <c r="F4088" i="3" s="1"/>
  <c r="E4087" i="3" a="1"/>
  <c r="E4087" i="3" s="1"/>
  <c r="F4087" i="3" s="1"/>
  <c r="E4086" i="3" a="1"/>
  <c r="E4086" i="3" s="1"/>
  <c r="F4086" i="3" s="1"/>
  <c r="E4085" i="3" a="1"/>
  <c r="E4085" i="3" s="1"/>
  <c r="F4085" i="3" s="1"/>
  <c r="E4084" i="3" a="1"/>
  <c r="E4084" i="3" s="1"/>
  <c r="F4084" i="3" s="1"/>
  <c r="E4083" i="3" a="1"/>
  <c r="E4083" i="3" s="1"/>
  <c r="F4083" i="3" s="1"/>
  <c r="E4082" i="3" a="1"/>
  <c r="E4082" i="3" s="1"/>
  <c r="F4082" i="3" s="1"/>
  <c r="E4081" i="3" a="1"/>
  <c r="E4081" i="3" s="1"/>
  <c r="F4081" i="3" s="1"/>
  <c r="E4080" i="3" a="1"/>
  <c r="E4080" i="3" s="1"/>
  <c r="F4080" i="3" s="1"/>
  <c r="E4079" i="3" a="1"/>
  <c r="E4079" i="3" s="1"/>
  <c r="F4079" i="3" s="1"/>
  <c r="E4078" i="3" a="1"/>
  <c r="E4078" i="3" s="1"/>
  <c r="F4078" i="3" s="1"/>
  <c r="E4077" i="3" a="1"/>
  <c r="E4077" i="3" s="1"/>
  <c r="F4077" i="3" s="1"/>
  <c r="E4076" i="3" a="1"/>
  <c r="E4076" i="3" s="1"/>
  <c r="F4076" i="3" s="1"/>
  <c r="E4075" i="3" a="1"/>
  <c r="E4075" i="3" s="1"/>
  <c r="F4075" i="3" s="1"/>
  <c r="E4074" i="3" a="1"/>
  <c r="E4074" i="3" s="1"/>
  <c r="F4074" i="3" s="1"/>
  <c r="E4073" i="3" a="1"/>
  <c r="E4073" i="3" s="1"/>
  <c r="F4073" i="3" s="1"/>
  <c r="E4072" i="3" a="1"/>
  <c r="E4072" i="3" s="1"/>
  <c r="F4072" i="3" s="1"/>
  <c r="E4071" i="3" a="1"/>
  <c r="E4071" i="3" s="1"/>
  <c r="F4071" i="3" s="1"/>
  <c r="E4070" i="3" a="1"/>
  <c r="E4070" i="3" s="1"/>
  <c r="F4070" i="3" s="1"/>
  <c r="E4069" i="3" a="1"/>
  <c r="E4069" i="3" s="1"/>
  <c r="F4069" i="3" s="1"/>
  <c r="E4068" i="3" a="1"/>
  <c r="E4068" i="3" s="1"/>
  <c r="F4068" i="3" s="1"/>
  <c r="E4067" i="3" a="1"/>
  <c r="E4067" i="3" s="1"/>
  <c r="F4067" i="3" s="1"/>
  <c r="E4066" i="3" a="1"/>
  <c r="E4066" i="3" s="1"/>
  <c r="F4066" i="3" s="1"/>
  <c r="E4065" i="3" a="1"/>
  <c r="E4065" i="3" s="1"/>
  <c r="F4065" i="3" s="1"/>
  <c r="E4064" i="3" a="1"/>
  <c r="E4064" i="3" s="1"/>
  <c r="F4064" i="3" s="1"/>
  <c r="E4063" i="3" a="1"/>
  <c r="E4063" i="3" s="1"/>
  <c r="F4063" i="3" s="1"/>
  <c r="E4062" i="3" a="1"/>
  <c r="E4062" i="3" s="1"/>
  <c r="F4062" i="3" s="1"/>
  <c r="E4061" i="3" a="1"/>
  <c r="E4061" i="3" s="1"/>
  <c r="F4061" i="3" s="1"/>
  <c r="E4060" i="3" a="1"/>
  <c r="E4060" i="3" s="1"/>
  <c r="F4060" i="3" s="1"/>
  <c r="E4059" i="3" a="1"/>
  <c r="E4059" i="3" s="1"/>
  <c r="F4059" i="3" s="1"/>
  <c r="E4058" i="3" a="1"/>
  <c r="E4058" i="3" s="1"/>
  <c r="F4058" i="3" s="1"/>
  <c r="E4057" i="3" a="1"/>
  <c r="E4057" i="3" s="1"/>
  <c r="F4057" i="3" s="1"/>
  <c r="E4056" i="3" a="1"/>
  <c r="E4056" i="3" s="1"/>
  <c r="F4056" i="3" s="1"/>
  <c r="E4055" i="3" a="1"/>
  <c r="E4055" i="3" s="1"/>
  <c r="F4055" i="3" s="1"/>
  <c r="E4054" i="3" a="1"/>
  <c r="E4054" i="3" s="1"/>
  <c r="F4054" i="3" s="1"/>
  <c r="E4053" i="3" a="1"/>
  <c r="E4053" i="3" s="1"/>
  <c r="F4053" i="3" s="1"/>
  <c r="E4052" i="3" a="1"/>
  <c r="E4052" i="3" s="1"/>
  <c r="F4052" i="3" s="1"/>
  <c r="E4051" i="3" a="1"/>
  <c r="E4051" i="3" s="1"/>
  <c r="F4051" i="3" s="1"/>
  <c r="E4050" i="3" a="1"/>
  <c r="E4050" i="3" s="1"/>
  <c r="F4050" i="3" s="1"/>
  <c r="E4049" i="3" a="1"/>
  <c r="E4049" i="3" s="1"/>
  <c r="F4049" i="3" s="1"/>
  <c r="E4048" i="3" a="1"/>
  <c r="E4048" i="3" s="1"/>
  <c r="F4048" i="3" s="1"/>
  <c r="E4047" i="3" a="1"/>
  <c r="E4047" i="3" s="1"/>
  <c r="F4047" i="3" s="1"/>
  <c r="E4046" i="3" a="1"/>
  <c r="E4046" i="3" s="1"/>
  <c r="F4046" i="3" s="1"/>
  <c r="E4045" i="3" a="1"/>
  <c r="E4045" i="3" s="1"/>
  <c r="F4045" i="3" s="1"/>
  <c r="E4044" i="3" a="1"/>
  <c r="E4044" i="3" s="1"/>
  <c r="F4044" i="3" s="1"/>
  <c r="E4043" i="3" a="1"/>
  <c r="E4043" i="3" s="1"/>
  <c r="F4043" i="3" s="1"/>
  <c r="E4042" i="3" a="1"/>
  <c r="E4042" i="3" s="1"/>
  <c r="F4042" i="3" s="1"/>
  <c r="E4041" i="3" l="1" a="1"/>
  <c r="E4041" i="3" s="1"/>
  <c r="F4041" i="3" s="1"/>
  <c r="E4040" i="3" a="1"/>
  <c r="E4040" i="3" s="1"/>
  <c r="F4040" i="3" s="1"/>
  <c r="E4039" i="3" a="1"/>
  <c r="E4039" i="3" s="1"/>
  <c r="F4039" i="3" s="1"/>
  <c r="E4038" i="3" a="1"/>
  <c r="E4038" i="3" s="1"/>
  <c r="F4038" i="3" s="1"/>
  <c r="E4037" i="3" a="1"/>
  <c r="E4037" i="3" s="1"/>
  <c r="E4036" i="3" a="1"/>
  <c r="E4036" i="3" s="1"/>
  <c r="E4035" i="3" a="1"/>
  <c r="E4035" i="3" s="1"/>
  <c r="E4034" i="3" a="1"/>
  <c r="E4034" i="3" s="1"/>
  <c r="E4033" i="3" a="1"/>
  <c r="E4033" i="3" s="1"/>
  <c r="E4032" i="3" a="1"/>
  <c r="E4032" i="3" s="1"/>
  <c r="E4031" i="3" a="1"/>
  <c r="E4031" i="3" s="1"/>
  <c r="E4030" i="3" a="1"/>
  <c r="E4030" i="3" s="1"/>
  <c r="E4029" i="3" a="1"/>
  <c r="E4029" i="3" s="1"/>
  <c r="E4028" i="3" a="1"/>
  <c r="E4028" i="3" s="1"/>
  <c r="E4027" i="3" a="1"/>
  <c r="E4027" i="3" s="1"/>
  <c r="E4026" i="3" a="1"/>
  <c r="E4026" i="3" s="1"/>
  <c r="E4025" i="3" a="1"/>
  <c r="E4025" i="3" s="1"/>
  <c r="E4024" i="3" a="1"/>
  <c r="E4024" i="3" s="1"/>
  <c r="E4023" i="3" a="1"/>
  <c r="E4023" i="3" s="1"/>
  <c r="E4022" i="3" a="1"/>
  <c r="E4022" i="3" s="1"/>
  <c r="E4021" i="3" a="1"/>
  <c r="E4021" i="3" s="1"/>
  <c r="E4020" i="3" a="1"/>
  <c r="E4020" i="3" s="1"/>
  <c r="E4019" i="3" a="1"/>
  <c r="E4019" i="3" s="1"/>
  <c r="E4018" i="3" a="1"/>
  <c r="E4018" i="3" s="1"/>
  <c r="E4017" i="3" a="1"/>
  <c r="E4017" i="3" s="1"/>
  <c r="E4016" i="3" a="1"/>
  <c r="E4016" i="3" s="1"/>
  <c r="E4015" i="3" a="1"/>
  <c r="E4015" i="3" s="1"/>
  <c r="E4014" i="3" a="1"/>
  <c r="E4014" i="3" s="1"/>
  <c r="E4013" i="3" a="1"/>
  <c r="E4013" i="3" s="1"/>
  <c r="E4012" i="3" a="1"/>
  <c r="E4012" i="3" s="1"/>
  <c r="E4011" i="3" a="1"/>
  <c r="E4011" i="3" s="1"/>
  <c r="E4010" i="3" a="1"/>
  <c r="E4010" i="3" s="1"/>
  <c r="E4009" i="3" a="1"/>
  <c r="E4009" i="3" s="1"/>
  <c r="E4008" i="3" a="1"/>
  <c r="E4008" i="3" s="1"/>
  <c r="E4007" i="3" a="1"/>
  <c r="E4007" i="3" s="1"/>
  <c r="E4006" i="3" a="1"/>
  <c r="E4006" i="3" s="1"/>
  <c r="E4005" i="3" a="1"/>
  <c r="E4005" i="3" s="1"/>
  <c r="E4004" i="3" a="1"/>
  <c r="E4004" i="3" s="1"/>
  <c r="E4003" i="3" a="1"/>
  <c r="E4003" i="3" s="1"/>
  <c r="E4002" i="3" a="1"/>
  <c r="E4002" i="3" s="1"/>
  <c r="E4001" i="3" a="1"/>
  <c r="E4001" i="3" s="1"/>
  <c r="E4000" i="3" a="1"/>
  <c r="E4000" i="3" s="1"/>
  <c r="E3999" i="3" a="1"/>
  <c r="E3999" i="3" s="1"/>
  <c r="E3998" i="3" a="1"/>
  <c r="E3998" i="3" s="1"/>
  <c r="E3997" i="3" a="1"/>
  <c r="E3997" i="3" s="1"/>
  <c r="E3996" i="3" a="1"/>
  <c r="E3996" i="3" s="1"/>
  <c r="E3995" i="3" a="1"/>
  <c r="E3995" i="3" s="1"/>
  <c r="E3994" i="3" a="1"/>
  <c r="E3994" i="3" s="1"/>
  <c r="E3993" i="3" a="1"/>
  <c r="E3993" i="3" s="1"/>
  <c r="E3992" i="3" a="1"/>
  <c r="E3992" i="3" s="1"/>
  <c r="E3991" i="3" a="1"/>
  <c r="E3991" i="3" s="1"/>
  <c r="E3990" i="3" a="1"/>
  <c r="E3990" i="3" s="1"/>
  <c r="E3989" i="3" a="1"/>
  <c r="E3989" i="3" s="1"/>
  <c r="E3988" i="3" a="1"/>
  <c r="E3988" i="3" s="1"/>
  <c r="E3987" i="3" a="1"/>
  <c r="E3987" i="3" s="1"/>
  <c r="E3986" i="3" a="1"/>
  <c r="E3986" i="3" s="1"/>
  <c r="F3986" i="3" s="1"/>
  <c r="E3985" i="3" a="1"/>
  <c r="E3985" i="3" s="1"/>
  <c r="F3985" i="3" s="1"/>
  <c r="E3984" i="3" a="1"/>
  <c r="E3984" i="3" s="1"/>
  <c r="F3984" i="3" s="1"/>
  <c r="E3983" i="3" a="1"/>
  <c r="E3983" i="3" s="1"/>
  <c r="F3983" i="3" s="1"/>
  <c r="E3982" i="3" a="1"/>
  <c r="E3982" i="3" s="1"/>
  <c r="F3982" i="3" s="1"/>
  <c r="E3981" i="3" a="1"/>
  <c r="E3981" i="3" s="1"/>
  <c r="E3980" i="3" a="1"/>
  <c r="E3980" i="3" s="1"/>
  <c r="E3979" i="3" a="1"/>
  <c r="E3979" i="3" s="1"/>
  <c r="E3978" i="3" a="1"/>
  <c r="E3978" i="3" s="1"/>
  <c r="E3977" i="3" a="1"/>
  <c r="E3977" i="3" s="1"/>
  <c r="E3976" i="3" a="1"/>
  <c r="E3976" i="3" s="1"/>
  <c r="E3975" i="3" a="1"/>
  <c r="E3975" i="3" s="1"/>
  <c r="F3975" i="3" s="1"/>
  <c r="E3974" i="3" a="1"/>
  <c r="E3974" i="3" s="1"/>
  <c r="F3974" i="3" s="1"/>
  <c r="E3973" i="3" a="1"/>
  <c r="E3973" i="3" s="1"/>
  <c r="F3973" i="3" s="1"/>
  <c r="E3972" i="3" a="1"/>
  <c r="E3972" i="3" s="1"/>
  <c r="F3972" i="3" s="1"/>
  <c r="E3971" i="3" a="1"/>
  <c r="E3971" i="3" s="1"/>
  <c r="F3971" i="3" s="1"/>
  <c r="E3970" i="3" a="1"/>
  <c r="E3970" i="3" s="1"/>
  <c r="F3970" i="3" s="1"/>
  <c r="E3969" i="3" a="1"/>
  <c r="E3969" i="3" s="1"/>
  <c r="F3969" i="3" s="1"/>
  <c r="E3968" i="3" a="1"/>
  <c r="E3968" i="3" s="1"/>
  <c r="F3968" i="3" s="1"/>
  <c r="E3967" i="3" a="1"/>
  <c r="E3967" i="3" s="1"/>
  <c r="E3966" i="3" a="1"/>
  <c r="E3966" i="3" s="1"/>
  <c r="E3965" i="3" a="1"/>
  <c r="E3965" i="3" s="1"/>
  <c r="E3964" i="3" a="1"/>
  <c r="E3964" i="3" s="1"/>
  <c r="E3963" i="3" a="1"/>
  <c r="E3963" i="3" s="1"/>
  <c r="E3962" i="3" a="1"/>
  <c r="E3962" i="3" s="1"/>
  <c r="E3961" i="3" a="1"/>
  <c r="E3961" i="3" s="1"/>
  <c r="E3960" i="3" a="1"/>
  <c r="E3960" i="3" s="1"/>
  <c r="E3959" i="3" a="1"/>
  <c r="E3959" i="3" s="1"/>
  <c r="E3958" i="3" a="1"/>
  <c r="E3958" i="3" s="1"/>
  <c r="E3957" i="3" a="1"/>
  <c r="E3957" i="3" s="1"/>
  <c r="E3956" i="3" a="1"/>
  <c r="E3956" i="3" s="1"/>
  <c r="E3955" i="3" a="1"/>
  <c r="E3955" i="3" s="1"/>
  <c r="E3954" i="3" a="1"/>
  <c r="E3954" i="3" s="1"/>
  <c r="E3953" i="3" a="1"/>
  <c r="E3953" i="3" s="1"/>
  <c r="E3952" i="3" a="1"/>
  <c r="E3952" i="3" s="1"/>
  <c r="E3951" i="3" a="1"/>
  <c r="E3951" i="3" s="1"/>
  <c r="E3950" i="3" a="1"/>
  <c r="E3950" i="3" s="1"/>
  <c r="E3949" i="3" a="1"/>
  <c r="E3949" i="3" s="1"/>
  <c r="E3948" i="3" a="1"/>
  <c r="E3948" i="3" s="1"/>
  <c r="E3947" i="3" a="1"/>
  <c r="E3947" i="3" s="1"/>
  <c r="E3946" i="3" a="1"/>
  <c r="E3946" i="3" s="1"/>
  <c r="E3945" i="3" a="1"/>
  <c r="E3945" i="3" s="1"/>
  <c r="E3944" i="3" a="1"/>
  <c r="E3944" i="3" s="1"/>
  <c r="E3943" i="3" a="1"/>
  <c r="E3943" i="3" s="1"/>
  <c r="E3942" i="3" a="1"/>
  <c r="E3942" i="3" s="1"/>
  <c r="E3941" i="3" a="1"/>
  <c r="E3941" i="3" s="1"/>
  <c r="E3940" i="3" a="1"/>
  <c r="E3940" i="3" s="1"/>
  <c r="E3939" i="3" a="1"/>
  <c r="E3939" i="3" s="1"/>
  <c r="E3938" i="3" a="1"/>
  <c r="E3938" i="3" s="1"/>
  <c r="F3938" i="3" s="1"/>
  <c r="E3937" i="3" a="1"/>
  <c r="E3937" i="3" s="1"/>
  <c r="E3936" i="3" a="1"/>
  <c r="E3936" i="3" s="1"/>
  <c r="F3936" i="3" s="1"/>
  <c r="E3935" i="3" l="1" a="1"/>
  <c r="E3935" i="3" s="1"/>
  <c r="E3934" i="3" a="1"/>
  <c r="E3934" i="3" s="1"/>
  <c r="E3933" i="3" a="1"/>
  <c r="E3933" i="3" s="1"/>
  <c r="E3932" i="3" a="1"/>
  <c r="E3932" i="3" s="1"/>
  <c r="E3931" i="3" a="1"/>
  <c r="E3931" i="3" s="1"/>
  <c r="E3930" i="3" a="1"/>
  <c r="E3930" i="3" s="1"/>
  <c r="E3929" i="3" a="1"/>
  <c r="E3929" i="3" s="1"/>
  <c r="E3928" i="3" a="1"/>
  <c r="E3928" i="3" s="1"/>
  <c r="E3927" i="3" a="1"/>
  <c r="E3927" i="3" s="1"/>
  <c r="E3926" i="3" a="1"/>
  <c r="E3926" i="3" s="1"/>
  <c r="E3925" i="3" a="1"/>
  <c r="E3925" i="3" s="1"/>
  <c r="E3924" i="3" a="1"/>
  <c r="E3924" i="3" s="1"/>
  <c r="E3923" i="3" a="1"/>
  <c r="E3923" i="3" s="1"/>
  <c r="E3922" i="3" a="1"/>
  <c r="E3922" i="3" s="1"/>
  <c r="E3921" i="3" a="1"/>
  <c r="E3921" i="3" s="1"/>
  <c r="E3920" i="3" a="1"/>
  <c r="E3920" i="3" s="1"/>
  <c r="E3919" i="3" a="1"/>
  <c r="E3919" i="3" s="1"/>
  <c r="E3918" i="3" a="1"/>
  <c r="E3918" i="3" s="1"/>
  <c r="E3917" i="3" a="1"/>
  <c r="E3917" i="3" s="1"/>
  <c r="E3916" i="3" a="1"/>
  <c r="E3916" i="3" s="1"/>
  <c r="E3915" i="3" a="1"/>
  <c r="E3915" i="3" s="1"/>
  <c r="E3914" i="3" a="1"/>
  <c r="E3914" i="3" s="1"/>
  <c r="E3913" i="3" a="1"/>
  <c r="E3913" i="3" s="1"/>
  <c r="E3912" i="3" a="1"/>
  <c r="E3912" i="3" s="1"/>
  <c r="E3911" i="3" a="1"/>
  <c r="E3911" i="3" s="1"/>
  <c r="E3910" i="3" a="1"/>
  <c r="E3910" i="3" s="1"/>
  <c r="E3909" i="3" a="1"/>
  <c r="E3909" i="3" s="1"/>
  <c r="E3908" i="3" a="1"/>
  <c r="E3908" i="3" s="1"/>
  <c r="E3907" i="3" a="1"/>
  <c r="E3907" i="3" s="1"/>
  <c r="E3906" i="3" a="1"/>
  <c r="E3906" i="3" s="1"/>
  <c r="E3905" i="3" a="1"/>
  <c r="E3905" i="3" s="1"/>
  <c r="E3904" i="3" a="1"/>
  <c r="E3904" i="3" s="1"/>
  <c r="E3903" i="3" a="1"/>
  <c r="E3903" i="3" s="1"/>
  <c r="E3902" i="3" a="1"/>
  <c r="E3902" i="3" s="1"/>
  <c r="E3901" i="3" a="1"/>
  <c r="E3901" i="3" s="1"/>
  <c r="E3900" i="3" a="1"/>
  <c r="E3900" i="3" s="1"/>
  <c r="E3899" i="3" a="1"/>
  <c r="E3899" i="3" s="1"/>
  <c r="E3898" i="3" a="1"/>
  <c r="E3898" i="3" s="1"/>
  <c r="E3897" i="3" a="1"/>
  <c r="E3897" i="3" s="1"/>
  <c r="E3896" i="3" a="1"/>
  <c r="E3896" i="3" s="1"/>
  <c r="E3895" i="3" a="1"/>
  <c r="E3895" i="3" s="1"/>
  <c r="E3894" i="3" a="1"/>
  <c r="E3894" i="3" s="1"/>
  <c r="E3893" i="3" a="1"/>
  <c r="E3893" i="3" s="1"/>
  <c r="E3892" i="3" a="1"/>
  <c r="E3892" i="3" s="1"/>
  <c r="E3891" i="3" a="1"/>
  <c r="E3891" i="3" s="1"/>
  <c r="E3890" i="3" a="1"/>
  <c r="E3890" i="3" s="1"/>
  <c r="E3889" i="3" a="1"/>
  <c r="E3889" i="3" s="1"/>
  <c r="E3888" i="3" a="1"/>
  <c r="E3888" i="3" s="1"/>
  <c r="E3887" i="3" a="1"/>
  <c r="E3887" i="3" s="1"/>
  <c r="E3886" i="3" a="1"/>
  <c r="E3886" i="3" s="1"/>
  <c r="E3885" i="3" a="1"/>
  <c r="E3885" i="3" s="1"/>
  <c r="E3884" i="3" a="1"/>
  <c r="E3884" i="3" s="1"/>
  <c r="E3883" i="3" a="1"/>
  <c r="E3883" i="3" s="1"/>
  <c r="E3882" i="3" a="1"/>
  <c r="E3882" i="3" s="1"/>
  <c r="E3881" i="3" a="1"/>
  <c r="E3881" i="3" s="1"/>
  <c r="E3880" i="3" a="1"/>
  <c r="E3880" i="3" s="1"/>
  <c r="E3879" i="3" a="1"/>
  <c r="E3879" i="3" s="1"/>
  <c r="E3878" i="3" a="1"/>
  <c r="E3878" i="3" s="1"/>
  <c r="E3877" i="3" a="1"/>
  <c r="E3877" i="3" s="1"/>
  <c r="E3876" i="3" a="1"/>
  <c r="E3876" i="3" s="1"/>
  <c r="E3875" i="3" a="1"/>
  <c r="E3875" i="3" s="1"/>
  <c r="E3874" i="3" a="1"/>
  <c r="E3874" i="3" s="1"/>
  <c r="E3873" i="3" a="1"/>
  <c r="E3873" i="3" s="1"/>
  <c r="E3872" i="3" a="1"/>
  <c r="E3872" i="3" s="1"/>
  <c r="E3871" i="3" a="1"/>
  <c r="E3871" i="3" s="1"/>
  <c r="E3870" i="3" a="1"/>
  <c r="E3870" i="3" s="1"/>
  <c r="E3869" i="3" a="1"/>
  <c r="E3869" i="3" s="1"/>
  <c r="E3868" i="3" a="1"/>
  <c r="E3868" i="3" s="1"/>
  <c r="E3867" i="3" a="1"/>
  <c r="E3867" i="3" s="1"/>
  <c r="E3866" i="3" a="1"/>
  <c r="E3866" i="3" s="1"/>
  <c r="E3865" i="3" a="1"/>
  <c r="E3865" i="3" s="1"/>
  <c r="E3864" i="3" a="1"/>
  <c r="E3864" i="3" s="1"/>
  <c r="E3863" i="3" a="1"/>
  <c r="E3863" i="3" s="1"/>
  <c r="E3862" i="3" a="1"/>
  <c r="E3862" i="3" s="1"/>
  <c r="E3861" i="3" a="1"/>
  <c r="E3861" i="3" s="1"/>
  <c r="E3860" i="3" a="1"/>
  <c r="E3860" i="3" s="1"/>
  <c r="E3859" i="3" a="1"/>
  <c r="E3859" i="3" s="1"/>
  <c r="E3858" i="3" a="1"/>
  <c r="E3858" i="3" s="1"/>
  <c r="E3857" i="3" a="1"/>
  <c r="E3857" i="3" s="1"/>
  <c r="E3856" i="3" a="1"/>
  <c r="E3856" i="3" s="1"/>
  <c r="E3855" i="3" a="1"/>
  <c r="E3855" i="3" s="1"/>
  <c r="E3854" i="3" a="1"/>
  <c r="E3854" i="3" s="1"/>
  <c r="E3853" i="3" a="1"/>
  <c r="E3853" i="3" s="1"/>
  <c r="E3852" i="3" a="1"/>
  <c r="E3852" i="3" s="1"/>
  <c r="E3851" i="3" a="1"/>
  <c r="E3851" i="3" s="1"/>
  <c r="E3850" i="3" a="1"/>
  <c r="E3850" i="3" s="1"/>
  <c r="E3849" i="3" a="1"/>
  <c r="E3849" i="3" s="1"/>
  <c r="E3848" i="3" a="1"/>
  <c r="E3848" i="3" s="1"/>
  <c r="E3847" i="3" a="1"/>
  <c r="E3847" i="3" s="1"/>
  <c r="E3846" i="3" a="1"/>
  <c r="E3846" i="3" s="1"/>
  <c r="E3845" i="3" a="1"/>
  <c r="E3845" i="3" s="1"/>
  <c r="E3844" i="3" a="1"/>
  <c r="E3844" i="3" s="1"/>
  <c r="E3843" i="3" a="1"/>
  <c r="E3843" i="3" s="1"/>
  <c r="E3842" i="3" a="1"/>
  <c r="E3842" i="3" s="1"/>
  <c r="E3841" i="3" a="1"/>
  <c r="E3841" i="3" s="1"/>
  <c r="E3840" i="3" a="1"/>
  <c r="E3840" i="3" s="1"/>
  <c r="E3839" i="3" a="1"/>
  <c r="E3839" i="3" s="1"/>
  <c r="E3838" i="3" a="1"/>
  <c r="E3838" i="3" s="1"/>
  <c r="E3837" i="3" a="1"/>
  <c r="E3837" i="3" s="1"/>
  <c r="E3836" i="3" a="1"/>
  <c r="E3836" i="3" s="1"/>
  <c r="E3835" i="3" a="1"/>
  <c r="E3835" i="3" s="1"/>
  <c r="E3834" i="3" a="1"/>
  <c r="E3834" i="3" s="1"/>
  <c r="E3833" i="3" a="1"/>
  <c r="E3833" i="3" s="1"/>
  <c r="E3832" i="3" a="1"/>
  <c r="E3832" i="3" s="1"/>
  <c r="E3831" i="3" a="1"/>
  <c r="E3831" i="3" s="1"/>
  <c r="E3830" i="3" a="1"/>
  <c r="E3830" i="3" s="1"/>
  <c r="E3829" i="3" a="1"/>
  <c r="E3829" i="3" s="1"/>
  <c r="E3828" i="3" a="1"/>
  <c r="E3828" i="3" s="1"/>
  <c r="E3827" i="3" a="1"/>
  <c r="E3827" i="3" s="1"/>
  <c r="E3826" i="3" a="1"/>
  <c r="E3826" i="3" s="1"/>
  <c r="E3825" i="3" a="1"/>
  <c r="E3825" i="3" s="1"/>
  <c r="E3824" i="3" a="1"/>
  <c r="E3824" i="3" s="1"/>
  <c r="E3823" i="3" a="1"/>
  <c r="E3823" i="3" s="1"/>
  <c r="E3822" i="3" a="1"/>
  <c r="E3822" i="3" s="1"/>
  <c r="E3821" i="3" a="1"/>
  <c r="E3821" i="3" s="1"/>
  <c r="E3820" i="3" a="1"/>
  <c r="E3820" i="3" s="1"/>
  <c r="E3819" i="3" a="1"/>
  <c r="E3819" i="3" s="1"/>
  <c r="E3818" i="3" a="1"/>
  <c r="E3818" i="3" s="1"/>
  <c r="E3817" i="3" a="1"/>
  <c r="E3817" i="3" s="1"/>
  <c r="E3816" i="3" a="1"/>
  <c r="E3816" i="3" s="1"/>
  <c r="E3815" i="3" a="1"/>
  <c r="E3815" i="3" s="1"/>
  <c r="E3814" i="3" a="1"/>
  <c r="E3814" i="3" s="1"/>
  <c r="E3813" i="3" a="1"/>
  <c r="E3813" i="3" s="1"/>
  <c r="E3812" i="3" a="1"/>
  <c r="E3812" i="3" s="1"/>
  <c r="E3811" i="3" a="1"/>
  <c r="E3811" i="3" s="1"/>
  <c r="E3810" i="3" a="1"/>
  <c r="E3810" i="3" s="1"/>
  <c r="E3809" i="3" a="1"/>
  <c r="E3809" i="3" s="1"/>
  <c r="E3808" i="3" a="1"/>
  <c r="E3808" i="3" s="1"/>
  <c r="E3807" i="3" a="1"/>
  <c r="E3807" i="3" s="1"/>
  <c r="E3806" i="3" a="1"/>
  <c r="E3806" i="3" s="1"/>
  <c r="E3805" i="3" a="1"/>
  <c r="E3805" i="3" s="1"/>
  <c r="E3804" i="3" a="1"/>
  <c r="E3804" i="3" s="1"/>
  <c r="E3803" i="3" a="1"/>
  <c r="E3803" i="3" s="1"/>
  <c r="E3802" i="3" a="1"/>
  <c r="E3802" i="3" s="1"/>
  <c r="E3801" i="3" a="1"/>
  <c r="E3801" i="3" s="1"/>
  <c r="E3800" i="3" a="1"/>
  <c r="E3800" i="3" s="1"/>
  <c r="E3799" i="3" a="1"/>
  <c r="E3799" i="3" s="1"/>
  <c r="E3798" i="3" a="1"/>
  <c r="E3798" i="3" s="1"/>
  <c r="E3797" i="3" a="1"/>
  <c r="E3797" i="3" s="1"/>
  <c r="E3796" i="3" a="1"/>
  <c r="E3796" i="3" s="1"/>
  <c r="E3795" i="3" a="1"/>
  <c r="E3795" i="3" s="1"/>
  <c r="E3794" i="3" a="1"/>
  <c r="E3794" i="3" s="1"/>
  <c r="E3793" i="3" a="1"/>
  <c r="E3793" i="3" s="1"/>
  <c r="E3792" i="3" a="1"/>
  <c r="E3792" i="3" s="1"/>
  <c r="E3791" i="3" a="1"/>
  <c r="E3791" i="3" s="1"/>
  <c r="E3790" i="3" a="1"/>
  <c r="E3790" i="3" s="1"/>
  <c r="E3789" i="3" a="1"/>
  <c r="E3789" i="3" s="1"/>
  <c r="E3788" i="3" a="1"/>
  <c r="E3788" i="3" s="1"/>
  <c r="E3787" i="3" a="1"/>
  <c r="E3787" i="3" s="1"/>
  <c r="E3786" i="3" a="1"/>
  <c r="E3786" i="3" s="1"/>
  <c r="E3785" i="3" a="1"/>
  <c r="E3785" i="3" s="1"/>
  <c r="E3784" i="3" a="1"/>
  <c r="E3784" i="3" s="1"/>
  <c r="E3783" i="3" a="1"/>
  <c r="E3783" i="3" s="1"/>
  <c r="E3782" i="3" a="1"/>
  <c r="E3782" i="3" s="1"/>
  <c r="E3781" i="3" a="1"/>
  <c r="E3781" i="3" s="1"/>
  <c r="E3780" i="3" a="1"/>
  <c r="E3780" i="3" s="1"/>
  <c r="E3779" i="3" a="1"/>
  <c r="E3779" i="3" s="1"/>
  <c r="F3779" i="3" s="1"/>
  <c r="E3778" i="3" a="1"/>
  <c r="E3778" i="3" s="1"/>
  <c r="F3778" i="3" s="1"/>
  <c r="E3777" i="3" a="1"/>
  <c r="E3777" i="3" s="1"/>
  <c r="F3777" i="3" s="1"/>
  <c r="E3776" i="3" l="1" a="1"/>
  <c r="E3776" i="3" s="1"/>
  <c r="E3775" i="3" a="1"/>
  <c r="E3775" i="3" s="1"/>
  <c r="E3774" i="3" a="1"/>
  <c r="E3774" i="3" s="1"/>
  <c r="E3773" i="3" a="1"/>
  <c r="E3773" i="3" s="1"/>
  <c r="E3772" i="3" a="1"/>
  <c r="E3772" i="3" s="1"/>
  <c r="F3772" i="3" s="1"/>
  <c r="E3771" i="3" a="1"/>
  <c r="E3771" i="3" s="1"/>
  <c r="F3771" i="3" s="1"/>
  <c r="E3770" i="3" a="1"/>
  <c r="E3770" i="3" s="1"/>
  <c r="F3770" i="3" s="1"/>
  <c r="E3769" i="3" a="1"/>
  <c r="E3769" i="3" s="1"/>
  <c r="F3769" i="3" s="1"/>
  <c r="E3768" i="3" a="1"/>
  <c r="E3768" i="3" s="1"/>
  <c r="F3768" i="3" s="1"/>
  <c r="E3767" i="3" a="1"/>
  <c r="E3767" i="3" s="1"/>
  <c r="F3767" i="3" s="1"/>
  <c r="E3766" i="3" a="1"/>
  <c r="E3766" i="3" s="1"/>
  <c r="F3766" i="3" s="1"/>
  <c r="E3765" i="3"/>
  <c r="F3765" i="3" s="1"/>
  <c r="E3764" i="3" a="1"/>
  <c r="E3764" i="3" s="1"/>
  <c r="F3764" i="3" s="1"/>
  <c r="E3763" i="3"/>
  <c r="F3763" i="3" s="1"/>
  <c r="E3762" i="3"/>
  <c r="F3762" i="3" s="1"/>
  <c r="E3761" i="3"/>
  <c r="F3761" i="3" s="1"/>
  <c r="E3760" i="3" a="1"/>
  <c r="E3760" i="3" s="1"/>
  <c r="F3760" i="3" s="1"/>
  <c r="E3759" i="3" a="1"/>
  <c r="E3759" i="3" s="1"/>
  <c r="F3759" i="3" s="1"/>
  <c r="E3758" i="3" a="1"/>
  <c r="E3758" i="3" s="1"/>
  <c r="F3758" i="3" s="1"/>
  <c r="E3757" i="3" a="1"/>
  <c r="E3757" i="3" s="1"/>
  <c r="F3757" i="3" s="1"/>
  <c r="E3756" i="3" a="1"/>
  <c r="E3756" i="3" s="1"/>
  <c r="F3756" i="3" s="1"/>
  <c r="E3755" i="3" a="1"/>
  <c r="E3755" i="3" s="1"/>
  <c r="F3755" i="3" s="1"/>
  <c r="E3754" i="3" a="1"/>
  <c r="E3754" i="3" s="1"/>
  <c r="F3754" i="3" s="1"/>
  <c r="E3753" i="3" a="1"/>
  <c r="E3753" i="3" s="1"/>
  <c r="F3753" i="3" s="1"/>
  <c r="E3752" i="3" a="1"/>
  <c r="E3752" i="3" s="1"/>
  <c r="F3752" i="3" s="1"/>
  <c r="E3751" i="3" a="1"/>
  <c r="E3751" i="3" s="1"/>
  <c r="F3751" i="3" s="1"/>
  <c r="E3750" i="3" a="1"/>
  <c r="E3750" i="3" s="1"/>
  <c r="F3750" i="3" s="1"/>
  <c r="E3749" i="3" a="1"/>
  <c r="E3749" i="3" s="1"/>
  <c r="F3749" i="3" s="1"/>
  <c r="E3748" i="3" a="1"/>
  <c r="E3748" i="3" s="1"/>
  <c r="F3748" i="3" s="1"/>
  <c r="E3747" i="3" a="1"/>
  <c r="E3747" i="3" s="1"/>
  <c r="F3747" i="3" s="1"/>
  <c r="E3746" i="3" a="1"/>
  <c r="E3746" i="3" s="1"/>
  <c r="F3746" i="3" s="1"/>
  <c r="E3745" i="3" a="1"/>
  <c r="E3745" i="3" s="1"/>
  <c r="F3745" i="3" s="1"/>
  <c r="E3744" i="3" a="1"/>
  <c r="E3744" i="3" s="1"/>
  <c r="F3744" i="3" s="1"/>
  <c r="E3743" i="3" a="1"/>
  <c r="E3743" i="3" s="1"/>
  <c r="E3742" i="3" a="1"/>
  <c r="E3742" i="3" s="1"/>
  <c r="F3742" i="3" s="1"/>
  <c r="E3741" i="3" a="1"/>
  <c r="E3741" i="3" s="1"/>
  <c r="F3741" i="3" s="1"/>
  <c r="E3740" i="3" a="1"/>
  <c r="E3740" i="3" s="1"/>
  <c r="F3740" i="3" s="1"/>
  <c r="E3739" i="3" a="1"/>
  <c r="E3739" i="3" s="1"/>
  <c r="F3739" i="3" s="1"/>
  <c r="E3738" i="3" a="1"/>
  <c r="E3738" i="3" s="1"/>
  <c r="F3738" i="3" s="1"/>
  <c r="E3737" i="3" a="1"/>
  <c r="E3737" i="3" s="1"/>
  <c r="E3736" i="3" a="1"/>
  <c r="E3736" i="3" s="1"/>
  <c r="F3736" i="3" s="1"/>
  <c r="E3735" i="3" a="1"/>
  <c r="E3735" i="3" s="1"/>
  <c r="F3735" i="3" s="1"/>
  <c r="E3734" i="3" a="1"/>
  <c r="E3734" i="3" s="1"/>
  <c r="F3734" i="3" s="1"/>
  <c r="E3733" i="3" a="1"/>
  <c r="E3733" i="3" s="1"/>
  <c r="F3733" i="3" s="1"/>
  <c r="E3732" i="3" a="1"/>
  <c r="E3732" i="3" s="1"/>
  <c r="F3732" i="3" s="1"/>
  <c r="E3731" i="3" a="1"/>
  <c r="E3731" i="3" s="1"/>
  <c r="F3731" i="3" s="1"/>
  <c r="E3730" i="3" a="1"/>
  <c r="E3730" i="3" s="1"/>
  <c r="F3730" i="3" s="1"/>
  <c r="E3729" i="3" a="1"/>
  <c r="E3729" i="3" s="1"/>
  <c r="F3729" i="3" s="1"/>
  <c r="E3728" i="3" a="1"/>
  <c r="E3728" i="3" s="1"/>
  <c r="F3728" i="3" s="1"/>
  <c r="E3727" i="3" a="1"/>
  <c r="E3727" i="3" s="1"/>
  <c r="F3727" i="3" s="1"/>
  <c r="E3726" i="3" a="1"/>
  <c r="E3726" i="3" s="1"/>
  <c r="F3726" i="3" s="1"/>
  <c r="E3725" i="3" a="1"/>
  <c r="E3725" i="3" s="1"/>
  <c r="F3725" i="3" s="1"/>
  <c r="E3724" i="3" a="1"/>
  <c r="E3724" i="3" s="1"/>
  <c r="F3724" i="3" s="1"/>
  <c r="E3723" i="3" a="1"/>
  <c r="E3723" i="3" s="1"/>
  <c r="F3723" i="3" s="1"/>
  <c r="E3722" i="3" a="1"/>
  <c r="E3722" i="3" s="1"/>
  <c r="F3722" i="3" s="1"/>
  <c r="E3705" i="3" a="1"/>
  <c r="E3705" i="3" s="1"/>
  <c r="F3705" i="3" s="1"/>
  <c r="E3706" i="3" a="1"/>
  <c r="E3706" i="3" s="1"/>
  <c r="E3721" i="3" a="1"/>
  <c r="E3721" i="3" s="1"/>
  <c r="E3720" i="3" a="1"/>
  <c r="E3720" i="3" s="1"/>
  <c r="E3719" i="3" a="1"/>
  <c r="E3719" i="3" s="1"/>
  <c r="E3718" i="3" a="1"/>
  <c r="E3718" i="3" s="1"/>
  <c r="E3717" i="3" a="1"/>
  <c r="E3717" i="3" s="1"/>
  <c r="E3716" i="3" a="1"/>
  <c r="E3716" i="3" s="1"/>
  <c r="E3715" i="3" a="1"/>
  <c r="E3715" i="3" s="1"/>
  <c r="E3714" i="3" a="1"/>
  <c r="E3714" i="3" s="1"/>
  <c r="E3713" i="3" a="1"/>
  <c r="E3713" i="3" s="1"/>
  <c r="E3712" i="3" a="1"/>
  <c r="E3712" i="3" s="1"/>
  <c r="E3711" i="3" a="1"/>
  <c r="E3711" i="3" s="1"/>
  <c r="E3710" i="3" a="1"/>
  <c r="E3710" i="3" s="1"/>
  <c r="E3709" i="3" a="1"/>
  <c r="E3709" i="3" s="1"/>
  <c r="E3708" i="3" a="1"/>
  <c r="E3708" i="3" s="1"/>
  <c r="E3707" i="3" a="1"/>
  <c r="E3707" i="3" s="1"/>
  <c r="E3704" i="3" a="1"/>
  <c r="E3704" i="3" s="1"/>
  <c r="F3704" i="3" s="1"/>
  <c r="E3703" i="3" a="1"/>
  <c r="E3703" i="3" s="1"/>
  <c r="F3703" i="3" s="1"/>
  <c r="E3702" i="3" a="1"/>
  <c r="E3702" i="3" s="1"/>
  <c r="F3702" i="3" s="1"/>
  <c r="E3701" i="3" a="1"/>
  <c r="E3701" i="3" s="1"/>
  <c r="F3701" i="3" s="1"/>
  <c r="E3700" i="3" a="1"/>
  <c r="E3700" i="3" s="1"/>
  <c r="F3700" i="3" s="1"/>
  <c r="E3699" i="3" a="1"/>
  <c r="E3699" i="3" s="1"/>
  <c r="F3699" i="3" s="1"/>
  <c r="E3698" i="3" a="1"/>
  <c r="E3698" i="3" s="1"/>
  <c r="F3698" i="3" s="1"/>
  <c r="E3697" i="3" a="1"/>
  <c r="E3697" i="3" s="1"/>
  <c r="F3697" i="3" s="1"/>
  <c r="E3696" i="3" a="1"/>
  <c r="E3696" i="3" s="1"/>
  <c r="F3696" i="3" s="1"/>
  <c r="E3695" i="3" a="1"/>
  <c r="E3695" i="3" s="1"/>
  <c r="F3695" i="3" s="1"/>
  <c r="E3694" i="3" a="1"/>
  <c r="E3694" i="3" s="1"/>
  <c r="F3694" i="3" s="1"/>
  <c r="E3693" i="3" a="1"/>
  <c r="E3693" i="3" s="1"/>
  <c r="F3693" i="3" s="1"/>
  <c r="E3692" i="3" a="1"/>
  <c r="E3692" i="3" s="1"/>
  <c r="F3692" i="3" s="1"/>
  <c r="E3691" i="3" a="1"/>
  <c r="E3691" i="3" s="1"/>
  <c r="F3691" i="3" s="1"/>
  <c r="E3690" i="3" a="1"/>
  <c r="E3690" i="3" s="1"/>
  <c r="F3690" i="3" s="1"/>
  <c r="E3689" i="3" a="1"/>
  <c r="E3689" i="3" s="1"/>
  <c r="E3688" i="3" a="1"/>
  <c r="E3688" i="3" s="1"/>
  <c r="F3688" i="3" s="1"/>
  <c r="E3687" i="3" a="1"/>
  <c r="E3687" i="3" s="1"/>
  <c r="F3687" i="3" s="1"/>
  <c r="E3686" i="3" a="1"/>
  <c r="E3686" i="3" s="1"/>
  <c r="F3686" i="3" s="1"/>
  <c r="E3685" i="3" a="1"/>
  <c r="E3685" i="3" s="1"/>
  <c r="F3685" i="3" s="1"/>
  <c r="E3684" i="3" a="1"/>
  <c r="E3684" i="3" s="1"/>
  <c r="F3684" i="3" s="1"/>
  <c r="E3683" i="3" a="1"/>
  <c r="E3683" i="3" s="1"/>
  <c r="E3682" i="3" a="1"/>
  <c r="E3682" i="3" s="1"/>
  <c r="F3682" i="3" s="1"/>
  <c r="E3681" i="3" a="1"/>
  <c r="E3681" i="3" s="1"/>
  <c r="F3681" i="3" s="1"/>
  <c r="E3680" i="3" a="1"/>
  <c r="E3680" i="3" s="1"/>
  <c r="F3680" i="3" s="1"/>
  <c r="E3679" i="3" a="1"/>
  <c r="E3679" i="3" s="1"/>
  <c r="F3679" i="3" s="1"/>
  <c r="E3678" i="3" a="1"/>
  <c r="E3678" i="3" s="1"/>
  <c r="F3678" i="3" s="1"/>
  <c r="E3677" i="3" a="1"/>
  <c r="E3677" i="3" s="1"/>
  <c r="E3676" i="3" a="1"/>
  <c r="E3676" i="3" s="1"/>
  <c r="E3675" i="3" a="1"/>
  <c r="E3675" i="3" s="1"/>
  <c r="E3674" i="3" a="1"/>
  <c r="E3674" i="3" s="1"/>
  <c r="E3673" i="3" a="1"/>
  <c r="E3673" i="3" s="1"/>
  <c r="E3672" i="3" a="1"/>
  <c r="E3672" i="3" s="1"/>
  <c r="E3671" i="3" a="1"/>
  <c r="E3671" i="3" s="1"/>
  <c r="E3670" i="3" a="1"/>
  <c r="E3670" i="3" s="1"/>
  <c r="E3669" i="3" l="1" a="1"/>
  <c r="E3669" i="3" s="1"/>
  <c r="E3668" i="3" a="1"/>
  <c r="E3668" i="3" s="1"/>
  <c r="E3667" i="3" a="1"/>
  <c r="E3667" i="3" s="1"/>
  <c r="E3666" i="3" a="1"/>
  <c r="E3666" i="3" s="1"/>
  <c r="F3666" i="3" s="1"/>
  <c r="E3665" i="3" a="1"/>
  <c r="E3665" i="3" s="1"/>
  <c r="F3665" i="3" s="1"/>
  <c r="E3664" i="3" l="1" a="1"/>
  <c r="E3664" i="3" s="1"/>
  <c r="F3664" i="3" s="1"/>
  <c r="E3663" i="3" a="1"/>
  <c r="E3663" i="3" s="1"/>
  <c r="E3662" i="3" a="1"/>
  <c r="E3662" i="3" s="1"/>
  <c r="E3661" i="3" a="1"/>
  <c r="E3661" i="3" s="1"/>
  <c r="E3660" i="3" a="1"/>
  <c r="E3660" i="3" s="1"/>
  <c r="E3659" i="3" a="1"/>
  <c r="E3659" i="3" s="1"/>
  <c r="E3658" i="3" a="1"/>
  <c r="E3658" i="3" s="1"/>
  <c r="E3657" i="3" a="1"/>
  <c r="E3657" i="3" s="1"/>
  <c r="E3656" i="3" a="1"/>
  <c r="E3656" i="3" s="1"/>
  <c r="E3655" i="3" a="1"/>
  <c r="E3655" i="3" s="1"/>
  <c r="E3654" i="3" a="1"/>
  <c r="E3654" i="3" s="1"/>
  <c r="E3653" i="3" a="1"/>
  <c r="E3653" i="3" s="1"/>
  <c r="E3652" i="3" a="1"/>
  <c r="E3652" i="3" s="1"/>
  <c r="E3651" i="3" a="1"/>
  <c r="E3651" i="3" s="1"/>
  <c r="E3650" i="3" a="1"/>
  <c r="E3650" i="3" s="1"/>
  <c r="E3649" i="3" a="1"/>
  <c r="E3649" i="3" s="1"/>
  <c r="E3648" i="3" a="1"/>
  <c r="E3648" i="3" s="1"/>
  <c r="E3647" i="3" a="1"/>
  <c r="E3647" i="3" s="1"/>
  <c r="F3647" i="3" s="1"/>
  <c r="E3646" i="3" a="1"/>
  <c r="E3646" i="3" s="1"/>
  <c r="F3646" i="3" s="1"/>
  <c r="E3645" i="3" a="1"/>
  <c r="E3645" i="3" s="1"/>
  <c r="E3644" i="3" a="1"/>
  <c r="E3644" i="3" s="1"/>
  <c r="E3643" i="3" a="1"/>
  <c r="E3643" i="3" s="1"/>
  <c r="E3642" i="3" a="1"/>
  <c r="E3642" i="3" s="1"/>
  <c r="E3641" i="3" a="1"/>
  <c r="E3641" i="3" s="1"/>
  <c r="E3640" i="3" a="1"/>
  <c r="E3640" i="3" s="1"/>
  <c r="E3639" i="3" a="1"/>
  <c r="E3639" i="3" s="1"/>
  <c r="E3638" i="3" a="1"/>
  <c r="E3638" i="3" s="1"/>
  <c r="E3637" i="3" a="1"/>
  <c r="E3637" i="3" s="1"/>
  <c r="F3637" i="3" s="1"/>
  <c r="E3636" i="3" a="1"/>
  <c r="E3636" i="3" s="1"/>
  <c r="F3636" i="3" s="1"/>
  <c r="E3635" i="3" a="1"/>
  <c r="E3635" i="3" s="1"/>
  <c r="F3635" i="3" s="1"/>
  <c r="E3634" i="3" a="1"/>
  <c r="E3634" i="3" s="1"/>
  <c r="F3634" i="3" s="1"/>
  <c r="E3633" i="3" a="1"/>
  <c r="E3633" i="3" s="1"/>
  <c r="F3633" i="3" s="1"/>
  <c r="E3632" i="3" a="1"/>
  <c r="E3632" i="3" s="1"/>
  <c r="F3632" i="3" s="1"/>
  <c r="E3631" i="3" a="1"/>
  <c r="E3631" i="3" s="1"/>
  <c r="F3631" i="3" s="1"/>
  <c r="E3630" i="3" a="1"/>
  <c r="E3630" i="3" s="1"/>
  <c r="F3630" i="3" s="1"/>
  <c r="E3629" i="3" a="1"/>
  <c r="E3629" i="3" s="1"/>
  <c r="F3629" i="3" s="1"/>
  <c r="F3615" i="3"/>
  <c r="F3614" i="3"/>
  <c r="F3613" i="3"/>
  <c r="F3612" i="3"/>
  <c r="F3611" i="3"/>
  <c r="E3628" i="3" a="1"/>
  <c r="E3628" i="3" s="1"/>
  <c r="E3627" i="3" a="1"/>
  <c r="E3627" i="3" s="1"/>
  <c r="E3626" i="3" a="1"/>
  <c r="E3626" i="3" s="1"/>
  <c r="E3625" i="3" a="1"/>
  <c r="E3625" i="3" s="1"/>
  <c r="E3624" i="3" a="1"/>
  <c r="E3624" i="3" s="1"/>
  <c r="E3623" i="3" a="1"/>
  <c r="E3623" i="3" s="1"/>
  <c r="E3622" i="3" a="1"/>
  <c r="E3622" i="3" s="1"/>
  <c r="E3621" i="3" a="1"/>
  <c r="E3621" i="3" s="1"/>
  <c r="E3620" i="3" a="1"/>
  <c r="E3620" i="3" s="1"/>
  <c r="E3619" i="3" a="1"/>
  <c r="E3619" i="3" s="1"/>
  <c r="E3618" i="3" a="1"/>
  <c r="E3618" i="3" s="1"/>
  <c r="E3617" i="3" a="1"/>
  <c r="E3617" i="3" s="1"/>
  <c r="E3616" i="3" a="1"/>
  <c r="E3616" i="3" s="1"/>
  <c r="F3610" i="3"/>
  <c r="F3609" i="3"/>
  <c r="F3608" i="3"/>
  <c r="E3607" i="3" a="1"/>
  <c r="E3607" i="3" s="1"/>
  <c r="F3607" i="3" s="1"/>
  <c r="E3606" i="3" a="1"/>
  <c r="E3606" i="3" s="1"/>
  <c r="F3606" i="3" s="1"/>
  <c r="E3605" i="3" a="1"/>
  <c r="E3605" i="3" s="1"/>
  <c r="F3605" i="3" s="1"/>
  <c r="E3604" i="3" a="1"/>
  <c r="E3604" i="3" s="1"/>
  <c r="F3604" i="3" s="1"/>
  <c r="E3603" i="3" a="1"/>
  <c r="E3603" i="3" s="1"/>
  <c r="F3603" i="3" s="1"/>
  <c r="E3602" i="3" a="1"/>
  <c r="E3602" i="3" s="1"/>
  <c r="F3602" i="3" s="1"/>
  <c r="E3601" i="3" a="1"/>
  <c r="E3601" i="3" s="1"/>
  <c r="F3601" i="3" s="1"/>
  <c r="E3600" i="3" a="1"/>
  <c r="E3600" i="3" s="1"/>
  <c r="F3600" i="3" s="1"/>
  <c r="E3599" i="3" a="1"/>
  <c r="E3599" i="3" s="1"/>
  <c r="E3598" i="3" a="1"/>
  <c r="E3598" i="3" s="1"/>
  <c r="E3597" i="3" a="1"/>
  <c r="E3597" i="3" s="1"/>
  <c r="E3596" i="3" a="1"/>
  <c r="E3596" i="3" s="1"/>
  <c r="E3595" i="3" a="1"/>
  <c r="E3595" i="3" s="1"/>
  <c r="E3594" i="3" a="1"/>
  <c r="E3594" i="3" s="1"/>
  <c r="E3593" i="3" a="1"/>
  <c r="E3593" i="3" s="1"/>
  <c r="E3592" i="3" a="1"/>
  <c r="E3592" i="3" s="1"/>
  <c r="E3591" i="3" a="1"/>
  <c r="E3591" i="3" s="1"/>
  <c r="E3590" i="3" a="1"/>
  <c r="E3590" i="3" s="1"/>
  <c r="E3589" i="3" a="1"/>
  <c r="E3589" i="3" s="1"/>
  <c r="E3588" i="3" a="1"/>
  <c r="E3588" i="3" s="1"/>
  <c r="E3587" i="3" a="1"/>
  <c r="E3587" i="3" s="1"/>
  <c r="E3586" i="3" a="1"/>
  <c r="E3586" i="3" s="1"/>
  <c r="E3585" i="3" a="1"/>
  <c r="E3585" i="3" s="1"/>
  <c r="E3584" i="3" a="1"/>
  <c r="E3584" i="3" s="1"/>
  <c r="E3583" i="3" a="1"/>
  <c r="E3583" i="3" s="1"/>
  <c r="E3582" i="3" a="1"/>
  <c r="E3582" i="3" s="1"/>
  <c r="E3581" i="3" a="1"/>
  <c r="E3581" i="3" s="1"/>
  <c r="E3580" i="3" a="1"/>
  <c r="E3580" i="3" s="1"/>
  <c r="E3579" i="3" a="1"/>
  <c r="E3579" i="3" s="1"/>
  <c r="E3578" i="3" a="1"/>
  <c r="E3578" i="3" s="1"/>
  <c r="E3577" i="3" a="1"/>
  <c r="E3577" i="3" s="1"/>
  <c r="E3576" i="3" a="1"/>
  <c r="E3576" i="3" s="1"/>
  <c r="E3575" i="3" a="1"/>
  <c r="E3575" i="3" s="1"/>
  <c r="E3574" i="3" a="1"/>
  <c r="E3574" i="3" s="1"/>
  <c r="E3573" i="3" a="1"/>
  <c r="E3573" i="3" s="1"/>
  <c r="E3572" i="3" a="1"/>
  <c r="E3572" i="3" s="1"/>
  <c r="E3571" i="3" a="1"/>
  <c r="E3571" i="3" s="1"/>
  <c r="E3570" i="3" a="1"/>
  <c r="E3570" i="3" s="1"/>
  <c r="E3569" i="3" a="1"/>
  <c r="E3569" i="3" s="1"/>
  <c r="E3568" i="3" a="1"/>
  <c r="E3568" i="3" s="1"/>
  <c r="E3567" i="3" a="1"/>
  <c r="E3567" i="3" s="1"/>
  <c r="E3566" i="3" a="1"/>
  <c r="E3566" i="3" s="1"/>
  <c r="E3565" i="3" a="1"/>
  <c r="E3565" i="3" s="1"/>
  <c r="E3564" i="3" a="1"/>
  <c r="E3564" i="3" s="1"/>
  <c r="E3563" i="3" a="1"/>
  <c r="E3563" i="3" s="1"/>
  <c r="E3562" i="3" a="1"/>
  <c r="E3562" i="3" s="1"/>
  <c r="E3561" i="3" a="1"/>
  <c r="E3561" i="3" s="1"/>
  <c r="E3560" i="3" a="1"/>
  <c r="E3560" i="3" s="1"/>
  <c r="E3559" i="3" a="1"/>
  <c r="E3559" i="3" s="1"/>
  <c r="E3558" i="3" a="1"/>
  <c r="E3558" i="3" s="1"/>
  <c r="E3557" i="3" a="1"/>
  <c r="E3557" i="3" s="1"/>
  <c r="E3556" i="3" a="1"/>
  <c r="E3556" i="3" s="1"/>
  <c r="E3555" i="3" a="1"/>
  <c r="E3555" i="3" s="1"/>
  <c r="E3554" i="3" a="1"/>
  <c r="E3554" i="3" s="1"/>
  <c r="E3553" i="3" a="1"/>
  <c r="E3553" i="3" s="1"/>
  <c r="E3552" i="3" a="1"/>
  <c r="E3552" i="3" s="1"/>
  <c r="E3551" i="3" a="1"/>
  <c r="E3551" i="3" s="1"/>
  <c r="E3550" i="3" a="1"/>
  <c r="E3550" i="3" s="1"/>
  <c r="E3549" i="3" a="1"/>
  <c r="E3549" i="3" s="1"/>
  <c r="E3548" i="3" a="1"/>
  <c r="E3548" i="3" s="1"/>
  <c r="E3547" i="3" a="1"/>
  <c r="E3547" i="3" s="1"/>
  <c r="E3546" i="3" a="1"/>
  <c r="E3546" i="3" s="1"/>
  <c r="E3545" i="3" a="1"/>
  <c r="E3545" i="3" s="1"/>
  <c r="E3544" i="3" a="1"/>
  <c r="E3544" i="3" s="1"/>
  <c r="E3543" i="3" a="1"/>
  <c r="E3543" i="3" s="1"/>
  <c r="E3542" i="3" a="1"/>
  <c r="E3542" i="3" s="1"/>
  <c r="E3541" i="3" a="1"/>
  <c r="E3541" i="3" s="1"/>
  <c r="E3540" i="3" a="1"/>
  <c r="E3540" i="3" s="1"/>
  <c r="E3539" i="3" a="1"/>
  <c r="E3539" i="3" s="1"/>
  <c r="E3538" i="3" a="1"/>
  <c r="E3538" i="3" s="1"/>
  <c r="E3537" i="3" a="1"/>
  <c r="E3537" i="3" s="1"/>
  <c r="E3536" i="3" a="1"/>
  <c r="E3536" i="3" s="1"/>
  <c r="E3535" i="3" a="1"/>
  <c r="E3535" i="3" s="1"/>
  <c r="E3534" i="3" a="1"/>
  <c r="E3534" i="3" s="1"/>
  <c r="E3533" i="3" a="1"/>
  <c r="E3533" i="3" s="1"/>
  <c r="E3532" i="3" a="1"/>
  <c r="E3532" i="3" s="1"/>
  <c r="E3531" i="3" a="1"/>
  <c r="E3531" i="3" s="1"/>
  <c r="E3530" i="3" a="1"/>
  <c r="E3530" i="3" s="1"/>
  <c r="E3529" i="3" a="1"/>
  <c r="E3529" i="3" s="1"/>
  <c r="E3528" i="3" a="1"/>
  <c r="E3528" i="3" s="1"/>
  <c r="E3527" i="3" a="1"/>
  <c r="E3527" i="3" s="1"/>
  <c r="E3526" i="3" a="1"/>
  <c r="E3526" i="3" s="1"/>
  <c r="E3525" i="3" a="1"/>
  <c r="E3525" i="3" s="1"/>
  <c r="E3524" i="3" a="1"/>
  <c r="E3524" i="3" s="1"/>
  <c r="E3523" i="3" a="1"/>
  <c r="E3523" i="3" s="1"/>
  <c r="E3522" i="3" a="1"/>
  <c r="E3522" i="3" s="1"/>
  <c r="E3521" i="3" a="1"/>
  <c r="E3521" i="3" s="1"/>
  <c r="E3520" i="3" a="1"/>
  <c r="E3520" i="3" s="1"/>
  <c r="E3519" i="3" a="1"/>
  <c r="E3519" i="3" s="1"/>
  <c r="E3518" i="3" a="1"/>
  <c r="E3518" i="3" s="1"/>
  <c r="E3517" i="3" a="1"/>
  <c r="E3517" i="3" s="1"/>
  <c r="E3516" i="3" a="1"/>
  <c r="E3516" i="3" s="1"/>
  <c r="E3515" i="3" a="1"/>
  <c r="E3515" i="3" s="1"/>
  <c r="E3514" i="3" a="1"/>
  <c r="E3514" i="3" s="1"/>
  <c r="E3513" i="3" a="1"/>
  <c r="E3513" i="3" s="1"/>
  <c r="E3512" i="3" a="1"/>
  <c r="E3512" i="3" s="1"/>
  <c r="E3511" i="3" a="1"/>
  <c r="E3511" i="3" s="1"/>
  <c r="E3510" i="3" a="1"/>
  <c r="E3510" i="3" s="1"/>
  <c r="E3509" i="3" a="1"/>
  <c r="E3509" i="3" s="1"/>
  <c r="E3508" i="3" a="1"/>
  <c r="E3508" i="3" s="1"/>
  <c r="E3507" i="3" a="1"/>
  <c r="E3507" i="3" s="1"/>
  <c r="E3506" i="3" a="1"/>
  <c r="E3506" i="3" s="1"/>
  <c r="E3505" i="3" a="1"/>
  <c r="E3505" i="3" s="1"/>
  <c r="E3504" i="3" a="1"/>
  <c r="E3504" i="3" s="1"/>
  <c r="E3503" i="3" a="1"/>
  <c r="E3503" i="3" s="1"/>
  <c r="E3502" i="3" a="1"/>
  <c r="E3502" i="3" s="1"/>
  <c r="E3501" i="3" a="1"/>
  <c r="E3501" i="3" s="1"/>
  <c r="E3500" i="3" a="1"/>
  <c r="E3500" i="3" s="1"/>
  <c r="E3499" i="3" a="1"/>
  <c r="E3499" i="3" s="1"/>
  <c r="E3498" i="3" a="1"/>
  <c r="E3498" i="3" s="1"/>
  <c r="E3497" i="3" a="1"/>
  <c r="E3497" i="3" s="1"/>
  <c r="E3496" i="3" a="1"/>
  <c r="E3496" i="3" s="1"/>
  <c r="E3495" i="3" a="1"/>
  <c r="E3495" i="3" s="1"/>
  <c r="E3494" i="3" a="1"/>
  <c r="E3494" i="3" s="1"/>
  <c r="E3493" i="3" a="1"/>
  <c r="E3493" i="3" s="1"/>
  <c r="E3492" i="3" a="1"/>
  <c r="E3492" i="3" s="1"/>
  <c r="E3491" i="3" a="1"/>
  <c r="E3491" i="3" s="1"/>
  <c r="E3490" i="3" a="1"/>
  <c r="E3490" i="3" s="1"/>
  <c r="E3489" i="3" a="1"/>
  <c r="E3489" i="3" s="1"/>
  <c r="E3488" i="3" a="1"/>
  <c r="E3488" i="3" s="1"/>
  <c r="E3487" i="3" a="1"/>
  <c r="E3487" i="3" s="1"/>
  <c r="E3486" i="3" a="1"/>
  <c r="E3486" i="3" s="1"/>
  <c r="E3485" i="3" a="1"/>
  <c r="E3485" i="3" s="1"/>
  <c r="E3484" i="3" a="1"/>
  <c r="E3484" i="3" s="1"/>
  <c r="E3483" i="3" a="1"/>
  <c r="E3483" i="3" s="1"/>
  <c r="E3482" i="3" a="1"/>
  <c r="E3482" i="3" s="1"/>
  <c r="E3481" i="3" a="1"/>
  <c r="E3481" i="3" s="1"/>
  <c r="E3480" i="3" a="1"/>
  <c r="E3480" i="3" s="1"/>
  <c r="E3479" i="3" a="1"/>
  <c r="E3479" i="3" s="1"/>
  <c r="E3478" i="3" a="1"/>
  <c r="E3478" i="3" s="1"/>
  <c r="E3477" i="3" a="1"/>
  <c r="E3477" i="3" s="1"/>
  <c r="E3476" i="3" a="1"/>
  <c r="E3476" i="3" s="1"/>
  <c r="E3475" i="3" a="1"/>
  <c r="E3475" i="3" s="1"/>
  <c r="E3474" i="3" a="1"/>
  <c r="E3474" i="3" s="1"/>
  <c r="E3473" i="3" a="1"/>
  <c r="E3473" i="3" s="1"/>
  <c r="E3472" i="3" a="1"/>
  <c r="E3472" i="3" s="1"/>
  <c r="E3471" i="3" a="1"/>
  <c r="E3471" i="3" s="1"/>
  <c r="E3470" i="3" a="1"/>
  <c r="E3470" i="3" s="1"/>
  <c r="E3469" i="3" a="1"/>
  <c r="E3469" i="3" s="1"/>
  <c r="E3468" i="3" a="1"/>
  <c r="E3468" i="3" s="1"/>
  <c r="E3467" i="3" a="1"/>
  <c r="E3467" i="3" s="1"/>
  <c r="E3466" i="3" a="1"/>
  <c r="E3466" i="3" s="1"/>
  <c r="E3465" i="3" a="1"/>
  <c r="E3465" i="3" s="1"/>
  <c r="E3464" i="3" a="1"/>
  <c r="E3464" i="3" s="1"/>
  <c r="E3463" i="3" a="1"/>
  <c r="E3463" i="3" s="1"/>
  <c r="E3462" i="3" a="1"/>
  <c r="E3462" i="3" s="1"/>
  <c r="E3461" i="3" a="1"/>
  <c r="E3461" i="3" s="1"/>
  <c r="E3460" i="3" a="1"/>
  <c r="E3460" i="3" s="1"/>
  <c r="E3459" i="3" a="1"/>
  <c r="E3459" i="3" s="1"/>
  <c r="E3458" i="3" a="1"/>
  <c r="E3458" i="3" s="1"/>
  <c r="E3457" i="3" a="1"/>
  <c r="E3457" i="3" s="1"/>
  <c r="E3456" i="3" a="1"/>
  <c r="E3456" i="3" s="1"/>
  <c r="E3455" i="3" a="1"/>
  <c r="E3455" i="3" s="1"/>
  <c r="E3454" i="3" a="1"/>
  <c r="E3454" i="3" s="1"/>
  <c r="E3453" i="3" a="1"/>
  <c r="E3453" i="3" s="1"/>
  <c r="E3452" i="3" a="1"/>
  <c r="E3452" i="3" s="1"/>
  <c r="E3451" i="3" a="1"/>
  <c r="E3451" i="3" s="1"/>
  <c r="E3450" i="3" a="1"/>
  <c r="E3450" i="3" s="1"/>
  <c r="E3449" i="3" a="1"/>
  <c r="E3449" i="3" s="1"/>
  <c r="E3448" i="3" a="1"/>
  <c r="E3448" i="3" s="1"/>
  <c r="E3447" i="3" a="1"/>
  <c r="E3447" i="3" s="1"/>
  <c r="E3446" i="3" a="1"/>
  <c r="E3446" i="3" s="1"/>
  <c r="E3445" i="3" a="1"/>
  <c r="E3445" i="3" s="1"/>
  <c r="E3444" i="3" a="1"/>
  <c r="E3444" i="3" s="1"/>
  <c r="E3443" i="3" a="1"/>
  <c r="E3443" i="3" s="1"/>
  <c r="E3442" i="3" a="1"/>
  <c r="E3442" i="3" s="1"/>
  <c r="E3441" i="3" a="1"/>
  <c r="E3441" i="3" s="1"/>
  <c r="E3440" i="3" a="1"/>
  <c r="E3440" i="3" s="1"/>
  <c r="E3439" i="3" a="1"/>
  <c r="E3439" i="3" s="1"/>
  <c r="E3438" i="3" a="1"/>
  <c r="E3438" i="3" s="1"/>
  <c r="E3437" i="3" a="1"/>
  <c r="E3437" i="3" s="1"/>
  <c r="E3436" i="3" a="1"/>
  <c r="E3436" i="3" s="1"/>
  <c r="E3435" i="3" a="1"/>
  <c r="E3435" i="3" s="1"/>
  <c r="E3434" i="3" a="1"/>
  <c r="E3434" i="3" s="1"/>
  <c r="E3433" i="3" a="1"/>
  <c r="E3433" i="3" s="1"/>
  <c r="E3432" i="3" a="1"/>
  <c r="E3432" i="3" s="1"/>
  <c r="E3431" i="3" a="1"/>
  <c r="E3431" i="3" s="1"/>
  <c r="E3430" i="3" a="1"/>
  <c r="E3430" i="3" s="1"/>
  <c r="E3429" i="3" a="1"/>
  <c r="E3429" i="3" s="1"/>
  <c r="E3428" i="3" a="1"/>
  <c r="E3428" i="3" s="1"/>
  <c r="E3427" i="3" a="1"/>
  <c r="E3427" i="3" s="1"/>
  <c r="E3426" i="3" a="1"/>
  <c r="E3426" i="3" s="1"/>
  <c r="E3425" i="3" a="1"/>
  <c r="E3425" i="3" s="1"/>
  <c r="E3424" i="3" a="1"/>
  <c r="E3424" i="3" s="1"/>
  <c r="E3423" i="3" a="1"/>
  <c r="E3423" i="3" s="1"/>
  <c r="E3422" i="3" a="1"/>
  <c r="E3422" i="3" s="1"/>
  <c r="E3421" i="3" a="1"/>
  <c r="E3421" i="3" s="1"/>
  <c r="E3420" i="3" a="1"/>
  <c r="E3420" i="3" s="1"/>
  <c r="E3419" i="3" a="1"/>
  <c r="E3419" i="3" s="1"/>
  <c r="E3418" i="3" a="1"/>
  <c r="E3418" i="3" s="1"/>
  <c r="E3417" i="3" a="1"/>
  <c r="E3417" i="3" s="1"/>
  <c r="E3416" i="3" a="1"/>
  <c r="E3416" i="3" s="1"/>
  <c r="E3415" i="3" a="1"/>
  <c r="E3415" i="3" s="1"/>
  <c r="E3414" i="3" a="1"/>
  <c r="E3414" i="3" s="1"/>
  <c r="E3413" i="3" a="1"/>
  <c r="E3413" i="3" s="1"/>
  <c r="E3412" i="3" a="1"/>
  <c r="E3412" i="3" s="1"/>
  <c r="E3411" i="3" a="1"/>
  <c r="E3411" i="3" s="1"/>
  <c r="E3410" i="3" a="1"/>
  <c r="E3410" i="3" s="1"/>
  <c r="E3409" i="3" a="1"/>
  <c r="E3409" i="3" s="1"/>
  <c r="E3408" i="3" a="1"/>
  <c r="E3408" i="3" s="1"/>
  <c r="E3407" i="3" a="1"/>
  <c r="E3407" i="3" s="1"/>
  <c r="E3406" i="3" a="1"/>
  <c r="E3406" i="3" s="1"/>
  <c r="E3405" i="3" a="1"/>
  <c r="E3405" i="3" s="1"/>
  <c r="E3404" i="3" a="1"/>
  <c r="E3404" i="3" s="1"/>
  <c r="E3403" i="3" a="1"/>
  <c r="E3403" i="3" s="1"/>
  <c r="E3402" i="3" a="1"/>
  <c r="E3402" i="3" s="1"/>
  <c r="E3401" i="3" a="1"/>
  <c r="E3401" i="3" s="1"/>
  <c r="E3400" i="3" a="1"/>
  <c r="E3400" i="3" s="1"/>
  <c r="E3399" i="3" a="1"/>
  <c r="E3399" i="3" s="1"/>
  <c r="E3398" i="3" a="1"/>
  <c r="E3398" i="3" s="1"/>
  <c r="E3397" i="3" a="1"/>
  <c r="E3397" i="3" s="1"/>
  <c r="E3396" i="3" a="1"/>
  <c r="E3396" i="3" s="1"/>
  <c r="E3395" i="3" a="1"/>
  <c r="E3395" i="3" s="1"/>
  <c r="E3394" i="3" a="1"/>
  <c r="E3394" i="3" s="1"/>
  <c r="E3393" i="3" a="1"/>
  <c r="E3393" i="3" s="1"/>
  <c r="E3392" i="3" a="1"/>
  <c r="E3392" i="3" s="1"/>
  <c r="E3391" i="3" a="1"/>
  <c r="E3391" i="3" s="1"/>
  <c r="E3390" i="3" a="1"/>
  <c r="E3390" i="3" s="1"/>
  <c r="E3389" i="3" a="1"/>
  <c r="E3389" i="3" s="1"/>
  <c r="E3388" i="3" a="1"/>
  <c r="E3388" i="3" s="1"/>
  <c r="E3387" i="3" a="1"/>
  <c r="E3387" i="3" s="1"/>
  <c r="E3386" i="3" a="1"/>
  <c r="E3386" i="3" s="1"/>
  <c r="E3385" i="3" a="1"/>
  <c r="E3385" i="3" s="1"/>
  <c r="E3384" i="3" a="1"/>
  <c r="E3384" i="3" s="1"/>
  <c r="E3383" i="3" a="1"/>
  <c r="E3383" i="3" s="1"/>
  <c r="E3382" i="3" a="1"/>
  <c r="E3382" i="3" s="1"/>
  <c r="E3381" i="3" a="1"/>
  <c r="E3381" i="3" s="1"/>
  <c r="E3380" i="3" a="1"/>
  <c r="E3380" i="3" s="1"/>
  <c r="E3379" i="3" a="1"/>
  <c r="E3379" i="3" s="1"/>
  <c r="E3378" i="3" a="1"/>
  <c r="E3378" i="3" s="1"/>
  <c r="E3377" i="3" a="1"/>
  <c r="E3377" i="3" s="1"/>
  <c r="E3376" i="3" a="1"/>
  <c r="E3376" i="3" s="1"/>
  <c r="E3375" i="3" a="1"/>
  <c r="E3375" i="3" s="1"/>
  <c r="E3374" i="3" a="1"/>
  <c r="E3374" i="3" s="1"/>
  <c r="E3373" i="3" a="1"/>
  <c r="E3373" i="3" s="1"/>
  <c r="E3372" i="3" a="1"/>
  <c r="E3372" i="3" s="1"/>
  <c r="E3371" i="3" a="1"/>
  <c r="E3371" i="3" s="1"/>
  <c r="E3370" i="3" a="1"/>
  <c r="E3370" i="3" s="1"/>
  <c r="E3369" i="3" a="1"/>
  <c r="E3369" i="3" s="1"/>
  <c r="E3368" i="3" a="1"/>
  <c r="E3368" i="3" s="1"/>
  <c r="E3367" i="3" a="1"/>
  <c r="E3367" i="3" s="1"/>
  <c r="E3366" i="3" a="1"/>
  <c r="E3366" i="3" s="1"/>
  <c r="E3365" i="3" a="1"/>
  <c r="E3365" i="3" s="1"/>
  <c r="E3364" i="3" a="1"/>
  <c r="E3364" i="3" s="1"/>
  <c r="E3363" i="3" a="1"/>
  <c r="E3363" i="3" s="1"/>
  <c r="E3362" i="3" a="1"/>
  <c r="E3362" i="3" s="1"/>
  <c r="E3361" i="3" a="1"/>
  <c r="E3361" i="3" s="1"/>
  <c r="E3360" i="3" a="1"/>
  <c r="E3360" i="3" s="1"/>
  <c r="E3359" i="3" a="1"/>
  <c r="E3359" i="3" s="1"/>
  <c r="E3358" i="3" a="1"/>
  <c r="E3358" i="3" s="1"/>
  <c r="E3357" i="3" a="1"/>
  <c r="E3357" i="3" s="1"/>
  <c r="E3356" i="3" a="1"/>
  <c r="E3356" i="3" s="1"/>
  <c r="E3355" i="3" a="1"/>
  <c r="E3355" i="3" s="1"/>
  <c r="E3354" i="3" a="1"/>
  <c r="E3354" i="3" s="1"/>
  <c r="E3353" i="3" a="1"/>
  <c r="E3353" i="3" s="1"/>
  <c r="E3352" i="3" a="1"/>
  <c r="E3352" i="3" s="1"/>
  <c r="E3351" i="3" a="1"/>
  <c r="E3351" i="3" s="1"/>
  <c r="E3350" i="3" a="1"/>
  <c r="E3350" i="3" s="1"/>
  <c r="E3349" i="3" a="1"/>
  <c r="E3349" i="3" s="1"/>
  <c r="E3348" i="3" a="1"/>
  <c r="E3348" i="3" s="1"/>
  <c r="E3347" i="3" a="1"/>
  <c r="E3347" i="3" s="1"/>
  <c r="E3346" i="3" a="1"/>
  <c r="E3346" i="3" s="1"/>
  <c r="E3345" i="3" l="1" a="1"/>
  <c r="E3345" i="3" s="1"/>
  <c r="E3344" i="3" a="1"/>
  <c r="E3344" i="3" s="1"/>
  <c r="E3343" i="3" a="1"/>
  <c r="E3343" i="3" s="1"/>
  <c r="E3342" i="3" a="1"/>
  <c r="E3342" i="3" s="1"/>
  <c r="E3341" i="3" a="1"/>
  <c r="E3341" i="3" s="1"/>
  <c r="E3340" i="3" a="1"/>
  <c r="E3340" i="3" s="1"/>
  <c r="E3339" i="3" a="1"/>
  <c r="E3339" i="3" s="1"/>
  <c r="E3338" i="3" a="1"/>
  <c r="E3338" i="3" s="1"/>
  <c r="E3337" i="3" a="1"/>
  <c r="E3337" i="3" s="1"/>
  <c r="E3336" i="3" a="1"/>
  <c r="E3336" i="3" s="1"/>
  <c r="E3335" i="3" a="1"/>
  <c r="E3335" i="3" s="1"/>
  <c r="E3334" i="3" a="1"/>
  <c r="E3334" i="3" s="1"/>
  <c r="E3333" i="3" a="1"/>
  <c r="E3333" i="3" s="1"/>
  <c r="E3332" i="3" a="1"/>
  <c r="E3332" i="3" s="1"/>
  <c r="E3331" i="3" a="1"/>
  <c r="E3331" i="3" s="1"/>
  <c r="E3330" i="3" a="1"/>
  <c r="E3330" i="3" s="1"/>
  <c r="E3329" i="3" a="1"/>
  <c r="E3329" i="3" s="1"/>
  <c r="E3328" i="3" a="1"/>
  <c r="E3328" i="3" s="1"/>
  <c r="E3327" i="3" a="1"/>
  <c r="E3327" i="3" s="1"/>
  <c r="E3326" i="3" a="1"/>
  <c r="E3326" i="3" s="1"/>
  <c r="E3325" i="3" a="1"/>
  <c r="E3325" i="3" s="1"/>
  <c r="E3324" i="3" a="1"/>
  <c r="E3324" i="3" s="1"/>
  <c r="E3323" i="3" a="1"/>
  <c r="E3323" i="3" s="1"/>
  <c r="E3322" i="3" a="1"/>
  <c r="E3322" i="3" s="1"/>
  <c r="E3321" i="3" a="1"/>
  <c r="E3321" i="3" s="1"/>
  <c r="E3320" i="3" a="1"/>
  <c r="E3320" i="3" s="1"/>
  <c r="E3319" i="3" a="1"/>
  <c r="E3319" i="3" s="1"/>
  <c r="E3318" i="3" a="1"/>
  <c r="E3318" i="3" s="1"/>
  <c r="E3317" i="3" a="1"/>
  <c r="E3317" i="3" s="1"/>
  <c r="E3316" i="3" a="1"/>
  <c r="E3316" i="3" s="1"/>
  <c r="E3315" i="3" a="1"/>
  <c r="E3315" i="3" s="1"/>
  <c r="E3314" i="3" a="1"/>
  <c r="E3314" i="3" s="1"/>
  <c r="E3313" i="3" a="1"/>
  <c r="E3313" i="3" s="1"/>
  <c r="E3312" i="3" a="1"/>
  <c r="E3312" i="3" s="1"/>
  <c r="E3311" i="3" a="1"/>
  <c r="E3311" i="3" s="1"/>
  <c r="E3310" i="3" a="1"/>
  <c r="E3310" i="3" s="1"/>
  <c r="E3309" i="3" a="1"/>
  <c r="E3309" i="3" s="1"/>
  <c r="E3308" i="3" a="1"/>
  <c r="E3308" i="3" s="1"/>
  <c r="E3307" i="3" a="1"/>
  <c r="E3307" i="3" s="1"/>
  <c r="E3306" i="3" a="1"/>
  <c r="E3306" i="3" s="1"/>
  <c r="E3305" i="3" a="1"/>
  <c r="E3305" i="3" s="1"/>
  <c r="E3304" i="3" a="1"/>
  <c r="E3304" i="3" s="1"/>
  <c r="E3303" i="3" a="1"/>
  <c r="E3303" i="3" s="1"/>
  <c r="E3302" i="3" a="1"/>
  <c r="E3302" i="3" s="1"/>
  <c r="E3301" i="3" a="1"/>
  <c r="E3301" i="3" s="1"/>
  <c r="E3300" i="3" a="1"/>
  <c r="E3300" i="3" s="1"/>
  <c r="E3299" i="3" a="1"/>
  <c r="E3299" i="3" s="1"/>
  <c r="E3298" i="3" a="1"/>
  <c r="E3298" i="3" s="1"/>
  <c r="E3297" i="3" a="1"/>
  <c r="E3297" i="3" s="1"/>
  <c r="E3296" i="3" a="1"/>
  <c r="E3296" i="3" s="1"/>
  <c r="E3295" i="3" a="1"/>
  <c r="E3295" i="3" s="1"/>
  <c r="E3294" i="3" a="1"/>
  <c r="E3294" i="3" s="1"/>
  <c r="E3293" i="3" a="1"/>
  <c r="E3293" i="3" s="1"/>
  <c r="E3292" i="3" a="1"/>
  <c r="E3292" i="3" s="1"/>
  <c r="E3291" i="3" a="1"/>
  <c r="E3291" i="3" s="1"/>
  <c r="E3290" i="3" a="1"/>
  <c r="E3290" i="3" s="1"/>
  <c r="E3289" i="3" a="1"/>
  <c r="E3289" i="3" s="1"/>
  <c r="E3288" i="3" a="1"/>
  <c r="E3288" i="3" s="1"/>
  <c r="E3287" i="3" a="1"/>
  <c r="E3287" i="3" s="1"/>
  <c r="E3286" i="3" a="1"/>
  <c r="E3286" i="3" s="1"/>
  <c r="E3285" i="3" a="1"/>
  <c r="E3285" i="3" s="1"/>
  <c r="E3284" i="3" a="1"/>
  <c r="E3284" i="3" s="1"/>
  <c r="E3283" i="3" a="1"/>
  <c r="E3283" i="3" s="1"/>
  <c r="E3282" i="3" a="1"/>
  <c r="E3282" i="3" s="1"/>
  <c r="E3281" i="3" a="1"/>
  <c r="E3281" i="3" s="1"/>
  <c r="E3280" i="3" a="1"/>
  <c r="E3280" i="3" s="1"/>
  <c r="E3279" i="3" a="1"/>
  <c r="E3279" i="3" s="1"/>
  <c r="E3278" i="3" a="1"/>
  <c r="E3278" i="3" s="1"/>
  <c r="E3277" i="3" a="1"/>
  <c r="E3277" i="3" s="1"/>
  <c r="E3276" i="3" a="1"/>
  <c r="E3276" i="3" s="1"/>
  <c r="E3275" i="3" a="1"/>
  <c r="E3275" i="3" s="1"/>
  <c r="E3274" i="3" a="1"/>
  <c r="E3274" i="3" s="1"/>
  <c r="E3273" i="3" a="1"/>
  <c r="E3273" i="3" s="1"/>
  <c r="E3272" i="3" a="1"/>
  <c r="E3272" i="3" s="1"/>
  <c r="E3271" i="3" a="1"/>
  <c r="E3271" i="3" s="1"/>
  <c r="E3270" i="3" a="1"/>
  <c r="E3270" i="3" s="1"/>
  <c r="E3269" i="3" a="1"/>
  <c r="E3269" i="3" s="1"/>
  <c r="E3268" i="3" a="1"/>
  <c r="E3268" i="3" s="1"/>
  <c r="E3267" i="3" a="1"/>
  <c r="E3267" i="3" s="1"/>
  <c r="E3266" i="3" a="1"/>
  <c r="E3266" i="3" s="1"/>
  <c r="E3265" i="3" a="1"/>
  <c r="E3265" i="3" s="1"/>
  <c r="E3264" i="3" a="1"/>
  <c r="E3264" i="3" s="1"/>
  <c r="E3263" i="3" a="1"/>
  <c r="E3263" i="3" s="1"/>
  <c r="E3262" i="3" a="1"/>
  <c r="E3262" i="3" s="1"/>
  <c r="E3261" i="3" a="1"/>
  <c r="E3261" i="3" s="1"/>
  <c r="E3260" i="3" a="1"/>
  <c r="E3260" i="3" s="1"/>
  <c r="E3259" i="3" a="1"/>
  <c r="E3259" i="3" s="1"/>
  <c r="E3258" i="3" a="1"/>
  <c r="E3258" i="3" s="1"/>
  <c r="E3257" i="3" a="1"/>
  <c r="E3257" i="3" s="1"/>
  <c r="E3256" i="3" a="1"/>
  <c r="E3256" i="3" s="1"/>
  <c r="E3255" i="3" a="1"/>
  <c r="E3255" i="3" s="1"/>
  <c r="E3254" i="3" a="1"/>
  <c r="E3254" i="3" s="1"/>
  <c r="E3253" i="3" a="1"/>
  <c r="E3253" i="3" s="1"/>
  <c r="E3252" i="3" a="1"/>
  <c r="E3252" i="3" s="1"/>
  <c r="E3251" i="3" a="1"/>
  <c r="E3251" i="3" s="1"/>
  <c r="E3250" i="3" a="1"/>
  <c r="E3250" i="3" s="1"/>
  <c r="E3249" i="3" a="1"/>
  <c r="E3249" i="3" s="1"/>
  <c r="E3248" i="3" a="1"/>
  <c r="E3248" i="3" s="1"/>
  <c r="E3247" i="3" a="1"/>
  <c r="E3247" i="3" s="1"/>
  <c r="E3246" i="3" a="1"/>
  <c r="E3246" i="3" s="1"/>
  <c r="E3245" i="3" a="1"/>
  <c r="E3245" i="3" s="1"/>
  <c r="E3244" i="3" a="1"/>
  <c r="E3244" i="3" s="1"/>
  <c r="E3243" i="3" a="1"/>
  <c r="E3243" i="3" s="1"/>
  <c r="E3242" i="3" a="1"/>
  <c r="E3242" i="3" s="1"/>
  <c r="E3241" i="3" a="1"/>
  <c r="E3241" i="3" s="1"/>
  <c r="E3240" i="3" a="1"/>
  <c r="E3240" i="3" s="1"/>
  <c r="E3239" i="3" a="1"/>
  <c r="E3239" i="3" s="1"/>
  <c r="E3238" i="3" a="1"/>
  <c r="E3238" i="3" s="1"/>
  <c r="E3237" i="3" a="1"/>
  <c r="E3237" i="3" s="1"/>
  <c r="E3236" i="3" a="1"/>
  <c r="E3236" i="3" s="1"/>
  <c r="E3235" i="3" a="1"/>
  <c r="E3235" i="3" s="1"/>
  <c r="E3234" i="3" a="1"/>
  <c r="E3234" i="3" s="1"/>
  <c r="E3233" i="3" a="1"/>
  <c r="E3233" i="3" s="1"/>
  <c r="E3232" i="3" a="1"/>
  <c r="E3232" i="3" s="1"/>
  <c r="E3231" i="3" a="1"/>
  <c r="E3231" i="3" s="1"/>
  <c r="E3230" i="3" a="1"/>
  <c r="E3230" i="3" s="1"/>
  <c r="E3229" i="3" a="1"/>
  <c r="E3229" i="3" s="1"/>
  <c r="E3228" i="3" a="1"/>
  <c r="E3228" i="3" s="1"/>
  <c r="E3227" i="3" a="1"/>
  <c r="E3227" i="3" s="1"/>
  <c r="E3226" i="3" a="1"/>
  <c r="E3226" i="3" s="1"/>
  <c r="E3225" i="3" a="1"/>
  <c r="E3225" i="3" s="1"/>
  <c r="E3224" i="3" a="1"/>
  <c r="E3224" i="3" s="1"/>
  <c r="E3223" i="3" a="1"/>
  <c r="E3223" i="3" s="1"/>
  <c r="E3222" i="3" a="1"/>
  <c r="E3222" i="3" s="1"/>
  <c r="E3221" i="3" a="1"/>
  <c r="E3221" i="3" s="1"/>
  <c r="E3220" i="3" a="1"/>
  <c r="E3220" i="3" s="1"/>
  <c r="E3219" i="3" a="1"/>
  <c r="E3219" i="3" s="1"/>
  <c r="E3218" i="3" a="1"/>
  <c r="E3218" i="3" s="1"/>
  <c r="E3217" i="3" a="1"/>
  <c r="E3217" i="3" s="1"/>
  <c r="E3216" i="3" a="1"/>
  <c r="E3216" i="3" s="1"/>
  <c r="E3215" i="3" a="1"/>
  <c r="E3215" i="3" s="1"/>
  <c r="E3214" i="3" a="1"/>
  <c r="E3214" i="3" s="1"/>
  <c r="E3213" i="3" a="1"/>
  <c r="E3213" i="3" s="1"/>
  <c r="E3212" i="3" a="1"/>
  <c r="E3212" i="3" s="1"/>
  <c r="E3211" i="3" a="1"/>
  <c r="E3211" i="3" s="1"/>
  <c r="E3210" i="3" a="1"/>
  <c r="E3210" i="3" s="1"/>
  <c r="E3209" i="3" a="1"/>
  <c r="E3209" i="3" s="1"/>
  <c r="E3208" i="3" a="1"/>
  <c r="E3208" i="3" s="1"/>
  <c r="E3207" i="3" a="1"/>
  <c r="E3207" i="3" s="1"/>
  <c r="E3206" i="3" a="1"/>
  <c r="E3206" i="3" s="1"/>
  <c r="E3205" i="3" a="1"/>
  <c r="E3205" i="3" s="1"/>
  <c r="E3204" i="3" a="1"/>
  <c r="E3204" i="3" s="1"/>
  <c r="E3203" i="3" a="1"/>
  <c r="E3203" i="3" s="1"/>
  <c r="E3202" i="3" a="1"/>
  <c r="E3202" i="3" s="1"/>
  <c r="E3201" i="3" a="1"/>
  <c r="E3201" i="3" s="1"/>
  <c r="E3200" i="3" a="1"/>
  <c r="E3200" i="3" s="1"/>
  <c r="E3199" i="3" a="1"/>
  <c r="E3199" i="3" s="1"/>
  <c r="E3198" i="3" a="1"/>
  <c r="E3198" i="3" s="1"/>
  <c r="E3197" i="3" a="1"/>
  <c r="E3197" i="3" s="1"/>
  <c r="E3196" i="3" a="1"/>
  <c r="E3196" i="3" s="1"/>
  <c r="E3195" i="3" a="1"/>
  <c r="E3195" i="3" s="1"/>
  <c r="E3194" i="3" a="1"/>
  <c r="E3194" i="3" s="1"/>
  <c r="E3193" i="3" a="1"/>
  <c r="E3193" i="3" s="1"/>
  <c r="E3192" i="3" a="1"/>
  <c r="E3192" i="3" s="1"/>
  <c r="E3191" i="3" a="1"/>
  <c r="E3191" i="3" s="1"/>
  <c r="E3190" i="3" a="1"/>
  <c r="E3190" i="3" s="1"/>
  <c r="E3189" i="3" a="1"/>
  <c r="E3189" i="3" s="1"/>
  <c r="E3188" i="3" a="1"/>
  <c r="E3188" i="3" s="1"/>
  <c r="E3187" i="3" a="1"/>
  <c r="E3187" i="3" s="1"/>
  <c r="E3186" i="3" a="1"/>
  <c r="E3186" i="3" s="1"/>
  <c r="E3185" i="3" a="1"/>
  <c r="E3185" i="3" s="1"/>
  <c r="E3184" i="3" a="1"/>
  <c r="E3184" i="3" s="1"/>
  <c r="E3183" i="3" a="1"/>
  <c r="E3183" i="3" s="1"/>
  <c r="E3182" i="3" a="1"/>
  <c r="E3182" i="3" s="1"/>
  <c r="E3181" i="3" a="1"/>
  <c r="E3181" i="3" s="1"/>
  <c r="E3180" i="3" a="1"/>
  <c r="E3180" i="3" s="1"/>
  <c r="E3179" i="3" a="1"/>
  <c r="E3179" i="3" s="1"/>
  <c r="E3178" i="3" a="1"/>
  <c r="E3178" i="3" s="1"/>
  <c r="E3177" i="3" a="1"/>
  <c r="E3177" i="3" s="1"/>
  <c r="E3176" i="3" a="1"/>
  <c r="E3176" i="3" s="1"/>
  <c r="E3175" i="3" a="1"/>
  <c r="E3175" i="3" s="1"/>
  <c r="E3174" i="3" a="1"/>
  <c r="E3174" i="3" s="1"/>
  <c r="E3173" i="3" a="1"/>
  <c r="E3173" i="3" s="1"/>
  <c r="E3172" i="3" a="1"/>
  <c r="E3172" i="3" s="1"/>
  <c r="E3171" i="3" a="1"/>
  <c r="E3171" i="3" s="1"/>
  <c r="E3170" i="3" a="1"/>
  <c r="E3170" i="3" s="1"/>
  <c r="E3169" i="3" a="1"/>
  <c r="E3169" i="3" s="1"/>
  <c r="E3168" i="3" a="1"/>
  <c r="E3168" i="3" s="1"/>
  <c r="E3167" i="3" a="1"/>
  <c r="E3167" i="3" s="1"/>
  <c r="E3166" i="3" a="1"/>
  <c r="E3166" i="3" s="1"/>
  <c r="E3165" i="3" a="1"/>
  <c r="E3165" i="3" s="1"/>
  <c r="E3164" i="3" a="1"/>
  <c r="E3164" i="3" s="1"/>
  <c r="E3163" i="3" a="1"/>
  <c r="E3163" i="3" s="1"/>
  <c r="E3162" i="3" a="1"/>
  <c r="E3162" i="3" s="1"/>
  <c r="E3161" i="3" a="1"/>
  <c r="E3161" i="3" s="1"/>
  <c r="E3160" i="3" a="1"/>
  <c r="E3160" i="3" s="1"/>
  <c r="E3159" i="3" a="1"/>
  <c r="E3159" i="3" s="1"/>
  <c r="E3158" i="3" a="1"/>
  <c r="E3158" i="3" s="1"/>
  <c r="E3157" i="3" a="1"/>
  <c r="E3157" i="3" s="1"/>
  <c r="E3156" i="3" a="1"/>
  <c r="E3156" i="3" s="1"/>
  <c r="E3155" i="3" a="1"/>
  <c r="E3155" i="3" s="1"/>
  <c r="E3154" i="3" a="1"/>
  <c r="E3154" i="3" s="1"/>
  <c r="E3153" i="3" a="1"/>
  <c r="E3153" i="3" s="1"/>
  <c r="E3152" i="3" a="1"/>
  <c r="E3152" i="3" s="1"/>
  <c r="E3151" i="3" a="1"/>
  <c r="E3151" i="3" s="1"/>
  <c r="E3150" i="3" a="1"/>
  <c r="E3150" i="3" s="1"/>
  <c r="E3149" i="3" a="1"/>
  <c r="E3149" i="3" s="1"/>
  <c r="E3148" i="3" a="1"/>
  <c r="E3148" i="3" s="1"/>
  <c r="E3147" i="3" a="1"/>
  <c r="E3147" i="3" s="1"/>
  <c r="E3146" i="3" a="1"/>
  <c r="E3146" i="3" s="1"/>
  <c r="E3145" i="3" a="1"/>
  <c r="E3145" i="3" s="1"/>
  <c r="E3144" i="3" a="1"/>
  <c r="E3144" i="3" s="1"/>
  <c r="E3143" i="3" a="1"/>
  <c r="E3143" i="3" s="1"/>
  <c r="E3142" i="3" a="1"/>
  <c r="E3142" i="3" s="1"/>
  <c r="E3141" i="3" a="1"/>
  <c r="E3141" i="3" s="1"/>
  <c r="E3140" i="3" a="1"/>
  <c r="E3140" i="3" s="1"/>
  <c r="E3139" i="3" a="1"/>
  <c r="E3139" i="3" s="1"/>
  <c r="E3138" i="3" a="1"/>
  <c r="E3138" i="3" s="1"/>
  <c r="E3137" i="3" a="1"/>
  <c r="E3137" i="3" s="1"/>
  <c r="E3136" i="3" a="1"/>
  <c r="E3136" i="3" s="1"/>
  <c r="E3135" i="3" a="1"/>
  <c r="E3135" i="3" s="1"/>
  <c r="E3134" i="3" a="1"/>
  <c r="E3134" i="3" s="1"/>
  <c r="E3133" i="3" a="1"/>
  <c r="E3133" i="3" s="1"/>
  <c r="E3132" i="3" a="1"/>
  <c r="E3132" i="3" s="1"/>
  <c r="E3131" i="3" a="1"/>
  <c r="E3131" i="3" s="1"/>
  <c r="E3130" i="3" a="1"/>
  <c r="E3130" i="3" s="1"/>
  <c r="E3129" i="3" a="1"/>
  <c r="E3129" i="3" s="1"/>
  <c r="E3128" i="3" a="1"/>
  <c r="E3128" i="3" s="1"/>
  <c r="E3127" i="3" a="1"/>
  <c r="E3127" i="3" s="1"/>
  <c r="E3126" i="3" a="1"/>
  <c r="E3126" i="3" s="1"/>
  <c r="E3125" i="3" a="1"/>
  <c r="E3125" i="3" s="1"/>
  <c r="E3124" i="3" a="1"/>
  <c r="E3124" i="3" s="1"/>
  <c r="E3123" i="3" a="1"/>
  <c r="E3123" i="3" s="1"/>
  <c r="E3122" i="3" a="1"/>
  <c r="E3122" i="3" s="1"/>
  <c r="E3121" i="3" a="1"/>
  <c r="E3121" i="3" s="1"/>
  <c r="E3120" i="3" a="1"/>
  <c r="E3120" i="3" s="1"/>
  <c r="E3119" i="3" a="1"/>
  <c r="E3119" i="3" s="1"/>
  <c r="E3118" i="3" a="1"/>
  <c r="E3118" i="3" s="1"/>
  <c r="E3117" i="3" a="1"/>
  <c r="E3117" i="3" s="1"/>
  <c r="E3116" i="3" a="1"/>
  <c r="E3116" i="3" s="1"/>
  <c r="E3115" i="3" a="1"/>
  <c r="E3115" i="3" s="1"/>
  <c r="E3114" i="3" a="1"/>
  <c r="E3114" i="3" s="1"/>
  <c r="E3113" i="3" a="1"/>
  <c r="E3113" i="3" s="1"/>
  <c r="E3112" i="3" a="1"/>
  <c r="E3112" i="3" s="1"/>
  <c r="E3111" i="3" a="1"/>
  <c r="E3111" i="3" s="1"/>
  <c r="E3110" i="3" a="1"/>
  <c r="E3110" i="3" s="1"/>
  <c r="E3109" i="3" a="1"/>
  <c r="E3109" i="3" s="1"/>
  <c r="E3108" i="3" a="1"/>
  <c r="E3108" i="3" s="1"/>
  <c r="E3107" i="3" a="1"/>
  <c r="E3107" i="3" s="1"/>
  <c r="E3106" i="3" a="1"/>
  <c r="E3106" i="3" s="1"/>
  <c r="E3105" i="3" a="1"/>
  <c r="E3105" i="3" s="1"/>
  <c r="E3104" i="3" a="1"/>
  <c r="E3104" i="3" s="1"/>
  <c r="E3103" i="3" a="1"/>
  <c r="E3103" i="3" s="1"/>
  <c r="E3102" i="3" a="1"/>
  <c r="E3102" i="3" s="1"/>
  <c r="E3101" i="3" a="1"/>
  <c r="E3101" i="3" s="1"/>
  <c r="E3100" i="3" a="1"/>
  <c r="E3100" i="3" s="1"/>
  <c r="E3099" i="3" a="1"/>
  <c r="E3099" i="3" s="1"/>
  <c r="E3098" i="3" a="1"/>
  <c r="E3098" i="3" s="1"/>
  <c r="E3097" i="3" a="1"/>
  <c r="E3097" i="3" s="1"/>
  <c r="E3096" i="3" a="1"/>
  <c r="E3096" i="3" s="1"/>
  <c r="E3095" i="3" a="1"/>
  <c r="E3095" i="3" s="1"/>
  <c r="E3094" i="3" a="1"/>
  <c r="E3094" i="3" s="1"/>
  <c r="E3093" i="3" a="1"/>
  <c r="E3093" i="3" s="1"/>
  <c r="E3092" i="3" a="1"/>
  <c r="E3092" i="3" s="1"/>
  <c r="E3091" i="3" a="1"/>
  <c r="E3091" i="3" s="1"/>
  <c r="E3090" i="3" a="1"/>
  <c r="E3090" i="3" s="1"/>
  <c r="E3089" i="3" a="1"/>
  <c r="E3089" i="3" s="1"/>
  <c r="E3088" i="3" a="1"/>
  <c r="E3088" i="3" s="1"/>
  <c r="E3087" i="3" a="1"/>
  <c r="E3087" i="3" s="1"/>
  <c r="E3086" i="3" a="1"/>
  <c r="E3086" i="3" s="1"/>
  <c r="E3085" i="3" a="1"/>
  <c r="E3085" i="3" s="1"/>
  <c r="E3084" i="3" a="1"/>
  <c r="E3084" i="3" s="1"/>
  <c r="E3083" i="3" a="1"/>
  <c r="E3083" i="3" s="1"/>
  <c r="E3082" i="3" a="1"/>
  <c r="E3082" i="3" s="1"/>
  <c r="E3081" i="3" a="1"/>
  <c r="E3081" i="3" s="1"/>
  <c r="E3080" i="3" a="1"/>
  <c r="E3080" i="3" s="1"/>
  <c r="E3079" i="3" a="1"/>
  <c r="E3079" i="3" s="1"/>
  <c r="E3078" i="3" a="1"/>
  <c r="E3078" i="3" s="1"/>
  <c r="E3077" i="3" a="1"/>
  <c r="E3077" i="3" s="1"/>
  <c r="E3076" i="3" a="1"/>
  <c r="E3076" i="3" s="1"/>
  <c r="E3075" i="3" a="1"/>
  <c r="E3075" i="3" s="1"/>
  <c r="E3074" i="3" a="1"/>
  <c r="E3074" i="3" s="1"/>
  <c r="E3073" i="3" a="1"/>
  <c r="E3073" i="3" s="1"/>
  <c r="E3072" i="3" a="1"/>
  <c r="E3072" i="3" s="1"/>
  <c r="E3071" i="3" a="1"/>
  <c r="E3071" i="3" s="1"/>
  <c r="E3070" i="3" a="1"/>
  <c r="E3070" i="3" s="1"/>
  <c r="E3069" i="3" a="1"/>
  <c r="E3069" i="3" s="1"/>
  <c r="E3068" i="3" a="1"/>
  <c r="E3068" i="3" s="1"/>
  <c r="E3067" i="3" a="1"/>
  <c r="E3067" i="3" s="1"/>
  <c r="E3066" i="3" a="1"/>
  <c r="E3066" i="3" s="1"/>
  <c r="E3065" i="3" a="1"/>
  <c r="E3065" i="3" s="1"/>
  <c r="E3064" i="3" a="1"/>
  <c r="E3064" i="3" s="1"/>
  <c r="E3063" i="3" a="1"/>
  <c r="E3063" i="3" s="1"/>
  <c r="E3062" i="3" a="1"/>
  <c r="E3062" i="3" s="1"/>
  <c r="E3061" i="3" a="1"/>
  <c r="E3061" i="3" s="1"/>
  <c r="E3060" i="3" a="1"/>
  <c r="E3060" i="3" s="1"/>
  <c r="E3059" i="3" a="1"/>
  <c r="E3059" i="3" s="1"/>
  <c r="E3058" i="3" a="1"/>
  <c r="E3058" i="3" s="1"/>
  <c r="E3057" i="3" a="1"/>
  <c r="E3057" i="3" s="1"/>
  <c r="E3056" i="3" a="1"/>
  <c r="E3056" i="3" s="1"/>
  <c r="E3055" i="3" a="1"/>
  <c r="E3055" i="3" s="1"/>
  <c r="E3054" i="3" a="1"/>
  <c r="E3054" i="3" s="1"/>
  <c r="E3053" i="3" a="1"/>
  <c r="E3053" i="3" s="1"/>
  <c r="E3052" i="3" a="1"/>
  <c r="E3052" i="3" s="1"/>
  <c r="E3051" i="3" a="1"/>
  <c r="E3051" i="3" s="1"/>
  <c r="E3050" i="3" a="1"/>
  <c r="E3050" i="3" s="1"/>
  <c r="E3049" i="3" a="1"/>
  <c r="E3049" i="3" s="1"/>
  <c r="E3048" i="3" a="1"/>
  <c r="E3048" i="3" s="1"/>
  <c r="E3047" i="3" a="1"/>
  <c r="E3047" i="3" s="1"/>
  <c r="E3046" i="3" a="1"/>
  <c r="E3046" i="3" s="1"/>
  <c r="E3045" i="3" a="1"/>
  <c r="E3045" i="3" s="1"/>
  <c r="E3044" i="3" a="1"/>
  <c r="E3044" i="3" s="1"/>
  <c r="E3043" i="3" a="1"/>
  <c r="E3043" i="3" s="1"/>
  <c r="E3042" i="3" a="1"/>
  <c r="E3042" i="3" s="1"/>
  <c r="E3041" i="3" a="1"/>
  <c r="E3041" i="3" s="1"/>
  <c r="E3040" i="3" a="1"/>
  <c r="E3040" i="3" s="1"/>
  <c r="E3039" i="3" a="1"/>
  <c r="E3039" i="3" s="1"/>
  <c r="E3038" i="3" a="1"/>
  <c r="E3038" i="3" s="1"/>
  <c r="E3037" i="3" a="1"/>
  <c r="E3037" i="3" s="1"/>
  <c r="E3036" i="3" a="1"/>
  <c r="E3036" i="3" s="1"/>
  <c r="E3035" i="3" a="1"/>
  <c r="E3035" i="3" s="1"/>
  <c r="E3034" i="3" a="1"/>
  <c r="E3034" i="3" s="1"/>
  <c r="E3033" i="3" a="1"/>
  <c r="E3033" i="3" s="1"/>
  <c r="E3032" i="3" a="1"/>
  <c r="E3032" i="3" s="1"/>
  <c r="E3031" i="3" a="1"/>
  <c r="E3031" i="3" s="1"/>
  <c r="E3030" i="3" a="1"/>
  <c r="E3030" i="3" s="1"/>
  <c r="E3029" i="3" a="1"/>
  <c r="E3029" i="3" s="1"/>
  <c r="E3028" i="3" a="1"/>
  <c r="E3028" i="3" s="1"/>
  <c r="E3027" i="3" a="1"/>
  <c r="E3027" i="3" s="1"/>
  <c r="E3026" i="3" a="1"/>
  <c r="E3026" i="3" s="1"/>
  <c r="E3025" i="3" a="1"/>
  <c r="E3025" i="3" s="1"/>
  <c r="E3024" i="3" a="1"/>
  <c r="E3024" i="3" s="1"/>
  <c r="E3023" i="3" a="1"/>
  <c r="E3023" i="3" s="1"/>
  <c r="E3022" i="3" a="1"/>
  <c r="E3022" i="3" s="1"/>
  <c r="E3021" i="3" a="1"/>
  <c r="E3021" i="3" s="1"/>
  <c r="E3020" i="3" a="1"/>
  <c r="E3020" i="3" s="1"/>
  <c r="E3019" i="3" a="1"/>
  <c r="E3019" i="3" s="1"/>
  <c r="E3018" i="3" a="1"/>
  <c r="E3018" i="3" s="1"/>
  <c r="E3017" i="3" a="1"/>
  <c r="E3017" i="3" s="1"/>
  <c r="E3016" i="3" a="1"/>
  <c r="E3016" i="3" s="1"/>
  <c r="E3015" i="3" a="1"/>
  <c r="E3015" i="3" s="1"/>
  <c r="E3014" i="3" a="1"/>
  <c r="E3014" i="3" s="1"/>
  <c r="E3013" i="3" a="1"/>
  <c r="E3013" i="3" s="1"/>
  <c r="E3012" i="3" a="1"/>
  <c r="E3012" i="3" s="1"/>
  <c r="E3011" i="3" a="1"/>
  <c r="E3011" i="3" s="1"/>
  <c r="E3010" i="3" a="1"/>
  <c r="E3010" i="3" s="1"/>
  <c r="E3009" i="3" a="1"/>
  <c r="E3009" i="3" s="1"/>
  <c r="E3008" i="3" a="1"/>
  <c r="E3008" i="3" s="1"/>
  <c r="E3007" i="3" a="1"/>
  <c r="E3007" i="3" s="1"/>
  <c r="E3006" i="3" a="1"/>
  <c r="E3006" i="3" s="1"/>
  <c r="E3005" i="3" a="1"/>
  <c r="E3005" i="3" s="1"/>
  <c r="E3004" i="3" a="1"/>
  <c r="E3004" i="3" s="1"/>
  <c r="E3003" i="3" a="1"/>
  <c r="E3003" i="3" s="1"/>
  <c r="E3002" i="3" a="1"/>
  <c r="E3002" i="3" s="1"/>
  <c r="E3001" i="3" a="1"/>
  <c r="E3001" i="3" s="1"/>
  <c r="E3000" i="3" a="1"/>
  <c r="E3000" i="3" s="1"/>
  <c r="E2999" i="3" a="1"/>
  <c r="E2999" i="3" s="1"/>
  <c r="E2998" i="3" a="1"/>
  <c r="E2998" i="3" s="1"/>
  <c r="E2997" i="3" a="1"/>
  <c r="E2997" i="3" s="1"/>
  <c r="E2996" i="3" a="1"/>
  <c r="E2996" i="3" s="1"/>
  <c r="E2995" i="3" a="1"/>
  <c r="E2995" i="3" s="1"/>
  <c r="E2994" i="3" a="1"/>
  <c r="E2994" i="3" s="1"/>
  <c r="E2993" i="3" a="1"/>
  <c r="E2993" i="3" s="1"/>
  <c r="E2992" i="3" a="1"/>
  <c r="E2992" i="3" s="1"/>
  <c r="E2991" i="3" a="1"/>
  <c r="E2991" i="3" s="1"/>
  <c r="E2990" i="3" a="1"/>
  <c r="E2990" i="3" s="1"/>
  <c r="E2989" i="3" a="1"/>
  <c r="E2989" i="3" s="1"/>
  <c r="E2988" i="3" a="1"/>
  <c r="E2988" i="3" s="1"/>
  <c r="E2987" i="3" a="1"/>
  <c r="E2987" i="3" s="1"/>
  <c r="E2986" i="3" a="1"/>
  <c r="E2986" i="3" s="1"/>
  <c r="E2985" i="3" a="1"/>
  <c r="E2985" i="3" s="1"/>
  <c r="E2984" i="3" a="1"/>
  <c r="E2984" i="3" s="1"/>
  <c r="E2983" i="3" a="1"/>
  <c r="E2983" i="3" s="1"/>
  <c r="E2982" i="3" a="1"/>
  <c r="E2982" i="3" s="1"/>
  <c r="E2981" i="3" a="1"/>
  <c r="E2981" i="3" s="1"/>
  <c r="E2980" i="3" a="1"/>
  <c r="E2980" i="3" s="1"/>
  <c r="E2979" i="3" a="1"/>
  <c r="E2979" i="3" s="1"/>
  <c r="E2978" i="3" a="1"/>
  <c r="E2978" i="3" s="1"/>
  <c r="E2977" i="3" a="1"/>
  <c r="E2977" i="3" s="1"/>
  <c r="E2976" i="3" a="1"/>
  <c r="E2976" i="3" s="1"/>
  <c r="E2975" i="3" a="1"/>
  <c r="E2975" i="3" s="1"/>
  <c r="E2974" i="3" a="1"/>
  <c r="E2974" i="3" s="1"/>
  <c r="E2973" i="3" a="1"/>
  <c r="E2973" i="3" s="1"/>
  <c r="E2972" i="3" a="1"/>
  <c r="E2972" i="3" s="1"/>
  <c r="E2971" i="3" a="1"/>
  <c r="E2971" i="3" s="1"/>
  <c r="E2970" i="3" a="1"/>
  <c r="E2970" i="3" s="1"/>
  <c r="E2969" i="3" a="1"/>
  <c r="E2969" i="3" s="1"/>
  <c r="E2968" i="3" a="1"/>
  <c r="E2968" i="3" s="1"/>
  <c r="E2967" i="3" a="1"/>
  <c r="E2967" i="3" s="1"/>
  <c r="E2966" i="3" a="1"/>
  <c r="E2966" i="3" s="1"/>
  <c r="E2965" i="3" a="1"/>
  <c r="E2965" i="3" s="1"/>
  <c r="E2964" i="3" a="1"/>
  <c r="E2964" i="3" s="1"/>
  <c r="E2963" i="3" a="1"/>
  <c r="E2963" i="3" s="1"/>
  <c r="E2962" i="3" a="1"/>
  <c r="E2962" i="3" s="1"/>
  <c r="E2961" i="3" a="1"/>
  <c r="E2961" i="3" s="1"/>
  <c r="E2960" i="3" a="1"/>
  <c r="E2960" i="3" s="1"/>
  <c r="E2959" i="3" a="1"/>
  <c r="E2959" i="3" s="1"/>
  <c r="E2958" i="3" a="1"/>
  <c r="E2958" i="3" s="1"/>
  <c r="E2957" i="3" a="1"/>
  <c r="E2957" i="3" s="1"/>
  <c r="E2956" i="3" a="1"/>
  <c r="E2956" i="3" s="1"/>
  <c r="E2955" i="3" a="1"/>
  <c r="E2955" i="3" s="1"/>
  <c r="E2954" i="3" a="1"/>
  <c r="E2954" i="3" s="1"/>
  <c r="E2953" i="3" a="1"/>
  <c r="E2953" i="3" s="1"/>
  <c r="E2952" i="3" a="1"/>
  <c r="E2952" i="3" s="1"/>
  <c r="E2951" i="3" a="1"/>
  <c r="E2951" i="3" s="1"/>
  <c r="E2950" i="3" a="1"/>
  <c r="E2950" i="3" s="1"/>
  <c r="E2949" i="3" a="1"/>
  <c r="E2949" i="3" s="1"/>
  <c r="E2948" i="3" a="1"/>
  <c r="E2948" i="3" s="1"/>
  <c r="E2947" i="3" a="1"/>
  <c r="E2947" i="3" s="1"/>
  <c r="E2946" i="3" a="1"/>
  <c r="E2946" i="3" s="1"/>
  <c r="E2945" i="3" a="1"/>
  <c r="E2945" i="3" s="1"/>
  <c r="E2944" i="3" a="1"/>
  <c r="E2944" i="3" s="1"/>
  <c r="E2943" i="3" a="1"/>
  <c r="E2943" i="3" s="1"/>
  <c r="E2942" i="3" a="1"/>
  <c r="E2942" i="3" s="1"/>
  <c r="E2941" i="3" a="1"/>
  <c r="E2941" i="3" s="1"/>
  <c r="E2940" i="3" a="1"/>
  <c r="E2940" i="3" s="1"/>
  <c r="E2939" i="3" a="1"/>
  <c r="E2939" i="3" s="1"/>
  <c r="E2938" i="3" a="1"/>
  <c r="E2938" i="3" s="1"/>
  <c r="E2937" i="3" a="1"/>
  <c r="E2937" i="3" s="1"/>
  <c r="E2936" i="3" a="1"/>
  <c r="E2936" i="3" s="1"/>
  <c r="E2935" i="3" a="1"/>
  <c r="E2935" i="3" s="1"/>
  <c r="E2934" i="3" a="1"/>
  <c r="E2934" i="3" s="1"/>
  <c r="E2933" i="3" a="1"/>
  <c r="E2933" i="3" s="1"/>
  <c r="E2932" i="3" a="1"/>
  <c r="E2932" i="3" s="1"/>
  <c r="E2931" i="3" a="1"/>
  <c r="E2931" i="3" s="1"/>
  <c r="E2930" i="3" a="1"/>
  <c r="E2930" i="3" s="1"/>
  <c r="E2929" i="3" a="1"/>
  <c r="E2929" i="3" s="1"/>
  <c r="E2928" i="3" a="1"/>
  <c r="E2928" i="3" s="1"/>
  <c r="E2927" i="3" a="1"/>
  <c r="E2927" i="3" s="1"/>
  <c r="E2926" i="3" a="1"/>
  <c r="E2926" i="3" s="1"/>
  <c r="E2925" i="3" a="1"/>
  <c r="E2925" i="3" s="1"/>
  <c r="E2924" i="3" a="1"/>
  <c r="E2924" i="3" s="1"/>
  <c r="E2923" i="3" a="1"/>
  <c r="E2923" i="3" s="1"/>
  <c r="E2922" i="3" a="1"/>
  <c r="E2922" i="3" s="1"/>
  <c r="E2921" i="3" a="1"/>
  <c r="E2921" i="3" s="1"/>
  <c r="S45" i="45" s="1"/>
  <c r="E2920" i="3" a="1"/>
  <c r="E2920" i="3" s="1"/>
  <c r="O43" i="45" s="1"/>
  <c r="E2919" i="3" a="1"/>
  <c r="E2919" i="3" s="1"/>
  <c r="F2919" i="3" s="1"/>
  <c r="E2918" i="3" a="1"/>
  <c r="E2918" i="3" s="1"/>
  <c r="F2918" i="3" s="1"/>
  <c r="E2917" i="3" a="1"/>
  <c r="E2917" i="3" s="1"/>
  <c r="F2917" i="3" s="1"/>
  <c r="E2916" i="3" a="1"/>
  <c r="E2916" i="3" s="1"/>
  <c r="F2916" i="3" s="1"/>
  <c r="E2915" i="3" a="1"/>
  <c r="E2915" i="3" s="1"/>
  <c r="F2915" i="3" s="1"/>
  <c r="E2914" i="3" a="1"/>
  <c r="E2914" i="3" s="1"/>
  <c r="F2914" i="3" s="1"/>
  <c r="E2913" i="3" a="1"/>
  <c r="E2913" i="3" s="1"/>
  <c r="F2913" i="3" s="1"/>
  <c r="E2912" i="3" a="1"/>
  <c r="E2912" i="3" s="1"/>
  <c r="F2912" i="3" s="1"/>
  <c r="E2911" i="3" a="1"/>
  <c r="E2911" i="3" s="1"/>
  <c r="F2911" i="3" s="1"/>
  <c r="E2910" i="3" a="1"/>
  <c r="E2910" i="3" s="1"/>
  <c r="F2910" i="3" s="1"/>
  <c r="E2909" i="3" a="1"/>
  <c r="E2909" i="3" s="1"/>
  <c r="F2909" i="3" s="1"/>
  <c r="E2908" i="3" a="1"/>
  <c r="E2908" i="3" s="1"/>
  <c r="F2908" i="3" s="1"/>
  <c r="E2907" i="3" a="1"/>
  <c r="E2907" i="3" s="1"/>
  <c r="F2907" i="3" s="1"/>
  <c r="E2906" i="3" a="1"/>
  <c r="E2906" i="3" s="1"/>
  <c r="F2906" i="3" s="1"/>
  <c r="E2905" i="3" a="1"/>
  <c r="E2905" i="3" s="1"/>
  <c r="F2905" i="3" s="1"/>
  <c r="E2904" i="3" a="1"/>
  <c r="E2904" i="3" s="1"/>
  <c r="F2904" i="3" s="1"/>
  <c r="E2903" i="3" a="1"/>
  <c r="E2903" i="3" s="1"/>
  <c r="F2903" i="3" s="1"/>
  <c r="E2902" i="3" a="1"/>
  <c r="E2902" i="3" s="1"/>
  <c r="F2902" i="3" s="1"/>
  <c r="E2901" i="3" a="1"/>
  <c r="E2901" i="3" s="1"/>
  <c r="F2901" i="3" s="1"/>
  <c r="E2900" i="3" a="1"/>
  <c r="E2900" i="3" s="1"/>
  <c r="F2900" i="3" s="1"/>
  <c r="E2899" i="3" a="1"/>
  <c r="E2899" i="3" s="1"/>
  <c r="F2899" i="3" s="1"/>
  <c r="E2898" i="3" a="1"/>
  <c r="E2898" i="3" s="1"/>
  <c r="F2898" i="3" s="1"/>
  <c r="E2897" i="3" a="1"/>
  <c r="E2897" i="3" s="1"/>
  <c r="F2897" i="3" s="1"/>
  <c r="E2896" i="3" a="1"/>
  <c r="E2896" i="3" s="1"/>
  <c r="F2896" i="3" s="1"/>
  <c r="E2895" i="3" a="1"/>
  <c r="E2895" i="3" s="1"/>
  <c r="F2895" i="3" s="1"/>
  <c r="E2894" i="3" a="1"/>
  <c r="E2894" i="3" s="1"/>
  <c r="F2894" i="3" s="1"/>
  <c r="E2893" i="3" a="1"/>
  <c r="E2893" i="3" s="1"/>
  <c r="F2893" i="3" s="1"/>
  <c r="E2892" i="3" a="1"/>
  <c r="E2892" i="3" s="1"/>
  <c r="F2892" i="3" s="1"/>
  <c r="E2891" i="3" a="1"/>
  <c r="E2891" i="3" s="1"/>
  <c r="F2891" i="3" s="1"/>
  <c r="E2890" i="3" a="1"/>
  <c r="E2890" i="3" s="1"/>
  <c r="F2890" i="3" s="1"/>
  <c r="E2889" i="3" a="1"/>
  <c r="E2889" i="3" s="1"/>
  <c r="F2889" i="3" s="1"/>
  <c r="E2888" i="3" a="1"/>
  <c r="E2888" i="3" s="1"/>
  <c r="F2888" i="3" s="1"/>
  <c r="E2887" i="3" a="1"/>
  <c r="E2887" i="3" s="1"/>
  <c r="F2887" i="3" s="1"/>
  <c r="E2886" i="3" a="1"/>
  <c r="E2886" i="3" s="1"/>
  <c r="F2886" i="3" s="1"/>
  <c r="E2885" i="3" a="1"/>
  <c r="E2885" i="3" s="1"/>
  <c r="F2885" i="3" s="1"/>
  <c r="E2884" i="3" a="1"/>
  <c r="E2884" i="3" s="1"/>
  <c r="F2884" i="3" s="1"/>
  <c r="E2883" i="3" a="1"/>
  <c r="E2883" i="3" s="1"/>
  <c r="F2883" i="3" s="1"/>
  <c r="E2882" i="3" a="1"/>
  <c r="E2882" i="3" s="1"/>
  <c r="F2882" i="3" s="1"/>
  <c r="E2881" i="3" a="1"/>
  <c r="E2881" i="3" s="1"/>
  <c r="F2881" i="3" s="1"/>
  <c r="E2880" i="3" a="1"/>
  <c r="E2880" i="3" s="1"/>
  <c r="F2880" i="3" s="1"/>
  <c r="E2879" i="3" a="1"/>
  <c r="E2879" i="3" s="1"/>
  <c r="F2879" i="3" s="1"/>
  <c r="E2878" i="3" a="1"/>
  <c r="E2878" i="3" s="1"/>
  <c r="F2878" i="3" s="1"/>
  <c r="E2877" i="3" a="1"/>
  <c r="E2877" i="3" s="1"/>
  <c r="F2877" i="3" s="1"/>
  <c r="E2876" i="3" a="1"/>
  <c r="E2876" i="3" s="1"/>
  <c r="F2876" i="3" s="1"/>
  <c r="E2875" i="3" a="1"/>
  <c r="E2875" i="3" s="1"/>
  <c r="F2875" i="3" s="1"/>
  <c r="E2874" i="3" a="1"/>
  <c r="E2874" i="3" s="1"/>
  <c r="F2874" i="3" s="1"/>
  <c r="E2873" i="3" a="1"/>
  <c r="E2873" i="3" s="1"/>
  <c r="F2873" i="3" s="1"/>
  <c r="E2872" i="3" a="1"/>
  <c r="E2872" i="3" s="1"/>
  <c r="F2872" i="3" s="1"/>
  <c r="E2871" i="3" a="1"/>
  <c r="E2871" i="3" s="1"/>
  <c r="F2871" i="3" s="1"/>
  <c r="E2870" i="3" a="1"/>
  <c r="E2870" i="3" s="1"/>
  <c r="F2870" i="3" s="1"/>
  <c r="E2869" i="3" a="1"/>
  <c r="E2869" i="3" s="1"/>
  <c r="F2869" i="3" s="1"/>
  <c r="E2868" i="3" a="1"/>
  <c r="E2868" i="3" s="1"/>
  <c r="F2868" i="3" s="1"/>
  <c r="E2867" i="3" a="1"/>
  <c r="E2867" i="3" s="1"/>
  <c r="F2867" i="3" s="1"/>
  <c r="E2866" i="3" a="1"/>
  <c r="E2866" i="3" s="1"/>
  <c r="F2866" i="3" s="1"/>
  <c r="E2865" i="3" a="1"/>
  <c r="E2865" i="3" s="1"/>
  <c r="F2865" i="3" s="1"/>
  <c r="E2864" i="3" a="1"/>
  <c r="E2864" i="3" s="1"/>
  <c r="F2864" i="3" s="1"/>
  <c r="E2863" i="3" a="1"/>
  <c r="E2863" i="3" s="1"/>
  <c r="F2863" i="3" s="1"/>
  <c r="E2862" i="3" a="1"/>
  <c r="E2862" i="3" s="1"/>
  <c r="F2862" i="3" s="1"/>
  <c r="E2861" i="3" a="1"/>
  <c r="E2861" i="3" s="1"/>
  <c r="F2861" i="3" s="1"/>
  <c r="E2860" i="3" a="1"/>
  <c r="E2860" i="3" s="1"/>
  <c r="F2860" i="3" s="1"/>
  <c r="E2859" i="3" a="1"/>
  <c r="E2859" i="3" s="1"/>
  <c r="F2859" i="3" s="1"/>
  <c r="E2858" i="3" a="1"/>
  <c r="E2858" i="3" s="1"/>
  <c r="F2858" i="3" s="1"/>
  <c r="E2857" i="3" a="1"/>
  <c r="E2857" i="3" s="1"/>
  <c r="F2857" i="3" s="1"/>
  <c r="E2856" i="3" a="1"/>
  <c r="E2856" i="3" s="1"/>
  <c r="F2856" i="3" s="1"/>
  <c r="E2855" i="3" a="1"/>
  <c r="E2855" i="3" s="1"/>
  <c r="F2855" i="3" s="1"/>
  <c r="E2854" i="3" a="1"/>
  <c r="E2854" i="3" s="1"/>
  <c r="F2854" i="3" s="1"/>
  <c r="E2853" i="3" a="1"/>
  <c r="E2853" i="3" s="1"/>
  <c r="F2853" i="3" s="1"/>
  <c r="E2852" i="3" a="1"/>
  <c r="E2852" i="3" s="1"/>
  <c r="F2852" i="3" s="1"/>
  <c r="E2851" i="3" a="1"/>
  <c r="E2851" i="3" s="1"/>
  <c r="F2851" i="3" s="1"/>
  <c r="E2850" i="3" a="1"/>
  <c r="E2850" i="3" s="1"/>
  <c r="F2850" i="3" s="1"/>
  <c r="E2849" i="3" a="1"/>
  <c r="E2849" i="3" s="1"/>
  <c r="F2849" i="3" s="1"/>
  <c r="E2848" i="3" a="1"/>
  <c r="E2848" i="3" s="1"/>
  <c r="F2848" i="3" s="1"/>
  <c r="E2847" i="3" a="1"/>
  <c r="E2847" i="3" s="1"/>
  <c r="F2847" i="3" s="1"/>
  <c r="E2846" i="3" a="1"/>
  <c r="E2846" i="3" s="1"/>
  <c r="F2846" i="3" s="1"/>
  <c r="E2845" i="3" a="1"/>
  <c r="E2845" i="3" s="1"/>
  <c r="F2845" i="3" s="1"/>
  <c r="E2844" i="3" a="1"/>
  <c r="E2844" i="3" s="1"/>
  <c r="F2844" i="3" s="1"/>
  <c r="E2843" i="3" a="1"/>
  <c r="E2843" i="3" s="1"/>
  <c r="F2843" i="3" s="1"/>
  <c r="E2842" i="3" a="1"/>
  <c r="E2842" i="3" s="1"/>
  <c r="F2842" i="3" s="1"/>
  <c r="E2841" i="3" a="1"/>
  <c r="E2841" i="3" s="1"/>
  <c r="F2841" i="3" s="1"/>
  <c r="E2840" i="3" a="1"/>
  <c r="E2840" i="3" s="1"/>
  <c r="F2840" i="3" s="1"/>
  <c r="E2839" i="3" a="1"/>
  <c r="E2839" i="3" s="1"/>
  <c r="F2839" i="3" s="1"/>
  <c r="E2838" i="3" a="1"/>
  <c r="E2838" i="3" s="1"/>
  <c r="F2838" i="3" s="1"/>
  <c r="E2837" i="3" a="1"/>
  <c r="E2837" i="3" s="1"/>
  <c r="F2837" i="3" s="1"/>
  <c r="E2836" i="3" a="1"/>
  <c r="E2836" i="3" s="1"/>
  <c r="F2836" i="3" s="1"/>
  <c r="E2835" i="3" a="1"/>
  <c r="E2835" i="3" s="1"/>
  <c r="F2835" i="3" s="1"/>
  <c r="E2834" i="3" a="1"/>
  <c r="E2834" i="3" s="1"/>
  <c r="F2834" i="3" s="1"/>
  <c r="E2833" i="3" a="1"/>
  <c r="E2833" i="3" s="1"/>
  <c r="F2833" i="3" s="1"/>
  <c r="R34" i="43"/>
  <c r="L34" i="43"/>
  <c r="X33" i="43"/>
  <c r="X32" i="43"/>
  <c r="X31" i="43"/>
  <c r="X30" i="43"/>
  <c r="X29" i="43"/>
  <c r="X28" i="43"/>
  <c r="X27" i="43"/>
  <c r="X26" i="43"/>
  <c r="X25" i="43"/>
  <c r="X19" i="43"/>
  <c r="X18" i="43"/>
  <c r="R20" i="43"/>
  <c r="L20" i="43"/>
  <c r="X12" i="43"/>
  <c r="X11" i="43"/>
  <c r="X10" i="43"/>
  <c r="X9" i="43"/>
  <c r="R13" i="43"/>
  <c r="L13" i="43"/>
  <c r="E2832" i="3" a="1"/>
  <c r="E2832" i="3" s="1"/>
  <c r="E2831" i="3" a="1"/>
  <c r="E2831" i="3" s="1"/>
  <c r="E2830" i="3" a="1"/>
  <c r="E2830" i="3" s="1"/>
  <c r="E2829" i="3" a="1"/>
  <c r="E2829" i="3" s="1"/>
  <c r="E2828" i="3" a="1"/>
  <c r="E2828" i="3" s="1"/>
  <c r="E2827" i="3" a="1"/>
  <c r="E2827" i="3" s="1"/>
  <c r="E2826" i="3" a="1"/>
  <c r="E2826" i="3" s="1"/>
  <c r="E2825" i="3" a="1"/>
  <c r="E2825" i="3" s="1"/>
  <c r="E2824" i="3" a="1"/>
  <c r="E2824" i="3" s="1"/>
  <c r="E2823" i="3" a="1"/>
  <c r="E2823" i="3" s="1"/>
  <c r="E2822" i="3" a="1"/>
  <c r="E2822" i="3" s="1"/>
  <c r="E2821" i="3" a="1"/>
  <c r="E2821" i="3" s="1"/>
  <c r="E2820" i="3" a="1"/>
  <c r="E2820" i="3" s="1"/>
  <c r="E2819" i="3" a="1"/>
  <c r="E2819" i="3" s="1"/>
  <c r="E2818" i="3" a="1"/>
  <c r="E2818" i="3" s="1"/>
  <c r="E2817" i="3" a="1"/>
  <c r="E2817" i="3" s="1"/>
  <c r="E2816" i="3" a="1"/>
  <c r="E2816" i="3" s="1"/>
  <c r="E2815" i="3" a="1"/>
  <c r="E2815" i="3" s="1"/>
  <c r="E2813" i="3" a="1"/>
  <c r="E2813" i="3" s="1"/>
  <c r="E2812" i="3" a="1"/>
  <c r="E2812" i="3" s="1"/>
  <c r="E2811" i="3" a="1"/>
  <c r="E2811" i="3" s="1"/>
  <c r="E2810" i="3" a="1"/>
  <c r="E2810" i="3" s="1"/>
  <c r="E2809" i="3" a="1"/>
  <c r="E2809" i="3" s="1"/>
  <c r="E2808" i="3" a="1"/>
  <c r="E2808" i="3" s="1"/>
  <c r="E2807" i="3" a="1"/>
  <c r="E2807" i="3" s="1"/>
  <c r="E2806" i="3" a="1"/>
  <c r="E2806" i="3" s="1"/>
  <c r="E2805" i="3" a="1"/>
  <c r="E2805" i="3" s="1"/>
  <c r="E2804" i="3" a="1"/>
  <c r="E2804" i="3" s="1"/>
  <c r="E2803" i="3" a="1"/>
  <c r="E2803" i="3" s="1"/>
  <c r="X34" i="43" l="1"/>
  <c r="X20" i="43"/>
  <c r="X13" i="43"/>
  <c r="P60" i="62"/>
  <c r="P59" i="63"/>
  <c r="X40" i="64"/>
  <c r="V62" i="62"/>
  <c r="V61" i="63"/>
  <c r="AB42" i="64"/>
  <c r="P59" i="61"/>
  <c r="T59" i="60"/>
  <c r="V61" i="61"/>
  <c r="X61" i="60"/>
  <c r="V68" i="55"/>
  <c r="P65" i="57"/>
  <c r="T37" i="58"/>
  <c r="P73" i="56"/>
  <c r="Z70" i="55"/>
  <c r="V67" i="57"/>
  <c r="X39" i="58"/>
  <c r="T75" i="56"/>
  <c r="T44" i="53"/>
  <c r="T28" i="54"/>
  <c r="X46" i="53"/>
  <c r="X30" i="54"/>
  <c r="R43" i="50"/>
  <c r="T32" i="52"/>
  <c r="T51" i="51"/>
  <c r="V45" i="50"/>
  <c r="X34" i="52"/>
  <c r="X53" i="51"/>
  <c r="Q21" i="49"/>
  <c r="Q37" i="48"/>
  <c r="U23" i="49"/>
  <c r="U39" i="48"/>
  <c r="U30" i="42"/>
  <c r="O30" i="42"/>
  <c r="AA29" i="42"/>
  <c r="AA28" i="42"/>
  <c r="AM23" i="42"/>
  <c r="AG23" i="42"/>
  <c r="AA23" i="42"/>
  <c r="U23" i="42"/>
  <c r="O23" i="42"/>
  <c r="E2802" i="3" a="1"/>
  <c r="E2802" i="3" s="1"/>
  <c r="X47" i="43" s="1"/>
  <c r="E2801" i="3" a="1"/>
  <c r="E2801" i="3" s="1"/>
  <c r="T45" i="43" s="1"/>
  <c r="E2800" i="3" a="1"/>
  <c r="E2800" i="3" s="1"/>
  <c r="E2799" i="3" a="1"/>
  <c r="E2799" i="3" s="1"/>
  <c r="E2798" i="3" a="1"/>
  <c r="E2798" i="3" s="1"/>
  <c r="E2797" i="3" a="1"/>
  <c r="E2797" i="3" s="1"/>
  <c r="E2796" i="3" a="1"/>
  <c r="E2796" i="3" s="1"/>
  <c r="E2795" i="3" a="1"/>
  <c r="E2795" i="3" s="1"/>
  <c r="E2794" i="3" a="1"/>
  <c r="E2794" i="3" s="1"/>
  <c r="E2793" i="3" a="1"/>
  <c r="E2793" i="3" s="1"/>
  <c r="E2792" i="3" a="1"/>
  <c r="E2792" i="3" s="1"/>
  <c r="E2791" i="3" a="1"/>
  <c r="E2791" i="3" s="1"/>
  <c r="E2790" i="3" a="1"/>
  <c r="E2790" i="3" s="1"/>
  <c r="E2789" i="3" a="1"/>
  <c r="E2789" i="3" s="1"/>
  <c r="E2788" i="3" a="1"/>
  <c r="E2788" i="3" s="1"/>
  <c r="E2787" i="3" a="1"/>
  <c r="E2787" i="3" s="1"/>
  <c r="E2786" i="3" a="1"/>
  <c r="E2786" i="3" s="1"/>
  <c r="E2785" i="3" a="1"/>
  <c r="E2785" i="3" s="1"/>
  <c r="E2784" i="3" a="1"/>
  <c r="E2784" i="3" s="1"/>
  <c r="E2783" i="3" a="1"/>
  <c r="E2783" i="3" s="1"/>
  <c r="E2782" i="3" a="1"/>
  <c r="E2782" i="3" s="1"/>
  <c r="E2781" i="3" a="1"/>
  <c r="E2781" i="3" s="1"/>
  <c r="E2780" i="3" a="1"/>
  <c r="E2780" i="3" s="1"/>
  <c r="F2780" i="3" s="1"/>
  <c r="E2779" i="3" a="1"/>
  <c r="E2779" i="3" s="1"/>
  <c r="E2778" i="3" a="1"/>
  <c r="E2778" i="3" s="1"/>
  <c r="E2777" i="3" a="1"/>
  <c r="E2777" i="3" s="1"/>
  <c r="F2777" i="3" s="1"/>
  <c r="E2776" i="3" a="1"/>
  <c r="E2776" i="3" s="1"/>
  <c r="F2776" i="3" s="1"/>
  <c r="E2775" i="3" a="1"/>
  <c r="E2775" i="3" s="1"/>
  <c r="F2775" i="3" s="1"/>
  <c r="E2774" i="3" a="1"/>
  <c r="E2774" i="3" s="1"/>
  <c r="F2774" i="3" s="1"/>
  <c r="E2773" i="3" a="1"/>
  <c r="E2773" i="3" s="1"/>
  <c r="F2773" i="3" s="1"/>
  <c r="E2716" i="3"/>
  <c r="F2716" i="3" s="1"/>
  <c r="E2772" i="3" a="1"/>
  <c r="E2772" i="3" s="1"/>
  <c r="E2771" i="3" a="1"/>
  <c r="E2771" i="3" s="1"/>
  <c r="F2771" i="3" s="1"/>
  <c r="E2770" i="3" a="1"/>
  <c r="E2770" i="3" s="1"/>
  <c r="F2770" i="3" s="1"/>
  <c r="E2769" i="3" a="1"/>
  <c r="E2769" i="3" s="1"/>
  <c r="F2769" i="3" s="1"/>
  <c r="E2768" i="3" a="1"/>
  <c r="E2768" i="3" s="1"/>
  <c r="F2768" i="3" s="1"/>
  <c r="E2767" i="3" a="1"/>
  <c r="E2767" i="3" s="1"/>
  <c r="F2767" i="3" s="1"/>
  <c r="E2766" i="3" a="1"/>
  <c r="E2766" i="3" s="1"/>
  <c r="E2765" i="3" a="1"/>
  <c r="E2765" i="3" s="1"/>
  <c r="F2765" i="3" s="1"/>
  <c r="E2764" i="3" a="1"/>
  <c r="E2764" i="3" s="1"/>
  <c r="F2764" i="3" s="1"/>
  <c r="E2763" i="3" a="1"/>
  <c r="E2763" i="3" s="1"/>
  <c r="F2763" i="3" s="1"/>
  <c r="E2762" i="3" a="1"/>
  <c r="E2762" i="3" s="1"/>
  <c r="F2762" i="3" s="1"/>
  <c r="E2761" i="3" a="1"/>
  <c r="E2761" i="3" s="1"/>
  <c r="F2761" i="3" s="1"/>
  <c r="E2760" i="3" a="1"/>
  <c r="E2760" i="3" s="1"/>
  <c r="F2760" i="3" s="1"/>
  <c r="E2759" i="3" a="1"/>
  <c r="E2759" i="3" s="1"/>
  <c r="E2758" i="3" a="1"/>
  <c r="E2758" i="3" s="1"/>
  <c r="F2758" i="3" s="1"/>
  <c r="E2757" i="3" a="1"/>
  <c r="E2757" i="3" s="1"/>
  <c r="F2757" i="3" s="1"/>
  <c r="E2756" i="3" a="1"/>
  <c r="E2756" i="3" s="1"/>
  <c r="F2756" i="3" s="1"/>
  <c r="E2755" i="3" a="1"/>
  <c r="E2755" i="3" s="1"/>
  <c r="F2755" i="3" s="1"/>
  <c r="E2739" i="3" a="1"/>
  <c r="E2739" i="3" s="1"/>
  <c r="F2739" i="3" s="1"/>
  <c r="E2754" i="3" a="1"/>
  <c r="E2754" i="3" s="1"/>
  <c r="F2754" i="3" s="1"/>
  <c r="E2753" i="3" a="1"/>
  <c r="E2753" i="3" s="1"/>
  <c r="F2753" i="3" s="1"/>
  <c r="E2752" i="3" a="1"/>
  <c r="E2752" i="3" s="1"/>
  <c r="F2752" i="3" s="1"/>
  <c r="E2751" i="3" a="1"/>
  <c r="E2751" i="3" s="1"/>
  <c r="F2751" i="3" s="1"/>
  <c r="E2750" i="3" a="1"/>
  <c r="E2750" i="3" s="1"/>
  <c r="F2750" i="3" s="1"/>
  <c r="E2749" i="3" a="1"/>
  <c r="E2749" i="3" s="1"/>
  <c r="F2749" i="3" s="1"/>
  <c r="E2748" i="3" a="1"/>
  <c r="E2748" i="3" s="1"/>
  <c r="F2748" i="3" s="1"/>
  <c r="E2747" i="3" a="1"/>
  <c r="E2747" i="3" s="1"/>
  <c r="F2747" i="3" s="1"/>
  <c r="E2746" i="3" a="1"/>
  <c r="E2746" i="3" s="1"/>
  <c r="F2746" i="3" s="1"/>
  <c r="E2745" i="3" a="1"/>
  <c r="E2745" i="3" s="1"/>
  <c r="F2745" i="3" s="1"/>
  <c r="E2744" i="3" a="1"/>
  <c r="E2744" i="3" s="1"/>
  <c r="F2744" i="3" s="1"/>
  <c r="E2743" i="3" a="1"/>
  <c r="E2743" i="3" s="1"/>
  <c r="F2743" i="3" s="1"/>
  <c r="E2742" i="3" a="1"/>
  <c r="E2742" i="3" s="1"/>
  <c r="F2742" i="3" s="1"/>
  <c r="E2741" i="3" a="1"/>
  <c r="E2741" i="3" s="1"/>
  <c r="F2741" i="3" s="1"/>
  <c r="E2740" i="3" a="1"/>
  <c r="E2740" i="3" s="1"/>
  <c r="F2740" i="3" s="1"/>
  <c r="E2738" i="3" a="1"/>
  <c r="E2738" i="3" s="1"/>
  <c r="F2738" i="3" s="1"/>
  <c r="E2737" i="3" a="1"/>
  <c r="E2737" i="3" s="1"/>
  <c r="E2736" i="3" a="1"/>
  <c r="E2736" i="3" s="1"/>
  <c r="E2735" i="3" a="1"/>
  <c r="E2735" i="3" s="1"/>
  <c r="E2734" i="3" a="1"/>
  <c r="E2734" i="3" s="1"/>
  <c r="F2734" i="3" s="1"/>
  <c r="E2733" i="3" a="1"/>
  <c r="E2733" i="3" s="1"/>
  <c r="F2733" i="3" s="1"/>
  <c r="E2732" i="3" a="1"/>
  <c r="E2732" i="3" s="1"/>
  <c r="E2731" i="3" a="1"/>
  <c r="E2731" i="3" s="1"/>
  <c r="E2730" i="3" a="1"/>
  <c r="E2730" i="3" s="1"/>
  <c r="F2730" i="3" s="1"/>
  <c r="E2729" i="3" a="1"/>
  <c r="E2729" i="3" s="1"/>
  <c r="F2729" i="3" s="1"/>
  <c r="E2728" i="3" a="1"/>
  <c r="E2728" i="3" s="1"/>
  <c r="E2727" i="3" a="1"/>
  <c r="E2727" i="3" s="1"/>
  <c r="E2726" i="3" a="1"/>
  <c r="E2726" i="3" s="1"/>
  <c r="F2726" i="3" s="1"/>
  <c r="E2725" i="3" a="1"/>
  <c r="E2725" i="3" s="1"/>
  <c r="F2725" i="3" s="1"/>
  <c r="E2699" i="3"/>
  <c r="F2699" i="3" s="1"/>
  <c r="E2724" i="3" a="1"/>
  <c r="E2724" i="3" s="1"/>
  <c r="F2724" i="3" s="1"/>
  <c r="E2723" i="3" a="1"/>
  <c r="E2723" i="3" s="1"/>
  <c r="F2723" i="3" s="1"/>
  <c r="E2722" i="3" a="1"/>
  <c r="E2722" i="3" s="1"/>
  <c r="F2722" i="3" s="1"/>
  <c r="E2721" i="3" a="1"/>
  <c r="E2721" i="3" s="1"/>
  <c r="E2720" i="3" a="1"/>
  <c r="E2720" i="3" s="1"/>
  <c r="F2720" i="3" s="1"/>
  <c r="E2719" i="3" a="1"/>
  <c r="E2719" i="3" s="1"/>
  <c r="F2719" i="3" s="1"/>
  <c r="E2718" i="3" a="1"/>
  <c r="E2718" i="3" s="1"/>
  <c r="F2718" i="3" s="1"/>
  <c r="E2717" i="3" a="1"/>
  <c r="E2717" i="3" s="1"/>
  <c r="F2717" i="3" s="1"/>
  <c r="E2715" i="3" a="1"/>
  <c r="E2715" i="3" s="1"/>
  <c r="F2715" i="3" s="1"/>
  <c r="E2714" i="3" a="1"/>
  <c r="E2714" i="3" s="1"/>
  <c r="E2713" i="3" a="1"/>
  <c r="E2713" i="3" s="1"/>
  <c r="F2713" i="3" s="1"/>
  <c r="E2712" i="3" a="1"/>
  <c r="E2712" i="3" s="1"/>
  <c r="F2712" i="3" s="1"/>
  <c r="E2711" i="3" a="1"/>
  <c r="E2711" i="3" s="1"/>
  <c r="F2711" i="3" s="1"/>
  <c r="E2710" i="3"/>
  <c r="F2710" i="3" s="1"/>
  <c r="E2709" i="3"/>
  <c r="F2709" i="3" s="1"/>
  <c r="E2708" i="3"/>
  <c r="F2708" i="3" s="1"/>
  <c r="E2707" i="3"/>
  <c r="F2707" i="3" s="1"/>
  <c r="E2706" i="3"/>
  <c r="F2706" i="3" s="1"/>
  <c r="E2705" i="3"/>
  <c r="F2705" i="3" s="1"/>
  <c r="E2704" i="3"/>
  <c r="E2703" i="3"/>
  <c r="F2703" i="3" s="1"/>
  <c r="E2702" i="3"/>
  <c r="F2702" i="3" s="1"/>
  <c r="E2701" i="3"/>
  <c r="F2701" i="3" s="1"/>
  <c r="E2700" i="3"/>
  <c r="F2700" i="3" s="1"/>
  <c r="E2698" i="3"/>
  <c r="F2698" i="3" s="1"/>
  <c r="E2697" i="3"/>
  <c r="F2697" i="3" s="1"/>
  <c r="E2696" i="3"/>
  <c r="F2696" i="3" s="1"/>
  <c r="E2695" i="3"/>
  <c r="F2695" i="3" s="1"/>
  <c r="S22" i="39"/>
  <c r="S16" i="39"/>
  <c r="E2694" i="3" a="1"/>
  <c r="E2694" i="3" s="1"/>
  <c r="E2693" i="3" a="1"/>
  <c r="E2693" i="3" s="1"/>
  <c r="F2693" i="3" s="1"/>
  <c r="E2692" i="3" a="1"/>
  <c r="E2692" i="3" s="1"/>
  <c r="F2692" i="3" s="1"/>
  <c r="E2691" i="3" a="1"/>
  <c r="E2691" i="3" s="1"/>
  <c r="F2691" i="3" s="1"/>
  <c r="E2690" i="3" a="1"/>
  <c r="E2690" i="3" s="1"/>
  <c r="E2689" i="3" a="1"/>
  <c r="E2689" i="3" s="1"/>
  <c r="E2688" i="3" a="1"/>
  <c r="E2688" i="3" s="1"/>
  <c r="E2687" i="3" a="1"/>
  <c r="E2687" i="3" s="1"/>
  <c r="E2686" i="3" a="1"/>
  <c r="E2686" i="3" s="1"/>
  <c r="F2686" i="3" s="1"/>
  <c r="E2685" i="3" a="1"/>
  <c r="E2685" i="3" s="1"/>
  <c r="E2684" i="3" a="1"/>
  <c r="E2684" i="3" s="1"/>
  <c r="F2684" i="3" s="1"/>
  <c r="E2683" i="3" a="1"/>
  <c r="E2683" i="3" s="1"/>
  <c r="E2682" i="3" a="1"/>
  <c r="E2682" i="3" s="1"/>
  <c r="F2682" i="3" s="1"/>
  <c r="E2681" i="3" a="1"/>
  <c r="E2681" i="3" s="1"/>
  <c r="F2681" i="3" s="1"/>
  <c r="E2680" i="3" a="1"/>
  <c r="E2680" i="3" s="1"/>
  <c r="F2680" i="3" s="1"/>
  <c r="E2679" i="3" a="1"/>
  <c r="E2679" i="3" s="1"/>
  <c r="F2679" i="3" s="1"/>
  <c r="E2678" i="3" a="1"/>
  <c r="E2678" i="3" s="1"/>
  <c r="F2678" i="3" s="1"/>
  <c r="AH40" i="38"/>
  <c r="Y40" i="38"/>
  <c r="P40" i="38"/>
  <c r="AH30" i="38"/>
  <c r="Y30" i="38"/>
  <c r="P30" i="38"/>
  <c r="E2661" i="3" a="1"/>
  <c r="E2661" i="3" s="1"/>
  <c r="E2660" i="3" a="1"/>
  <c r="E2660" i="3" s="1"/>
  <c r="E2659" i="3" a="1"/>
  <c r="E2659" i="3" s="1"/>
  <c r="E2656" i="3"/>
  <c r="F2656" i="3" s="1"/>
  <c r="E2677" i="3" a="1"/>
  <c r="E2677" i="3" s="1"/>
  <c r="E2676" i="3" a="1"/>
  <c r="E2676" i="3" s="1"/>
  <c r="E2675" i="3" a="1"/>
  <c r="E2675" i="3" s="1"/>
  <c r="E2674" i="3" a="1"/>
  <c r="E2674" i="3" s="1"/>
  <c r="E2673" i="3" a="1"/>
  <c r="E2673" i="3" s="1"/>
  <c r="E2672" i="3" a="1"/>
  <c r="E2672" i="3" s="1"/>
  <c r="E2671" i="3" a="1"/>
  <c r="E2671" i="3" s="1"/>
  <c r="E2670" i="3" a="1"/>
  <c r="E2670" i="3" s="1"/>
  <c r="E2669" i="3" a="1"/>
  <c r="E2669" i="3" s="1"/>
  <c r="E2668" i="3" a="1"/>
  <c r="E2668" i="3" s="1"/>
  <c r="E2667" i="3" a="1"/>
  <c r="E2667" i="3" s="1"/>
  <c r="E2666" i="3" a="1"/>
  <c r="E2666" i="3" s="1"/>
  <c r="E2665" i="3" a="1"/>
  <c r="E2665" i="3" s="1"/>
  <c r="F2665" i="3" s="1"/>
  <c r="E2664" i="3" a="1"/>
  <c r="E2664" i="3" s="1"/>
  <c r="F2664" i="3" s="1"/>
  <c r="E2663" i="3" a="1"/>
  <c r="E2663" i="3" s="1"/>
  <c r="F2663" i="3" s="1"/>
  <c r="E2662" i="3" a="1"/>
  <c r="E2662" i="3" s="1"/>
  <c r="F2662" i="3" s="1"/>
  <c r="E2658" i="3"/>
  <c r="F2658" i="3" s="1"/>
  <c r="E2657" i="3"/>
  <c r="F2657" i="3" s="1"/>
  <c r="E2655" i="3"/>
  <c r="F2655" i="3" s="1"/>
  <c r="Z35" i="37"/>
  <c r="T35" i="37"/>
  <c r="N35" i="37"/>
  <c r="AL28" i="37"/>
  <c r="AF28" i="37"/>
  <c r="Z28" i="37"/>
  <c r="T28" i="37"/>
  <c r="N28" i="37"/>
  <c r="AL19" i="37"/>
  <c r="AF19" i="37"/>
  <c r="Z19" i="37"/>
  <c r="T19" i="37"/>
  <c r="N19" i="37"/>
  <c r="AL11" i="37"/>
  <c r="AF11" i="37"/>
  <c r="Z11" i="37"/>
  <c r="T11" i="37"/>
  <c r="N11" i="37"/>
  <c r="E2633" i="3"/>
  <c r="E2628" i="3"/>
  <c r="E2623" i="3"/>
  <c r="E2618" i="3"/>
  <c r="E2654" i="3" a="1"/>
  <c r="E2654" i="3" s="1"/>
  <c r="E2653" i="3" a="1"/>
  <c r="E2653" i="3" s="1"/>
  <c r="E2652" i="3" a="1"/>
  <c r="E2652" i="3" s="1"/>
  <c r="E2651" i="3" a="1"/>
  <c r="E2651" i="3" s="1"/>
  <c r="E2650" i="3" a="1"/>
  <c r="E2650" i="3" s="1"/>
  <c r="E2649" i="3" a="1"/>
  <c r="E2649" i="3" s="1"/>
  <c r="E2648" i="3" a="1"/>
  <c r="E2648" i="3" s="1"/>
  <c r="E2647" i="3" a="1"/>
  <c r="E2647" i="3" s="1"/>
  <c r="E2646" i="3" a="1"/>
  <c r="E2646" i="3" s="1"/>
  <c r="E2645" i="3" a="1"/>
  <c r="E2645" i="3" s="1"/>
  <c r="E2644" i="3" a="1"/>
  <c r="E2644" i="3" s="1"/>
  <c r="E2643" i="3" a="1"/>
  <c r="E2643" i="3" s="1"/>
  <c r="E2642" i="3" a="1"/>
  <c r="E2642" i="3" s="1"/>
  <c r="E2641" i="3" a="1"/>
  <c r="E2641" i="3" s="1"/>
  <c r="E2640" i="3" a="1"/>
  <c r="E2640" i="3" s="1"/>
  <c r="E2639" i="3" a="1"/>
  <c r="E2639" i="3" s="1"/>
  <c r="E2638" i="3" a="1"/>
  <c r="E2638" i="3" s="1"/>
  <c r="F2638" i="3" s="1"/>
  <c r="E2637" i="3" a="1"/>
  <c r="E2637" i="3" s="1"/>
  <c r="E2636" i="3" a="1"/>
  <c r="E2636" i="3" s="1"/>
  <c r="E2635" i="3" a="1"/>
  <c r="E2635" i="3" s="1"/>
  <c r="E2634" i="3" a="1"/>
  <c r="E2634" i="3" s="1"/>
  <c r="E2632" i="3" a="1"/>
  <c r="E2632" i="3" s="1"/>
  <c r="E2631" i="3" a="1"/>
  <c r="E2631" i="3" s="1"/>
  <c r="E2630" i="3" a="1"/>
  <c r="E2630" i="3" s="1"/>
  <c r="E2629" i="3" a="1"/>
  <c r="E2629" i="3" s="1"/>
  <c r="E2627" i="3" a="1"/>
  <c r="E2627" i="3" s="1"/>
  <c r="E2626" i="3" a="1"/>
  <c r="E2626" i="3" s="1"/>
  <c r="E2625" i="3" a="1"/>
  <c r="E2625" i="3" s="1"/>
  <c r="E2624" i="3" a="1"/>
  <c r="E2624" i="3" s="1"/>
  <c r="E2622" i="3" a="1"/>
  <c r="E2622" i="3" s="1"/>
  <c r="E2621" i="3" a="1"/>
  <c r="E2621" i="3" s="1"/>
  <c r="E2620" i="3" a="1"/>
  <c r="E2620" i="3" s="1"/>
  <c r="E2619" i="3" a="1"/>
  <c r="E2619" i="3" s="1"/>
  <c r="AK23" i="36"/>
  <c r="AD23" i="36"/>
  <c r="W23" i="36"/>
  <c r="P23" i="36"/>
  <c r="AK13" i="36"/>
  <c r="AD13" i="36"/>
  <c r="W13" i="36"/>
  <c r="P13" i="36"/>
  <c r="E2617" i="3" a="1"/>
  <c r="E2617" i="3" s="1"/>
  <c r="E2616" i="3" a="1"/>
  <c r="E2616" i="3" s="1"/>
  <c r="E2615" i="3" a="1"/>
  <c r="E2615" i="3" s="1"/>
  <c r="E2614" i="3" a="1"/>
  <c r="E2614" i="3" s="1"/>
  <c r="E2613" i="3" a="1"/>
  <c r="E2613" i="3" s="1"/>
  <c r="E2612" i="3" a="1"/>
  <c r="E2612" i="3" s="1"/>
  <c r="E2611" i="3" a="1"/>
  <c r="E2611" i="3" s="1"/>
  <c r="E2610" i="3" a="1"/>
  <c r="E2610" i="3" s="1"/>
  <c r="E2609" i="3" a="1"/>
  <c r="E2609" i="3" s="1"/>
  <c r="E2608" i="3" a="1"/>
  <c r="E2608" i="3" s="1"/>
  <c r="E2607" i="3" a="1"/>
  <c r="E2607" i="3" s="1"/>
  <c r="E2606" i="3" a="1"/>
  <c r="E2606" i="3" s="1"/>
  <c r="E2605" i="3" a="1"/>
  <c r="E2605" i="3" s="1"/>
  <c r="E2604" i="3" a="1"/>
  <c r="E2604" i="3" s="1"/>
  <c r="E2603" i="3" a="1"/>
  <c r="E2603" i="3" s="1"/>
  <c r="E2602" i="3" a="1"/>
  <c r="E2602" i="3" s="1"/>
  <c r="E2601" i="3" a="1"/>
  <c r="E2601" i="3" s="1"/>
  <c r="E2600" i="3" a="1"/>
  <c r="E2600" i="3" s="1"/>
  <c r="E2599" i="3" a="1"/>
  <c r="E2599" i="3" s="1"/>
  <c r="E2598" i="3" a="1"/>
  <c r="E2598" i="3" s="1"/>
  <c r="E2597" i="3" a="1"/>
  <c r="E2597" i="3" s="1"/>
  <c r="E2596" i="3" a="1"/>
  <c r="E2596" i="3" s="1"/>
  <c r="E2595" i="3" a="1"/>
  <c r="E2595" i="3" s="1"/>
  <c r="E2594" i="3" a="1"/>
  <c r="E2594" i="3" s="1"/>
  <c r="AH34" i="35"/>
  <c r="AC34" i="35"/>
  <c r="X34" i="35"/>
  <c r="S34" i="35"/>
  <c r="N34" i="35"/>
  <c r="AH26" i="35"/>
  <c r="AC26" i="35"/>
  <c r="X26" i="35"/>
  <c r="S26" i="35"/>
  <c r="N26" i="35"/>
  <c r="I26" i="35"/>
  <c r="L14" i="35"/>
  <c r="E2593" i="3" a="1"/>
  <c r="E2593" i="3" s="1"/>
  <c r="E2592" i="3" a="1"/>
  <c r="E2592" i="3" s="1"/>
  <c r="E2591" i="3" a="1"/>
  <c r="E2591" i="3" s="1"/>
  <c r="E2590" i="3" a="1"/>
  <c r="E2590" i="3" s="1"/>
  <c r="E2589" i="3" a="1"/>
  <c r="E2589" i="3" s="1"/>
  <c r="E2588" i="3" a="1"/>
  <c r="E2588" i="3" s="1"/>
  <c r="E2587" i="3" a="1"/>
  <c r="E2587" i="3" s="1"/>
  <c r="E2586" i="3" a="1"/>
  <c r="E2586" i="3" s="1"/>
  <c r="E2585" i="3" a="1"/>
  <c r="E2585" i="3" s="1"/>
  <c r="E2584" i="3" a="1"/>
  <c r="E2584" i="3" s="1"/>
  <c r="E2583" i="3" a="1"/>
  <c r="E2583" i="3" s="1"/>
  <c r="E2582" i="3" a="1"/>
  <c r="E2582" i="3" s="1"/>
  <c r="E2581" i="3" a="1"/>
  <c r="E2581" i="3" s="1"/>
  <c r="F2581" i="3" s="1"/>
  <c r="E2580" i="3" a="1"/>
  <c r="E2580" i="3" s="1"/>
  <c r="E2579" i="3" a="1"/>
  <c r="E2579" i="3" s="1"/>
  <c r="E2578" i="3" a="1"/>
  <c r="E2578" i="3" s="1"/>
  <c r="E2577" i="3" a="1"/>
  <c r="E2577" i="3" s="1"/>
  <c r="E2576" i="3" a="1"/>
  <c r="E2576" i="3" s="1"/>
  <c r="E2575" i="3" a="1"/>
  <c r="E2575" i="3" s="1"/>
  <c r="E2574" i="3" a="1"/>
  <c r="E2574" i="3" s="1"/>
  <c r="E2573" i="3" a="1"/>
  <c r="E2573" i="3" s="1"/>
  <c r="E2572" i="3" a="1"/>
  <c r="E2572" i="3" s="1"/>
  <c r="E2571" i="3" a="1"/>
  <c r="E2571" i="3" s="1"/>
  <c r="E2570" i="3" a="1"/>
  <c r="E2570" i="3" s="1"/>
  <c r="E2569" i="3" a="1"/>
  <c r="E2569" i="3" s="1"/>
  <c r="E2568" i="3" a="1"/>
  <c r="E2568" i="3" s="1"/>
  <c r="F2568" i="3" s="1"/>
  <c r="E2567" i="3" a="1"/>
  <c r="E2567" i="3" s="1"/>
  <c r="F2567" i="3" s="1"/>
  <c r="E2566" i="3" a="1"/>
  <c r="E2566" i="3" s="1"/>
  <c r="F2566" i="3" s="1"/>
  <c r="E2565" i="3" a="1"/>
  <c r="E2565" i="3" s="1"/>
  <c r="E2564" i="3" a="1"/>
  <c r="E2564" i="3" s="1"/>
  <c r="E2563" i="3" a="1"/>
  <c r="E2563" i="3" s="1"/>
  <c r="F2563" i="3" s="1"/>
  <c r="E2562" i="3" a="1"/>
  <c r="E2562" i="3" s="1"/>
  <c r="F2562" i="3" s="1"/>
  <c r="AA30" i="42" l="1"/>
  <c r="BI37" i="34"/>
  <c r="BG37" i="34"/>
  <c r="BE37" i="34"/>
  <c r="BC37" i="34"/>
  <c r="BA37" i="34"/>
  <c r="AY37" i="34"/>
  <c r="AW37" i="34"/>
  <c r="AU37" i="34"/>
  <c r="AS37" i="34"/>
  <c r="AQ37" i="34"/>
  <c r="AO37" i="34"/>
  <c r="AM37" i="34"/>
  <c r="AK37" i="34"/>
  <c r="AI37" i="34"/>
  <c r="AG37" i="34"/>
  <c r="AE37" i="34"/>
  <c r="AC37" i="34"/>
  <c r="AA37" i="34"/>
  <c r="Y37" i="34"/>
  <c r="W37" i="34"/>
  <c r="U37" i="34"/>
  <c r="S37" i="34"/>
  <c r="Q37" i="34"/>
  <c r="O37" i="34"/>
  <c r="M37" i="34"/>
  <c r="K37" i="34"/>
  <c r="I37" i="34"/>
  <c r="G37" i="34"/>
  <c r="AA27" i="34"/>
  <c r="AA26" i="34"/>
  <c r="AA25" i="34"/>
  <c r="AA24" i="34"/>
  <c r="E2505" i="3" a="1"/>
  <c r="E2505" i="3" s="1"/>
  <c r="E2504" i="3" a="1"/>
  <c r="E2504" i="3" s="1"/>
  <c r="E2503" i="3" a="1"/>
  <c r="E2503" i="3" s="1"/>
  <c r="E2502" i="3" a="1"/>
  <c r="E2502" i="3" s="1"/>
  <c r="E2501" i="3" a="1"/>
  <c r="E2501" i="3" s="1"/>
  <c r="E2500" i="3" a="1"/>
  <c r="E2500" i="3" s="1"/>
  <c r="E2499" i="3" a="1"/>
  <c r="E2499" i="3" s="1"/>
  <c r="E2498" i="3" a="1"/>
  <c r="E2498" i="3" s="1"/>
  <c r="AA14" i="34"/>
  <c r="AA13" i="34"/>
  <c r="AA12" i="34"/>
  <c r="AA11" i="34"/>
  <c r="AA9" i="34"/>
  <c r="AA8" i="34"/>
  <c r="AA6" i="34"/>
  <c r="E2497" i="3"/>
  <c r="E2496" i="3"/>
  <c r="E2495" i="3"/>
  <c r="E2494" i="3"/>
  <c r="E2493" i="3"/>
  <c r="E2492" i="3"/>
  <c r="E2491" i="3"/>
  <c r="E2490" i="3"/>
  <c r="E2489" i="3"/>
  <c r="E2488" i="3"/>
  <c r="E2487" i="3"/>
  <c r="E2486" i="3"/>
  <c r="E2485" i="3"/>
  <c r="E2484" i="3"/>
  <c r="AB41" i="33"/>
  <c r="AB40" i="33"/>
  <c r="E2456" i="3"/>
  <c r="F2456" i="3" s="1"/>
  <c r="E2453" i="3"/>
  <c r="F2453" i="3" s="1"/>
  <c r="E2483" i="3" a="1"/>
  <c r="E2483" i="3" s="1"/>
  <c r="E2482" i="3" a="1"/>
  <c r="E2482" i="3" s="1"/>
  <c r="E2481" i="3" a="1"/>
  <c r="E2481" i="3" s="1"/>
  <c r="E2480" i="3" a="1"/>
  <c r="E2480" i="3" s="1"/>
  <c r="E2479" i="3" a="1"/>
  <c r="E2479" i="3" s="1"/>
  <c r="E2478" i="3" a="1"/>
  <c r="E2478" i="3" s="1"/>
  <c r="E2477" i="3" a="1"/>
  <c r="E2477" i="3" s="1"/>
  <c r="E2476" i="3" a="1"/>
  <c r="E2476" i="3" s="1"/>
  <c r="E2475" i="3" a="1"/>
  <c r="E2475" i="3" s="1"/>
  <c r="E2474" i="3" a="1"/>
  <c r="E2474" i="3" s="1"/>
  <c r="F2474" i="3" s="1"/>
  <c r="E2473" i="3" a="1"/>
  <c r="E2473" i="3" s="1"/>
  <c r="F2473" i="3" s="1"/>
  <c r="E2472" i="3" a="1"/>
  <c r="E2472" i="3" s="1"/>
  <c r="F2472" i="3" s="1"/>
  <c r="E2471" i="3" a="1"/>
  <c r="E2471" i="3" s="1"/>
  <c r="F2471" i="3" s="1"/>
  <c r="E2470" i="3" a="1"/>
  <c r="E2470" i="3" s="1"/>
  <c r="F2470" i="3" s="1"/>
  <c r="E2469" i="3" a="1"/>
  <c r="E2469" i="3" s="1"/>
  <c r="F2469" i="3" s="1"/>
  <c r="E2468" i="3" a="1"/>
  <c r="E2468" i="3" s="1"/>
  <c r="E2467" i="3" a="1"/>
  <c r="E2467" i="3" s="1"/>
  <c r="E2466" i="3" a="1"/>
  <c r="E2466" i="3" s="1"/>
  <c r="F2466" i="3" s="1"/>
  <c r="E2465" i="3" a="1"/>
  <c r="E2465" i="3" s="1"/>
  <c r="F2465" i="3" s="1"/>
  <c r="E2464" i="3" a="1"/>
  <c r="E2464" i="3" s="1"/>
  <c r="F2464" i="3" s="1"/>
  <c r="E2463" i="3" a="1"/>
  <c r="E2463" i="3" s="1"/>
  <c r="F2463" i="3" s="1"/>
  <c r="E2462" i="3" a="1"/>
  <c r="E2462" i="3" s="1"/>
  <c r="F2462" i="3" s="1"/>
  <c r="E2461" i="3" a="1"/>
  <c r="E2461" i="3" s="1"/>
  <c r="F2461" i="3" s="1"/>
  <c r="E2460" i="3" a="1"/>
  <c r="E2460" i="3" s="1"/>
  <c r="F2460" i="3" s="1"/>
  <c r="E2459" i="3" a="1"/>
  <c r="E2459" i="3" s="1"/>
  <c r="E2458" i="3" a="1"/>
  <c r="E2458" i="3" s="1"/>
  <c r="F2458" i="3" s="1"/>
  <c r="E2457" i="3" a="1"/>
  <c r="E2457" i="3" s="1"/>
  <c r="F2457" i="3" s="1"/>
  <c r="E2455" i="3" a="1"/>
  <c r="E2455" i="3" s="1"/>
  <c r="F2455" i="3" s="1"/>
  <c r="E2454" i="3" a="1"/>
  <c r="E2454" i="3" s="1"/>
  <c r="F2454" i="3" s="1"/>
  <c r="E2452" i="3" a="1"/>
  <c r="E2452" i="3" s="1"/>
  <c r="E2451" i="3" a="1"/>
  <c r="E2451" i="3" s="1"/>
  <c r="E2450" i="3" a="1"/>
  <c r="E2450" i="3" s="1"/>
  <c r="F2450" i="3" s="1"/>
  <c r="E2449" i="3" a="1"/>
  <c r="E2449" i="3" s="1"/>
  <c r="F2449" i="3" s="1"/>
  <c r="E2448" i="3" a="1"/>
  <c r="E2448" i="3" s="1"/>
  <c r="F2448" i="3" s="1"/>
  <c r="E2447" i="3" a="1"/>
  <c r="E2447" i="3" s="1"/>
  <c r="F2447" i="3" s="1"/>
  <c r="E2446" i="3" a="1"/>
  <c r="E2446" i="3" s="1"/>
  <c r="F2446" i="3" s="1"/>
  <c r="E2445" i="3" a="1"/>
  <c r="E2445" i="3" s="1"/>
  <c r="F2445" i="3" s="1"/>
  <c r="AB13" i="32"/>
  <c r="AB12" i="32"/>
  <c r="AB11" i="32"/>
  <c r="E2428" i="3" a="1"/>
  <c r="E2428" i="3" s="1"/>
  <c r="E2427" i="3" a="1"/>
  <c r="E2427" i="3" s="1"/>
  <c r="E2426" i="3" a="1"/>
  <c r="E2426" i="3" s="1"/>
  <c r="E2425" i="3" a="1"/>
  <c r="E2425" i="3" s="1"/>
  <c r="AD6" i="32"/>
  <c r="AA6" i="32"/>
  <c r="E2444" i="3" a="1"/>
  <c r="E2444" i="3" s="1"/>
  <c r="E2443" i="3" a="1"/>
  <c r="E2443" i="3" s="1"/>
  <c r="E2442" i="3" a="1"/>
  <c r="E2442" i="3" s="1"/>
  <c r="E2441" i="3" a="1"/>
  <c r="E2441" i="3" s="1"/>
  <c r="E2440" i="3" a="1"/>
  <c r="E2440" i="3" s="1"/>
  <c r="E2439" i="3" a="1"/>
  <c r="E2439" i="3" s="1"/>
  <c r="F2439" i="3" s="1"/>
  <c r="E2438" i="3" a="1"/>
  <c r="E2438" i="3" s="1"/>
  <c r="F2438" i="3" s="1"/>
  <c r="E2437" i="3" a="1"/>
  <c r="E2437" i="3" s="1"/>
  <c r="F2437" i="3" s="1"/>
  <c r="E2436" i="3" a="1"/>
  <c r="E2436" i="3" s="1"/>
  <c r="F2436" i="3" s="1"/>
  <c r="E2435" i="3" a="1"/>
  <c r="E2435" i="3" s="1"/>
  <c r="F2435" i="3" s="1"/>
  <c r="E2434" i="3" a="1"/>
  <c r="E2434" i="3" s="1"/>
  <c r="E2433" i="3" a="1"/>
  <c r="E2433" i="3" s="1"/>
  <c r="E2432" i="3" a="1"/>
  <c r="E2432" i="3" s="1"/>
  <c r="E2431" i="3" a="1"/>
  <c r="E2431" i="3" s="1"/>
  <c r="E2430" i="3" a="1"/>
  <c r="E2430" i="3" s="1"/>
  <c r="F2430" i="3" s="1"/>
  <c r="E2429" i="3" a="1"/>
  <c r="E2429" i="3" s="1"/>
  <c r="F2429" i="3" s="1"/>
  <c r="E2424" i="3" a="1"/>
  <c r="E2424" i="3" s="1"/>
  <c r="E2423" i="3" a="1"/>
  <c r="E2423" i="3" s="1"/>
  <c r="E2422" i="3" a="1"/>
  <c r="E2422" i="3" s="1"/>
  <c r="E2421" i="3" a="1"/>
  <c r="E2421" i="3" s="1"/>
  <c r="E2420" i="3" a="1"/>
  <c r="E2420" i="3" s="1"/>
  <c r="E2419" i="3" a="1"/>
  <c r="E2419" i="3" s="1"/>
  <c r="AL26" i="31"/>
  <c r="AH26" i="31"/>
  <c r="AD26" i="31"/>
  <c r="Z26" i="31"/>
  <c r="V26" i="31"/>
  <c r="R26" i="31"/>
  <c r="AD20" i="31"/>
  <c r="Z20" i="31"/>
  <c r="V20" i="31"/>
  <c r="R20" i="31"/>
  <c r="AL19" i="31"/>
  <c r="AL18" i="31"/>
  <c r="AL17" i="31"/>
  <c r="AL16" i="31"/>
  <c r="AL15" i="31"/>
  <c r="AH19" i="31"/>
  <c r="AH18" i="31"/>
  <c r="AH17" i="31"/>
  <c r="AH16" i="31"/>
  <c r="AH15" i="31"/>
  <c r="E2418" i="3" a="1"/>
  <c r="E2418" i="3" s="1"/>
  <c r="AF67" i="65" s="1"/>
  <c r="E2417" i="3" a="1"/>
  <c r="E2417" i="3" s="1"/>
  <c r="AB65" i="65" s="1"/>
  <c r="E2416" i="3" a="1"/>
  <c r="E2416" i="3" s="1"/>
  <c r="E2415" i="3" a="1"/>
  <c r="E2415" i="3" s="1"/>
  <c r="E2414" i="3" a="1"/>
  <c r="E2414" i="3" s="1"/>
  <c r="E2413" i="3" a="1"/>
  <c r="E2413" i="3" s="1"/>
  <c r="E2412" i="3" a="1"/>
  <c r="E2412" i="3" s="1"/>
  <c r="E2411" i="3" a="1"/>
  <c r="E2411" i="3" s="1"/>
  <c r="E2410" i="3" a="1"/>
  <c r="E2410" i="3" s="1"/>
  <c r="E2409" i="3" a="1"/>
  <c r="E2409" i="3" s="1"/>
  <c r="E2408" i="3" a="1"/>
  <c r="E2408" i="3" s="1"/>
  <c r="E2407" i="3" a="1"/>
  <c r="E2407" i="3" s="1"/>
  <c r="E2406" i="3" a="1"/>
  <c r="E2406" i="3" s="1"/>
  <c r="E2405" i="3" a="1"/>
  <c r="E2405" i="3" s="1"/>
  <c r="E2404" i="3" a="1"/>
  <c r="E2404" i="3" s="1"/>
  <c r="E2403" i="3" a="1"/>
  <c r="E2403" i="3" s="1"/>
  <c r="E2402" i="3" a="1"/>
  <c r="E2402" i="3" s="1"/>
  <c r="E2401" i="3" a="1"/>
  <c r="E2401" i="3" s="1"/>
  <c r="E2400" i="3" a="1"/>
  <c r="E2400" i="3" s="1"/>
  <c r="E2399" i="3" a="1"/>
  <c r="E2399" i="3" s="1"/>
  <c r="E2398" i="3" a="1"/>
  <c r="E2398" i="3" s="1"/>
  <c r="E2397" i="3" a="1"/>
  <c r="E2397" i="3" s="1"/>
  <c r="E2396" i="3" a="1"/>
  <c r="E2396" i="3" s="1"/>
  <c r="E2395" i="3" a="1"/>
  <c r="E2395" i="3" s="1"/>
  <c r="E2394" i="3" a="1"/>
  <c r="E2394" i="3" s="1"/>
  <c r="E2393" i="3" a="1"/>
  <c r="E2393" i="3" s="1"/>
  <c r="E2392" i="3" a="1"/>
  <c r="E2392" i="3" s="1"/>
  <c r="E2391" i="3" a="1"/>
  <c r="E2391" i="3" s="1"/>
  <c r="E2390" i="3" a="1"/>
  <c r="E2390" i="3" s="1"/>
  <c r="E2389" i="3" a="1"/>
  <c r="E2389" i="3" s="1"/>
  <c r="E2388" i="3" a="1"/>
  <c r="E2388" i="3" s="1"/>
  <c r="E2387" i="3" a="1"/>
  <c r="E2387" i="3" s="1"/>
  <c r="E2386" i="3" a="1"/>
  <c r="E2386" i="3" s="1"/>
  <c r="E2385" i="3" a="1"/>
  <c r="E2385" i="3" s="1"/>
  <c r="E2384" i="3" a="1"/>
  <c r="E2384" i="3" s="1"/>
  <c r="E2383" i="3" a="1"/>
  <c r="E2383" i="3" s="1"/>
  <c r="E2382" i="3" a="1"/>
  <c r="E2382" i="3" s="1"/>
  <c r="E2381" i="3" a="1"/>
  <c r="E2381" i="3" s="1"/>
  <c r="E2372" i="3" a="1"/>
  <c r="E2372" i="3" s="1"/>
  <c r="E2371" i="3" a="1"/>
  <c r="E2371" i="3" s="1"/>
  <c r="F2371" i="3" s="1"/>
  <c r="E2370" i="3" a="1"/>
  <c r="E2370" i="3" s="1"/>
  <c r="F2370" i="3" s="1"/>
  <c r="E2369" i="3" a="1"/>
  <c r="E2369" i="3" s="1"/>
  <c r="F2369" i="3" s="1"/>
  <c r="E2368" i="3" a="1"/>
  <c r="E2368" i="3" s="1"/>
  <c r="F2368" i="3" s="1"/>
  <c r="E2367" i="3" a="1"/>
  <c r="E2367" i="3" s="1"/>
  <c r="F2367" i="3" s="1"/>
  <c r="E2366" i="3" a="1"/>
  <c r="E2366" i="3" s="1"/>
  <c r="F2366" i="3" s="1"/>
  <c r="E2365" i="3" a="1"/>
  <c r="E2365" i="3" s="1"/>
  <c r="F2365" i="3" s="1"/>
  <c r="E2364" i="3" a="1"/>
  <c r="E2364" i="3" s="1"/>
  <c r="F2364" i="3" s="1"/>
  <c r="E2363" i="3" a="1"/>
  <c r="E2363" i="3" s="1"/>
  <c r="F2363" i="3" s="1"/>
  <c r="E2362" i="3"/>
  <c r="F2362" i="3" s="1"/>
  <c r="AH20" i="31" l="1"/>
  <c r="AL20" i="31"/>
  <c r="V45" i="32"/>
  <c r="U37" i="39"/>
  <c r="U49" i="38"/>
  <c r="U43" i="41"/>
  <c r="AC40" i="35"/>
  <c r="W41" i="37"/>
  <c r="U44" i="40"/>
  <c r="W33" i="36"/>
  <c r="R43" i="32"/>
  <c r="Q42" i="40"/>
  <c r="Y38" i="35"/>
  <c r="Q41" i="41"/>
  <c r="Q35" i="39"/>
  <c r="S31" i="36"/>
  <c r="S39" i="37"/>
  <c r="Q47" i="38"/>
  <c r="W40" i="34"/>
  <c r="AA42" i="34"/>
  <c r="V49" i="33"/>
  <c r="Z51" i="33"/>
  <c r="E2328" i="3" l="1" a="1"/>
  <c r="E2328" i="3" s="1"/>
  <c r="F2328" i="3" s="1"/>
  <c r="E2361" i="3" a="1"/>
  <c r="E2361" i="3" s="1"/>
  <c r="E2360" i="3" a="1"/>
  <c r="E2360" i="3" s="1"/>
  <c r="F2360" i="3" s="1"/>
  <c r="E2359" i="3" a="1"/>
  <c r="E2359" i="3" s="1"/>
  <c r="F2359" i="3" s="1"/>
  <c r="E2358" i="3" a="1"/>
  <c r="E2358" i="3" s="1"/>
  <c r="F2358" i="3" s="1"/>
  <c r="E2357" i="3" a="1"/>
  <c r="E2357" i="3" s="1"/>
  <c r="F2357" i="3" s="1"/>
  <c r="E2356" i="3" a="1"/>
  <c r="E2356" i="3" s="1"/>
  <c r="F2356" i="3" s="1"/>
  <c r="E2355" i="3" a="1"/>
  <c r="E2355" i="3" s="1"/>
  <c r="F2355" i="3" s="1"/>
  <c r="E2354" i="3" a="1"/>
  <c r="E2354" i="3" s="1"/>
  <c r="F2354" i="3" s="1"/>
  <c r="E2353" i="3" a="1"/>
  <c r="E2353" i="3" s="1"/>
  <c r="F2353" i="3" s="1"/>
  <c r="E2352" i="3" a="1"/>
  <c r="E2352" i="3" s="1"/>
  <c r="F2352" i="3" s="1"/>
  <c r="E2351" i="3" a="1"/>
  <c r="E2351" i="3" s="1"/>
  <c r="F2351" i="3" s="1"/>
  <c r="E2350" i="3" a="1"/>
  <c r="E2350" i="3" s="1"/>
  <c r="F2350" i="3" s="1"/>
  <c r="E2349" i="3" a="1"/>
  <c r="E2349" i="3" s="1"/>
  <c r="F2349" i="3" s="1"/>
  <c r="E2348" i="3" a="1"/>
  <c r="E2348" i="3" s="1"/>
  <c r="F2348" i="3" s="1"/>
  <c r="E2347" i="3" a="1"/>
  <c r="E2347" i="3" s="1"/>
  <c r="F2347" i="3" s="1"/>
  <c r="E2346" i="3" a="1"/>
  <c r="E2346" i="3" s="1"/>
  <c r="F2346" i="3" s="1"/>
  <c r="E2345" i="3" a="1"/>
  <c r="E2345" i="3" s="1"/>
  <c r="F2345" i="3" s="1"/>
  <c r="E2344" i="3" a="1"/>
  <c r="E2344" i="3" s="1"/>
  <c r="F2344" i="3" s="1"/>
  <c r="E2343" i="3" a="1"/>
  <c r="E2343" i="3" s="1"/>
  <c r="F2343" i="3" s="1"/>
  <c r="E2342" i="3" a="1"/>
  <c r="E2342" i="3" s="1"/>
  <c r="E2341" i="3" a="1"/>
  <c r="E2341" i="3" s="1"/>
  <c r="E2340" i="3" a="1"/>
  <c r="E2340" i="3" s="1"/>
  <c r="E2339" i="3" a="1"/>
  <c r="E2339" i="3" s="1"/>
  <c r="E2338" i="3" a="1"/>
  <c r="E2338" i="3" s="1"/>
  <c r="E2337" i="3" a="1"/>
  <c r="E2337" i="3" s="1"/>
  <c r="E2336" i="3" a="1"/>
  <c r="E2336" i="3" s="1"/>
  <c r="E2335" i="3" a="1"/>
  <c r="E2335" i="3" s="1"/>
  <c r="E2334" i="3" a="1"/>
  <c r="E2334" i="3" s="1"/>
  <c r="E2333" i="3" a="1"/>
  <c r="E2333" i="3" s="1"/>
  <c r="E2332" i="3" a="1"/>
  <c r="E2332" i="3" s="1"/>
  <c r="E2331" i="3" a="1"/>
  <c r="E2331" i="3" s="1"/>
  <c r="E2330" i="3" a="1"/>
  <c r="E2330" i="3" s="1"/>
  <c r="E2329" i="3" a="1"/>
  <c r="E2329" i="3" s="1"/>
  <c r="F2329" i="3" s="1"/>
  <c r="E2327" i="3" a="1"/>
  <c r="E2327" i="3" s="1"/>
  <c r="F2327" i="3" s="1"/>
  <c r="E2326" i="3" a="1"/>
  <c r="E2326" i="3" s="1"/>
  <c r="F2326" i="3" s="1"/>
  <c r="E2325" i="3" a="1"/>
  <c r="E2325" i="3" s="1"/>
  <c r="F2325" i="3" s="1"/>
  <c r="E2324" i="3" a="1"/>
  <c r="E2324" i="3" s="1"/>
  <c r="F2324" i="3" s="1"/>
  <c r="E2323" i="3" a="1"/>
  <c r="E2323" i="3" s="1"/>
  <c r="F2323" i="3" s="1"/>
  <c r="E2322" i="3" a="1"/>
  <c r="E2322" i="3" s="1"/>
  <c r="F2322" i="3" s="1"/>
  <c r="E2321" i="3" a="1"/>
  <c r="E2321" i="3" s="1"/>
  <c r="F2321" i="3" s="1"/>
  <c r="E2320" i="3" a="1"/>
  <c r="E2320" i="3" s="1"/>
  <c r="F2320" i="3" s="1"/>
  <c r="E2319" i="3" a="1"/>
  <c r="E2319" i="3" s="1"/>
  <c r="F2319" i="3" s="1"/>
  <c r="E2318" i="3" a="1"/>
  <c r="E2318" i="3" s="1"/>
  <c r="F2318" i="3" s="1"/>
  <c r="E2317" i="3" a="1"/>
  <c r="E2317" i="3" s="1"/>
  <c r="F2317" i="3" s="1"/>
  <c r="E2316" i="3" a="1"/>
  <c r="E2316" i="3" s="1"/>
  <c r="F2316" i="3" s="1"/>
  <c r="E2315" i="3" a="1"/>
  <c r="E2315" i="3" s="1"/>
  <c r="F2315" i="3" s="1"/>
  <c r="E2314" i="3" a="1"/>
  <c r="E2314" i="3" s="1"/>
  <c r="F2314" i="3" s="1"/>
  <c r="E2313" i="3" a="1"/>
  <c r="E2313" i="3" s="1"/>
  <c r="F2313" i="3" s="1"/>
  <c r="E2312" i="3" a="1"/>
  <c r="E2312" i="3" s="1"/>
  <c r="F2312" i="3" s="1"/>
  <c r="E2311" i="3" a="1"/>
  <c r="E2311" i="3" s="1"/>
  <c r="F2311" i="3" s="1"/>
  <c r="E2310" i="3" a="1"/>
  <c r="E2310" i="3" s="1"/>
  <c r="F2310" i="3" s="1"/>
  <c r="E2309" i="3"/>
  <c r="E2308" i="3"/>
  <c r="E2291" i="3"/>
  <c r="E2290" i="3"/>
  <c r="E2307" i="3"/>
  <c r="E2306" i="3"/>
  <c r="E2305" i="3"/>
  <c r="F2305" i="3" s="1"/>
  <c r="E2304" i="3"/>
  <c r="F2304" i="3" s="1"/>
  <c r="E2303" i="3"/>
  <c r="F2303" i="3" s="1"/>
  <c r="E2302" i="3"/>
  <c r="F2302" i="3" s="1"/>
  <c r="E2301" i="3"/>
  <c r="F2301" i="3" s="1"/>
  <c r="E2300" i="3"/>
  <c r="F2300" i="3" s="1"/>
  <c r="E2299" i="3"/>
  <c r="E2298" i="3"/>
  <c r="F2298" i="3" s="1"/>
  <c r="E2297" i="3"/>
  <c r="E2296" i="3"/>
  <c r="F2296" i="3" s="1"/>
  <c r="E2295" i="3"/>
  <c r="F2295" i="3" s="1"/>
  <c r="E2294" i="3"/>
  <c r="F2294" i="3" s="1"/>
  <c r="E2293" i="3"/>
  <c r="F2293" i="3" s="1"/>
  <c r="E2292" i="3"/>
  <c r="F2292" i="3" s="1"/>
  <c r="E2289" i="3"/>
  <c r="E2288" i="3"/>
  <c r="E2287" i="3"/>
  <c r="X40" i="30" l="1"/>
  <c r="W55" i="29"/>
  <c r="T38" i="30"/>
  <c r="S53" i="29"/>
  <c r="E2286" i="3" l="1" a="1"/>
  <c r="E2286" i="3" s="1"/>
  <c r="E2285" i="3" a="1"/>
  <c r="E2285" i="3" s="1"/>
  <c r="E2284" i="3" a="1"/>
  <c r="E2284" i="3" s="1"/>
  <c r="E2283" i="3" a="1"/>
  <c r="E2283" i="3" s="1"/>
  <c r="E2282" i="3" a="1"/>
  <c r="E2282" i="3" s="1"/>
  <c r="E2281" i="3" a="1"/>
  <c r="E2281" i="3" s="1"/>
  <c r="E2280" i="3" a="1"/>
  <c r="E2280" i="3" s="1"/>
  <c r="E2279" i="3" a="1"/>
  <c r="E2279" i="3" s="1"/>
  <c r="E2278" i="3" a="1"/>
  <c r="E2278" i="3" s="1"/>
  <c r="E2277" i="3" a="1"/>
  <c r="E2277" i="3" s="1"/>
  <c r="E2276" i="3" a="1"/>
  <c r="E2276" i="3" s="1"/>
  <c r="E2275" i="3" a="1"/>
  <c r="E2275" i="3" s="1"/>
  <c r="E2274" i="3" a="1"/>
  <c r="E2274" i="3" s="1"/>
  <c r="E2273" i="3" a="1"/>
  <c r="E2273" i="3" s="1"/>
  <c r="E2272" i="3" a="1"/>
  <c r="E2272" i="3" s="1"/>
  <c r="E2271" i="3" a="1"/>
  <c r="E2271" i="3" s="1"/>
  <c r="E2270" i="3" a="1"/>
  <c r="E2270" i="3" s="1"/>
  <c r="E2269" i="3" a="1"/>
  <c r="E2269" i="3" s="1"/>
  <c r="E2268" i="3" a="1"/>
  <c r="E2268" i="3" s="1"/>
  <c r="E2267" i="3" a="1"/>
  <c r="E2267" i="3" s="1"/>
  <c r="E2266" i="3" a="1"/>
  <c r="E2266" i="3" s="1"/>
  <c r="E2265" i="3" a="1"/>
  <c r="E2265" i="3" s="1"/>
  <c r="E2264" i="3" a="1"/>
  <c r="E2264" i="3" s="1"/>
  <c r="E2263" i="3" a="1"/>
  <c r="E2263" i="3" s="1"/>
  <c r="E2262" i="3" a="1"/>
  <c r="E2262" i="3" s="1"/>
  <c r="E2261" i="3" a="1"/>
  <c r="E2261" i="3" s="1"/>
  <c r="E2260" i="3" a="1"/>
  <c r="E2260" i="3" s="1"/>
  <c r="E2259" i="3" a="1"/>
  <c r="E2259" i="3" s="1"/>
  <c r="E2258" i="3" a="1"/>
  <c r="E2258" i="3" s="1"/>
  <c r="E2257" i="3" a="1"/>
  <c r="E2257" i="3" s="1"/>
  <c r="E2236" i="3" a="1"/>
  <c r="E2236" i="3" s="1"/>
  <c r="E2235" i="3" a="1"/>
  <c r="E2235" i="3" s="1"/>
  <c r="E2234" i="3" a="1"/>
  <c r="E2234" i="3" s="1"/>
  <c r="E2233" i="3" a="1"/>
  <c r="E2233" i="3" s="1"/>
  <c r="E2232" i="3" a="1"/>
  <c r="E2232" i="3" s="1"/>
  <c r="E2231" i="3" a="1"/>
  <c r="E2231" i="3" s="1"/>
  <c r="E2230" i="3" a="1"/>
  <c r="E2230" i="3" s="1"/>
  <c r="E2229" i="3" a="1"/>
  <c r="E2229" i="3" s="1"/>
  <c r="E2228" i="3" a="1"/>
  <c r="E2228" i="3" s="1"/>
  <c r="E2227" i="3" a="1"/>
  <c r="E2227" i="3" s="1"/>
  <c r="E2226" i="3" a="1"/>
  <c r="E2226" i="3" s="1"/>
  <c r="E2225" i="3" a="1"/>
  <c r="E2225" i="3" s="1"/>
  <c r="E2224" i="3" a="1"/>
  <c r="E2224" i="3" s="1"/>
  <c r="E2223" i="3" a="1"/>
  <c r="E2223" i="3" s="1"/>
  <c r="E2222" i="3" a="1"/>
  <c r="E2222" i="3" s="1"/>
  <c r="E2221" i="3" a="1"/>
  <c r="E2221" i="3" s="1"/>
  <c r="E2220" i="3" a="1"/>
  <c r="E2220" i="3" s="1"/>
  <c r="E2219" i="3" a="1"/>
  <c r="E2219" i="3" s="1"/>
  <c r="E2218" i="3" a="1"/>
  <c r="E2218" i="3" s="1"/>
  <c r="E2217" i="3" a="1"/>
  <c r="E2217" i="3" s="1"/>
  <c r="E2216" i="3" a="1"/>
  <c r="E2216" i="3" s="1"/>
  <c r="E2215" i="3" a="1"/>
  <c r="E2215" i="3" s="1"/>
  <c r="E2214" i="3" a="1"/>
  <c r="E2214" i="3" s="1"/>
  <c r="E2213" i="3" a="1"/>
  <c r="E2213" i="3" s="1"/>
  <c r="E2212" i="3" a="1"/>
  <c r="E2212" i="3" s="1"/>
  <c r="E2211" i="3" a="1"/>
  <c r="E2211" i="3" s="1"/>
  <c r="E2210" i="3" a="1"/>
  <c r="E2210" i="3" s="1"/>
  <c r="E2209" i="3" a="1"/>
  <c r="E2209" i="3" s="1"/>
  <c r="E2208" i="3" a="1"/>
  <c r="E2208" i="3" s="1"/>
  <c r="E2207" i="3" a="1"/>
  <c r="E2207" i="3" s="1"/>
  <c r="E2206" i="3" a="1"/>
  <c r="E2206" i="3" s="1"/>
  <c r="E2205" i="3" a="1"/>
  <c r="E2205" i="3" s="1"/>
  <c r="E2204" i="3" a="1"/>
  <c r="E2204" i="3" s="1"/>
  <c r="E2203" i="3" a="1"/>
  <c r="E2203" i="3" s="1"/>
  <c r="E2202" i="3" a="1"/>
  <c r="E2202" i="3" s="1"/>
  <c r="E2201" i="3" a="1"/>
  <c r="E2201" i="3" s="1"/>
  <c r="E2191" i="3" a="1"/>
  <c r="E2191" i="3" s="1"/>
  <c r="E2190" i="3" a="1"/>
  <c r="E2190" i="3" s="1"/>
  <c r="E2189" i="3" a="1"/>
  <c r="E2189" i="3" s="1"/>
  <c r="E2188" i="3" a="1"/>
  <c r="E2188" i="3" s="1"/>
  <c r="E2187" i="3" a="1"/>
  <c r="E2187" i="3" s="1"/>
  <c r="E2186" i="3" a="1"/>
  <c r="E2186" i="3" s="1"/>
  <c r="E2185" i="3" a="1"/>
  <c r="E2185" i="3" s="1"/>
  <c r="E2184" i="3" a="1"/>
  <c r="E2184" i="3" s="1"/>
  <c r="E2183" i="3" a="1"/>
  <c r="E2183" i="3" s="1"/>
  <c r="E2182" i="3" a="1"/>
  <c r="E2182" i="3" s="1"/>
  <c r="E2181" i="3" a="1"/>
  <c r="E2181" i="3" s="1"/>
  <c r="E2180" i="3" a="1"/>
  <c r="E2180" i="3" s="1"/>
  <c r="E2179" i="3" a="1"/>
  <c r="E2179" i="3" s="1"/>
  <c r="E2178" i="3" a="1"/>
  <c r="E2178" i="3" s="1"/>
  <c r="E2177" i="3" a="1"/>
  <c r="E2177" i="3" s="1"/>
  <c r="E2176" i="3" a="1"/>
  <c r="E2176" i="3" s="1"/>
  <c r="E2175" i="3" a="1"/>
  <c r="E2175" i="3" s="1"/>
  <c r="E2174" i="3" a="1"/>
  <c r="E2174" i="3" s="1"/>
  <c r="E2173" i="3" a="1"/>
  <c r="E2173" i="3" s="1"/>
  <c r="E2172" i="3" a="1"/>
  <c r="E2172" i="3" s="1"/>
  <c r="E2171" i="3" a="1"/>
  <c r="E2171" i="3" s="1"/>
  <c r="E2170" i="3" a="1"/>
  <c r="E2170" i="3" s="1"/>
  <c r="E2169" i="3" a="1"/>
  <c r="E2169" i="3" s="1"/>
  <c r="E2168" i="3" a="1"/>
  <c r="E2168" i="3" s="1"/>
  <c r="E2167" i="3" a="1"/>
  <c r="E2167" i="3" s="1"/>
  <c r="E2166" i="3" a="1"/>
  <c r="E2166" i="3" s="1"/>
  <c r="E2165" i="3" a="1"/>
  <c r="E2165" i="3" s="1"/>
  <c r="E2164" i="3" a="1"/>
  <c r="E2164" i="3" s="1"/>
  <c r="E2163" i="3" a="1"/>
  <c r="E2163" i="3" s="1"/>
  <c r="E2162" i="3" a="1"/>
  <c r="E2162" i="3" s="1"/>
  <c r="E2161" i="3" a="1"/>
  <c r="E2161" i="3" s="1"/>
  <c r="E2160" i="3" a="1"/>
  <c r="E2160" i="3" s="1"/>
  <c r="E2159" i="3" a="1"/>
  <c r="E2159" i="3" s="1"/>
  <c r="E2158" i="3" a="1"/>
  <c r="E2158" i="3" s="1"/>
  <c r="E2157" i="3" a="1"/>
  <c r="E2157" i="3" s="1"/>
  <c r="E2156" i="3" a="1"/>
  <c r="E2156" i="3" s="1"/>
  <c r="E2126" i="3" a="1"/>
  <c r="E2126" i="3" s="1"/>
  <c r="E2125" i="3" a="1"/>
  <c r="E2125" i="3" s="1"/>
  <c r="E2124" i="3" a="1"/>
  <c r="E2124" i="3" s="1"/>
  <c r="E2123" i="3" a="1"/>
  <c r="E2123" i="3" s="1"/>
  <c r="E2122" i="3" a="1"/>
  <c r="E2122" i="3" s="1"/>
  <c r="E2121" i="3" a="1"/>
  <c r="E2121" i="3" s="1"/>
  <c r="E2120" i="3" a="1"/>
  <c r="E2120" i="3" s="1"/>
  <c r="E2119" i="3" a="1"/>
  <c r="E2119" i="3" s="1"/>
  <c r="E2118" i="3" a="1"/>
  <c r="E2118" i="3" s="1"/>
  <c r="E2117" i="3" a="1"/>
  <c r="E2117" i="3" s="1"/>
  <c r="E2116" i="3" a="1"/>
  <c r="E2116" i="3" s="1"/>
  <c r="E2115" i="3" a="1"/>
  <c r="E2115" i="3" s="1"/>
  <c r="E2114" i="3" a="1"/>
  <c r="E2114" i="3" s="1"/>
  <c r="E2113" i="3" a="1"/>
  <c r="E2113" i="3" s="1"/>
  <c r="E2112" i="3" a="1"/>
  <c r="E2112" i="3" s="1"/>
  <c r="E2111" i="3" a="1"/>
  <c r="E2111" i="3" s="1"/>
  <c r="E2110" i="3" a="1"/>
  <c r="E2110" i="3" s="1"/>
  <c r="E2109" i="3" a="1"/>
  <c r="E2109" i="3" s="1"/>
  <c r="E2108" i="3" a="1"/>
  <c r="E2108" i="3" s="1"/>
  <c r="E2107" i="3" a="1"/>
  <c r="E2107" i="3" s="1"/>
  <c r="AO39" i="14"/>
  <c r="AK39" i="14"/>
  <c r="AO38" i="14"/>
  <c r="AK38" i="14"/>
  <c r="AO50" i="14" l="1"/>
  <c r="AK50" i="14"/>
  <c r="AO49" i="14"/>
  <c r="AK49" i="14"/>
  <c r="AO47" i="14"/>
  <c r="AK47" i="14"/>
  <c r="AO45" i="14"/>
  <c r="AK45" i="14"/>
  <c r="AO44" i="14"/>
  <c r="AK44" i="14"/>
  <c r="AO42" i="14"/>
  <c r="AK42" i="14"/>
  <c r="AO41" i="14"/>
  <c r="AK41" i="14"/>
  <c r="AO36" i="14"/>
  <c r="AK36" i="14"/>
  <c r="AO34" i="14"/>
  <c r="AK34" i="14"/>
  <c r="AO33" i="14"/>
  <c r="AK33" i="14"/>
  <c r="AO31" i="14"/>
  <c r="AO30" i="14"/>
  <c r="AO29" i="14"/>
  <c r="AO28" i="14"/>
  <c r="AK31" i="14"/>
  <c r="AK30" i="14"/>
  <c r="AK29" i="14"/>
  <c r="AK28" i="14"/>
  <c r="E2078" i="3" a="1"/>
  <c r="E2078" i="3" s="1"/>
  <c r="F2078" i="3" s="1"/>
  <c r="E2073" i="3" a="1"/>
  <c r="E2073" i="3" s="1"/>
  <c r="F2073" i="3" s="1"/>
  <c r="E2068" i="3" a="1"/>
  <c r="E2068" i="3" s="1"/>
  <c r="F2068" i="3" s="1"/>
  <c r="E2063" i="3" a="1"/>
  <c r="E2063" i="3" s="1"/>
  <c r="F2063" i="3" s="1"/>
  <c r="E2058" i="3" a="1"/>
  <c r="E2058" i="3" s="1"/>
  <c r="F2058" i="3" s="1"/>
  <c r="E2091" i="3" a="1"/>
  <c r="E2091" i="3" s="1"/>
  <c r="E2090" i="3" a="1"/>
  <c r="E2090" i="3" s="1"/>
  <c r="E2089" i="3" a="1"/>
  <c r="E2089" i="3" s="1"/>
  <c r="E2088" i="3" a="1"/>
  <c r="E2088" i="3" s="1"/>
  <c r="E2087" i="3" a="1"/>
  <c r="E2087" i="3" s="1"/>
  <c r="E2081" i="3" a="1"/>
  <c r="E2081" i="3" s="1"/>
  <c r="F2081" i="3" s="1"/>
  <c r="E2080" i="3" a="1"/>
  <c r="E2080" i="3" s="1"/>
  <c r="F2080" i="3" s="1"/>
  <c r="E2079" i="3" a="1"/>
  <c r="E2079" i="3" s="1"/>
  <c r="F2079" i="3" s="1"/>
  <c r="E2077" i="3" a="1"/>
  <c r="E2077" i="3" s="1"/>
  <c r="F2077" i="3" s="1"/>
  <c r="E2076" i="3" a="1"/>
  <c r="E2076" i="3" s="1"/>
  <c r="F2076" i="3" s="1"/>
  <c r="E2075" i="3" a="1"/>
  <c r="E2075" i="3" s="1"/>
  <c r="F2075" i="3" s="1"/>
  <c r="E2074" i="3" a="1"/>
  <c r="E2074" i="3" s="1"/>
  <c r="F2074" i="3" s="1"/>
  <c r="E2072" i="3" a="1"/>
  <c r="E2072" i="3" s="1"/>
  <c r="F2072" i="3" s="1"/>
  <c r="E2071" i="3" a="1"/>
  <c r="E2071" i="3" s="1"/>
  <c r="F2071" i="3" s="1"/>
  <c r="E2070" i="3" a="1"/>
  <c r="E2070" i="3" s="1"/>
  <c r="F2070" i="3" s="1"/>
  <c r="E2069" i="3" a="1"/>
  <c r="E2069" i="3" s="1"/>
  <c r="F2069" i="3" s="1"/>
  <c r="E2067" i="3" a="1"/>
  <c r="E2067" i="3" s="1"/>
  <c r="F2067" i="3" s="1"/>
  <c r="E2066" i="3" a="1"/>
  <c r="E2066" i="3" s="1"/>
  <c r="F2066" i="3" s="1"/>
  <c r="E2065" i="3" a="1"/>
  <c r="E2065" i="3" s="1"/>
  <c r="F2065" i="3" s="1"/>
  <c r="E2064" i="3" a="1"/>
  <c r="E2064" i="3" s="1"/>
  <c r="F2064" i="3" s="1"/>
  <c r="E2062" i="3" a="1"/>
  <c r="E2062" i="3" s="1"/>
  <c r="F2062" i="3" s="1"/>
  <c r="E2061" i="3" a="1"/>
  <c r="E2061" i="3" s="1"/>
  <c r="F2061" i="3" s="1"/>
  <c r="E2060" i="3" a="1"/>
  <c r="E2060" i="3" s="1"/>
  <c r="F2060" i="3" s="1"/>
  <c r="E2059" i="3" a="1"/>
  <c r="E2059" i="3" s="1"/>
  <c r="F2059" i="3" s="1"/>
  <c r="E2057" i="3" a="1"/>
  <c r="E2057" i="3" s="1"/>
  <c r="F2057" i="3" s="1"/>
  <c r="B34" i="23" a="1"/>
  <c r="B34" i="23" s="1"/>
  <c r="E2046" i="3" a="1"/>
  <c r="E2046" i="3" s="1"/>
  <c r="E2045" i="3" a="1"/>
  <c r="E2045" i="3" s="1"/>
  <c r="E2044" i="3" a="1"/>
  <c r="E2044" i="3" s="1"/>
  <c r="E2043" i="3" a="1"/>
  <c r="E2043" i="3" s="1"/>
  <c r="E2042" i="3" a="1"/>
  <c r="E2042" i="3" s="1"/>
  <c r="E2031" i="3" a="1"/>
  <c r="E2031" i="3" s="1"/>
  <c r="E2030" i="3" a="1"/>
  <c r="E2030" i="3" s="1"/>
  <c r="E2029" i="3" a="1"/>
  <c r="E2029" i="3" s="1"/>
  <c r="E2028" i="3" a="1"/>
  <c r="E2028" i="3" s="1"/>
  <c r="E2027" i="3" a="1"/>
  <c r="E2027" i="3" s="1"/>
  <c r="E2026" i="3" a="1"/>
  <c r="E2026" i="3" s="1"/>
  <c r="F2026" i="3" s="1"/>
  <c r="E2025" i="3" a="1"/>
  <c r="E2025" i="3" s="1"/>
  <c r="F2025" i="3" s="1"/>
  <c r="E2024" i="3" a="1"/>
  <c r="E2024" i="3" s="1"/>
  <c r="F2024" i="3" s="1"/>
  <c r="E2023" i="3" a="1"/>
  <c r="E2023" i="3" s="1"/>
  <c r="E2022" i="3" a="1"/>
  <c r="E2022" i="3" s="1"/>
  <c r="F2022" i="3" s="1"/>
  <c r="E2021" i="3" a="1"/>
  <c r="E2021" i="3" s="1"/>
  <c r="F2021" i="3" s="1"/>
  <c r="E2020" i="3" a="1"/>
  <c r="E2020" i="3" s="1"/>
  <c r="F2020" i="3" s="1"/>
  <c r="E2019" i="3" a="1"/>
  <c r="E2019" i="3" s="1"/>
  <c r="F2019" i="3" s="1"/>
  <c r="E2018" i="3" a="1"/>
  <c r="E2018" i="3" s="1"/>
  <c r="F2018" i="3" s="1"/>
  <c r="E2017" i="3" a="1"/>
  <c r="E2017" i="3" s="1"/>
  <c r="F2017" i="3" s="1"/>
  <c r="E2016" i="3" a="1"/>
  <c r="E2016" i="3" s="1"/>
  <c r="F2016" i="3" s="1"/>
  <c r="E2015" i="3" a="1"/>
  <c r="E2015" i="3" s="1"/>
  <c r="F2015" i="3" s="1"/>
  <c r="E2014" i="3" a="1"/>
  <c r="E2014" i="3" s="1"/>
  <c r="F2014" i="3" s="1"/>
  <c r="K21" i="22" l="1"/>
  <c r="P21" i="22"/>
  <c r="U21" i="22"/>
  <c r="Z21" i="22"/>
  <c r="AE21" i="22"/>
  <c r="AJ21" i="22"/>
  <c r="AO21" i="22"/>
  <c r="AT20" i="22"/>
  <c r="AT19" i="22"/>
  <c r="AT18" i="22"/>
  <c r="AT17" i="22"/>
  <c r="AT16" i="22"/>
  <c r="AT15" i="22"/>
  <c r="AT13" i="22"/>
  <c r="AT12" i="22"/>
  <c r="AT11" i="22"/>
  <c r="AT10" i="22"/>
  <c r="AT9" i="22"/>
  <c r="AT8" i="22"/>
  <c r="AT7" i="22"/>
  <c r="E2013" i="3" a="1"/>
  <c r="E2013" i="3" s="1"/>
  <c r="E2012" i="3" a="1"/>
  <c r="E2012" i="3" s="1"/>
  <c r="E2011" i="3" a="1"/>
  <c r="E2011" i="3" s="1"/>
  <c r="E2010" i="3" a="1"/>
  <c r="E2010" i="3" s="1"/>
  <c r="E2009" i="3" a="1"/>
  <c r="E2009" i="3" s="1"/>
  <c r="E2008" i="3" a="1"/>
  <c r="E2008" i="3" s="1"/>
  <c r="E2007" i="3" a="1"/>
  <c r="E2007" i="3" s="1"/>
  <c r="E2006" i="3" a="1"/>
  <c r="E2006" i="3" s="1"/>
  <c r="E2005" i="3" a="1"/>
  <c r="E2005" i="3" s="1"/>
  <c r="E2004" i="3" a="1"/>
  <c r="E2004" i="3" s="1"/>
  <c r="E2003" i="3" a="1"/>
  <c r="E2003" i="3" s="1"/>
  <c r="E2002" i="3" a="1"/>
  <c r="E2002" i="3" s="1"/>
  <c r="E2001" i="3" a="1"/>
  <c r="E2001" i="3" s="1"/>
  <c r="E2000" i="3" a="1"/>
  <c r="E2000" i="3" s="1"/>
  <c r="E1999" i="3" a="1"/>
  <c r="E1999" i="3" s="1"/>
  <c r="E1998" i="3" a="1"/>
  <c r="E1998" i="3" s="1"/>
  <c r="E1997" i="3" a="1"/>
  <c r="E1997" i="3" s="1"/>
  <c r="E1996" i="3" a="1"/>
  <c r="E1996" i="3" s="1"/>
  <c r="E1995" i="3" a="1"/>
  <c r="E1995" i="3" s="1"/>
  <c r="E1994" i="3" a="1"/>
  <c r="E1994" i="3" s="1"/>
  <c r="E1993" i="3" a="1"/>
  <c r="E1993" i="3" s="1"/>
  <c r="E1992" i="3" a="1"/>
  <c r="E1992" i="3" s="1"/>
  <c r="E1991" i="3" a="1"/>
  <c r="E1991" i="3" s="1"/>
  <c r="E1990" i="3" a="1"/>
  <c r="E1990" i="3" s="1"/>
  <c r="E1989" i="3" a="1"/>
  <c r="E1989" i="3" s="1"/>
  <c r="E1988" i="3" a="1"/>
  <c r="E1988" i="3" s="1"/>
  <c r="E1987" i="3" a="1"/>
  <c r="E1987" i="3" s="1"/>
  <c r="E1986" i="3" a="1"/>
  <c r="E1986" i="3" s="1"/>
  <c r="E1985" i="3" a="1"/>
  <c r="E1985" i="3" s="1"/>
  <c r="E1984" i="3" a="1"/>
  <c r="E1984" i="3" s="1"/>
  <c r="E1983" i="3" a="1"/>
  <c r="E1983" i="3" s="1"/>
  <c r="E1982" i="3" a="1"/>
  <c r="E1982" i="3" s="1"/>
  <c r="E1981" i="3" a="1"/>
  <c r="E1981" i="3" s="1"/>
  <c r="E1980" i="3" a="1"/>
  <c r="E1980" i="3" s="1"/>
  <c r="E1979" i="3" a="1"/>
  <c r="E1979" i="3" s="1"/>
  <c r="E1978" i="3" a="1"/>
  <c r="E1978" i="3" s="1"/>
  <c r="E1977" i="3" a="1"/>
  <c r="E1977" i="3" s="1"/>
  <c r="E1976" i="3" a="1"/>
  <c r="E1976" i="3" s="1"/>
  <c r="E1975" i="3" a="1"/>
  <c r="E1975" i="3" s="1"/>
  <c r="E1974" i="3" a="1"/>
  <c r="E1974" i="3" s="1"/>
  <c r="E1973" i="3" a="1"/>
  <c r="E1973" i="3" s="1"/>
  <c r="E1972" i="3" a="1"/>
  <c r="E1972" i="3" s="1"/>
  <c r="E1971" i="3" a="1"/>
  <c r="E1971" i="3" s="1"/>
  <c r="E1970" i="3" a="1"/>
  <c r="E1970" i="3" s="1"/>
  <c r="E1969" i="3" a="1"/>
  <c r="E1969" i="3" s="1"/>
  <c r="E1968" i="3" a="1"/>
  <c r="E1968" i="3" s="1"/>
  <c r="E1967" i="3" a="1"/>
  <c r="E1967" i="3" s="1"/>
  <c r="E1966" i="3" a="1"/>
  <c r="E1966" i="3" s="1"/>
  <c r="E1965" i="3" a="1"/>
  <c r="E1965" i="3" s="1"/>
  <c r="E1964" i="3" a="1"/>
  <c r="E1964" i="3" s="1"/>
  <c r="E1963" i="3" a="1"/>
  <c r="E1963" i="3" s="1"/>
  <c r="E1962" i="3" a="1"/>
  <c r="E1962" i="3" s="1"/>
  <c r="E1961" i="3" a="1"/>
  <c r="E1961" i="3" s="1"/>
  <c r="E1960" i="3" a="1"/>
  <c r="E1960" i="3" s="1"/>
  <c r="E1959" i="3" a="1"/>
  <c r="E1959" i="3" s="1"/>
  <c r="E1958" i="3" a="1"/>
  <c r="E1958" i="3" s="1"/>
  <c r="E1957" i="3" a="1"/>
  <c r="E1957" i="3" s="1"/>
  <c r="E1956" i="3" a="1"/>
  <c r="E1956" i="3" s="1"/>
  <c r="E1955" i="3" a="1"/>
  <c r="E1955" i="3" s="1"/>
  <c r="E1954" i="3" a="1"/>
  <c r="E1954" i="3" s="1"/>
  <c r="E1953" i="3" a="1"/>
  <c r="E1953" i="3" s="1"/>
  <c r="E1952" i="3" a="1"/>
  <c r="E1952" i="3" s="1"/>
  <c r="E1951" i="3" a="1"/>
  <c r="E1951" i="3" s="1"/>
  <c r="E1950" i="3" a="1"/>
  <c r="E1950" i="3" s="1"/>
  <c r="E1949" i="3" a="1"/>
  <c r="E1949" i="3" s="1"/>
  <c r="E1948" i="3" a="1"/>
  <c r="E1948" i="3" s="1"/>
  <c r="E1947" i="3" a="1"/>
  <c r="E1947" i="3" s="1"/>
  <c r="E1946" i="3" a="1"/>
  <c r="E1946" i="3" s="1"/>
  <c r="E1945" i="3" a="1"/>
  <c r="E1945" i="3" s="1"/>
  <c r="E1944" i="3" a="1"/>
  <c r="E1944" i="3" s="1"/>
  <c r="E1943" i="3" a="1"/>
  <c r="E1943" i="3" s="1"/>
  <c r="E1942" i="3" a="1"/>
  <c r="E1942" i="3" s="1"/>
  <c r="E1941" i="3" a="1"/>
  <c r="E1941" i="3" s="1"/>
  <c r="E1940" i="3" a="1"/>
  <c r="E1940" i="3" s="1"/>
  <c r="E1939" i="3" a="1"/>
  <c r="E1939" i="3" s="1"/>
  <c r="E1938" i="3" a="1"/>
  <c r="E1938" i="3" s="1"/>
  <c r="E1937" i="3" a="1"/>
  <c r="E1937" i="3" s="1"/>
  <c r="E1936" i="3" a="1"/>
  <c r="E1936" i="3" s="1"/>
  <c r="E1935" i="3" a="1"/>
  <c r="E1935" i="3" s="1"/>
  <c r="E1934" i="3" a="1"/>
  <c r="E1934" i="3" s="1"/>
  <c r="E1933" i="3" a="1"/>
  <c r="E1933" i="3" s="1"/>
  <c r="E1932" i="3" a="1"/>
  <c r="E1932" i="3" s="1"/>
  <c r="E1931" i="3" a="1"/>
  <c r="E1931" i="3" s="1"/>
  <c r="E1930" i="3" a="1"/>
  <c r="E1930" i="3" s="1"/>
  <c r="E1929" i="3" a="1"/>
  <c r="E1929" i="3" s="1"/>
  <c r="E1928" i="3" a="1"/>
  <c r="E1928" i="3" s="1"/>
  <c r="E1927" i="3" a="1"/>
  <c r="E1927" i="3" s="1"/>
  <c r="E1926" i="3" a="1"/>
  <c r="E1926" i="3" s="1"/>
  <c r="E1925" i="3" a="1"/>
  <c r="E1925" i="3" s="1"/>
  <c r="E1924" i="3" a="1"/>
  <c r="E1924" i="3" s="1"/>
  <c r="E1923" i="3" a="1"/>
  <c r="E1923" i="3" s="1"/>
  <c r="AT17" i="21"/>
  <c r="AT16" i="21"/>
  <c r="AT15" i="21"/>
  <c r="AT14" i="21"/>
  <c r="AT13" i="21"/>
  <c r="AT11" i="21"/>
  <c r="AT10" i="21"/>
  <c r="AT9" i="21"/>
  <c r="AT8" i="21"/>
  <c r="AT7" i="21"/>
  <c r="AO18" i="21"/>
  <c r="AJ18" i="21"/>
  <c r="AE18" i="21"/>
  <c r="Z18" i="21"/>
  <c r="P18" i="21"/>
  <c r="U18" i="21"/>
  <c r="K18" i="21"/>
  <c r="E1922" i="3" a="1"/>
  <c r="E1922" i="3" s="1"/>
  <c r="S33" i="22" s="1"/>
  <c r="E1921" i="3" a="1"/>
  <c r="E1921" i="3" s="1"/>
  <c r="E1920" i="3" a="1"/>
  <c r="E1920" i="3" s="1"/>
  <c r="E1919" i="3" a="1"/>
  <c r="E1919" i="3" s="1"/>
  <c r="E1918" i="3" a="1"/>
  <c r="E1918" i="3" s="1"/>
  <c r="E1917" i="3" a="1"/>
  <c r="E1917" i="3" s="1"/>
  <c r="E1916" i="3" a="1"/>
  <c r="E1916" i="3" s="1"/>
  <c r="E1915" i="3" a="1"/>
  <c r="E1915" i="3" s="1"/>
  <c r="E1914" i="3" a="1"/>
  <c r="E1914" i="3" s="1"/>
  <c r="E1913" i="3" a="1"/>
  <c r="E1913" i="3" s="1"/>
  <c r="E1912" i="3" a="1"/>
  <c r="E1912" i="3" s="1"/>
  <c r="E1911" i="3" a="1"/>
  <c r="E1911" i="3" s="1"/>
  <c r="E1910" i="3" a="1"/>
  <c r="E1910" i="3" s="1"/>
  <c r="E1909" i="3" a="1"/>
  <c r="E1909" i="3" s="1"/>
  <c r="E1908" i="3" a="1"/>
  <c r="E1908" i="3" s="1"/>
  <c r="E1907" i="3" a="1"/>
  <c r="E1907" i="3" s="1"/>
  <c r="E1906" i="3" a="1"/>
  <c r="E1906" i="3" s="1"/>
  <c r="E1905" i="3" a="1"/>
  <c r="E1905" i="3" s="1"/>
  <c r="E1904" i="3" a="1"/>
  <c r="E1904" i="3" s="1"/>
  <c r="E1903" i="3" a="1"/>
  <c r="E1903" i="3" s="1"/>
  <c r="E1902" i="3" a="1"/>
  <c r="E1902" i="3" s="1"/>
  <c r="E1901" i="3" a="1"/>
  <c r="E1901" i="3" s="1"/>
  <c r="E1900" i="3" a="1"/>
  <c r="E1900" i="3" s="1"/>
  <c r="E1899" i="3" a="1"/>
  <c r="E1899" i="3" s="1"/>
  <c r="E1898" i="3" a="1"/>
  <c r="E1898" i="3" s="1"/>
  <c r="E1897" i="3" a="1"/>
  <c r="E1897" i="3" s="1"/>
  <c r="E1896" i="3" a="1"/>
  <c r="E1896" i="3" s="1"/>
  <c r="E1895" i="3" a="1"/>
  <c r="E1895" i="3" s="1"/>
  <c r="E1894" i="3" a="1"/>
  <c r="E1894" i="3" s="1"/>
  <c r="E1893" i="3" a="1"/>
  <c r="E1893" i="3" s="1"/>
  <c r="E1892" i="3" a="1"/>
  <c r="E1892" i="3" s="1"/>
  <c r="E1891" i="3" a="1"/>
  <c r="E1891" i="3" s="1"/>
  <c r="E1890" i="3" a="1"/>
  <c r="E1890" i="3" s="1"/>
  <c r="E1889" i="3" a="1"/>
  <c r="E1889" i="3" s="1"/>
  <c r="E1888" i="3" a="1"/>
  <c r="E1888" i="3" s="1"/>
  <c r="E1887" i="3" a="1"/>
  <c r="E1887" i="3" s="1"/>
  <c r="E1886" i="3" a="1"/>
  <c r="E1886" i="3" s="1"/>
  <c r="E1885" i="3" a="1"/>
  <c r="E1885" i="3" s="1"/>
  <c r="E1884" i="3" a="1"/>
  <c r="E1884" i="3" s="1"/>
  <c r="E1883" i="3" a="1"/>
  <c r="E1883" i="3" s="1"/>
  <c r="E1882" i="3" a="1"/>
  <c r="E1882" i="3" s="1"/>
  <c r="E1881" i="3" a="1"/>
  <c r="E1881" i="3" s="1"/>
  <c r="E1880" i="3" a="1"/>
  <c r="E1880" i="3" s="1"/>
  <c r="E1879" i="3" a="1"/>
  <c r="E1879" i="3" s="1"/>
  <c r="E1878" i="3" a="1"/>
  <c r="E1878" i="3" s="1"/>
  <c r="E1877" i="3" a="1"/>
  <c r="E1877" i="3" s="1"/>
  <c r="E1876" i="3" a="1"/>
  <c r="E1876" i="3" s="1"/>
  <c r="E1875" i="3" a="1"/>
  <c r="E1875" i="3" s="1"/>
  <c r="E1874" i="3" a="1"/>
  <c r="E1874" i="3" s="1"/>
  <c r="E1873" i="3" a="1"/>
  <c r="E1873" i="3" s="1"/>
  <c r="E1872" i="3" a="1"/>
  <c r="E1872" i="3" s="1"/>
  <c r="E1871" i="3" a="1"/>
  <c r="E1871" i="3" s="1"/>
  <c r="E1870" i="3" a="1"/>
  <c r="E1870" i="3" s="1"/>
  <c r="E1869" i="3" a="1"/>
  <c r="E1869" i="3" s="1"/>
  <c r="E1868" i="3" a="1"/>
  <c r="E1868" i="3" s="1"/>
  <c r="E1867" i="3" a="1"/>
  <c r="E1867" i="3" s="1"/>
  <c r="E1866" i="3" a="1"/>
  <c r="E1866" i="3" s="1"/>
  <c r="E1865" i="3" a="1"/>
  <c r="E1865" i="3" s="1"/>
  <c r="E1864" i="3" a="1"/>
  <c r="E1864" i="3" s="1"/>
  <c r="E1863" i="3" a="1"/>
  <c r="E1863" i="3" s="1"/>
  <c r="E1862" i="3" a="1"/>
  <c r="E1862" i="3" s="1"/>
  <c r="E1861" i="3" a="1"/>
  <c r="E1861" i="3" s="1"/>
  <c r="E1860" i="3" a="1"/>
  <c r="E1860" i="3" s="1"/>
  <c r="E1859" i="3" a="1"/>
  <c r="E1859" i="3" s="1"/>
  <c r="E1858" i="3" a="1"/>
  <c r="E1858" i="3" s="1"/>
  <c r="E1857" i="3" a="1"/>
  <c r="E1857" i="3" s="1"/>
  <c r="E1856" i="3" a="1"/>
  <c r="E1856" i="3" s="1"/>
  <c r="E1855" i="3" a="1"/>
  <c r="E1855" i="3" s="1"/>
  <c r="E1854" i="3" a="1"/>
  <c r="E1854" i="3" s="1"/>
  <c r="E1853" i="3" a="1"/>
  <c r="E1853" i="3" s="1"/>
  <c r="E1852" i="3" a="1"/>
  <c r="E1852" i="3" s="1"/>
  <c r="P31" i="25" l="1"/>
  <c r="P28" i="27"/>
  <c r="S33" i="26"/>
  <c r="R43" i="24"/>
  <c r="Q46" i="23"/>
  <c r="AT21" i="22"/>
  <c r="AT18" i="21"/>
  <c r="E1846" i="3" l="1" a="1"/>
  <c r="E1846" i="3" s="1"/>
  <c r="F1846" i="3" s="1"/>
  <c r="T26" i="20"/>
  <c r="T25" i="20"/>
  <c r="AH8" i="20"/>
  <c r="AH7" i="20"/>
  <c r="S8" i="20"/>
  <c r="S7" i="20"/>
  <c r="AE9" i="20"/>
  <c r="AB9" i="20"/>
  <c r="Y9" i="20"/>
  <c r="V9" i="20"/>
  <c r="P9" i="20"/>
  <c r="M9" i="20"/>
  <c r="J9" i="20"/>
  <c r="G9" i="20"/>
  <c r="E1831" i="3" a="1"/>
  <c r="E1831" i="3" s="1"/>
  <c r="E1830" i="3" a="1"/>
  <c r="E1830" i="3" s="1"/>
  <c r="E1829" i="3" a="1"/>
  <c r="E1829" i="3" s="1"/>
  <c r="E1828" i="3" a="1"/>
  <c r="E1828" i="3" s="1"/>
  <c r="E1827" i="3" a="1"/>
  <c r="E1827" i="3" s="1"/>
  <c r="E1826" i="3" a="1"/>
  <c r="E1826" i="3" s="1"/>
  <c r="E1825" i="3" a="1"/>
  <c r="E1825" i="3" s="1"/>
  <c r="E1824" i="3" a="1"/>
  <c r="E1824" i="3" s="1"/>
  <c r="E1823" i="3" a="1"/>
  <c r="E1823" i="3" s="1"/>
  <c r="E1822" i="3" a="1"/>
  <c r="E1822" i="3" s="1"/>
  <c r="E1821" i="3" a="1"/>
  <c r="E1821" i="3" s="1"/>
  <c r="E1820" i="3" a="1"/>
  <c r="E1820" i="3" s="1"/>
  <c r="E1819" i="3" a="1"/>
  <c r="E1819" i="3" s="1"/>
  <c r="E1818" i="3" a="1"/>
  <c r="E1818" i="3" s="1"/>
  <c r="E1817" i="3" a="1"/>
  <c r="E1817" i="3" s="1"/>
  <c r="E1816" i="3" a="1"/>
  <c r="E1816" i="3" s="1"/>
  <c r="E1851" i="3" a="1"/>
  <c r="E1851" i="3" s="1"/>
  <c r="E1850" i="3" a="1"/>
  <c r="E1850" i="3" s="1"/>
  <c r="E1849" i="3" a="1"/>
  <c r="E1849" i="3" s="1"/>
  <c r="E1848" i="3" a="1"/>
  <c r="E1848" i="3" s="1"/>
  <c r="E1847" i="3" a="1"/>
  <c r="E1847" i="3" s="1"/>
  <c r="F1847" i="3" s="1"/>
  <c r="E1845" i="3" a="1"/>
  <c r="E1845" i="3" s="1"/>
  <c r="F1845" i="3" s="1"/>
  <c r="E1844" i="3" a="1"/>
  <c r="E1844" i="3" s="1"/>
  <c r="F1844" i="3" s="1"/>
  <c r="E1843" i="3" a="1"/>
  <c r="E1843" i="3" s="1"/>
  <c r="F1843" i="3" s="1"/>
  <c r="E1842" i="3" a="1"/>
  <c r="E1842" i="3" s="1"/>
  <c r="F1842" i="3" s="1"/>
  <c r="E1841" i="3" a="1"/>
  <c r="E1841" i="3" s="1"/>
  <c r="F1841" i="3" s="1"/>
  <c r="E1840" i="3" a="1"/>
  <c r="E1840" i="3" s="1"/>
  <c r="F1840" i="3" s="1"/>
  <c r="E1839" i="3" a="1"/>
  <c r="E1839" i="3" s="1"/>
  <c r="F1839" i="3" s="1"/>
  <c r="E1838" i="3" a="1"/>
  <c r="E1838" i="3" s="1"/>
  <c r="F1838" i="3" s="1"/>
  <c r="E1837" i="3" a="1"/>
  <c r="E1837" i="3" s="1"/>
  <c r="E1836" i="3" a="1"/>
  <c r="E1836" i="3" s="1"/>
  <c r="E1835" i="3" a="1"/>
  <c r="E1835" i="3" s="1"/>
  <c r="E1834" i="3" a="1"/>
  <c r="E1834" i="3" s="1"/>
  <c r="E1833" i="3" a="1"/>
  <c r="E1833" i="3" s="1"/>
  <c r="E1832" i="3" a="1"/>
  <c r="E1832" i="3" s="1"/>
  <c r="Y6" i="19"/>
  <c r="Y7" i="19"/>
  <c r="AH9" i="20" l="1"/>
  <c r="S9" i="20"/>
  <c r="E1815" i="3"/>
  <c r="E1814" i="3"/>
  <c r="E1813" i="3"/>
  <c r="F1813" i="3" s="1"/>
  <c r="E1812" i="3"/>
  <c r="F1812" i="3" s="1"/>
  <c r="E1811" i="3"/>
  <c r="F1811" i="3" s="1"/>
  <c r="E1810" i="3"/>
  <c r="E1809" i="3"/>
  <c r="F1809" i="3" s="1"/>
  <c r="E1808" i="3"/>
  <c r="E1807" i="3"/>
  <c r="F1807" i="3" s="1"/>
  <c r="E1806" i="3" a="1"/>
  <c r="E1806" i="3" s="1"/>
  <c r="F1806" i="3" s="1"/>
  <c r="E1805" i="3" a="1"/>
  <c r="E1805" i="3" s="1"/>
  <c r="F1805" i="3" s="1"/>
  <c r="E1804" i="3" a="1"/>
  <c r="E1804" i="3" s="1"/>
  <c r="F1804" i="3" s="1"/>
  <c r="E1803" i="3" a="1"/>
  <c r="E1803" i="3" s="1"/>
  <c r="F1803" i="3" s="1"/>
  <c r="E1802" i="3" a="1"/>
  <c r="E1802" i="3" s="1"/>
  <c r="F1802" i="3" s="1"/>
  <c r="E1801" i="3" a="1"/>
  <c r="E1801" i="3" s="1"/>
  <c r="F1801" i="3" s="1"/>
  <c r="E1800" i="3" a="1"/>
  <c r="E1800" i="3" s="1"/>
  <c r="F1800" i="3" s="1"/>
  <c r="E1799" i="3"/>
  <c r="F1799" i="3" s="1"/>
  <c r="E1792" i="3"/>
  <c r="F1792" i="3" s="1"/>
  <c r="E1798" i="3" l="1" a="1"/>
  <c r="E1798" i="3" s="1"/>
  <c r="F1798" i="3" s="1"/>
  <c r="E1797" i="3" a="1"/>
  <c r="E1797" i="3" s="1"/>
  <c r="E1796" i="3" a="1"/>
  <c r="E1796" i="3" s="1"/>
  <c r="F1796" i="3" s="1"/>
  <c r="E1795" i="3" a="1"/>
  <c r="E1795" i="3" s="1"/>
  <c r="F1795" i="3" s="1"/>
  <c r="E1794" i="3" a="1"/>
  <c r="E1794" i="3" s="1"/>
  <c r="F1794" i="3" s="1"/>
  <c r="E1793" i="3" a="1"/>
  <c r="E1793" i="3" s="1"/>
  <c r="F1793" i="3" s="1"/>
  <c r="E1791" i="3" a="1"/>
  <c r="E1791" i="3" s="1"/>
  <c r="F1791" i="3" s="1"/>
  <c r="E1790" i="3" a="1"/>
  <c r="E1790" i="3" s="1"/>
  <c r="F1790" i="3" s="1"/>
  <c r="E1789" i="3" a="1"/>
  <c r="E1789" i="3" s="1"/>
  <c r="F1789" i="3" s="1"/>
  <c r="E1788" i="3" a="1"/>
  <c r="E1788" i="3" s="1"/>
  <c r="F1788" i="3" s="1"/>
  <c r="E1787" i="3" a="1"/>
  <c r="E1787" i="3" s="1"/>
  <c r="F1787" i="3" s="1"/>
  <c r="E1786" i="3" a="1"/>
  <c r="E1786" i="3" s="1"/>
  <c r="F1786" i="3" s="1"/>
  <c r="E1785" i="3" a="1"/>
  <c r="E1785" i="3" s="1"/>
  <c r="F1785" i="3" s="1"/>
  <c r="E1784" i="3" a="1"/>
  <c r="E1784" i="3" s="1"/>
  <c r="F1784" i="3" s="1"/>
  <c r="E1783" i="3" a="1"/>
  <c r="E1783" i="3" s="1"/>
  <c r="F1783" i="3" s="1"/>
  <c r="E1782" i="3" a="1"/>
  <c r="E1782" i="3" s="1"/>
  <c r="E1781" i="3" a="1"/>
  <c r="E1781" i="3" s="1"/>
  <c r="F1781" i="3" s="1"/>
  <c r="E1780" i="3" a="1"/>
  <c r="E1780" i="3" s="1"/>
  <c r="F1780" i="3" s="1"/>
  <c r="E1779" i="3" a="1"/>
  <c r="E1779" i="3" s="1"/>
  <c r="E1778" i="3" a="1"/>
  <c r="E1778" i="3" s="1"/>
  <c r="F1778" i="3" s="1"/>
  <c r="E1777" i="3"/>
  <c r="F1777" i="3" l="1"/>
  <c r="E1776" i="3" a="1"/>
  <c r="E1776" i="3" s="1"/>
  <c r="E1775" i="3"/>
  <c r="E1772" i="3"/>
  <c r="F1772" i="3" s="1"/>
  <c r="E1771" i="3"/>
  <c r="E1770" i="3"/>
  <c r="E1767" i="3" l="1"/>
  <c r="F1767" i="3" s="1"/>
  <c r="E1774" i="3"/>
  <c r="E1773" i="3"/>
  <c r="E1769" i="3"/>
  <c r="E1768" i="3"/>
  <c r="AS43" i="17" l="1"/>
  <c r="AS42" i="17"/>
  <c r="AS41" i="17"/>
  <c r="AS40" i="17"/>
  <c r="AS38" i="17"/>
  <c r="AS37" i="17"/>
  <c r="AS36" i="17"/>
  <c r="AS35" i="17"/>
  <c r="AS34" i="17"/>
  <c r="AS33" i="17"/>
  <c r="AS32" i="17"/>
  <c r="AS31" i="17"/>
  <c r="AS30" i="17"/>
  <c r="AS29" i="17"/>
  <c r="AS27" i="17"/>
  <c r="AS26" i="17"/>
  <c r="AS25" i="17"/>
  <c r="AS24" i="17"/>
  <c r="AS23" i="17"/>
  <c r="AS22" i="17"/>
  <c r="AS21" i="17"/>
  <c r="AS20" i="17"/>
  <c r="AS19" i="17"/>
  <c r="AS18" i="17"/>
  <c r="AS17" i="17"/>
  <c r="AS16" i="17"/>
  <c r="AS15" i="17"/>
  <c r="AS14" i="17"/>
  <c r="AS13" i="17"/>
  <c r="AS12" i="17"/>
  <c r="AS11" i="17"/>
  <c r="AS10" i="17"/>
  <c r="AS9" i="17"/>
  <c r="AS8" i="17"/>
  <c r="AS7" i="17"/>
  <c r="AS6" i="17"/>
  <c r="E1766" i="3" a="1"/>
  <c r="E1766" i="3" s="1"/>
  <c r="E1765" i="3" a="1"/>
  <c r="E1765" i="3" s="1"/>
  <c r="E1764" i="3" a="1"/>
  <c r="E1764" i="3" s="1"/>
  <c r="E1763" i="3" a="1"/>
  <c r="E1763" i="3" s="1"/>
  <c r="E1762" i="3" a="1"/>
  <c r="E1762" i="3" s="1"/>
  <c r="E1761" i="3" a="1"/>
  <c r="E1761" i="3" s="1"/>
  <c r="E1760" i="3" a="1"/>
  <c r="E1760" i="3" s="1"/>
  <c r="E1759" i="3" a="1"/>
  <c r="E1759" i="3" s="1"/>
  <c r="E1758" i="3" a="1"/>
  <c r="E1758" i="3" s="1"/>
  <c r="E1757" i="3" a="1"/>
  <c r="E1757" i="3" s="1"/>
  <c r="E1756" i="3" a="1"/>
  <c r="E1756" i="3" s="1"/>
  <c r="E1755" i="3" a="1"/>
  <c r="E1755" i="3" s="1"/>
  <c r="E1754" i="3" a="1"/>
  <c r="E1754" i="3" s="1"/>
  <c r="E1753" i="3" a="1"/>
  <c r="E1753" i="3" s="1"/>
  <c r="E1752" i="3" a="1"/>
  <c r="E1752" i="3" s="1"/>
  <c r="E1751" i="3" a="1"/>
  <c r="E1751" i="3" s="1"/>
  <c r="E1750" i="3" a="1"/>
  <c r="E1750" i="3" s="1"/>
  <c r="E1749" i="3" a="1"/>
  <c r="E1749" i="3" s="1"/>
  <c r="E1748" i="3" a="1"/>
  <c r="E1748" i="3" s="1"/>
  <c r="E1747" i="3" a="1"/>
  <c r="E1747" i="3" s="1"/>
  <c r="E1746" i="3" a="1"/>
  <c r="E1746" i="3" s="1"/>
  <c r="E1745" i="3" a="1"/>
  <c r="E1745" i="3" s="1"/>
  <c r="E1744" i="3" a="1"/>
  <c r="E1744" i="3" s="1"/>
  <c r="E1743" i="3" a="1"/>
  <c r="E1743" i="3" s="1"/>
  <c r="E1742" i="3" a="1"/>
  <c r="E1742" i="3" s="1"/>
  <c r="E1741" i="3" a="1"/>
  <c r="E1741" i="3" s="1"/>
  <c r="E1740" i="3" a="1"/>
  <c r="E1740" i="3" s="1"/>
  <c r="E1739" i="3" a="1"/>
  <c r="E1739" i="3" s="1"/>
  <c r="E1738" i="3" a="1"/>
  <c r="E1738" i="3" s="1"/>
  <c r="E1737" i="3" a="1"/>
  <c r="E1737" i="3" s="1"/>
  <c r="E1736" i="3" a="1"/>
  <c r="E1736" i="3" s="1"/>
  <c r="E1735" i="3" a="1"/>
  <c r="E1735" i="3" s="1"/>
  <c r="E1734" i="3" a="1"/>
  <c r="E1734" i="3" s="1"/>
  <c r="E1733" i="3" a="1"/>
  <c r="E1733" i="3" s="1"/>
  <c r="E1732" i="3" a="1"/>
  <c r="E1732" i="3" s="1"/>
  <c r="E1731" i="3" a="1"/>
  <c r="E1731" i="3" s="1"/>
  <c r="E1730" i="3" a="1"/>
  <c r="E1730" i="3" s="1"/>
  <c r="E1729" i="3" a="1"/>
  <c r="E1729" i="3" s="1"/>
  <c r="E1728" i="3" a="1"/>
  <c r="E1728" i="3" s="1"/>
  <c r="E1727" i="3" a="1"/>
  <c r="E1727" i="3" s="1"/>
  <c r="E1726" i="3" a="1"/>
  <c r="E1726" i="3" s="1"/>
  <c r="E1725" i="3" a="1"/>
  <c r="E1725" i="3" s="1"/>
  <c r="E1724" i="3" a="1"/>
  <c r="E1724" i="3" s="1"/>
  <c r="E1723" i="3" a="1"/>
  <c r="E1723" i="3" s="1"/>
  <c r="E1722" i="3" a="1"/>
  <c r="E1722" i="3" s="1"/>
  <c r="E1721" i="3" a="1"/>
  <c r="E1721" i="3" s="1"/>
  <c r="E1720" i="3" a="1"/>
  <c r="E1720" i="3" s="1"/>
  <c r="E1719" i="3" a="1"/>
  <c r="E1719" i="3" s="1"/>
  <c r="E1718" i="3" a="1"/>
  <c r="E1718" i="3" s="1"/>
  <c r="E1717" i="3" a="1"/>
  <c r="E1717" i="3" s="1"/>
  <c r="E1716" i="3" a="1"/>
  <c r="E1716" i="3" s="1"/>
  <c r="E1715" i="3" a="1"/>
  <c r="E1715" i="3" s="1"/>
  <c r="E1714" i="3" a="1"/>
  <c r="E1714" i="3" s="1"/>
  <c r="E1713" i="3" a="1"/>
  <c r="E1713" i="3" s="1"/>
  <c r="E1712" i="3" a="1"/>
  <c r="E1712" i="3" s="1"/>
  <c r="E1711" i="3" a="1"/>
  <c r="E1711" i="3" s="1"/>
  <c r="E1710" i="3" a="1"/>
  <c r="E1710" i="3" s="1"/>
  <c r="E1709" i="3" a="1"/>
  <c r="E1709" i="3" s="1"/>
  <c r="E1708" i="3" a="1"/>
  <c r="E1708" i="3" s="1"/>
  <c r="E1707" i="3" a="1"/>
  <c r="E1707" i="3" s="1"/>
  <c r="E1706" i="3" a="1"/>
  <c r="E1706" i="3" s="1"/>
  <c r="E1705" i="3" a="1"/>
  <c r="E1705" i="3" s="1"/>
  <c r="E1704" i="3" a="1"/>
  <c r="E1704" i="3" s="1"/>
  <c r="E1703" i="3" a="1"/>
  <c r="E1703" i="3" s="1"/>
  <c r="E1702" i="3" a="1"/>
  <c r="E1702" i="3" s="1"/>
  <c r="E1701" i="3" a="1"/>
  <c r="E1701" i="3" s="1"/>
  <c r="E1700" i="3" a="1"/>
  <c r="E1700" i="3" s="1"/>
  <c r="E1699" i="3" a="1"/>
  <c r="E1699" i="3" s="1"/>
  <c r="E1698" i="3" a="1"/>
  <c r="E1698" i="3" s="1"/>
  <c r="E1697" i="3" a="1"/>
  <c r="E1697" i="3" s="1"/>
  <c r="E1696" i="3" a="1"/>
  <c r="E1696" i="3" s="1"/>
  <c r="E1695" i="3" a="1"/>
  <c r="E1695" i="3" s="1"/>
  <c r="E1694" i="3" a="1"/>
  <c r="E1694" i="3" s="1"/>
  <c r="E1693" i="3" a="1"/>
  <c r="E1693" i="3" s="1"/>
  <c r="E1692" i="3" a="1"/>
  <c r="E1692" i="3" s="1"/>
  <c r="E1691" i="3" a="1"/>
  <c r="E1691" i="3" s="1"/>
  <c r="E1690" i="3" a="1"/>
  <c r="E1690" i="3" s="1"/>
  <c r="E1689" i="3" a="1"/>
  <c r="E1689" i="3" s="1"/>
  <c r="E1688" i="3" a="1"/>
  <c r="E1688" i="3" s="1"/>
  <c r="E1687" i="3" a="1"/>
  <c r="E1687" i="3" s="1"/>
  <c r="E1686" i="3" a="1"/>
  <c r="E1686" i="3" s="1"/>
  <c r="E1685" i="3" a="1"/>
  <c r="E1685" i="3" s="1"/>
  <c r="E1684" i="3" a="1"/>
  <c r="E1684" i="3" s="1"/>
  <c r="E1683" i="3" a="1"/>
  <c r="E1683" i="3" s="1"/>
  <c r="E1682" i="3" a="1"/>
  <c r="E1682" i="3" s="1"/>
  <c r="E1681" i="3" a="1"/>
  <c r="E1681" i="3" s="1"/>
  <c r="E1680" i="3" a="1"/>
  <c r="E1680" i="3" s="1"/>
  <c r="E1679" i="3" a="1"/>
  <c r="E1679" i="3" s="1"/>
  <c r="E1678" i="3" a="1"/>
  <c r="E1678" i="3" s="1"/>
  <c r="E1677" i="3" a="1"/>
  <c r="E1677" i="3" s="1"/>
  <c r="E1676" i="3" a="1"/>
  <c r="E1676" i="3" s="1"/>
  <c r="E1675" i="3" a="1"/>
  <c r="E1675" i="3" s="1"/>
  <c r="E1674" i="3" a="1"/>
  <c r="E1674" i="3" s="1"/>
  <c r="E1673" i="3" a="1"/>
  <c r="E1673" i="3" s="1"/>
  <c r="E1672" i="3" a="1"/>
  <c r="E1672" i="3" s="1"/>
  <c r="E1671" i="3" a="1"/>
  <c r="E1671" i="3" s="1"/>
  <c r="E1670" i="3" a="1"/>
  <c r="E1670" i="3" s="1"/>
  <c r="E1669" i="3" a="1"/>
  <c r="E1669" i="3" s="1"/>
  <c r="E1668" i="3" a="1"/>
  <c r="E1668" i="3" s="1"/>
  <c r="E1667" i="3" a="1"/>
  <c r="E1667" i="3" s="1"/>
  <c r="E1666" i="3" a="1"/>
  <c r="E1666" i="3" s="1"/>
  <c r="E1665" i="3" a="1"/>
  <c r="E1665" i="3" s="1"/>
  <c r="E1664" i="3" a="1"/>
  <c r="E1664" i="3" s="1"/>
  <c r="E1663" i="3" a="1"/>
  <c r="E1663" i="3" s="1"/>
  <c r="E1662" i="3" a="1"/>
  <c r="E1662" i="3" s="1"/>
  <c r="E1661" i="3" a="1"/>
  <c r="E1661" i="3" s="1"/>
  <c r="E1660" i="3" a="1"/>
  <c r="E1660" i="3" s="1"/>
  <c r="E1659" i="3" a="1"/>
  <c r="E1659" i="3" s="1"/>
  <c r="E1658" i="3" a="1"/>
  <c r="E1658" i="3" s="1"/>
  <c r="E1657" i="3" a="1"/>
  <c r="E1657" i="3" s="1"/>
  <c r="E1656" i="3" a="1"/>
  <c r="E1656" i="3" s="1"/>
  <c r="E1655" i="3" a="1"/>
  <c r="E1655" i="3" s="1"/>
  <c r="E1654" i="3" a="1"/>
  <c r="E1654" i="3" s="1"/>
  <c r="E1653" i="3" a="1"/>
  <c r="E1653" i="3" s="1"/>
  <c r="E1652" i="3" a="1"/>
  <c r="E1652" i="3" s="1"/>
  <c r="E1651" i="3" a="1"/>
  <c r="E1651" i="3" s="1"/>
  <c r="E1650" i="3" a="1"/>
  <c r="E1650" i="3" s="1"/>
  <c r="E1649" i="3" a="1"/>
  <c r="E1649" i="3" s="1"/>
  <c r="E1648" i="3" a="1"/>
  <c r="E1648" i="3" s="1"/>
  <c r="E1647" i="3" a="1"/>
  <c r="E1647" i="3" s="1"/>
  <c r="E1646" i="3" a="1"/>
  <c r="E1646" i="3" s="1"/>
  <c r="E1645" i="3" a="1"/>
  <c r="E1645" i="3" s="1"/>
  <c r="E1644" i="3" a="1"/>
  <c r="E1644" i="3" s="1"/>
  <c r="E1643" i="3" a="1"/>
  <c r="E1643" i="3" s="1"/>
  <c r="E1642" i="3" a="1"/>
  <c r="E1642" i="3" s="1"/>
  <c r="E1641" i="3" a="1"/>
  <c r="E1641" i="3" s="1"/>
  <c r="E1640" i="3" a="1"/>
  <c r="E1640" i="3" s="1"/>
  <c r="E1639" i="3" a="1"/>
  <c r="E1639" i="3" s="1"/>
  <c r="E1638" i="3" a="1"/>
  <c r="E1638" i="3" s="1"/>
  <c r="E1637" i="3" a="1"/>
  <c r="E1637" i="3" s="1"/>
  <c r="E1636" i="3" a="1"/>
  <c r="E1636" i="3" s="1"/>
  <c r="E1635" i="3" a="1"/>
  <c r="E1635" i="3" s="1"/>
  <c r="E1634" i="3" a="1"/>
  <c r="E1634" i="3" s="1"/>
  <c r="E1633" i="3" a="1"/>
  <c r="E1633" i="3" s="1"/>
  <c r="E1632" i="3" a="1"/>
  <c r="E1632" i="3" s="1"/>
  <c r="E1631" i="3" a="1"/>
  <c r="E1631" i="3" s="1"/>
  <c r="E1630" i="3" a="1"/>
  <c r="E1630" i="3" s="1"/>
  <c r="E1629" i="3" a="1"/>
  <c r="E1629" i="3" s="1"/>
  <c r="E1628" i="3" a="1"/>
  <c r="E1628" i="3" s="1"/>
  <c r="E1627" i="3" a="1"/>
  <c r="E1627" i="3" s="1"/>
  <c r="E1626" i="3" a="1"/>
  <c r="E1626" i="3" s="1"/>
  <c r="E1625" i="3" a="1"/>
  <c r="E1625" i="3" s="1"/>
  <c r="E1624" i="3" a="1"/>
  <c r="E1624" i="3" s="1"/>
  <c r="E1623" i="3" a="1"/>
  <c r="E1623" i="3" s="1"/>
  <c r="E1622" i="3" a="1"/>
  <c r="E1622" i="3" s="1"/>
  <c r="E1621" i="3" a="1"/>
  <c r="E1621" i="3" s="1"/>
  <c r="E1620" i="3" a="1"/>
  <c r="E1620" i="3" s="1"/>
  <c r="E1619" i="3" a="1"/>
  <c r="E1619" i="3" s="1"/>
  <c r="E1618" i="3" a="1"/>
  <c r="E1618" i="3" s="1"/>
  <c r="E1617" i="3" a="1"/>
  <c r="E1617" i="3" s="1"/>
  <c r="E1616" i="3" a="1"/>
  <c r="E1616" i="3" s="1"/>
  <c r="E1615" i="3" a="1"/>
  <c r="E1615" i="3" s="1"/>
  <c r="E1614" i="3" a="1"/>
  <c r="E1614" i="3" s="1"/>
  <c r="E1613" i="3" a="1"/>
  <c r="E1613" i="3" s="1"/>
  <c r="E1612" i="3" a="1"/>
  <c r="E1612" i="3" s="1"/>
  <c r="E1611" i="3" a="1"/>
  <c r="E1611" i="3" s="1"/>
  <c r="E1610" i="3" a="1"/>
  <c r="E1610" i="3" s="1"/>
  <c r="E1609" i="3" a="1"/>
  <c r="E1609" i="3" s="1"/>
  <c r="E1608" i="3" a="1"/>
  <c r="E1608" i="3" s="1"/>
  <c r="E1607" i="3" a="1"/>
  <c r="E1607" i="3" s="1"/>
  <c r="E1606" i="3" a="1"/>
  <c r="E1606" i="3" s="1"/>
  <c r="E1605" i="3" a="1"/>
  <c r="E1605" i="3" s="1"/>
  <c r="E1604" i="3" a="1"/>
  <c r="E1604" i="3" s="1"/>
  <c r="E1603" i="3" a="1"/>
  <c r="E1603" i="3" s="1"/>
  <c r="E1602" i="3" a="1"/>
  <c r="E1602" i="3" s="1"/>
  <c r="E1601" i="3" a="1"/>
  <c r="E1601" i="3" s="1"/>
  <c r="E1600" i="3" a="1"/>
  <c r="E1600" i="3" s="1"/>
  <c r="E1599" i="3" a="1"/>
  <c r="E1599" i="3" s="1"/>
  <c r="E1598" i="3" a="1"/>
  <c r="E1598" i="3" s="1"/>
  <c r="E1597" i="3" a="1"/>
  <c r="E1597" i="3" s="1"/>
  <c r="E1596" i="3" a="1"/>
  <c r="E1596" i="3" s="1"/>
  <c r="E1595" i="3" a="1"/>
  <c r="E1595" i="3" s="1"/>
  <c r="E1594" i="3" a="1"/>
  <c r="E1594" i="3" s="1"/>
  <c r="E1593" i="3" a="1"/>
  <c r="E1593" i="3" s="1"/>
  <c r="E1592" i="3" a="1"/>
  <c r="E1592" i="3" s="1"/>
  <c r="E1591" i="3" a="1"/>
  <c r="E1591" i="3" s="1"/>
  <c r="E1590" i="3" a="1"/>
  <c r="E1590" i="3" s="1"/>
  <c r="E1589" i="3" a="1"/>
  <c r="E1589" i="3" s="1"/>
  <c r="E1588" i="3" a="1"/>
  <c r="E1588" i="3" s="1"/>
  <c r="E1587" i="3" a="1"/>
  <c r="E1587" i="3" s="1"/>
  <c r="E1586" i="3" a="1"/>
  <c r="E1586" i="3" s="1"/>
  <c r="E1585" i="3" a="1"/>
  <c r="E1585" i="3" s="1"/>
  <c r="E1584" i="3" a="1"/>
  <c r="E1584" i="3" s="1"/>
  <c r="E1583" i="3" a="1"/>
  <c r="E1583" i="3" s="1"/>
  <c r="E1582" i="3" a="1"/>
  <c r="E1582" i="3" s="1"/>
  <c r="E1581" i="3" a="1"/>
  <c r="E1581" i="3" s="1"/>
  <c r="E1580" i="3" a="1"/>
  <c r="E1580" i="3" s="1"/>
  <c r="E1579" i="3" a="1"/>
  <c r="E1579" i="3" s="1"/>
  <c r="E1578" i="3" a="1"/>
  <c r="E1578" i="3" s="1"/>
  <c r="E1577" i="3" a="1"/>
  <c r="E1577" i="3" s="1"/>
  <c r="E1576" i="3" a="1"/>
  <c r="E1576" i="3" s="1"/>
  <c r="E1575" i="3" a="1"/>
  <c r="E1575" i="3" s="1"/>
  <c r="E1574" i="3" a="1"/>
  <c r="E1574" i="3" s="1"/>
  <c r="E1573" i="3" a="1"/>
  <c r="E1573" i="3" s="1"/>
  <c r="E1572" i="3" a="1"/>
  <c r="E1572" i="3" s="1"/>
  <c r="E1571" i="3" a="1"/>
  <c r="E1571" i="3" s="1"/>
  <c r="E1570" i="3" a="1"/>
  <c r="E1570" i="3" s="1"/>
  <c r="E1569" i="3" a="1"/>
  <c r="E1569" i="3" s="1"/>
  <c r="E1568" i="3" a="1"/>
  <c r="E1568" i="3" s="1"/>
  <c r="E1567" i="3" a="1"/>
  <c r="E1567" i="3" s="1"/>
  <c r="E1566" i="3" a="1"/>
  <c r="E1566" i="3" s="1"/>
  <c r="E1565" i="3" a="1"/>
  <c r="E1565" i="3" s="1"/>
  <c r="E1564" i="3" a="1"/>
  <c r="E1564" i="3" s="1"/>
  <c r="E1563" i="3" a="1"/>
  <c r="E1563" i="3" s="1"/>
  <c r="E1562" i="3" a="1"/>
  <c r="E1562" i="3" s="1"/>
  <c r="E1561" i="3" a="1"/>
  <c r="E1561" i="3" s="1"/>
  <c r="E1560" i="3" a="1"/>
  <c r="E1560" i="3" s="1"/>
  <c r="E1559" i="3" a="1"/>
  <c r="E1559" i="3" s="1"/>
  <c r="E1558" i="3" a="1"/>
  <c r="E1558" i="3" s="1"/>
  <c r="E1557" i="3" a="1"/>
  <c r="E1557" i="3" s="1"/>
  <c r="E1556" i="3" a="1"/>
  <c r="E1556" i="3" s="1"/>
  <c r="E1555" i="3" a="1"/>
  <c r="E1555" i="3" s="1"/>
  <c r="E1554" i="3" a="1"/>
  <c r="E1554" i="3" s="1"/>
  <c r="E1553" i="3" a="1"/>
  <c r="E1553" i="3" s="1"/>
  <c r="E1552" i="3" a="1"/>
  <c r="E1552" i="3" s="1"/>
  <c r="E1551" i="3" a="1"/>
  <c r="E1551" i="3" s="1"/>
  <c r="AS49" i="16"/>
  <c r="AS48" i="16"/>
  <c r="AS47" i="16"/>
  <c r="AS46" i="16"/>
  <c r="AS45" i="16"/>
  <c r="AS44" i="16"/>
  <c r="AS43" i="16"/>
  <c r="AS42" i="16"/>
  <c r="AS41" i="16"/>
  <c r="AS40" i="16"/>
  <c r="AS39" i="16"/>
  <c r="AS38" i="16"/>
  <c r="AS37" i="16"/>
  <c r="AS36" i="16"/>
  <c r="AS35" i="16"/>
  <c r="AS34" i="16"/>
  <c r="AS33" i="16"/>
  <c r="AS32" i="16"/>
  <c r="AS31" i="16"/>
  <c r="AS29" i="16"/>
  <c r="AS28" i="16"/>
  <c r="AS27" i="16"/>
  <c r="AS26" i="16"/>
  <c r="AS25" i="16"/>
  <c r="AS24" i="16"/>
  <c r="AS23" i="16"/>
  <c r="AS22" i="16"/>
  <c r="AS21" i="16"/>
  <c r="AS20" i="16"/>
  <c r="AS19" i="16"/>
  <c r="AS18" i="16"/>
  <c r="AS17" i="16"/>
  <c r="AS16" i="16"/>
  <c r="AS15" i="16"/>
  <c r="AS14" i="16"/>
  <c r="AS13" i="16"/>
  <c r="AS12" i="16"/>
  <c r="AS11" i="16"/>
  <c r="AS10" i="16"/>
  <c r="AS9" i="16"/>
  <c r="AS8" i="16"/>
  <c r="AS7" i="16"/>
  <c r="AS6" i="16"/>
  <c r="E1550" i="3" a="1"/>
  <c r="E1550" i="3" s="1"/>
  <c r="E1549" i="3" a="1"/>
  <c r="E1549" i="3" s="1"/>
  <c r="E1548" i="3" a="1"/>
  <c r="E1548" i="3" s="1"/>
  <c r="E1547" i="3" a="1"/>
  <c r="E1547" i="3" s="1"/>
  <c r="E1546" i="3" a="1"/>
  <c r="E1546" i="3" s="1"/>
  <c r="E1545" i="3" a="1"/>
  <c r="E1545" i="3" s="1"/>
  <c r="E1544" i="3" a="1"/>
  <c r="E1544" i="3" s="1"/>
  <c r="E1543" i="3" a="1"/>
  <c r="E1543" i="3" s="1"/>
  <c r="E1542" i="3" a="1"/>
  <c r="E1542" i="3" s="1"/>
  <c r="E1541" i="3" a="1"/>
  <c r="E1541" i="3" s="1"/>
  <c r="E1540" i="3" a="1"/>
  <c r="E1540" i="3" s="1"/>
  <c r="E1539" i="3" a="1"/>
  <c r="E1539" i="3" s="1"/>
  <c r="E1538" i="3" a="1"/>
  <c r="E1538" i="3" s="1"/>
  <c r="E1537" i="3" a="1"/>
  <c r="E1537" i="3" s="1"/>
  <c r="E1536" i="3" a="1"/>
  <c r="E1536" i="3" s="1"/>
  <c r="E1535" i="3" a="1"/>
  <c r="E1535" i="3" s="1"/>
  <c r="E1534" i="3" a="1"/>
  <c r="E1534" i="3" s="1"/>
  <c r="E1533" i="3" a="1"/>
  <c r="E1533" i="3" s="1"/>
  <c r="E1532" i="3" a="1"/>
  <c r="E1532" i="3" s="1"/>
  <c r="E1531" i="3" a="1"/>
  <c r="E1531" i="3" s="1"/>
  <c r="E1530" i="3" a="1"/>
  <c r="E1530" i="3" s="1"/>
  <c r="E1529" i="3" a="1"/>
  <c r="E1529" i="3" s="1"/>
  <c r="E1528" i="3" a="1"/>
  <c r="E1528" i="3" s="1"/>
  <c r="E1527" i="3" a="1"/>
  <c r="E1527" i="3" s="1"/>
  <c r="E1526" i="3" a="1"/>
  <c r="E1526" i="3" s="1"/>
  <c r="E1525" i="3" a="1"/>
  <c r="E1525" i="3" s="1"/>
  <c r="E1524" i="3" a="1"/>
  <c r="E1524" i="3" s="1"/>
  <c r="E1523" i="3" a="1"/>
  <c r="E1523" i="3" s="1"/>
  <c r="E1522" i="3" a="1"/>
  <c r="E1522" i="3" s="1"/>
  <c r="E1521" i="3" a="1"/>
  <c r="E1521" i="3" s="1"/>
  <c r="E1520" i="3" a="1"/>
  <c r="E1520" i="3" s="1"/>
  <c r="E1519" i="3" a="1"/>
  <c r="E1519" i="3" s="1"/>
  <c r="E1518" i="3" a="1"/>
  <c r="E1518" i="3" s="1"/>
  <c r="E1517" i="3" a="1"/>
  <c r="E1517" i="3" s="1"/>
  <c r="E1516" i="3" a="1"/>
  <c r="E1516" i="3" s="1"/>
  <c r="E1515" i="3" a="1"/>
  <c r="E1515" i="3" s="1"/>
  <c r="E1514" i="3" a="1"/>
  <c r="E1514" i="3" s="1"/>
  <c r="E1513" i="3" a="1"/>
  <c r="E1513" i="3" s="1"/>
  <c r="E1512" i="3" a="1"/>
  <c r="E1512" i="3" s="1"/>
  <c r="E1511" i="3" a="1"/>
  <c r="E1511" i="3" s="1"/>
  <c r="E1510" i="3" a="1"/>
  <c r="E1510" i="3" s="1"/>
  <c r="E1509" i="3" a="1"/>
  <c r="E1509" i="3" s="1"/>
  <c r="E1508" i="3" a="1"/>
  <c r="E1508" i="3" s="1"/>
  <c r="E1507" i="3" a="1"/>
  <c r="E1507" i="3" s="1"/>
  <c r="E1506" i="3" a="1"/>
  <c r="E1506" i="3" s="1"/>
  <c r="E1505" i="3" a="1"/>
  <c r="E1505" i="3" s="1"/>
  <c r="E1504" i="3" a="1"/>
  <c r="E1504" i="3" s="1"/>
  <c r="E1503" i="3" a="1"/>
  <c r="E1503" i="3" s="1"/>
  <c r="E1502" i="3" a="1"/>
  <c r="E1502" i="3" s="1"/>
  <c r="E1501" i="3" a="1"/>
  <c r="E1501" i="3" s="1"/>
  <c r="E1500" i="3" a="1"/>
  <c r="E1500" i="3" s="1"/>
  <c r="E1499" i="3" a="1"/>
  <c r="E1499" i="3" s="1"/>
  <c r="E1498" i="3" a="1"/>
  <c r="E1498" i="3" s="1"/>
  <c r="E1497" i="3" a="1"/>
  <c r="E1497" i="3" s="1"/>
  <c r="E1496" i="3" a="1"/>
  <c r="E1496" i="3" s="1"/>
  <c r="E1495" i="3" a="1"/>
  <c r="E1495" i="3" s="1"/>
  <c r="E1494" i="3" a="1"/>
  <c r="E1494" i="3" s="1"/>
  <c r="E1493" i="3" a="1"/>
  <c r="E1493" i="3" s="1"/>
  <c r="E1492" i="3" a="1"/>
  <c r="E1492" i="3" s="1"/>
  <c r="E1491" i="3" a="1"/>
  <c r="E1491" i="3" s="1"/>
  <c r="E1490" i="3" a="1"/>
  <c r="E1490" i="3" s="1"/>
  <c r="E1489" i="3" a="1"/>
  <c r="E1489" i="3" s="1"/>
  <c r="E1488" i="3" a="1"/>
  <c r="E1488" i="3" s="1"/>
  <c r="E1487" i="3" a="1"/>
  <c r="E1487" i="3" s="1"/>
  <c r="E1486" i="3" a="1"/>
  <c r="E1486" i="3" s="1"/>
  <c r="E1485" i="3" a="1"/>
  <c r="E1485" i="3" s="1"/>
  <c r="E1484" i="3" a="1"/>
  <c r="E1484" i="3" s="1"/>
  <c r="E1483" i="3" a="1"/>
  <c r="E1483" i="3" s="1"/>
  <c r="E1482" i="3" a="1"/>
  <c r="E1482" i="3" s="1"/>
  <c r="E1481" i="3" a="1"/>
  <c r="E1481" i="3" s="1"/>
  <c r="E1480" i="3" a="1"/>
  <c r="E1480" i="3" s="1"/>
  <c r="E1479" i="3" a="1"/>
  <c r="E1479" i="3" s="1"/>
  <c r="E1478" i="3" a="1"/>
  <c r="E1478" i="3" s="1"/>
  <c r="E1477" i="3" a="1"/>
  <c r="E1477" i="3" s="1"/>
  <c r="E1476" i="3" a="1"/>
  <c r="E1476" i="3" s="1"/>
  <c r="E1475" i="3" a="1"/>
  <c r="E1475" i="3" s="1"/>
  <c r="E1474" i="3" a="1"/>
  <c r="E1474" i="3" s="1"/>
  <c r="E1473" i="3" a="1"/>
  <c r="E1473" i="3" s="1"/>
  <c r="E1472" i="3" a="1"/>
  <c r="E1472" i="3" s="1"/>
  <c r="E1471" i="3" a="1"/>
  <c r="E1471" i="3" s="1"/>
  <c r="E1470" i="3" a="1"/>
  <c r="E1470" i="3" s="1"/>
  <c r="E1469" i="3" a="1"/>
  <c r="E1469" i="3" s="1"/>
  <c r="E1468" i="3" a="1"/>
  <c r="E1468" i="3" s="1"/>
  <c r="E1467" i="3" a="1"/>
  <c r="E1467" i="3" s="1"/>
  <c r="E1466" i="3" a="1"/>
  <c r="E1466" i="3" s="1"/>
  <c r="E1465" i="3" a="1"/>
  <c r="E1465" i="3" s="1"/>
  <c r="E1464" i="3" a="1"/>
  <c r="E1464" i="3" s="1"/>
  <c r="E1463" i="3" a="1"/>
  <c r="E1463" i="3" s="1"/>
  <c r="E1462" i="3" a="1"/>
  <c r="E1462" i="3" s="1"/>
  <c r="E1461" i="3" a="1"/>
  <c r="E1461" i="3" s="1"/>
  <c r="E1460" i="3" a="1"/>
  <c r="E1460" i="3" s="1"/>
  <c r="E1459" i="3" a="1"/>
  <c r="E1459" i="3" s="1"/>
  <c r="E1458" i="3" a="1"/>
  <c r="E1458" i="3" s="1"/>
  <c r="E1457" i="3" a="1"/>
  <c r="E1457" i="3" s="1"/>
  <c r="E1456" i="3" a="1"/>
  <c r="E1456" i="3" s="1"/>
  <c r="E1455" i="3" a="1"/>
  <c r="E1455" i="3" s="1"/>
  <c r="E1454" i="3" a="1"/>
  <c r="E1454" i="3" s="1"/>
  <c r="E1453" i="3" a="1"/>
  <c r="E1453" i="3" s="1"/>
  <c r="E1452" i="3" a="1"/>
  <c r="E1452" i="3" s="1"/>
  <c r="E1451" i="3" a="1"/>
  <c r="E1451" i="3" s="1"/>
  <c r="E1450" i="3" a="1"/>
  <c r="E1450" i="3" s="1"/>
  <c r="E1449" i="3" a="1"/>
  <c r="E1449" i="3" s="1"/>
  <c r="E1448" i="3" a="1"/>
  <c r="E1448" i="3" s="1"/>
  <c r="E1447" i="3" a="1"/>
  <c r="E1447" i="3" s="1"/>
  <c r="E1446" i="3" a="1"/>
  <c r="E1446" i="3" s="1"/>
  <c r="E1445" i="3" a="1"/>
  <c r="E1445" i="3" s="1"/>
  <c r="E1444" i="3" a="1"/>
  <c r="E1444" i="3" s="1"/>
  <c r="E1443" i="3" a="1"/>
  <c r="E1443" i="3" s="1"/>
  <c r="E1442" i="3" a="1"/>
  <c r="E1442" i="3" s="1"/>
  <c r="E1441" i="3" a="1"/>
  <c r="E1441" i="3" s="1"/>
  <c r="E1440" i="3" a="1"/>
  <c r="E1440" i="3" s="1"/>
  <c r="E1439" i="3" a="1"/>
  <c r="E1439" i="3" s="1"/>
  <c r="E1438" i="3" a="1"/>
  <c r="E1438" i="3" s="1"/>
  <c r="E1437" i="3" a="1"/>
  <c r="E1437" i="3" s="1"/>
  <c r="E1436" i="3" a="1"/>
  <c r="E1436" i="3" s="1"/>
  <c r="E1435" i="3" a="1"/>
  <c r="E1435" i="3" s="1"/>
  <c r="E1434" i="3" a="1"/>
  <c r="E1434" i="3" s="1"/>
  <c r="E1433" i="3" a="1"/>
  <c r="E1433" i="3" s="1"/>
  <c r="E1432" i="3" a="1"/>
  <c r="E1432" i="3" s="1"/>
  <c r="E1431" i="3" a="1"/>
  <c r="E1431" i="3" s="1"/>
  <c r="E1430" i="3" a="1"/>
  <c r="E1430" i="3" s="1"/>
  <c r="E1429" i="3" a="1"/>
  <c r="E1429" i="3" s="1"/>
  <c r="E1428" i="3" a="1"/>
  <c r="E1428" i="3" s="1"/>
  <c r="E1427" i="3" a="1"/>
  <c r="E1427" i="3" s="1"/>
  <c r="E1426" i="3" a="1"/>
  <c r="E1426" i="3" s="1"/>
  <c r="E1425" i="3" a="1"/>
  <c r="E1425" i="3" s="1"/>
  <c r="E1424" i="3" a="1"/>
  <c r="E1424" i="3" s="1"/>
  <c r="E1423" i="3" a="1"/>
  <c r="E1423" i="3" s="1"/>
  <c r="E1422" i="3" a="1"/>
  <c r="E1422" i="3" s="1"/>
  <c r="E1421" i="3" a="1"/>
  <c r="E1421" i="3" s="1"/>
  <c r="E1420" i="3" a="1"/>
  <c r="E1420" i="3" s="1"/>
  <c r="E1419" i="3" a="1"/>
  <c r="E1419" i="3" s="1"/>
  <c r="E1418" i="3" a="1"/>
  <c r="E1418" i="3" s="1"/>
  <c r="E1417" i="3" a="1"/>
  <c r="E1417" i="3" s="1"/>
  <c r="E1416" i="3" a="1"/>
  <c r="E1416" i="3" s="1"/>
  <c r="E1415" i="3" a="1"/>
  <c r="E1415" i="3" s="1"/>
  <c r="E1414" i="3" a="1"/>
  <c r="E1414" i="3" s="1"/>
  <c r="E1413" i="3" a="1"/>
  <c r="E1413" i="3" s="1"/>
  <c r="E1412" i="3" a="1"/>
  <c r="E1412" i="3" s="1"/>
  <c r="E1411" i="3" a="1"/>
  <c r="E1411" i="3" s="1"/>
  <c r="E1410" i="3" a="1"/>
  <c r="E1410" i="3" s="1"/>
  <c r="E1409" i="3" a="1"/>
  <c r="E1409" i="3" s="1"/>
  <c r="E1408" i="3" a="1"/>
  <c r="E1408" i="3" s="1"/>
  <c r="E1407" i="3" a="1"/>
  <c r="E1407" i="3" s="1"/>
  <c r="E1406" i="3" a="1"/>
  <c r="E1406" i="3" s="1"/>
  <c r="E1405" i="3" a="1"/>
  <c r="E1405" i="3" s="1"/>
  <c r="E1404" i="3" a="1"/>
  <c r="E1404" i="3" s="1"/>
  <c r="E1403" i="3" a="1"/>
  <c r="E1403" i="3" s="1"/>
  <c r="E1402" i="3" a="1"/>
  <c r="E1402" i="3" s="1"/>
  <c r="E1401" i="3" a="1"/>
  <c r="E1401" i="3" s="1"/>
  <c r="E1400" i="3" a="1"/>
  <c r="E1400" i="3" s="1"/>
  <c r="E1399" i="3" a="1"/>
  <c r="E1399" i="3" s="1"/>
  <c r="E1398" i="3" a="1"/>
  <c r="E1398" i="3" s="1"/>
  <c r="E1397" i="3" a="1"/>
  <c r="E1397" i="3" s="1"/>
  <c r="E1396" i="3" a="1"/>
  <c r="E1396" i="3" s="1"/>
  <c r="E1395" i="3" a="1"/>
  <c r="E1395" i="3" s="1"/>
  <c r="E1394" i="3" a="1"/>
  <c r="E1394" i="3" s="1"/>
  <c r="E1393" i="3" a="1"/>
  <c r="E1393" i="3" s="1"/>
  <c r="E1392" i="3" a="1"/>
  <c r="E1392" i="3" s="1"/>
  <c r="E1391" i="3" a="1"/>
  <c r="E1391" i="3" s="1"/>
  <c r="E1390" i="3" a="1"/>
  <c r="E1390" i="3" s="1"/>
  <c r="E1389" i="3" a="1"/>
  <c r="E1389" i="3" s="1"/>
  <c r="E1388" i="3" a="1"/>
  <c r="E1388" i="3" s="1"/>
  <c r="E1387" i="3" a="1"/>
  <c r="E1387" i="3" s="1"/>
  <c r="E1386" i="3" a="1"/>
  <c r="E1386" i="3" s="1"/>
  <c r="E1385" i="3" a="1"/>
  <c r="E1385" i="3" s="1"/>
  <c r="E1384" i="3" a="1"/>
  <c r="E1384" i="3" s="1"/>
  <c r="E1383" i="3" a="1"/>
  <c r="E1383" i="3" s="1"/>
  <c r="E1382" i="3" a="1"/>
  <c r="E1382" i="3" s="1"/>
  <c r="E1381" i="3" a="1"/>
  <c r="E1381" i="3" s="1"/>
  <c r="E1380" i="3" a="1"/>
  <c r="E1380" i="3" s="1"/>
  <c r="E1379" i="3" a="1"/>
  <c r="E1379" i="3" s="1"/>
  <c r="E1378" i="3" a="1"/>
  <c r="E1378" i="3" s="1"/>
  <c r="E1377" i="3" a="1"/>
  <c r="E1377" i="3" s="1"/>
  <c r="E1376" i="3" a="1"/>
  <c r="E1376" i="3" s="1"/>
  <c r="E1375" i="3" a="1"/>
  <c r="E1375" i="3" s="1"/>
  <c r="E1374" i="3" a="1"/>
  <c r="E1374" i="3" s="1"/>
  <c r="E1373" i="3" a="1"/>
  <c r="E1373" i="3" s="1"/>
  <c r="E1372" i="3" a="1"/>
  <c r="E1372" i="3" s="1"/>
  <c r="E1371" i="3" a="1"/>
  <c r="E1371" i="3" s="1"/>
  <c r="E1370" i="3" a="1"/>
  <c r="E1370" i="3" s="1"/>
  <c r="E1369" i="3" a="1"/>
  <c r="E1369" i="3" s="1"/>
  <c r="E1368" i="3" a="1"/>
  <c r="E1368" i="3" s="1"/>
  <c r="E1367" i="3" a="1"/>
  <c r="E1367" i="3" s="1"/>
  <c r="E1366" i="3" a="1"/>
  <c r="E1366" i="3" s="1"/>
  <c r="E1365" i="3" a="1"/>
  <c r="E1365" i="3" s="1"/>
  <c r="E1364" i="3" a="1"/>
  <c r="E1364" i="3" s="1"/>
  <c r="E1363" i="3" a="1"/>
  <c r="E1363" i="3" s="1"/>
  <c r="E1362" i="3" a="1"/>
  <c r="E1362" i="3" s="1"/>
  <c r="E1361" i="3" a="1"/>
  <c r="E1361" i="3" s="1"/>
  <c r="E1360" i="3" a="1"/>
  <c r="E1360" i="3" s="1"/>
  <c r="E1359" i="3" a="1"/>
  <c r="E1359" i="3" s="1"/>
  <c r="E1358" i="3" a="1"/>
  <c r="E1358" i="3" s="1"/>
  <c r="E1357" i="3" a="1"/>
  <c r="E1357" i="3" s="1"/>
  <c r="E1356" i="3" a="1"/>
  <c r="E1356" i="3" s="1"/>
  <c r="E1355" i="3" a="1"/>
  <c r="E1355" i="3" s="1"/>
  <c r="E1354" i="3" a="1"/>
  <c r="E1354" i="3" s="1"/>
  <c r="E1353" i="3" a="1"/>
  <c r="E1353" i="3" s="1"/>
  <c r="E1352" i="3" a="1"/>
  <c r="E1352" i="3" s="1"/>
  <c r="E1351" i="3" a="1"/>
  <c r="E1351" i="3" s="1"/>
  <c r="E1350" i="3" a="1"/>
  <c r="E1350" i="3" s="1"/>
  <c r="E1349" i="3" a="1"/>
  <c r="E1349" i="3" s="1"/>
  <c r="E1348" i="3" a="1"/>
  <c r="E1348" i="3" s="1"/>
  <c r="E1347" i="3" a="1"/>
  <c r="E1347" i="3" s="1"/>
  <c r="E1346" i="3" a="1"/>
  <c r="E1346" i="3" s="1"/>
  <c r="E1345" i="3" a="1"/>
  <c r="E1345" i="3" s="1"/>
  <c r="E1344" i="3" a="1"/>
  <c r="E1344" i="3" s="1"/>
  <c r="E1343" i="3" a="1"/>
  <c r="E1343" i="3" s="1"/>
  <c r="E1342" i="3" a="1"/>
  <c r="E1342" i="3" s="1"/>
  <c r="E1341" i="3" a="1"/>
  <c r="E1341" i="3" s="1"/>
  <c r="E1340" i="3" a="1"/>
  <c r="E1340" i="3" s="1"/>
  <c r="E1339" i="3" a="1"/>
  <c r="E1339" i="3" s="1"/>
  <c r="E1338" i="3" a="1"/>
  <c r="E1338" i="3" s="1"/>
  <c r="E1337" i="3" a="1"/>
  <c r="E1337" i="3" s="1"/>
  <c r="E1336" i="3" a="1"/>
  <c r="E1336" i="3" s="1"/>
  <c r="E1335" i="3" a="1"/>
  <c r="E1335" i="3" s="1"/>
  <c r="E1334" i="3" a="1"/>
  <c r="E1334" i="3" s="1"/>
  <c r="E1333" i="3" a="1"/>
  <c r="E1333" i="3" s="1"/>
  <c r="E1332" i="3" a="1"/>
  <c r="E1332" i="3" s="1"/>
  <c r="E1331" i="3" a="1"/>
  <c r="E1331" i="3" s="1"/>
  <c r="E1330" i="3" a="1"/>
  <c r="E1330" i="3" s="1"/>
  <c r="E1329" i="3" a="1"/>
  <c r="E1329" i="3" s="1"/>
  <c r="E1328" i="3" a="1"/>
  <c r="E1328" i="3" s="1"/>
  <c r="E1327" i="3" a="1"/>
  <c r="E1327" i="3" s="1"/>
  <c r="E1326" i="3" a="1"/>
  <c r="E1326" i="3" s="1"/>
  <c r="E1325" i="3" a="1"/>
  <c r="E1325" i="3" s="1"/>
  <c r="E1324" i="3" a="1"/>
  <c r="E1324" i="3" s="1"/>
  <c r="E1323" i="3" a="1"/>
  <c r="E1323" i="3" s="1"/>
  <c r="E1322" i="3" a="1"/>
  <c r="E1322" i="3" s="1"/>
  <c r="E1321" i="3" a="1"/>
  <c r="E1321" i="3" s="1"/>
  <c r="E1320" i="3" a="1"/>
  <c r="E1320" i="3" s="1"/>
  <c r="E1319" i="3" a="1"/>
  <c r="E1319" i="3" s="1"/>
  <c r="E1318" i="3" a="1"/>
  <c r="E1318" i="3" s="1"/>
  <c r="E1317" i="3" a="1"/>
  <c r="E1317" i="3" s="1"/>
  <c r="E1316" i="3" a="1"/>
  <c r="E1316" i="3" s="1"/>
  <c r="E1315" i="3" a="1"/>
  <c r="E1315" i="3" s="1"/>
  <c r="E1314" i="3" a="1"/>
  <c r="E1314" i="3" s="1"/>
  <c r="E1313" i="3" a="1"/>
  <c r="E1313" i="3" s="1"/>
  <c r="E1312" i="3" a="1"/>
  <c r="E1312" i="3" s="1"/>
  <c r="E1311" i="3" a="1"/>
  <c r="E1311" i="3" s="1"/>
  <c r="E1310" i="3" a="1"/>
  <c r="E1310" i="3" s="1"/>
  <c r="E1309" i="3" a="1"/>
  <c r="E1309" i="3" s="1"/>
  <c r="E1308" i="3" a="1"/>
  <c r="E1308" i="3" s="1"/>
  <c r="E1307" i="3" a="1"/>
  <c r="E1307" i="3" s="1"/>
  <c r="E1306" i="3" a="1"/>
  <c r="E1306" i="3" s="1"/>
  <c r="E1305" i="3" a="1"/>
  <c r="E1305" i="3" s="1"/>
  <c r="E1304" i="3" a="1"/>
  <c r="E1304" i="3" s="1"/>
  <c r="E1303" i="3" a="1"/>
  <c r="E1303" i="3" s="1"/>
  <c r="E1302" i="3" a="1"/>
  <c r="E1302" i="3" s="1"/>
  <c r="E1301" i="3" a="1"/>
  <c r="E1301" i="3" s="1"/>
  <c r="E1300" i="3" a="1"/>
  <c r="E1300" i="3" s="1"/>
  <c r="E1299" i="3" a="1"/>
  <c r="E1299" i="3" s="1"/>
  <c r="E1298" i="3" a="1"/>
  <c r="E1298" i="3" s="1"/>
  <c r="E1297" i="3" a="1"/>
  <c r="E1297" i="3" s="1"/>
  <c r="E1296" i="3" a="1"/>
  <c r="E1296" i="3" s="1"/>
  <c r="E1295" i="3" a="1"/>
  <c r="E1295" i="3" s="1"/>
  <c r="E1294" i="3" a="1"/>
  <c r="E1294" i="3" s="1"/>
  <c r="E1293" i="3" a="1"/>
  <c r="E1293" i="3" s="1"/>
  <c r="BF45" i="15" l="1"/>
  <c r="BC45" i="15"/>
  <c r="AZ45" i="15"/>
  <c r="AW45" i="15"/>
  <c r="AT45" i="15"/>
  <c r="AQ45" i="15"/>
  <c r="AN45" i="15"/>
  <c r="AK45" i="15"/>
  <c r="AH45" i="15"/>
  <c r="AE45" i="15"/>
  <c r="AB45" i="15"/>
  <c r="Y45" i="15"/>
  <c r="V45" i="15"/>
  <c r="S45" i="15"/>
  <c r="P45" i="15"/>
  <c r="M45" i="15"/>
  <c r="J45" i="15"/>
  <c r="G45" i="15"/>
  <c r="E1220" i="3" a="1"/>
  <c r="E1220" i="3" s="1"/>
  <c r="E1219" i="3" a="1"/>
  <c r="E1219" i="3" s="1"/>
  <c r="E1218" i="3" a="1"/>
  <c r="E1218" i="3" s="1"/>
  <c r="E1217" i="3" a="1"/>
  <c r="E1217" i="3" s="1"/>
  <c r="E1216" i="3" a="1"/>
  <c r="E1216" i="3" s="1"/>
  <c r="E1215" i="3" a="1"/>
  <c r="E1215" i="3" s="1"/>
  <c r="E1214" i="3" a="1"/>
  <c r="E1214" i="3" s="1"/>
  <c r="E1213" i="3" a="1"/>
  <c r="E1213" i="3" s="1"/>
  <c r="E1212" i="3" a="1"/>
  <c r="E1212" i="3" s="1"/>
  <c r="E1211" i="3" a="1"/>
  <c r="E1211" i="3" s="1"/>
  <c r="E1210" i="3" a="1"/>
  <c r="E1210" i="3" s="1"/>
  <c r="E1209" i="3" a="1"/>
  <c r="E1209" i="3" s="1"/>
  <c r="E1208" i="3" a="1"/>
  <c r="E1208" i="3" s="1"/>
  <c r="E1207" i="3" a="1"/>
  <c r="E1207" i="3" s="1"/>
  <c r="E1206" i="3" a="1"/>
  <c r="E1206" i="3" s="1"/>
  <c r="E1205" i="3" a="1"/>
  <c r="E1205" i="3" s="1"/>
  <c r="E1204" i="3" a="1"/>
  <c r="E1204" i="3" s="1"/>
  <c r="E1203" i="3" a="1"/>
  <c r="E1203" i="3" s="1"/>
  <c r="E1202" i="3" a="1"/>
  <c r="E1202" i="3" s="1"/>
  <c r="E1201" i="3" a="1"/>
  <c r="E1201" i="3" s="1"/>
  <c r="E1200" i="3" a="1"/>
  <c r="E1200" i="3" s="1"/>
  <c r="E1199" i="3" a="1"/>
  <c r="E1199" i="3" s="1"/>
  <c r="E1198" i="3" a="1"/>
  <c r="E1198" i="3" s="1"/>
  <c r="E1197" i="3" a="1"/>
  <c r="E1197" i="3" s="1"/>
  <c r="E1196" i="3" a="1"/>
  <c r="E1196" i="3" s="1"/>
  <c r="E1195" i="3" a="1"/>
  <c r="E1195" i="3" s="1"/>
  <c r="E1194" i="3" a="1"/>
  <c r="E1194" i="3" s="1"/>
  <c r="E1193" i="3" a="1"/>
  <c r="E1193" i="3" s="1"/>
  <c r="E1192" i="3" a="1"/>
  <c r="E1192" i="3" s="1"/>
  <c r="E1191" i="3" a="1"/>
  <c r="E1191" i="3" s="1"/>
  <c r="E1190" i="3" a="1"/>
  <c r="E1190" i="3" s="1"/>
  <c r="E1189" i="3" a="1"/>
  <c r="E1189" i="3" s="1"/>
  <c r="E1188" i="3" a="1"/>
  <c r="E1188" i="3" s="1"/>
  <c r="E1187" i="3" a="1"/>
  <c r="E1187" i="3" s="1"/>
  <c r="E1186" i="3" a="1"/>
  <c r="E1186" i="3" s="1"/>
  <c r="E1185" i="3" a="1"/>
  <c r="E1185" i="3" s="1"/>
  <c r="E1184" i="3" a="1"/>
  <c r="E1184" i="3" s="1"/>
  <c r="E1183" i="3" a="1"/>
  <c r="E1183" i="3" s="1"/>
  <c r="E1182" i="3" a="1"/>
  <c r="E1182" i="3" s="1"/>
  <c r="E1181" i="3" a="1"/>
  <c r="E1181" i="3" s="1"/>
  <c r="E1180" i="3" a="1"/>
  <c r="E1180" i="3" s="1"/>
  <c r="E1179" i="3" a="1"/>
  <c r="E1179" i="3" s="1"/>
  <c r="E1178" i="3" a="1"/>
  <c r="E1178" i="3" s="1"/>
  <c r="E1177" i="3" a="1"/>
  <c r="E1177" i="3" s="1"/>
  <c r="E1176" i="3" a="1"/>
  <c r="E1176" i="3" s="1"/>
  <c r="E1175" i="3" a="1"/>
  <c r="E1175" i="3" s="1"/>
  <c r="E1174" i="3" a="1"/>
  <c r="E1174" i="3" s="1"/>
  <c r="E1173" i="3" a="1"/>
  <c r="E1173" i="3" s="1"/>
  <c r="E1172" i="3" a="1"/>
  <c r="E1172" i="3" s="1"/>
  <c r="E1171" i="3" a="1"/>
  <c r="E1171" i="3" s="1"/>
  <c r="E1170" i="3" a="1"/>
  <c r="E1170" i="3" s="1"/>
  <c r="E1169" i="3" a="1"/>
  <c r="E1169" i="3" s="1"/>
  <c r="E1168" i="3" a="1"/>
  <c r="E1168" i="3" s="1"/>
  <c r="E1167" i="3" a="1"/>
  <c r="E1167" i="3" s="1"/>
  <c r="E1166" i="3" a="1"/>
  <c r="E1166" i="3" s="1"/>
  <c r="E1165" i="3" a="1"/>
  <c r="E1165" i="3" s="1"/>
  <c r="E1164" i="3" a="1"/>
  <c r="E1164" i="3" s="1"/>
  <c r="E1163" i="3" a="1"/>
  <c r="E1163" i="3" s="1"/>
  <c r="E1162" i="3" a="1"/>
  <c r="E1162" i="3" s="1"/>
  <c r="E1161" i="3" a="1"/>
  <c r="E1161" i="3" s="1"/>
  <c r="E1160" i="3" a="1"/>
  <c r="E1160" i="3" s="1"/>
  <c r="E1159" i="3" a="1"/>
  <c r="E1159" i="3" s="1"/>
  <c r="E1158" i="3" a="1"/>
  <c r="E1158" i="3" s="1"/>
  <c r="E1157" i="3" a="1"/>
  <c r="E1157" i="3" s="1"/>
  <c r="E1156" i="3" a="1"/>
  <c r="E1156" i="3" s="1"/>
  <c r="E1155" i="3" a="1"/>
  <c r="E1155" i="3" s="1"/>
  <c r="E1154" i="3" a="1"/>
  <c r="E1154" i="3" s="1"/>
  <c r="E1153" i="3" a="1"/>
  <c r="E1153" i="3" s="1"/>
  <c r="E1152" i="3" a="1"/>
  <c r="E1152" i="3" s="1"/>
  <c r="E1151" i="3" a="1"/>
  <c r="E1151" i="3" s="1"/>
  <c r="E1150" i="3" a="1"/>
  <c r="E1150" i="3" s="1"/>
  <c r="E1149" i="3" a="1"/>
  <c r="E1149" i="3" s="1"/>
  <c r="E1148" i="3" a="1"/>
  <c r="E1148" i="3" s="1"/>
  <c r="E1147" i="3" a="1"/>
  <c r="E1147" i="3" s="1"/>
  <c r="E1146" i="3" a="1"/>
  <c r="E1146" i="3" s="1"/>
  <c r="E1145" i="3" a="1"/>
  <c r="E1145" i="3" s="1"/>
  <c r="E1144" i="3" a="1"/>
  <c r="E1144" i="3" s="1"/>
  <c r="E1143" i="3" a="1"/>
  <c r="E1143" i="3" s="1"/>
  <c r="E1142" i="3" a="1"/>
  <c r="E1142" i="3" s="1"/>
  <c r="E1141" i="3" a="1"/>
  <c r="E1141" i="3" s="1"/>
  <c r="E1140" i="3" a="1"/>
  <c r="E1140" i="3" s="1"/>
  <c r="E1139" i="3" a="1"/>
  <c r="E1139" i="3" s="1"/>
  <c r="E1138" i="3" a="1"/>
  <c r="E1138" i="3" s="1"/>
  <c r="E1137" i="3" a="1"/>
  <c r="E1137" i="3" s="1"/>
  <c r="E1136" i="3" a="1"/>
  <c r="E1136" i="3" s="1"/>
  <c r="E1135" i="3" a="1"/>
  <c r="E1135" i="3" s="1"/>
  <c r="E1134" i="3" a="1"/>
  <c r="E1134" i="3" s="1"/>
  <c r="E1133" i="3" a="1"/>
  <c r="E1133" i="3" s="1"/>
  <c r="E1132" i="3" a="1"/>
  <c r="E1132" i="3" s="1"/>
  <c r="E1131" i="3" a="1"/>
  <c r="E1131" i="3" s="1"/>
  <c r="BE10" i="15"/>
  <c r="BE9" i="15"/>
  <c r="BE8" i="15"/>
  <c r="BE7" i="15"/>
  <c r="BE6" i="15"/>
  <c r="BA11" i="15"/>
  <c r="AW11" i="15"/>
  <c r="U10" i="15"/>
  <c r="U9" i="15"/>
  <c r="U8" i="15"/>
  <c r="U7" i="15"/>
  <c r="U6" i="15"/>
  <c r="Q11" i="15"/>
  <c r="M11" i="15"/>
  <c r="E1292" i="3" a="1"/>
  <c r="E1292" i="3" s="1"/>
  <c r="E1291" i="3" a="1"/>
  <c r="E1291" i="3" s="1"/>
  <c r="E1290" i="3" a="1"/>
  <c r="E1290" i="3" s="1"/>
  <c r="E1289" i="3" a="1"/>
  <c r="E1289" i="3" s="1"/>
  <c r="E1288" i="3" a="1"/>
  <c r="E1288" i="3" s="1"/>
  <c r="E1287" i="3" a="1"/>
  <c r="E1287" i="3" s="1"/>
  <c r="E1286" i="3" a="1"/>
  <c r="E1286" i="3" s="1"/>
  <c r="E1285" i="3" a="1"/>
  <c r="E1285" i="3" s="1"/>
  <c r="E1284" i="3" a="1"/>
  <c r="E1284" i="3" s="1"/>
  <c r="E1283" i="3" a="1"/>
  <c r="E1283" i="3" s="1"/>
  <c r="E1282" i="3" a="1"/>
  <c r="E1282" i="3" s="1"/>
  <c r="E1281" i="3" a="1"/>
  <c r="E1281" i="3" s="1"/>
  <c r="E1280" i="3" a="1"/>
  <c r="E1280" i="3" s="1"/>
  <c r="E1279" i="3" a="1"/>
  <c r="E1279" i="3" s="1"/>
  <c r="E1278" i="3" a="1"/>
  <c r="E1278" i="3" s="1"/>
  <c r="E1277" i="3" a="1"/>
  <c r="E1277" i="3" s="1"/>
  <c r="E1276" i="3" a="1"/>
  <c r="E1276" i="3" s="1"/>
  <c r="E1275" i="3" a="1"/>
  <c r="E1275" i="3" s="1"/>
  <c r="E1274" i="3" a="1"/>
  <c r="E1274" i="3" s="1"/>
  <c r="E1273" i="3" a="1"/>
  <c r="E1273" i="3" s="1"/>
  <c r="E1272" i="3" a="1"/>
  <c r="E1272" i="3" s="1"/>
  <c r="E1271" i="3" a="1"/>
  <c r="E1271" i="3" s="1"/>
  <c r="E1270" i="3" a="1"/>
  <c r="E1270" i="3" s="1"/>
  <c r="E1269" i="3" a="1"/>
  <c r="E1269" i="3" s="1"/>
  <c r="E1268" i="3" a="1"/>
  <c r="E1268" i="3" s="1"/>
  <c r="E1267" i="3" a="1"/>
  <c r="E1267" i="3" s="1"/>
  <c r="E1266" i="3" a="1"/>
  <c r="E1266" i="3" s="1"/>
  <c r="E1265" i="3" a="1"/>
  <c r="E1265" i="3" s="1"/>
  <c r="E1264" i="3" a="1"/>
  <c r="E1264" i="3" s="1"/>
  <c r="E1263" i="3" a="1"/>
  <c r="E1263" i="3" s="1"/>
  <c r="E1262" i="3" a="1"/>
  <c r="E1262" i="3" s="1"/>
  <c r="E1261" i="3" a="1"/>
  <c r="E1261" i="3" s="1"/>
  <c r="E1260" i="3" a="1"/>
  <c r="E1260" i="3" s="1"/>
  <c r="E1259" i="3" a="1"/>
  <c r="E1259" i="3" s="1"/>
  <c r="E1258" i="3" a="1"/>
  <c r="E1258" i="3" s="1"/>
  <c r="E1257" i="3" a="1"/>
  <c r="E1257" i="3" s="1"/>
  <c r="E1256" i="3" a="1"/>
  <c r="E1256" i="3" s="1"/>
  <c r="E1255" i="3" a="1"/>
  <c r="E1255" i="3" s="1"/>
  <c r="E1254" i="3" a="1"/>
  <c r="E1254" i="3" s="1"/>
  <c r="E1253" i="3" a="1"/>
  <c r="E1253" i="3" s="1"/>
  <c r="E1252" i="3" a="1"/>
  <c r="E1252" i="3" s="1"/>
  <c r="E1251" i="3" a="1"/>
  <c r="E1251" i="3" s="1"/>
  <c r="E1250" i="3" a="1"/>
  <c r="E1250" i="3" s="1"/>
  <c r="E1249" i="3" a="1"/>
  <c r="E1249" i="3" s="1"/>
  <c r="E1248" i="3" a="1"/>
  <c r="E1248" i="3" s="1"/>
  <c r="E1247" i="3" a="1"/>
  <c r="E1247" i="3" s="1"/>
  <c r="E1246" i="3" a="1"/>
  <c r="E1246" i="3" s="1"/>
  <c r="E1245" i="3" a="1"/>
  <c r="E1245" i="3" s="1"/>
  <c r="E1244" i="3" a="1"/>
  <c r="E1244" i="3" s="1"/>
  <c r="E1243" i="3" a="1"/>
  <c r="E1243" i="3" s="1"/>
  <c r="E1242" i="3" a="1"/>
  <c r="E1242" i="3" s="1"/>
  <c r="E1241" i="3" a="1"/>
  <c r="E1241" i="3" s="1"/>
  <c r="E1240" i="3" a="1"/>
  <c r="E1240" i="3" s="1"/>
  <c r="E1239" i="3" a="1"/>
  <c r="E1239" i="3" s="1"/>
  <c r="E1238" i="3" a="1"/>
  <c r="E1238" i="3" s="1"/>
  <c r="E1237" i="3" a="1"/>
  <c r="E1237" i="3" s="1"/>
  <c r="E1236" i="3" a="1"/>
  <c r="E1236" i="3" s="1"/>
  <c r="E1235" i="3" a="1"/>
  <c r="E1235" i="3" s="1"/>
  <c r="E1234" i="3" a="1"/>
  <c r="E1234" i="3" s="1"/>
  <c r="E1233" i="3" a="1"/>
  <c r="E1233" i="3" s="1"/>
  <c r="E1232" i="3" a="1"/>
  <c r="E1232" i="3" s="1"/>
  <c r="E1231" i="3" a="1"/>
  <c r="E1231" i="3" s="1"/>
  <c r="E1230" i="3" a="1"/>
  <c r="E1230" i="3" s="1"/>
  <c r="E1229" i="3" a="1"/>
  <c r="E1229" i="3" s="1"/>
  <c r="E1228" i="3" a="1"/>
  <c r="E1228" i="3" s="1"/>
  <c r="E1227" i="3" a="1"/>
  <c r="E1227" i="3" s="1"/>
  <c r="E1226" i="3" a="1"/>
  <c r="E1226" i="3" s="1"/>
  <c r="E1225" i="3" a="1"/>
  <c r="E1225" i="3" s="1"/>
  <c r="E1224" i="3" a="1"/>
  <c r="E1224" i="3" s="1"/>
  <c r="E1223" i="3" a="1"/>
  <c r="E1223" i="3" s="1"/>
  <c r="E1222" i="3" a="1"/>
  <c r="E1222" i="3" s="1"/>
  <c r="E1221" i="3" a="1"/>
  <c r="E1221" i="3" s="1"/>
  <c r="E1130" i="3" a="1"/>
  <c r="E1130" i="3" s="1"/>
  <c r="E1129" i="3" a="1"/>
  <c r="E1129" i="3" s="1"/>
  <c r="E1128" i="3" a="1"/>
  <c r="E1128" i="3" s="1"/>
  <c r="E1127" i="3" a="1"/>
  <c r="E1127" i="3" s="1"/>
  <c r="E1126" i="3" a="1"/>
  <c r="E1126" i="3" s="1"/>
  <c r="E1125" i="3" a="1"/>
  <c r="E1125" i="3" s="1"/>
  <c r="E1124" i="3" a="1"/>
  <c r="E1124" i="3" s="1"/>
  <c r="E1123" i="3" a="1"/>
  <c r="E1123" i="3" s="1"/>
  <c r="E1122" i="3" a="1"/>
  <c r="E1122" i="3" s="1"/>
  <c r="E1121" i="3" a="1"/>
  <c r="E1121" i="3" s="1"/>
  <c r="E1120" i="3" a="1"/>
  <c r="E1120" i="3" s="1"/>
  <c r="E1119" i="3" a="1"/>
  <c r="E1119" i="3" s="1"/>
  <c r="E1118" i="3" a="1"/>
  <c r="E1118" i="3" s="1"/>
  <c r="E1117" i="3" a="1"/>
  <c r="E1117" i="3" s="1"/>
  <c r="E1116" i="3" a="1"/>
  <c r="E1116" i="3" s="1"/>
  <c r="E1115" i="3" a="1"/>
  <c r="E1115" i="3" s="1"/>
  <c r="E1114" i="3" a="1"/>
  <c r="E1114" i="3" s="1"/>
  <c r="E1113" i="3" a="1"/>
  <c r="E1113" i="3" s="1"/>
  <c r="E1112" i="3" a="1"/>
  <c r="E1112" i="3" s="1"/>
  <c r="E1111" i="3" a="1"/>
  <c r="E1111" i="3" s="1"/>
  <c r="E1110" i="3" a="1"/>
  <c r="E1110" i="3" s="1"/>
  <c r="E1109" i="3" a="1"/>
  <c r="E1109" i="3" s="1"/>
  <c r="E1108" i="3" a="1"/>
  <c r="E1108" i="3" s="1"/>
  <c r="E1107" i="3" a="1"/>
  <c r="E1107" i="3" s="1"/>
  <c r="E1106" i="3" a="1"/>
  <c r="E1106" i="3" s="1"/>
  <c r="E1105" i="3" a="1"/>
  <c r="E1105" i="3" s="1"/>
  <c r="E1104" i="3" a="1"/>
  <c r="E1104" i="3" s="1"/>
  <c r="E1103" i="3" a="1"/>
  <c r="E1103" i="3" s="1"/>
  <c r="E1102" i="3" a="1"/>
  <c r="E1102" i="3" s="1"/>
  <c r="E1101" i="3" a="1"/>
  <c r="E1101" i="3" s="1"/>
  <c r="E1100" i="3" a="1"/>
  <c r="E1100" i="3" s="1"/>
  <c r="E1099" i="3" a="1"/>
  <c r="E1099" i="3" s="1"/>
  <c r="E1098" i="3" a="1"/>
  <c r="E1098" i="3" s="1"/>
  <c r="E1097" i="3" a="1"/>
  <c r="E1097" i="3" s="1"/>
  <c r="E1096" i="3" a="1"/>
  <c r="E1096" i="3" s="1"/>
  <c r="E1095" i="3" a="1"/>
  <c r="E1095" i="3" s="1"/>
  <c r="E1094" i="3" a="1"/>
  <c r="E1094" i="3" s="1"/>
  <c r="E1093" i="3" a="1"/>
  <c r="E1093" i="3" s="1"/>
  <c r="E1092" i="3" a="1"/>
  <c r="E1092" i="3" s="1"/>
  <c r="E1091" i="3" a="1"/>
  <c r="E1091" i="3" s="1"/>
  <c r="E1090" i="3" a="1"/>
  <c r="E1090" i="3" s="1"/>
  <c r="E1089" i="3" a="1"/>
  <c r="E1089" i="3" s="1"/>
  <c r="E1088" i="3" a="1"/>
  <c r="E1088" i="3" s="1"/>
  <c r="E1087" i="3" a="1"/>
  <c r="E1087" i="3" s="1"/>
  <c r="E1086" i="3" a="1"/>
  <c r="E1086" i="3" s="1"/>
  <c r="E1085" i="3" a="1"/>
  <c r="E1085" i="3" s="1"/>
  <c r="E1084" i="3" a="1"/>
  <c r="E1084" i="3" s="1"/>
  <c r="E1083" i="3" a="1"/>
  <c r="E1083" i="3" s="1"/>
  <c r="E1082" i="3" a="1"/>
  <c r="E1082" i="3" s="1"/>
  <c r="E1081" i="3" a="1"/>
  <c r="E1081" i="3" s="1"/>
  <c r="E1080" i="3" a="1"/>
  <c r="E1080" i="3" s="1"/>
  <c r="E1079" i="3" a="1"/>
  <c r="E1079" i="3" s="1"/>
  <c r="E1078" i="3" a="1"/>
  <c r="E1078" i="3" s="1"/>
  <c r="E1077" i="3" a="1"/>
  <c r="E1077" i="3" s="1"/>
  <c r="E1076" i="3" a="1"/>
  <c r="E1076" i="3" s="1"/>
  <c r="E1075" i="3" a="1"/>
  <c r="E1075" i="3" s="1"/>
  <c r="E1074" i="3" a="1"/>
  <c r="E1074" i="3" s="1"/>
  <c r="E1073" i="3" a="1"/>
  <c r="E1073" i="3" s="1"/>
  <c r="E1072" i="3" a="1"/>
  <c r="E1072" i="3" s="1"/>
  <c r="E1071" i="3" a="1"/>
  <c r="E1071" i="3" s="1"/>
  <c r="E1070" i="3" a="1"/>
  <c r="E1070" i="3" s="1"/>
  <c r="E1069" i="3" a="1"/>
  <c r="E1069" i="3" s="1"/>
  <c r="E1068" i="3" a="1"/>
  <c r="E1068" i="3" s="1"/>
  <c r="E1067" i="3" a="1"/>
  <c r="E1067" i="3" s="1"/>
  <c r="E1066" i="3" a="1"/>
  <c r="E1066" i="3" s="1"/>
  <c r="E1065" i="3" a="1"/>
  <c r="E1065" i="3" s="1"/>
  <c r="E1064" i="3" a="1"/>
  <c r="E1064" i="3" s="1"/>
  <c r="E1063" i="3" a="1"/>
  <c r="E1063" i="3" s="1"/>
  <c r="E1062" i="3"/>
  <c r="E1061" i="3"/>
  <c r="E1060" i="3"/>
  <c r="E1059" i="3"/>
  <c r="E1058" i="3"/>
  <c r="E1057" i="3"/>
  <c r="E1056" i="3"/>
  <c r="E1055" i="3"/>
  <c r="E1054" i="3"/>
  <c r="E1053" i="3"/>
  <c r="E1052" i="3"/>
  <c r="E1051" i="3"/>
  <c r="E1050" i="3"/>
  <c r="E1049" i="3"/>
  <c r="E1048" i="3"/>
  <c r="E1047" i="3"/>
  <c r="W20" i="14"/>
  <c r="W19" i="14"/>
  <c r="N20" i="14"/>
  <c r="N19" i="14"/>
  <c r="T21" i="14"/>
  <c r="Q21" i="14"/>
  <c r="K21" i="14"/>
  <c r="H21" i="14"/>
  <c r="E1046" i="3" a="1"/>
  <c r="E1046" i="3" s="1"/>
  <c r="E1045" i="3" a="1"/>
  <c r="E1045" i="3" s="1"/>
  <c r="E1044" i="3" a="1"/>
  <c r="E1044" i="3" s="1"/>
  <c r="E1043" i="3" a="1"/>
  <c r="E1043" i="3" s="1"/>
  <c r="E1042" i="3" a="1"/>
  <c r="E1042" i="3" s="1"/>
  <c r="E1041" i="3" a="1"/>
  <c r="E1041" i="3" s="1"/>
  <c r="E1040" i="3" a="1"/>
  <c r="E1040" i="3" s="1"/>
  <c r="E1039" i="3" a="1"/>
  <c r="E1039" i="3" s="1"/>
  <c r="W8" i="14"/>
  <c r="W7" i="14"/>
  <c r="N8" i="14"/>
  <c r="N7" i="14"/>
  <c r="T9" i="14"/>
  <c r="Q9" i="14"/>
  <c r="K9" i="14"/>
  <c r="H9" i="14"/>
  <c r="E1038" i="3" a="1"/>
  <c r="E1038" i="3" s="1"/>
  <c r="E1037" i="3" a="1"/>
  <c r="E1037" i="3" s="1"/>
  <c r="E1036" i="3" a="1"/>
  <c r="E1036" i="3" s="1"/>
  <c r="E1035" i="3" a="1"/>
  <c r="E1035" i="3" s="1"/>
  <c r="E1034" i="3" a="1"/>
  <c r="E1034" i="3" s="1"/>
  <c r="E1033" i="3" a="1"/>
  <c r="E1033" i="3" s="1"/>
  <c r="E1032" i="3" a="1"/>
  <c r="E1032" i="3" s="1"/>
  <c r="E1031" i="3" a="1"/>
  <c r="E1031" i="3" s="1"/>
  <c r="BE11" i="15" l="1"/>
  <c r="U11" i="15"/>
  <c r="W21" i="14"/>
  <c r="N21" i="14"/>
  <c r="W9" i="14"/>
  <c r="N9" i="14"/>
  <c r="BD13" i="13" l="1"/>
  <c r="BD12" i="13"/>
  <c r="BD11" i="13"/>
  <c r="BD10" i="13"/>
  <c r="BD9" i="13"/>
  <c r="BD8" i="13"/>
  <c r="BD7" i="13"/>
  <c r="BA14" i="13"/>
  <c r="AX14" i="13"/>
  <c r="AJ12" i="13"/>
  <c r="AJ11" i="13"/>
  <c r="AJ10" i="13"/>
  <c r="AJ9" i="13"/>
  <c r="AJ8" i="13"/>
  <c r="AG13" i="13"/>
  <c r="AD13" i="13"/>
  <c r="P22" i="13"/>
  <c r="P21" i="13"/>
  <c r="P20" i="13"/>
  <c r="P19" i="13"/>
  <c r="P18" i="13"/>
  <c r="P17" i="13"/>
  <c r="P16" i="13"/>
  <c r="P15" i="13"/>
  <c r="P14" i="13"/>
  <c r="P13" i="13"/>
  <c r="P12" i="13"/>
  <c r="P11" i="13"/>
  <c r="P10" i="13"/>
  <c r="P9" i="13"/>
  <c r="M23" i="13"/>
  <c r="P8" i="13"/>
  <c r="P7" i="13"/>
  <c r="J23" i="13"/>
  <c r="E1030" i="3" a="1"/>
  <c r="E1030" i="3" s="1"/>
  <c r="E1029" i="3" a="1"/>
  <c r="E1029" i="3" s="1"/>
  <c r="E1028" i="3" a="1"/>
  <c r="E1028" i="3" s="1"/>
  <c r="E1027" i="3" a="1"/>
  <c r="E1027" i="3" s="1"/>
  <c r="E1026" i="3" a="1"/>
  <c r="E1026" i="3" s="1"/>
  <c r="E1025" i="3" a="1"/>
  <c r="E1025" i="3" s="1"/>
  <c r="E1024" i="3" a="1"/>
  <c r="E1024" i="3" s="1"/>
  <c r="E1023" i="3" a="1"/>
  <c r="E1023" i="3" s="1"/>
  <c r="E1022" i="3" a="1"/>
  <c r="E1022" i="3" s="1"/>
  <c r="E1021" i="3" a="1"/>
  <c r="E1021" i="3" s="1"/>
  <c r="E1020" i="3" a="1"/>
  <c r="E1020" i="3" s="1"/>
  <c r="E1019" i="3" a="1"/>
  <c r="E1019" i="3" s="1"/>
  <c r="E1018" i="3" a="1"/>
  <c r="E1018" i="3" s="1"/>
  <c r="E1017" i="3" a="1"/>
  <c r="E1017" i="3" s="1"/>
  <c r="E1016" i="3" a="1"/>
  <c r="E1016" i="3" s="1"/>
  <c r="E1015" i="3" a="1"/>
  <c r="E1015" i="3" s="1"/>
  <c r="E1014" i="3" a="1"/>
  <c r="E1014" i="3" s="1"/>
  <c r="E1013" i="3" a="1"/>
  <c r="E1013" i="3" s="1"/>
  <c r="E1012" i="3" a="1"/>
  <c r="E1012" i="3" s="1"/>
  <c r="E1011" i="3" a="1"/>
  <c r="E1011" i="3" s="1"/>
  <c r="E1010" i="3" a="1"/>
  <c r="E1010" i="3" s="1"/>
  <c r="E1009" i="3" a="1"/>
  <c r="E1009" i="3" s="1"/>
  <c r="E1008" i="3" a="1"/>
  <c r="E1008" i="3" s="1"/>
  <c r="E1007" i="3" a="1"/>
  <c r="E1007" i="3" s="1"/>
  <c r="E1006" i="3" a="1"/>
  <c r="E1006" i="3" s="1"/>
  <c r="E1005" i="3" a="1"/>
  <c r="E1005" i="3" s="1"/>
  <c r="E1004" i="3" a="1"/>
  <c r="E1004" i="3" s="1"/>
  <c r="E1003" i="3" a="1"/>
  <c r="E1003" i="3" s="1"/>
  <c r="E1002" i="3" a="1"/>
  <c r="E1002" i="3" s="1"/>
  <c r="E1001" i="3" a="1"/>
  <c r="E1001" i="3" s="1"/>
  <c r="E1000" i="3" a="1"/>
  <c r="E1000" i="3" s="1"/>
  <c r="E999" i="3" a="1"/>
  <c r="E999" i="3" s="1"/>
  <c r="E998" i="3" a="1"/>
  <c r="E998" i="3" s="1"/>
  <c r="E997" i="3" a="1"/>
  <c r="E997" i="3" s="1"/>
  <c r="E996" i="3" a="1"/>
  <c r="E996" i="3" s="1"/>
  <c r="E995" i="3" a="1"/>
  <c r="E995" i="3" s="1"/>
  <c r="E994" i="3" a="1"/>
  <c r="E994" i="3" s="1"/>
  <c r="E993" i="3" a="1"/>
  <c r="E993" i="3" s="1"/>
  <c r="E992" i="3" a="1"/>
  <c r="E992" i="3" s="1"/>
  <c r="E991" i="3" a="1"/>
  <c r="E991" i="3" s="1"/>
  <c r="E990" i="3" a="1"/>
  <c r="E990" i="3" s="1"/>
  <c r="E989" i="3" a="1"/>
  <c r="E989" i="3" s="1"/>
  <c r="E988" i="3" a="1"/>
  <c r="E988" i="3" s="1"/>
  <c r="E987" i="3" a="1"/>
  <c r="E987" i="3" s="1"/>
  <c r="E986" i="3" a="1"/>
  <c r="E986" i="3" s="1"/>
  <c r="E985" i="3" a="1"/>
  <c r="E985" i="3" s="1"/>
  <c r="E984" i="3" a="1"/>
  <c r="E984" i="3" s="1"/>
  <c r="E983" i="3" a="1"/>
  <c r="E983" i="3" s="1"/>
  <c r="E982" i="3" a="1"/>
  <c r="E982" i="3" s="1"/>
  <c r="E981" i="3" a="1"/>
  <c r="E981" i="3" s="1"/>
  <c r="E980" i="3" a="1"/>
  <c r="E980" i="3" s="1"/>
  <c r="E979" i="3" a="1"/>
  <c r="E979" i="3" s="1"/>
  <c r="E978" i="3" a="1"/>
  <c r="E978" i="3" s="1"/>
  <c r="E977" i="3" a="1"/>
  <c r="E977" i="3" s="1"/>
  <c r="E976" i="3" a="1"/>
  <c r="E976" i="3" s="1"/>
  <c r="E975" i="3" a="1"/>
  <c r="E975" i="3" s="1"/>
  <c r="BD14" i="13" l="1"/>
  <c r="AJ13" i="13"/>
  <c r="P23" i="13"/>
  <c r="Z39" i="12"/>
  <c r="V39" i="12"/>
  <c r="R39" i="12"/>
  <c r="N39" i="12"/>
  <c r="J39" i="12"/>
  <c r="AD38" i="12"/>
  <c r="AD37" i="12"/>
  <c r="AD36" i="12"/>
  <c r="AD35" i="12"/>
  <c r="AD34" i="12"/>
  <c r="AD33" i="12"/>
  <c r="AD32" i="12"/>
  <c r="AD31" i="12"/>
  <c r="AD15" i="12"/>
  <c r="Z15" i="12"/>
  <c r="V15" i="12"/>
  <c r="R15" i="12"/>
  <c r="L15" i="12"/>
  <c r="E974" i="3" a="1"/>
  <c r="E974" i="3" s="1"/>
  <c r="E973" i="3" a="1"/>
  <c r="E973" i="3" s="1"/>
  <c r="E972" i="3" a="1"/>
  <c r="E972" i="3" s="1"/>
  <c r="E971" i="3" a="1"/>
  <c r="E971" i="3" s="1"/>
  <c r="E970" i="3" a="1"/>
  <c r="E970" i="3" s="1"/>
  <c r="E969" i="3" a="1"/>
  <c r="E969" i="3" s="1"/>
  <c r="E968" i="3" a="1"/>
  <c r="E968" i="3" s="1"/>
  <c r="E967" i="3" a="1"/>
  <c r="E967" i="3" s="1"/>
  <c r="E966" i="3" a="1"/>
  <c r="E966" i="3" s="1"/>
  <c r="E965" i="3" a="1"/>
  <c r="E965" i="3" s="1"/>
  <c r="E964" i="3" a="1"/>
  <c r="E964" i="3" s="1"/>
  <c r="E963" i="3" a="1"/>
  <c r="E963" i="3" s="1"/>
  <c r="E962" i="3" a="1"/>
  <c r="E962" i="3" s="1"/>
  <c r="E961" i="3" a="1"/>
  <c r="E961" i="3" s="1"/>
  <c r="E960" i="3" a="1"/>
  <c r="E960" i="3" s="1"/>
  <c r="E959" i="3" a="1"/>
  <c r="E959" i="3" s="1"/>
  <c r="E958" i="3" a="1"/>
  <c r="E958" i="3" s="1"/>
  <c r="E957" i="3" a="1"/>
  <c r="E957" i="3" s="1"/>
  <c r="E956" i="3" a="1"/>
  <c r="E956" i="3" s="1"/>
  <c r="E955" i="3" a="1"/>
  <c r="E955" i="3" s="1"/>
  <c r="E954" i="3" a="1"/>
  <c r="E954" i="3" s="1"/>
  <c r="E953" i="3" a="1"/>
  <c r="E953" i="3" s="1"/>
  <c r="E952" i="3" a="1"/>
  <c r="E952" i="3" s="1"/>
  <c r="E951" i="3" a="1"/>
  <c r="E951" i="3" s="1"/>
  <c r="E950" i="3" a="1"/>
  <c r="E950" i="3" s="1"/>
  <c r="E949" i="3" a="1"/>
  <c r="E949" i="3" s="1"/>
  <c r="E948" i="3" a="1"/>
  <c r="E948" i="3" s="1"/>
  <c r="E947" i="3" a="1"/>
  <c r="E947" i="3" s="1"/>
  <c r="E946" i="3" a="1"/>
  <c r="E946" i="3" s="1"/>
  <c r="E945" i="3" a="1"/>
  <c r="E945" i="3" s="1"/>
  <c r="E944" i="3" a="1"/>
  <c r="E944" i="3" s="1"/>
  <c r="E943" i="3" a="1"/>
  <c r="E943" i="3" s="1"/>
  <c r="E942" i="3" a="1"/>
  <c r="E942" i="3" s="1"/>
  <c r="E941" i="3" a="1"/>
  <c r="E941" i="3" s="1"/>
  <c r="E940" i="3" a="1"/>
  <c r="E940" i="3" s="1"/>
  <c r="E939" i="3" a="1"/>
  <c r="E939" i="3" s="1"/>
  <c r="E938" i="3" a="1"/>
  <c r="E938" i="3" s="1"/>
  <c r="E937" i="3" a="1"/>
  <c r="E937" i="3" s="1"/>
  <c r="E936" i="3" a="1"/>
  <c r="E936" i="3" s="1"/>
  <c r="E935" i="3" a="1"/>
  <c r="E935" i="3" s="1"/>
  <c r="E934" i="3" a="1"/>
  <c r="E934" i="3" s="1"/>
  <c r="E933" i="3" a="1"/>
  <c r="E933" i="3" s="1"/>
  <c r="E932" i="3" a="1"/>
  <c r="E932" i="3" s="1"/>
  <c r="E931" i="3" a="1"/>
  <c r="E931" i="3" s="1"/>
  <c r="E930" i="3" a="1"/>
  <c r="E930" i="3" s="1"/>
  <c r="E929" i="3" a="1"/>
  <c r="E929" i="3" s="1"/>
  <c r="E928" i="3" a="1"/>
  <c r="E928" i="3" s="1"/>
  <c r="E927" i="3" a="1"/>
  <c r="E927" i="3" s="1"/>
  <c r="E926" i="3" a="1"/>
  <c r="E926" i="3" s="1"/>
  <c r="E925" i="3" a="1"/>
  <c r="E925" i="3" s="1"/>
  <c r="E924" i="3" a="1"/>
  <c r="E924" i="3" s="1"/>
  <c r="E923" i="3" a="1"/>
  <c r="E923" i="3" s="1"/>
  <c r="E922" i="3" a="1"/>
  <c r="E922" i="3" s="1"/>
  <c r="E921" i="3" a="1"/>
  <c r="E921" i="3" s="1"/>
  <c r="E920" i="3" a="1"/>
  <c r="E920" i="3" s="1"/>
  <c r="E919" i="3" a="1"/>
  <c r="E919" i="3" s="1"/>
  <c r="E918" i="3" a="1"/>
  <c r="E918" i="3" s="1"/>
  <c r="E917" i="3" a="1"/>
  <c r="E917" i="3" s="1"/>
  <c r="E916" i="3" a="1"/>
  <c r="E916" i="3" s="1"/>
  <c r="E915" i="3" a="1"/>
  <c r="E915" i="3" s="1"/>
  <c r="E914" i="3" a="1"/>
  <c r="E914" i="3" s="1"/>
  <c r="E913" i="3" a="1"/>
  <c r="E913" i="3" s="1"/>
  <c r="E912" i="3" a="1"/>
  <c r="E912" i="3" s="1"/>
  <c r="E911" i="3" a="1"/>
  <c r="E911" i="3" s="1"/>
  <c r="E910" i="3" a="1"/>
  <c r="E910" i="3" s="1"/>
  <c r="E909" i="3" a="1"/>
  <c r="E909" i="3" s="1"/>
  <c r="E908" i="3" a="1"/>
  <c r="E908" i="3" s="1"/>
  <c r="E907" i="3" a="1"/>
  <c r="E907" i="3" s="1"/>
  <c r="E906" i="3" a="1"/>
  <c r="E906" i="3" s="1"/>
  <c r="E905" i="3" a="1"/>
  <c r="E905" i="3" s="1"/>
  <c r="E904" i="3" a="1"/>
  <c r="E904" i="3" s="1"/>
  <c r="E903" i="3" a="1"/>
  <c r="E903" i="3" s="1"/>
  <c r="E902" i="3" a="1"/>
  <c r="E902" i="3" s="1"/>
  <c r="E901" i="3" a="1"/>
  <c r="E901" i="3" s="1"/>
  <c r="E900" i="3" a="1"/>
  <c r="E900" i="3" s="1"/>
  <c r="E899" i="3" a="1"/>
  <c r="E899" i="3" s="1"/>
  <c r="E898" i="3" a="1"/>
  <c r="E898" i="3" s="1"/>
  <c r="E897" i="3" a="1"/>
  <c r="E897" i="3" s="1"/>
  <c r="E896" i="3" a="1"/>
  <c r="E896" i="3" s="1"/>
  <c r="E895" i="3" a="1"/>
  <c r="E895" i="3" s="1"/>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AX18" i="11"/>
  <c r="AU18" i="11"/>
  <c r="AH18" i="11"/>
  <c r="AE18" i="11"/>
  <c r="AB18" i="11"/>
  <c r="Y18" i="11"/>
  <c r="S18" i="11"/>
  <c r="P18" i="11"/>
  <c r="M18" i="11"/>
  <c r="AD39" i="12" l="1"/>
  <c r="BG17" i="11"/>
  <c r="BG16" i="11"/>
  <c r="BG15" i="11"/>
  <c r="BG14" i="11"/>
  <c r="BG13" i="11"/>
  <c r="BG12" i="11"/>
  <c r="BG11" i="11"/>
  <c r="BG10" i="11"/>
  <c r="BD17" i="11"/>
  <c r="BD16" i="11"/>
  <c r="BD15" i="11"/>
  <c r="BD14" i="11"/>
  <c r="BD13" i="11"/>
  <c r="BA13" i="11"/>
  <c r="BD12" i="11"/>
  <c r="BD11" i="11"/>
  <c r="BD10" i="11"/>
  <c r="BA17" i="11"/>
  <c r="BA16" i="11"/>
  <c r="BA15" i="11"/>
  <c r="BA14" i="11"/>
  <c r="BA12" i="11"/>
  <c r="BA11" i="11"/>
  <c r="BA10" i="11"/>
  <c r="BG10" i="10"/>
  <c r="AO17" i="11"/>
  <c r="AO16" i="11"/>
  <c r="AO15" i="11"/>
  <c r="AO14" i="11"/>
  <c r="AO13" i="11"/>
  <c r="AO12" i="11"/>
  <c r="AO11" i="11"/>
  <c r="AO10" i="11"/>
  <c r="BG46" i="10"/>
  <c r="BD46" i="10"/>
  <c r="BG45" i="10"/>
  <c r="BD45" i="10"/>
  <c r="BG44" i="10"/>
  <c r="BD44" i="10"/>
  <c r="BG43" i="10"/>
  <c r="BD43" i="10"/>
  <c r="BG42" i="10"/>
  <c r="BD42" i="10"/>
  <c r="BG41" i="10"/>
  <c r="BD41" i="10"/>
  <c r="BG40" i="10"/>
  <c r="BD40" i="10"/>
  <c r="BG39" i="10"/>
  <c r="BD39" i="10"/>
  <c r="BG38" i="10"/>
  <c r="BD38" i="10"/>
  <c r="BG37" i="10"/>
  <c r="BD37" i="10"/>
  <c r="BG36" i="10"/>
  <c r="BD36" i="10"/>
  <c r="BG35" i="10"/>
  <c r="BD35" i="10"/>
  <c r="BG34" i="10"/>
  <c r="BD34" i="10"/>
  <c r="BG33" i="10"/>
  <c r="BD33" i="10"/>
  <c r="BG32" i="10"/>
  <c r="BD32" i="10"/>
  <c r="BG31" i="10"/>
  <c r="BD31" i="10"/>
  <c r="BG30" i="10"/>
  <c r="BD30" i="10"/>
  <c r="BG29" i="10"/>
  <c r="BD29" i="10"/>
  <c r="BG28" i="10"/>
  <c r="BD28" i="10"/>
  <c r="BG27" i="10"/>
  <c r="BD27" i="10"/>
  <c r="BG24" i="10"/>
  <c r="BD24" i="10"/>
  <c r="BG23" i="10"/>
  <c r="BD23" i="10"/>
  <c r="BG22" i="10"/>
  <c r="BD22" i="10"/>
  <c r="BG21" i="10"/>
  <c r="BD21" i="10"/>
  <c r="BG20" i="10"/>
  <c r="BD20" i="10"/>
  <c r="BG19" i="10"/>
  <c r="BD19" i="10"/>
  <c r="BG18" i="10"/>
  <c r="BD18" i="10"/>
  <c r="BG17" i="10"/>
  <c r="BD17" i="10"/>
  <c r="BG16" i="10"/>
  <c r="BD16" i="10"/>
  <c r="BG15" i="10"/>
  <c r="BD15" i="10"/>
  <c r="BG14" i="10"/>
  <c r="BD14" i="10"/>
  <c r="BG13" i="10"/>
  <c r="BD13" i="10"/>
  <c r="BG12" i="10"/>
  <c r="BD12" i="10"/>
  <c r="BG11" i="10"/>
  <c r="BD11" i="10"/>
  <c r="BD10" i="10"/>
  <c r="BJ35" i="10" l="1"/>
  <c r="BD18" i="11"/>
  <c r="BJ43" i="10"/>
  <c r="BJ41" i="10"/>
  <c r="BJ39" i="10"/>
  <c r="BJ37" i="10"/>
  <c r="BJ33" i="10"/>
  <c r="BJ31" i="10"/>
  <c r="BJ29" i="10"/>
  <c r="BJ27" i="10"/>
  <c r="BJ23" i="10"/>
  <c r="BJ21" i="10"/>
  <c r="BJ19" i="10"/>
  <c r="BJ17" i="10"/>
  <c r="BJ13" i="10"/>
  <c r="BG18" i="11"/>
  <c r="BA18" i="11"/>
  <c r="AO18" i="11"/>
  <c r="BJ45" i="10"/>
  <c r="BJ15" i="10"/>
  <c r="BJ17" i="11"/>
  <c r="AI38" i="12" s="1"/>
  <c r="BJ16" i="11"/>
  <c r="AI37" i="12" s="1"/>
  <c r="AR12" i="11"/>
  <c r="AR13" i="11"/>
  <c r="AR14" i="11"/>
  <c r="BJ15" i="11"/>
  <c r="BJ10" i="11"/>
  <c r="AI31" i="12" s="1"/>
  <c r="BJ12" i="10"/>
  <c r="BJ14" i="10"/>
  <c r="BJ16" i="10"/>
  <c r="BJ18" i="10"/>
  <c r="BJ20" i="10"/>
  <c r="BJ22" i="10"/>
  <c r="BJ24" i="10"/>
  <c r="BJ28" i="10"/>
  <c r="BJ30" i="10"/>
  <c r="BJ32" i="10"/>
  <c r="BJ34" i="10"/>
  <c r="BJ11" i="10"/>
  <c r="AR17" i="11"/>
  <c r="BJ38" i="10"/>
  <c r="BJ42" i="10"/>
  <c r="BJ46" i="10"/>
  <c r="BJ11" i="11"/>
  <c r="AI32" i="12" s="1"/>
  <c r="AR11" i="11"/>
  <c r="BJ13" i="11"/>
  <c r="BJ10" i="10"/>
  <c r="BJ12" i="11"/>
  <c r="AI33" i="12" s="1"/>
  <c r="BJ36" i="10"/>
  <c r="BJ40" i="10"/>
  <c r="BJ44" i="10"/>
  <c r="AR16" i="11"/>
  <c r="AR15" i="11"/>
  <c r="BJ14" i="11"/>
  <c r="AI35" i="12" s="1"/>
  <c r="AR10" i="11"/>
  <c r="BN10" i="11" s="1"/>
  <c r="AI7" i="6"/>
  <c r="V10" i="10"/>
  <c r="BG47" i="10"/>
  <c r="AX47" i="10"/>
  <c r="AU47" i="10"/>
  <c r="AH47" i="10"/>
  <c r="AE47" i="10"/>
  <c r="AB47" i="10"/>
  <c r="Y47" i="10"/>
  <c r="S47" i="10"/>
  <c r="P47" i="10"/>
  <c r="M47" i="10"/>
  <c r="BA46" i="10"/>
  <c r="BA45" i="10"/>
  <c r="BA44" i="10"/>
  <c r="BA43" i="10"/>
  <c r="BA42" i="10"/>
  <c r="BA41" i="10"/>
  <c r="BA40" i="10"/>
  <c r="BA39" i="10"/>
  <c r="BA38" i="10"/>
  <c r="BA37" i="10"/>
  <c r="BA36" i="10"/>
  <c r="BA35" i="10"/>
  <c r="BA34" i="10"/>
  <c r="BA33" i="10"/>
  <c r="BA32" i="10"/>
  <c r="BA31" i="10"/>
  <c r="BA30" i="10"/>
  <c r="BA29" i="10"/>
  <c r="BA28" i="10"/>
  <c r="BA27" i="10"/>
  <c r="BA24" i="10"/>
  <c r="BA23" i="10"/>
  <c r="BA22" i="10"/>
  <c r="BA21" i="10"/>
  <c r="BA20" i="10"/>
  <c r="BA19" i="10"/>
  <c r="BA18" i="10"/>
  <c r="BA17" i="10"/>
  <c r="BA16" i="10"/>
  <c r="BA15" i="10"/>
  <c r="BA14" i="10"/>
  <c r="BA13" i="10"/>
  <c r="BA12" i="10"/>
  <c r="BA11" i="10"/>
  <c r="AO46" i="10"/>
  <c r="AO45" i="10"/>
  <c r="AO44" i="10"/>
  <c r="AO43" i="10"/>
  <c r="AO42" i="10"/>
  <c r="AO41" i="10"/>
  <c r="AO40" i="10"/>
  <c r="AO39" i="10"/>
  <c r="AO38" i="10"/>
  <c r="AO37" i="10"/>
  <c r="AO36" i="10"/>
  <c r="AO35" i="10"/>
  <c r="AO34" i="10"/>
  <c r="AO33" i="10"/>
  <c r="AO32" i="10"/>
  <c r="AO31" i="10"/>
  <c r="AO30" i="10"/>
  <c r="AO29" i="10"/>
  <c r="AO28" i="10"/>
  <c r="AO27" i="10"/>
  <c r="AO24" i="10"/>
  <c r="AO23" i="10"/>
  <c r="AO22" i="10"/>
  <c r="AO21" i="10"/>
  <c r="AO20" i="10"/>
  <c r="AO19" i="10"/>
  <c r="AO18" i="10"/>
  <c r="AO17" i="10"/>
  <c r="AO16" i="10"/>
  <c r="AO15" i="10"/>
  <c r="AO14" i="10"/>
  <c r="AO13" i="10"/>
  <c r="AO12" i="10"/>
  <c r="V46" i="10"/>
  <c r="V45" i="10"/>
  <c r="V44" i="10"/>
  <c r="V43" i="10"/>
  <c r="V42" i="10"/>
  <c r="V41" i="10"/>
  <c r="V40" i="10"/>
  <c r="V39" i="10"/>
  <c r="V38" i="10"/>
  <c r="V37" i="10"/>
  <c r="V36" i="10"/>
  <c r="V35" i="10"/>
  <c r="V34" i="10"/>
  <c r="V33" i="10"/>
  <c r="V32" i="10"/>
  <c r="V31" i="10"/>
  <c r="V30" i="10"/>
  <c r="V29" i="10"/>
  <c r="V28" i="10"/>
  <c r="V27" i="10"/>
  <c r="V24" i="10"/>
  <c r="V23" i="10"/>
  <c r="V22" i="10"/>
  <c r="V21" i="10"/>
  <c r="V20" i="10"/>
  <c r="V19" i="10"/>
  <c r="V18" i="10"/>
  <c r="V17" i="10"/>
  <c r="V16" i="10"/>
  <c r="V15" i="10"/>
  <c r="V14" i="10"/>
  <c r="V13" i="10"/>
  <c r="V12" i="10"/>
  <c r="BA10" i="10"/>
  <c r="BN14" i="11" l="1"/>
  <c r="BN16" i="11"/>
  <c r="BN12" i="11"/>
  <c r="AI34" i="12"/>
  <c r="BN13" i="11"/>
  <c r="AI36" i="12"/>
  <c r="BJ18" i="11"/>
  <c r="H10" i="14" s="1"/>
  <c r="BN15" i="11"/>
  <c r="AR18" i="11"/>
  <c r="BN11" i="11"/>
  <c r="BN17" i="11"/>
  <c r="AR43" i="10"/>
  <c r="BN43" i="10" s="1"/>
  <c r="AR35" i="10"/>
  <c r="BN35" i="10" s="1"/>
  <c r="AR27" i="10"/>
  <c r="BN27" i="10" s="1"/>
  <c r="AR15" i="10"/>
  <c r="BN15" i="10" s="1"/>
  <c r="AR23" i="10"/>
  <c r="BN23" i="10" s="1"/>
  <c r="AR12" i="10"/>
  <c r="BN12" i="10" s="1"/>
  <c r="AR44" i="10"/>
  <c r="BN44" i="10" s="1"/>
  <c r="AR36" i="10"/>
  <c r="BN36" i="10" s="1"/>
  <c r="AR30" i="10"/>
  <c r="BN30" i="10" s="1"/>
  <c r="AR20" i="10"/>
  <c r="BN20" i="10" s="1"/>
  <c r="AR31" i="10"/>
  <c r="BN31" i="10" s="1"/>
  <c r="AR39" i="10"/>
  <c r="BN39" i="10" s="1"/>
  <c r="AR17" i="10"/>
  <c r="BN17" i="10" s="1"/>
  <c r="AR24" i="10"/>
  <c r="BN24" i="10" s="1"/>
  <c r="BN25" i="10"/>
  <c r="AR18" i="10"/>
  <c r="BN18" i="10" s="1"/>
  <c r="AR19" i="10"/>
  <c r="BN19" i="10" s="1"/>
  <c r="BN26" i="10"/>
  <c r="AR32" i="10"/>
  <c r="BN32" i="10" s="1"/>
  <c r="AR45" i="10"/>
  <c r="BN45" i="10" s="1"/>
  <c r="AR37" i="10"/>
  <c r="BN37" i="10" s="1"/>
  <c r="AR33" i="10"/>
  <c r="BN33" i="10" s="1"/>
  <c r="AR46" i="10"/>
  <c r="BN46" i="10" s="1"/>
  <c r="AR14" i="10"/>
  <c r="BN14" i="10" s="1"/>
  <c r="AR21" i="10"/>
  <c r="BN21" i="10" s="1"/>
  <c r="AR34" i="10"/>
  <c r="BN34" i="10" s="1"/>
  <c r="AR40" i="10"/>
  <c r="BN40" i="10" s="1"/>
  <c r="AR22" i="10"/>
  <c r="BN22" i="10" s="1"/>
  <c r="AR28" i="10"/>
  <c r="BN28" i="10" s="1"/>
  <c r="AR41" i="10"/>
  <c r="BN41" i="10" s="1"/>
  <c r="AR38" i="10"/>
  <c r="BN38" i="10" s="1"/>
  <c r="AR13" i="10"/>
  <c r="BN13" i="10" s="1"/>
  <c r="AR16" i="10"/>
  <c r="BN16" i="10" s="1"/>
  <c r="AR29" i="10"/>
  <c r="BN29" i="10" s="1"/>
  <c r="AR42" i="10"/>
  <c r="BN42" i="10" s="1"/>
  <c r="BA47" i="10"/>
  <c r="BJ47" i="10"/>
  <c r="BD47" i="10"/>
  <c r="AU19" i="11" l="1"/>
  <c r="AO11" i="10"/>
  <c r="AO10" i="10"/>
  <c r="AR10" i="10" s="1"/>
  <c r="BN10" i="10" s="1"/>
  <c r="V11" i="10"/>
  <c r="V47" i="10" s="1"/>
  <c r="AO47" i="10" l="1"/>
  <c r="AR11" i="10"/>
  <c r="E814" i="3" a="1"/>
  <c r="E814" i="3" s="1"/>
  <c r="E813" i="3" a="1"/>
  <c r="E813" i="3" s="1"/>
  <c r="E812" i="3" a="1"/>
  <c r="E812" i="3" s="1"/>
  <c r="E811" i="3" a="1"/>
  <c r="E811" i="3" s="1"/>
  <c r="E810" i="3" a="1"/>
  <c r="E810" i="3" s="1"/>
  <c r="E809" i="3" a="1"/>
  <c r="E809" i="3" s="1"/>
  <c r="E808" i="3" a="1"/>
  <c r="E808" i="3" s="1"/>
  <c r="E807" i="3" a="1"/>
  <c r="E807" i="3" s="1"/>
  <c r="E806" i="3" a="1"/>
  <c r="E806" i="3" s="1"/>
  <c r="E805" i="3" a="1"/>
  <c r="E805" i="3" s="1"/>
  <c r="E804" i="3" a="1"/>
  <c r="E804" i="3" s="1"/>
  <c r="E803" i="3" a="1"/>
  <c r="E803" i="3" s="1"/>
  <c r="E802" i="3" a="1"/>
  <c r="E802" i="3" s="1"/>
  <c r="E801" i="3" a="1"/>
  <c r="E801" i="3" s="1"/>
  <c r="E800" i="3" a="1"/>
  <c r="E800" i="3" s="1"/>
  <c r="E799" i="3" a="1"/>
  <c r="E799" i="3" s="1"/>
  <c r="E798" i="3" a="1"/>
  <c r="E798" i="3" s="1"/>
  <c r="E797" i="3" a="1"/>
  <c r="E797" i="3" s="1"/>
  <c r="E796" i="3" a="1"/>
  <c r="E796" i="3" s="1"/>
  <c r="E795" i="3" a="1"/>
  <c r="E795" i="3" s="1"/>
  <c r="E794" i="3" a="1"/>
  <c r="E794" i="3" s="1"/>
  <c r="E793" i="3" a="1"/>
  <c r="E793" i="3" s="1"/>
  <c r="E792" i="3" a="1"/>
  <c r="E792" i="3" s="1"/>
  <c r="E791" i="3" a="1"/>
  <c r="E791" i="3" s="1"/>
  <c r="E790" i="3" a="1"/>
  <c r="E790" i="3" s="1"/>
  <c r="E789" i="3" a="1"/>
  <c r="E789" i="3" s="1"/>
  <c r="E788" i="3" a="1"/>
  <c r="E788" i="3" s="1"/>
  <c r="E787" i="3" a="1"/>
  <c r="E787" i="3" s="1"/>
  <c r="E786" i="3" a="1"/>
  <c r="E786" i="3" s="1"/>
  <c r="E785" i="3" a="1"/>
  <c r="E785" i="3" s="1"/>
  <c r="E784" i="3" a="1"/>
  <c r="E784" i="3" s="1"/>
  <c r="E783" i="3" a="1"/>
  <c r="E783" i="3" s="1"/>
  <c r="E782" i="3" a="1"/>
  <c r="E782" i="3" s="1"/>
  <c r="E781" i="3" a="1"/>
  <c r="E781" i="3" s="1"/>
  <c r="E780" i="3" a="1"/>
  <c r="E780" i="3" s="1"/>
  <c r="E779" i="3" a="1"/>
  <c r="E779" i="3" s="1"/>
  <c r="E778" i="3" a="1"/>
  <c r="E778" i="3" s="1"/>
  <c r="E777" i="3" a="1"/>
  <c r="E777" i="3" s="1"/>
  <c r="E776" i="3" a="1"/>
  <c r="E776" i="3" s="1"/>
  <c r="E775" i="3" a="1"/>
  <c r="E775" i="3" s="1"/>
  <c r="E774" i="3" a="1"/>
  <c r="E774" i="3" s="1"/>
  <c r="E773" i="3" a="1"/>
  <c r="E773" i="3" s="1"/>
  <c r="E772" i="3" a="1"/>
  <c r="E772" i="3" s="1"/>
  <c r="E771" i="3" a="1"/>
  <c r="E771" i="3" s="1"/>
  <c r="E770" i="3" a="1"/>
  <c r="E770" i="3" s="1"/>
  <c r="E769" i="3" a="1"/>
  <c r="E769" i="3" s="1"/>
  <c r="E768" i="3" a="1"/>
  <c r="E768" i="3" s="1"/>
  <c r="E767" i="3" a="1"/>
  <c r="E767" i="3" s="1"/>
  <c r="E766" i="3" a="1"/>
  <c r="E766" i="3" s="1"/>
  <c r="E765" i="3" a="1"/>
  <c r="E765" i="3" s="1"/>
  <c r="E764" i="3" a="1"/>
  <c r="E764" i="3" s="1"/>
  <c r="E763" i="3" a="1"/>
  <c r="E763" i="3" s="1"/>
  <c r="E762" i="3" a="1"/>
  <c r="E762" i="3" s="1"/>
  <c r="E761" i="3" a="1"/>
  <c r="E761" i="3" s="1"/>
  <c r="E760" i="3" a="1"/>
  <c r="E760" i="3" s="1"/>
  <c r="E759" i="3" a="1"/>
  <c r="E759" i="3" s="1"/>
  <c r="E758" i="3" a="1"/>
  <c r="E758" i="3" s="1"/>
  <c r="E757" i="3" a="1"/>
  <c r="E757" i="3" s="1"/>
  <c r="E756" i="3" a="1"/>
  <c r="E756" i="3" s="1"/>
  <c r="E755" i="3" a="1"/>
  <c r="E755" i="3" s="1"/>
  <c r="E754" i="3" a="1"/>
  <c r="E754" i="3" s="1"/>
  <c r="E753" i="3" a="1"/>
  <c r="E753" i="3" s="1"/>
  <c r="E752" i="3" a="1"/>
  <c r="E752" i="3" s="1"/>
  <c r="E751" i="3" a="1"/>
  <c r="E751" i="3" s="1"/>
  <c r="E750" i="3" a="1"/>
  <c r="E750" i="3" s="1"/>
  <c r="E749" i="3" a="1"/>
  <c r="E749" i="3" s="1"/>
  <c r="E748" i="3" a="1"/>
  <c r="E748" i="3" s="1"/>
  <c r="E747" i="3" a="1"/>
  <c r="E747" i="3" s="1"/>
  <c r="E746" i="3" a="1"/>
  <c r="E746" i="3" s="1"/>
  <c r="E745" i="3" a="1"/>
  <c r="E745" i="3" s="1"/>
  <c r="E744" i="3" a="1"/>
  <c r="E744" i="3" s="1"/>
  <c r="E743" i="3" a="1"/>
  <c r="E743" i="3" s="1"/>
  <c r="E742" i="3" a="1"/>
  <c r="E742" i="3" s="1"/>
  <c r="E741" i="3" a="1"/>
  <c r="E741" i="3" s="1"/>
  <c r="E740" i="3" a="1"/>
  <c r="E740" i="3" s="1"/>
  <c r="E739" i="3" a="1"/>
  <c r="E739" i="3" s="1"/>
  <c r="E738" i="3" a="1"/>
  <c r="E738" i="3" s="1"/>
  <c r="E737" i="3" a="1"/>
  <c r="E737" i="3" s="1"/>
  <c r="E736" i="3" a="1"/>
  <c r="E736" i="3" s="1"/>
  <c r="E735" i="3" a="1"/>
  <c r="E735" i="3" s="1"/>
  <c r="E734" i="3" a="1"/>
  <c r="E734" i="3" s="1"/>
  <c r="E733" i="3" a="1"/>
  <c r="E733" i="3" s="1"/>
  <c r="E732" i="3" a="1"/>
  <c r="E732" i="3" s="1"/>
  <c r="E731" i="3" a="1"/>
  <c r="E731" i="3" s="1"/>
  <c r="E730" i="3" a="1"/>
  <c r="E730" i="3" s="1"/>
  <c r="E729" i="3" a="1"/>
  <c r="E729" i="3" s="1"/>
  <c r="E728" i="3" a="1"/>
  <c r="E728" i="3" s="1"/>
  <c r="E727" i="3" a="1"/>
  <c r="E727" i="3" s="1"/>
  <c r="E726" i="3" a="1"/>
  <c r="E726" i="3" s="1"/>
  <c r="E725" i="3" a="1"/>
  <c r="E725" i="3" s="1"/>
  <c r="E724" i="3" a="1"/>
  <c r="E724" i="3" s="1"/>
  <c r="E723" i="3" a="1"/>
  <c r="E723" i="3" s="1"/>
  <c r="E722" i="3" a="1"/>
  <c r="E722" i="3" s="1"/>
  <c r="E721" i="3" a="1"/>
  <c r="E721" i="3" s="1"/>
  <c r="E720" i="3" a="1"/>
  <c r="E720" i="3" s="1"/>
  <c r="E719" i="3" a="1"/>
  <c r="E719" i="3" s="1"/>
  <c r="E718" i="3" a="1"/>
  <c r="E718" i="3" s="1"/>
  <c r="E717" i="3" a="1"/>
  <c r="E717" i="3" s="1"/>
  <c r="E716" i="3" a="1"/>
  <c r="E716" i="3" s="1"/>
  <c r="E715" i="3" a="1"/>
  <c r="E715" i="3" s="1"/>
  <c r="E714" i="3" a="1"/>
  <c r="E714" i="3" s="1"/>
  <c r="E713" i="3" a="1"/>
  <c r="E713" i="3" s="1"/>
  <c r="E712" i="3" a="1"/>
  <c r="E712" i="3" s="1"/>
  <c r="E711" i="3" a="1"/>
  <c r="E711" i="3" s="1"/>
  <c r="E710" i="3" a="1"/>
  <c r="E710" i="3" s="1"/>
  <c r="E709" i="3" a="1"/>
  <c r="E709" i="3" s="1"/>
  <c r="E708" i="3" a="1"/>
  <c r="E708" i="3" s="1"/>
  <c r="E707" i="3" a="1"/>
  <c r="E707" i="3" s="1"/>
  <c r="E706" i="3" a="1"/>
  <c r="E706" i="3" s="1"/>
  <c r="E705" i="3" a="1"/>
  <c r="E705" i="3" s="1"/>
  <c r="E704" i="3" a="1"/>
  <c r="E704" i="3" s="1"/>
  <c r="E703" i="3" a="1"/>
  <c r="E703" i="3" s="1"/>
  <c r="E702" i="3" a="1"/>
  <c r="E702" i="3" s="1"/>
  <c r="E701" i="3" a="1"/>
  <c r="E701" i="3" s="1"/>
  <c r="E700" i="3" a="1"/>
  <c r="E700" i="3" s="1"/>
  <c r="E699" i="3" a="1"/>
  <c r="E699" i="3" s="1"/>
  <c r="E698" i="3" a="1"/>
  <c r="E698" i="3" s="1"/>
  <c r="E697" i="3" a="1"/>
  <c r="E697" i="3" s="1"/>
  <c r="E696" i="3" a="1"/>
  <c r="E696" i="3" s="1"/>
  <c r="E695" i="3" a="1"/>
  <c r="E695" i="3" s="1"/>
  <c r="E694" i="3" a="1"/>
  <c r="E694" i="3" s="1"/>
  <c r="E693" i="3" a="1"/>
  <c r="E693" i="3" s="1"/>
  <c r="E692" i="3" a="1"/>
  <c r="E692" i="3" s="1"/>
  <c r="E691" i="3" a="1"/>
  <c r="E691" i="3" s="1"/>
  <c r="E690" i="3" a="1"/>
  <c r="E690" i="3" s="1"/>
  <c r="E689" i="3" a="1"/>
  <c r="E689" i="3" s="1"/>
  <c r="E688" i="3" a="1"/>
  <c r="E688" i="3" s="1"/>
  <c r="E687" i="3" a="1"/>
  <c r="E687" i="3" s="1"/>
  <c r="E686" i="3" a="1"/>
  <c r="E686" i="3" s="1"/>
  <c r="E685" i="3" a="1"/>
  <c r="E685" i="3" s="1"/>
  <c r="E684" i="3" a="1"/>
  <c r="E684" i="3" s="1"/>
  <c r="E683" i="3" a="1"/>
  <c r="E683" i="3" s="1"/>
  <c r="E682" i="3" a="1"/>
  <c r="E682" i="3" s="1"/>
  <c r="E681" i="3" a="1"/>
  <c r="E681" i="3" s="1"/>
  <c r="E680" i="3" a="1"/>
  <c r="E680" i="3" s="1"/>
  <c r="E679" i="3" a="1"/>
  <c r="E679" i="3" s="1"/>
  <c r="E678" i="3" a="1"/>
  <c r="E678" i="3" s="1"/>
  <c r="E677" i="3" a="1"/>
  <c r="E677" i="3" s="1"/>
  <c r="E676" i="3" a="1"/>
  <c r="E676" i="3" s="1"/>
  <c r="E675" i="3" a="1"/>
  <c r="E675" i="3" s="1"/>
  <c r="E674" i="3" a="1"/>
  <c r="E674" i="3" s="1"/>
  <c r="E673" i="3" a="1"/>
  <c r="E673" i="3" s="1"/>
  <c r="E672" i="3" a="1"/>
  <c r="E672" i="3" s="1"/>
  <c r="E671" i="3" a="1"/>
  <c r="E671" i="3" s="1"/>
  <c r="E670" i="3" a="1"/>
  <c r="E670" i="3" s="1"/>
  <c r="E669" i="3" a="1"/>
  <c r="E669" i="3" s="1"/>
  <c r="E668" i="3" a="1"/>
  <c r="E668" i="3" s="1"/>
  <c r="E667" i="3" a="1"/>
  <c r="E667" i="3" s="1"/>
  <c r="E666" i="3" a="1"/>
  <c r="E666" i="3" s="1"/>
  <c r="E665" i="3" a="1"/>
  <c r="E665" i="3" s="1"/>
  <c r="E664" i="3" a="1"/>
  <c r="E664" i="3" s="1"/>
  <c r="E663" i="3" a="1"/>
  <c r="E663" i="3" s="1"/>
  <c r="E662" i="3" a="1"/>
  <c r="E662" i="3" s="1"/>
  <c r="E661" i="3" a="1"/>
  <c r="E661" i="3" s="1"/>
  <c r="E660" i="3" a="1"/>
  <c r="E660" i="3" s="1"/>
  <c r="E659" i="3" a="1"/>
  <c r="E659" i="3" s="1"/>
  <c r="E658" i="3" a="1"/>
  <c r="E658" i="3" s="1"/>
  <c r="E657" i="3" a="1"/>
  <c r="E657" i="3" s="1"/>
  <c r="E656" i="3" a="1"/>
  <c r="E656" i="3" s="1"/>
  <c r="E655" i="3" a="1"/>
  <c r="E655" i="3" s="1"/>
  <c r="E654" i="3" a="1"/>
  <c r="E654" i="3" s="1"/>
  <c r="E653" i="3" a="1"/>
  <c r="E653" i="3" s="1"/>
  <c r="E652" i="3" a="1"/>
  <c r="E652" i="3" s="1"/>
  <c r="E651" i="3" a="1"/>
  <c r="E651" i="3" s="1"/>
  <c r="E650" i="3" a="1"/>
  <c r="E650" i="3" s="1"/>
  <c r="E649" i="3" a="1"/>
  <c r="E649" i="3" s="1"/>
  <c r="E648" i="3" a="1"/>
  <c r="E648" i="3" s="1"/>
  <c r="E647" i="3" a="1"/>
  <c r="E647" i="3" s="1"/>
  <c r="E646" i="3" a="1"/>
  <c r="E646" i="3" s="1"/>
  <c r="E645" i="3" a="1"/>
  <c r="E645" i="3" s="1"/>
  <c r="E644" i="3" a="1"/>
  <c r="E644" i="3" s="1"/>
  <c r="E643" i="3" a="1"/>
  <c r="E643" i="3" s="1"/>
  <c r="E642" i="3" a="1"/>
  <c r="E642" i="3" s="1"/>
  <c r="E641" i="3" a="1"/>
  <c r="E641" i="3" s="1"/>
  <c r="E640" i="3" a="1"/>
  <c r="E640" i="3" s="1"/>
  <c r="E639" i="3" a="1"/>
  <c r="E639" i="3" s="1"/>
  <c r="E638" i="3" a="1"/>
  <c r="E638" i="3" s="1"/>
  <c r="E637" i="3" a="1"/>
  <c r="E637" i="3" s="1"/>
  <c r="E636" i="3" a="1"/>
  <c r="E636" i="3" s="1"/>
  <c r="E635" i="3" a="1"/>
  <c r="E635" i="3" s="1"/>
  <c r="E634" i="3" a="1"/>
  <c r="E634" i="3" s="1"/>
  <c r="E633" i="3" a="1"/>
  <c r="E633" i="3" s="1"/>
  <c r="E632" i="3" a="1"/>
  <c r="E632" i="3" s="1"/>
  <c r="E631" i="3" a="1"/>
  <c r="E631" i="3" s="1"/>
  <c r="E630" i="3" a="1"/>
  <c r="E630" i="3" s="1"/>
  <c r="E629" i="3" a="1"/>
  <c r="E629" i="3" s="1"/>
  <c r="E628" i="3" a="1"/>
  <c r="E628" i="3" s="1"/>
  <c r="E627" i="3" a="1"/>
  <c r="E627" i="3" s="1"/>
  <c r="E626" i="3" a="1"/>
  <c r="E626" i="3" s="1"/>
  <c r="E625" i="3" a="1"/>
  <c r="E625" i="3" s="1"/>
  <c r="E624" i="3" a="1"/>
  <c r="E624" i="3" s="1"/>
  <c r="E623" i="3" a="1"/>
  <c r="E623" i="3" s="1"/>
  <c r="E622" i="3" a="1"/>
  <c r="E622" i="3" s="1"/>
  <c r="E621" i="3" a="1"/>
  <c r="E621" i="3" s="1"/>
  <c r="E620" i="3" a="1"/>
  <c r="E620" i="3" s="1"/>
  <c r="E619" i="3" a="1"/>
  <c r="E619" i="3" s="1"/>
  <c r="E618" i="3" a="1"/>
  <c r="E618" i="3" s="1"/>
  <c r="E617" i="3" a="1"/>
  <c r="E617" i="3" s="1"/>
  <c r="E616" i="3" a="1"/>
  <c r="E616" i="3" s="1"/>
  <c r="E615" i="3" a="1"/>
  <c r="E615" i="3" s="1"/>
  <c r="E614" i="3" a="1"/>
  <c r="E614" i="3" s="1"/>
  <c r="E613" i="3" a="1"/>
  <c r="E613" i="3" s="1"/>
  <c r="E612" i="3" a="1"/>
  <c r="E612" i="3" s="1"/>
  <c r="E611" i="3" a="1"/>
  <c r="E611" i="3" s="1"/>
  <c r="E610" i="3" a="1"/>
  <c r="E610" i="3" s="1"/>
  <c r="E609" i="3" a="1"/>
  <c r="E609" i="3" s="1"/>
  <c r="E608" i="3" a="1"/>
  <c r="E608" i="3" s="1"/>
  <c r="E607" i="3" a="1"/>
  <c r="E607" i="3" s="1"/>
  <c r="E606" i="3" a="1"/>
  <c r="E606" i="3" s="1"/>
  <c r="E605" i="3" a="1"/>
  <c r="E605" i="3" s="1"/>
  <c r="E604" i="3" a="1"/>
  <c r="E604" i="3" s="1"/>
  <c r="E603" i="3" a="1"/>
  <c r="E603" i="3" s="1"/>
  <c r="E602" i="3" a="1"/>
  <c r="E602" i="3" s="1"/>
  <c r="E601" i="3" a="1"/>
  <c r="E601" i="3" s="1"/>
  <c r="E600" i="3" a="1"/>
  <c r="E600" i="3" s="1"/>
  <c r="E599" i="3" a="1"/>
  <c r="E599" i="3" s="1"/>
  <c r="E598" i="3" a="1"/>
  <c r="E598" i="3" s="1"/>
  <c r="E597" i="3" a="1"/>
  <c r="E597" i="3" s="1"/>
  <c r="E596" i="3" a="1"/>
  <c r="E596" i="3" s="1"/>
  <c r="E595" i="3" a="1"/>
  <c r="E595" i="3" s="1"/>
  <c r="E594" i="3" a="1"/>
  <c r="E594" i="3" s="1"/>
  <c r="E593" i="3" a="1"/>
  <c r="E593" i="3" s="1"/>
  <c r="E592" i="3" a="1"/>
  <c r="E592" i="3" s="1"/>
  <c r="E591" i="3" a="1"/>
  <c r="E591" i="3" s="1"/>
  <c r="E590" i="3" a="1"/>
  <c r="E590" i="3" s="1"/>
  <c r="E589" i="3" a="1"/>
  <c r="E589" i="3" s="1"/>
  <c r="E588" i="3" a="1"/>
  <c r="E588" i="3" s="1"/>
  <c r="E587" i="3" a="1"/>
  <c r="E587" i="3" s="1"/>
  <c r="E586" i="3" a="1"/>
  <c r="E586" i="3" s="1"/>
  <c r="E585" i="3" a="1"/>
  <c r="E585" i="3" s="1"/>
  <c r="E584" i="3" a="1"/>
  <c r="E584" i="3" s="1"/>
  <c r="E583" i="3" a="1"/>
  <c r="E583" i="3" s="1"/>
  <c r="E582" i="3" a="1"/>
  <c r="E582" i="3" s="1"/>
  <c r="E581" i="3" a="1"/>
  <c r="E581" i="3" s="1"/>
  <c r="E580" i="3" a="1"/>
  <c r="E580" i="3" s="1"/>
  <c r="E579" i="3" a="1"/>
  <c r="E579" i="3" s="1"/>
  <c r="E578" i="3" a="1"/>
  <c r="E578" i="3" s="1"/>
  <c r="E577" i="3" a="1"/>
  <c r="E577" i="3" s="1"/>
  <c r="E576" i="3" a="1"/>
  <c r="E576" i="3" s="1"/>
  <c r="E575" i="3" a="1"/>
  <c r="E575" i="3" s="1"/>
  <c r="E574" i="3" a="1"/>
  <c r="E574" i="3" s="1"/>
  <c r="E573" i="3" a="1"/>
  <c r="E573" i="3" s="1"/>
  <c r="E572" i="3" a="1"/>
  <c r="E572" i="3" s="1"/>
  <c r="E571" i="3" a="1"/>
  <c r="E571" i="3" s="1"/>
  <c r="E570" i="3" a="1"/>
  <c r="E570" i="3" s="1"/>
  <c r="E569" i="3" a="1"/>
  <c r="E569" i="3" s="1"/>
  <c r="E568" i="3" a="1"/>
  <c r="E568" i="3" s="1"/>
  <c r="E567" i="3" a="1"/>
  <c r="E567" i="3" s="1"/>
  <c r="E566" i="3" a="1"/>
  <c r="E566" i="3" s="1"/>
  <c r="E565" i="3" a="1"/>
  <c r="E565" i="3" s="1"/>
  <c r="E564" i="3" a="1"/>
  <c r="E564" i="3" s="1"/>
  <c r="E563" i="3" a="1"/>
  <c r="E563" i="3" s="1"/>
  <c r="E562" i="3" a="1"/>
  <c r="E562" i="3" s="1"/>
  <c r="E561" i="3" a="1"/>
  <c r="E561" i="3" s="1"/>
  <c r="E560" i="3" a="1"/>
  <c r="E560" i="3" s="1"/>
  <c r="E559" i="3" a="1"/>
  <c r="E559" i="3" s="1"/>
  <c r="E558" i="3" a="1"/>
  <c r="E558" i="3" s="1"/>
  <c r="E557" i="3" a="1"/>
  <c r="E557" i="3" s="1"/>
  <c r="E556" i="3" a="1"/>
  <c r="E556" i="3" s="1"/>
  <c r="E555" i="3" a="1"/>
  <c r="E555" i="3" s="1"/>
  <c r="E554" i="3" a="1"/>
  <c r="E554" i="3" s="1"/>
  <c r="E553" i="3" a="1"/>
  <c r="E553" i="3" s="1"/>
  <c r="E552" i="3" a="1"/>
  <c r="E552" i="3" s="1"/>
  <c r="E551" i="3" a="1"/>
  <c r="E551" i="3" s="1"/>
  <c r="E550" i="3" a="1"/>
  <c r="E550" i="3" s="1"/>
  <c r="E549" i="3" a="1"/>
  <c r="E549" i="3" s="1"/>
  <c r="E548" i="3" a="1"/>
  <c r="E548" i="3" s="1"/>
  <c r="E547" i="3" a="1"/>
  <c r="E547" i="3" s="1"/>
  <c r="E546" i="3" a="1"/>
  <c r="E546" i="3" s="1"/>
  <c r="E545" i="3" a="1"/>
  <c r="E545" i="3" s="1"/>
  <c r="E544" i="3" a="1"/>
  <c r="E544" i="3" s="1"/>
  <c r="E543" i="3" a="1"/>
  <c r="E543" i="3" s="1"/>
  <c r="E542" i="3" a="1"/>
  <c r="E542" i="3" s="1"/>
  <c r="E541" i="3" a="1"/>
  <c r="E541" i="3" s="1"/>
  <c r="E540" i="3" a="1"/>
  <c r="E540" i="3" s="1"/>
  <c r="E539" i="3" a="1"/>
  <c r="E539" i="3" s="1"/>
  <c r="E538" i="3" a="1"/>
  <c r="E538" i="3" s="1"/>
  <c r="E537" i="3" a="1"/>
  <c r="E537" i="3" s="1"/>
  <c r="E536" i="3" a="1"/>
  <c r="E536" i="3" s="1"/>
  <c r="E535" i="3" a="1"/>
  <c r="E535" i="3" s="1"/>
  <c r="E534" i="3" a="1"/>
  <c r="E534" i="3" s="1"/>
  <c r="E533" i="3" a="1"/>
  <c r="E533" i="3" s="1"/>
  <c r="E532" i="3" a="1"/>
  <c r="E532" i="3" s="1"/>
  <c r="E531" i="3" a="1"/>
  <c r="E531" i="3" s="1"/>
  <c r="E530" i="3" a="1"/>
  <c r="E530" i="3" s="1"/>
  <c r="E529" i="3" a="1"/>
  <c r="E529" i="3" s="1"/>
  <c r="E528" i="3" a="1"/>
  <c r="E528" i="3" s="1"/>
  <c r="E527" i="3" a="1"/>
  <c r="E527" i="3" s="1"/>
  <c r="E526" i="3" a="1"/>
  <c r="E526" i="3" s="1"/>
  <c r="E525" i="3" a="1"/>
  <c r="E525" i="3" s="1"/>
  <c r="E524" i="3" a="1"/>
  <c r="E524" i="3" s="1"/>
  <c r="E523" i="3" a="1"/>
  <c r="E523" i="3" s="1"/>
  <c r="E522" i="3" a="1"/>
  <c r="E522" i="3" s="1"/>
  <c r="E521" i="3" a="1"/>
  <c r="E521" i="3" s="1"/>
  <c r="E520" i="3" a="1"/>
  <c r="E520" i="3" s="1"/>
  <c r="E519" i="3" a="1"/>
  <c r="E519" i="3" s="1"/>
  <c r="E518" i="3" a="1"/>
  <c r="E518" i="3" s="1"/>
  <c r="E517" i="3" a="1"/>
  <c r="E517" i="3" s="1"/>
  <c r="E516" i="3" a="1"/>
  <c r="E516" i="3" s="1"/>
  <c r="E515" i="3" a="1"/>
  <c r="E515" i="3" s="1"/>
  <c r="E514" i="3" a="1"/>
  <c r="E514" i="3" s="1"/>
  <c r="E513" i="3" a="1"/>
  <c r="E513" i="3" s="1"/>
  <c r="E512" i="3" a="1"/>
  <c r="E512" i="3" s="1"/>
  <c r="E511" i="3" a="1"/>
  <c r="E511" i="3" s="1"/>
  <c r="E510" i="3" a="1"/>
  <c r="E510" i="3" s="1"/>
  <c r="E509" i="3" a="1"/>
  <c r="E509" i="3" s="1"/>
  <c r="E508" i="3" a="1"/>
  <c r="E508" i="3" s="1"/>
  <c r="E507" i="3" a="1"/>
  <c r="E507" i="3" s="1"/>
  <c r="E506" i="3" a="1"/>
  <c r="E506" i="3" s="1"/>
  <c r="E505" i="3" a="1"/>
  <c r="E505" i="3" s="1"/>
  <c r="E504" i="3" a="1"/>
  <c r="E504" i="3" s="1"/>
  <c r="E503" i="3" a="1"/>
  <c r="E503" i="3" s="1"/>
  <c r="E502" i="3" a="1"/>
  <c r="E502" i="3" s="1"/>
  <c r="E501" i="3" a="1"/>
  <c r="E501" i="3" s="1"/>
  <c r="E500" i="3" a="1"/>
  <c r="E500" i="3" s="1"/>
  <c r="E499" i="3" a="1"/>
  <c r="E499" i="3" s="1"/>
  <c r="E498" i="3" a="1"/>
  <c r="E498" i="3" s="1"/>
  <c r="E497" i="3" a="1"/>
  <c r="E497" i="3" s="1"/>
  <c r="E496" i="3" a="1"/>
  <c r="E496" i="3" s="1"/>
  <c r="E495" i="3" a="1"/>
  <c r="E495" i="3" s="1"/>
  <c r="E494" i="3" a="1"/>
  <c r="E494" i="3" s="1"/>
  <c r="E493" i="3" a="1"/>
  <c r="E493" i="3" s="1"/>
  <c r="E492" i="3" a="1"/>
  <c r="E492" i="3" s="1"/>
  <c r="E491" i="3" a="1"/>
  <c r="E491" i="3" s="1"/>
  <c r="E490" i="3" a="1"/>
  <c r="E490" i="3" s="1"/>
  <c r="E489" i="3" a="1"/>
  <c r="E489" i="3" s="1"/>
  <c r="E488" i="3" a="1"/>
  <c r="E488" i="3" s="1"/>
  <c r="E487" i="3" a="1"/>
  <c r="E487" i="3" s="1"/>
  <c r="E486" i="3" a="1"/>
  <c r="E486" i="3" s="1"/>
  <c r="E485" i="3" a="1"/>
  <c r="E485" i="3" s="1"/>
  <c r="E484" i="3" a="1"/>
  <c r="E484" i="3" s="1"/>
  <c r="E483" i="3" a="1"/>
  <c r="E483" i="3" s="1"/>
  <c r="E482" i="3" a="1"/>
  <c r="E482" i="3" s="1"/>
  <c r="E481" i="3" a="1"/>
  <c r="E481" i="3" s="1"/>
  <c r="E480" i="3" a="1"/>
  <c r="E480" i="3" s="1"/>
  <c r="E479" i="3" a="1"/>
  <c r="E479" i="3" s="1"/>
  <c r="E478" i="3" a="1"/>
  <c r="E478" i="3" s="1"/>
  <c r="E477" i="3" a="1"/>
  <c r="E477" i="3" s="1"/>
  <c r="E476" i="3" a="1"/>
  <c r="E476" i="3" s="1"/>
  <c r="E475" i="3" a="1"/>
  <c r="E475" i="3" s="1"/>
  <c r="E474" i="3" a="1"/>
  <c r="E474" i="3" s="1"/>
  <c r="E473" i="3" a="1"/>
  <c r="E473" i="3" s="1"/>
  <c r="E472" i="3" a="1"/>
  <c r="E472" i="3" s="1"/>
  <c r="E471" i="3" a="1"/>
  <c r="E471" i="3" s="1"/>
  <c r="E470" i="3" a="1"/>
  <c r="E470" i="3" s="1"/>
  <c r="E469" i="3" a="1"/>
  <c r="E469" i="3" s="1"/>
  <c r="E468" i="3" a="1"/>
  <c r="E468" i="3" s="1"/>
  <c r="E467" i="3" a="1"/>
  <c r="E467" i="3" s="1"/>
  <c r="E466" i="3" a="1"/>
  <c r="E466" i="3" s="1"/>
  <c r="E465" i="3" a="1"/>
  <c r="E465" i="3" s="1"/>
  <c r="E464" i="3" a="1"/>
  <c r="E464" i="3" s="1"/>
  <c r="E463" i="3" a="1"/>
  <c r="E463" i="3" s="1"/>
  <c r="E462" i="3" a="1"/>
  <c r="E462" i="3" s="1"/>
  <c r="E461" i="3" a="1"/>
  <c r="E461" i="3" s="1"/>
  <c r="E460" i="3" a="1"/>
  <c r="E460" i="3" s="1"/>
  <c r="E459" i="3" a="1"/>
  <c r="E459" i="3" s="1"/>
  <c r="E458" i="3" a="1"/>
  <c r="E458" i="3" s="1"/>
  <c r="E457" i="3" a="1"/>
  <c r="E457" i="3" s="1"/>
  <c r="E456" i="3" a="1"/>
  <c r="E456" i="3" s="1"/>
  <c r="E455" i="3" a="1"/>
  <c r="E455" i="3" s="1"/>
  <c r="E454" i="3" a="1"/>
  <c r="E454" i="3" s="1"/>
  <c r="E453" i="3" a="1"/>
  <c r="E453" i="3" s="1"/>
  <c r="E452" i="3" a="1"/>
  <c r="E452" i="3" s="1"/>
  <c r="E451" i="3" a="1"/>
  <c r="E451" i="3" s="1"/>
  <c r="E450" i="3" a="1"/>
  <c r="E450" i="3" s="1"/>
  <c r="E449" i="3" a="1"/>
  <c r="E449" i="3" s="1"/>
  <c r="E448" i="3" a="1"/>
  <c r="E448" i="3" s="1"/>
  <c r="E447" i="3" a="1"/>
  <c r="E447" i="3" s="1"/>
  <c r="E446" i="3" a="1"/>
  <c r="E446" i="3" s="1"/>
  <c r="E445" i="3" a="1"/>
  <c r="E445" i="3" s="1"/>
  <c r="AR47" i="10" l="1"/>
  <c r="BN11" i="10"/>
  <c r="AA25" i="9"/>
  <c r="L25" i="9"/>
  <c r="E444" i="3" a="1"/>
  <c r="E444" i="3" s="1"/>
  <c r="V36" i="13" s="1"/>
  <c r="E439" i="3" a="1"/>
  <c r="E439" i="3" s="1"/>
  <c r="F67" i="65" s="1"/>
  <c r="E438" i="3" a="1"/>
  <c r="E438" i="3" s="1"/>
  <c r="B65" i="65" s="1"/>
  <c r="E443" i="3" a="1"/>
  <c r="E443" i="3" s="1"/>
  <c r="E442" i="3" a="1"/>
  <c r="E442" i="3" s="1"/>
  <c r="E441" i="3" a="1"/>
  <c r="E441" i="3" s="1"/>
  <c r="E440" i="3" a="1"/>
  <c r="E440" i="3" s="1"/>
  <c r="Z7" i="9"/>
  <c r="E437" i="3" a="1"/>
  <c r="E437" i="3" s="1"/>
  <c r="E436" i="3" a="1"/>
  <c r="E436" i="3" s="1"/>
  <c r="E435" i="3" a="1"/>
  <c r="E435" i="3" s="1"/>
  <c r="E434" i="3" a="1"/>
  <c r="E434" i="3" s="1"/>
  <c r="B9" i="9" l="1"/>
  <c r="B27" i="9"/>
  <c r="X52" i="10"/>
  <c r="S48" i="17"/>
  <c r="S54" i="16"/>
  <c r="W49" i="15"/>
  <c r="R55" i="14"/>
  <c r="T40" i="11"/>
  <c r="T46" i="12"/>
  <c r="AB54" i="10"/>
  <c r="W50" i="17"/>
  <c r="W56" i="16"/>
  <c r="AA51" i="15"/>
  <c r="V57" i="14"/>
  <c r="X48" i="12"/>
  <c r="X42" i="11"/>
  <c r="F2" i="3" l="1"/>
  <c r="J31" i="6" l="1"/>
  <c r="AM12" i="6"/>
  <c r="AM11" i="6"/>
  <c r="AM10" i="6"/>
  <c r="AM9" i="6"/>
  <c r="AM8" i="6"/>
  <c r="AM7" i="6"/>
  <c r="AI12" i="6"/>
  <c r="AI11" i="6"/>
  <c r="AI10" i="6"/>
  <c r="AI9" i="6"/>
  <c r="AI8" i="6"/>
  <c r="AE13" i="6"/>
  <c r="AA13" i="6"/>
  <c r="W13" i="6"/>
  <c r="S13" i="6"/>
  <c r="AM13" i="6" l="1"/>
  <c r="AI13" i="6"/>
  <c r="E57" i="3" l="1"/>
  <c r="E56" i="3"/>
  <c r="E55" i="3"/>
  <c r="E54" i="3"/>
  <c r="E53" i="3"/>
  <c r="E52" i="3"/>
  <c r="E51" i="3"/>
  <c r="E50" i="3"/>
  <c r="E49" i="3"/>
  <c r="E48" i="3"/>
  <c r="E47" i="3"/>
  <c r="E46" i="3"/>
  <c r="E45" i="3"/>
  <c r="E44" i="3"/>
  <c r="E43" i="3"/>
  <c r="E42" i="3"/>
  <c r="E41" i="3"/>
  <c r="E40" i="3"/>
  <c r="E39" i="3"/>
  <c r="E38" i="3"/>
  <c r="E37" i="3"/>
  <c r="E36" i="3"/>
  <c r="E35" i="3"/>
  <c r="E34" i="3"/>
  <c r="E33" i="3"/>
  <c r="E32" i="3"/>
  <c r="E31" i="3"/>
  <c r="E30" i="3"/>
  <c r="E25" i="3" l="1"/>
  <c r="R71" i="65" s="1"/>
  <c r="E24" i="3"/>
  <c r="E23" i="3"/>
  <c r="E22" i="3"/>
  <c r="F62" i="65" s="1"/>
  <c r="E21" i="3"/>
  <c r="F60" i="65" s="1"/>
  <c r="E20" i="3"/>
  <c r="E19" i="3"/>
  <c r="E18" i="3"/>
  <c r="E17" i="3"/>
  <c r="E16" i="3"/>
  <c r="E15" i="3"/>
  <c r="E14" i="3"/>
  <c r="E13" i="3"/>
  <c r="E12" i="3"/>
  <c r="E11" i="3"/>
  <c r="E10" i="3"/>
  <c r="E9" i="3"/>
  <c r="E8" i="3"/>
  <c r="E7" i="3"/>
  <c r="E6" i="3"/>
  <c r="E5" i="3"/>
  <c r="E4" i="3"/>
  <c r="F4" i="3" s="1"/>
  <c r="E3" i="3"/>
  <c r="F3" i="3" s="1"/>
  <c r="F60" i="62" l="1"/>
  <c r="F59" i="63"/>
  <c r="F40" i="64"/>
  <c r="F62" i="62"/>
  <c r="F61" i="63"/>
  <c r="F42" i="64"/>
  <c r="AD59" i="63"/>
  <c r="M45" i="64"/>
  <c r="AD60" i="62"/>
  <c r="F59" i="61"/>
  <c r="F59" i="60"/>
  <c r="F61" i="61"/>
  <c r="F61" i="60"/>
  <c r="AD59" i="61"/>
  <c r="AL59" i="60"/>
  <c r="L73" i="55"/>
  <c r="AD65" i="57"/>
  <c r="AL37" i="58"/>
  <c r="AD73" i="56"/>
  <c r="F68" i="55"/>
  <c r="F65" i="57"/>
  <c r="F37" i="58"/>
  <c r="F73" i="56"/>
  <c r="F70" i="55"/>
  <c r="F67" i="57"/>
  <c r="F39" i="58"/>
  <c r="F75" i="56"/>
  <c r="F44" i="53"/>
  <c r="F28" i="54"/>
  <c r="F46" i="53"/>
  <c r="F30" i="54"/>
  <c r="K49" i="53"/>
  <c r="K33" i="54"/>
  <c r="F43" i="50"/>
  <c r="F32" i="52"/>
  <c r="F51" i="51"/>
  <c r="F45" i="50"/>
  <c r="F34" i="52"/>
  <c r="F53" i="51"/>
  <c r="J48" i="50"/>
  <c r="K37" i="52"/>
  <c r="K56" i="51"/>
  <c r="F40" i="34"/>
  <c r="F21" i="49"/>
  <c r="F37" i="48"/>
  <c r="F45" i="43"/>
  <c r="F25" i="44"/>
  <c r="F37" i="46"/>
  <c r="F43" i="45"/>
  <c r="F39" i="42"/>
  <c r="F41" i="41"/>
  <c r="F38" i="35"/>
  <c r="F39" i="37"/>
  <c r="F42" i="40"/>
  <c r="F35" i="39"/>
  <c r="F47" i="38"/>
  <c r="F31" i="36"/>
  <c r="F42" i="34"/>
  <c r="F23" i="49"/>
  <c r="F39" i="48"/>
  <c r="F27" i="44"/>
  <c r="F39" i="46"/>
  <c r="F45" i="45"/>
  <c r="F47" i="43"/>
  <c r="F37" i="39"/>
  <c r="F49" i="38"/>
  <c r="F41" i="37"/>
  <c r="F33" i="36"/>
  <c r="F44" i="40"/>
  <c r="F41" i="42"/>
  <c r="F43" i="41"/>
  <c r="F40" i="35"/>
  <c r="AR40" i="34"/>
  <c r="AF21" i="49"/>
  <c r="AF37" i="48"/>
  <c r="AF25" i="44"/>
  <c r="AF37" i="46"/>
  <c r="AB43" i="45"/>
  <c r="K50" i="43"/>
  <c r="AK39" i="37"/>
  <c r="AI42" i="40"/>
  <c r="N43" i="35"/>
  <c r="AI35" i="39"/>
  <c r="AI47" i="38"/>
  <c r="AK31" i="36"/>
  <c r="AL39" i="42"/>
  <c r="AI41" i="41"/>
  <c r="F43" i="32"/>
  <c r="F38" i="30"/>
  <c r="F49" i="33"/>
  <c r="F53" i="29"/>
  <c r="F42" i="31"/>
  <c r="F51" i="33"/>
  <c r="F45" i="32"/>
  <c r="F55" i="29"/>
  <c r="F44" i="31"/>
  <c r="F40" i="30"/>
  <c r="L54" i="33"/>
  <c r="AK53" i="29"/>
  <c r="AI42" i="31"/>
  <c r="AL38" i="30"/>
  <c r="K49" i="32"/>
  <c r="F30" i="28"/>
  <c r="F28" i="27"/>
  <c r="F33" i="26"/>
  <c r="F31" i="25"/>
  <c r="F43" i="24"/>
  <c r="F46" i="23"/>
  <c r="F33" i="22"/>
  <c r="F32" i="28"/>
  <c r="F30" i="27"/>
  <c r="F35" i="26"/>
  <c r="F33" i="25"/>
  <c r="F45" i="24"/>
  <c r="F48" i="23"/>
  <c r="F35" i="22"/>
  <c r="AJ39" i="21"/>
  <c r="AJ30" i="28"/>
  <c r="AD28" i="27"/>
  <c r="AJ33" i="26"/>
  <c r="AD31" i="25"/>
  <c r="AG43" i="24"/>
  <c r="AF46" i="23"/>
  <c r="AJ33" i="22"/>
  <c r="F39" i="20"/>
  <c r="F41" i="21"/>
  <c r="F37" i="20"/>
  <c r="F39" i="21"/>
  <c r="AS40" i="11"/>
  <c r="AP37" i="20"/>
  <c r="F26" i="18"/>
  <c r="F52" i="19"/>
  <c r="F28" i="18"/>
  <c r="F54" i="19"/>
  <c r="AD26" i="18"/>
  <c r="N57" i="19"/>
  <c r="F54" i="16"/>
  <c r="F48" i="17"/>
  <c r="F49" i="15"/>
  <c r="F55" i="14"/>
  <c r="F36" i="13"/>
  <c r="F40" i="11"/>
  <c r="F46" i="12"/>
  <c r="F56" i="16"/>
  <c r="F50" i="17"/>
  <c r="F51" i="15"/>
  <c r="F57" i="14"/>
  <c r="F38" i="13"/>
  <c r="F42" i="11"/>
  <c r="F48" i="12"/>
  <c r="AJ54" i="16"/>
  <c r="AJ48" i="17"/>
  <c r="AG55" i="14"/>
  <c r="AR49" i="15"/>
  <c r="AP36" i="13"/>
  <c r="K51" i="12"/>
  <c r="F36" i="9"/>
  <c r="F52" i="10"/>
  <c r="F38" i="9"/>
  <c r="F54" i="10"/>
  <c r="AI36" i="9"/>
  <c r="AT52" i="10"/>
  <c r="AC35" i="6"/>
  <c r="V59" i="8"/>
  <c r="V61" i="7"/>
  <c r="F35" i="6"/>
  <c r="F59" i="8"/>
  <c r="F61" i="7"/>
  <c r="F37" i="6"/>
  <c r="F61" i="8"/>
  <c r="F63" i="7"/>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0" fCollapsed="0"/>
        </ext>
      </extLst>
    </bk>
  </futureMetadata>
  <cellMetadata count="1">
    <bk>
      <rc t="1" v="0"/>
    </bk>
  </cellMetadata>
</metadata>
</file>

<file path=xl/sharedStrings.xml><?xml version="1.0" encoding="utf-8"?>
<sst xmlns="http://schemas.openxmlformats.org/spreadsheetml/2006/main" count="24101" uniqueCount="11928">
  <si>
    <t>TABLE</t>
  </si>
  <si>
    <t>BOX</t>
  </si>
  <si>
    <t>Page #</t>
  </si>
  <si>
    <t>TITLE</t>
  </si>
  <si>
    <t>SCHOOL INFORMATION</t>
  </si>
  <si>
    <t>School ID:</t>
  </si>
  <si>
    <t>Republic of the Philippines</t>
  </si>
  <si>
    <t>DEPARTMENT OF EDUCATION</t>
  </si>
  <si>
    <t>PLANNING SERVICE</t>
  </si>
  <si>
    <t>Education Management Information System Division</t>
  </si>
  <si>
    <t>GOVERNMENT SENIOR HIGH SCHOOL (SHS) PROFILE</t>
  </si>
  <si>
    <t>INSTRUCTIONS</t>
  </si>
  <si>
    <t>School Name</t>
  </si>
  <si>
    <t>:</t>
  </si>
  <si>
    <t xml:space="preserve">Region </t>
  </si>
  <si>
    <t>(Official Name)</t>
  </si>
  <si>
    <t>Division</t>
  </si>
  <si>
    <t>Legislative District</t>
  </si>
  <si>
    <t>(Previous Name, if any)</t>
  </si>
  <si>
    <t>Telephone Number</t>
  </si>
  <si>
    <t>Address</t>
  </si>
  <si>
    <t>Mobile Number</t>
  </si>
  <si>
    <t>No.</t>
  </si>
  <si>
    <t>Street/Sitio/Purok</t>
  </si>
  <si>
    <t>Barangay</t>
  </si>
  <si>
    <t>Fax Number</t>
  </si>
  <si>
    <t xml:space="preserve">Website (if any)    </t>
  </si>
  <si>
    <t>Municipality/City</t>
  </si>
  <si>
    <t>Province</t>
  </si>
  <si>
    <t>Zip Code</t>
  </si>
  <si>
    <t xml:space="preserve">E-Mail Address    </t>
  </si>
  <si>
    <t>)</t>
  </si>
  <si>
    <t>Certified True and Correct by:</t>
  </si>
  <si>
    <t>Validated by Planning Officer III (PRS-SGOD):</t>
  </si>
  <si>
    <t>Noted by the Schools Division Office:</t>
  </si>
  <si>
    <t>School Head</t>
  </si>
  <si>
    <t xml:space="preserve">Head of the Office  :  </t>
  </si>
  <si>
    <t>(Signature Over Printed Name) / Date</t>
  </si>
  <si>
    <t>Position Title</t>
  </si>
  <si>
    <t>Position Title          :</t>
  </si>
  <si>
    <t xml:space="preserve"> </t>
  </si>
  <si>
    <t xml:space="preserve">Arts and Design Track </t>
  </si>
  <si>
    <t>TOTAL</t>
  </si>
  <si>
    <t>Grade 11</t>
  </si>
  <si>
    <t>Grade 12</t>
  </si>
  <si>
    <t>Male</t>
  </si>
  <si>
    <t>Female</t>
  </si>
  <si>
    <t>1.</t>
  </si>
  <si>
    <t>2.</t>
  </si>
  <si>
    <t>3.</t>
  </si>
  <si>
    <t>4.</t>
  </si>
  <si>
    <t>5.</t>
  </si>
  <si>
    <t>6.</t>
  </si>
  <si>
    <t>7.</t>
  </si>
  <si>
    <t>8.</t>
  </si>
  <si>
    <t>9.</t>
  </si>
  <si>
    <t>10.</t>
  </si>
  <si>
    <t>11.</t>
  </si>
  <si>
    <t>Position Title :</t>
  </si>
  <si>
    <t xml:space="preserve">Enrollment by Track </t>
  </si>
  <si>
    <t>Music</t>
  </si>
  <si>
    <t>Dance</t>
  </si>
  <si>
    <t>Theater Arts</t>
  </si>
  <si>
    <t>Creative Writing</t>
  </si>
  <si>
    <t>Media Arts</t>
  </si>
  <si>
    <t>Visual Arts</t>
  </si>
  <si>
    <r>
      <rPr>
        <b/>
        <i/>
        <sz val="11"/>
        <rFont val="Times New Roman"/>
        <family val="1"/>
      </rPr>
      <t>Arts and Design Track</t>
    </r>
    <r>
      <rPr>
        <sz val="11"/>
        <rFont val="Times New Roman"/>
        <family val="1"/>
      </rPr>
      <t xml:space="preserve"> - designed for SHS learners who intend to pursue careers in the world of arts. This track covers a wide range of art forms: Theater, Music, Dance, Creative Writing, Visual Arts, and Media Arts. This track has three arts field specializations. SHS learners may choose from depending on their inclination and aptitude. These specializations are: apprenticeship, art exhibition/performance, or production.</t>
    </r>
  </si>
  <si>
    <t>Home Economics (HE)</t>
  </si>
  <si>
    <t>Agri-Fishery Arts (AFA)</t>
  </si>
  <si>
    <t>Information and Communication Technology (ICT)</t>
  </si>
  <si>
    <t>Technical-Vocational-Livelihood Maritime</t>
  </si>
  <si>
    <t>Reminders:</t>
  </si>
  <si>
    <t>Validated by Division SPED Coordinator:</t>
  </si>
  <si>
    <t>School Head    :</t>
  </si>
  <si>
    <t>Certified True and Correct by  :</t>
  </si>
  <si>
    <t>School Head  :</t>
  </si>
  <si>
    <t>Types of Devices</t>
  </si>
  <si>
    <t>Number of Devices</t>
  </si>
  <si>
    <t>Functional</t>
  </si>
  <si>
    <t>Non-Functional</t>
  </si>
  <si>
    <t xml:space="preserve">TOTAL </t>
  </si>
  <si>
    <t>Teaching Assignment</t>
  </si>
  <si>
    <t>National Certificate 1</t>
  </si>
  <si>
    <t>National Certificate 2</t>
  </si>
  <si>
    <t>National Certificate 3</t>
  </si>
  <si>
    <t>National Certificate 4</t>
  </si>
  <si>
    <t>Diploma</t>
  </si>
  <si>
    <t>Training Management</t>
  </si>
  <si>
    <t>Total</t>
  </si>
  <si>
    <t>Attractions and Theme Parks Operations with Ecotourism</t>
  </si>
  <si>
    <t xml:space="preserve">Barbering </t>
  </si>
  <si>
    <t xml:space="preserve">Bartending </t>
  </si>
  <si>
    <t xml:space="preserve">Beauty/ Nail Care </t>
  </si>
  <si>
    <t xml:space="preserve">Bread and Pastry Production </t>
  </si>
  <si>
    <t xml:space="preserve">Caregiving </t>
  </si>
  <si>
    <t xml:space="preserve">Commercial Cooking </t>
  </si>
  <si>
    <t xml:space="preserve">Cookery </t>
  </si>
  <si>
    <t xml:space="preserve">Dressmaking </t>
  </si>
  <si>
    <t xml:space="preserve">Events Management Services </t>
  </si>
  <si>
    <t>Fashion Design (Apparel)</t>
  </si>
  <si>
    <t xml:space="preserve">Food and Beverage Services </t>
  </si>
  <si>
    <t xml:space="preserve">Front Office Services </t>
  </si>
  <si>
    <t xml:space="preserve">Hairdressing </t>
  </si>
  <si>
    <t>Handicraft- Basketry, Macrame</t>
  </si>
  <si>
    <t>Handicraft- Fashion Accessories, Paper Craft</t>
  </si>
  <si>
    <t>Handicraft- Needlecraft</t>
  </si>
  <si>
    <t xml:space="preserve">Handicraft- Woodcraft, Leathercraft </t>
  </si>
  <si>
    <t xml:space="preserve">Housekeeping </t>
  </si>
  <si>
    <t xml:space="preserve">Tailoring </t>
  </si>
  <si>
    <t xml:space="preserve">Local Guiding Services </t>
  </si>
  <si>
    <t xml:space="preserve">Tourism Promotion Services </t>
  </si>
  <si>
    <t xml:space="preserve">Travel Services </t>
  </si>
  <si>
    <t xml:space="preserve">Wellness Massage </t>
  </si>
  <si>
    <t xml:space="preserve">Agricultural Crops Production </t>
  </si>
  <si>
    <t xml:space="preserve">Animal Health Care Management </t>
  </si>
  <si>
    <t xml:space="preserve">Animal Production </t>
  </si>
  <si>
    <t xml:space="preserve">Aquaculture </t>
  </si>
  <si>
    <t xml:space="preserve">Artificial Insemination- Ruminants </t>
  </si>
  <si>
    <t xml:space="preserve">Artificial Insemination- Swine </t>
  </si>
  <si>
    <t xml:space="preserve">Fish Capture </t>
  </si>
  <si>
    <t xml:space="preserve">Fish Products Packaging </t>
  </si>
  <si>
    <t xml:space="preserve">Fishport/ Wharf Operation </t>
  </si>
  <si>
    <t xml:space="preserve">Fishing Gear Repair and Maintenance </t>
  </si>
  <si>
    <t xml:space="preserve">Food (Fish) Processing </t>
  </si>
  <si>
    <t xml:space="preserve">Horticulture </t>
  </si>
  <si>
    <t xml:space="preserve">Landscape Installation and Maintenance </t>
  </si>
  <si>
    <t xml:space="preserve">Organic Agriculture </t>
  </si>
  <si>
    <t xml:space="preserve">Pest Management </t>
  </si>
  <si>
    <t xml:space="preserve">Rice Machinery Operation </t>
  </si>
  <si>
    <t xml:space="preserve">Rubber Processing </t>
  </si>
  <si>
    <t xml:space="preserve">Rubber Production </t>
  </si>
  <si>
    <t xml:space="preserve">Slaughtering Operation </t>
  </si>
  <si>
    <t xml:space="preserve">Reminders: </t>
  </si>
  <si>
    <t>A teacher who is teaching more than one learning area can be counted more than once (vertical).</t>
  </si>
  <si>
    <t>Validated by Division HR Personnel:</t>
  </si>
  <si>
    <t>Industrial Arts (IA)</t>
  </si>
  <si>
    <t xml:space="preserve">Automotive Servicing </t>
  </si>
  <si>
    <t xml:space="preserve">Carpentry </t>
  </si>
  <si>
    <t xml:space="preserve">Construction Painting </t>
  </si>
  <si>
    <t xml:space="preserve">Consumer Electronics Servicing </t>
  </si>
  <si>
    <t xml:space="preserve">Domestic Refrigeration and Airconditioning - 
DOMRAC Servicing </t>
  </si>
  <si>
    <t xml:space="preserve">Driving </t>
  </si>
  <si>
    <t xml:space="preserve">Electric Power Distribution Line Construction </t>
  </si>
  <si>
    <t xml:space="preserve">Electronic Products Assembly and Servicing </t>
  </si>
  <si>
    <t xml:space="preserve">Electrical Installation and Maintenance </t>
  </si>
  <si>
    <t xml:space="preserve">Furniture Making- Finishing </t>
  </si>
  <si>
    <t xml:space="preserve">Instrumentation and Control Servicing </t>
  </si>
  <si>
    <t xml:space="preserve">Gas Metal Arc Welding- GMAW </t>
  </si>
  <si>
    <t xml:space="preserve">Gas Tungsten Arc Welding- GTAW </t>
  </si>
  <si>
    <t xml:space="preserve">Machining </t>
  </si>
  <si>
    <t xml:space="preserve">Masonry </t>
  </si>
  <si>
    <t xml:space="preserve">Mechatronics Servicing </t>
  </si>
  <si>
    <t xml:space="preserve">Motorcycle/ Small Engine Servicing </t>
  </si>
  <si>
    <t xml:space="preserve">Plumbing </t>
  </si>
  <si>
    <t xml:space="preserve">Refrigeration and Air-Conditioning - Packaged Air-Conditioning Unit (PACU) / Commercial Refrigeration Equipment (CRE) Servicing </t>
  </si>
  <si>
    <t xml:space="preserve">Shielded Metal Arc Welding </t>
  </si>
  <si>
    <t xml:space="preserve">Tile Setting </t>
  </si>
  <si>
    <t xml:space="preserve">Transmission Line Installation and Maintenance </t>
  </si>
  <si>
    <t xml:space="preserve">Animation </t>
  </si>
  <si>
    <t xml:space="preserve">Broadband Installation- Fixed Wireless Systems </t>
  </si>
  <si>
    <t xml:space="preserve">Computer Hardware Servicing </t>
  </si>
  <si>
    <t>Computer Programming (NC IV)</t>
  </si>
  <si>
    <t xml:space="preserve">Contact Center Services </t>
  </si>
  <si>
    <t xml:space="preserve">Illustration </t>
  </si>
  <si>
    <t xml:space="preserve">Medical Transcription </t>
  </si>
  <si>
    <t xml:space="preserve">Technical Drafting </t>
  </si>
  <si>
    <t xml:space="preserve">Telecom OSP and Subscriber Line Installation - Copper Cable / POTS and DSL </t>
  </si>
  <si>
    <t xml:space="preserve">Telecom OSP Installation- Fiber Optic Cable </t>
  </si>
  <si>
    <t>Navigational Watch</t>
  </si>
  <si>
    <t>Engine Watch</t>
  </si>
  <si>
    <t xml:space="preserve">Safety </t>
  </si>
  <si>
    <t>Ship's Catering Services</t>
  </si>
  <si>
    <t>NATIONALLY-FUNDED PERSONNEL</t>
  </si>
  <si>
    <t>Number of positions assigned in school per latest PSI-POP</t>
  </si>
  <si>
    <t>SCHOOL PLANTILLA ITEMS</t>
  </si>
  <si>
    <t>Plantilla personnel borrowed/detailed from other school(s)/ DepEd office(s)</t>
  </si>
  <si>
    <t>On leave</t>
  </si>
  <si>
    <t>Plantilla personnel detailed to</t>
  </si>
  <si>
    <t>DepEd office(s)/ sec. school(s) within the division</t>
  </si>
  <si>
    <t>Elementary school(s) within the division</t>
  </si>
  <si>
    <t>DepEd office(s)/ school(s) outside the division or other government agencies</t>
  </si>
  <si>
    <t>(Col.3+Col.13)</t>
  </si>
  <si>
    <t>(Col.4+Col.14)</t>
  </si>
  <si>
    <t>(Col.16+Col.17)</t>
  </si>
  <si>
    <t>Col. 1</t>
  </si>
  <si>
    <t>Col. 2</t>
  </si>
  <si>
    <t>Col. 3</t>
  </si>
  <si>
    <t>Col. 4</t>
  </si>
  <si>
    <t>Col. 5</t>
  </si>
  <si>
    <t>Col. 6</t>
  </si>
  <si>
    <t>Col. 7</t>
  </si>
  <si>
    <t>Col. 8</t>
  </si>
  <si>
    <t>Col. 9</t>
  </si>
  <si>
    <t>Col. 10</t>
  </si>
  <si>
    <t>Col. 11</t>
  </si>
  <si>
    <t>Col. 12</t>
  </si>
  <si>
    <t>Col. 13</t>
  </si>
  <si>
    <t>Col. 14</t>
  </si>
  <si>
    <t>Col. 15</t>
  </si>
  <si>
    <t>Col. 16</t>
  </si>
  <si>
    <t>Col. 17</t>
  </si>
  <si>
    <t>Col. 18</t>
  </si>
  <si>
    <t>School Principal IV</t>
  </si>
  <si>
    <t>School Principal III</t>
  </si>
  <si>
    <t>School Principal II</t>
  </si>
  <si>
    <t>School Principal I</t>
  </si>
  <si>
    <t xml:space="preserve">Assistant School Principal III </t>
  </si>
  <si>
    <t xml:space="preserve">Assistant School Principal II </t>
  </si>
  <si>
    <t>Assistant School Principal I</t>
  </si>
  <si>
    <t>Head Teacher VI</t>
  </si>
  <si>
    <t>Head Teacher V</t>
  </si>
  <si>
    <t>Head Teacher IV</t>
  </si>
  <si>
    <t>Head Teacher III</t>
  </si>
  <si>
    <t>Head Teacher II</t>
  </si>
  <si>
    <t>Head Teacher I</t>
  </si>
  <si>
    <t>School Nurse II</t>
  </si>
  <si>
    <t>Administrative Officer IV</t>
  </si>
  <si>
    <t>Administrative Officer II</t>
  </si>
  <si>
    <t>School Librarian III</t>
  </si>
  <si>
    <t>School Librarian II</t>
  </si>
  <si>
    <t>School Librarian I</t>
  </si>
  <si>
    <t>Guidance Service Specialist II</t>
  </si>
  <si>
    <t>Guidance Service Specialist I</t>
  </si>
  <si>
    <t>Guidance Counselor III</t>
  </si>
  <si>
    <t>Guidance Counselor II</t>
  </si>
  <si>
    <t>Guidance Counselor I</t>
  </si>
  <si>
    <t>*</t>
  </si>
  <si>
    <t>Accountant I</t>
  </si>
  <si>
    <t>Project Development Officer I</t>
  </si>
  <si>
    <t>Registrar I</t>
  </si>
  <si>
    <t>Cashier I</t>
  </si>
  <si>
    <t>Supply Officer I</t>
  </si>
  <si>
    <t>Administrative Assistant III
(Senior Bookkeeper)</t>
  </si>
  <si>
    <t>Administrative Assistant II
(Disbursing Officer II)</t>
  </si>
  <si>
    <t>Administrative Assistant I</t>
  </si>
  <si>
    <t>Administrative Aide VI</t>
  </si>
  <si>
    <t>Heavy Equipment Operator I</t>
  </si>
  <si>
    <t>Security Guard I</t>
  </si>
  <si>
    <t>Light Equipment Operator I</t>
  </si>
  <si>
    <t>Utility Worker I</t>
  </si>
  <si>
    <t>Position Title   :</t>
  </si>
  <si>
    <t>Master Teacher IV</t>
  </si>
  <si>
    <t>Master Teacher III</t>
  </si>
  <si>
    <t>Master Teacher II</t>
  </si>
  <si>
    <t>Master Teacher I</t>
  </si>
  <si>
    <t>Teacher III</t>
  </si>
  <si>
    <t xml:space="preserve"> Teacher II</t>
  </si>
  <si>
    <t xml:space="preserve"> Teacher I</t>
  </si>
  <si>
    <t xml:space="preserve">Special Science Teacher I </t>
  </si>
  <si>
    <t>Note: * - Including those Junior High School teacher borrowed for Senior High School assigned in the same school.</t>
  </si>
  <si>
    <t>Number of Plantilla Items  in the school per Schools Division
PSI-POP</t>
  </si>
  <si>
    <t xml:space="preserve">Employment Status </t>
  </si>
  <si>
    <t>Permanent</t>
  </si>
  <si>
    <t>Provisional</t>
  </si>
  <si>
    <t>Contractual</t>
  </si>
  <si>
    <t>Full-time</t>
  </si>
  <si>
    <t>Part-time</t>
  </si>
  <si>
    <t xml:space="preserve">Master Teacher IV </t>
  </si>
  <si>
    <t>Teacher II</t>
  </si>
  <si>
    <t>Teacher I</t>
  </si>
  <si>
    <t>Special Science Teacher I</t>
  </si>
  <si>
    <r>
      <rPr>
        <b/>
        <i/>
        <sz val="11"/>
        <rFont val="Times New Roman"/>
        <family val="1"/>
      </rPr>
      <t>Permanent</t>
    </r>
    <r>
      <rPr>
        <sz val="11"/>
        <rFont val="Times New Roman"/>
        <family val="1"/>
      </rPr>
      <t xml:space="preserve"> - refers to the employment status issued to a person who meets all the minimum qualification requirements of the position to which he/she is being appointed, including the appropriate eligibility prescribed, in accordance with the provisions of law, rules and standards promulgated in pursuance thereof. This includes all level of positions (As amended by CSC MC No. 15, s. 1999).</t>
    </r>
  </si>
  <si>
    <r>
      <rPr>
        <b/>
        <i/>
        <sz val="11"/>
        <rFont val="Times New Roman"/>
        <family val="1"/>
      </rPr>
      <t>Provisional</t>
    </r>
    <r>
      <rPr>
        <sz val="11"/>
        <rFont val="Times New Roman"/>
        <family val="1"/>
      </rPr>
      <t xml:space="preserve"> - refers to the employment status issued to a teacher who meets all the requirements of the position except eligibility (professional teaching license).</t>
    </r>
  </si>
  <si>
    <r>
      <rPr>
        <b/>
        <i/>
        <sz val="11"/>
        <rFont val="Times New Roman"/>
        <family val="1"/>
      </rPr>
      <t>Contractual</t>
    </r>
    <r>
      <rPr>
        <sz val="11"/>
        <rFont val="Times New Roman"/>
        <family val="1"/>
      </rPr>
      <t xml:space="preserve"> - refers to employment status issued to a person who obtains a rating of 70 and above but opts to work on contractual a basis, and or those who lacks the eligibility requirement but obtains a rating of between 65.00-69.99.</t>
    </r>
  </si>
  <si>
    <t>Assigned full-time to ancillary services</t>
  </si>
  <si>
    <t>Not assigned to ancillary services</t>
  </si>
  <si>
    <t>Class teaching 200 min. per day or more</t>
  </si>
  <si>
    <t>Class teaching less than 200 min. per day</t>
  </si>
  <si>
    <t xml:space="preserve">Reminder: </t>
  </si>
  <si>
    <t>Funding Source</t>
  </si>
  <si>
    <t>Special Education Fund  (SEF)</t>
  </si>
  <si>
    <t>Local Gov't Unit (LGU) funded</t>
  </si>
  <si>
    <t>Others</t>
  </si>
  <si>
    <t>Provincial</t>
  </si>
  <si>
    <t>Municipal/City</t>
  </si>
  <si>
    <t>These are classified according to the following:</t>
  </si>
  <si>
    <t>a.</t>
  </si>
  <si>
    <t>b.</t>
  </si>
  <si>
    <t>c.</t>
  </si>
  <si>
    <t>Qualified Teachers</t>
  </si>
  <si>
    <t>Trained Teachers</t>
  </si>
  <si>
    <t>Grade Level</t>
  </si>
  <si>
    <t>Number of Teachers</t>
  </si>
  <si>
    <t>Counted only once *</t>
  </si>
  <si>
    <t>Counted more than once **</t>
  </si>
  <si>
    <t xml:space="preserve"> TOTAL</t>
  </si>
  <si>
    <t>LANGUAGE</t>
  </si>
  <si>
    <t xml:space="preserve">Oral Communication </t>
  </si>
  <si>
    <t>Reading &amp; Writing</t>
  </si>
  <si>
    <t xml:space="preserve">Komunikasyon at Pananaliksik sa Wika at Kulturang Pilipino </t>
  </si>
  <si>
    <t>Pagbasa at Pagsusuri ng Iba’t Ibang Teksto Tungo sa Pananaliksik</t>
  </si>
  <si>
    <t>HUMANITIES</t>
  </si>
  <si>
    <t xml:space="preserve">    </t>
  </si>
  <si>
    <t>21st Century Literature from the Philippines and the World</t>
  </si>
  <si>
    <t xml:space="preserve">   </t>
  </si>
  <si>
    <t>Contemporary Philippine Arts from the Regions</t>
  </si>
  <si>
    <t>COMMUNICATION</t>
  </si>
  <si>
    <t xml:space="preserve">      </t>
  </si>
  <si>
    <t>Media &amp; Information Literacy</t>
  </si>
  <si>
    <t>MATHEMATICS</t>
  </si>
  <si>
    <t xml:space="preserve">     </t>
  </si>
  <si>
    <t xml:space="preserve">General Mathematics </t>
  </si>
  <si>
    <t xml:space="preserve">Statistics &amp; Probability </t>
  </si>
  <si>
    <t>SCIENCE</t>
  </si>
  <si>
    <t>Earth and Life Science (Lecture and Laboratory)</t>
  </si>
  <si>
    <t>Physical Science (Lecture and Laboratory)</t>
  </si>
  <si>
    <t>SOCIAL SCIENCE</t>
  </si>
  <si>
    <t>Personal Development / Pansariling Kaunlaran</t>
  </si>
  <si>
    <t>Understanding Culture, Society and Politics</t>
  </si>
  <si>
    <t>PHILOSOPHY</t>
  </si>
  <si>
    <t>Introduction to the Philosophy of the Human Person / 
Pambungad sa Pilosopiya ng Tao</t>
  </si>
  <si>
    <t>PE AND HEALTH</t>
  </si>
  <si>
    <t>Physical Education and Health</t>
  </si>
  <si>
    <t>DISASTER READINESS AND RISK REDUCTION</t>
  </si>
  <si>
    <t>Reminder: A teacher who is teaching more than one learning area or grade level can be counted more than once.</t>
  </si>
  <si>
    <t>Highest Educational Attainment</t>
  </si>
  <si>
    <t>Area of Specialization</t>
  </si>
  <si>
    <t>Bachelor Degree</t>
  </si>
  <si>
    <t>General Science</t>
  </si>
  <si>
    <t>Master Degree Units</t>
  </si>
  <si>
    <t>Biology</t>
  </si>
  <si>
    <t>Master Degree</t>
  </si>
  <si>
    <t>Chemistry</t>
  </si>
  <si>
    <t>Doctorate Degree Units</t>
  </si>
  <si>
    <t>Physics</t>
  </si>
  <si>
    <t>Doctorate Degree</t>
  </si>
  <si>
    <t>regardless if it is related to his/her specialization subject or not (i.e. Master of Public</t>
  </si>
  <si>
    <t>Administration [MPA], Master in Business Administration [MBA], etc.).</t>
  </si>
  <si>
    <t>With Major/Minor</t>
  </si>
  <si>
    <t xml:space="preserve">Not Their Major/Minor </t>
  </si>
  <si>
    <t>Graduate Degree Major</t>
  </si>
  <si>
    <t>Bachelor's Degree Major</t>
  </si>
  <si>
    <t>Bachelor Degree Minor</t>
  </si>
  <si>
    <t>With Special Training</t>
  </si>
  <si>
    <t>Without Special Training</t>
  </si>
  <si>
    <t xml:space="preserve">  English</t>
  </si>
  <si>
    <t xml:space="preserve">  Filipino</t>
  </si>
  <si>
    <t xml:space="preserve">  Humanities</t>
  </si>
  <si>
    <t xml:space="preserve">  Communication</t>
  </si>
  <si>
    <t xml:space="preserve">  Mathematics</t>
  </si>
  <si>
    <t xml:space="preserve">  Science</t>
  </si>
  <si>
    <t xml:space="preserve">  Social Science</t>
  </si>
  <si>
    <t xml:space="preserve">  Philosophy</t>
  </si>
  <si>
    <t xml:space="preserve">  PE and Health</t>
  </si>
  <si>
    <t>A teacher who is teaching more than one teaching assignment can be counted more than once (vertical).</t>
  </si>
  <si>
    <t xml:space="preserve">Full-Time Teachers </t>
  </si>
  <si>
    <t xml:space="preserve">Part-Time Teachers </t>
  </si>
  <si>
    <t xml:space="preserve">Major in </t>
  </si>
  <si>
    <t xml:space="preserve">Minor in </t>
  </si>
  <si>
    <t>Major / Minor
in Other
Subjects</t>
  </si>
  <si>
    <t>English</t>
  </si>
  <si>
    <t>Filipino</t>
  </si>
  <si>
    <t>Mathematics</t>
  </si>
  <si>
    <t>Science</t>
  </si>
  <si>
    <t xml:space="preserve"> Science</t>
  </si>
  <si>
    <t>Reminder:</t>
  </si>
  <si>
    <t>A teacher who is teaching more than one teaching assignment or more than one specialization can be counted more than once.</t>
  </si>
  <si>
    <t>INFORMATION AND COMMUNICATIONS TECHNOLOGY (ICT)</t>
  </si>
  <si>
    <t>(Nationally-funded teachers working in the school)</t>
  </si>
  <si>
    <t>Training on Pedagogy</t>
  </si>
  <si>
    <t>Training on ICT</t>
  </si>
  <si>
    <t>Instructor III</t>
  </si>
  <si>
    <t>Constructivist</t>
  </si>
  <si>
    <t>Instructor II</t>
  </si>
  <si>
    <t>ICT Integration</t>
  </si>
  <si>
    <t>Inquiry based</t>
  </si>
  <si>
    <t>Instructor I</t>
  </si>
  <si>
    <t>ICT Literacy/Content</t>
  </si>
  <si>
    <t>Reflective</t>
  </si>
  <si>
    <t>Software</t>
  </si>
  <si>
    <t>Collaborative</t>
  </si>
  <si>
    <t>Hardware</t>
  </si>
  <si>
    <t>Integrative</t>
  </si>
  <si>
    <t>Inclusive Education</t>
  </si>
  <si>
    <r>
      <rPr>
        <b/>
        <i/>
        <sz val="13"/>
        <rFont val="Times New Roman"/>
        <family val="1"/>
      </rPr>
      <t>ICT Integration</t>
    </r>
    <r>
      <rPr>
        <sz val="13"/>
        <rFont val="Times New Roman"/>
        <family val="1"/>
      </rPr>
      <t xml:space="preserve"> - it is a strategy  to incorporate information and communications technology into all facets of education and training, including the administrative functions and models required to support learning.</t>
    </r>
  </si>
  <si>
    <r>
      <rPr>
        <b/>
        <i/>
        <sz val="13"/>
        <rFont val="Times New Roman"/>
        <family val="1"/>
      </rPr>
      <t xml:space="preserve">Pedagogy - </t>
    </r>
    <r>
      <rPr>
        <sz val="13"/>
        <rFont val="Times New Roman"/>
        <family val="1"/>
      </rPr>
      <t>strategies/approaches in teaching and learning. Based on RA 10533; Rule 2, Section 10.2.</t>
    </r>
  </si>
  <si>
    <r>
      <rPr>
        <b/>
        <i/>
        <sz val="13"/>
        <rFont val="Times New Roman"/>
        <family val="1"/>
      </rPr>
      <t>ICT Literacy/Content -</t>
    </r>
    <r>
      <rPr>
        <sz val="13"/>
        <rFont val="Times New Roman"/>
        <family val="1"/>
      </rPr>
      <t xml:space="preserve"> knowledge to use digital technology, communication tools, and/or networks appropriately to solve information problems in order to function in an information society.</t>
    </r>
  </si>
  <si>
    <r>
      <rPr>
        <b/>
        <i/>
        <sz val="13"/>
        <rFont val="Times New Roman"/>
        <family val="1"/>
      </rPr>
      <t>Constructivist teaching -</t>
    </r>
    <r>
      <rPr>
        <sz val="13"/>
        <rFont val="Times New Roman"/>
        <family val="1"/>
      </rPr>
      <t xml:space="preserve"> based on the belief that learning occurs as learners are actively involved in a process of meaning and knowledge construction as opposed to passively receiving information.</t>
    </r>
  </si>
  <si>
    <t>SPED Teacher V</t>
  </si>
  <si>
    <t>SPED Teacher IV</t>
  </si>
  <si>
    <t>SPED Teacher III</t>
  </si>
  <si>
    <r>
      <rPr>
        <b/>
        <i/>
        <sz val="13"/>
        <rFont val="Times New Roman"/>
        <family val="1"/>
      </rPr>
      <t>Software</t>
    </r>
    <r>
      <rPr>
        <sz val="13"/>
        <rFont val="Times New Roman"/>
        <family val="1"/>
      </rPr>
      <t xml:space="preserve"> - the programs and other operating information used by a computer.</t>
    </r>
  </si>
  <si>
    <r>
      <rPr>
        <b/>
        <i/>
        <sz val="13"/>
        <rFont val="Times New Roman"/>
        <family val="1"/>
      </rPr>
      <t>Inquiry based</t>
    </r>
    <r>
      <rPr>
        <sz val="13"/>
        <rFont val="Times New Roman"/>
        <family val="1"/>
      </rPr>
      <t xml:space="preserve"> - is a form of active learning that starts by posing questions, problems or scenarios-rather  than simply presenting established facts or portraying a smooth path to knowledge.</t>
    </r>
  </si>
  <si>
    <t>SPED Teacher I</t>
  </si>
  <si>
    <r>
      <rPr>
        <b/>
        <i/>
        <sz val="13"/>
        <rFont val="Times New Roman"/>
        <family val="1"/>
      </rPr>
      <t>Hardware</t>
    </r>
    <r>
      <rPr>
        <sz val="13"/>
        <rFont val="Times New Roman"/>
        <family val="1"/>
      </rPr>
      <t xml:space="preserve"> - the machines, writing, and other physical components of a computer or other electronic system.</t>
    </r>
  </si>
  <si>
    <r>
      <rPr>
        <b/>
        <i/>
        <sz val="13"/>
        <rFont val="Times New Roman"/>
        <family val="1"/>
      </rPr>
      <t>Reflective teaching</t>
    </r>
    <r>
      <rPr>
        <sz val="13"/>
        <rFont val="Times New Roman"/>
        <family val="1"/>
      </rPr>
      <t xml:space="preserve"> - means looking at what you do in the classroom, thinking about why you do it, and thinking about if it works - a process of self-observation and self-evaluation.</t>
    </r>
  </si>
  <si>
    <r>
      <rPr>
        <b/>
        <i/>
        <sz val="13"/>
        <rFont val="Times New Roman"/>
        <family val="1"/>
      </rPr>
      <t>Collaborative learning</t>
    </r>
    <r>
      <rPr>
        <sz val="13"/>
        <rFont val="Times New Roman"/>
        <family val="1"/>
      </rPr>
      <t xml:space="preserve"> - is a method of teaching and learning in which learners team together to explore a significant question or create a meaningful project.</t>
    </r>
  </si>
  <si>
    <r>
      <rPr>
        <b/>
        <i/>
        <sz val="13"/>
        <rFont val="Times New Roman"/>
        <family val="1"/>
      </rPr>
      <t>Integrated approach</t>
    </r>
    <r>
      <rPr>
        <sz val="13"/>
        <rFont val="Times New Roman"/>
        <family val="1"/>
      </rPr>
      <t xml:space="preserve"> - allows learners to explore, gather, process, refine and represent information about topics they want to investigate without the constraints imposed by traditional subject barriers (Pigdon and Wolly, 1992).</t>
    </r>
  </si>
  <si>
    <r>
      <rPr>
        <b/>
        <i/>
        <sz val="13"/>
        <rFont val="Times New Roman"/>
        <family val="1"/>
      </rPr>
      <t xml:space="preserve">Inclusive Education </t>
    </r>
    <r>
      <rPr>
        <sz val="13"/>
        <rFont val="Times New Roman"/>
        <family val="1"/>
      </rPr>
      <t>- embraces the philosophy of accepting all children regardless of race, size, shape, color, ability or disability with support from school staff, learners, parents and the community (DepED Order No. 72,  s. 2009).</t>
    </r>
  </si>
  <si>
    <t>Validated by Senior Education Program Specialist (HRTD):</t>
  </si>
  <si>
    <t>Do you conduct LAC Session/s in your school?</t>
  </si>
  <si>
    <t xml:space="preserve">Yes </t>
  </si>
  <si>
    <t xml:space="preserve">No  </t>
  </si>
  <si>
    <t>Do you conduct Action Research in your school?</t>
  </si>
  <si>
    <t>If Yes, indicate the number of LAC Session/s conducted:</t>
  </si>
  <si>
    <t>If Yes, indicate the number of Action Research conducted:</t>
  </si>
  <si>
    <t>1.a.</t>
  </si>
  <si>
    <t>1.b.</t>
  </si>
  <si>
    <t>On-going</t>
  </si>
  <si>
    <t>1.c.</t>
  </si>
  <si>
    <t>To be conducted</t>
  </si>
  <si>
    <t>Validated by Senior Education Program Specialist (PRS-SGOD):</t>
  </si>
  <si>
    <t>(Check as appropriate)</t>
  </si>
  <si>
    <t>MOOE</t>
  </si>
  <si>
    <t>Amount in PhP</t>
  </si>
  <si>
    <t>Electrical Supply Sources:</t>
  </si>
  <si>
    <t>Allocation</t>
  </si>
  <si>
    <t>Grid Supply</t>
  </si>
  <si>
    <t>Utilization</t>
  </si>
  <si>
    <t>Off Grid Supply</t>
  </si>
  <si>
    <t>Liquidation</t>
  </si>
  <si>
    <t>Solar Power</t>
  </si>
  <si>
    <t>Generator</t>
  </si>
  <si>
    <t>No source of electricity</t>
  </si>
  <si>
    <t>What is the funding source?</t>
  </si>
  <si>
    <t>School MOOE</t>
  </si>
  <si>
    <t>School Canteen Fund</t>
  </si>
  <si>
    <t>LGU</t>
  </si>
  <si>
    <t>Private Individual/Sector</t>
  </si>
  <si>
    <t>PTA</t>
  </si>
  <si>
    <t>Validated by Division Accountant:</t>
  </si>
  <si>
    <t>Validated by Phy. Facilities Coordinator/Div. Engineer:</t>
  </si>
  <si>
    <t>Types of Computer</t>
  </si>
  <si>
    <t>NUMBER OF FUNCTIONAL COMPUTERS BY FUNDING SOURCE</t>
  </si>
  <si>
    <t>DepEd
DCP</t>
  </si>
  <si>
    <t>DepEd
non-DCP</t>
  </si>
  <si>
    <t>LGU/SEF</t>
  </si>
  <si>
    <t>Private Donations</t>
  </si>
  <si>
    <t>Other
Government
Agencies</t>
  </si>
  <si>
    <t>Academic Use</t>
  </si>
  <si>
    <t>Desktop</t>
  </si>
  <si>
    <t>Desktop Virtual Terminal</t>
  </si>
  <si>
    <t>Administrative Use</t>
  </si>
  <si>
    <t xml:space="preserve">                    TOTAL</t>
  </si>
  <si>
    <r>
      <rPr>
        <b/>
        <i/>
        <sz val="11"/>
        <rFont val="Times New Roman"/>
        <family val="1"/>
      </rPr>
      <t xml:space="preserve">1. </t>
    </r>
    <r>
      <rPr>
        <sz val="11"/>
        <rFont val="Times New Roman"/>
        <family val="1"/>
      </rPr>
      <t>Indicate the number of functional computers according to the following funding sources:</t>
    </r>
  </si>
  <si>
    <r>
      <rPr>
        <b/>
        <i/>
        <sz val="11"/>
        <rFont val="Times New Roman"/>
        <family val="1"/>
      </rPr>
      <t>a. DepEd DCP</t>
    </r>
    <r>
      <rPr>
        <sz val="11"/>
        <rFont val="Times New Roman"/>
        <family val="1"/>
      </rPr>
      <t xml:space="preserve"> - computers procured through the DepEd Computerization Program.</t>
    </r>
  </si>
  <si>
    <r>
      <rPr>
        <b/>
        <i/>
        <sz val="11"/>
        <rFont val="Times New Roman"/>
        <family val="1"/>
      </rPr>
      <t>c. LGU/SEF</t>
    </r>
    <r>
      <rPr>
        <sz val="11"/>
        <rFont val="Times New Roman"/>
        <family val="1"/>
      </rPr>
      <t xml:space="preserve"> - computers procured from the Special Education Fund (SEF) and the budgets of Local Government Units (LGU): provincial, municipal or barangay units.</t>
    </r>
  </si>
  <si>
    <r>
      <rPr>
        <b/>
        <i/>
        <sz val="11"/>
        <rFont val="Times New Roman"/>
        <family val="1"/>
      </rPr>
      <t>d. PTA</t>
    </r>
    <r>
      <rPr>
        <sz val="11"/>
        <rFont val="Times New Roman"/>
        <family val="1"/>
      </rPr>
      <t xml:space="preserve"> - computers funded from the Parents-Teachers Association (PTA).</t>
    </r>
  </si>
  <si>
    <r>
      <rPr>
        <b/>
        <i/>
        <sz val="11"/>
        <rFont val="Times New Roman"/>
        <family val="1"/>
      </rPr>
      <t>e. Private Donations</t>
    </r>
    <r>
      <rPr>
        <b/>
        <sz val="11"/>
        <rFont val="Times New Roman"/>
        <family val="1"/>
      </rPr>
      <t xml:space="preserve"> </t>
    </r>
    <r>
      <rPr>
        <sz val="11"/>
        <rFont val="Times New Roman"/>
        <family val="1"/>
      </rPr>
      <t>- computers donated/procured by private individuals, corporations, alumni associations, non-government organizations, philanthropic organizations or through foreign-assisted funds.</t>
    </r>
  </si>
  <si>
    <r>
      <rPr>
        <b/>
        <i/>
        <sz val="11"/>
        <rFont val="Times New Roman"/>
        <family val="1"/>
      </rPr>
      <t>f. Other Government Agencies</t>
    </r>
    <r>
      <rPr>
        <sz val="11"/>
        <rFont val="Times New Roman"/>
        <family val="1"/>
      </rPr>
      <t xml:space="preserve"> - computers funded from other government agencies such as DTI, DOST, CICT, etc.</t>
    </r>
  </si>
  <si>
    <r>
      <rPr>
        <b/>
        <i/>
        <sz val="11"/>
        <rFont val="Times New Roman"/>
        <family val="1"/>
      </rPr>
      <t>g. Others</t>
    </r>
    <r>
      <rPr>
        <b/>
        <sz val="11"/>
        <rFont val="Times New Roman"/>
        <family val="1"/>
      </rPr>
      <t xml:space="preserve"> </t>
    </r>
    <r>
      <rPr>
        <sz val="11"/>
        <rFont val="Times New Roman"/>
        <family val="1"/>
      </rPr>
      <t>- computers procured from other sources not listed above.</t>
    </r>
  </si>
  <si>
    <r>
      <rPr>
        <b/>
        <i/>
        <sz val="11"/>
        <rFont val="Times New Roman"/>
        <family val="1"/>
      </rPr>
      <t>2. Computer</t>
    </r>
    <r>
      <rPr>
        <sz val="11"/>
        <rFont val="Times New Roman"/>
        <family val="1"/>
      </rPr>
      <t xml:space="preserve"> - refers to electronic devices for storing and processing data such as :</t>
    </r>
  </si>
  <si>
    <r>
      <rPr>
        <b/>
        <i/>
        <sz val="11"/>
        <rFont val="Times New Roman"/>
        <family val="1"/>
      </rPr>
      <t>a. Desktop</t>
    </r>
    <r>
      <rPr>
        <sz val="11"/>
        <rFont val="Times New Roman"/>
        <family val="1"/>
      </rPr>
      <t xml:space="preserve"> - refers to a computer that is designed to be used on a table.</t>
    </r>
  </si>
  <si>
    <r>
      <rPr>
        <b/>
        <i/>
        <sz val="11"/>
        <rFont val="Times New Roman"/>
        <family val="1"/>
      </rPr>
      <t>3. Computer for Academic Use</t>
    </r>
    <r>
      <rPr>
        <sz val="11"/>
        <rFont val="Times New Roman"/>
        <family val="1"/>
      </rPr>
      <t xml:space="preserve"> - refers to computer units utilized in the classroom/laboratory as an aid to instruction.</t>
    </r>
  </si>
  <si>
    <t>Validated by Information Technology Officer:</t>
  </si>
  <si>
    <t>Types of ICT Equipment</t>
  </si>
  <si>
    <t>NUMBER OF FUNCTIONAL ICT EQUIPMENT BY FUNDING SOURCE</t>
  </si>
  <si>
    <t>LED TV</t>
  </si>
  <si>
    <t>Network Switch</t>
  </si>
  <si>
    <t>Printer</t>
  </si>
  <si>
    <t>Projector</t>
  </si>
  <si>
    <t>UPS</t>
  </si>
  <si>
    <t>Wireless Router</t>
  </si>
  <si>
    <r>
      <rPr>
        <b/>
        <i/>
        <sz val="11"/>
        <rFont val="Times New Roman"/>
        <family val="1"/>
      </rPr>
      <t>LED TV</t>
    </r>
    <r>
      <rPr>
        <sz val="11"/>
        <rFont val="Times New Roman"/>
        <family val="1"/>
      </rPr>
      <t xml:space="preserve"> - refers to a type of television that uses light-emitting diodes (LED).</t>
    </r>
  </si>
  <si>
    <r>
      <rPr>
        <b/>
        <i/>
        <sz val="11"/>
        <rFont val="Times New Roman"/>
        <family val="1"/>
      </rPr>
      <t>Printer</t>
    </r>
    <r>
      <rPr>
        <sz val="11"/>
        <rFont val="Times New Roman"/>
        <family val="1"/>
      </rPr>
      <t xml:space="preserve"> - refers to a machine for printing text or illustrations on paper.</t>
    </r>
  </si>
  <si>
    <r>
      <rPr>
        <b/>
        <i/>
        <sz val="11"/>
        <rFont val="Times New Roman"/>
        <family val="1"/>
      </rPr>
      <t>Projector</t>
    </r>
    <r>
      <rPr>
        <sz val="11"/>
        <rFont val="Times New Roman"/>
        <family val="1"/>
      </rPr>
      <t>- refers to a machine that projects images onto a screen or a wall.</t>
    </r>
  </si>
  <si>
    <r>
      <rPr>
        <b/>
        <i/>
        <sz val="11"/>
        <rFont val="Times New Roman"/>
        <family val="1"/>
      </rPr>
      <t>Uninterruptible Power Source (UPS)</t>
    </r>
    <r>
      <rPr>
        <b/>
        <sz val="11"/>
        <rFont val="Times New Roman"/>
        <family val="1"/>
      </rPr>
      <t xml:space="preserve"> </t>
    </r>
    <r>
      <rPr>
        <sz val="11"/>
        <rFont val="Times New Roman"/>
        <family val="1"/>
      </rPr>
      <t>- refers to an electronic equipment that provides battery backup when the electrical power source fails.</t>
    </r>
  </si>
  <si>
    <r>
      <rPr>
        <b/>
        <i/>
        <sz val="11"/>
        <rFont val="Times New Roman"/>
        <family val="1"/>
      </rPr>
      <t>Wireless Router</t>
    </r>
    <r>
      <rPr>
        <sz val="11"/>
        <rFont val="Times New Roman"/>
        <family val="1"/>
      </rPr>
      <t xml:space="preserve"> - refers to electronic device that works as router and as a wireless access point, to provide access to the internet or a private computer network.</t>
    </r>
  </si>
  <si>
    <t xml:space="preserve">         </t>
  </si>
  <si>
    <t xml:space="preserve">Are there internet service providers in the area? </t>
  </si>
  <si>
    <t xml:space="preserve">        </t>
  </si>
  <si>
    <t xml:space="preserve">If Yes, check the appropriate internet service provider/s servicing the area: </t>
  </si>
  <si>
    <t>WIT Global (Satellite)</t>
  </si>
  <si>
    <t xml:space="preserve">Does the school subscribe to any of the internet service provider/s listed above? </t>
  </si>
  <si>
    <t>2.a.</t>
  </si>
  <si>
    <t>2.b.</t>
  </si>
  <si>
    <t>How fast is your internet connection when not in use? Use www.speedtest.net to test the speed.</t>
  </si>
  <si>
    <t>Date Tested:</t>
  </si>
  <si>
    <t>Ping (ms):</t>
  </si>
  <si>
    <t>Upload (Mbps):</t>
  </si>
  <si>
    <t>Time Tested:</t>
  </si>
  <si>
    <t>Download (Mbps):</t>
  </si>
  <si>
    <t>Types of Internet Connection</t>
  </si>
  <si>
    <t>Internet Service Provider</t>
  </si>
  <si>
    <t>Average Monthly Expense</t>
  </si>
  <si>
    <r>
      <rPr>
        <b/>
        <i/>
        <sz val="11"/>
        <rFont val="Times New Roman"/>
        <family val="1"/>
      </rPr>
      <t>a. Wired</t>
    </r>
    <r>
      <rPr>
        <b/>
        <sz val="11"/>
        <rFont val="Times New Roman"/>
        <family val="1"/>
      </rPr>
      <t xml:space="preserve"> -</t>
    </r>
    <r>
      <rPr>
        <sz val="11"/>
        <rFont val="Times New Roman"/>
        <family val="1"/>
      </rPr>
      <t xml:space="preserve"> internet connection using the phone lines from the service provider to a client.</t>
    </r>
  </si>
  <si>
    <r>
      <rPr>
        <b/>
        <i/>
        <sz val="11"/>
        <rFont val="Times New Roman"/>
        <family val="1"/>
      </rPr>
      <t>b. Fixed wireless</t>
    </r>
    <r>
      <rPr>
        <b/>
        <sz val="11"/>
        <rFont val="Times New Roman"/>
        <family val="1"/>
      </rPr>
      <t xml:space="preserve"> </t>
    </r>
    <r>
      <rPr>
        <sz val="11"/>
        <rFont val="Times New Roman"/>
        <family val="1"/>
      </rPr>
      <t>- internet connection through radio frequency bands with directional radio antenna on each end of the signal.</t>
    </r>
  </si>
  <si>
    <r>
      <rPr>
        <b/>
        <i/>
        <sz val="11"/>
        <rFont val="Times New Roman"/>
        <family val="1"/>
      </rPr>
      <t>c. Satellite</t>
    </r>
    <r>
      <rPr>
        <sz val="11"/>
        <rFont val="Times New Roman"/>
        <family val="1"/>
      </rPr>
      <t xml:space="preserve"> - internet connection using satellite dish supplied by an internet provider.</t>
    </r>
  </si>
  <si>
    <r>
      <rPr>
        <b/>
        <i/>
        <sz val="11"/>
        <rFont val="Times New Roman"/>
        <family val="1"/>
      </rPr>
      <t>d. USB Modem</t>
    </r>
    <r>
      <rPr>
        <sz val="11"/>
        <rFont val="Times New Roman"/>
        <family val="1"/>
      </rPr>
      <t xml:space="preserve"> - internet connection using USB dongle (e.g., SMART Bro, Globe Tattoo).</t>
    </r>
  </si>
  <si>
    <t xml:space="preserve">1. School Site Ownership and / or Proof of Occupancy
      </t>
  </si>
  <si>
    <t>4. Within Ancestral Domain :</t>
  </si>
  <si>
    <t>With Usufruct Agreement?</t>
  </si>
  <si>
    <t>DepEd</t>
  </si>
  <si>
    <t>Other Government Agency</t>
  </si>
  <si>
    <t>Yes</t>
  </si>
  <si>
    <t>No</t>
  </si>
  <si>
    <t>Private Entity / Individual/s</t>
  </si>
  <si>
    <t>Mode</t>
  </si>
  <si>
    <t>Year
Acquired</t>
  </si>
  <si>
    <t>With Certificate of Ancestral Domain Title (CADT)?</t>
  </si>
  <si>
    <t xml:space="preserve">   b. With Document? </t>
  </si>
  <si>
    <t>Donation</t>
  </si>
  <si>
    <t>Purchase</t>
  </si>
  <si>
    <t>5. Within Ancestral Land :</t>
  </si>
  <si>
    <t>Original Certificate of Title (OCT)</t>
  </si>
  <si>
    <t>Usufruct Agreement</t>
  </si>
  <si>
    <t>Transfer Certificate of Title (TCT)</t>
  </si>
  <si>
    <t>Expropriation</t>
  </si>
  <si>
    <t>Certificate of Land Ownership Award (CLOA)</t>
  </si>
  <si>
    <t>Deed of Exchange (Land Swapping)</t>
  </si>
  <si>
    <t>With Certificate of Ancestral Land Title (CALT)?</t>
  </si>
  <si>
    <t>Special Patent</t>
  </si>
  <si>
    <t>Presidential Proclamation</t>
  </si>
  <si>
    <t>Tax Declaration</t>
  </si>
  <si>
    <t>Certificate of Land Ownership Award
(CLOA)</t>
  </si>
  <si>
    <t>Deed of Absolute Sale</t>
  </si>
  <si>
    <t>With Adverse Claim</t>
  </si>
  <si>
    <t>Deed of Donation</t>
  </si>
  <si>
    <t>Special Land Use Permit (SLUP)</t>
  </si>
  <si>
    <t>Encroachment</t>
  </si>
  <si>
    <t>Certificate of Stewardship</t>
  </si>
  <si>
    <t>With Illegal Settlers</t>
  </si>
  <si>
    <t>Contract of Usufruct</t>
  </si>
  <si>
    <t>Memorandum of Agreement or Understanding</t>
  </si>
  <si>
    <t>Lease Agreement</t>
  </si>
  <si>
    <t>Protected Areas</t>
  </si>
  <si>
    <t>Areas classified as Timberland and Forestland</t>
  </si>
  <si>
    <t>Document Type:</t>
  </si>
  <si>
    <t>d.</t>
  </si>
  <si>
    <t>e.</t>
  </si>
  <si>
    <t>f.</t>
  </si>
  <si>
    <t>g.</t>
  </si>
  <si>
    <t>h.</t>
  </si>
  <si>
    <t>i.</t>
  </si>
  <si>
    <t>j.</t>
  </si>
  <si>
    <t>k.</t>
  </si>
  <si>
    <t>l.</t>
  </si>
  <si>
    <t>m.</t>
  </si>
  <si>
    <t>a.1.</t>
  </si>
  <si>
    <t>a.2.</t>
  </si>
  <si>
    <t>a.3.</t>
  </si>
  <si>
    <t>a.4.</t>
  </si>
  <si>
    <t xml:space="preserve">Legal Ownership Issues: </t>
  </si>
  <si>
    <t>refers to a claim of a property against that</t>
  </si>
  <si>
    <t>School Site within:</t>
  </si>
  <si>
    <t>Notes:</t>
  </si>
  <si>
    <t>-  facing or directly beside a national road/public road</t>
  </si>
  <si>
    <t>Along the highway *</t>
  </si>
  <si>
    <t>On a small island ****</t>
  </si>
  <si>
    <t>Near a faultline *****</t>
  </si>
  <si>
    <t>**</t>
  </si>
  <si>
    <t>-  on an inclined or steeped area</t>
  </si>
  <si>
    <t>By the hillside **</t>
  </si>
  <si>
    <t>Near the coastline *****</t>
  </si>
  <si>
    <t>***</t>
  </si>
  <si>
    <t>-  on an elevated area</t>
  </si>
  <si>
    <t>On top of a mountain ***</t>
  </si>
  <si>
    <t>Near a river or waterway *****</t>
  </si>
  <si>
    <t>****</t>
  </si>
  <si>
    <t>-  an island with an area less than 200 sq. km.</t>
  </si>
  <si>
    <t>*****</t>
  </si>
  <si>
    <t>-  near if within 1.5 km from the school</t>
  </si>
  <si>
    <t>Type of Vaccines</t>
  </si>
  <si>
    <t>Measles Rubella</t>
  </si>
  <si>
    <t>Tetanus Diphtheria</t>
  </si>
  <si>
    <t>Nutritional Status</t>
  </si>
  <si>
    <t>Weight</t>
  </si>
  <si>
    <t>Normal</t>
  </si>
  <si>
    <t>Obese</t>
  </si>
  <si>
    <t>Overweight</t>
  </si>
  <si>
    <t>Severely Wasted</t>
  </si>
  <si>
    <t>Wasted</t>
  </si>
  <si>
    <t>Height</t>
  </si>
  <si>
    <t>Severely Stunted</t>
  </si>
  <si>
    <t>Stunted</t>
  </si>
  <si>
    <t>Tall</t>
  </si>
  <si>
    <t>Learners Nutritional Status in Weight:</t>
  </si>
  <si>
    <r>
      <rPr>
        <b/>
        <i/>
        <sz val="11"/>
        <rFont val="Times New Roman"/>
        <family val="1"/>
      </rPr>
      <t>Normal</t>
    </r>
    <r>
      <rPr>
        <sz val="11"/>
        <rFont val="Times New Roman"/>
        <family val="1"/>
      </rPr>
      <t xml:space="preserve"> - refers to a learner with normal weight for his/her age whose BMI-for-age fall between -2 to +2 z-score line or standard deviation (SD).</t>
    </r>
  </si>
  <si>
    <r>
      <rPr>
        <b/>
        <i/>
        <sz val="11"/>
        <rFont val="Times New Roman"/>
        <family val="1"/>
      </rPr>
      <t>Obese</t>
    </r>
    <r>
      <rPr>
        <sz val="11"/>
        <rFont val="Times New Roman"/>
        <family val="1"/>
      </rPr>
      <t xml:space="preserve"> - refers to a learner who is severely overweight for his/her height and whose BMI-for-age fall beyond +3 z-score line or standard deviation (SD).</t>
    </r>
  </si>
  <si>
    <r>
      <rPr>
        <b/>
        <i/>
        <sz val="11"/>
        <rFont val="Times New Roman"/>
        <family val="1"/>
      </rPr>
      <t>Overweight</t>
    </r>
    <r>
      <rPr>
        <sz val="11"/>
        <rFont val="Times New Roman"/>
        <family val="1"/>
      </rPr>
      <t xml:space="preserve"> - refers to a learner weighing too much for his/her height and whose BMI-for-age fall between +2 to +3 z-score line or standard deviation (SD).</t>
    </r>
  </si>
  <si>
    <r>
      <rPr>
        <b/>
        <i/>
        <sz val="11"/>
        <rFont val="Times New Roman"/>
        <family val="1"/>
      </rPr>
      <t>Severely wasted</t>
    </r>
    <r>
      <rPr>
        <sz val="11"/>
        <rFont val="Times New Roman"/>
        <family val="1"/>
      </rPr>
      <t xml:space="preserve"> - refers to a very thin learner whose BMI-for-age  is below -3 z-score line or standard deviation (SD).</t>
    </r>
  </si>
  <si>
    <r>
      <rPr>
        <b/>
        <i/>
        <sz val="11"/>
        <rFont val="Times New Roman"/>
        <family val="1"/>
      </rPr>
      <t>Wasted</t>
    </r>
    <r>
      <rPr>
        <sz val="11"/>
        <rFont val="Times New Roman"/>
        <family val="1"/>
      </rPr>
      <t xml:space="preserve"> - refers to a thin learner whose BMI-for-age fall between -2 to -3 z-score line or standard deviation (SD).</t>
    </r>
  </si>
  <si>
    <t>Learners Nutritional Status in Height:</t>
  </si>
  <si>
    <r>
      <rPr>
        <b/>
        <i/>
        <sz val="11"/>
        <rFont val="Times New Roman"/>
        <family val="1"/>
      </rPr>
      <t>Severely Stunted</t>
    </r>
    <r>
      <rPr>
        <sz val="11"/>
        <rFont val="Times New Roman"/>
        <family val="1"/>
      </rPr>
      <t xml:space="preserve"> - refers to a learner who is very short for his/her age and whose height-for-age (HFA) fall below -3 z-score line or standard deviation (SD).</t>
    </r>
  </si>
  <si>
    <r>
      <rPr>
        <b/>
        <i/>
        <sz val="11"/>
        <rFont val="Times New Roman"/>
        <family val="1"/>
      </rPr>
      <t>Stunted</t>
    </r>
    <r>
      <rPr>
        <sz val="11"/>
        <rFont val="Times New Roman"/>
        <family val="1"/>
      </rPr>
      <t xml:space="preserve"> - refers to a learner who is short for his/her age and whose height-for-age (HFA) fall between -2 to -3 z-score line or standard deviation (SD).</t>
    </r>
  </si>
  <si>
    <r>
      <rPr>
        <b/>
        <i/>
        <sz val="11"/>
        <rFont val="Times New Roman"/>
        <family val="1"/>
      </rPr>
      <t>Normal</t>
    </r>
    <r>
      <rPr>
        <sz val="11"/>
        <rFont val="Times New Roman"/>
        <family val="1"/>
      </rPr>
      <t xml:space="preserve"> - refers to a learner with normal height for his/her age and whose height-for-age (HFA) fall between -2 to +2 z-score line or standard deviation (SD).</t>
    </r>
  </si>
  <si>
    <r>
      <rPr>
        <b/>
        <i/>
        <sz val="11"/>
        <rFont val="Times New Roman"/>
        <family val="1"/>
      </rPr>
      <t>Tall</t>
    </r>
    <r>
      <rPr>
        <sz val="11"/>
        <rFont val="Times New Roman"/>
        <family val="1"/>
      </rPr>
      <t xml:space="preserve"> - refers to a learner who is tall for his/her age and whose height-for-age (HFA) fall beyond +2 z-score line or standard deviation (SD).</t>
    </r>
  </si>
  <si>
    <t>Validated by Division School Health Coordinator/Medical Officer/Nurse:</t>
  </si>
  <si>
    <t>Number of Learners Dewormed</t>
  </si>
  <si>
    <t>TOTAL
(Grades 11 to 12)</t>
  </si>
  <si>
    <t>Details</t>
  </si>
  <si>
    <t>Number of female learners with consent</t>
  </si>
  <si>
    <t xml:space="preserve">     1. Does the school have a designated school clinic?</t>
  </si>
  <si>
    <t xml:space="preserve">     2. Does the school have a designated Clinic Teacher?	</t>
  </si>
  <si>
    <t>Type of Weighing Scale</t>
  </si>
  <si>
    <t>Number of Units Available in the School</t>
  </si>
  <si>
    <t>Bathroom</t>
  </si>
  <si>
    <t>Beam balance</t>
  </si>
  <si>
    <t>Tape Measure</t>
  </si>
  <si>
    <t>Microtoise</t>
  </si>
  <si>
    <t>Steel tape</t>
  </si>
  <si>
    <t>Stadiometer</t>
  </si>
  <si>
    <t>1. Is there a water source inside the school ground?</t>
  </si>
  <si>
    <t>If Yes,</t>
  </si>
  <si>
    <t>1.1. What is the Water Supply Source:</t>
  </si>
  <si>
    <t>Piped water from local service provider</t>
  </si>
  <si>
    <t>Rainwater Catchments</t>
  </si>
  <si>
    <t>Water Well</t>
  </si>
  <si>
    <t>Natural source</t>
  </si>
  <si>
    <t>1.3. Who pays for the Cost of Monthly Bills/Maintenance?</t>
  </si>
  <si>
    <t>1.4. Is the water source inside the school ground being used for drinking?</t>
  </si>
  <si>
    <t>1.5. Has the water source inside the school been tested to determine safety of the water?</t>
  </si>
  <si>
    <t>1.5.a. If Yes, did the test results show that the water source inside the school is safe to drink?</t>
  </si>
  <si>
    <t>1.5.b. How frequent is the water source tested for safety?</t>
  </si>
  <si>
    <t>Monthly</t>
  </si>
  <si>
    <t>Annually</t>
  </si>
  <si>
    <t>Quarterly</t>
  </si>
  <si>
    <t>1.5.c. When was the last time the water source was tested?</t>
  </si>
  <si>
    <t>1.6. Are there times in the year when water is not available for an extended period of time?</t>
  </si>
  <si>
    <t>2. Does the school have mechanism to ensure that the learners have safe drinking water?</t>
  </si>
  <si>
    <t xml:space="preserve"> 2.1. If Yes, what mechanism is used?</t>
  </si>
  <si>
    <t>Teachers ask the learners to bring their own drinking water to school</t>
  </si>
  <si>
    <t>Safe water in refillable containers are provided in designated areas within the school</t>
  </si>
  <si>
    <t>Water from an accessible water source is treated (i.e., boiled, etc.)</t>
  </si>
  <si>
    <t>Usage</t>
  </si>
  <si>
    <t>TOTAL
Number of Wash
Facilities</t>
  </si>
  <si>
    <t>Number
of
Water Outlets</t>
  </si>
  <si>
    <t>with soap</t>
  </si>
  <si>
    <t>without soap</t>
  </si>
  <si>
    <t>Facilities for group handwashing</t>
  </si>
  <si>
    <t>Facilities for individual handwashing</t>
  </si>
  <si>
    <t>Number of learners examined</t>
  </si>
  <si>
    <t>No. of learners with DMFT</t>
  </si>
  <si>
    <t>No. of DMFT</t>
  </si>
  <si>
    <t>Number of learners found to have gum disease</t>
  </si>
  <si>
    <t>Number of learners with other significant dental anomalies</t>
  </si>
  <si>
    <t>Number of learners with findings</t>
  </si>
  <si>
    <t>Cancer Cases among Learners</t>
  </si>
  <si>
    <t>Cancer Cases</t>
  </si>
  <si>
    <t>Leukemia</t>
  </si>
  <si>
    <t>Brain and Spinal Cancer</t>
  </si>
  <si>
    <t>Other Types of Cancer</t>
  </si>
  <si>
    <t>Breast Cancer</t>
  </si>
  <si>
    <t>Lung Cancer</t>
  </si>
  <si>
    <t>Number of Pregnant Learners</t>
  </si>
  <si>
    <t>In School</t>
  </si>
  <si>
    <t>On Alternative Delivery Mode (ADM)</t>
  </si>
  <si>
    <t>Dropped</t>
  </si>
  <si>
    <t>Number of Impregnator-Learners</t>
  </si>
  <si>
    <t>Transferred</t>
  </si>
  <si>
    <t>Does the school have an operational teen center?</t>
  </si>
  <si>
    <t>Number of Learners Reached by Adolescent Reproductive Health Trainings/Activities</t>
  </si>
  <si>
    <t>Participated in HIV/AIDS Training</t>
  </si>
  <si>
    <t>Screened for ARH Concerns</t>
  </si>
  <si>
    <t>Catered to by Teen Centers</t>
  </si>
  <si>
    <t>Red Cross Youth</t>
  </si>
  <si>
    <t>Trained on 
Adolescent Job Aid (AJA)</t>
  </si>
  <si>
    <t>Trained on Adolescent Health Education and Practical Training 
(ADEPT)</t>
  </si>
  <si>
    <t>HIV/AIDS Training</t>
  </si>
  <si>
    <t>Does the school have a designated OK sa DepEd focal person (DO 28, s. 2018)?</t>
  </si>
  <si>
    <t>Does the school officially manage a Facebook page?</t>
  </si>
  <si>
    <t>3.a.</t>
  </si>
  <si>
    <t>If Yes, what is the Facebook page address?  (facebook.com/________)</t>
  </si>
  <si>
    <t>Does the school display the following IEC materials:</t>
  </si>
  <si>
    <t>"No Smoking" Signages (EO 26, s.2017, DO 48, s.2016)</t>
  </si>
  <si>
    <t>Poster at the school gate about prohibition of selling of cigarettes within 100 meters from the perimeter of the school (EO 26, s.2017)</t>
  </si>
  <si>
    <t>Is there at least one store or shop with in 100 meters from any point of the perimeter of the school that sells:</t>
  </si>
  <si>
    <t xml:space="preserve">Tobacco products (e.g., cigarettes)?	</t>
  </si>
  <si>
    <t xml:space="preserve">Vape or e-cigarettes?	</t>
  </si>
  <si>
    <t>Measures Against Tobacco Industry Interference:</t>
  </si>
  <si>
    <t>3.b.</t>
  </si>
  <si>
    <t xml:space="preserve">How many of these partnerships have the proper partnership instrument needed (e.g., service contract, memorandum of agreement (MOA), deed of donation (DOD)/deed of acceptance, memorandum of understanding, etc.)? </t>
  </si>
  <si>
    <t>3.c.</t>
  </si>
  <si>
    <t>How many of the partnerships with memoranda of agreement/deeds of donation include a provision in the MOA/DOD that the partner/donor is not connected to the tobacco industry, does not received funding from tobacco companies, or does not sell cigarettes?</t>
  </si>
  <si>
    <t xml:space="preserve">Prevalence of the Use of Cigarettes and E-cigarettes/Vapes Among Learners and School Personnel
</t>
  </si>
  <si>
    <t>4.a.</t>
  </si>
  <si>
    <t>4.b.</t>
  </si>
  <si>
    <t>How many teachers are tobacco (cigarette) smokers and/or ENDS/ENNDS (vape/e-cigarette) users?</t>
  </si>
  <si>
    <t>Number of Teachers who are</t>
  </si>
  <si>
    <t>Tobacco (Cigarette) Smokers
but are not ENDS/ENNDS
(Vape/E-cigarette) Users</t>
  </si>
  <si>
    <t>ENDS/ENNDS
(Vape/E-cigarette) Users but are not Tobacco (Cigarette) Smokers</t>
  </si>
  <si>
    <t>Tobacco (Cigarette) Smokers and
also ENDS/ENNDS
(Vape/E-cigarette) Users</t>
  </si>
  <si>
    <t>4.c.</t>
  </si>
  <si>
    <t>In the previous school year, how many learners were recorded by the school to have smoked tobacco and/or used ENDS/ENNDS?</t>
  </si>
  <si>
    <t>Number of Learners who were Recorded to have</t>
  </si>
  <si>
    <t>Smoked Tobacco (Cigarette)
but not used ENDS/ENNDS
(Vape/E-cigarette)</t>
  </si>
  <si>
    <t>Used ENDS/ENNDS
(Vape/E-cigarette) but Smoked
Tobacco (Cigarette)</t>
  </si>
  <si>
    <t>Smoked Tobacco (Cigarette) and
also Used ENDS/ENNDS
(Vape/E-cigarette)</t>
  </si>
  <si>
    <t>1. Does the school implement a preventive drug education program?</t>
  </si>
  <si>
    <t>Curriculum integration</t>
  </si>
  <si>
    <t>Partnership with the Barangay Anti-Drug Abuse Council</t>
  </si>
  <si>
    <t>Extra-curricular activities</t>
  </si>
  <si>
    <t>3. Does the school have a National Drug Education Program (NDEP) Coordinator?</t>
  </si>
  <si>
    <t>4. How many classrooms have NDEP Corners?</t>
  </si>
  <si>
    <t>6. How many learners are members of Barkada Kontra Droga?</t>
  </si>
  <si>
    <t>Number of Learners</t>
  </si>
  <si>
    <t>7. In the previous school year, how many learners were trained on life skills in relation to drug prevention?</t>
  </si>
  <si>
    <t xml:space="preserve">     1. Does the school have a feeding program?</t>
  </si>
  <si>
    <t xml:space="preserve">     If Yes, what is the funding source of school feeding program?</t>
  </si>
  <si>
    <t>LGU Fund</t>
  </si>
  <si>
    <t>Barangay Fund</t>
  </si>
  <si>
    <t>School-Based Feeding Program (SBFP)</t>
  </si>
  <si>
    <t>PTA Fund</t>
  </si>
  <si>
    <t>Private Individual/Sector Fund</t>
  </si>
  <si>
    <t>2. Availability of agriculture and fishery resources in the school :</t>
  </si>
  <si>
    <t>Legumes</t>
  </si>
  <si>
    <t>Leafy vegetables</t>
  </si>
  <si>
    <t>Fruit-bearing</t>
  </si>
  <si>
    <t>Rootcrops</t>
  </si>
  <si>
    <t>Fish Pond</t>
  </si>
  <si>
    <t>Agricultural Crops</t>
  </si>
  <si>
    <t>Livestock</t>
  </si>
  <si>
    <t>None</t>
  </si>
  <si>
    <t xml:space="preserve">     3. Does agricultural and fishery in the school used for feeding program?</t>
  </si>
  <si>
    <t xml:space="preserve">     If Yes, what is the funding source?</t>
  </si>
  <si>
    <t>1. Does the school have a canteen?</t>
  </si>
  <si>
    <t>1.a. Managed by:</t>
  </si>
  <si>
    <t>1.b. Sanitary Permit</t>
  </si>
  <si>
    <t>1.c. Validity Date</t>
  </si>
  <si>
    <t>1.d. Do canteen personnel/food handlers have health certificates?</t>
  </si>
  <si>
    <t>School</t>
  </si>
  <si>
    <t>Teacher-Coop</t>
  </si>
  <si>
    <r>
      <rPr>
        <b/>
        <i/>
        <sz val="12"/>
        <rFont val="Times New Roman"/>
        <family val="1"/>
      </rPr>
      <t>Sanitary Permit</t>
    </r>
    <r>
      <rPr>
        <sz val="12"/>
        <rFont val="Times New Roman"/>
        <family val="1"/>
      </rPr>
      <t xml:space="preserve"> - is the official document issued by proper authorities to an establishment that has been determined to have met the minimum requirements for the sanitary operation.</t>
    </r>
  </si>
  <si>
    <t>1. Is your school compliant to the Ecological Solid Waste Management Act (RA 9003)?</t>
  </si>
  <si>
    <t>Composting</t>
  </si>
  <si>
    <t>Posting of signage</t>
  </si>
  <si>
    <t>Use of paper plates/cups instead of plastic</t>
  </si>
  <si>
    <t>Designation of trash collection point</t>
  </si>
  <si>
    <t>Recycling Projects</t>
  </si>
  <si>
    <t>Use of recycled materials are teaching tool</t>
  </si>
  <si>
    <t>Poster making and/or slogan making contest</t>
  </si>
  <si>
    <t>School representative at the Barangay Solid</t>
  </si>
  <si>
    <t>Use of reusable food containerts</t>
  </si>
  <si>
    <t>Waste Management Committee</t>
  </si>
  <si>
    <t>Waste segregation</t>
  </si>
  <si>
    <t>Local business partners</t>
  </si>
  <si>
    <t>Parents</t>
  </si>
  <si>
    <t>Community leaders</t>
  </si>
  <si>
    <t>Municipal/City government</t>
  </si>
  <si>
    <t xml:space="preserve">Daily </t>
  </si>
  <si>
    <t>Once a week</t>
  </si>
  <si>
    <t>At least twice a week</t>
  </si>
  <si>
    <t>Less than once a week</t>
  </si>
  <si>
    <t>Does the school have a provision for availability of sanitary pads?</t>
  </si>
  <si>
    <t>If Yes, where can the learners avail the sanitary pads?</t>
  </si>
  <si>
    <t>School Canteen</t>
  </si>
  <si>
    <t>Guidance Office</t>
  </si>
  <si>
    <t>School Clinic</t>
  </si>
  <si>
    <t>Do you have a Supreme Student Government (SSG) Council?</t>
  </si>
  <si>
    <t>Do you have a SSG Adviser?</t>
  </si>
  <si>
    <t>If yes, for how many years as adviser?</t>
  </si>
  <si>
    <t>What is/are the subject/s handled by the adviser?</t>
  </si>
  <si>
    <t>Araling Panlipunan (AP)</t>
  </si>
  <si>
    <t xml:space="preserve">What is the highest academic degree of the adviser? </t>
  </si>
  <si>
    <t xml:space="preserve">Master Degree </t>
  </si>
  <si>
    <t>Are the SSG Adviser deloaded of some of their subjects handled?</t>
  </si>
  <si>
    <t>Does the school collect fees for the SSG acivities?</t>
  </si>
  <si>
    <t>Did the school incorporate a budget for SSG as part of SIP/APP?</t>
  </si>
  <si>
    <t>Does the school have a room dedicated for the SSG Council?</t>
  </si>
  <si>
    <t>Have the school SSG joined a division search for best SSG Council?</t>
  </si>
  <si>
    <t>Have your division won any National Award?</t>
  </si>
  <si>
    <t>How many times have the Youth Formation Coordinator (YFC)/Project Development Officer I (PDO I) visited the school?</t>
  </si>
  <si>
    <t>12.</t>
  </si>
  <si>
    <t>Do you provide Compensatory Time Off (CTO) for activities conducted by SSG advisers during Saturday?</t>
  </si>
  <si>
    <t>Have the SSG organized the participation of learners in Brigada Eskwela?</t>
  </si>
  <si>
    <t>Have the school lead in National Greening Program?</t>
  </si>
  <si>
    <t>Have the school SSG  conducted activities to prevent learners from dropping-out of schools?</t>
  </si>
  <si>
    <t>Have the school SSG conducted English Speaking Campaigns and Reading and Tutorial Services?</t>
  </si>
  <si>
    <t>Have the school SSG conducted activities to support Anti-Drug Abuse Education and Campaign?</t>
  </si>
  <si>
    <t>Have the school SSG assisted in ensuring that the school is a smoke/tobacco free place?</t>
  </si>
  <si>
    <t>Have the school SSG lead learners in organizing activities which start during the Teachers' Month Campaign every September and which culminate during the World Teachers' Day celebration on October 5?</t>
  </si>
  <si>
    <t>Have the school SSG encourage and support the participation of learners in recognized co-curricular clubs/organizations and activities?</t>
  </si>
  <si>
    <t>Do you have a school guidance counselor?</t>
  </si>
  <si>
    <t>How many years he/she is assigned as guidance counselor?</t>
  </si>
  <si>
    <t>Do you have a guidance advocate?</t>
  </si>
  <si>
    <t>How many years he/she is as guidance advocate?</t>
  </si>
  <si>
    <t>Have you conducted a career guidance activity?</t>
  </si>
  <si>
    <t xml:space="preserve">Has the school funded a career guidance activity? </t>
  </si>
  <si>
    <t>Do you have a guidance office?</t>
  </si>
  <si>
    <t>Validated by Division Youth Formation Coordinator:</t>
  </si>
  <si>
    <t>(Check multiple sports events, clubs, and facilities being offered in the school)</t>
  </si>
  <si>
    <t>Sports Program</t>
  </si>
  <si>
    <t>Sports
 Event/s</t>
  </si>
  <si>
    <t>Sports
Club/s</t>
  </si>
  <si>
    <t>Sports 
Facilities</t>
  </si>
  <si>
    <t>Archery</t>
  </si>
  <si>
    <t>16.</t>
  </si>
  <si>
    <t>Women Artistic Gymnastics (WAG)</t>
  </si>
  <si>
    <t>Arnis</t>
  </si>
  <si>
    <t>17.</t>
  </si>
  <si>
    <t>Ryhtmic Gymnastics (RG)</t>
  </si>
  <si>
    <t>Athletics (throwing)</t>
  </si>
  <si>
    <t>18.</t>
  </si>
  <si>
    <t>Pencak Silat</t>
  </si>
  <si>
    <t>Athletics (running)</t>
  </si>
  <si>
    <t>19.</t>
  </si>
  <si>
    <t>Sepak Takraw</t>
  </si>
  <si>
    <t>Badminton</t>
  </si>
  <si>
    <t>20.</t>
  </si>
  <si>
    <t>Softball</t>
  </si>
  <si>
    <t>Basketball</t>
  </si>
  <si>
    <t>21.</t>
  </si>
  <si>
    <t>Swimming</t>
  </si>
  <si>
    <t>Baseball</t>
  </si>
  <si>
    <t>22.</t>
  </si>
  <si>
    <t>Table Tennis</t>
  </si>
  <si>
    <t>Billards</t>
  </si>
  <si>
    <t>23.</t>
  </si>
  <si>
    <t>Taekwondo</t>
  </si>
  <si>
    <t>Boxing</t>
  </si>
  <si>
    <t>24.</t>
  </si>
  <si>
    <t>Tennis</t>
  </si>
  <si>
    <t>Chess</t>
  </si>
  <si>
    <t>25.</t>
  </si>
  <si>
    <t>Volleyball</t>
  </si>
  <si>
    <t>Dance Sports</t>
  </si>
  <si>
    <t>26.</t>
  </si>
  <si>
    <t>Wrestling</t>
  </si>
  <si>
    <t>Football</t>
  </si>
  <si>
    <t>27.</t>
  </si>
  <si>
    <t>Wushu</t>
  </si>
  <si>
    <t>13.</t>
  </si>
  <si>
    <t>Futsal</t>
  </si>
  <si>
    <t>28.</t>
  </si>
  <si>
    <t>Bocce</t>
  </si>
  <si>
    <t>14.</t>
  </si>
  <si>
    <t>Aerobic Gymnastics</t>
  </si>
  <si>
    <t>29.</t>
  </si>
  <si>
    <t>Goal Ball</t>
  </si>
  <si>
    <t>15.</t>
  </si>
  <si>
    <t>Men Artistic Gymnastics (MAG)</t>
  </si>
  <si>
    <t>Validated by Division Sports Coordinator:</t>
  </si>
  <si>
    <t>Sporting Events</t>
  </si>
  <si>
    <t>Number of
Coach/es</t>
  </si>
  <si>
    <t>Number of Officiating Official/s</t>
  </si>
  <si>
    <t>Number of   
PE teacher/s
with sports specialization</t>
  </si>
  <si>
    <t>Number of
 Non PE teacher/s
 with sports specialization</t>
  </si>
  <si>
    <t>Number of
Non-teaching
personnel with
sports specialization</t>
  </si>
  <si>
    <t>June</t>
  </si>
  <si>
    <t>July</t>
  </si>
  <si>
    <t>Aug.</t>
  </si>
  <si>
    <t>Sept.</t>
  </si>
  <si>
    <t>Oct.</t>
  </si>
  <si>
    <t>Nov.</t>
  </si>
  <si>
    <t>Dec.</t>
  </si>
  <si>
    <t>Jan.</t>
  </si>
  <si>
    <t>Feb.</t>
  </si>
  <si>
    <t>Mar.</t>
  </si>
  <si>
    <t>April</t>
  </si>
  <si>
    <t>May</t>
  </si>
  <si>
    <t>Drought</t>
  </si>
  <si>
    <t>Earthquake</t>
  </si>
  <si>
    <t>Flood</t>
  </si>
  <si>
    <t>Landslide</t>
  </si>
  <si>
    <t>Storm Surge</t>
  </si>
  <si>
    <t>Tsunami</t>
  </si>
  <si>
    <t>Volcanic Eruption</t>
  </si>
  <si>
    <t>Bomb Threat in School Premises</t>
  </si>
  <si>
    <t>Bombing in School Premises</t>
  </si>
  <si>
    <t>Crime against learner/s</t>
  </si>
  <si>
    <t>Crime against non-teaching personnel</t>
  </si>
  <si>
    <t>Crime against school head/s</t>
  </si>
  <si>
    <t>Crime against school property</t>
  </si>
  <si>
    <t>Crime against teaching personnel</t>
  </si>
  <si>
    <t>Hostage-taking within school premises</t>
  </si>
  <si>
    <t>Shooting incident within school vicinity</t>
  </si>
  <si>
    <t>Validated by DRRM Coordinator:</t>
  </si>
  <si>
    <t>Armed Conflict</t>
  </si>
  <si>
    <t>1a.</t>
  </si>
  <si>
    <t>Armed conflict incident experienced in the past months</t>
  </si>
  <si>
    <t>1b.</t>
  </si>
  <si>
    <t>Armed Forces of the Philippines (AFP)</t>
  </si>
  <si>
    <t>Philippine National Police (PNP)</t>
  </si>
  <si>
    <t>Abu Sayyaf Group (ASG)</t>
  </si>
  <si>
    <t>Bangsamoro Islamic Freedom Fighters (BIFF)</t>
  </si>
  <si>
    <t>Communist Party of the Philippines/
New People's Army/
National Democratic Front (CPP-NPA-NDF)</t>
  </si>
  <si>
    <t>Maute Group</t>
  </si>
  <si>
    <t>Moro National Liberation Front (MNLF)</t>
  </si>
  <si>
    <t>2a.</t>
  </si>
  <si>
    <t>Killing and maiming of children</t>
  </si>
  <si>
    <t>Abduction of children</t>
  </si>
  <si>
    <t>Attacks against schools or hospitals</t>
  </si>
  <si>
    <t>Denial of humanitarian access for children</t>
  </si>
  <si>
    <t>Recruitment or use of children as soldiers</t>
  </si>
  <si>
    <t>Sexual violence against children</t>
  </si>
  <si>
    <t>Result of Disaster Incidences / Emergencies</t>
  </si>
  <si>
    <t>Result of Disaster Incidences</t>
  </si>
  <si>
    <t>Number of Classrooms used as Evacuation Center</t>
  </si>
  <si>
    <t>Number of Days the Classrooms were used as Evacuation Center</t>
  </si>
  <si>
    <t>Number of School Days lost due to class suspensions resulting from natural hazards</t>
  </si>
  <si>
    <t>Number of School Days lost due to class suspensions resulting from armed conflict</t>
  </si>
  <si>
    <t>Title</t>
  </si>
  <si>
    <t>DO 82 s.2010</t>
  </si>
  <si>
    <t>Reiteration of CCA-DRR at the School Level</t>
  </si>
  <si>
    <t>DO 83 s.2011</t>
  </si>
  <si>
    <t>Disaster Preparedness in Schools</t>
  </si>
  <si>
    <t>DO 43 s.2012</t>
  </si>
  <si>
    <t>Guidelines on the Implementation of EO 66 (Suspension of Classes)</t>
  </si>
  <si>
    <t>DO 21 s.2015</t>
  </si>
  <si>
    <t>DepEd DRRM Information Management and Coordination Protocol</t>
  </si>
  <si>
    <t>DO 23 s.2015</t>
  </si>
  <si>
    <t>School Watching and Hazard Mapping</t>
  </si>
  <si>
    <t>DO 27 s.2015</t>
  </si>
  <si>
    <t>Family Earthquake Preparedness</t>
  </si>
  <si>
    <t>DO 37 s.2015</t>
  </si>
  <si>
    <t>Comprehensive DRRM in Basic Education Framework</t>
  </si>
  <si>
    <t>DO 28 s.2016</t>
  </si>
  <si>
    <t>Strengthening Fire Safety and Awareness Program</t>
  </si>
  <si>
    <t>DM 221 s.2013</t>
  </si>
  <si>
    <t>Guidelines on the Protection of Children during Armed Conflict</t>
  </si>
  <si>
    <t>DO 44 s.2005</t>
  </si>
  <si>
    <t>Declaration of Schools as Zones of Peace</t>
  </si>
  <si>
    <t>DO 57 s.2017</t>
  </si>
  <si>
    <t>Policy on the Protection of Children in Armed Conflict</t>
  </si>
  <si>
    <t>DO 40 s.2012</t>
  </si>
  <si>
    <t>Child Protection Policy</t>
  </si>
  <si>
    <t>Fire</t>
  </si>
  <si>
    <t>Bomb Threats / Bombing</t>
  </si>
  <si>
    <t>Tropical Cyclone</t>
  </si>
  <si>
    <t>Civilian Violence</t>
  </si>
  <si>
    <t>Learners</t>
  </si>
  <si>
    <t>Partners</t>
  </si>
  <si>
    <t>Personnel</t>
  </si>
  <si>
    <t>C-Collar</t>
  </si>
  <si>
    <t>Safety Shoes</t>
  </si>
  <si>
    <t>Emergency Head Lamp</t>
  </si>
  <si>
    <t>Splinter</t>
  </si>
  <si>
    <t>Emergency Whistle</t>
  </si>
  <si>
    <t>Life Vest / Life Jacket</t>
  </si>
  <si>
    <t>Fire Extinguisher</t>
  </si>
  <si>
    <t>Safety Coat</t>
  </si>
  <si>
    <t>Temporary Learning Spaces (TLS)</t>
  </si>
  <si>
    <t>E-Impact</t>
  </si>
  <si>
    <t>MISOSA</t>
  </si>
  <si>
    <t>School has taken appropriate actions based on the results of the Family Earthquake Preparedness Plan</t>
  </si>
  <si>
    <t>Earthquake Drill</t>
  </si>
  <si>
    <t>Fire Drill</t>
  </si>
  <si>
    <t>Flood Evacuation Drill</t>
  </si>
  <si>
    <t>Tsunami Drill</t>
  </si>
  <si>
    <t>Storm Surge Drill</t>
  </si>
  <si>
    <t>Lockdown Drill</t>
  </si>
  <si>
    <t>Peacebuilding</t>
  </si>
  <si>
    <t>DRRM</t>
  </si>
  <si>
    <t>Gulayan sa Paaralan</t>
  </si>
  <si>
    <t>Peace Conferences or Camps</t>
  </si>
  <si>
    <t>Solid Waste Management</t>
  </si>
  <si>
    <t>Recycling</t>
  </si>
  <si>
    <t>Art, essay, slogan, etc. contests for peace</t>
  </si>
  <si>
    <t>Tree Planting</t>
  </si>
  <si>
    <t>Basic First Aid</t>
  </si>
  <si>
    <t>Teaching Personnel</t>
  </si>
  <si>
    <t>Non-Teaching Personnel</t>
  </si>
  <si>
    <t>DRRM and Climate Change Terminologies</t>
  </si>
  <si>
    <t xml:space="preserve">International and National Foundations of DRRM in the Education Sector </t>
  </si>
  <si>
    <t>The Comprehensive Disaster Risk Reduction and Management in Education Framework and Other DRRM-CCAM Related Policies</t>
  </si>
  <si>
    <t>Inclusive and Child-centered DRRM</t>
  </si>
  <si>
    <t xml:space="preserve">Education in Emergencies (EiE) </t>
  </si>
  <si>
    <t>Alternative Delivery Modes</t>
  </si>
  <si>
    <t xml:space="preserve">Information Management </t>
  </si>
  <si>
    <t>School-Based DRRM</t>
  </si>
  <si>
    <t>Camp Management Guidelines for DepEd</t>
  </si>
  <si>
    <t>Basic Education in Emergencies (EiE) Supplies and Logistics</t>
  </si>
  <si>
    <t>Resource Mobilization and Partnership</t>
  </si>
  <si>
    <t xml:space="preserve">Contingency Planning for Basic Education </t>
  </si>
  <si>
    <t>Understanding Common Hazards</t>
  </si>
  <si>
    <t>DRRM Mainstreaming in the Planning Cycle</t>
  </si>
  <si>
    <t>Understanding Climate Change</t>
  </si>
  <si>
    <t>Climate Change Global, National and Local Frameworks</t>
  </si>
  <si>
    <t>Understanding Peace and Conflict</t>
  </si>
  <si>
    <t>Conflict Sensitive Education</t>
  </si>
  <si>
    <t>Basic Life Support and Occupational First Aid</t>
  </si>
  <si>
    <t>Staff Safety and Security in the Field</t>
  </si>
  <si>
    <t>Does the school have a guidance office?</t>
  </si>
  <si>
    <t>Is the person in charge of the guidance office a Registered Guidance Counselor?</t>
  </si>
  <si>
    <t>Cases</t>
  </si>
  <si>
    <t>Among Learners</t>
  </si>
  <si>
    <t>Among School Personnel</t>
  </si>
  <si>
    <t>Suicide</t>
  </si>
  <si>
    <t>Does the school currently use a “screening tool” for identification of learners at risk of mental health conditions?</t>
  </si>
  <si>
    <t>Self-Care</t>
  </si>
  <si>
    <t>Does the school have a Child Protection Committee (CPC)?</t>
  </si>
  <si>
    <t>If Yes, how often does the CPC meet?</t>
  </si>
  <si>
    <t>How many cases were referred to appropriate authority (e.g PNP, LSWDO, NGOs, etc)?</t>
  </si>
  <si>
    <t>Does the school have a Student Code of Conduct?</t>
  </si>
  <si>
    <t>Incidents recorded</t>
  </si>
  <si>
    <t>Perpetrator</t>
  </si>
  <si>
    <t>Against Male Learners</t>
  </si>
  <si>
    <t>Against Female Learners</t>
  </si>
  <si>
    <t>School Personnel</t>
  </si>
  <si>
    <t>Outsider</t>
  </si>
  <si>
    <t>Number of reported incidents of violence against children by grade level and sex</t>
  </si>
  <si>
    <t>Number of reported incidents of bullying or peer abuse by grade level and sex</t>
  </si>
  <si>
    <t>Usual reasons for bullying that were recorded by the school</t>
  </si>
  <si>
    <t>Reasons</t>
  </si>
  <si>
    <t>Validated by Division Child Protection Focal Person/Coordinator:</t>
  </si>
  <si>
    <t>PEDAGOGY (Nationally-funded teachers working in the school)</t>
  </si>
  <si>
    <t>In the previous school year, did the school observe “One Health Week” as part of OK sa DepEd?</t>
  </si>
  <si>
    <t>A science teacher with Science Education Major who has more than one specialization can</t>
  </si>
  <si>
    <t>be counted more than once.</t>
  </si>
  <si>
    <t>STATUS</t>
  </si>
  <si>
    <r>
      <t xml:space="preserve">* Number of teachers that shall be </t>
    </r>
    <r>
      <rPr>
        <b/>
        <i/>
        <u/>
        <sz val="12"/>
        <rFont val="Times New Roman"/>
        <family val="1"/>
      </rPr>
      <t>counted only once</t>
    </r>
  </si>
  <si>
    <t>A teacher shall be counted based  on his/her highest level of educational attainment</t>
  </si>
  <si>
    <t>Cancer Cases among School Personnel</t>
  </si>
  <si>
    <t>In</t>
  </si>
  <si>
    <t>Out</t>
  </si>
  <si>
    <t>TOTAL                      Locally-funded</t>
  </si>
  <si>
    <r>
      <t xml:space="preserve">Special Education Fund (SEF) Teachers </t>
    </r>
    <r>
      <rPr>
        <sz val="12"/>
        <rFont val="Times New Roman"/>
        <family val="1"/>
      </rPr>
      <t>- teachers whose salaries are being paid by the Local School Board Fund (Provincial/City or Municipal) where the school is located.</t>
    </r>
  </si>
  <si>
    <r>
      <t xml:space="preserve">Local Government Unit (LGU) funded Teachers </t>
    </r>
    <r>
      <rPr>
        <sz val="12"/>
        <rFont val="Times New Roman"/>
        <family val="1"/>
      </rPr>
      <t>- teachers paid out of the general fund
(not the SEF) of the LGU.</t>
    </r>
  </si>
  <si>
    <r>
      <t>Others</t>
    </r>
    <r>
      <rPr>
        <i/>
        <sz val="12"/>
        <rFont val="Times New Roman"/>
        <family val="1"/>
      </rPr>
      <t xml:space="preserve"> -</t>
    </r>
    <r>
      <rPr>
        <sz val="12"/>
        <rFont val="Times New Roman"/>
        <family val="1"/>
      </rPr>
      <t xml:space="preserve"> teachers who are being funded by other sources not mentioned above
(e.g., Parents-Teachers Association, etc.).</t>
    </r>
  </si>
  <si>
    <t>Note:  Number of teachers who received training relevant to the</t>
  </si>
  <si>
    <t>Cancer Survivors</t>
  </si>
  <si>
    <t>Died due to Cancer</t>
  </si>
  <si>
    <t>Trained as Peer Educators for Adolescent Sexual and Reproductive Health (ASRH)</t>
  </si>
  <si>
    <t>For administrative use</t>
  </si>
  <si>
    <t>For classroom instruction use</t>
  </si>
  <si>
    <t xml:space="preserve">Peace and order tensions in the community experienced at least once in the past five years caused by the presence of armed groups and/or potential violence; areas that have experienced worse, like armed conflict or evacuation in the past 5 years are included </t>
  </si>
  <si>
    <t>Cannot be reached by regular cars or through regular public utility vehicles (PUVs; jeep, bus, tricycle); specialized transportation (e.g., single motor or habal-habal, skylab, horse, bangka) and/or walking is needed</t>
  </si>
  <si>
    <t xml:space="preserve">Occasional dangerous geographical challenges affecting learners coming to school (e.g., river to be crossed by learners swells during rains; area to school or of the school prone to landslides) </t>
  </si>
  <si>
    <t>Number of teachers residing within and outside the school municipality</t>
  </si>
  <si>
    <t>Teachers Residence</t>
  </si>
  <si>
    <t xml:space="preserve">Does the school have experience in working with the IP community for the development of contextualized lesson plans, development of learning resources and other activities? </t>
  </si>
  <si>
    <t>Validated by Division IPEd Focal Person/Coordinator:</t>
  </si>
  <si>
    <t>Attempted Suicide</t>
  </si>
  <si>
    <r>
      <t xml:space="preserve">Gulayan sa Paaralan, If </t>
    </r>
    <r>
      <rPr>
        <i/>
        <sz val="12"/>
        <rFont val="Times New Roman"/>
        <family val="1"/>
      </rPr>
      <t>check,</t>
    </r>
    <r>
      <rPr>
        <sz val="12"/>
        <rFont val="Times New Roman"/>
        <family val="1"/>
      </rPr>
      <t xml:space="preserve"> which of the following types of vegetables are present in the school garden?</t>
    </r>
  </si>
  <si>
    <r>
      <t xml:space="preserve">1. How often are the sanitation facilites cleaned? </t>
    </r>
    <r>
      <rPr>
        <i/>
        <sz val="12"/>
        <rFont val="Times New Roman"/>
        <family val="1"/>
      </rPr>
      <t>(Check only one)</t>
    </r>
  </si>
  <si>
    <r>
      <rPr>
        <b/>
        <i/>
        <sz val="12"/>
        <rFont val="Times New Roman"/>
        <family val="1"/>
      </rPr>
      <t xml:space="preserve">Locally-funded teachers working in the school </t>
    </r>
    <r>
      <rPr>
        <sz val="12"/>
        <rFont val="Times New Roman"/>
        <family val="1"/>
      </rPr>
      <t xml:space="preserve">- teachers not having plantilla positions and whose compensation is chargeable against the local budget. </t>
    </r>
  </si>
  <si>
    <t>(Provide appropriate answers)</t>
  </si>
  <si>
    <t>(Check/Provide appropriate answers)</t>
  </si>
  <si>
    <t>(Check/Provide as appropriate)</t>
  </si>
  <si>
    <t>Check if the school has the following conditions:</t>
  </si>
  <si>
    <t>If there is check in any of the above conditions, provide answers to the following:</t>
  </si>
  <si>
    <t>Others, (specify)</t>
  </si>
  <si>
    <t>A teacher shall be counted once according to their TESDA National Qualifications (horizontal).</t>
  </si>
  <si>
    <t xml:space="preserve">Reminder:   If a teacher is receiving more than one training on </t>
  </si>
  <si>
    <t>ICT, he/she can be counted more than once.</t>
  </si>
  <si>
    <t>pedagogy, he/she can be counted more than once.</t>
  </si>
  <si>
    <t>If a  teacher is teaching more than one grade, he/she shall be counted to the grade level where he/she teaches the most number of hours. 
However, if he/she teaches an equal number of hours per grade level, he/she shall be counted to the highest grade level assignment.</t>
  </si>
  <si>
    <t>A teacher shall only be counted once as either "With Major/Minor" or "Not Their Major/Minor" (horizontal).</t>
  </si>
  <si>
    <r>
      <t xml:space="preserve">1.2. Average Cost of Monthly Bills/Maintenance: </t>
    </r>
    <r>
      <rPr>
        <i/>
        <sz val="12"/>
        <rFont val="Times New Roman"/>
        <family val="1"/>
      </rPr>
      <t>(Indicate the amount in PhP)</t>
    </r>
  </si>
  <si>
    <r>
      <t xml:space="preserve">Decayed, Missing, and Filled Teeth (DMFT) Index </t>
    </r>
    <r>
      <rPr>
        <sz val="11"/>
        <rFont val="Times New Roman"/>
        <family val="1"/>
      </rPr>
      <t>- refers to the common method use in oral epidemology for assessing dental carries 
prevalence as well as dental treatment needs among populations.</t>
    </r>
  </si>
  <si>
    <t>(Provide the number of times the following hazards occurred in your school and its immediate surroundings)</t>
  </si>
  <si>
    <t>Others,  (specify)</t>
  </si>
  <si>
    <t>B. Number of learners by nutritional status</t>
  </si>
  <si>
    <t xml:space="preserve">          This form shall be accomplished by the head of all government Senior High Schools. In the case of schools with  annexes,  extensions,  etc., a separate school profile form shall be accomplished by every annex, extension,  etc.</t>
  </si>
  <si>
    <t xml:space="preserve">          The head of the school shall sign the forms certifying  to  the  correctness  of  the  data,  and  shall  be  responsible  and  accountable for any inaccuracy or false data/information reported. He/She shall submit the accomplished forms to the respective Schools Division Office (SDO).</t>
  </si>
  <si>
    <r>
      <rPr>
        <b/>
        <i/>
        <sz val="11"/>
        <rFont val="Times New Roman"/>
        <family val="1"/>
      </rPr>
      <t>Dance</t>
    </r>
    <r>
      <rPr>
        <sz val="11"/>
        <rFont val="Times New Roman"/>
        <family val="1"/>
      </rPr>
      <t xml:space="preserve"> - a specialization in the SHS Arts and Design Track where the learner demonstrates understanding and appreciation of the basic concepts and principles of dance, leading to careers such as Professional Dancer, Dance Director, Choreographer, Dance Teacher and athlete.</t>
    </r>
  </si>
  <si>
    <r>
      <t xml:space="preserve">Theater Arts </t>
    </r>
    <r>
      <rPr>
        <sz val="11"/>
        <rFont val="Times New Roman"/>
        <family val="1"/>
      </rPr>
      <t>- a specialization in the SHS Arts and Design Track where the learner demonstrates an appreciation and understanding of the concepts and principles of Theater Arts leading to careers such as Set Designer, Teacher, Theater Director, Film Director, Stand-up Comedian and Professional Actor.</t>
    </r>
  </si>
  <si>
    <r>
      <t xml:space="preserve">Creative Writing </t>
    </r>
    <r>
      <rPr>
        <sz val="11"/>
        <rFont val="Times New Roman"/>
        <family val="1"/>
      </rPr>
      <t>- a specialization in the SHS Arts and Design Track where the learner demonstrates an appreciation and understanding of principles of Creative Writing leading to careers such as Novelist, Screenwriter, Playwright, Calligraphist, Teacher and Journalist.</t>
    </r>
  </si>
  <si>
    <r>
      <t xml:space="preserve">Media Arts - </t>
    </r>
    <r>
      <rPr>
        <sz val="11"/>
        <rFont val="Times New Roman"/>
        <family val="1"/>
      </rPr>
      <t>a specialization in the SHS Arts and Design Track where the learner demonstrates appreciation and basic understanding of the of the concept and principles of Media Arts leading to Multimedia Designer Product, Designer, Web Developer, Video Game Director and Print Designer.</t>
    </r>
  </si>
  <si>
    <r>
      <t xml:space="preserve">Visual Arts </t>
    </r>
    <r>
      <rPr>
        <sz val="11"/>
        <rFont val="Times New Roman"/>
        <family val="1"/>
      </rPr>
      <t>- a specialization in the SHS Arts and Design Track where the learner demonstrates appreciation and basic understanding of the of the concept and principles of  Visual Arts leading to careers such as Visual Effects Animator, Video Game Designer, Architect, Naval Architect and Landscape Architect.</t>
    </r>
  </si>
  <si>
    <r>
      <rPr>
        <b/>
        <i/>
        <sz val="12"/>
        <rFont val="Times New Roman"/>
        <family val="1"/>
      </rPr>
      <t>Qualified teacher</t>
    </r>
    <r>
      <rPr>
        <sz val="12"/>
        <rFont val="Times New Roman"/>
        <family val="1"/>
      </rPr>
      <t xml:space="preserve"> - locally-funded teacher who has the minimum academic qualifications necessary to teach Senior High School Education. He/She must be a Licensure Examination for Teacher (LET) passer given by the Professional Regulation Commission (PRC) and the Board for Professional Teachers (BPT) or a Professional Board Examination for Teachers (PBET) passer given by the Civil Service Commission (CSC) and the Department of Education, Culture and Sports (DECS [now DepEd]).</t>
    </r>
  </si>
  <si>
    <r>
      <rPr>
        <b/>
        <i/>
        <sz val="12"/>
        <rFont val="Times New Roman"/>
        <family val="1"/>
      </rPr>
      <t>Trained teacher</t>
    </r>
    <r>
      <rPr>
        <sz val="12"/>
        <rFont val="Times New Roman"/>
        <family val="1"/>
      </rPr>
      <t xml:space="preserve"> - locally-funded teacher who received at least the minimum organized teacher-training requirements (pre-service or in-service) to teach Senior High School Education.</t>
    </r>
  </si>
  <si>
    <r>
      <t>Nationally-funded personnel</t>
    </r>
    <r>
      <rPr>
        <sz val="11"/>
        <rFont val="Times New Roman"/>
        <family val="1"/>
      </rPr>
      <t xml:space="preserve"> - teaching, teaching-related and non-teaching personnel having plantilla positions, including those with provisional appointments.</t>
    </r>
  </si>
  <si>
    <r>
      <t>Number of plantilla items in school per latest PSI-POP</t>
    </r>
    <r>
      <rPr>
        <sz val="11"/>
        <rFont val="Times New Roman"/>
        <family val="1"/>
      </rPr>
      <t xml:space="preserve"> - number of plantilla items allocated to the school.</t>
    </r>
  </si>
  <si>
    <r>
      <t xml:space="preserve">Number actually working in the school </t>
    </r>
    <r>
      <rPr>
        <sz val="11"/>
        <rFont val="Times New Roman"/>
        <family val="1"/>
      </rPr>
      <t>- teaching, teaching-related and non-teaching personnel with plantilla positions who are actually performing their specific assignments in the school.</t>
    </r>
  </si>
  <si>
    <r>
      <t>On leave personnel</t>
    </r>
    <r>
      <rPr>
        <i/>
        <sz val="11"/>
        <rFont val="Times New Roman"/>
        <family val="1"/>
      </rPr>
      <t xml:space="preserve"> - </t>
    </r>
    <r>
      <rPr>
        <sz val="11"/>
        <rFont val="Times New Roman"/>
        <family val="1"/>
      </rPr>
      <t>personnel who are on leave for the whole school year approved by the School Division Superintendent.</t>
    </r>
  </si>
  <si>
    <r>
      <t xml:space="preserve">Plantilla item(s) vacant </t>
    </r>
    <r>
      <rPr>
        <sz val="11"/>
        <rFont val="Times New Roman"/>
        <family val="1"/>
      </rPr>
      <t>- plantilla positions that are unfilled, whether existing plantilla or newly created position.</t>
    </r>
  </si>
  <si>
    <r>
      <t>Plantilla personnel detailed to DepEd office(s)/sec. school(s) within the division</t>
    </r>
    <r>
      <rPr>
        <sz val="11"/>
        <rFont val="Times New Roman"/>
        <family val="1"/>
      </rPr>
      <t xml:space="preserve"> - personnel assigned/designated to the division office or to other secondary schools within the division.</t>
    </r>
  </si>
  <si>
    <r>
      <t>Plantilla personnel detailed to Elementary school(s) within the division</t>
    </r>
    <r>
      <rPr>
        <sz val="11"/>
        <rFont val="Times New Roman"/>
        <family val="1"/>
      </rPr>
      <t xml:space="preserve"> - personnel assigned/designated to elementary schools within the division.</t>
    </r>
  </si>
  <si>
    <r>
      <t>Plantilla personnel detailed to DepEd office(s)/school(s) outside the division or other government agencies</t>
    </r>
    <r>
      <rPr>
        <sz val="11"/>
        <rFont val="Times New Roman"/>
        <family val="1"/>
      </rPr>
      <t xml:space="preserve"> - personnel assigned/designated to other DepEd office(s)/school(s) outside the division or other government agencies.</t>
    </r>
  </si>
  <si>
    <r>
      <t>Plantilla personnel borrowed/detailed from other school(s)/ DepEd office(s)</t>
    </r>
    <r>
      <rPr>
        <sz val="11"/>
        <rFont val="Times New Roman"/>
        <family val="1"/>
      </rPr>
      <t xml:space="preserve"> - personnel who are actually working in the school but whose items belong from elementary/secondary school(s) or from other DepEd office(s) like the division, regional, central office or from other school division(s).</t>
    </r>
  </si>
  <si>
    <t>Totals in column 12 shall tally with entries in column 2.</t>
  </si>
  <si>
    <r>
      <rPr>
        <b/>
        <i/>
        <sz val="11"/>
        <rFont val="Times New Roman"/>
        <family val="1"/>
      </rPr>
      <t>a. Full-time Contractual</t>
    </r>
    <r>
      <rPr>
        <sz val="11"/>
        <rFont val="Times New Roman"/>
        <family val="1"/>
      </rPr>
      <t xml:space="preserve"> - refers to teachers who carry/render full-time class teaching load of 360 minutes or more per day with or without assigned ancillary services</t>
    </r>
    <r>
      <rPr>
        <b/>
        <sz val="11"/>
        <rFont val="Times New Roman"/>
        <family val="1"/>
      </rPr>
      <t>.</t>
    </r>
  </si>
  <si>
    <r>
      <t xml:space="preserve"> </t>
    </r>
    <r>
      <rPr>
        <b/>
        <i/>
        <sz val="11"/>
        <rFont val="Times New Roman"/>
        <family val="1"/>
      </rPr>
      <t>b. Part-time Contractual</t>
    </r>
    <r>
      <rPr>
        <sz val="11"/>
        <rFont val="Times New Roman"/>
        <family val="1"/>
      </rPr>
      <t xml:space="preserve"> - refers to  a practitioner in a field related to an SHS track/strand who teaches in SHS. Part-time SHS teachers may teach in one or more schools within the division, provided that the total teaching load will not exceed one-half of the regular teaching load. Prior to application, practitioner-SHS applicants currently employed by the national government or local government unit shall seek approval from the head of his/her unit to teach in SHS with supporting evidence thereto.</t>
    </r>
  </si>
  <si>
    <r>
      <t xml:space="preserve">Assigned to ancillary services as </t>
    </r>
    <r>
      <rPr>
        <b/>
        <u/>
        <sz val="10"/>
        <rFont val="Times New Roman"/>
        <family val="1"/>
      </rPr>
      <t>additional load</t>
    </r>
  </si>
  <si>
    <t xml:space="preserve">    subject matter they are teaching for the past 12 months.</t>
  </si>
  <si>
    <r>
      <t>With Major/Minor</t>
    </r>
    <r>
      <rPr>
        <sz val="12"/>
        <rFont val="Times New Roman"/>
        <family val="1"/>
      </rPr>
      <t xml:space="preserve"> - refers to the  number of teachers who have specialization in the subject area they are teaching.  </t>
    </r>
  </si>
  <si>
    <r>
      <t>Not Their Major/Minor</t>
    </r>
    <r>
      <rPr>
        <sz val="12"/>
        <rFont val="Times New Roman"/>
        <family val="1"/>
      </rPr>
      <t xml:space="preserve"> - refers to the number of teachers who have NO specialization in the subject area they are teaching, and can be classified as either with or without special training.</t>
    </r>
  </si>
  <si>
    <t xml:space="preserve">If Yes, check the purpose: </t>
  </si>
  <si>
    <r>
      <t>Maintenance and Other Operating Expenses (MOOE)</t>
    </r>
    <r>
      <rPr>
        <sz val="11"/>
        <rFont val="Times New Roman"/>
        <family val="1"/>
      </rPr>
      <t xml:space="preserve"> - is the allocated funds for public elementary and secondary schools that can be spent on activities and necessities (i.e. electricity and water) that support learning programs and help maintain a safe and healthy environment in schools.</t>
    </r>
  </si>
  <si>
    <r>
      <t>MOOE Allocation</t>
    </r>
    <r>
      <rPr>
        <sz val="11"/>
        <rFont val="Times New Roman"/>
        <family val="1"/>
      </rPr>
      <t xml:space="preserve"> - refers to the MOOE provided for the previous fiscal year.</t>
    </r>
  </si>
  <si>
    <r>
      <t>MOOE Utilization</t>
    </r>
    <r>
      <rPr>
        <sz val="11"/>
        <rFont val="Times New Roman"/>
        <family val="1"/>
      </rPr>
      <t xml:space="preserve"> - refers to the amount of MOOE utilized from the MOOE allocation of the previous fiscal year.</t>
    </r>
  </si>
  <si>
    <r>
      <t>MOOE Liquidation</t>
    </r>
    <r>
      <rPr>
        <sz val="11"/>
        <rFont val="Times New Roman"/>
        <family val="1"/>
      </rPr>
      <t xml:space="preserve"> - refers to the amount of MOOE liquidated from the MOOE utilized from the MOOE allocation of the previous fiscal year.</t>
    </r>
  </si>
  <si>
    <r>
      <t>Grid Supply</t>
    </r>
    <r>
      <rPr>
        <sz val="11"/>
        <rFont val="Times New Roman"/>
        <family val="1"/>
      </rPr>
      <t xml:space="preserve"> - electricity coming from major or local power distributors (e.g.,</t>
    </r>
    <r>
      <rPr>
        <b/>
        <sz val="11"/>
        <rFont val="Times New Roman"/>
        <family val="1"/>
      </rPr>
      <t xml:space="preserve"> electric cooperatives such as ANTECO, BASELCO, CASURECO, MERALCO, NAPOCOR, etc.</t>
    </r>
    <r>
      <rPr>
        <sz val="11"/>
        <rFont val="Times New Roman"/>
        <family val="1"/>
      </rPr>
      <t>).</t>
    </r>
  </si>
  <si>
    <r>
      <t>Off Grid Supply</t>
    </r>
    <r>
      <rPr>
        <sz val="11"/>
        <rFont val="Times New Roman"/>
        <family val="1"/>
      </rPr>
      <t xml:space="preserve"> - electricity coming from alternative source of power (e.g., </t>
    </r>
    <r>
      <rPr>
        <b/>
        <sz val="11"/>
        <rFont val="Times New Roman"/>
        <family val="1"/>
      </rPr>
      <t>solar power, generator, hydro electric, micro hydro, wind turbine, windmill, etc.</t>
    </r>
    <r>
      <rPr>
        <sz val="11"/>
        <rFont val="Times New Roman"/>
        <family val="1"/>
      </rPr>
      <t>).</t>
    </r>
  </si>
  <si>
    <r>
      <t>No source of electricity</t>
    </r>
    <r>
      <rPr>
        <sz val="11"/>
        <rFont val="Times New Roman"/>
        <family val="1"/>
      </rPr>
      <t xml:space="preserve"> - without existing electrical supply at all.</t>
    </r>
  </si>
  <si>
    <r>
      <t xml:space="preserve">School Site Ownership and / or Proof of Occupancy </t>
    </r>
    <r>
      <rPr>
        <sz val="11"/>
        <rFont val="Times New Roman"/>
        <family val="1"/>
      </rPr>
      <t>- refers to any legal and official document that acts as a competent proof of one's ownership and/or occupancy of the subject property.</t>
    </r>
  </si>
  <si>
    <r>
      <t xml:space="preserve">Certificate of Title </t>
    </r>
    <r>
      <rPr>
        <sz val="11"/>
        <rFont val="Times New Roman"/>
        <family val="1"/>
      </rPr>
      <t>- refers to the transcript of the decree or registration made by the Register of Deeds.</t>
    </r>
  </si>
  <si>
    <r>
      <t xml:space="preserve">Original Certificate of Title (OCT) </t>
    </r>
    <r>
      <rPr>
        <sz val="11"/>
        <rFont val="Times New Roman"/>
        <family val="1"/>
      </rPr>
      <t>- refers to a document when the land has been adjudicated and decreed in the name of its owner in registration proceeding and the title issued for the</t>
    </r>
    <r>
      <rPr>
        <b/>
        <sz val="11"/>
        <rFont val="Times New Roman"/>
        <family val="1"/>
      </rPr>
      <t xml:space="preserve"> first time</t>
    </r>
    <r>
      <rPr>
        <sz val="11"/>
        <rFont val="Times New Roman"/>
        <family val="1"/>
      </rPr>
      <t xml:space="preserve"> is pursuant of such decree.</t>
    </r>
  </si>
  <si>
    <r>
      <t xml:space="preserve">Transfer Certificate of Title (TCT) </t>
    </r>
    <r>
      <rPr>
        <sz val="11"/>
        <rFont val="Times New Roman"/>
        <family val="1"/>
      </rPr>
      <t xml:space="preserve">- refers to a document when the land title is </t>
    </r>
    <r>
      <rPr>
        <b/>
        <sz val="11"/>
        <rFont val="Times New Roman"/>
        <family val="1"/>
      </rPr>
      <t>cancelled and replaced</t>
    </r>
    <r>
      <rPr>
        <sz val="11"/>
        <rFont val="Times New Roman"/>
        <family val="1"/>
      </rPr>
      <t xml:space="preserve"> by another title by reason of sale or transfer.</t>
    </r>
  </si>
  <si>
    <r>
      <t xml:space="preserve">Certificate of Land Ownership Award (CLOA) </t>
    </r>
    <r>
      <rPr>
        <sz val="11"/>
        <rFont val="Times New Roman"/>
        <family val="1"/>
      </rPr>
      <t>- refers to a proof of ownership of the agrarian reform beneficiary with respect to private and agricultural land covered under RA 6657.</t>
    </r>
  </si>
  <si>
    <r>
      <t>Presidential Proclamation</t>
    </r>
    <r>
      <rPr>
        <sz val="11"/>
        <rFont val="Times New Roman"/>
        <family val="1"/>
      </rPr>
      <t xml:space="preserve"> - refers to a proclamation issued by the President reserving an untitled land for public use.</t>
    </r>
  </si>
  <si>
    <r>
      <t>Tax Declaration</t>
    </r>
    <r>
      <rPr>
        <sz val="11"/>
        <rFont val="Times New Roman"/>
        <family val="1"/>
      </rPr>
      <t xml:space="preserve"> - refers to a document issued by the Assessor's Office of the jurisdiction (e.g., city or municipality) evidencing the payment of taxes on the use of the real property.</t>
    </r>
  </si>
  <si>
    <r>
      <t>Deed of Absolute Sale</t>
    </r>
    <r>
      <rPr>
        <sz val="11"/>
        <rFont val="Times New Roman"/>
        <family val="1"/>
      </rPr>
      <t xml:space="preserve"> - refers to a document executed by the vendor evidencing the absolute (without conditions) sale of the real property in favor of the vendee.</t>
    </r>
  </si>
  <si>
    <r>
      <t>Deed of Donation</t>
    </r>
    <r>
      <rPr>
        <sz val="11"/>
        <rFont val="Times New Roman"/>
        <family val="1"/>
      </rPr>
      <t xml:space="preserve"> - refers to a document executed by the donor, under the formalities required by law, evidencing the donation of the property.</t>
    </r>
  </si>
  <si>
    <r>
      <t>Certificate of Stewardship</t>
    </r>
    <r>
      <rPr>
        <sz val="11"/>
        <rFont val="Times New Roman"/>
        <family val="1"/>
      </rPr>
      <t xml:space="preserve"> - refers to a document awarded to individuals or families actually occupying or tilling portions of forest lands pursuant to LOI 1260 for a period of 25 years’ renewable for another 25 years.</t>
    </r>
  </si>
  <si>
    <r>
      <t>Special Land Use Permit (SLUP)</t>
    </r>
    <r>
      <rPr>
        <sz val="11"/>
        <rFont val="Times New Roman"/>
        <family val="1"/>
      </rPr>
      <t xml:space="preserve"> - refers to a privilege granted by the State to a person to occupy, possess and manage in consideration of specified return, any public forest lands for a specific use or purpose.</t>
    </r>
  </si>
  <si>
    <r>
      <t>Memorandum of Agreement or Understanding/Lease Agreement</t>
    </r>
    <r>
      <rPr>
        <sz val="11"/>
        <rFont val="Times New Roman"/>
        <family val="1"/>
      </rPr>
      <t xml:space="preserve"> - refers to a document executed by the legal owner/occupant of the land setting unnecessary the conditions on the use of the property.</t>
    </r>
  </si>
  <si>
    <r>
      <t>Others</t>
    </r>
    <r>
      <rPr>
        <sz val="11"/>
        <rFont val="Times New Roman"/>
        <family val="1"/>
      </rPr>
      <t xml:space="preserve"> - refers to the other documents that are competent proof of ownership and occupancy.</t>
    </r>
  </si>
  <si>
    <r>
      <t xml:space="preserve">Decayed, Missing, and Filled Teeth (DMFT) - </t>
    </r>
    <r>
      <rPr>
        <b/>
        <i/>
        <sz val="12"/>
        <rFont val="Times New Roman"/>
        <family val="1"/>
      </rPr>
      <t>Permanent Teeth</t>
    </r>
  </si>
  <si>
    <r>
      <t>Gum Disease</t>
    </r>
    <r>
      <rPr>
        <sz val="11"/>
        <rFont val="Times New Roman"/>
        <family val="1"/>
      </rPr>
      <t xml:space="preserve"> - refers to an inflammation of the gum line that can progress to affect the bone that surrounds and supports the teeth.</t>
    </r>
  </si>
  <si>
    <r>
      <t>Dental Anomalies</t>
    </r>
    <r>
      <rPr>
        <sz val="11"/>
        <rFont val="Times New Roman"/>
        <family val="1"/>
      </rPr>
      <t xml:space="preserve"> - refers to the craniofacial abnormalities of form, function or position of the teeth, bones, and tissues of the jaw and mouth.</t>
    </r>
  </si>
  <si>
    <r>
      <t xml:space="preserve">Number of learners who sought </t>
    </r>
    <r>
      <rPr>
        <i/>
        <sz val="12"/>
        <rFont val="Times New Roman"/>
        <family val="1"/>
      </rPr>
      <t>guidance counseling or life coaching</t>
    </r>
    <r>
      <rPr>
        <sz val="12"/>
        <rFont val="Times New Roman"/>
        <family val="1"/>
      </rPr>
      <t xml:space="preserve"> from the school’s guidance counselor or guidance advocate:</t>
    </r>
  </si>
  <si>
    <r>
      <t xml:space="preserve">ENDS/ENNDS - </t>
    </r>
    <r>
      <rPr>
        <sz val="12"/>
        <rFont val="Times New Roman"/>
        <family val="1"/>
      </rPr>
      <t>stands for Electronic Nicotine Delivery Systems and Electronic Non-Nicotine Delivery Systems, which include vape and e-cigarettes.</t>
    </r>
  </si>
  <si>
    <r>
      <rPr>
        <b/>
        <i/>
        <sz val="12"/>
        <rFont val="Times New Roman"/>
        <family val="1"/>
      </rPr>
      <t>Within</t>
    </r>
    <r>
      <rPr>
        <sz val="12"/>
        <rFont val="Times New Roman"/>
        <family val="1"/>
      </rPr>
      <t xml:space="preserve"> the School Municipality</t>
    </r>
  </si>
  <si>
    <r>
      <rPr>
        <b/>
        <i/>
        <sz val="12"/>
        <rFont val="Times New Roman"/>
        <family val="1"/>
      </rPr>
      <t>Outside</t>
    </r>
    <r>
      <rPr>
        <sz val="12"/>
        <rFont val="Times New Roman"/>
        <family val="1"/>
      </rPr>
      <t xml:space="preserve"> the School Municipality</t>
    </r>
  </si>
  <si>
    <t>Table 2. NUMBER OF FUNCTIONAL ASSISTIVE TECHNOLOGY AND ADAPTIVE DEVICES FOR LEARNERS WITH DISABILITIES</t>
  </si>
  <si>
    <r>
      <t xml:space="preserve">2. Adaptive Device </t>
    </r>
    <r>
      <rPr>
        <sz val="12"/>
        <rFont val="Times New Roman"/>
        <family val="1"/>
      </rPr>
      <t>- refers to any device that are used to assist with completing activities of daily living.</t>
    </r>
  </si>
  <si>
    <t xml:space="preserve">  Assistive Technology Devices</t>
  </si>
  <si>
    <t xml:space="preserve">  Adaptive Devices</t>
  </si>
  <si>
    <t>Number of personnel actually working  in the school</t>
  </si>
  <si>
    <t>Plantilla
item(s)
vacant</t>
  </si>
  <si>
    <r>
      <rPr>
        <b/>
        <sz val="11"/>
        <rFont val="Times New Roman"/>
        <family val="1"/>
      </rPr>
      <t xml:space="preserve">TOTAL    </t>
    </r>
    <r>
      <rPr>
        <b/>
        <sz val="10"/>
        <rFont val="Times New Roman"/>
        <family val="1"/>
      </rPr>
      <t xml:space="preserve">              
</t>
    </r>
    <r>
      <rPr>
        <b/>
        <sz val="8"/>
        <rFont val="Times New Roman"/>
        <family val="1"/>
      </rPr>
      <t>(Col.5+Col.6+
Col.7+ Col.11)</t>
    </r>
  </si>
  <si>
    <t>(Col.8+Col.9+
Col.10)</t>
  </si>
  <si>
    <t>(Col.3+Col.4)</t>
  </si>
  <si>
    <t>(Col.13+Col.14)</t>
  </si>
  <si>
    <t>TOTAL
Nationally-funded personnel working in the school</t>
  </si>
  <si>
    <t>TOTAL
Nationally-funded teachers working
in the school</t>
  </si>
  <si>
    <r>
      <rPr>
        <b/>
        <sz val="11"/>
        <rFont val="Times New Roman"/>
        <family val="1"/>
      </rPr>
      <t>TOTAL</t>
    </r>
    <r>
      <rPr>
        <b/>
        <sz val="10"/>
        <rFont val="Times New Roman"/>
        <family val="1"/>
      </rPr>
      <t xml:space="preserve"> 
</t>
    </r>
    <r>
      <rPr>
        <b/>
        <sz val="8"/>
        <rFont val="Times New Roman"/>
        <family val="1"/>
      </rPr>
      <t>(Col.5+Col.6+
Col.7+ Col.11)</t>
    </r>
  </si>
  <si>
    <t>Number of teachers actually working
in the school</t>
  </si>
  <si>
    <r>
      <t xml:space="preserve">Plantilla personnel borrowed/detailed from other school(s)/ DepEd office(s) </t>
    </r>
    <r>
      <rPr>
        <b/>
        <sz val="13"/>
        <rFont val="Times New Roman"/>
        <family val="1"/>
      </rPr>
      <t>*</t>
    </r>
  </si>
  <si>
    <t xml:space="preserve">Carries full-time class
teaching load
(360 min. or more)                    </t>
  </si>
  <si>
    <t xml:space="preserve">Assigned part-time to class
teaching, part-time to
ancillary services                          </t>
  </si>
  <si>
    <t>(Col.2+Col.3+Col.4+
Col.5+Col.6)</t>
  </si>
  <si>
    <r>
      <t>Ancillary services</t>
    </r>
    <r>
      <rPr>
        <sz val="11"/>
        <rFont val="Times New Roman"/>
        <family val="1"/>
      </rPr>
      <t xml:space="preserve"> - those rendered as a guidance teacher, librarian, property custodian, office clerk, canteen manager,
                               coordinator (ALS, Boy/Girl Scout, etc.), teacher nurse. Class advisorship is not included.</t>
    </r>
  </si>
  <si>
    <t>Plantilla items in column 2 shall tally with the totals of Employment Status.</t>
  </si>
  <si>
    <t>Validated by Curriculum Implementation Division (CID) Personnel:</t>
  </si>
  <si>
    <r>
      <t>b. DepEd non-DCP</t>
    </r>
    <r>
      <rPr>
        <sz val="11"/>
        <rFont val="Times New Roman"/>
        <family val="1"/>
      </rPr>
      <t xml:space="preserve"> - computers procured through other DepEd downloaded funds.</t>
    </r>
  </si>
  <si>
    <r>
      <t>Network Switch</t>
    </r>
    <r>
      <rPr>
        <sz val="11"/>
        <rFont val="Times New Roman"/>
        <family val="1"/>
      </rPr>
      <t xml:space="preserve"> - refers to a device used to network multiple computers together.</t>
    </r>
  </si>
  <si>
    <r>
      <t xml:space="preserve">Average Cost of Monthly Bills/Maintenance: </t>
    </r>
    <r>
      <rPr>
        <i/>
        <sz val="12"/>
        <rFont val="Times New Roman"/>
        <family val="1"/>
      </rPr>
      <t>(Indicate the amount in PhP)</t>
    </r>
  </si>
  <si>
    <r>
      <t xml:space="preserve">Number of </t>
    </r>
    <r>
      <rPr>
        <b/>
        <u/>
        <sz val="12"/>
        <rFont val="Times New Roman"/>
        <family val="1"/>
      </rPr>
      <t>hours</t>
    </r>
    <r>
      <rPr>
        <sz val="12"/>
        <rFont val="Times New Roman"/>
        <family val="1"/>
      </rPr>
      <t xml:space="preserve"> that the electricity is usually available in a day:</t>
    </r>
  </si>
  <si>
    <r>
      <t>2. Total Land Area</t>
    </r>
    <r>
      <rPr>
        <i/>
        <sz val="11"/>
        <rFont val="Times New Roman"/>
        <family val="1"/>
      </rPr>
      <t xml:space="preserve"> (in square meters)</t>
    </r>
    <r>
      <rPr>
        <sz val="12"/>
        <rFont val="Times New Roman"/>
        <family val="1"/>
      </rPr>
      <t xml:space="preserve">: </t>
    </r>
  </si>
  <si>
    <t xml:space="preserve">   a. Ownership in the name of:</t>
  </si>
  <si>
    <t>3. Mode of Acquisition of School Site:</t>
  </si>
  <si>
    <t>If Yes, what Document Type:</t>
  </si>
  <si>
    <t>6. Legal Ownership Issues :</t>
  </si>
  <si>
    <t>7. School Site within :</t>
  </si>
  <si>
    <t>(See continuation of definitions on the next page)</t>
  </si>
  <si>
    <t xml:space="preserve">Note: In case the school head does not have adequate information on the items listed above, the assistance of the Industrial Arts Teacher/Division Physical Facilities Coordinator/Division Project Engineer can be asked.        </t>
  </si>
  <si>
    <r>
      <t>Total Land Area</t>
    </r>
    <r>
      <rPr>
        <sz val="11"/>
        <rFont val="Times New Roman"/>
        <family val="1"/>
      </rPr>
      <t xml:space="preserve"> - refers to the size in square meters of all areas designated as land used for some particular purpose such as school building.</t>
    </r>
  </si>
  <si>
    <r>
      <t>Mode of Acquisition of School Site</t>
    </r>
    <r>
      <rPr>
        <sz val="11"/>
        <rFont val="Times New Roman"/>
        <family val="1"/>
      </rPr>
      <t xml:space="preserve"> - refers to the means of acquiring the school site.</t>
    </r>
  </si>
  <si>
    <r>
      <t>Donation</t>
    </r>
    <r>
      <rPr>
        <i/>
        <sz val="11"/>
        <rFont val="Times New Roman"/>
        <family val="1"/>
      </rPr>
      <t xml:space="preserve"> </t>
    </r>
    <r>
      <rPr>
        <sz val="11"/>
        <rFont val="Times New Roman"/>
        <family val="1"/>
      </rPr>
      <t>- includes the four (4) types of donation: .</t>
    </r>
  </si>
  <si>
    <r>
      <t>Simple Donation</t>
    </r>
    <r>
      <rPr>
        <sz val="11"/>
        <rFont val="Times New Roman"/>
        <family val="1"/>
      </rPr>
      <t xml:space="preserve"> - refers to a type of donation whereby a person, through an act of liberality disposes a piece of land in favor of the government.</t>
    </r>
  </si>
  <si>
    <r>
      <t>Conditional Donation</t>
    </r>
    <r>
      <rPr>
        <sz val="11"/>
        <rFont val="Times New Roman"/>
        <family val="1"/>
      </rPr>
      <t xml:space="preserve"> - refers to a type of donation which imposes a condition (e.g., "that the land shall be used only for education"). In such case, the property is reverted to the owner when the condition as stipulated in the donation is not met.</t>
    </r>
  </si>
  <si>
    <r>
      <t>Inter Vivos Donation</t>
    </r>
    <r>
      <rPr>
        <sz val="11"/>
        <rFont val="Times New Roman"/>
        <family val="1"/>
      </rPr>
      <t xml:space="preserve"> - refers to a type of donation that is in effect during the lifetime of the donor. </t>
    </r>
  </si>
  <si>
    <r>
      <t>Mortis Causa</t>
    </r>
    <r>
      <rPr>
        <sz val="11"/>
        <rFont val="Times New Roman"/>
        <family val="1"/>
      </rPr>
      <t xml:space="preserve"> - refers to a type of donation that takes effect only after the donor's death. Donations by mortis causa should conform to the formalities required of the last will.</t>
    </r>
  </si>
  <si>
    <r>
      <t>Purchase</t>
    </r>
    <r>
      <rPr>
        <sz val="11"/>
        <rFont val="Times New Roman"/>
        <family val="1"/>
      </rPr>
      <t xml:space="preserve"> - refers to a mode of acquisition of school sites by direct purchase from the legal owner who voluntarily sold it as evidenced by a Deed of Sale duly executed, notarized and registered with the Register of Deeds.</t>
    </r>
  </si>
  <si>
    <r>
      <t>Expropriation</t>
    </r>
    <r>
      <rPr>
        <sz val="11"/>
        <rFont val="Times New Roman"/>
        <family val="1"/>
      </rPr>
      <t xml:space="preserve"> - refers to a mode of acquisition of school sites by the government through the exercise its power of eminent domain (i.e. by taking private property for public use upon payment of just compensation).</t>
    </r>
  </si>
  <si>
    <r>
      <t>Exchange (Land Swapping)</t>
    </r>
    <r>
      <rPr>
        <sz val="11"/>
        <rFont val="Times New Roman"/>
        <family val="1"/>
      </rPr>
      <t xml:space="preserve"> - refers to a mode of acquisition of school sites by exchanging an existing school site for a new site for justifiable reasons as identified by law.</t>
    </r>
  </si>
  <si>
    <r>
      <t>Presidential Proclamation</t>
    </r>
    <r>
      <rPr>
        <sz val="11"/>
        <rFont val="Times New Roman"/>
        <family val="1"/>
      </rPr>
      <t xml:space="preserve"> - refers to a mode of acquisition of school sites by virtue of a declaration by the President under the procedures established by law.</t>
    </r>
  </si>
  <si>
    <r>
      <t>Within Ancestral Domain</t>
    </r>
    <r>
      <rPr>
        <sz val="11"/>
        <rFont val="Times New Roman"/>
        <family val="1"/>
      </rPr>
      <t xml:space="preserve"> - refers to all areas generally belonging to Indigenous Cultural Communities / Indigenous People (ICCs/IPs) comprising lands, inland waters, coastal areas, and natural resources therein, held under a claim of ownership, occupied or possessed by ICCs/IPs, communally or individually since time immemorial. It covers the total environment, including the spiritual and cultural bonds to the areas which the ICCs/IPs possess, occupy and use and to which they have claims of ownership.</t>
    </r>
  </si>
  <si>
    <r>
      <t>Within Ancestral Land</t>
    </r>
    <r>
      <rPr>
        <sz val="11"/>
        <rFont val="Times New Roman"/>
        <family val="1"/>
      </rPr>
      <t xml:space="preserve"> - refers to occupied land, possessed and utilized by individuals, families and clans who are members of the ICCs/IPs since time immemorial. Ancestral lands include residential lots, rice terraces or paddies, private forests, swidden farms and tree lots. These may be found within ancestral domains.</t>
    </r>
  </si>
  <si>
    <r>
      <t>Certificate of Ancestral Land Title (CALT)</t>
    </r>
    <r>
      <rPr>
        <sz val="11"/>
        <rFont val="Times New Roman"/>
        <family val="1"/>
      </rPr>
      <t xml:space="preserve"> - refers to a title formally recognizing the rights of ICCs/IPs over their ancestral lands.</t>
    </r>
  </si>
  <si>
    <r>
      <t>Adverse Claim</t>
    </r>
    <r>
      <rPr>
        <sz val="11"/>
        <rFont val="Times New Roman"/>
        <family val="1"/>
      </rPr>
      <t xml:space="preserve"> - refers to a written statement setting forth claim to the title or right to possession over a registered property, alleging how and under whom such alleged right was acquired.</t>
    </r>
  </si>
  <si>
    <r>
      <t>Encroachment</t>
    </r>
    <r>
      <rPr>
        <sz val="11"/>
        <rFont val="Times New Roman"/>
        <family val="1"/>
      </rPr>
      <t xml:space="preserve"> - refers to unlawful interference or gaining upon the land, property, other possessions, or the rights of another.</t>
    </r>
  </si>
  <si>
    <r>
      <t>With Illegal Settlers</t>
    </r>
    <r>
      <rPr>
        <sz val="11"/>
        <rFont val="Times New Roman"/>
        <family val="1"/>
      </rPr>
      <t xml:space="preserve"> - refers to groups of housing units illegally constructed on a land that the occupants have no legal claim.</t>
    </r>
  </si>
  <si>
    <r>
      <t>Protected Areas</t>
    </r>
    <r>
      <rPr>
        <sz val="11"/>
        <rFont val="Times New Roman"/>
        <family val="1"/>
      </rPr>
      <t xml:space="preserve"> – refers to identified portions of land and water set aside by reason of their unique physical and biological significance, managed to enhance biological diversity and protected against destructive human exploitation, such as National Parks, Natural Parks, Natural Monuments, Protected Landscape, Protected Seascape, Game Refuge and Bird Sanctuaries, Resource Reserves, Managed Resource Protected Areas, Marine Reserves, Watershed Forest Reserves, Natural Biotic Areas, Wildlife Sanctuaries, and Wilderness Areas.</t>
    </r>
  </si>
  <si>
    <r>
      <t>Timberland and Forestland</t>
    </r>
    <r>
      <rPr>
        <sz val="11"/>
        <rFont val="Times New Roman"/>
        <family val="1"/>
      </rPr>
      <t xml:space="preserve"> – refers to lands of the public domain which have been the subject of the present system of land classification and determined to be needed for forest purposes. Eventually, these lands will be proclaimed as forest reserves by the President.</t>
    </r>
  </si>
  <si>
    <r>
      <t xml:space="preserve">Location descriptions for your school: </t>
    </r>
    <r>
      <rPr>
        <b/>
        <i/>
        <sz val="12"/>
        <rFont val="Times New Roman"/>
        <family val="1"/>
      </rPr>
      <t>(Check all applicable)</t>
    </r>
  </si>
  <si>
    <t xml:space="preserve">     3. How many weighing scales does the school have?</t>
  </si>
  <si>
    <t xml:space="preserve">Others, (specify) </t>
  </si>
  <si>
    <t xml:space="preserve">     4. Which of the following tools does the school use for taking height?</t>
  </si>
  <si>
    <t xml:space="preserve">     5. How many first aid kits does the school have?</t>
  </si>
  <si>
    <t xml:space="preserve">     6. How many medical thermometers does the school have?</t>
  </si>
  <si>
    <t xml:space="preserve">     7. How many blood pressure apparatus does the school have?</t>
  </si>
  <si>
    <t xml:space="preserve">     8. How many school personnel has a training on basic life support and/or first aid?</t>
  </si>
  <si>
    <t>a tobacco (cigarette) smoker but not an ENDS/ENNDS (vape/e-cigarette) user?</t>
  </si>
  <si>
    <t>both a tobacco (cigarette) smoker and an ENDS/ENNDS (vape/e-cigarette) user?</t>
  </si>
  <si>
    <t>an ENDS/ENNDs (vape/e-cigarette) user but not a tobacco (cigarette) smoker?</t>
  </si>
  <si>
    <t>neither a tobacco (cigarette) smoker nor an ENDS/ENNDS (vape/e-cigarette) user?</t>
  </si>
  <si>
    <r>
      <t xml:space="preserve">Is the </t>
    </r>
    <r>
      <rPr>
        <b/>
        <i/>
        <sz val="12"/>
        <rFont val="Times New Roman"/>
        <family val="1"/>
      </rPr>
      <t>school head</t>
    </r>
    <r>
      <rPr>
        <sz val="12"/>
        <rFont val="Times New Roman"/>
        <family val="1"/>
      </rPr>
      <t xml:space="preserve"> ___ </t>
    </r>
    <r>
      <rPr>
        <i/>
        <sz val="12"/>
        <rFont val="Times New Roman"/>
        <family val="1"/>
      </rPr>
      <t>(Check only one)</t>
    </r>
  </si>
  <si>
    <t>2. How is the school implementing Solid Waste Management?</t>
  </si>
  <si>
    <t>3. Who are the school stakeholders actively engaged on the implementation of solid waste management?</t>
  </si>
  <si>
    <r>
      <t xml:space="preserve">1.1. Average Cost of Monthly Bills/Maintenance: </t>
    </r>
    <r>
      <rPr>
        <i/>
        <sz val="12"/>
        <rFont val="Times New Roman"/>
        <family val="1"/>
      </rPr>
      <t>(Indicate the amount in Php)</t>
    </r>
  </si>
  <si>
    <t>1.2. Who Pays for the Cost of Monthly Bills/Maintenance?</t>
  </si>
  <si>
    <r>
      <t xml:space="preserve">Number of reported incidents of </t>
    </r>
    <r>
      <rPr>
        <i/>
        <sz val="12"/>
        <rFont val="Times New Roman"/>
        <family val="1"/>
      </rPr>
      <t>violence against children committed in schools</t>
    </r>
    <r>
      <rPr>
        <sz val="12"/>
        <rFont val="Times New Roman"/>
        <family val="1"/>
      </rPr>
      <t xml:space="preserve"> by type of violence:</t>
    </r>
  </si>
  <si>
    <t xml:space="preserve"> Physical Violence</t>
  </si>
  <si>
    <t xml:space="preserve"> Sexual Violence</t>
  </si>
  <si>
    <t xml:space="preserve"> Psychological Violence</t>
  </si>
  <si>
    <t xml:space="preserve"> Other Acts of Violence</t>
  </si>
  <si>
    <r>
      <t xml:space="preserve">Violence Against Children </t>
    </r>
    <r>
      <rPr>
        <sz val="12"/>
        <rFont val="Times New Roman"/>
        <family val="1"/>
      </rPr>
      <t>- refers to a single act or series of acts committed by school administrators, academic, and non-academic personnel against a child (DO 40 s.2012)</t>
    </r>
    <r>
      <rPr>
        <b/>
        <i/>
        <sz val="12"/>
        <rFont val="Times New Roman"/>
        <family val="1"/>
      </rPr>
      <t>.</t>
    </r>
  </si>
  <si>
    <r>
      <t>Incidents recorded</t>
    </r>
    <r>
      <rPr>
        <sz val="12"/>
        <rFont val="Times New Roman"/>
        <family val="1"/>
      </rPr>
      <t xml:space="preserve"> - refers to incidence of violence reported to the school regardless of criminal or admin case filed</t>
    </r>
    <r>
      <rPr>
        <b/>
        <i/>
        <sz val="12"/>
        <rFont val="Times New Roman"/>
        <family val="1"/>
      </rPr>
      <t>.</t>
    </r>
  </si>
  <si>
    <r>
      <t>Perpetrator</t>
    </r>
    <r>
      <rPr>
        <sz val="12"/>
        <rFont val="Times New Roman"/>
        <family val="1"/>
      </rPr>
      <t xml:space="preserve"> - refers to an adult, including any school personnel, teaching or non-teaching.</t>
    </r>
  </si>
  <si>
    <r>
      <t>Other Acts of Violence</t>
    </r>
    <r>
      <rPr>
        <sz val="12"/>
        <rFont val="Times New Roman"/>
        <family val="1"/>
      </rPr>
      <t xml:space="preserve"> - refers to physical, sexual, or psychological nature that are prejudicial to the child (DO 40 s.2012)</t>
    </r>
    <r>
      <rPr>
        <b/>
        <i/>
        <sz val="12"/>
        <rFont val="Times New Roman"/>
        <family val="1"/>
      </rPr>
      <t>.</t>
    </r>
  </si>
  <si>
    <t xml:space="preserve">   Grade 11</t>
  </si>
  <si>
    <t xml:space="preserve">   Grade 12</t>
  </si>
  <si>
    <r>
      <t xml:space="preserve">Number of reported incidents of </t>
    </r>
    <r>
      <rPr>
        <i/>
        <sz val="12"/>
        <rFont val="Times New Roman"/>
        <family val="1"/>
      </rPr>
      <t>bullying or peer abuse</t>
    </r>
    <r>
      <rPr>
        <sz val="12"/>
        <rFont val="Times New Roman"/>
        <family val="1"/>
      </rPr>
      <t xml:space="preserve"> by type of violence:</t>
    </r>
  </si>
  <si>
    <t xml:space="preserve"> Physical Bullying</t>
  </si>
  <si>
    <t xml:space="preserve"> Cyber Bullying</t>
  </si>
  <si>
    <t xml:space="preserve"> Gender-based Bullying</t>
  </si>
  <si>
    <t xml:space="preserve"> Social Bullying</t>
  </si>
  <si>
    <t xml:space="preserve"> Physical appearance</t>
  </si>
  <si>
    <t xml:space="preserve"> Status in life (e.g. poor)</t>
  </si>
  <si>
    <t xml:space="preserve"> Skin colour</t>
  </si>
  <si>
    <t xml:space="preserve"> Age (young or old)</t>
  </si>
  <si>
    <t xml:space="preserve"> Gender</t>
  </si>
  <si>
    <t xml:space="preserve"> Race or ethnicity</t>
  </si>
  <si>
    <t xml:space="preserve"> Religion</t>
  </si>
  <si>
    <t xml:space="preserve"> Disability</t>
  </si>
  <si>
    <r>
      <t>Bullying or peer abuse</t>
    </r>
    <r>
      <rPr>
        <sz val="12"/>
        <rFont val="Times New Roman"/>
        <family val="1"/>
      </rPr>
      <t xml:space="preserve"> - refers to any severe, or repeated use by one or more students of a written, verbal or electronic expression, or a physical act or gesture, or any combination thereof, directed at another student (DO 55 s.2013).</t>
    </r>
  </si>
  <si>
    <r>
      <t>Incidents recorded</t>
    </r>
    <r>
      <rPr>
        <sz val="12"/>
        <rFont val="Times New Roman"/>
        <family val="1"/>
      </rPr>
      <t xml:space="preserve"> - refers to incidence of bullying reported to the school regardless of criminal or admin case filed.</t>
    </r>
  </si>
  <si>
    <r>
      <t>Physical Bullying</t>
    </r>
    <r>
      <rPr>
        <sz val="12"/>
        <rFont val="Times New Roman"/>
        <family val="1"/>
      </rPr>
      <t xml:space="preserve"> - refers to any unwanted physical contact between the bully and the victim.</t>
    </r>
  </si>
  <si>
    <r>
      <t>Cyber Bullying</t>
    </r>
    <r>
      <rPr>
        <sz val="12"/>
        <rFont val="Times New Roman"/>
        <family val="1"/>
      </rPr>
      <t xml:space="preserve"> - refers to any bullying done through using technology or any electronic means (e.g instant messaging, social media, etc).</t>
    </r>
  </si>
  <si>
    <r>
      <t>Gender-based Bullying</t>
    </r>
    <r>
      <rPr>
        <sz val="12"/>
        <rFont val="Times New Roman"/>
        <family val="1"/>
      </rPr>
      <t xml:space="preserve"> - refers to any act that humiliates or excludes a person on the basis of perceived or actual sexual orientation and gender identity.</t>
    </r>
  </si>
  <si>
    <r>
      <t xml:space="preserve">Social Bullying </t>
    </r>
    <r>
      <rPr>
        <sz val="12"/>
        <rFont val="Times New Roman"/>
        <family val="1"/>
      </rPr>
      <t>- refers to any social behaviour intended hurt others or to belittle another individual (e.g verbal, social exclusion).</t>
    </r>
  </si>
  <si>
    <r>
      <t xml:space="preserve">Sports events </t>
    </r>
    <r>
      <rPr>
        <b/>
        <sz val="12"/>
        <rFont val="Times New Roman"/>
        <family val="1"/>
      </rPr>
      <t>-</t>
    </r>
    <r>
      <rPr>
        <sz val="12"/>
        <rFont val="Times New Roman"/>
        <family val="1"/>
      </rPr>
      <t xml:space="preserve"> current sports events being offered by the school.</t>
    </r>
  </si>
  <si>
    <r>
      <t xml:space="preserve">Sports clubs </t>
    </r>
    <r>
      <rPr>
        <b/>
        <sz val="12"/>
        <rFont val="Times New Roman"/>
        <family val="1"/>
      </rPr>
      <t>-</t>
    </r>
    <r>
      <rPr>
        <sz val="12"/>
        <rFont val="Times New Roman"/>
        <family val="1"/>
      </rPr>
      <t xml:space="preserve"> current sports clubs being offered by the school.</t>
    </r>
  </si>
  <si>
    <r>
      <t>Sports facilities</t>
    </r>
    <r>
      <rPr>
        <sz val="12"/>
        <rFont val="Times New Roman"/>
        <family val="1"/>
      </rPr>
      <t xml:space="preserve"> - current venues being used for sports events.</t>
    </r>
  </si>
  <si>
    <r>
      <t xml:space="preserve">Women Artistic Gymnastics </t>
    </r>
    <r>
      <rPr>
        <sz val="12"/>
        <rFont val="Times New Roman"/>
        <family val="1"/>
      </rPr>
      <t>(</t>
    </r>
    <r>
      <rPr>
        <sz val="13"/>
        <rFont val="Times New Roman"/>
        <family val="1"/>
      </rPr>
      <t>WAG</t>
    </r>
    <r>
      <rPr>
        <sz val="12"/>
        <rFont val="Times New Roman"/>
        <family val="1"/>
      </rPr>
      <t>)</t>
    </r>
  </si>
  <si>
    <r>
      <rPr>
        <b/>
        <i/>
        <sz val="12"/>
        <rFont val="Times New Roman"/>
        <family val="1"/>
      </rPr>
      <t>Coaches</t>
    </r>
    <r>
      <rPr>
        <sz val="12"/>
        <rFont val="Times New Roman"/>
        <family val="1"/>
      </rPr>
      <t xml:space="preserve"> - identified personnel (DepEd funded) who is qualified/currently handling the identified sporting event.</t>
    </r>
  </si>
  <si>
    <r>
      <rPr>
        <b/>
        <i/>
        <sz val="12"/>
        <rFont val="Times New Roman"/>
        <family val="1"/>
      </rPr>
      <t>Officiating Officials</t>
    </r>
    <r>
      <rPr>
        <sz val="12"/>
        <rFont val="Times New Roman"/>
        <family val="1"/>
      </rPr>
      <t xml:space="preserve"> - identified personnel (DepEd funded) who is qualified/can handle officiating the identified sporting event.</t>
    </r>
  </si>
  <si>
    <r>
      <rPr>
        <b/>
        <i/>
        <sz val="12"/>
        <rFont val="Times New Roman"/>
        <family val="1"/>
      </rPr>
      <t>PE teachers</t>
    </r>
    <r>
      <rPr>
        <sz val="12"/>
        <rFont val="Times New Roman"/>
        <family val="1"/>
      </rPr>
      <t xml:space="preserve"> - identified BSPE personnel (DepEd funded) and their sports specialization.</t>
    </r>
  </si>
  <si>
    <r>
      <rPr>
        <b/>
        <i/>
        <sz val="12"/>
        <rFont val="Times New Roman"/>
        <family val="1"/>
      </rPr>
      <t>Non PE teachers</t>
    </r>
    <r>
      <rPr>
        <sz val="12"/>
        <rFont val="Times New Roman"/>
        <family val="1"/>
      </rPr>
      <t xml:space="preserve"> - identified personnel teaching academics (DepEd funded) and their sports specialization.</t>
    </r>
  </si>
  <si>
    <r>
      <rPr>
        <b/>
        <i/>
        <sz val="12"/>
        <rFont val="Times New Roman"/>
        <family val="1"/>
      </rPr>
      <t>Non-teaching personnel</t>
    </r>
    <r>
      <rPr>
        <sz val="12"/>
        <rFont val="Times New Roman"/>
        <family val="1"/>
      </rPr>
      <t xml:space="preserve"> - identified non academic personnel (DepEd funded) and their sports specialization.</t>
    </r>
  </si>
  <si>
    <t>Reminder: PE teacher/s, Non PE teacher/s and Non-teaching personnel may identify multiple sporting events.</t>
  </si>
  <si>
    <t>(See definitions on the next page)</t>
  </si>
  <si>
    <t>Number of Teachers Reached by Adolescent Reproductive Health Trainings/Activities</t>
  </si>
  <si>
    <r>
      <rPr>
        <b/>
        <i/>
        <sz val="12"/>
        <rFont val="Times New Roman"/>
        <family val="1"/>
      </rPr>
      <t>Disaster -</t>
    </r>
    <r>
      <rPr>
        <sz val="12"/>
        <rFont val="Times New Roman"/>
        <family val="1"/>
      </rPr>
      <t xml:space="preserve"> A serious disruption of the functioning of a community or a society involving widespread human, material, economic or environmental losses and impacts, which exceeds  the ability of the affected community or society to cope using its own resources. 
</t>
    </r>
    <r>
      <rPr>
        <b/>
        <sz val="12"/>
        <rFont val="Times New Roman"/>
        <family val="1"/>
      </rPr>
      <t>Source of Definition: UNISDR Terminologies. https://www.unisdr.org/files/7817_UNISDRTerminologyEnglish.pdf</t>
    </r>
  </si>
  <si>
    <r>
      <rPr>
        <b/>
        <i/>
        <sz val="12"/>
        <rFont val="Times New Roman"/>
        <family val="1"/>
      </rPr>
      <t>Crime against learners / personnel -</t>
    </r>
    <r>
      <rPr>
        <i/>
        <sz val="12"/>
        <rFont val="Times New Roman"/>
        <family val="1"/>
      </rPr>
      <t xml:space="preserve"> </t>
    </r>
    <r>
      <rPr>
        <sz val="12"/>
        <rFont val="Times New Roman"/>
        <family val="1"/>
      </rPr>
      <t xml:space="preserve">Murder / Homicide, Physical Injuries, etc.
</t>
    </r>
    <r>
      <rPr>
        <b/>
        <sz val="12"/>
        <rFont val="Times New Roman"/>
        <family val="1"/>
      </rPr>
      <t>Source of Definition</t>
    </r>
    <r>
      <rPr>
        <sz val="12"/>
        <rFont val="Times New Roman"/>
        <family val="1"/>
      </rPr>
      <t>:</t>
    </r>
    <r>
      <rPr>
        <b/>
        <sz val="12"/>
        <rFont val="Times New Roman"/>
        <family val="1"/>
      </rPr>
      <t>DO No. 23, s. 2014. http://www.deped.gov.ph/wp-content/uploads/2014/04/DO_s2014_023.pdf</t>
    </r>
  </si>
  <si>
    <r>
      <rPr>
        <b/>
        <i/>
        <sz val="12"/>
        <rFont val="Times New Roman"/>
        <family val="1"/>
      </rPr>
      <t>Crime against school property</t>
    </r>
    <r>
      <rPr>
        <i/>
        <sz val="12"/>
        <rFont val="Times New Roman"/>
        <family val="1"/>
      </rPr>
      <t xml:space="preserve"> -</t>
    </r>
    <r>
      <rPr>
        <sz val="12"/>
        <rFont val="Times New Roman"/>
        <family val="1"/>
      </rPr>
      <t xml:space="preserve"> Theft, Robbery, Arson, etc.
</t>
    </r>
    <r>
      <rPr>
        <b/>
        <sz val="12"/>
        <rFont val="Times New Roman"/>
        <family val="1"/>
      </rPr>
      <t>Source of Definition: DO No. 23, s. 2014. http://www.deped.gov.ph/wp-content/uploads/2014/04/DO_s2014_023.pdf</t>
    </r>
  </si>
  <si>
    <r>
      <rPr>
        <b/>
        <i/>
        <sz val="12"/>
        <rFont val="Times New Roman"/>
        <family val="1"/>
      </rPr>
      <t>Earthquake -</t>
    </r>
    <r>
      <rPr>
        <sz val="12"/>
        <rFont val="Times New Roman"/>
        <family val="1"/>
      </rPr>
      <t xml:space="preserve"> A weak to violent shaking of the ground produced by the sudden movement of rock materials below the earth’s surface that originate from the tectonic plate boundary. Tectonic earthquakes are produced by sudden movement along faults and plate boundaries. Earthquakes induced by rising lava or magma beneath active volcanoes is called volcanic earthquakes.
</t>
    </r>
    <r>
      <rPr>
        <b/>
        <sz val="12"/>
        <rFont val="Times New Roman"/>
        <family val="1"/>
      </rPr>
      <t>Source of Definition:DOST-PHIVOLCS: Introduction to Earthquake. https://www.phivolcs.dost.gov.ph/index.php/earthquake/introduction-to-earthquake</t>
    </r>
  </si>
  <si>
    <r>
      <rPr>
        <b/>
        <i/>
        <sz val="12"/>
        <rFont val="Times New Roman"/>
        <family val="1"/>
      </rPr>
      <t>Flood</t>
    </r>
    <r>
      <rPr>
        <i/>
        <sz val="12"/>
        <rFont val="Times New Roman"/>
        <family val="1"/>
      </rPr>
      <t xml:space="preserve"> - </t>
    </r>
    <r>
      <rPr>
        <sz val="12"/>
        <rFont val="Times New Roman"/>
        <family val="1"/>
      </rPr>
      <t xml:space="preserve">A progressive abnormal increase in the elevation of the surface level of streamflow until it reaches a maximum height from which the level slowly drops to what is its normal level. The sequence described all takes place within a certain period of time.
</t>
    </r>
    <r>
      <rPr>
        <b/>
        <sz val="12"/>
        <rFont val="Times New Roman"/>
        <family val="1"/>
      </rPr>
      <t>Source of Definition:DOST-PAGASA Learning Tools: Floods. bagong.pagasa.dost.gov.ph/learning-tools/floods</t>
    </r>
  </si>
  <si>
    <r>
      <rPr>
        <b/>
        <i/>
        <sz val="12"/>
        <rFont val="Times New Roman"/>
        <family val="1"/>
      </rPr>
      <t xml:space="preserve">Landslide </t>
    </r>
    <r>
      <rPr>
        <i/>
        <sz val="12"/>
        <rFont val="Times New Roman"/>
        <family val="1"/>
      </rPr>
      <t xml:space="preserve">- </t>
    </r>
    <r>
      <rPr>
        <sz val="12"/>
        <rFont val="Times New Roman"/>
        <family val="1"/>
      </rPr>
      <t xml:space="preserve">A mass movement of rock, soil, and debris down a slope due to gravity. It occurs when the driving force is greater than the resisting force. It is a natural process that occurs in steep slopes. The movement may range from very slow to rapid. It can affect areas both near and far from the source.
</t>
    </r>
    <r>
      <rPr>
        <b/>
        <sz val="12"/>
        <rFont val="Times New Roman"/>
        <family val="1"/>
      </rPr>
      <t>Source of Definition: DOST-PHIVOLCS: Introduction to Landslide. https://www.phivolcs.dost.gov.ph/index.php/landslide/introduction-to-landslide</t>
    </r>
  </si>
  <si>
    <r>
      <rPr>
        <b/>
        <i/>
        <sz val="12"/>
        <rFont val="Times New Roman"/>
        <family val="1"/>
      </rPr>
      <t>Storm Surge</t>
    </r>
    <r>
      <rPr>
        <i/>
        <sz val="12"/>
        <rFont val="Times New Roman"/>
        <family val="1"/>
      </rPr>
      <t xml:space="preserve"> - </t>
    </r>
    <r>
      <rPr>
        <sz val="12"/>
        <rFont val="Times New Roman"/>
        <family val="1"/>
      </rPr>
      <t xml:space="preserve">An abnormal increase in water level in seashores when a storm nears coastal lines caused by strong winds brought by low pressure at the eye wall.
</t>
    </r>
    <r>
      <rPr>
        <b/>
        <sz val="12"/>
        <rFont val="Times New Roman"/>
        <family val="1"/>
      </rPr>
      <t>Source of Definition: DOST-PAGASA Learning Tools: Meteorological Terms, Storm Surge. http://bagong.pagasa.dost.gov.ph/learning-tools/meteorological-terms</t>
    </r>
  </si>
  <si>
    <r>
      <rPr>
        <b/>
        <i/>
        <sz val="12"/>
        <rFont val="Times New Roman"/>
        <family val="1"/>
      </rPr>
      <t xml:space="preserve">Tsunami </t>
    </r>
    <r>
      <rPr>
        <i/>
        <sz val="12"/>
        <rFont val="Times New Roman"/>
        <family val="1"/>
      </rPr>
      <t xml:space="preserve">- </t>
    </r>
    <r>
      <rPr>
        <sz val="12"/>
        <rFont val="Times New Roman"/>
        <family val="1"/>
      </rPr>
      <t xml:space="preserve">An ocean wave produced by a submarine earthquake, landslide, or volcanic eruption that may reach enormous dimensions and have sufficient energy to travel across entire oceans.
</t>
    </r>
    <r>
      <rPr>
        <b/>
        <sz val="12"/>
        <rFont val="Times New Roman"/>
        <family val="1"/>
      </rPr>
      <t>Source of Definition: DOST-PAGASA Learning Tools: Meteorological Terms, Tsunami. http://bagong.pagasa.dost.gov.ph/learning-tools/meteorological-terms</t>
    </r>
  </si>
  <si>
    <r>
      <rPr>
        <b/>
        <i/>
        <sz val="12"/>
        <rFont val="Times New Roman"/>
        <family val="1"/>
      </rPr>
      <t xml:space="preserve">Volcanic Eruption </t>
    </r>
    <r>
      <rPr>
        <i/>
        <sz val="12"/>
        <rFont val="Times New Roman"/>
        <family val="1"/>
      </rPr>
      <t>-</t>
    </r>
    <r>
      <rPr>
        <sz val="12"/>
        <rFont val="Times New Roman"/>
        <family val="1"/>
      </rPr>
      <t xml:space="preserve"> The transport of magma or gases to the Earth's surface, which can be accompanied with tremors and eruptions; and the interaction of magma and water underneath the Earth's surface which can result in phreatic eruptions
</t>
    </r>
    <r>
      <rPr>
        <b/>
        <sz val="12"/>
        <rFont val="Times New Roman"/>
        <family val="1"/>
      </rPr>
      <t>Source of Definition: DOST PHIVOLCS: Introduction to Volcanoes. https://www.phivolcs.dost.gov.ph/index.php/volcano-hazard/introduction-to-volcanoes</t>
    </r>
  </si>
  <si>
    <t>(Grades 11 to 12)</t>
  </si>
  <si>
    <r>
      <t>Cancer patients</t>
    </r>
    <r>
      <rPr>
        <sz val="12"/>
        <rFont val="Times New Roman"/>
        <family val="1"/>
      </rPr>
      <t xml:space="preserve"> - are those with symptomatic and/or under definitive or palliative treatment.</t>
    </r>
  </si>
  <si>
    <r>
      <t xml:space="preserve">Living with cancer </t>
    </r>
    <r>
      <rPr>
        <sz val="12"/>
        <rFont val="Times New Roman"/>
        <family val="1"/>
      </rPr>
      <t>- are those with microscopic or residual disease, asymptomatic, or with supportive treatment subclinical symptoms on maintenance or supportive treatment.</t>
    </r>
  </si>
  <si>
    <r>
      <t>Cancer survivors</t>
    </r>
    <r>
      <rPr>
        <sz val="12"/>
        <rFont val="Times New Roman"/>
        <family val="1"/>
      </rPr>
      <t xml:space="preserve"> - are those who have completed all of their anti-cancer therapy and presently show no signs of disease.
 </t>
    </r>
  </si>
  <si>
    <t>2. Which of the following components are part of the school's preventive drug education program?</t>
  </si>
  <si>
    <r>
      <t xml:space="preserve">5. Does the school have an established chapter of </t>
    </r>
    <r>
      <rPr>
        <i/>
        <sz val="12"/>
        <rFont val="Times New Roman"/>
        <family val="1"/>
      </rPr>
      <t>Barkada Kontra Droga</t>
    </r>
    <r>
      <rPr>
        <sz val="12"/>
        <rFont val="Times New Roman"/>
        <family val="1"/>
      </rPr>
      <t>?</t>
    </r>
  </si>
  <si>
    <t>Academic - ABM</t>
  </si>
  <si>
    <t>Academic - GAS</t>
  </si>
  <si>
    <t>Academic - HUMSS</t>
  </si>
  <si>
    <t>Academic - STEM</t>
  </si>
  <si>
    <t>Arts and Design</t>
  </si>
  <si>
    <t>Sports</t>
  </si>
  <si>
    <t>TVL-Agri Fishery Arts</t>
  </si>
  <si>
    <t>TVL-Home Economics</t>
  </si>
  <si>
    <t>TVL-ICT</t>
  </si>
  <si>
    <t>Types of Bullying</t>
  </si>
  <si>
    <t>Types of Violence</t>
  </si>
  <si>
    <r>
      <rPr>
        <b/>
        <i/>
        <sz val="11"/>
        <rFont val="Times New Roman"/>
        <family val="1"/>
      </rPr>
      <t>Music</t>
    </r>
    <r>
      <rPr>
        <sz val="11"/>
        <rFont val="Times New Roman"/>
        <family val="1"/>
      </rPr>
      <t xml:space="preserve"> - a specialization in the SHS Arts and Design Track where learner demonstrates an appreciation and understanding of the concepts and principles of Music leading to careers such as singer,  Voice Actor, Music Teacher, Music Composer, Amateur/Professional Musician and Sound Designer.</t>
    </r>
  </si>
  <si>
    <r>
      <t xml:space="preserve">
1. Assistive Technology Device </t>
    </r>
    <r>
      <rPr>
        <sz val="12"/>
        <rFont val="Times New Roman"/>
        <family val="1"/>
      </rPr>
      <t xml:space="preserve">- refers to any device that helps someone do something that might not otherwise be able to do well or at all. Generally, the term is used for devices that help people overcome a handicap such as a mobility, vision, mental, dexterity or hearing loss.
</t>
    </r>
  </si>
  <si>
    <t xml:space="preserve"> Others</t>
  </si>
  <si>
    <r>
      <t xml:space="preserve">Did the school conduct trainings or extra-curricular activities for </t>
    </r>
    <r>
      <rPr>
        <b/>
        <i/>
        <sz val="12"/>
        <rFont val="Times New Roman"/>
        <family val="1"/>
      </rPr>
      <t>learners</t>
    </r>
    <r>
      <rPr>
        <sz val="12"/>
        <rFont val="Times New Roman"/>
        <family val="1"/>
      </rPr>
      <t xml:space="preserve"> related to any of the topics below?</t>
    </r>
  </si>
  <si>
    <t>If Yes, indicate the number of learners who participated in the activities that covered each of the following topics.</t>
  </si>
  <si>
    <t>Addressing
the Problem of Bullying</t>
  </si>
  <si>
    <t>Mental Health and Psychosocial Issues and Conditions including Depression</t>
  </si>
  <si>
    <t>Suicide
Prevention</t>
  </si>
  <si>
    <t>Psychological
First Aid</t>
  </si>
  <si>
    <t>Other Topics</t>
  </si>
  <si>
    <r>
      <t xml:space="preserve">Did the school conduct trainings or extra-curricular activities for </t>
    </r>
    <r>
      <rPr>
        <b/>
        <i/>
        <sz val="12"/>
        <rFont val="Times New Roman"/>
        <family val="1"/>
      </rPr>
      <t>teachers</t>
    </r>
    <r>
      <rPr>
        <sz val="12"/>
        <rFont val="Times New Roman"/>
        <family val="1"/>
      </rPr>
      <t xml:space="preserve"> related to any of the topics below?</t>
    </r>
  </si>
  <si>
    <t>If Yes, indicate the number of teachers who participated in the activities that covered each of the following topics.</t>
  </si>
  <si>
    <t>Reminder:   1. Totals in column 12 shall tally with entries in column 2.</t>
  </si>
  <si>
    <t>Learners with Cancer</t>
  </si>
  <si>
    <t>Cancer Patients
(Symptomatic)</t>
  </si>
  <si>
    <t>Living with Cancer
(Asymptomatic)</t>
  </si>
  <si>
    <t>Number of School Personnel</t>
  </si>
  <si>
    <t>School Personnel with Cancer</t>
  </si>
  <si>
    <t>Date Established (Year)</t>
  </si>
  <si>
    <t>Tablet PC</t>
  </si>
  <si>
    <t>Notebook</t>
  </si>
  <si>
    <r>
      <rPr>
        <b/>
        <i/>
        <sz val="11"/>
        <rFont val="Times New Roman"/>
        <family val="1"/>
      </rPr>
      <t>e. Desktop Virtual Terminal</t>
    </r>
    <r>
      <rPr>
        <sz val="11"/>
        <rFont val="Times New Roman"/>
        <family val="1"/>
      </rPr>
      <t xml:space="preserve"> - refers to a computer terminal consisting of  monitor, keyboard and mouse connected to a terminal device that connects to a computer host.</t>
    </r>
  </si>
  <si>
    <t>Lapel</t>
  </si>
  <si>
    <t>SMART</t>
  </si>
  <si>
    <t>GLOBE</t>
  </si>
  <si>
    <t>SUN</t>
  </si>
  <si>
    <t>Signal Capacity</t>
  </si>
  <si>
    <t>a. SMART</t>
  </si>
  <si>
    <t>d. SUN</t>
  </si>
  <si>
    <t>g. TOUCH MOBILE</t>
  </si>
  <si>
    <t>b. GLOBE</t>
  </si>
  <si>
    <t>c. TALK n TEXT</t>
  </si>
  <si>
    <t>f. RED MOBILE</t>
  </si>
  <si>
    <t>Types of Printer / Photocopier</t>
  </si>
  <si>
    <t>Brand / Model</t>
  </si>
  <si>
    <t>Purpose</t>
  </si>
  <si>
    <t>Name of Station</t>
  </si>
  <si>
    <t>Owner</t>
  </si>
  <si>
    <t>Contact Details of Partner/s</t>
  </si>
  <si>
    <t>Telephone / Cellphone Number</t>
  </si>
  <si>
    <t>E-mail Address</t>
  </si>
  <si>
    <t>Frequency</t>
  </si>
  <si>
    <t>NTC License Number</t>
  </si>
  <si>
    <t>Types of Radio</t>
  </si>
  <si>
    <t>Q1</t>
  </si>
  <si>
    <t>Q2</t>
  </si>
  <si>
    <t>Q3</t>
  </si>
  <si>
    <t>Q4</t>
  </si>
  <si>
    <t xml:space="preserve">A. Number of Teachers Using DepEd TV as part of Delivering Instruction and Include in the Daily Learning Plan </t>
  </si>
  <si>
    <t>Frequent</t>
  </si>
  <si>
    <t>Seldom</t>
  </si>
  <si>
    <t>Never</t>
  </si>
  <si>
    <t>Broadcast TV (Live)</t>
  </si>
  <si>
    <t>DepEd YouTube Channel</t>
  </si>
  <si>
    <t>Facebook (Live)</t>
  </si>
  <si>
    <t>Downloaded Version</t>
  </si>
  <si>
    <t>Core Subjects</t>
  </si>
  <si>
    <t>Applied Subjects</t>
  </si>
  <si>
    <t>STEM</t>
  </si>
  <si>
    <t>ABM</t>
  </si>
  <si>
    <t>Sports Track</t>
  </si>
  <si>
    <r>
      <t>Contract of Usufruct</t>
    </r>
    <r>
      <rPr>
        <sz val="11"/>
        <rFont val="Times New Roman"/>
        <family val="1"/>
      </rPr>
      <t xml:space="preserve"> - refers to a document which stipulates that DepEd/school is allowed of full use or perpetual right of use of property without consideration as long as the property is used solely for educational or designated purposes.</t>
    </r>
  </si>
  <si>
    <t>temporarily occupy, manage and develop in consideration of a government share, any forestland of the public domain for specific use for a period of 25 years.</t>
  </si>
  <si>
    <t>n.</t>
  </si>
  <si>
    <t>SPECIALIZATION</t>
  </si>
  <si>
    <t>Attractions and Theme Parks Operations with Ecotourism (NC II)</t>
  </si>
  <si>
    <t>Barbering (NC II)</t>
  </si>
  <si>
    <t>Bartending (NC II)</t>
  </si>
  <si>
    <t>Beauty/Nail Care (NC II)</t>
  </si>
  <si>
    <t>Bread and Pastry Production (NC II)</t>
  </si>
  <si>
    <t>Caregiving (NC II)</t>
  </si>
  <si>
    <t>Commercial Cooking (NC III)</t>
  </si>
  <si>
    <t>Cookery (NC II)</t>
  </si>
  <si>
    <t>Dressmaking (NC II)</t>
  </si>
  <si>
    <t>Events Management Services (NC III)</t>
  </si>
  <si>
    <t>Fashion Design (Apparel) (NC III)</t>
  </si>
  <si>
    <t>Food and Beverage Services (NC II)</t>
  </si>
  <si>
    <t>Front Office Services (NC II)</t>
  </si>
  <si>
    <t>Hairdressing (NC II)</t>
  </si>
  <si>
    <t xml:space="preserve">Hairdressing (NC III) </t>
  </si>
  <si>
    <t>Handicraft (Basketry, Macrame) (Non-NC)</t>
  </si>
  <si>
    <t>Handicraft (Fashion Accessories, Paper Craft) (Non-NC)</t>
  </si>
  <si>
    <t>Handicraft (Needlecraft) (Non-NC)</t>
  </si>
  <si>
    <t>Handicraft (Woodcraft, Leathercraft) (Non-NC)</t>
  </si>
  <si>
    <t xml:space="preserve">Housekeeping (NC II) </t>
  </si>
  <si>
    <t>Local Guiding Services (NC II)</t>
  </si>
  <si>
    <t>Tailoring (NC II)</t>
  </si>
  <si>
    <t>Tourism Promotion Services (NC II)</t>
  </si>
  <si>
    <t>Travel Services (NC II)</t>
  </si>
  <si>
    <t>Wellness Massage (NC II)</t>
  </si>
  <si>
    <t>Agricultural Crops Production (NC I)</t>
  </si>
  <si>
    <t>Agricultural Crops Production (NC II)</t>
  </si>
  <si>
    <t xml:space="preserve">Agricultural Crops Production (NC III) </t>
  </si>
  <si>
    <t xml:space="preserve">Animal Health Care Management (NC III) </t>
  </si>
  <si>
    <t>Animal Production (Poultry-Chicken) (NC II)</t>
  </si>
  <si>
    <t xml:space="preserve">Animal Production (Large Ruminants) (NC II) </t>
  </si>
  <si>
    <t xml:space="preserve">Animal Production (Swine) (NC II) </t>
  </si>
  <si>
    <t>Aquaculture (NC II)</t>
  </si>
  <si>
    <t>Artificial Insemination (Large Ruminants) (NC II)</t>
  </si>
  <si>
    <t xml:space="preserve">Artificial Insemination (Swine) (NC II) </t>
  </si>
  <si>
    <t>Fish Capture (NC II)</t>
  </si>
  <si>
    <t>Fishing Gear Repair and Maintenance (NC III)</t>
  </si>
  <si>
    <t>Fish-Products Packaging (NC II)</t>
  </si>
  <si>
    <t>Fish Wharf Operation (NC I)</t>
  </si>
  <si>
    <t>Food Processing (NC II)</t>
  </si>
  <si>
    <t xml:space="preserve">Horticulture (NC III) </t>
  </si>
  <si>
    <t>Landscape Installation and Maintenance (NC II)</t>
  </si>
  <si>
    <t>Organic Agriculture (NC II)</t>
  </si>
  <si>
    <t>Pest Management (NC II)</t>
  </si>
  <si>
    <t>Rice Machinery Operations (NC II)</t>
  </si>
  <si>
    <t>Rubber Processing (NC II)</t>
  </si>
  <si>
    <t>Rubber Production (NC II)</t>
  </si>
  <si>
    <t>Slaughtering Operations (Hog/Swine/Pig) (NC II)</t>
  </si>
  <si>
    <t>Reminder:  A learner can be counted more than once.</t>
  </si>
  <si>
    <t>School Head :</t>
  </si>
  <si>
    <t>Industrial Arts  (IA)</t>
  </si>
  <si>
    <t>Automotive Servicing (NC I)</t>
  </si>
  <si>
    <t>Automotive Servicing (NC II)</t>
  </si>
  <si>
    <t>Carpentry (NC II)</t>
  </si>
  <si>
    <t xml:space="preserve">Carpentry (NC III) </t>
  </si>
  <si>
    <t>Construction Painting (NC II)</t>
  </si>
  <si>
    <t>Domestic Refrigeration and Air-Conditioning (DOMRAC)
Servicing (NC II)</t>
  </si>
  <si>
    <t>Driving (NC II)</t>
  </si>
  <si>
    <t>Electrical Installation and Maintenance (NC II)</t>
  </si>
  <si>
    <t>Electric Power Distribution Line Construction (NC II)</t>
  </si>
  <si>
    <t xml:space="preserve">Electronic Products Assembly and Servicing (EPAS) (NC II) </t>
  </si>
  <si>
    <t>Furniture Making (Finishing) (NC II)</t>
  </si>
  <si>
    <t xml:space="preserve">Instrumentation and Control Servicing (NC II) </t>
  </si>
  <si>
    <t>Gas Metal Arc Welding (GMAW) (NC II)</t>
  </si>
  <si>
    <t>Gas Tungsten Arc Welding (GTAW) (NC II)</t>
  </si>
  <si>
    <t>Machining (NC I)</t>
  </si>
  <si>
    <t>Machining (NC II)</t>
  </si>
  <si>
    <t>Masonry (NC II)</t>
  </si>
  <si>
    <t xml:space="preserve">Mechatronics Servicing (NC II) </t>
  </si>
  <si>
    <t>Motorcycle/Small Engine Servicing (NC II)</t>
  </si>
  <si>
    <t>Plumbing (NC I)</t>
  </si>
  <si>
    <t xml:space="preserve">Plumbing (NC II) </t>
  </si>
  <si>
    <t>Refrigeration and Air-Conditioning  (Packaged Air-Conditioning Unit (PACU)/Commercial Refrigeration Equipment (CRE) Servicing (NC III)</t>
  </si>
  <si>
    <t>Shielded Metal Arc Welding (SMAW) (NC I)</t>
  </si>
  <si>
    <t xml:space="preserve">Shielded Metal Arc Welding (SMAW) (NC II) </t>
  </si>
  <si>
    <t>Tile Setting (NC II)</t>
  </si>
  <si>
    <t xml:space="preserve">Transmission Line Installation and Maintenance (NC II) </t>
  </si>
  <si>
    <t>Animation (NC II)</t>
  </si>
  <si>
    <t xml:space="preserve">Broadband Installation (Fixed Wireless Systems) (NC II) </t>
  </si>
  <si>
    <t>Computer Programming (.Net Technology) (NC III)</t>
  </si>
  <si>
    <t>Computer Programming (Java) (NC III)</t>
  </si>
  <si>
    <t xml:space="preserve">Computer Programming (Oracle Database) (NC III) </t>
  </si>
  <si>
    <t xml:space="preserve">Computer Systems Servicing (NC II) </t>
  </si>
  <si>
    <t>Contact Center Services (NC II)</t>
  </si>
  <si>
    <t>Illustration (NC II)</t>
  </si>
  <si>
    <t>Medical Transcription (NC II)</t>
  </si>
  <si>
    <t>Technical Drafting (NC II)</t>
  </si>
  <si>
    <t xml:space="preserve">Telecom OSP and Subscriber Line Installation
(Copper Cable/POTS and DSL) (NC II) </t>
  </si>
  <si>
    <t xml:space="preserve">Telecom OSP Installation (Fiber Optic Cable) (NC II) </t>
  </si>
  <si>
    <t>Navigational Watch 1</t>
  </si>
  <si>
    <t>Navigational Watch 2</t>
  </si>
  <si>
    <t>Navigational Watch 3</t>
  </si>
  <si>
    <t>Engine Watch 1</t>
  </si>
  <si>
    <t>Engine Watch 2</t>
  </si>
  <si>
    <t>Safety 1</t>
  </si>
  <si>
    <t>Safety 2</t>
  </si>
  <si>
    <t>Ship's Catering Services (NC I)</t>
  </si>
  <si>
    <t>D. Number of female learners who received Weekly Iron Folic Acid (WIFA) Supplementation for the previous SY 2020-2021</t>
  </si>
  <si>
    <r>
      <t xml:space="preserve">Decayed, Missing, and Filled Teeth (dmft) - </t>
    </r>
    <r>
      <rPr>
        <b/>
        <i/>
        <sz val="12"/>
        <rFont val="Times New Roman"/>
        <family val="1"/>
      </rPr>
      <t>Temporary Teeth</t>
    </r>
  </si>
  <si>
    <t>No. of learners with dmft</t>
  </si>
  <si>
    <t>No. of dmft</t>
  </si>
  <si>
    <t>Number of learners given interventions by clinic teachers and 
DepEd health personnel</t>
  </si>
  <si>
    <t>Number of learners referred to city/rural health units or other 
private health professionals</t>
  </si>
  <si>
    <t>(Provide the number of cases of suicide and attempted suicide among learners and school personnel that were recorded by the school)</t>
  </si>
  <si>
    <t>During SY 2021-2022</t>
  </si>
  <si>
    <t>Apr.</t>
  </si>
  <si>
    <t xml:space="preserve">Does the school celebrate IP Day? </t>
  </si>
  <si>
    <t>Does the school celebrate IP Month?</t>
  </si>
  <si>
    <t>Is the school head an IP?</t>
  </si>
  <si>
    <t>Did the school head attended the Orientation on IPEd provided by DepEd?</t>
  </si>
  <si>
    <t>Number of teachers in the school who are IPs</t>
  </si>
  <si>
    <t>Number of teachers who have attended the Orientation on IPEd provided by DepEd</t>
  </si>
  <si>
    <t>Number of teachers who have attended trainings on IPEd outside of DepEd</t>
  </si>
  <si>
    <t xml:space="preserve">  Measles Containing Vaccine</t>
  </si>
  <si>
    <t xml:space="preserve">  Tetanus Diphtheria</t>
  </si>
  <si>
    <t xml:space="preserve">  Human Papiloma Virus</t>
  </si>
  <si>
    <t>Tropical Cyclones</t>
  </si>
  <si>
    <t>`</t>
  </si>
  <si>
    <t>Definition of Terms:</t>
  </si>
  <si>
    <r>
      <rPr>
        <b/>
        <i/>
        <sz val="12"/>
        <rFont val="Times New Roman"/>
        <family val="1"/>
      </rPr>
      <t xml:space="preserve">Drought </t>
    </r>
    <r>
      <rPr>
        <i/>
        <sz val="12"/>
        <rFont val="Times New Roman"/>
        <family val="1"/>
      </rPr>
      <t xml:space="preserve">- </t>
    </r>
    <r>
      <rPr>
        <sz val="12"/>
        <rFont val="Times New Roman"/>
        <family val="1"/>
      </rPr>
      <t xml:space="preserve">Pronounced absence or marked deficiency of precipitation. It is characterized by a deficiency in water supply that is the result of constantly below average precipitation. 
</t>
    </r>
    <r>
      <rPr>
        <b/>
        <sz val="12"/>
        <rFont val="Times New Roman"/>
        <family val="1"/>
      </rPr>
      <t>Sources of Definition: 
DO No. 23, s. 2014. Enclosure No. 4: Definition of Terms. http://www.deped.gov.ph/wp-content/uploads/2014/04/DO_s2014_023.pdf
ReliefWeb Glossary of Humanitarian Terms. GLIDE Working Group, Global Identifier Number, 2006. https://www.who.int/hac/about/reliefweb-aug2008.pdf</t>
    </r>
  </si>
  <si>
    <r>
      <rPr>
        <b/>
        <i/>
        <sz val="12"/>
        <rFont val="Times New Roman"/>
        <family val="1"/>
      </rPr>
      <t>Fire</t>
    </r>
    <r>
      <rPr>
        <i/>
        <sz val="12"/>
        <rFont val="Times New Roman"/>
        <family val="1"/>
      </rPr>
      <t xml:space="preserve"> -</t>
    </r>
    <r>
      <rPr>
        <sz val="12"/>
        <rFont val="Times New Roman"/>
        <family val="1"/>
      </rPr>
      <t xml:space="preserve"> A destructive burning (as of a building). Include in this category urban, industrial or rural fires, but not including wild (forest) fires. Limited to those induced or highly connected to natural phenomena, such as storms, earthquakes, droughts, etc. 
</t>
    </r>
    <r>
      <rPr>
        <b/>
        <sz val="12"/>
        <rFont val="Times New Roman"/>
        <family val="1"/>
      </rPr>
      <t>*</t>
    </r>
    <r>
      <rPr>
        <sz val="12"/>
        <rFont val="Times New Roman"/>
        <family val="1"/>
      </rPr>
      <t xml:space="preserve"> Includes forest or bush fires, or burning as consequence of other natural hazard, such as earthquakes.
</t>
    </r>
    <r>
      <rPr>
        <b/>
        <sz val="12"/>
        <rFont val="Times New Roman"/>
        <family val="1"/>
      </rPr>
      <t>**</t>
    </r>
    <r>
      <rPr>
        <sz val="12"/>
        <rFont val="Times New Roman"/>
        <family val="1"/>
      </rPr>
      <t xml:space="preserve"> Includes fires due to human negligence, such as electrical wiring failure
</t>
    </r>
    <r>
      <rPr>
        <b/>
        <sz val="12"/>
        <rFont val="Times New Roman"/>
        <family val="1"/>
      </rPr>
      <t>Source of Definition: ReliefWeb Glossary of Humanitarian Terms. GLIDE Working Group, Global Identifier Number, 2006. https://www.who.int/hac/about/reliefweb-aug2008.pdf</t>
    </r>
  </si>
  <si>
    <r>
      <rPr>
        <b/>
        <i/>
        <sz val="12"/>
        <rFont val="Times New Roman"/>
        <family val="1"/>
      </rPr>
      <t>Human-Induced Hazards -</t>
    </r>
    <r>
      <rPr>
        <sz val="12"/>
        <rFont val="Times New Roman"/>
        <family val="1"/>
      </rPr>
      <t xml:space="preserve">Are induced entirely or predominantly by human activities and choices that adversely affect other persons. The Sendai Framework for Disaster Risk Reduction 2015-2030 categorized these hazards as one of the following: (a) Environmental hazards may include chemical, natural and biological hazards. They can be created by environmental degradation or physical or chemical pollution in the air, water and soil. Examples include soil degradation, deforestation, loss of biodiversity, salinization and sea-level rise. (b) Technological hazards originate from technological or industrial conditions, dangerous procedures, infrastructure failures or specific human activities. Examples include industrial pollution, nuclear radiation, toxic wastes, dam failures, transport accidents, factory explosions, fires and chemical spills. While the UNISDR subjects armed conflicts and other situations of social instability to the International Humanitarian Law and National Legislation, the DRRMS classifies these violent incidents as human-induced. 
</t>
    </r>
    <r>
      <rPr>
        <b/>
        <sz val="12"/>
        <rFont val="Times New Roman"/>
        <family val="1"/>
      </rPr>
      <t>Source of Definition:</t>
    </r>
    <r>
      <rPr>
        <sz val="12"/>
        <rFont val="Times New Roman"/>
        <family val="1"/>
      </rPr>
      <t xml:space="preserve"> </t>
    </r>
    <r>
      <rPr>
        <b/>
        <sz val="12"/>
        <rFont val="Times New Roman"/>
        <family val="1"/>
      </rPr>
      <t>Sendai Framework for Disaster Risk Reduction 2015-2030. https://www.unisdr.org/files/43291_sendaiframeworkfordrren.pdf</t>
    </r>
  </si>
  <si>
    <r>
      <rPr>
        <b/>
        <i/>
        <sz val="12"/>
        <rFont val="Times New Roman"/>
        <family val="1"/>
      </rPr>
      <t xml:space="preserve">Tropical Cyclones </t>
    </r>
    <r>
      <rPr>
        <i/>
        <sz val="12"/>
        <rFont val="Times New Roman"/>
        <family val="1"/>
      </rPr>
      <t xml:space="preserve">- </t>
    </r>
    <r>
      <rPr>
        <sz val="12"/>
        <rFont val="Times New Roman"/>
        <family val="1"/>
      </rPr>
      <t xml:space="preserve">A non-frontal, synoptic-scale cyclone developing over tropical and sub-tropical waters at any level and having a definitely organized circulation. In other parts of the world, these are referred to as hurricanes, typhoons or simply tropical cyclones depending on the region. Includes Tropical Depression, Tropical Storm, Severe Tropical Storm, Typhoon, and Super Typhoon 
</t>
    </r>
    <r>
      <rPr>
        <b/>
        <sz val="12"/>
        <rFont val="Times New Roman"/>
        <family val="1"/>
      </rPr>
      <t>Source of Definition: DOST-PAGASA: About Tropical Cyclones. http://bagong.pagasa.dost.gov.ph/information/about-tropical-cyclone</t>
    </r>
  </si>
  <si>
    <t>Grave Child Rights Violations (GCRVs)</t>
  </si>
  <si>
    <t>Part 1. DRRM, CCAM, and Peacebuilding Policies</t>
  </si>
  <si>
    <t>School has adopted/ localized existing policies relating to DRRM, CCAM, and Peacebuilding</t>
  </si>
  <si>
    <t>Policy Number</t>
  </si>
  <si>
    <t>A. DRRM-CCAM Policies</t>
  </si>
  <si>
    <t>Guidelines on the Coordination for Establishment of Schools in Resettlement Sites Due to Disasters and/or Emergencies</t>
  </si>
  <si>
    <t>School-based Disaster Preparedness and Response Measures For Tropical Cyclones, Flooding, and Other Weather-related Disturbances and Calamities</t>
  </si>
  <si>
    <t>DM 084 s.2019</t>
  </si>
  <si>
    <t>Observance of the National Disaster Consciousness Month 2019</t>
  </si>
  <si>
    <t>B. Peacebuilding Policies</t>
  </si>
  <si>
    <t>National Policy Framework on Learners and Schools as Zones of Peace</t>
  </si>
  <si>
    <t>Number of learners consulted in the development or enhancement of DRRM, CCAM, and Peacebuilding school-level policies</t>
  </si>
  <si>
    <t>LGU or Barangay Officials</t>
  </si>
  <si>
    <t>NGOs</t>
  </si>
  <si>
    <t>Part 2. DRRM, CCAM, and Peacebuilding Plans</t>
  </si>
  <si>
    <t>School has a comprehensive School DRRM, CCAM, and Peacebuilding Plan</t>
  </si>
  <si>
    <t>External Partners</t>
  </si>
  <si>
    <t>School DRRM, CCAM, and Peacebuilding Plans considered the needs of learners with disabilities</t>
  </si>
  <si>
    <t xml:space="preserve">School DRRM, CCAM, and Peacebuilding Plans considered Indigenous Knowledge Systems and Practices (IKSP) </t>
  </si>
  <si>
    <t xml:space="preserve">School DRRM, CCAM, and Peacebuilding Plans are gender-sensitive </t>
  </si>
  <si>
    <t>Number of learners who participated in the development of the School DRRM, CCAM, and Peacebuilding Plans</t>
  </si>
  <si>
    <t>Part 3. DRRM, CCAM, and Peacebuilding Organizational and Budget Support</t>
  </si>
  <si>
    <t xml:space="preserve">School has a functional DRRM Team with defined roles and responsibilities </t>
  </si>
  <si>
    <t>School has designated a School DRRM Coordinator</t>
  </si>
  <si>
    <t>Number, cost, and percentage of DRRM, CCAM, and Peacebuilding Programs, Projects, and Activities (PPAs) included in the school's budget</t>
  </si>
  <si>
    <t>Number of PPAs</t>
  </si>
  <si>
    <t>Cost of PPAs</t>
  </si>
  <si>
    <t>% in the School's Budget
(e.g. 99.54%)</t>
  </si>
  <si>
    <t>Part 4. Data and Information Management</t>
  </si>
  <si>
    <t>Number of personnel trained on data management</t>
  </si>
  <si>
    <t>Number of trainings conducted for teaching and non-teaching personnel on data management</t>
  </si>
  <si>
    <t>Number of programs developed or enhanced by the school based on research</t>
  </si>
  <si>
    <t xml:space="preserve">School has used DRRMS-developed DRRM-, CCAM-, and Peacebuilding-related software for data collection and reporting </t>
  </si>
  <si>
    <t>Part 5. Monitoring and Evaluation</t>
  </si>
  <si>
    <t>School carries out monitoring and evaluation to assess sustainable implementation of DRRM, CCAM, and Peacebuilding initiatives</t>
  </si>
  <si>
    <t>School has used the Comprehensive School Safety (CSS) monitoring tool to keep track of their DRRM, CCAM and Peacebuilding initiatives</t>
  </si>
  <si>
    <t>Number of DRRM-, CCAM-, and Peacebuilding-related good practices documented by the school</t>
  </si>
  <si>
    <t>Documented Good Practices</t>
  </si>
  <si>
    <t>DRRM and CCAM</t>
  </si>
  <si>
    <t>Number of programs developed or enhanced by the school as a result of their monitoring and evaluation</t>
  </si>
  <si>
    <t>SY 2021-2022</t>
  </si>
  <si>
    <t xml:space="preserve">Table 3a. GRADE 12 LEARNERS IN TECHNICAL-VOCATIONAL-LIVELIHOOD (TVL) TRACK SPECIALIZATIONS WHO TOOK </t>
  </si>
  <si>
    <t xml:space="preserve">Table 3b. GRADE 12 LEARNERS IN TECHNICAL-VOCATIONAL-LIVELIHOOD (TVL) TRACK SPECIALIZATIONS WHO TOOK </t>
  </si>
  <si>
    <t>Table 4. LOCALLY-FUNDED TEACHERS WORKING IN THE SCHOOL BY FUNDING SOURCE</t>
  </si>
  <si>
    <t>Table 5. LOCALLY-FUNDED TEACHERS WORKING IN THE SCHOOL WHO ARE QUALIFIED AND TRAINED</t>
  </si>
  <si>
    <t>Table 10. TEACHERS WHO RECEIVED TRAINING WHILE</t>
  </si>
  <si>
    <t>Table 11.  TEACHERS WHO RECEIVED TRAINING ON</t>
  </si>
  <si>
    <t>Table 12. TEACHERS WHO RECEIVED TRAINING ON</t>
  </si>
  <si>
    <t>Table 13. NUMBER OF TEACHERS BY GRADE LEVEL AND SEX</t>
  </si>
  <si>
    <t>Table 14. NUMBER OF TEACHERS HANDLING TECHNICAL-VOCATIONAL-LIVELIHOOD</t>
  </si>
  <si>
    <t>Reminders of Tables 13 and 14:</t>
  </si>
  <si>
    <t>Table 16. NUMBER OF TEACHERS BY HIGHEST EDUCATIONAL ATTAINMENT</t>
  </si>
  <si>
    <t>Table 17. NUMBER OF SCIENCE TEACHERS WITH SCIENCE EDUCATION MAJOR</t>
  </si>
  <si>
    <t>Table 29. MOOE ALLOCATION, UTILIZATION AND LIQUIDATION</t>
  </si>
  <si>
    <t>(Continuation of definitions from previous page, Box 9)</t>
  </si>
  <si>
    <t>(Continuation from previous page, Table 36)</t>
  </si>
  <si>
    <t>(Continuation from previous page, Table 37)</t>
  </si>
  <si>
    <t>3a</t>
  </si>
  <si>
    <t>3b</t>
  </si>
  <si>
    <t>20a</t>
  </si>
  <si>
    <t>20b</t>
  </si>
  <si>
    <t>30a</t>
  </si>
  <si>
    <t>30b</t>
  </si>
  <si>
    <t>30c</t>
  </si>
  <si>
    <t>30d</t>
  </si>
  <si>
    <t xml:space="preserve">Total of Locally-funded Teachers shall be greater than or equal to the Total of Qualified / Trained Teachers in Table 5.  </t>
  </si>
  <si>
    <t xml:space="preserve">Total of Qualified / Trained Teachers shall be less than or equal to the Total of Locally-funded Teachers in Table 4.  </t>
  </si>
  <si>
    <t xml:space="preserve"> 2. For the definitions, refer to Teaching Personnel Data (Table 7).</t>
  </si>
  <si>
    <t xml:space="preserve">Totals in column 2 shall tally with entries in Table 8 column 2. </t>
  </si>
  <si>
    <t xml:space="preserve">Totals in column 18 shall tally with entries in Table 9 column 7. </t>
  </si>
  <si>
    <t>Plantilla items in column 2 shall tally in entries in Table 7 column 2.</t>
  </si>
  <si>
    <t>If yes, shall provide data on Guidance Counselor in Table 6.</t>
  </si>
  <si>
    <t>(Check the boxes or provide the correct numbers for all DRRM, CCAM, and Peacebuilding initiatives conducted)</t>
  </si>
  <si>
    <t>Part 1. School Safety, and Disaster Prevention and Mitigation</t>
  </si>
  <si>
    <t>Number of identified safe and unsafe instructional and non-instructional spaces</t>
  </si>
  <si>
    <t>Learning Facilities</t>
  </si>
  <si>
    <t>Safe</t>
  </si>
  <si>
    <t>Unsafe</t>
  </si>
  <si>
    <t>Instructional Spaces</t>
  </si>
  <si>
    <t>Non-instructional Spaces</t>
  </si>
  <si>
    <t>Number of instructional spaces retroffited</t>
  </si>
  <si>
    <t>Number of non-instructional spaces retroffited</t>
  </si>
  <si>
    <t>Number of instructional spaces constructed using inclusive and resilient designs</t>
  </si>
  <si>
    <t>Number of non-instructional spaces constructed using inclusive and resilient designs</t>
  </si>
  <si>
    <t>Flood Wall</t>
  </si>
  <si>
    <t>Fire Wall</t>
  </si>
  <si>
    <t>Sea Wall</t>
  </si>
  <si>
    <t>Slope Protection</t>
  </si>
  <si>
    <t>Non- structural slope protection</t>
  </si>
  <si>
    <t>Vegetation (e.g. mangrove, shrubs, and trees)</t>
  </si>
  <si>
    <t>Porous Landscaping</t>
  </si>
  <si>
    <t>Pruning of trees</t>
  </si>
  <si>
    <t>School conducts regular inspection of instructional and non-instructional spaces</t>
  </si>
  <si>
    <t>School Head has allotted budget for routine maintenance of instructional and non-instructional spaces</t>
  </si>
  <si>
    <t>School has undertaken regular repair of damaged instructional and non-instructional spaces</t>
  </si>
  <si>
    <t>Part 2. Rehabilitation and Recovery</t>
  </si>
  <si>
    <t>School has placed safety precautions for all new and ongoing building construction (e.g. fencing, signages, access)</t>
  </si>
  <si>
    <t>Basic Education Facilities Fund</t>
  </si>
  <si>
    <t>Quick Response Fund</t>
  </si>
  <si>
    <t>National Disaster Risk Reduction and Management Fund</t>
  </si>
  <si>
    <t>Part 1. School-level Risk Assessment, Plans, and Partnerships</t>
  </si>
  <si>
    <t>School has conducted Student-led School Watching and Hazard Mapping</t>
  </si>
  <si>
    <t>School has incorporated results of Student-led School Watching and Hazard Mapping in the School DRRM, CCAM, and Peacebuilding Plans and SIP</t>
  </si>
  <si>
    <t>School Watching Team made use of available hazard maps in coordination with concerned agencies such as of PHIVOLCS, MGB, PAGASA and LGUs for the Student-led School Watching and Hazard Mapping</t>
  </si>
  <si>
    <t>School Watching Team presented and submitted the results of Student-led School Watching and Hazard Mapping to the School Planning Team</t>
  </si>
  <si>
    <t>School Planning Team has linked the results of the School Watching and Hazard Mapping with the school's education data to better understand its risk</t>
  </si>
  <si>
    <t>7a. Standard Contents:</t>
  </si>
  <si>
    <t>Hazard and Vulnerabilty Assessment with baseline data</t>
  </si>
  <si>
    <t>Evacuation Plan</t>
  </si>
  <si>
    <t>Student-Family Reunification Plan that is disseminated to learners, teachers and parents</t>
  </si>
  <si>
    <t>Established tracking system of learners and personnel in the event of a disaster</t>
  </si>
  <si>
    <t>Response and early recovery measures</t>
  </si>
  <si>
    <t>Pre-identified spaces for putting up of TLS and WASH facilities</t>
  </si>
  <si>
    <t>Pre-identified spaces for evacuation center</t>
  </si>
  <si>
    <t>Identified instructional and non-instructional spaces to be used as temporary evacuation centers for disasters/ emergencies, if applicable</t>
  </si>
  <si>
    <t>Class resumption strategies</t>
  </si>
  <si>
    <t>List of available safety and emergency supplies and equipment</t>
  </si>
  <si>
    <t>List of partners to be mobilized in the event of a disaster/ emergency</t>
  </si>
  <si>
    <t xml:space="preserve">Established DRRM Team with defined roles and responsibilities </t>
  </si>
  <si>
    <t>Lockdown Protocol in cases of armed conflict</t>
  </si>
  <si>
    <t>7b. COVID-19 Considerations:</t>
  </si>
  <si>
    <t>Pre-identified spaces to be used as quarantine or isolation facilities and other COVID-19 related activities</t>
  </si>
  <si>
    <t>Health and Safety Protocols</t>
  </si>
  <si>
    <t>List of available Personal Protective Equipment (PPE)</t>
  </si>
  <si>
    <t>Management of COVID-19 cases, including coordination with the LGU</t>
  </si>
  <si>
    <t>School has documented Terms and Conditions for the use its facilities as quarantine or isolation areas for COVID-19, following DepEd Office Memorandum OM-OSEC-2020-02</t>
  </si>
  <si>
    <t>School has presented the results of the Family Earthquake Preparedness Plan to the PTA and LGU</t>
  </si>
  <si>
    <t>School has developed and implemented a DRRM Communication Plan</t>
  </si>
  <si>
    <t>School implemented DRRM, CCAM, and Peacebuilding PPAs with partners</t>
  </si>
  <si>
    <t>School has participated in the different DRRM, CCAM, and Peacebuilding activities of the LGUs and other partners</t>
  </si>
  <si>
    <t>Number of partners mobilized to support the school's DRRM and CCAM PPAs, including those after a disaster/ emergency</t>
  </si>
  <si>
    <t>Number of partners mobilized to support the school's Peacebuilding programs and activities, including those after an armed conflict</t>
  </si>
  <si>
    <t>Number of DRRM, CCAM, and Peacebuilding PPAs the school has implemented with partners</t>
  </si>
  <si>
    <t>Number of DRRM, CCAM, and Peacebuilding trainings conducted by partners for teaching and non-teaching personnel</t>
  </si>
  <si>
    <t>Part 2. Disaster Preparedness</t>
  </si>
  <si>
    <t>School has conducted Brigada Eskwela to ensure school safety and that disaster preparedness measures are in place</t>
  </si>
  <si>
    <t>School is provided with safety and emergency supplies and equipment from DepEd and partners</t>
  </si>
  <si>
    <t>Number of safety and emergency, response, and rescue supplies and equipment in the schools provided by DepEd and partners</t>
  </si>
  <si>
    <t>2-fold Aluminum Stretcher</t>
  </si>
  <si>
    <t>Cadaver bag</t>
  </si>
  <si>
    <t>Cot (Battlefield Bed)</t>
  </si>
  <si>
    <t>CPR board</t>
  </si>
  <si>
    <t>First Aid Kit for each learner</t>
  </si>
  <si>
    <t>Handheld / Base Radios</t>
  </si>
  <si>
    <t>LED flashlight rechargeable</t>
  </si>
  <si>
    <t>LED search light, 850 lumens</t>
  </si>
  <si>
    <t>Medical cushion</t>
  </si>
  <si>
    <t>Portable P.A. system</t>
  </si>
  <si>
    <t>Safety Helmet</t>
  </si>
  <si>
    <t>Steel boxes</t>
  </si>
  <si>
    <t xml:space="preserve">Steel cabinets </t>
  </si>
  <si>
    <t>Traffic Vest</t>
  </si>
  <si>
    <t>Transport bags, 45 L</t>
  </si>
  <si>
    <t>Universal head immobilizer</t>
  </si>
  <si>
    <t>Bicycle</t>
  </si>
  <si>
    <t>Fire Cabinet</t>
  </si>
  <si>
    <t>Fire Hose</t>
  </si>
  <si>
    <t>Life Vest (For coastal and island schools only)</t>
  </si>
  <si>
    <t>Motor Banca (For coastal and island schools only)</t>
  </si>
  <si>
    <t>Power Sprayer</t>
  </si>
  <si>
    <t>Hazard-specific Drills</t>
  </si>
  <si>
    <t>Number of school personnel that participated in the hazard-specific drills</t>
  </si>
  <si>
    <t>Number of learners that participated in the hazard-specific drills</t>
  </si>
  <si>
    <t>IP Learners</t>
  </si>
  <si>
    <t>Muslim Learners</t>
  </si>
  <si>
    <t>School conducted Brigada Eskwela in the aftermath of a disaster/ emergency to ensure learning continuity</t>
  </si>
  <si>
    <t>School submitted Rapid Assessment of Damage Report (RADAR) to the DRRMS Central Office, within 72 hours after the onslaught of a hazard in the area, if affected by a disaster</t>
  </si>
  <si>
    <t>Number of response interventions received from the following:</t>
  </si>
  <si>
    <t>4a. From the DRRMS (through the Division Office)</t>
  </si>
  <si>
    <t>Fund Support for Clean-up and Minor Repairs</t>
  </si>
  <si>
    <t>Fund Support for Temporary Learning Spaces</t>
  </si>
  <si>
    <t>Fund Support for Temporary WASH</t>
  </si>
  <si>
    <t>Fund Support for Emergency School Feeding</t>
  </si>
  <si>
    <t>Hygiene Kits</t>
  </si>
  <si>
    <t>Learners' Kits</t>
  </si>
  <si>
    <t>Teachers' Kits</t>
  </si>
  <si>
    <t>Materials for Alternative Delivery Modes</t>
  </si>
  <si>
    <t>4b. From Partners</t>
  </si>
  <si>
    <t>Donations in cash or in-kind</t>
  </si>
  <si>
    <t>Emergency School Feeding</t>
  </si>
  <si>
    <t>Materials for MHPSS</t>
  </si>
  <si>
    <t>Temporary Learning Spaces or Tents</t>
  </si>
  <si>
    <t>Temporary WASH Facilities</t>
  </si>
  <si>
    <t>School has implemented resumption strategies and Alternative Delivery Modes to ensure education continuity due to a disaster resulting from natural hazards</t>
  </si>
  <si>
    <t>Resumption Strategies</t>
  </si>
  <si>
    <t>Number of Days</t>
  </si>
  <si>
    <t>Class Shifting</t>
  </si>
  <si>
    <t>Make-up Classes</t>
  </si>
  <si>
    <t>Modular Learning</t>
  </si>
  <si>
    <t>Online Learning</t>
  </si>
  <si>
    <t>Peer Group Learning</t>
  </si>
  <si>
    <t>Programmed Teaching</t>
  </si>
  <si>
    <t>Home School</t>
  </si>
  <si>
    <t>Night High School</t>
  </si>
  <si>
    <t>Open High School Program</t>
  </si>
  <si>
    <t>Number of MHPSS interventions for learners and personnel funded and conducted by partners</t>
  </si>
  <si>
    <t>School has received replacement of damaged school furniture due to disasters/ emergencies</t>
  </si>
  <si>
    <t>School has received replacement of damaged DepEd Computerization Program (DCP) due to disasters/ emergencies</t>
  </si>
  <si>
    <t>School has received replacement of damaged learning resources due to disasters/ emergencies</t>
  </si>
  <si>
    <t>School has utilized established feedback and accountability mechanisms for learners to report issues and concerns, observations, and good practices on response, rehabilitation and recovery interventions</t>
  </si>
  <si>
    <t>Part 1. Curriculum Integration</t>
  </si>
  <si>
    <t>IPEd</t>
  </si>
  <si>
    <t>ALS</t>
  </si>
  <si>
    <t>CCAM</t>
  </si>
  <si>
    <t>Peace</t>
  </si>
  <si>
    <t>School has assessed DRRM-, CCAM-, and Peacebuilding-related competencies through measurable learning outcomes</t>
  </si>
  <si>
    <t>Part 2. Information, Education, and Communication (IEC) and Advocacy</t>
  </si>
  <si>
    <t>School used DRRMS-developed DRRM, CCAM and Peacebuilding Information, Education and Communication Materials (IEC) materials</t>
  </si>
  <si>
    <t>School has DRRM, CCAM, and Peacebuilding corners, with updated IEC materials posted in it</t>
  </si>
  <si>
    <t>Number of school personnel who participated in the survey on the effectiveness of IEC materials developed by DRRMS and/ or contextualized by the region or division</t>
  </si>
  <si>
    <t>Number of school personnel trained by partners on DRRM, CCAM, and Peacebuilding</t>
  </si>
  <si>
    <t xml:space="preserve">Number of stakeholders that participated in DRRM, CCAM, and Peacebuilding activities </t>
  </si>
  <si>
    <t>Celebration and commemoration of special events related to DRRM</t>
  </si>
  <si>
    <t>DRRM Camp</t>
  </si>
  <si>
    <t>DRRM Youth Council</t>
  </si>
  <si>
    <t>DRRM Youth Action Campaigns</t>
  </si>
  <si>
    <t>DRRM-related Campus Journalism Activities (Photojournalism, Editorial Cartoons, Comic Script Writing, Broadcasting and News Writing)</t>
  </si>
  <si>
    <t>Art, essay, slogan, etc. contests for climate change adaptation and mitigation</t>
  </si>
  <si>
    <t>Change the Current: A Climate Action Online Training for Adolescents</t>
  </si>
  <si>
    <t>Climate Change Adaptation and Mitigation Conferences or Camps</t>
  </si>
  <si>
    <t>Climate Changemakers Online Training for Teaching Personnel</t>
  </si>
  <si>
    <t>Environmental Jounalism Training</t>
  </si>
  <si>
    <t>Installation of a Material Recovery Facility</t>
  </si>
  <si>
    <t>KaLIKHAsan Climate Action Action Advocacy Show</t>
  </si>
  <si>
    <t>Youth Strike for Climate</t>
  </si>
  <si>
    <t>Celebration and commemoration of special events related to climate change</t>
  </si>
  <si>
    <t>Creation of youth networks or organizations for peace</t>
  </si>
  <si>
    <t>Online MHPSS Activities</t>
  </si>
  <si>
    <t>School used DepEd developed learning resources on DRRM, CCAM, and Peacebuilding</t>
  </si>
  <si>
    <t>Number of DRRM, CCAM, and Peacebuilding trainings conducted for learners</t>
  </si>
  <si>
    <t>Number of DRRM, CCAM, Peacebuilding PPAs led by learners</t>
  </si>
  <si>
    <t>School used DepEd developed and DepEd approved standardized training manuals on DRRM, CCAM, and Peacebuilding</t>
  </si>
  <si>
    <t>Number of teaching and non-teaching personnel trained on DRRMS Training Modules</t>
  </si>
  <si>
    <t>DRRMS Training Modules</t>
  </si>
  <si>
    <t>MHPSS / Psychological First Aid</t>
  </si>
  <si>
    <t xml:space="preserve">Number of teaching and non-teaching personnel who completed the accredited training courses on DRRM, CCAM, and Peacebuilding </t>
  </si>
  <si>
    <t>Number of teachers trained in integrating DRRM, CCAM and Peacebuilding in their daily learning log</t>
  </si>
  <si>
    <t>School has used DepEd developed MHPSS standardized training manuals</t>
  </si>
  <si>
    <t>Number of MHPSS trainings conducted for learners and personnel</t>
  </si>
  <si>
    <t>MHPSS Trainings</t>
  </si>
  <si>
    <t>Number of school personnel trained in MHPSS and Psychological First Aid</t>
  </si>
  <si>
    <t>Number of trained secondary learners to provide peer to peer MHPSS</t>
  </si>
  <si>
    <r>
      <t xml:space="preserve">Frequent - </t>
    </r>
    <r>
      <rPr>
        <sz val="11"/>
        <rFont val="Times New Roman"/>
        <family val="1"/>
      </rPr>
      <t>refers to the all week use of DepEd TV</t>
    </r>
    <r>
      <rPr>
        <b/>
        <i/>
        <sz val="11"/>
        <rFont val="Times New Roman"/>
        <family val="1"/>
      </rPr>
      <t>.</t>
    </r>
  </si>
  <si>
    <r>
      <t xml:space="preserve">Seldom - </t>
    </r>
    <r>
      <rPr>
        <sz val="11"/>
        <rFont val="Times New Roman"/>
        <family val="1"/>
      </rPr>
      <t>refers to at least three (3) times in a week use of DepEd TV</t>
    </r>
    <r>
      <rPr>
        <b/>
        <i/>
        <sz val="11"/>
        <rFont val="Times New Roman"/>
        <family val="1"/>
      </rPr>
      <t>.</t>
    </r>
  </si>
  <si>
    <r>
      <t xml:space="preserve">Never - </t>
    </r>
    <r>
      <rPr>
        <sz val="11"/>
        <rFont val="Times New Roman"/>
        <family val="1"/>
      </rPr>
      <t>refers to not using the DepEd TV as part of instructional plan.</t>
    </r>
  </si>
  <si>
    <r>
      <t xml:space="preserve">Distance Learning Modality - </t>
    </r>
    <r>
      <rPr>
        <sz val="11"/>
        <rFont val="Times New Roman"/>
        <family val="1"/>
      </rPr>
      <t xml:space="preserve">refers to the print or non-print based resources medium used to augment instruction if face-to-face instruction is not possible. </t>
    </r>
  </si>
  <si>
    <r>
      <rPr>
        <b/>
        <i/>
        <sz val="11"/>
        <rFont val="Times New Roman"/>
        <family val="1"/>
      </rPr>
      <t>Purpose</t>
    </r>
    <r>
      <rPr>
        <sz val="11"/>
        <rFont val="Times New Roman"/>
        <family val="1"/>
      </rPr>
      <t xml:space="preserve"> - refers to the purpose of the school radio if for administrative use, for classroom instruction use or for both administrative &amp; classroom instruction use.</t>
    </r>
  </si>
  <si>
    <r>
      <rPr>
        <b/>
        <i/>
        <sz val="11"/>
        <rFont val="Times New Roman"/>
        <family val="1"/>
      </rPr>
      <t>Number of Units</t>
    </r>
    <r>
      <rPr>
        <sz val="11"/>
        <rFont val="Times New Roman"/>
        <family val="1"/>
      </rPr>
      <t xml:space="preserve"> - refers to the number of possessed units.</t>
    </r>
  </si>
  <si>
    <r>
      <t xml:space="preserve">Local TV - </t>
    </r>
    <r>
      <rPr>
        <sz val="11"/>
        <rFont val="Times New Roman"/>
        <family val="1"/>
      </rPr>
      <t>refers to the local content or local television</t>
    </r>
    <r>
      <rPr>
        <b/>
        <i/>
        <sz val="11"/>
        <rFont val="Times New Roman"/>
        <family val="1"/>
      </rPr>
      <t>.</t>
    </r>
  </si>
  <si>
    <r>
      <t xml:space="preserve">Community Antenna Television (CATV) - </t>
    </r>
    <r>
      <rPr>
        <sz val="11"/>
        <rFont val="Times New Roman"/>
        <family val="1"/>
      </rPr>
      <t>refers to the use a “community antenna” to receive broadcast signals to retransmit via cables to homes and establishments in the local area subscribing to the service.</t>
    </r>
  </si>
  <si>
    <r>
      <t xml:space="preserve">Name of Station - </t>
    </r>
    <r>
      <rPr>
        <sz val="11"/>
        <rFont val="Times New Roman"/>
        <family val="1"/>
      </rPr>
      <t xml:space="preserve">refers to the name of the broadcasting station. </t>
    </r>
  </si>
  <si>
    <r>
      <t xml:space="preserve">NTC License Number -  </t>
    </r>
    <r>
      <rPr>
        <sz val="11"/>
        <rFont val="Times New Roman"/>
        <family val="1"/>
      </rPr>
      <t xml:space="preserve">refers to the license number of the issued National Telecommunications Commission (NTC) permit. </t>
    </r>
  </si>
  <si>
    <r>
      <t xml:space="preserve">Owner - </t>
    </r>
    <r>
      <rPr>
        <sz val="11"/>
        <rFont val="Times New Roman"/>
        <family val="1"/>
      </rPr>
      <t>refers to the full</t>
    </r>
    <r>
      <rPr>
        <b/>
        <i/>
        <sz val="11"/>
        <rFont val="Times New Roman"/>
        <family val="1"/>
      </rPr>
      <t xml:space="preserve"> </t>
    </r>
    <r>
      <rPr>
        <sz val="11"/>
        <rFont val="Times New Roman"/>
        <family val="1"/>
      </rPr>
      <t xml:space="preserve">name of the owner. </t>
    </r>
  </si>
  <si>
    <r>
      <t xml:space="preserve">Status of Partnership - </t>
    </r>
    <r>
      <rPr>
        <sz val="11"/>
        <rFont val="Times New Roman"/>
        <family val="1"/>
      </rPr>
      <t xml:space="preserve">refers to the MOA status of the partnership. </t>
    </r>
  </si>
  <si>
    <r>
      <t xml:space="preserve">Contact Details of Partner/s - </t>
    </r>
    <r>
      <rPr>
        <sz val="11"/>
        <rFont val="Times New Roman"/>
        <family val="1"/>
      </rPr>
      <t xml:space="preserve">refers to the telephone/cellphone number, address, and e-mail address to reach out the said partner. </t>
    </r>
  </si>
  <si>
    <r>
      <t xml:space="preserve">a. Text/ SMS - </t>
    </r>
    <r>
      <rPr>
        <sz val="11"/>
        <rFont val="Times New Roman"/>
        <family val="1"/>
      </rPr>
      <t>refers to the ability to receive and send text or Small Message Service (SMS).</t>
    </r>
  </si>
  <si>
    <t>NUMBER OF TAKERS</t>
  </si>
  <si>
    <t>NUMBER OF PASSERS</t>
  </si>
  <si>
    <t>Special Forest Landuse Agreement (FLAg)</t>
  </si>
  <si>
    <t xml:space="preserve">Totals in columns 16, 17 &amp; 18 shall tally with the Totals of the Number of Teachers (counted only once) in Table 13. </t>
  </si>
  <si>
    <t>Note:  Totals of the Number of Teachers (counted only once) shall tally with the Totals in 
           Table 7 columns 16, 17 &amp; 18.</t>
  </si>
  <si>
    <t>1. Types of Internet Connection:</t>
  </si>
  <si>
    <t xml:space="preserve">  Natural Hazards</t>
  </si>
  <si>
    <t xml:space="preserve">  Human-Induced Hazards</t>
  </si>
  <si>
    <t>Fire **</t>
  </si>
  <si>
    <r>
      <t xml:space="preserve">Health Threat
</t>
    </r>
    <r>
      <rPr>
        <i/>
        <sz val="13"/>
        <rFont val="Times New Roman"/>
        <family val="1"/>
      </rPr>
      <t>(i.e. Dengue, Malaria, Measles, food poisoning, disease outbreak)</t>
    </r>
  </si>
  <si>
    <t>Human-Induced Hazards</t>
  </si>
  <si>
    <r>
      <t xml:space="preserve">Armed conflict - </t>
    </r>
    <r>
      <rPr>
        <sz val="12"/>
        <rFont val="Times New Roman"/>
        <family val="1"/>
      </rPr>
      <t>refers to armed confrontations occurring between government forces and one or more armed groups, or between such groups arising in the Philippine territory. These shall include activities which</t>
    </r>
    <r>
      <rPr>
        <b/>
        <i/>
        <sz val="12"/>
        <rFont val="Times New Roman"/>
        <family val="1"/>
      </rPr>
      <t xml:space="preserve"> </t>
    </r>
    <r>
      <rPr>
        <sz val="12"/>
        <rFont val="Times New Roman"/>
        <family val="1"/>
      </rPr>
      <t>may lead to, or are undertaken in preparation of armed confrontation or armed violence that put children‘s lives at risk and their rights violated. (R.A. 11188) 
                         - Armed conflict incidents include armed encounters such as the All-Out-War in 2000, the September 2013 Zamboanga Siege, the 2017 Marawi Siege, among others.</t>
    </r>
    <r>
      <rPr>
        <b/>
        <i/>
        <sz val="12"/>
        <rFont val="Times New Roman"/>
        <family val="1"/>
      </rPr>
      <t xml:space="preserve">
Source of Definition: R.A. 11188, or the Special Protection of Children in Situations of Armed Conflict (2017)</t>
    </r>
  </si>
  <si>
    <r>
      <t xml:space="preserve">Grave Child Rights Violations - </t>
    </r>
    <r>
      <rPr>
        <sz val="12"/>
        <rFont val="Times New Roman"/>
        <family val="1"/>
      </rPr>
      <t>refers to the offenses committed against children that constitute flagrant violations of their human rights and have severe consequences in their lives.</t>
    </r>
    <r>
      <rPr>
        <b/>
        <i/>
        <sz val="12"/>
        <rFont val="Times New Roman"/>
        <family val="1"/>
      </rPr>
      <t xml:space="preserve">
Source of Definition: DO No. 57, s. 2017 Policy on the Protection of Children in Armed Conflict, based on UN Security Council Resolution Nos. 1539, 1612, 1882, 1998 http://www.deped.gov.ph/wp-content/uploads/2017/11/DO_s2017_057.pdf</t>
    </r>
  </si>
  <si>
    <r>
      <t>State and/or Non-State Actors -</t>
    </r>
    <r>
      <rPr>
        <sz val="12"/>
        <rFont val="Times New Roman"/>
        <family val="1"/>
      </rPr>
      <t xml:space="preserve"> refers to parties involved in non-international armed conflict in which hostilities occur between governmental (state) armed forces and non-governmental (non-state) armed groups or between such groups only.</t>
    </r>
    <r>
      <rPr>
        <b/>
        <i/>
        <sz val="12"/>
        <rFont val="Times New Roman"/>
        <family val="1"/>
      </rPr>
      <t xml:space="preserve">
Source of Definition: D. Schindler, The Different Types of Armed Conflicts According to the Geneva Conventions and Protocols, RCADI, Vol. 163, 1979-II, p. 147. as cited in International Committee of the Red Cross (ICRC): "How is the Term "Armed Conflict" Defined in International Humanitarian Law?". https://www.icrc.org/en/doc/assets/files/other/opinion-paper-armed-conflict.pdf</t>
    </r>
  </si>
  <si>
    <t>Types of Intervention</t>
  </si>
  <si>
    <t>Teachers shall be counted only once. If a teacher is teaching more than one grade, he/she shall be counted to the grade level where he/she teaches the most number 
of hours. However, if he/she teaches an equal number of hours per grade level, he/she shall be counted to the highest grade level assignment.</t>
  </si>
  <si>
    <t>Number of OERs Developed Locally as an 
Original Work</t>
  </si>
  <si>
    <t>Number of OERs Developed Locally as an 
Edited/Remix/Reuse Work</t>
  </si>
  <si>
    <r>
      <t xml:space="preserve">Open Educational Resources (OERs) - </t>
    </r>
    <r>
      <rPr>
        <sz val="11"/>
        <rFont val="Times New Roman"/>
        <family val="1"/>
      </rPr>
      <t xml:space="preserve">refers to teaching, learning, and research materials in any medium – digital or otherwise – that reside in the public  domain or have been released under an open license that permits no-cost access, use, adaptation and redistribution by others with no or limited restrictions.
(Source: UNESCO) </t>
    </r>
  </si>
  <si>
    <r>
      <t xml:space="preserve">Original Work - </t>
    </r>
    <r>
      <rPr>
        <sz val="11"/>
        <rFont val="Times New Roman"/>
        <family val="1"/>
      </rPr>
      <t>refers to the resources which is based on the creative design, self concept, and contents of the respective teacher/author.</t>
    </r>
  </si>
  <si>
    <r>
      <t xml:space="preserve">Edited Work- </t>
    </r>
    <r>
      <rPr>
        <sz val="11"/>
        <rFont val="Times New Roman"/>
        <family val="1"/>
      </rPr>
      <t>refers to the rewording and changing of basic concepts in the contents of the original material without violating the Creative Commons rule.</t>
    </r>
  </si>
  <si>
    <r>
      <t>Remix</t>
    </r>
    <r>
      <rPr>
        <sz val="11"/>
        <rFont val="Times New Roman"/>
        <family val="1"/>
      </rPr>
      <t xml:space="preserve"> </t>
    </r>
    <r>
      <rPr>
        <b/>
        <i/>
        <sz val="11"/>
        <rFont val="Times New Roman"/>
        <family val="1"/>
      </rPr>
      <t>Work</t>
    </r>
    <r>
      <rPr>
        <sz val="11"/>
        <rFont val="Times New Roman"/>
        <family val="1"/>
      </rPr>
      <t xml:space="preserve"> - refers to the editing of a content as well as putting an original concepts and ideas to the material to enhance the resources without violating the Creative Commons rule.</t>
    </r>
  </si>
  <si>
    <r>
      <t xml:space="preserve">Reuse Work - </t>
    </r>
    <r>
      <rPr>
        <sz val="11"/>
        <rFont val="Times New Roman"/>
        <family val="1"/>
      </rPr>
      <t>refers to the use of old or existing resources without any modification or alteration in the contents.</t>
    </r>
  </si>
  <si>
    <r>
      <t xml:space="preserve">1st Quarter to 4th Quarter - </t>
    </r>
    <r>
      <rPr>
        <sz val="11"/>
        <rFont val="Times New Roman"/>
        <family val="1"/>
      </rPr>
      <t>refers to the quarter or period of instruction.</t>
    </r>
  </si>
  <si>
    <t>Amount of Time Spent 
Using DepEd TV</t>
  </si>
  <si>
    <r>
      <t>Downloaded Version</t>
    </r>
    <r>
      <rPr>
        <sz val="11"/>
        <rFont val="Times New Roman"/>
        <family val="1"/>
      </rPr>
      <t xml:space="preserve"> - refers to the video-based lessons that are stored in a USB flashdrive to watch it readily as plug and play.</t>
    </r>
  </si>
  <si>
    <r>
      <t xml:space="preserve">DepEd TV - </t>
    </r>
    <r>
      <rPr>
        <sz val="11"/>
        <rFont val="Times New Roman"/>
        <family val="1"/>
      </rPr>
      <t>refers to the the blended learning modality of DepEd that is focused on video-based lessons to direct instruction using produced contents based in the Most Essential Learning Competencies (MELC) and self learning modules of the department.</t>
    </r>
  </si>
  <si>
    <t>HUMSS</t>
  </si>
  <si>
    <t>Android Tablet</t>
  </si>
  <si>
    <r>
      <rPr>
        <b/>
        <i/>
        <sz val="11"/>
        <rFont val="Times New Roman"/>
        <family val="1"/>
      </rPr>
      <t>b. Notebook</t>
    </r>
    <r>
      <rPr>
        <sz val="11"/>
        <rFont val="Times New Roman"/>
        <family val="1"/>
      </rPr>
      <t xml:space="preserve"> - refers to a device that is lighter than laptops. Usually have screens ranging from 12 to 17 inches (30.5 to 43.2 centimeters) and weigh around 5 to 6 pounds (2.3 to 2.7 kilograms).</t>
    </r>
  </si>
  <si>
    <r>
      <rPr>
        <b/>
        <i/>
        <sz val="11"/>
        <rFont val="Times New Roman"/>
        <family val="1"/>
      </rPr>
      <t>c. Android Tablet</t>
    </r>
    <r>
      <rPr>
        <sz val="11"/>
        <rFont val="Times New Roman"/>
        <family val="1"/>
      </rPr>
      <t xml:space="preserve"> - refers to a portable computer that has a touchscreen feature as the primary means of input.</t>
    </r>
  </si>
  <si>
    <r>
      <rPr>
        <b/>
        <i/>
        <sz val="11"/>
        <rFont val="Times New Roman"/>
        <family val="1"/>
      </rPr>
      <t>d. Tablet PC</t>
    </r>
    <r>
      <rPr>
        <sz val="11"/>
        <rFont val="Times New Roman"/>
        <family val="1"/>
      </rPr>
      <t xml:space="preserve"> - refers to a touchscreen tablet when you want to browse or interact, a laptop when you need a tablet with keyboard to be productive.</t>
    </r>
  </si>
  <si>
    <r>
      <rPr>
        <sz val="12"/>
        <rFont val="Times New Roman"/>
        <family val="1"/>
      </rPr>
      <t xml:space="preserve">   </t>
    </r>
    <r>
      <rPr>
        <b/>
        <i/>
        <sz val="12"/>
        <rFont val="Times New Roman"/>
        <family val="1"/>
      </rPr>
      <t>(Reminder: Do not count the computer host.)</t>
    </r>
  </si>
  <si>
    <r>
      <t>4. Computer for Administrative Use</t>
    </r>
    <r>
      <rPr>
        <sz val="11"/>
        <rFont val="Times New Roman"/>
        <family val="1"/>
      </rPr>
      <t xml:space="preserve"> - refers to computer units used for encoding administrative data of the school (e.g., enrollment, attendance, disbursements, financial statements, and other reports).</t>
    </r>
  </si>
  <si>
    <r>
      <rPr>
        <b/>
        <i/>
        <sz val="11"/>
        <rFont val="Times New Roman"/>
        <family val="1"/>
      </rPr>
      <t>ICT Equipment</t>
    </r>
    <r>
      <rPr>
        <sz val="11"/>
        <rFont val="Times New Roman"/>
        <family val="1"/>
      </rPr>
      <t xml:space="preserve"> - refers to electronic devices such as hardware and software that are intended to perform information processing and communication functions.</t>
    </r>
  </si>
  <si>
    <r>
      <rPr>
        <b/>
        <i/>
        <sz val="11"/>
        <rFont val="Times New Roman"/>
        <family val="1"/>
      </rPr>
      <t>Lapel</t>
    </r>
    <r>
      <rPr>
        <sz val="11"/>
        <rFont val="Times New Roman"/>
        <family val="1"/>
      </rPr>
      <t xml:space="preserve"> - refers to an electronic device used to amplify voice. </t>
    </r>
  </si>
  <si>
    <t>BAYANTEL</t>
  </si>
  <si>
    <t>DIGITEL</t>
  </si>
  <si>
    <t>PLDT</t>
  </si>
  <si>
    <r>
      <rPr>
        <b/>
        <i/>
        <sz val="11"/>
        <rFont val="Times New Roman"/>
        <family val="1"/>
      </rPr>
      <t>Internet Service Provider (ISP)</t>
    </r>
    <r>
      <rPr>
        <sz val="11"/>
        <rFont val="Times New Roman"/>
        <family val="1"/>
      </rPr>
      <t xml:space="preserve"> - refers to an organization that provides a myriad of services for accessing, using, or participating in the internet.</t>
    </r>
  </si>
  <si>
    <t>(Wired, Fixed wireless, Satellite, 
USB Modem)</t>
  </si>
  <si>
    <t>(Select from available ISPs above)</t>
  </si>
  <si>
    <t>(in PhP)</t>
  </si>
  <si>
    <t>(DepEd DICP, MOOE, School Funds, LGU/SEF, PTA, Private Donations, Other Government Agencies, Others)</t>
  </si>
  <si>
    <r>
      <rPr>
        <b/>
        <i/>
        <sz val="11"/>
        <rFont val="Times New Roman"/>
        <family val="1"/>
      </rPr>
      <t>2. Average Monthly Expense</t>
    </r>
    <r>
      <rPr>
        <sz val="11"/>
        <rFont val="Times New Roman"/>
        <family val="1"/>
      </rPr>
      <t xml:space="preserve"> - refers to the average cost spent in Philippine Peso for the internet connection by type, ISP and funding source.</t>
    </r>
  </si>
  <si>
    <r>
      <rPr>
        <b/>
        <i/>
        <sz val="11"/>
        <rFont val="Times New Roman"/>
        <family val="1"/>
      </rPr>
      <t>3. Funding Source</t>
    </r>
    <r>
      <rPr>
        <sz val="11"/>
        <rFont val="Times New Roman"/>
        <family val="1"/>
      </rPr>
      <t xml:space="preserve"> - refers to the financial resource of the government or other entity set aside for specific purposes to finance specific programs and projects.</t>
    </r>
  </si>
  <si>
    <t>Cellular Service Provider</t>
  </si>
  <si>
    <t xml:space="preserve">Types of Cellular Wireless Technology </t>
  </si>
  <si>
    <t>(SMART, GLOBE, TALK n TEXT, 
SUN, DITO, RED MOBILE, 
TOUCH MOBILE, Others)</t>
  </si>
  <si>
    <t>(Check all applicable)</t>
  </si>
  <si>
    <t>(2G/3G/LTE/5G)</t>
  </si>
  <si>
    <t>Text/SMS</t>
  </si>
  <si>
    <t>Video Call</t>
  </si>
  <si>
    <t>Call</t>
  </si>
  <si>
    <t>No Signal at all</t>
  </si>
  <si>
    <t>Send/View Images</t>
  </si>
  <si>
    <r>
      <rPr>
        <b/>
        <i/>
        <sz val="11"/>
        <rFont val="Times New Roman"/>
        <family val="1"/>
      </rPr>
      <t>1. Cellular Service Provider</t>
    </r>
    <r>
      <rPr>
        <sz val="11"/>
        <rFont val="Times New Roman"/>
        <family val="1"/>
      </rPr>
      <t xml:space="preserve"> - refers to an authorized telecommunication company to provide cellular , mobile, and telephone service in a specified service area.</t>
    </r>
  </si>
  <si>
    <t>e. DITO</t>
  </si>
  <si>
    <t>f. Others</t>
  </si>
  <si>
    <r>
      <rPr>
        <b/>
        <i/>
        <sz val="11"/>
        <rFont val="Times New Roman"/>
        <family val="1"/>
      </rPr>
      <t>2. Signal Capacity</t>
    </r>
    <r>
      <rPr>
        <sz val="11"/>
        <rFont val="Times New Roman"/>
        <family val="1"/>
      </rPr>
      <t xml:space="preserve"> - refers to the ability of the cellular's signal to perform activities.</t>
    </r>
  </si>
  <si>
    <r>
      <t xml:space="preserve">b. Call - </t>
    </r>
    <r>
      <rPr>
        <sz val="11"/>
        <rFont val="Times New Roman"/>
        <family val="1"/>
      </rPr>
      <t>refers to the ability to complete a call without signal drop</t>
    </r>
    <r>
      <rPr>
        <b/>
        <sz val="11"/>
        <rFont val="Times New Roman"/>
        <family val="1"/>
      </rPr>
      <t>.</t>
    </r>
  </si>
  <si>
    <r>
      <t xml:space="preserve">c. Send / View images - </t>
    </r>
    <r>
      <rPr>
        <sz val="11"/>
        <rFont val="Times New Roman"/>
        <family val="1"/>
      </rPr>
      <t>refers to the ability to receive and send images without image corruption</t>
    </r>
    <r>
      <rPr>
        <b/>
        <sz val="11"/>
        <rFont val="Times New Roman"/>
        <family val="1"/>
      </rPr>
      <t>.</t>
    </r>
  </si>
  <si>
    <r>
      <t>d. Video Call</t>
    </r>
    <r>
      <rPr>
        <sz val="11"/>
        <rFont val="Times New Roman"/>
        <family val="1"/>
      </rPr>
      <t xml:space="preserve"> - refers to the ability to initiate and receive video call without interruption. </t>
    </r>
  </si>
  <si>
    <r>
      <t>e. No Signal at all</t>
    </r>
    <r>
      <rPr>
        <sz val="11"/>
        <rFont val="Times New Roman"/>
        <family val="1"/>
      </rPr>
      <t xml:space="preserve"> - refers to the cellular's reception/signal with no ability to perform all the above-mentioned activities.</t>
    </r>
  </si>
  <si>
    <r>
      <rPr>
        <b/>
        <i/>
        <sz val="11"/>
        <rFont val="Times New Roman"/>
        <family val="1"/>
      </rPr>
      <t>3. Types of Cellular Wireless Technology</t>
    </r>
    <r>
      <rPr>
        <sz val="11"/>
        <rFont val="Times New Roman"/>
        <family val="1"/>
      </rPr>
      <t xml:space="preserve"> - refers to the type/level of wireless mobile telecommunications technology available.</t>
    </r>
  </si>
  <si>
    <r>
      <rPr>
        <b/>
        <i/>
        <sz val="11"/>
        <rFont val="Times New Roman"/>
        <family val="1"/>
      </rPr>
      <t xml:space="preserve">a. 2G (Second Generation) </t>
    </r>
    <r>
      <rPr>
        <sz val="11"/>
        <rFont val="Times New Roman"/>
        <family val="1"/>
      </rPr>
      <t>- refers to a cellular wireless technology that offers a theoretical maximum transfer speed of 40 kbit/s (5 KB/s)</t>
    </r>
    <r>
      <rPr>
        <b/>
        <sz val="11"/>
        <rFont val="Times New Roman"/>
        <family val="1"/>
      </rPr>
      <t>.</t>
    </r>
  </si>
  <si>
    <r>
      <rPr>
        <b/>
        <i/>
        <sz val="11"/>
        <rFont val="Times New Roman"/>
        <family val="1"/>
      </rPr>
      <t>b. 3G (Third Generation)</t>
    </r>
    <r>
      <rPr>
        <b/>
        <sz val="11"/>
        <rFont val="Times New Roman"/>
        <family val="1"/>
      </rPr>
      <t xml:space="preserve"> </t>
    </r>
    <r>
      <rPr>
        <sz val="11"/>
        <rFont val="Times New Roman"/>
        <family val="1"/>
      </rPr>
      <t>-  refers to a cellular wireless technology that offers a speed of at least 7.2 Mbps.</t>
    </r>
  </si>
  <si>
    <r>
      <t>c. LTE (Long Term Evolution) -</t>
    </r>
    <r>
      <rPr>
        <sz val="11"/>
        <rFont val="Times New Roman"/>
        <family val="1"/>
      </rPr>
      <t xml:space="preserve"> refers to a mobile wireless technology that offers a speed of 50 Mbps to 100 Mbps.</t>
    </r>
  </si>
  <si>
    <r>
      <t>d. 5G (FifthGeneration) -</t>
    </r>
    <r>
      <rPr>
        <sz val="11"/>
        <rFont val="Times New Roman"/>
        <family val="1"/>
      </rPr>
      <t xml:space="preserve"> refers to a cellular wireless technology that offers a speed of around 1 Gbps to 20 Gbps.</t>
    </r>
  </si>
  <si>
    <r>
      <rPr>
        <b/>
        <i/>
        <sz val="11"/>
        <rFont val="Times New Roman"/>
        <family val="1"/>
      </rPr>
      <t>4. Average Monthly Expense</t>
    </r>
    <r>
      <rPr>
        <sz val="11"/>
        <rFont val="Times New Roman"/>
        <family val="1"/>
      </rPr>
      <t xml:space="preserve"> - refers to the average cost spent in Philippine Peso for the cellular communication by type of cellular wireless technology, cellular service provider and funding source.</t>
    </r>
  </si>
  <si>
    <r>
      <rPr>
        <b/>
        <i/>
        <sz val="11"/>
        <rFont val="Times New Roman"/>
        <family val="1"/>
      </rPr>
      <t>5. Funding Source</t>
    </r>
    <r>
      <rPr>
        <sz val="11"/>
        <rFont val="Times New Roman"/>
        <family val="1"/>
      </rPr>
      <t xml:space="preserve"> - refers to the identified source of financial support/fund type</t>
    </r>
    <r>
      <rPr>
        <b/>
        <sz val="11"/>
        <rFont val="Times New Roman"/>
        <family val="1"/>
      </rPr>
      <t>.</t>
    </r>
  </si>
  <si>
    <t>Note:  This table shall be filled out if the school subscribe to any cellular service provider.</t>
  </si>
  <si>
    <t>(InkJet Printer, Laser Printer,
 LED Printer, Multifunction Printer, 
Solid Ink Printer, Photocopier, Others)</t>
  </si>
  <si>
    <t>(For administrative use,
 For classroom instruction use,
 For both administrative &amp; classroom instruction use)</t>
  </si>
  <si>
    <t>Types of Printer / Photocopier:</t>
  </si>
  <si>
    <r>
      <rPr>
        <b/>
        <i/>
        <sz val="11"/>
        <rFont val="Times New Roman"/>
        <family val="1"/>
      </rPr>
      <t>InkJet Printer</t>
    </r>
    <r>
      <rPr>
        <sz val="11"/>
        <rFont val="Times New Roman"/>
        <family val="1"/>
      </rPr>
      <t xml:space="preserve"> - refers to a printer that uses ink to print documents.</t>
    </r>
  </si>
  <si>
    <r>
      <rPr>
        <b/>
        <i/>
        <sz val="11"/>
        <rFont val="Times New Roman"/>
        <family val="1"/>
      </rPr>
      <t>Laser Printer</t>
    </r>
    <r>
      <rPr>
        <sz val="11"/>
        <rFont val="Times New Roman"/>
        <family val="1"/>
      </rPr>
      <t xml:space="preserve"> - refers to a printer that uses laser to print documents.</t>
    </r>
  </si>
  <si>
    <r>
      <rPr>
        <b/>
        <i/>
        <sz val="11"/>
        <rFont val="Times New Roman"/>
        <family val="1"/>
      </rPr>
      <t>LED Printer</t>
    </r>
    <r>
      <rPr>
        <sz val="11"/>
        <rFont val="Times New Roman"/>
        <family val="1"/>
      </rPr>
      <t xml:space="preserve"> - refers to a printer that uses light-emitting diode (LED) to print documents.</t>
    </r>
  </si>
  <si>
    <r>
      <rPr>
        <b/>
        <i/>
        <sz val="11"/>
        <rFont val="Times New Roman"/>
        <family val="1"/>
      </rPr>
      <t>Multifunction Printer</t>
    </r>
    <r>
      <rPr>
        <sz val="11"/>
        <rFont val="Times New Roman"/>
        <family val="1"/>
      </rPr>
      <t xml:space="preserve"> - refers to a machine that has a scanner, photocopier, printer, and fax machine all rolled into one unit.</t>
    </r>
  </si>
  <si>
    <r>
      <rPr>
        <b/>
        <i/>
        <sz val="11"/>
        <rFont val="Times New Roman"/>
        <family val="1"/>
      </rPr>
      <t>Solid Ink Printer</t>
    </r>
    <r>
      <rPr>
        <sz val="11"/>
        <rFont val="Times New Roman"/>
        <family val="1"/>
      </rPr>
      <t xml:space="preserve"> - refers to a technology using a unique type of tinting, which is previously melted into a fluid.</t>
    </r>
  </si>
  <si>
    <r>
      <rPr>
        <b/>
        <i/>
        <sz val="11"/>
        <rFont val="Times New Roman"/>
        <family val="1"/>
      </rPr>
      <t>Photocopier</t>
    </r>
    <r>
      <rPr>
        <sz val="11"/>
        <rFont val="Times New Roman"/>
        <family val="1"/>
      </rPr>
      <t xml:space="preserve"> - refers to a machine that makes copies of documents and other visual images.</t>
    </r>
  </si>
  <si>
    <r>
      <rPr>
        <b/>
        <i/>
        <sz val="11"/>
        <rFont val="Times New Roman"/>
        <family val="1"/>
      </rPr>
      <t>Others</t>
    </r>
    <r>
      <rPr>
        <sz val="11"/>
        <rFont val="Times New Roman"/>
        <family val="1"/>
      </rPr>
      <t xml:space="preserve"> - refers to a printer/photocopier that are not mentioned above.</t>
    </r>
  </si>
  <si>
    <r>
      <t>Brand/Model</t>
    </r>
    <r>
      <rPr>
        <b/>
        <sz val="11"/>
        <rFont val="Times New Roman"/>
        <family val="1"/>
      </rPr>
      <t xml:space="preserve"> </t>
    </r>
    <r>
      <rPr>
        <sz val="11"/>
        <rFont val="Times New Roman"/>
        <family val="1"/>
      </rPr>
      <t>- refers to the product manufactured by a particular company under a particular name.</t>
    </r>
  </si>
  <si>
    <r>
      <t xml:space="preserve">Average Monthly Expense - </t>
    </r>
    <r>
      <rPr>
        <sz val="11"/>
        <rFont val="Times New Roman"/>
        <family val="1"/>
      </rPr>
      <t>refers to the</t>
    </r>
    <r>
      <rPr>
        <b/>
        <i/>
        <sz val="11"/>
        <rFont val="Times New Roman"/>
        <family val="1"/>
      </rPr>
      <t xml:space="preserve"> </t>
    </r>
    <r>
      <rPr>
        <sz val="11"/>
        <rFont val="Times New Roman"/>
        <family val="1"/>
      </rPr>
      <t>average cost spent in Philippine Peso for the printer/photocopier use by type, brand/model, funding source and purpose.</t>
    </r>
  </si>
  <si>
    <r>
      <t>Funding Source</t>
    </r>
    <r>
      <rPr>
        <sz val="11"/>
        <rFont val="Times New Roman"/>
        <family val="1"/>
      </rPr>
      <t xml:space="preserve"> - refers to the identified source of financial support/fund type.</t>
    </r>
  </si>
  <si>
    <r>
      <t xml:space="preserve">Purpose - </t>
    </r>
    <r>
      <rPr>
        <sz val="11"/>
        <rFont val="Times New Roman"/>
        <family val="1"/>
      </rPr>
      <t>refers to the purpose of printer/photocopier if for administrative use, for classroom instruction use or for both administrative &amp; classroom instruction use.</t>
    </r>
  </si>
  <si>
    <t>Types of Broadcasting Station</t>
  </si>
  <si>
    <t>Status of Partnership</t>
  </si>
  <si>
    <t>Date of Broadcasting Started</t>
  </si>
  <si>
    <t xml:space="preserve">(Local TV, CATV, DTT, AM/FM Radio Station) </t>
  </si>
  <si>
    <t>(e.g. 594 kHz/ 
97.1 MHz)</t>
  </si>
  <si>
    <t>(e.g. ESD-RCE-2126881)</t>
  </si>
  <si>
    <t xml:space="preserve">(w/ signed MOA, Ongoing, for MOA signing)  </t>
  </si>
  <si>
    <t>(mm/dd/yyyy)</t>
  </si>
  <si>
    <r>
      <t xml:space="preserve">Types of Broadcasting Station - </t>
    </r>
    <r>
      <rPr>
        <sz val="11"/>
        <rFont val="Times New Roman"/>
        <family val="1"/>
      </rPr>
      <t>refers to</t>
    </r>
    <r>
      <rPr>
        <b/>
        <i/>
        <sz val="11"/>
        <rFont val="Times New Roman"/>
        <family val="1"/>
      </rPr>
      <t xml:space="preserve"> </t>
    </r>
    <r>
      <rPr>
        <sz val="11"/>
        <rFont val="Times New Roman"/>
        <family val="1"/>
      </rPr>
      <t>the</t>
    </r>
    <r>
      <rPr>
        <b/>
        <i/>
        <sz val="11"/>
        <rFont val="Times New Roman"/>
        <family val="1"/>
      </rPr>
      <t xml:space="preserve"> </t>
    </r>
    <r>
      <rPr>
        <sz val="11"/>
        <rFont val="Times New Roman"/>
        <family val="1"/>
      </rPr>
      <t>transmission of audio (sound)/video intended to reach a wide audience</t>
    </r>
    <r>
      <rPr>
        <b/>
        <i/>
        <sz val="11"/>
        <rFont val="Times New Roman"/>
        <family val="1"/>
      </rPr>
      <t>.</t>
    </r>
  </si>
  <si>
    <r>
      <t xml:space="preserve">Digital Terrestrial Television (DTT) - </t>
    </r>
    <r>
      <rPr>
        <sz val="11"/>
        <rFont val="Times New Roman"/>
        <family val="1"/>
      </rPr>
      <t xml:space="preserve">refers to the television stations broadcast in digital format. </t>
    </r>
  </si>
  <si>
    <r>
      <t xml:space="preserve">AM Radio Station - </t>
    </r>
    <r>
      <rPr>
        <sz val="11"/>
        <rFont val="Times New Roman"/>
        <family val="1"/>
      </rPr>
      <t>refers to the</t>
    </r>
    <r>
      <rPr>
        <b/>
        <i/>
        <sz val="11"/>
        <rFont val="Times New Roman"/>
        <family val="1"/>
      </rPr>
      <t xml:space="preserve"> </t>
    </r>
    <r>
      <rPr>
        <sz val="11"/>
        <rFont val="Times New Roman"/>
        <family val="1"/>
      </rPr>
      <t>radio broadcasting using Amplitude Modulation (AM)</t>
    </r>
    <r>
      <rPr>
        <b/>
        <i/>
        <sz val="11"/>
        <rFont val="Times New Roman"/>
        <family val="1"/>
      </rPr>
      <t>.</t>
    </r>
  </si>
  <si>
    <r>
      <t xml:space="preserve">FM Radio Station - </t>
    </r>
    <r>
      <rPr>
        <sz val="11"/>
        <rFont val="Times New Roman"/>
        <family val="1"/>
      </rPr>
      <t>refers to the</t>
    </r>
    <r>
      <rPr>
        <b/>
        <i/>
        <sz val="11"/>
        <rFont val="Times New Roman"/>
        <family val="1"/>
      </rPr>
      <t xml:space="preserve"> </t>
    </r>
    <r>
      <rPr>
        <sz val="11"/>
        <rFont val="Times New Roman"/>
        <family val="1"/>
      </rPr>
      <t>radio broadcasting using Frequency Modulation (FM)</t>
    </r>
    <r>
      <rPr>
        <b/>
        <i/>
        <sz val="11"/>
        <rFont val="Times New Roman"/>
        <family val="1"/>
      </rPr>
      <t>.</t>
    </r>
  </si>
  <si>
    <r>
      <t xml:space="preserve">Frequency - </t>
    </r>
    <r>
      <rPr>
        <sz val="11"/>
        <rFont val="Times New Roman"/>
        <family val="1"/>
      </rPr>
      <t>refers to the band at which wireless telecommunications signals are being transmitted and broadcast. This ranges from 3 kHz to 300 GHz.</t>
    </r>
  </si>
  <si>
    <r>
      <t xml:space="preserve">Date of Broadcasting Started - </t>
    </r>
    <r>
      <rPr>
        <sz val="11"/>
        <rFont val="Times New Roman"/>
        <family val="1"/>
      </rPr>
      <t xml:space="preserve">refers to the date when a contract begins. </t>
    </r>
  </si>
  <si>
    <t>Note:  This table shall be filled out if the school implements broadcasting station and partnered to any broadcasting service provider.</t>
  </si>
  <si>
    <t>Number of Units</t>
  </si>
  <si>
    <t>(UHF Two-Way Radio, 
VHF Two-Way Radio)</t>
  </si>
  <si>
    <r>
      <t>UHF -</t>
    </r>
    <r>
      <rPr>
        <sz val="11"/>
        <rFont val="Times New Roman"/>
        <family val="1"/>
      </rPr>
      <t xml:space="preserve"> refers to the Two-Way Radio that uses Ultra High Frequency (UHF).</t>
    </r>
  </si>
  <si>
    <r>
      <t xml:space="preserve">VHF - </t>
    </r>
    <r>
      <rPr>
        <sz val="11"/>
        <rFont val="Times New Roman"/>
        <family val="1"/>
      </rPr>
      <t>refers to the Two-Way Radio that uses Very High Frequency (VHF).</t>
    </r>
  </si>
  <si>
    <r>
      <rPr>
        <b/>
        <i/>
        <sz val="11"/>
        <rFont val="Times New Roman"/>
        <family val="1"/>
      </rPr>
      <t>NTC License Number</t>
    </r>
    <r>
      <rPr>
        <sz val="11"/>
        <rFont val="Times New Roman"/>
        <family val="1"/>
      </rPr>
      <t xml:space="preserve"> - refers to the license number of the issued National Telecommunications Commission (NTC) permit. </t>
    </r>
  </si>
  <si>
    <t>Note:  This table shall be filled out if the school implements radio-based instruction.</t>
  </si>
  <si>
    <t>School teaches DRRM-,CCAM-, and Peace-related concepts</t>
  </si>
  <si>
    <t>Subjects</t>
  </si>
  <si>
    <t>DRRM-related concepts</t>
  </si>
  <si>
    <t>CCAM-related concepts</t>
  </si>
  <si>
    <t>Peace-related concepts</t>
  </si>
  <si>
    <t>Number of DRRM-, CCAM-, and Peace-related topics integrated in SpEd/IPEd/ALS program, learning competencies and contents introduced by the school/teachers to supplement the Curriculum Guide, and learning competencies contextualized in learning resources</t>
  </si>
  <si>
    <t>Topics/
Competencies</t>
  </si>
  <si>
    <t>Integrated topics to Program</t>
  </si>
  <si>
    <t>Introduced Learning Competencies by School/Teachers</t>
  </si>
  <si>
    <t>Introduced Contents by School/ Teachers</t>
  </si>
  <si>
    <t xml:space="preserve">Contextualized Learning
Resources </t>
  </si>
  <si>
    <t>SpEd</t>
  </si>
  <si>
    <t>Learners with
Disability</t>
  </si>
  <si>
    <t>Part 3a. Resilience Education</t>
  </si>
  <si>
    <t>A.</t>
  </si>
  <si>
    <t>DRRM Activities</t>
  </si>
  <si>
    <t>Other, (specify):</t>
  </si>
  <si>
    <t>B.</t>
  </si>
  <si>
    <t>CCAM Activities</t>
  </si>
  <si>
    <t>C.</t>
  </si>
  <si>
    <t>Peacebuilding Activities</t>
  </si>
  <si>
    <t>Celebration and commemoration of special events related to peace and 
human rights</t>
  </si>
  <si>
    <t>Part 3b. Resilience Education</t>
  </si>
  <si>
    <t>Number of learners that participated in DRRM, CCAM, and Peacebuilding activities</t>
  </si>
  <si>
    <t>Celebration and commemoration of special 
events related to DRRM</t>
  </si>
  <si>
    <t>Art, essay, slogan, etc. contests for climate
change adaptation and mitigation</t>
  </si>
  <si>
    <t>Change the Current: A Climate Action
Online Training for Adolescents</t>
  </si>
  <si>
    <t>Climate Change Adaptation and Mitigation
Conferences or Camps</t>
  </si>
  <si>
    <t>KaLIKHAsan Climate Action Action
Advocacy Show</t>
  </si>
  <si>
    <t>Celebration and commemoration of special
events related to climate change</t>
  </si>
  <si>
    <t>Celebration and commemoration of special
events related to peace and human rights</t>
  </si>
  <si>
    <t>Topics</t>
  </si>
  <si>
    <t>Trainings
Conducted</t>
  </si>
  <si>
    <t>Part 3c. Resilience Education</t>
  </si>
  <si>
    <t>PPAs led by
learners</t>
  </si>
  <si>
    <t>Part 3d. Resilience Education</t>
  </si>
  <si>
    <t>Table 21. NUMBER OF OPEN EDUCATIONAL RESOURCES (OERs) USED AS DISTANCE LEARNING MODALITY DEVELOPED BY TEACHERS</t>
  </si>
  <si>
    <t>42-43</t>
  </si>
  <si>
    <t>44-45</t>
  </si>
  <si>
    <t>Totals in column 7 of this table shall be equal to the totals in Table 7 (column 18 - Total Nationally-funded teachers working in the school).</t>
  </si>
  <si>
    <r>
      <t xml:space="preserve">Instructional strategy - </t>
    </r>
    <r>
      <rPr>
        <sz val="11"/>
        <rFont val="Times New Roman"/>
        <family val="1"/>
      </rPr>
      <t>refers to approach that links and associates content-based material to real life situations to make teaching and learning effective, compelling, and engaging.</t>
    </r>
  </si>
  <si>
    <r>
      <t xml:space="preserve">Special Patent </t>
    </r>
    <r>
      <rPr>
        <sz val="11"/>
        <rFont val="Times New Roman"/>
        <family val="1"/>
      </rPr>
      <t>- refers to a public instrument issued by the government confirming the grant by the State of the ownership over a parcel of agricultural land (alienable and disposable) in favor of a grantee.</t>
    </r>
  </si>
  <si>
    <r>
      <t xml:space="preserve">Special Forest Landuse Agreement (FLAg) </t>
    </r>
    <r>
      <rPr>
        <i/>
        <sz val="11"/>
        <rFont val="Times New Roman"/>
        <family val="1"/>
      </rPr>
      <t>-</t>
    </r>
    <r>
      <rPr>
        <sz val="11"/>
        <rFont val="Times New Roman"/>
        <family val="1"/>
      </rPr>
      <t xml:space="preserve"> refers to contract between the government as first party represented by the Secretary or the Regional Director concerned, and a second party or a person, authorizing the latter to </t>
    </r>
  </si>
  <si>
    <r>
      <t xml:space="preserve">1. Local piped water </t>
    </r>
    <r>
      <rPr>
        <sz val="11"/>
        <rFont val="Times New Roman"/>
        <family val="1"/>
      </rPr>
      <t>- water source coming from local water service providers.</t>
    </r>
  </si>
  <si>
    <r>
      <t>2. Water well</t>
    </r>
    <r>
      <rPr>
        <sz val="11"/>
        <rFont val="Times New Roman"/>
        <family val="1"/>
      </rPr>
      <t xml:space="preserve"> - an excavation structure in the ground by digging, driving, boring or drilling to access water in underground aquifiers.</t>
    </r>
  </si>
  <si>
    <r>
      <t>3. Rainwater catchment</t>
    </r>
    <r>
      <rPr>
        <sz val="11"/>
        <rFont val="Times New Roman"/>
        <family val="1"/>
      </rPr>
      <t xml:space="preserve"> - water sourced from rainwater and collected thru a rainwater collector.</t>
    </r>
  </si>
  <si>
    <r>
      <t>4. Natural source</t>
    </r>
    <r>
      <rPr>
        <b/>
        <sz val="11"/>
        <rFont val="Times New Roman"/>
        <family val="1"/>
      </rPr>
      <t xml:space="preserve"> - </t>
    </r>
    <r>
      <rPr>
        <sz val="11"/>
        <rFont val="Times New Roman"/>
        <family val="1"/>
      </rPr>
      <t>water sourced from a spring or stream that is either located inside the school grounds or located outside school grounds but water is supplied via pipes.</t>
    </r>
  </si>
  <si>
    <r>
      <t>1. Group handwashing facility</t>
    </r>
    <r>
      <rPr>
        <sz val="11"/>
        <rFont val="Times New Roman"/>
        <family val="1"/>
      </rPr>
      <t xml:space="preserve"> - a facility to be used in supervised handwashing and toothbrushing activtity that can accommodate at least 10 learners.</t>
    </r>
  </si>
  <si>
    <r>
      <t>2. Individual handwashing facility</t>
    </r>
    <r>
      <rPr>
        <sz val="11"/>
        <rFont val="Times New Roman"/>
        <family val="1"/>
      </rPr>
      <t xml:space="preserve"> - a facility in the classroom, drinking points, near toilets, near the canteen, etc. that learners can be used for handwashing at critical times.</t>
    </r>
  </si>
  <si>
    <r>
      <t>3. Functional facilities for handwashing</t>
    </r>
    <r>
      <rPr>
        <sz val="11"/>
        <rFont val="Times New Roman"/>
        <family val="1"/>
      </rPr>
      <t xml:space="preserve"> - the hand washing facility is accessible, with daily water supply, learner-appropriate height and with appropriate drainage.</t>
    </r>
  </si>
  <si>
    <r>
      <t>4. Non-functional facilities for handwashing</t>
    </r>
    <r>
      <rPr>
        <sz val="11"/>
        <rFont val="Times New Roman"/>
        <family val="1"/>
      </rPr>
      <t xml:space="preserve"> - the hand washing facility is broken, clogged or damaged in such a way that it cannot be used.</t>
    </r>
  </si>
  <si>
    <r>
      <t>5. Water Outlet</t>
    </r>
    <r>
      <rPr>
        <sz val="11"/>
        <rFont val="Times New Roman"/>
        <family val="1"/>
      </rPr>
      <t xml:space="preserve"> - any opening where water comes out for handwashing (e.g., Faucets, Punch Pipes, etc.).</t>
    </r>
  </si>
  <si>
    <t>Number of School Days lost due to class suspensions resulting from human-induced hazards, except armed conflict</t>
  </si>
  <si>
    <t>School has documented a Memorandum of Understanding or Memorandum of Agreement with the LGU and DSWD for the use of its facilities as evacuation centers following the JMC No. 1, s. 2013 and RA 10821</t>
  </si>
  <si>
    <r>
      <t xml:space="preserve">If </t>
    </r>
    <r>
      <rPr>
        <b/>
        <sz val="12"/>
        <rFont val="Times New Roman"/>
        <family val="1"/>
      </rPr>
      <t>Yes</t>
    </r>
    <r>
      <rPr>
        <sz val="12"/>
        <rFont val="Times New Roman"/>
        <family val="1"/>
      </rPr>
      <t xml:space="preserve">, what ethnicity? </t>
    </r>
  </si>
  <si>
    <r>
      <rPr>
        <b/>
        <i/>
        <sz val="12"/>
        <rFont val="Times New Roman"/>
        <family val="1"/>
      </rPr>
      <t>Indigenous Cultural Communities/Indigenous Peoples</t>
    </r>
    <r>
      <rPr>
        <i/>
        <sz val="12"/>
        <rFont val="Times New Roman"/>
        <family val="1"/>
      </rPr>
      <t xml:space="preserve"> (ICCs/IPs)</t>
    </r>
    <r>
      <rPr>
        <sz val="11"/>
        <rFont val="Times New Roman"/>
        <family val="1"/>
      </rPr>
      <t>— refer to a group of people or homogenous societies identified by self-ascription and ascription by others, who have continuously lived as an organized community on communally bounded and defined territory, and who have, under claims of ownership since time immemorial, occupied, possessed and utilized such territories, sharing common bonds of language, customs, traditions and other distinctive cultural traits, or who have, through resistance to political, social and cultural inroads of colonization, non-indigenous religions and cultures, became historically differentiated from the majority of Filipinos. ICCs/IPs shall likewise include peoples who are regarded as indigenous on account of their descent from the populations which inhabited the country, at the time of conquest or colonization, or at the time of inroads of non-indigenous religions and cultures, or the establishment of present state boundaries, who retain some or all of their own social, economic, cultural and political institutions, but who may have been displaced from their traditional domains or who may have resettled outside their ancestral domains;</t>
    </r>
    <r>
      <rPr>
        <b/>
        <sz val="11"/>
        <rFont val="Times New Roman"/>
        <family val="1"/>
      </rPr>
      <t xml:space="preserve">
</t>
    </r>
    <r>
      <rPr>
        <b/>
        <i/>
        <sz val="10"/>
        <rFont val="Times New Roman"/>
        <family val="1"/>
      </rPr>
      <t>Source: IPRA of 1997
Link: https://www.officialgazette.gov.ph/1997/10/29/republic-act-no-8371/</t>
    </r>
  </si>
  <si>
    <r>
      <rPr>
        <b/>
        <i/>
        <sz val="12"/>
        <rFont val="Times New Roman"/>
        <family val="1"/>
      </rPr>
      <t>Ethnicity</t>
    </r>
    <r>
      <rPr>
        <sz val="11"/>
        <rFont val="Times New Roman"/>
        <family val="1"/>
      </rPr>
      <t xml:space="preserve"> is a primary sense of belonging to an ethnic group. Ethnic group is consanguine in nature, meaning, the ties are reckoned by blood and traced through the family tree. Thus, ethnicity refers to the household member's identity, by blood and not by choice nor by adoption/confirmation for any ethnic group, primarily the Indigenous Peoples (IPs).
Generally, ethnic grouping denotes genealogical and paternal lineage to any of the Philippines' group of native population. However, for the purpose of census, ethnic grouping also includes maternal lineage. As such, anybody whose consanguinity with either both parents or any one of them who is a member of an IP group, is an Indigenous Person.
The updated categories of ethnicity are provided by the National Commission on Indigenous Peoples and the National Commission on Muslim Filipinos.
</t>
    </r>
    <r>
      <rPr>
        <b/>
        <i/>
        <sz val="10"/>
        <rFont val="Times New Roman"/>
        <family val="1"/>
      </rPr>
      <t>Source: 2010 Census of Population and Housing (CPH) &amp; 2015 Population Census (POPCEN)
Link: https://psa.gov.ph/content/ethnicity-1</t>
    </r>
  </si>
  <si>
    <r>
      <t xml:space="preserve">Creative Commons Rule - </t>
    </r>
    <r>
      <rPr>
        <sz val="11"/>
        <rFont val="Times New Roman"/>
        <family val="1"/>
      </rPr>
      <t>refers to the rule that gives license issued by the copyright owner to allow anyone in the world to use his or her copyright work in any manner consistent with that license. This license allows reusers to distribute, remix, adapt, and build upon the material in any medium or format for commercial and noncommercial purposes only, and only so long as attribution is given to the creator. If you remix, adapt, or build upon the material, you must license the modified material under identical terms, and this license allows reusers to copy and distribute the material in any medium or format in unadapted form only, and only so long as attribution is given to the creator.</t>
    </r>
  </si>
  <si>
    <t xml:space="preserve">C. Subject/s Identified by Teachers that needs more resources as supplemental </t>
  </si>
  <si>
    <r>
      <t xml:space="preserve">Annex/Extension School </t>
    </r>
    <r>
      <rPr>
        <b/>
        <i/>
        <sz val="12"/>
        <rFont val="Times New Roman"/>
        <family val="1"/>
      </rPr>
      <t>(Indicate Mother School ID:</t>
    </r>
  </si>
  <si>
    <t>Farm School</t>
  </si>
  <si>
    <r>
      <t>Implementing Unit (</t>
    </r>
    <r>
      <rPr>
        <b/>
        <i/>
        <sz val="9"/>
        <rFont val="Times New Roman"/>
        <family val="1"/>
      </rPr>
      <t>with any of the following: finance positions, book of accounts or fiscal autonomy and agency code</t>
    </r>
    <r>
      <rPr>
        <b/>
        <sz val="12"/>
        <rFont val="Times New Roman"/>
        <family val="1"/>
      </rPr>
      <t xml:space="preserve">) </t>
    </r>
  </si>
  <si>
    <r>
      <t xml:space="preserve">    guide in DepEd TV </t>
    </r>
    <r>
      <rPr>
        <b/>
        <i/>
        <sz val="12"/>
        <rFont val="Times New Roman"/>
        <family val="1"/>
      </rPr>
      <t>(check all applicable)</t>
    </r>
  </si>
  <si>
    <r>
      <t xml:space="preserve">B. Preferred Method of Teachers Using DepEd TV as a Medium
</t>
    </r>
    <r>
      <rPr>
        <b/>
        <i/>
        <sz val="12"/>
        <rFont val="Times New Roman"/>
        <family val="1"/>
      </rPr>
      <t>(check all applicable)</t>
    </r>
  </si>
  <si>
    <t>(Check the boxes or provide the correct numbers for all DRRM, CCAM, and Peacebuilding Policies)</t>
  </si>
  <si>
    <t>DO 24 s.2021</t>
  </si>
  <si>
    <t>DO 33 s.2021</t>
  </si>
  <si>
    <t>DO 32 s.2019</t>
  </si>
  <si>
    <r>
      <t xml:space="preserve">Learners
 </t>
    </r>
    <r>
      <rPr>
        <b/>
        <u/>
        <sz val="12"/>
        <color theme="1"/>
        <rFont val="Times New Roman"/>
        <family val="1"/>
      </rPr>
      <t>EXCLUDING</t>
    </r>
    <r>
      <rPr>
        <b/>
        <sz val="10"/>
        <color theme="1"/>
        <rFont val="Times New Roman"/>
        <family val="1"/>
      </rPr>
      <t xml:space="preserve"> IP,
Muslim and Learners
with Disability</t>
    </r>
  </si>
  <si>
    <t>A learner can be counted more than once if he/she is either an IP Learner,  Muslim Learner or Learner with Disability at the same time.</t>
  </si>
  <si>
    <r>
      <t xml:space="preserve">Number  of  </t>
    </r>
    <r>
      <rPr>
        <b/>
        <u/>
        <sz val="12"/>
        <rFont val="Times New Roman"/>
        <family val="1"/>
      </rPr>
      <t>school-level policies</t>
    </r>
    <r>
      <rPr>
        <sz val="12"/>
        <rFont val="Times New Roman"/>
        <family val="1"/>
      </rPr>
      <t xml:space="preserve">  on  DRRM,  CCAM,  and  Peacebuilding  developed  and  enhanced  in consultation with the following:</t>
    </r>
  </si>
  <si>
    <t>Note:  For the definitions, refer to Box 28 - Part 5. Monitoring and Evaluation.</t>
  </si>
  <si>
    <r>
      <t xml:space="preserve">School DRRM, CCAM, and Peacebuilding Plans are developed together with the following: </t>
    </r>
    <r>
      <rPr>
        <i/>
        <sz val="12"/>
        <rFont val="Times New Roman"/>
        <family val="1"/>
      </rPr>
      <t>(check all applicable)</t>
    </r>
  </si>
  <si>
    <t>CCAM - Climate Change
Expenditure Tagging</t>
  </si>
  <si>
    <t>Cost of
PPAs</t>
  </si>
  <si>
    <t>Number of evidence-based DRRM-, CCAM-, and Peacebuilding-related research that the school has
undertaken</t>
  </si>
  <si>
    <r>
      <t>CCAM (Climate Change Adaptation and Mitigation)</t>
    </r>
    <r>
      <rPr>
        <sz val="11"/>
        <rFont val="Times New Roman"/>
        <family val="1"/>
      </rPr>
      <t xml:space="preserve"> - Climate change refers to a change in the state of the climate that can be identified (e.g., by using statistical tests) by changes in the mean and/or the variability of its properties and that persists for an extended period, typically decades or longer. (Intergovernmental Panel on Climate Change). Change of climate which is attributed directly or indirectly to human activity that alters the composition of the global atmosphere and which is in addition to natural climate variability observed over comparable time periods. Adjustments in ecological, social, or economic systems in response to actual or expected climatic stimuli and their effects or impacts. It refers to changes in processes, practices, and structures to moderate potential damages or to benefit from opportunities associated with climate change (United Nations Framework Convention on Climate Change).</t>
    </r>
  </si>
  <si>
    <r>
      <t>Climate Change Adaptation -</t>
    </r>
    <r>
      <rPr>
        <i/>
        <sz val="11"/>
        <rFont val="Times New Roman"/>
        <family val="1"/>
      </rPr>
      <t xml:space="preserve"> a climate change response that intends to reduce the vulnerability of human or natural systems to the impacts of climate change and climate-related risks, by maintaining or increasing adaptive capacity and resilience.</t>
    </r>
  </si>
  <si>
    <r>
      <t xml:space="preserve">Climate Change Mitigation - </t>
    </r>
    <r>
      <rPr>
        <i/>
        <sz val="11"/>
        <rFont val="Times New Roman"/>
        <family val="1"/>
      </rPr>
      <t>a climate change response that aims to reduce greenhouse gas emissions (GHG), directly or indirectly, by avoiding or capturing GHG before they are emitted to the atmosphere or sequestering those already in the atmosphere by enhancing "sinks" such as forests.</t>
    </r>
  </si>
  <si>
    <t>Source of Information: Joint Memorandum Circular No. 2015-01 (July 23, 2015). Revised Guidelines for Tagging / Tracking Climate Change Expenditures in the Local Budget. https://niccdies.climate.gov.ph/files/documents/Local%20CCET%20-DBM-DILG-CCC-.pdf</t>
  </si>
  <si>
    <r>
      <t>DRRM (Disaster Risk Reduction and Management)</t>
    </r>
    <r>
      <rPr>
        <sz val="11"/>
        <rFont val="Times New Roman"/>
        <family val="1"/>
      </rPr>
      <t xml:space="preserve"> - is the systemic process of using administrative directives, organizations, and operational skills and capacities to implement strategies, policies, and improved coping capacities in order to lessen the adverse impacts of hazards and the possibility of a disaster.</t>
    </r>
    <r>
      <rPr>
        <b/>
        <i/>
        <sz val="11"/>
        <rFont val="Times New Roman"/>
        <family val="1"/>
      </rPr>
      <t xml:space="preserve">
Source of Definition: DO No. 37, s. 2015 The Comprehensive Disaster Risk Reduction and Management in Education Framework.
http://www.deped.gov.ph/wp-content/uploads/2015/08/DO_s2015_37.pdf</t>
    </r>
  </si>
  <si>
    <r>
      <t>EiE (Education in Emergencies)</t>
    </r>
    <r>
      <rPr>
        <sz val="11"/>
        <rFont val="Times New Roman"/>
        <family val="1"/>
      </rPr>
      <t xml:space="preserve"> - refers to the quality learning opportunities for all ages in situations of crisis, including early childhood development, primary, secondary, non-formal, technical, vocational, higher and adult education. Education in emergencies provides physical, psychosocial and cognitive protection that can sustain and save lives.</t>
    </r>
    <r>
      <rPr>
        <b/>
        <i/>
        <sz val="11"/>
        <rFont val="Times New Roman"/>
        <family val="1"/>
      </rPr>
      <t xml:space="preserve">
Source of Definition: International Network for Education in Emergencies Term Bank.
https://toolkit.ineesite.org/termbank/en/terms/education_in_emergencies</t>
    </r>
  </si>
  <si>
    <r>
      <t>Peacebuilding</t>
    </r>
    <r>
      <rPr>
        <sz val="11"/>
        <rFont val="Times New Roman"/>
        <family val="1"/>
      </rPr>
      <t xml:space="preserve"> - refers to a process that facilitates the establishment of durable peace and tries to prevent the recurrence of violence by addressing root causes and effects of conflict through reconciliation, institution building, and political as well as economic transformation. This consists of a set of physical, social, and structural initiatives that are often an integral part of post-conflict reconstruction and rehabilitation.
</t>
    </r>
    <r>
      <rPr>
        <b/>
        <i/>
        <sz val="11"/>
        <rFont val="Times New Roman"/>
        <family val="1"/>
      </rPr>
      <t>Source of Definition: UNICEF Technical Notes on Conflict Sensitivity and Peacebuilding.
http://www.unicefinemergencies.com/downloads/eresource/docs/KRR/UNICEF%20Technical%20Note%20on%20Conflict%20Sensitivity%20and%20Peacebuilding.pdf</t>
    </r>
  </si>
  <si>
    <r>
      <t>NGOs (Non-Government Organizations) and External Partners</t>
    </r>
    <r>
      <rPr>
        <sz val="11"/>
        <rFont val="Times New Roman"/>
        <family val="1"/>
      </rPr>
      <t xml:space="preserve"> - refers to organizations both public and private, for-profit and non-profit, and other funding sources (private foundations and federal, state, and local monies) that the schools have partnered with and were funded for research and conceptual development activities; includes organizations such as Save the Children and UNICEF, among others.</t>
    </r>
  </si>
  <si>
    <r>
      <t>Teaching Personnel</t>
    </r>
    <r>
      <rPr>
        <sz val="11"/>
        <rFont val="Times New Roman"/>
        <family val="1"/>
      </rPr>
      <t xml:space="preserve"> - refers to school personnel that includes Teacher I-III, Master Teacher I-IV, SPED Teacher I-V, Special Science Teacher, and Instructor I-III</t>
    </r>
    <r>
      <rPr>
        <b/>
        <i/>
        <sz val="11"/>
        <rFont val="Times New Roman"/>
        <family val="1"/>
      </rPr>
      <t>.</t>
    </r>
  </si>
  <si>
    <r>
      <t>Non-Teaching Personnel</t>
    </r>
    <r>
      <rPr>
        <sz val="11"/>
        <rFont val="Times New Roman"/>
        <family val="1"/>
      </rPr>
      <t xml:space="preserve"> - refers to school personnel that includes School Principal I-IV, Head Teacher I-VI, Guidance Coordinator I-III, Guidance Counselor I-III, Administrative Assistant II-III (Disbursing Officer and Senior Bookkeeper), Security Guard, and Utility Worker I</t>
    </r>
    <r>
      <rPr>
        <b/>
        <i/>
        <sz val="11"/>
        <rFont val="Times New Roman"/>
        <family val="1"/>
      </rPr>
      <t>.</t>
    </r>
  </si>
  <si>
    <r>
      <t xml:space="preserve">School has the following structural hazard mitigation measures: </t>
    </r>
    <r>
      <rPr>
        <i/>
        <sz val="12"/>
        <rFont val="Times New Roman"/>
        <family val="1"/>
      </rPr>
      <t>(check all applicable)</t>
    </r>
  </si>
  <si>
    <r>
      <t xml:space="preserve">School has the following non-structural hazard mitigation measures: </t>
    </r>
    <r>
      <rPr>
        <i/>
        <sz val="12"/>
        <rFont val="Times New Roman"/>
        <family val="1"/>
      </rPr>
      <t>(check all applicable)</t>
    </r>
  </si>
  <si>
    <r>
      <t xml:space="preserve">School has undertaken the maintenance of facilities within the following months: </t>
    </r>
    <r>
      <rPr>
        <i/>
        <sz val="12"/>
        <rFont val="Times New Roman"/>
        <family val="1"/>
      </rPr>
      <t>(check all applicable)</t>
    </r>
  </si>
  <si>
    <t>Number of repaired and reconstructed instructional and non-instructional spaces per fund source</t>
  </si>
  <si>
    <t>Repaired</t>
  </si>
  <si>
    <t>Reconstructed</t>
  </si>
  <si>
    <r>
      <t>Basic Educational Facilities Fund</t>
    </r>
    <r>
      <rPr>
        <sz val="11"/>
        <rFont val="Times New Roman"/>
        <family val="1"/>
      </rPr>
      <t xml:space="preserve"> - is an annual budget of the Department for its School Building Program, which covers the improvement and maintenance of school facilities. </t>
    </r>
    <r>
      <rPr>
        <b/>
        <i/>
        <sz val="11"/>
        <rFont val="Times New Roman"/>
        <family val="1"/>
      </rPr>
      <t xml:space="preserve">
Source of Definition: DO No. 35, s. 2017 Revised Guidelines on the Implementation of the Basic Educational Facilities Fund</t>
    </r>
  </si>
  <si>
    <r>
      <t>Instructional Spaces</t>
    </r>
    <r>
      <rPr>
        <sz val="11"/>
        <rFont val="Times New Roman"/>
        <family val="1"/>
      </rPr>
      <t xml:space="preserve"> - these spaces are designed to directly accommodate the educational program. The basic instructional spaces for elementary schools are classrooms and work education shops or multi-purpose buildings for Home Economics and Industrial Arts Classes. However, for secondary schools offering general curriculum, the basic instructional spaces are classrooms, computer rooms, science laboratories, and Technology and Livelihood Education (TLE) shops. In secondary vocational schools, basic instructional spaces also include specialized shops. Other spaces such as libraries, learning centers, gymnasiums, and similar spaces are classified as instructional spaces when they are used directly in conjunction with the curriculum. In line with the changing curriculum, a modular type of school building has been designed to include components for home economics, industrial arts, agricultural arts, etc. in one building unit known as multipurpose workshop building.</t>
    </r>
    <r>
      <rPr>
        <b/>
        <i/>
        <sz val="11"/>
        <rFont val="Times New Roman"/>
        <family val="1"/>
      </rPr>
      <t xml:space="preserve">
Source of Definition: DepEd Educational Facilities Manual</t>
    </r>
  </si>
  <si>
    <r>
      <t>National Disaster Risk Reduction and Management Fund</t>
    </r>
    <r>
      <rPr>
        <sz val="11"/>
        <rFont val="Times New Roman"/>
        <family val="1"/>
      </rPr>
      <t xml:space="preserve"> - refers to the appropriation in the annual GAA which shall be used for disaster risk reduction or mitigation, prevention and preparedness activities such as but not limited to training of personnel, procurement of equipment, and capital expenditures as well as for relief, recovery, reconstruction and other work or services in connection with natural or human induced calamities which may occur during the budget year or those that occurred in the past two (2) years from the budget year.</t>
    </r>
    <r>
      <rPr>
        <b/>
        <i/>
        <sz val="11"/>
        <rFont val="Times New Roman"/>
        <family val="1"/>
      </rPr>
      <t xml:space="preserve">
Source of Definition: National Disaster RIsk Reduction and Management Council Memorandum Circular No. 45, s. 2017 
Guidelines on the Administration of the National Disaster Risk Reduction and Management (NDRRM) Fund
https://ndrrmc.gov.ph/attachments/article/3103/Memo_No-45_s-2017.pdf</t>
    </r>
  </si>
  <si>
    <r>
      <t>Non-instructional Spaces</t>
    </r>
    <r>
      <rPr>
        <sz val="11"/>
        <rFont val="Times New Roman"/>
        <family val="1"/>
      </rPr>
      <t xml:space="preserve"> - refers to administrative, non-programmed, and service spaces within the school, including ancillary facilities.
- The administrative and services spaces are those which serve to facilitate administrative and administration-related functions and services such as administrative offices, canteens, or lunch counters, medical-dental clinics, guidance room, dormitories, etc.
- Non-programmed spaces are those which are not directly related to the implementation of the educational program and administrative functions or services such as lobbies, corridors, stairs, etc.
- Ancillary facilities are one of a group of buildings having a secondary or dependent use, such as an annex.
</t>
    </r>
    <r>
      <rPr>
        <b/>
        <i/>
        <sz val="11"/>
        <rFont val="Times New Roman"/>
        <family val="1"/>
      </rPr>
      <t>Source of Definition: DepEd Educational Facilities Manual</t>
    </r>
  </si>
  <si>
    <r>
      <t>Quick Response Fund</t>
    </r>
    <r>
      <rPr>
        <sz val="11"/>
        <rFont val="Times New Roman"/>
        <family val="1"/>
      </rPr>
      <t xml:space="preserve"> - is a lump sum amount included in DepEd’s budget fully allocated for repair, reconstruction, or replacement of school building and facilities affected by calamities.</t>
    </r>
    <r>
      <rPr>
        <b/>
        <i/>
        <sz val="11"/>
        <rFont val="Times New Roman"/>
        <family val="1"/>
      </rPr>
      <t xml:space="preserve">
Source of Definition: https://www.officialgazette.gov.ph/2011/05/09/deped-issues-strict-guidelines-on-use-of-quick-response-fund/uick </t>
    </r>
  </si>
  <si>
    <r>
      <t>Rehabilitation</t>
    </r>
    <r>
      <rPr>
        <sz val="11"/>
        <rFont val="Times New Roman"/>
        <family val="1"/>
      </rPr>
      <t xml:space="preserve"> - measures that ensure the ability of affected communities/areas to restore their normal level of functioning by rebuilding livelihood and damaged nfrastructures and increasing the communities' organizational capacity.</t>
    </r>
    <r>
      <rPr>
        <b/>
        <i/>
        <sz val="11"/>
        <rFont val="Times New Roman"/>
        <family val="1"/>
      </rPr>
      <t xml:space="preserve">
Source of Definition: DO No. 65, s. 2017 Guidelines on the Conduct of Post Disaster Needs Assessment in the Education Sector</t>
    </r>
  </si>
  <si>
    <r>
      <t>Rehabilitation (of building)</t>
    </r>
    <r>
      <rPr>
        <sz val="11"/>
        <rFont val="Times New Roman"/>
        <family val="1"/>
      </rPr>
      <t xml:space="preserve"> - the general overhauling or the comprehensive repair of the whole building or a major section of it to restore its original or previous condition.</t>
    </r>
    <r>
      <rPr>
        <b/>
        <i/>
        <sz val="11"/>
        <rFont val="Times New Roman"/>
        <family val="1"/>
      </rPr>
      <t xml:space="preserve">
Source of Definition: DepEd Educational Facilities Manual</t>
    </r>
  </si>
  <si>
    <r>
      <t xml:space="preserve">Retrofit </t>
    </r>
    <r>
      <rPr>
        <sz val="11"/>
        <rFont val="Times New Roman"/>
        <family val="1"/>
      </rPr>
      <t xml:space="preserve">- the process of modifying an existing structure to render it more resilient to the hazard effects. </t>
    </r>
    <r>
      <rPr>
        <b/>
        <i/>
        <sz val="11"/>
        <rFont val="Times New Roman"/>
        <family val="1"/>
      </rPr>
      <t xml:space="preserve">
Source of Definition: DepEd Educational Facilities Manual</t>
    </r>
  </si>
  <si>
    <r>
      <t>Risk Assessmen</t>
    </r>
    <r>
      <rPr>
        <sz val="11"/>
        <rFont val="Times New Roman"/>
        <family val="1"/>
      </rPr>
      <t xml:space="preserve">t - this process includes identification of the hazards present in the location and an assessment of their potential impacts and effects on the built environment based on existing or anticipated vulnerabilities and potential losses. </t>
    </r>
    <r>
      <rPr>
        <b/>
        <i/>
        <sz val="11"/>
        <rFont val="Times New Roman"/>
        <family val="1"/>
      </rPr>
      <t xml:space="preserve">
Source of Definition: DepEd Educational Facilities Manual</t>
    </r>
  </si>
  <si>
    <r>
      <t>Unsafe Classroom</t>
    </r>
    <r>
      <rPr>
        <sz val="11"/>
        <rFont val="Times New Roman"/>
        <family val="1"/>
      </rPr>
      <t xml:space="preserve"> - refers to classrooms that have one or a combination of hazards listed in the School Watching Checklist.</t>
    </r>
    <r>
      <rPr>
        <b/>
        <i/>
        <sz val="11"/>
        <rFont val="Times New Roman"/>
        <family val="1"/>
      </rPr>
      <t xml:space="preserve">
Source of Definition: DO No. 23, s. 2015 Student-led School Watching and Hazard Mapping</t>
    </r>
  </si>
  <si>
    <r>
      <t xml:space="preserve">School has a Contingency Plan for each natural and human-induced hazard that it is affected with: </t>
    </r>
    <r>
      <rPr>
        <i/>
        <sz val="12"/>
        <rFont val="Times New Roman"/>
        <family val="1"/>
      </rPr>
      <t>(check all applicable)</t>
    </r>
  </si>
  <si>
    <t>Natural Hazards:</t>
  </si>
  <si>
    <t>Human-induced Hazards:</t>
  </si>
  <si>
    <r>
      <t xml:space="preserve">School Contingency Plan has the following: </t>
    </r>
    <r>
      <rPr>
        <i/>
        <sz val="12"/>
        <rFont val="Times New Roman"/>
        <family val="1"/>
      </rPr>
      <t>(check all applicable)</t>
    </r>
  </si>
  <si>
    <r>
      <t xml:space="preserve">School Contingency Planning is conducted together with the following: </t>
    </r>
    <r>
      <rPr>
        <i/>
        <sz val="12"/>
        <rFont val="Times New Roman"/>
        <family val="1"/>
      </rPr>
      <t>(check all applicable)</t>
    </r>
  </si>
  <si>
    <t>Note:  For the definitions, refer to Box 30 - Part 3b. Disaster Response.</t>
  </si>
  <si>
    <t>School has a functional early warning system to inform learners and personnel of natural and human-induced hazards 
(e.g. protocol, warning signs, devices, IEC)</t>
  </si>
  <si>
    <t xml:space="preserve">A.
</t>
  </si>
  <si>
    <t>Emergency Supplies
and Equipment</t>
  </si>
  <si>
    <t xml:space="preserve">B.
</t>
  </si>
  <si>
    <t>Response and Rescue
Supplies and Equipment</t>
  </si>
  <si>
    <t>First Aid Kit for each
personnel</t>
  </si>
  <si>
    <t>Go bag with Multi-Tool for
each learner</t>
  </si>
  <si>
    <t>Go bag with Multi-Tool for
each personnel</t>
  </si>
  <si>
    <t>Plastic Spine Board with
Safety Belts</t>
  </si>
  <si>
    <t>Trauma Bag with contents
for 20 - 25 persons</t>
  </si>
  <si>
    <t>A learner can be counted more than once if he/she is  either an IP Learner,  Muslim Learner or Learner with Disability at the same time.</t>
  </si>
  <si>
    <t>Part 3a. Disaster Response</t>
  </si>
  <si>
    <t>Number of response interventions received</t>
  </si>
  <si>
    <t>Date/s Received (mm/dd/yyyy)</t>
  </si>
  <si>
    <t>Number of personnel trained and mobilized for Alternative Delivery Mode</t>
  </si>
  <si>
    <t>Trained as part of disaster/emergency response</t>
  </si>
  <si>
    <t>Mobilized for the implementation in aftermath of a disaster/emergency</t>
  </si>
  <si>
    <t>School has implemented resumption strategies and Alternative Delivery Modes to ensure education continuity due to emergencies resulting from armed conflict</t>
  </si>
  <si>
    <r>
      <t xml:space="preserve">School has implemented the following resumption strategies:
</t>
    </r>
    <r>
      <rPr>
        <i/>
        <sz val="12"/>
        <rFont val="Times New Roman"/>
        <family val="1"/>
      </rPr>
      <t>(check all applicable)</t>
    </r>
  </si>
  <si>
    <r>
      <t xml:space="preserve">School has implemented the following alternative delivery modes: </t>
    </r>
    <r>
      <rPr>
        <i/>
        <sz val="12"/>
        <rFont val="Times New Roman"/>
        <family val="1"/>
      </rPr>
      <t>(check all applicable)</t>
    </r>
  </si>
  <si>
    <t>Number of learners affected and provided by the following disasters/emergencies response</t>
  </si>
  <si>
    <t>Provided with learning sessions on disasters/ emergencies before returning
to the regular lessons upon class resumption</t>
  </si>
  <si>
    <t>Provided with Mental Health and Psychosocial Support (MHPSS)</t>
  </si>
  <si>
    <t>Affected by disasters/ emergencies and needing specialized psychosocial support (PSS)</t>
  </si>
  <si>
    <t>3a.</t>
  </si>
  <si>
    <t>Utilized the established referral mechanism</t>
  </si>
  <si>
    <t>For 3a, out of the total number of learners affected by disasters/emergencies and needing specialized psychosocial support (PSS), determine the number of learners who utilized the established referral mechanism.</t>
  </si>
  <si>
    <t>Part 3b. Disaster Response</t>
  </si>
  <si>
    <t>Number of school personnel affected and provided by the following disasters/emergencies response</t>
  </si>
  <si>
    <t>Number of local groups/ stakeholders that are mobilized by the school for response, rehabilitation and recovery</t>
  </si>
  <si>
    <t>For 2a, out of the total number of school personnel affected by disasters/ emergencies and needing specialized psychosocial support (PSS), determine the number of school personnel who utilized the established referral mechanism.</t>
  </si>
  <si>
    <r>
      <t>Bomb Threats / Bombing</t>
    </r>
    <r>
      <rPr>
        <sz val="12"/>
        <rFont val="Times New Roman"/>
        <family val="1"/>
      </rPr>
      <t xml:space="preserve"> - refers to a threat or actual detonation of an explosive or incendiary device to cause property damage, death, or injuries.</t>
    </r>
    <r>
      <rPr>
        <b/>
        <i/>
        <sz val="12"/>
        <rFont val="Times New Roman"/>
        <family val="1"/>
      </rPr>
      <t xml:space="preserve">
Indiana University: Emergency Planning
Source of Definition: https://protect.iu.edu/emergency-planning/procedures/bomb-threats.html</t>
    </r>
  </si>
  <si>
    <r>
      <t>Child-centred approach</t>
    </r>
    <r>
      <rPr>
        <sz val="12"/>
        <rFont val="Times New Roman"/>
        <family val="1"/>
      </rPr>
      <t xml:space="preserve"> - Placing the child at the notional centre of the learning process in which they are active participants. Involves giving children choices of learning activities, with the teacher acting as facilitator of learning. </t>
    </r>
    <r>
      <rPr>
        <b/>
        <i/>
        <sz val="12"/>
        <rFont val="Times New Roman"/>
        <family val="1"/>
      </rPr>
      <t xml:space="preserve">
Source of Definition: United Nations Educational, Scientific and Cultural Organization</t>
    </r>
  </si>
  <si>
    <r>
      <t>Civilian Violence</t>
    </r>
    <r>
      <rPr>
        <sz val="12"/>
        <rFont val="Times New Roman"/>
        <family val="1"/>
      </rPr>
      <t xml:space="preserve"> - refers to the use of physical force brought by a noncombatant person, so as to injure, abuse, damage, or destroy. This includes crimes against school heads, teachers, learners, and school property. </t>
    </r>
    <r>
      <rPr>
        <b/>
        <i/>
        <sz val="12"/>
        <rFont val="Times New Roman"/>
        <family val="1"/>
      </rPr>
      <t xml:space="preserve">
Merriam-Webster Dictionary
Source of Definition: https://www.merriam-webster.com/dictionary/violence</t>
    </r>
  </si>
  <si>
    <r>
      <t>Contingency Plan</t>
    </r>
    <r>
      <rPr>
        <sz val="12"/>
        <rFont val="Times New Roman"/>
        <family val="1"/>
      </rPr>
      <t xml:space="preserve"> - a management process that analyses specific potential events or emerging situations that might threaten society or the environment and establishes arrangements in advance to enable timely, effective and appropriate responses to such events and situations.</t>
    </r>
    <r>
      <rPr>
        <b/>
        <i/>
        <sz val="12"/>
        <rFont val="Times New Roman"/>
        <family val="1"/>
      </rPr>
      <t xml:space="preserve">
Source of Definition: UNISDR Terminologies.
https://www.unisdr.org/files/7817_UNISDRTerminologyEnglish.pdf</t>
    </r>
  </si>
  <si>
    <r>
      <t>Early Warning</t>
    </r>
    <r>
      <rPr>
        <sz val="12"/>
        <rFont val="Times New Roman"/>
        <family val="1"/>
      </rPr>
      <t xml:space="preserve"> - The provision of timely and effective information, through identified institutions, that allows individuals exposed to a hazard to take action to avoid or reduce their risk and prepare for effective response.</t>
    </r>
    <r>
      <rPr>
        <b/>
        <i/>
        <sz val="12"/>
        <rFont val="Times New Roman"/>
        <family val="1"/>
      </rPr>
      <t xml:space="preserve"> (International Strategy for Disaster Risk Reduction)</t>
    </r>
  </si>
  <si>
    <r>
      <t>E-Impact</t>
    </r>
    <r>
      <rPr>
        <sz val="12"/>
        <rFont val="Times New Roman"/>
        <family val="1"/>
      </rPr>
      <t xml:space="preserve"> - the Enhanced Instructional Management by Parents, Community and Teachers (e-IMPACT) learning system is a technology-enhanced alternative delivery mode developed by the SEAMEO Regional Center for Educational Innovation and Technology (INNOTECH) to address issues in accessibility and quality of education in schools usually handled by a few teachers teaching multigrade classes.</t>
    </r>
    <r>
      <rPr>
        <b/>
        <i/>
        <sz val="12"/>
        <rFont val="Times New Roman"/>
        <family val="1"/>
      </rPr>
      <t xml:space="preserve">
Source of Definition: UNICEF Evaluation on Alternative Delivery Modes.
https://www.unicef.org/evaldatabase/files/Philippines_ADM_Evaluationl_Philippines-2012-001.pdf</t>
    </r>
  </si>
  <si>
    <r>
      <t xml:space="preserve">Emergency </t>
    </r>
    <r>
      <rPr>
        <i/>
        <sz val="12"/>
        <rFont val="Times New Roman"/>
        <family val="1"/>
      </rPr>
      <t xml:space="preserve">- A sudden and usually unforeseen event that calls for immediate measures to minimize its adverse consequences. </t>
    </r>
    <r>
      <rPr>
        <b/>
        <i/>
        <sz val="12"/>
        <rFont val="Times New Roman"/>
        <family val="1"/>
      </rPr>
      <t xml:space="preserve">
Source of Definition:United Nations Department of Humanitarian Affairs </t>
    </r>
  </si>
  <si>
    <r>
      <t>Evacuation Center</t>
    </r>
    <r>
      <rPr>
        <sz val="12"/>
        <rFont val="Times New Roman"/>
        <family val="1"/>
      </rPr>
      <t xml:space="preserve"> - refers to a safe site, building or center  hosting internally displaced persons, which includes covered courts, barangay or community halls, camping areas, collective centers, multi-purpose centers, established “tent cities” or schools.</t>
    </r>
    <r>
      <rPr>
        <b/>
        <i/>
        <sz val="12"/>
        <rFont val="Times New Roman"/>
        <family val="1"/>
      </rPr>
      <t xml:space="preserve">
Source of Definition: DSWD-DILG-DOH-DepEd- Joint Memorandum No. 1, S. 2013 on the Guidelines on Evacuation Center Coordination and Management, Part III. </t>
    </r>
  </si>
  <si>
    <t>(Continuation of definitions from previous page, Box 30 - Part 3b)</t>
  </si>
  <si>
    <r>
      <t>Hazard Mapping</t>
    </r>
    <r>
      <rPr>
        <sz val="12"/>
        <rFont val="Times New Roman"/>
        <family val="1"/>
      </rPr>
      <t xml:space="preserve"> - The process of mapping hazard information within a study area of varying scale, coverage, and detail. </t>
    </r>
    <r>
      <rPr>
        <b/>
        <i/>
        <sz val="12"/>
        <rFont val="Times New Roman"/>
        <family val="1"/>
      </rPr>
      <t xml:space="preserve">
Source of Definition: United Nations Human Settlements Programme</t>
    </r>
  </si>
  <si>
    <r>
      <t>Learners with Disabilities (LWDs)</t>
    </r>
    <r>
      <rPr>
        <sz val="12"/>
        <rFont val="Times New Roman"/>
        <family val="1"/>
      </rPr>
      <t xml:space="preserve"> - refer to children, youth, and adult learners with substantial limitations in their functions, characterized by significantly sub-average intellectual capacity and/or existing concurrently with related limitedtaions in two or more adaptive skills areas. These learners may have any or a combination of the following: intellectual disabilities, learning disabilities, mental, emotional or behavioral disorders, sensory impairments, autism, long term physical or health disabilities, deaf blindness, and multiple handicapping conditions. These conditions may be a hindrance to the learners' full and effective participation in the society; thus, these conditions necesstiate the provision of special education services and other allied services that will enable LWDs to live functional lives.</t>
    </r>
    <r>
      <rPr>
        <b/>
        <i/>
        <sz val="12"/>
        <rFont val="Times New Roman"/>
        <family val="1"/>
      </rPr>
      <t xml:space="preserve">
Source of Definition: DepEd Order No. 21, s. 2020.
https://www.deped.gov.ph/wp-content/uploads/2020/08/DO_s2020_021.pdf</t>
    </r>
  </si>
  <si>
    <r>
      <t xml:space="preserve">Lockdown Drill </t>
    </r>
    <r>
      <rPr>
        <sz val="12"/>
        <rFont val="Times New Roman"/>
        <family val="1"/>
      </rPr>
      <t>- An emergency procedure intended to secure and protect occupants who are in the proximity of an immediate threat. This procedure is used when it may be more dangerous to evacuate a building than stay inside. By controlling entry/ exit and movement within a facility, emergency personnel are better able to contain and handle any threats.</t>
    </r>
    <r>
      <rPr>
        <b/>
        <i/>
        <sz val="12"/>
        <rFont val="Times New Roman"/>
        <family val="1"/>
      </rPr>
      <t xml:space="preserve">
Source of Definition: University of British Columbia: Emergency Procedures.
https://emergency.ok.ubc.ca/procedures/lockdown/</t>
    </r>
  </si>
  <si>
    <r>
      <t>Mental Health and Psychosocial Support (MHPSS)</t>
    </r>
    <r>
      <rPr>
        <sz val="12"/>
        <rFont val="Times New Roman"/>
        <family val="1"/>
      </rPr>
      <t xml:space="preserve"> - any type of local or outside support that aims to protect or promote psychosocial well-being and/or prevent or treat mental disorder.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</si>
  <si>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 xml:space="preserve">Modified In-School, Off-School Approach (MISOSA) </t>
    </r>
    <r>
      <rPr>
        <sz val="12"/>
        <rFont val="Times New Roman"/>
        <family val="1"/>
      </rPr>
      <t>aims to: (i) solve congestion in schools with big enrolment; (ii) address the need of children for adequate learning materials; (iii) mobilize and strengthen community support; and (iv) improve students’ performance.</t>
    </r>
    <r>
      <rPr>
        <b/>
        <i/>
        <sz val="12"/>
        <rFont val="Times New Roman"/>
        <family val="1"/>
      </rPr>
      <t xml:space="preserve">
Source of Definition: UNICEF Evaluation on Alternative Delivery Modes.
https://www.unicef.org/evaldatabase/files/Philippines_ADM_Evaluationl_Philippines-2012-001.pdf</t>
    </r>
  </si>
  <si>
    <r>
      <t>Open High School</t>
    </r>
    <r>
      <rPr>
        <sz val="12"/>
        <rFont val="Times New Roman"/>
        <family val="1"/>
      </rPr>
      <t xml:space="preserve"> - an alternative mode of delivering secondary education for both public and private schools. It puts premium on independent, self-pacing and flexible study to reach learners who are unable to start or complete secondary education due to problems of time, distance, physical impairment, financial difficulties, social or family problems.</t>
    </r>
    <r>
      <rPr>
        <b/>
        <i/>
        <sz val="12"/>
        <rFont val="Times New Roman"/>
        <family val="1"/>
      </rPr>
      <t xml:space="preserve">
Source of Definition: DepEd Order No. 46, s. 2006 Guidelines on the Implementation of the Open High School Program. http://www.deped.gov.ph/wp-content/uploads/2006/11/DO_s2006_46.pdf</t>
    </r>
  </si>
  <si>
    <r>
      <t xml:space="preserve">Preparedness </t>
    </r>
    <r>
      <rPr>
        <sz val="12"/>
        <rFont val="Times New Roman"/>
        <family val="1"/>
      </rPr>
      <t xml:space="preserve">- The capacities and knowledge developed by governments, professional response organizations, communities and individuals to anticipate and respond effectively to the impact of likely, imminent or current hazard events or conditions. </t>
    </r>
    <r>
      <rPr>
        <b/>
        <i/>
        <sz val="12"/>
        <rFont val="Times New Roman"/>
        <family val="1"/>
      </rPr>
      <t xml:space="preserve">
Source of Definition: International Strategy for Disaster Risk Reduction</t>
    </r>
  </si>
  <si>
    <r>
      <t>Referral</t>
    </r>
    <r>
      <rPr>
        <sz val="12"/>
        <rFont val="Times New Roman"/>
        <family val="1"/>
      </rPr>
      <t xml:space="preserve"> - is one of the guidance services where learners are facilitated to avail other assistance or services that address their mental health or other concerns. This requires a wide range of internal partners (i.e. counselors, teachers, nurses, and school administrators), external partners (i.e. government, nongovernment agencies, organizations), and individuals in different professions, fields and interest.</t>
    </r>
    <r>
      <rPr>
        <b/>
        <i/>
        <sz val="12"/>
        <rFont val="Times New Roman"/>
        <family val="1"/>
      </rPr>
      <t xml:space="preserve">
Source of Definition: DepEd Memorandum DM-OUCI-2021-055.</t>
    </r>
  </si>
  <si>
    <r>
      <t>Resilience</t>
    </r>
    <r>
      <rPr>
        <sz val="12"/>
        <rFont val="Times New Roman"/>
        <family val="1"/>
      </rPr>
      <t xml:space="preserve"> - The capacity of a system, community or society potentially exposed to hazards to resist, adapt, and recover from hazard events, and to restore an acceptable level of functioning and structure. </t>
    </r>
    <r>
      <rPr>
        <b/>
        <i/>
        <sz val="12"/>
        <rFont val="Times New Roman"/>
        <family val="1"/>
      </rPr>
      <t xml:space="preserve">
Source of Definition: International Strategy for Disaster Risk Reduction</t>
    </r>
  </si>
  <si>
    <r>
      <t>Specialized Psychosocial Support</t>
    </r>
    <r>
      <rPr>
        <sz val="12"/>
        <rFont val="Times New Roman"/>
        <family val="1"/>
      </rPr>
      <t xml:space="preserve">  - This  assistance  should  include psychological  or  psychiatric  supports  for  people  with  severe  mental  disorders whenever  their  needs  exceed  the  capacities  of  existing  primary/general  health services.  such  problems  require  either  (a)  referral  to  specialised  services  if  they exist,  or  (b)  initiation  of  longer-term  training  and  supervision  of  primary/general health  care  providers.  although  specialised  services  are  needed  only  for  a  small percentage  of  the  population,  in  most  large  emergencies  this  group  amounts  to thousands  of  individuals.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</si>
  <si>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Temporary Learning Spaces</t>
    </r>
    <r>
      <rPr>
        <sz val="12"/>
        <rFont val="Times New Roman"/>
        <family val="1"/>
      </rPr>
      <t xml:space="preserve"> - refers to spaces or structures that is established in transitional sites, permanent relocation sites, or in damaged schools, which is intended for the immediate resumption of formal and non-formal education to ensure continuity of learning of children while awaiting the construction or repair  of permanent classrooms. This includes space for supervised neighborhood play services for preschoolers and learning activities for school-aged children.</t>
    </r>
    <r>
      <rPr>
        <b/>
        <i/>
        <sz val="12"/>
        <rFont val="Times New Roman"/>
        <family val="1"/>
      </rPr>
      <t xml:space="preserve">
Implementing Rules  and Regulation (IRR) of RA 10821 “Children’s Emergency Relief and Protection Act”. </t>
    </r>
  </si>
  <si>
    <r>
      <t>Temporary WASH</t>
    </r>
    <r>
      <rPr>
        <sz val="12"/>
        <rFont val="Times New Roman"/>
        <family val="1"/>
      </rPr>
      <t xml:space="preserve"> - refers to Water, Sanitation, and Hygiene Facilities built during the response phase</t>
    </r>
  </si>
  <si>
    <r>
      <t xml:space="preserve">Vulnerability </t>
    </r>
    <r>
      <rPr>
        <sz val="12"/>
        <rFont val="Times New Roman"/>
        <family val="1"/>
      </rPr>
      <t>- The conditions determined by physical, social, economic and environmental factors or processes, which increase the susceptibility of a community to the impact of hazards. For positive factors, which increase the ability of people to cope with hazards, see definition of 'capacity'.</t>
    </r>
    <r>
      <rPr>
        <b/>
        <i/>
        <sz val="12"/>
        <rFont val="Times New Roman"/>
        <family val="1"/>
      </rPr>
      <t xml:space="preserve"> 
Source of Definition: International Strategy for Disaster Risk Reduction</t>
    </r>
  </si>
  <si>
    <r>
      <t>Warning</t>
    </r>
    <r>
      <rPr>
        <sz val="12"/>
        <rFont val="Times New Roman"/>
        <family val="1"/>
      </rPr>
      <t xml:space="preserve"> - Dissemination of message signalling imminent hazard which may include advice on protective measures.</t>
    </r>
    <r>
      <rPr>
        <b/>
        <i/>
        <sz val="12"/>
        <rFont val="Times New Roman"/>
        <family val="1"/>
      </rPr>
      <t xml:space="preserve">
Source of Definition: United Nations Department of Humanitarian Affairs</t>
    </r>
  </si>
  <si>
    <t>Activities</t>
  </si>
  <si>
    <t>A. DRRM</t>
  </si>
  <si>
    <t>B. CCAM</t>
  </si>
  <si>
    <t>C. Peacebuilding</t>
  </si>
  <si>
    <t>Note:  For the definitions, refer to Box 31 - Part 3d. Resilience Education.</t>
  </si>
  <si>
    <t>Number of learners in the following DRRM, CCAM, and Peacebuilding activities</t>
  </si>
  <si>
    <t>Completed the training Courses</t>
  </si>
  <si>
    <t>Trained</t>
  </si>
  <si>
    <t>Co-led in PPAs</t>
  </si>
  <si>
    <t>Led in PPAs</t>
  </si>
  <si>
    <r>
      <t>Psychological First Aid</t>
    </r>
    <r>
      <rPr>
        <sz val="12"/>
        <rFont val="Times New Roman"/>
        <family val="1"/>
      </rPr>
      <t xml:space="preserve"> - An evidence-informed modular approach to help children, adolescents, adults, and families in the immediate aftermath of disaster and terrorism. Individuals affected by a disaster or traumatic incident, whether survivors, witnesses, or responders to such events, may struggle with or face new challenges following the event. PFA was developed by the National Child Traumatic Stress Network and the National Center for PTSD, with contributions from individuals involved in disaster research and response.</t>
    </r>
    <r>
      <rPr>
        <b/>
        <i/>
        <sz val="12"/>
        <rFont val="Times New Roman"/>
        <family val="1"/>
      </rPr>
      <t xml:space="preserve">
Source of Definition: National Child Traumatic Stress Network: Psychological First Aid
https://www.nctsn.org/treatments-and-practices/psychological-first-aid-and-skills-for-psychological-recovery/about-pfa</t>
    </r>
  </si>
  <si>
    <r>
      <t>Change the Current: Climate Action Online Training for Adolescents</t>
    </r>
    <r>
      <rPr>
        <sz val="12"/>
        <rFont val="Times New Roman"/>
        <family val="1"/>
      </rPr>
      <t xml:space="preserve"> aims to enhance adolescents' knowledge on the science of climate change and adaptation and mitigation strategies, and hone skills that they need to increase adaptation and mitigation awareness and practices in their communities. Project grants amounting to Php 15,000.00 will be awarded to selected adolescents. </t>
    </r>
  </si>
  <si>
    <r>
      <t>YSEALI Climate Changemakers</t>
    </r>
    <r>
      <rPr>
        <sz val="12"/>
        <rFont val="Times New Roman"/>
        <family val="1"/>
      </rPr>
      <t xml:space="preserve"> is an online training course that aims to increase the competence of teachers in teaching climate change concepts and encouraging learners to act on climate. It consists of one core training subject on introduction to climate change and a specialized training subject on teaching climate change. Additionally, learning facilitators will receive supplementary training on online learning delivery. YSEALI Climate Changemakers aims to train 50 region and division as learning facilitators who will train a total of 2,000 teachers from their respective regions and divisions. </t>
    </r>
  </si>
  <si>
    <r>
      <t xml:space="preserve">The Green Beat Initiative (TGBI) </t>
    </r>
    <r>
      <rPr>
        <sz val="12"/>
        <rFont val="Times New Roman"/>
        <family val="1"/>
      </rPr>
      <t>An Environmental Journalism Training for Campus Journalists and School Paper Advisers is a 6-week pilot intensive online environmental journalism training. It aims to equip participants with the necessary skills and knowledge to pursue, develop, and report stories about the environment with a focus on climate change adaptation and mitigation.</t>
    </r>
  </si>
  <si>
    <r>
      <t>KaLIKHAsan Climate Action Action Advocacy Show</t>
    </r>
    <r>
      <rPr>
        <sz val="12"/>
        <rFont val="Times New Roman"/>
        <family val="1"/>
      </rPr>
      <t xml:space="preserve"> is a theater arts performance, ideation, and devising workshops based on the KaLIKHAsan! Likha at Lakas ng Kabataan para sa Kalikasan Creative Sourcebook. </t>
    </r>
  </si>
  <si>
    <r>
      <t>The KaLIKHAsan! Likha at Lakas ng Kabataan para sa Kalikasan:</t>
    </r>
    <r>
      <rPr>
        <sz val="12"/>
        <rFont val="Times New Roman"/>
        <family val="1"/>
      </rPr>
      <t xml:space="preserve"> A Creative Sourcebook on the Use of Theater for Climate Change Education and Action  is a resource intended for teachers, theater and performance practitioners, and workshop facilitators. It explains how to design and facilitate a collaborative performance-making process with youth that includes climate action and the environment as central themes. Teachers are encouraged to use the sourcebook as a guide in replicating the process in making the Climate Action Advocacy Show and empowering the learners toward climate change education and action. </t>
    </r>
  </si>
  <si>
    <t>C. Number of learners who were dewormed (based on LGU health records)</t>
  </si>
  <si>
    <t>Is the school located in an ancestral domain and affected by armed conflict?</t>
  </si>
  <si>
    <t>Number of learners who have participation in the development of IEC Materials</t>
  </si>
  <si>
    <t>Consulted in the development of IEC materials</t>
  </si>
  <si>
    <t>Co-developed IEC materials</t>
  </si>
  <si>
    <t>Disasters</t>
  </si>
  <si>
    <t>Fire *</t>
  </si>
  <si>
    <r>
      <t xml:space="preserve">Hazardous Materials Incident
</t>
    </r>
    <r>
      <rPr>
        <i/>
        <sz val="13"/>
        <rFont val="Times New Roman"/>
        <family val="1"/>
      </rPr>
      <t>(e.g. chemical explosion, chemical spill, oil spill, exposure to radioactive substances)</t>
    </r>
  </si>
  <si>
    <r>
      <t xml:space="preserve">Structural collapse </t>
    </r>
    <r>
      <rPr>
        <i/>
        <sz val="13"/>
        <rFont val="Times New Roman"/>
        <family val="1"/>
      </rPr>
      <t>(as a result of engineering failures)</t>
    </r>
  </si>
  <si>
    <t>Number of times armed conflict occurred in your school and its immediate surroundings.</t>
  </si>
  <si>
    <t>Number of times the following state/non-state actors were involved in the armed conflict incidents.</t>
  </si>
  <si>
    <r>
      <t>1b1.</t>
    </r>
    <r>
      <rPr>
        <b/>
        <i/>
        <sz val="13"/>
        <color theme="0"/>
        <rFont val="Times New Roman"/>
        <family val="1"/>
      </rPr>
      <t xml:space="preserve"> </t>
    </r>
    <r>
      <rPr>
        <b/>
        <i/>
        <u/>
        <sz val="13"/>
        <color theme="0"/>
        <rFont val="Times New Roman"/>
        <family val="1"/>
      </rPr>
      <t>State Actors:</t>
    </r>
  </si>
  <si>
    <r>
      <t xml:space="preserve">1b2. </t>
    </r>
    <r>
      <rPr>
        <b/>
        <i/>
        <u/>
        <sz val="13"/>
        <color theme="0"/>
        <rFont val="Times New Roman"/>
        <family val="1"/>
      </rPr>
      <t>Non-State Actors:</t>
    </r>
  </si>
  <si>
    <t>Number of reports of GCRVs within the school and immediate surroundings that were filed through government channels.</t>
  </si>
  <si>
    <t>46-48</t>
  </si>
  <si>
    <t>49-50</t>
  </si>
  <si>
    <t>51-55</t>
  </si>
  <si>
    <t>56-60</t>
  </si>
  <si>
    <t>61</t>
  </si>
  <si>
    <t>Same format</t>
  </si>
  <si>
    <t>A. Number of learners who were vaccinated by the Department of Health (based on LGU records)</t>
  </si>
  <si>
    <t>Number of IP learners who have been vaccinated by the Department of Health (based on LGU health records)</t>
  </si>
  <si>
    <t>Participated in the survey on the effectiveness of IEC materials developed by DRRMS and/ or contextualized by region or division</t>
  </si>
  <si>
    <t>Initiated and developed IEC materials</t>
  </si>
  <si>
    <r>
      <t>Check (</t>
    </r>
    <r>
      <rPr>
        <b/>
        <i/>
        <sz val="12"/>
        <rFont val="Webdings"/>
        <family val="1"/>
        <charset val="2"/>
      </rPr>
      <t>a</t>
    </r>
    <r>
      <rPr>
        <b/>
        <i/>
        <sz val="12"/>
        <rFont val="Times New Roman"/>
        <family val="1"/>
      </rPr>
      <t>) if the school is: (check all applicable)</t>
    </r>
  </si>
  <si>
    <r>
      <rPr>
        <b/>
        <i/>
        <sz val="11"/>
        <rFont val="Times New Roman"/>
        <family val="1"/>
      </rPr>
      <t>Ancestral Domain</t>
    </r>
    <r>
      <rPr>
        <sz val="11"/>
        <rFont val="Times New Roman"/>
        <family val="1"/>
      </rPr>
      <t xml:space="preserve"> - refers to all areas generally belonging to ICCs/IPs comprising lands, inland waters, coastal areas, and natural resources therein, held under a claim of ownership, occupied or possessed by ICCs/IPs, by themselves or through their ancestors, communally or individually since time immemorial, continuously to the present except when interrupted by war, force majeure or displacement by force, deceit, stealth or as a consequence of government projects or any other voluntary dealings entered into by government and private individuals/corporations, and which are necessary to ensure their economic, social and cultural welfare.
</t>
    </r>
    <r>
      <rPr>
        <b/>
        <i/>
        <sz val="11"/>
        <rFont val="Times New Roman"/>
        <family val="1"/>
      </rPr>
      <t xml:space="preserve">Source: IPRA of 1997 (REPUBLIC ACT NO. 8371) </t>
    </r>
  </si>
  <si>
    <t>I</t>
  </si>
  <si>
    <t>II</t>
  </si>
  <si>
    <t>III</t>
  </si>
  <si>
    <t>IVA</t>
  </si>
  <si>
    <t>IVB</t>
  </si>
  <si>
    <t>V</t>
  </si>
  <si>
    <t>VI</t>
  </si>
  <si>
    <t>VII</t>
  </si>
  <si>
    <t>VIII</t>
  </si>
  <si>
    <t>IX</t>
  </si>
  <si>
    <t>X</t>
  </si>
  <si>
    <t>XI</t>
  </si>
  <si>
    <t>XII</t>
  </si>
  <si>
    <t>CARAGA</t>
  </si>
  <si>
    <t>BARMM</t>
  </si>
  <si>
    <t>CAR</t>
  </si>
  <si>
    <t>NCR</t>
  </si>
  <si>
    <t>Alaminos City</t>
  </si>
  <si>
    <t>Batanes</t>
  </si>
  <si>
    <t>Angeles City</t>
  </si>
  <si>
    <t>Antipolo City</t>
  </si>
  <si>
    <t>Calapan City</t>
  </si>
  <si>
    <t>Albay</t>
  </si>
  <si>
    <t>Aklan</t>
  </si>
  <si>
    <t>Bais City</t>
  </si>
  <si>
    <t>Baybay City</t>
  </si>
  <si>
    <t>Dapitan City</t>
  </si>
  <si>
    <t>Bukidnon</t>
  </si>
  <si>
    <t>Davao City</t>
  </si>
  <si>
    <t>Cotabato City</t>
  </si>
  <si>
    <t>Agusan del Norte</t>
  </si>
  <si>
    <t>Basilan</t>
  </si>
  <si>
    <t>Abra</t>
  </si>
  <si>
    <t>Caloocan City</t>
  </si>
  <si>
    <t>Batac City</t>
  </si>
  <si>
    <t>Cagayan</t>
  </si>
  <si>
    <t>Aurora</t>
  </si>
  <si>
    <t>Bacoor City</t>
  </si>
  <si>
    <t>Marinduque</t>
  </si>
  <si>
    <t>Camarines Norte</t>
  </si>
  <si>
    <t>Antique</t>
  </si>
  <si>
    <t>Bayawan City</t>
  </si>
  <si>
    <t>Biliran</t>
  </si>
  <si>
    <t>Dipolog City</t>
  </si>
  <si>
    <t>Cagayan de Oro City</t>
  </si>
  <si>
    <t>Davao De Oro</t>
  </si>
  <si>
    <t>General Santos City</t>
  </si>
  <si>
    <t>Agusan del Sur</t>
  </si>
  <si>
    <t>Lamitan City</t>
  </si>
  <si>
    <t>Apayao</t>
  </si>
  <si>
    <t>City of San Juan</t>
  </si>
  <si>
    <t>Candon City</t>
  </si>
  <si>
    <t>Cauayan City</t>
  </si>
  <si>
    <t>Balanga City</t>
  </si>
  <si>
    <t>Batangas</t>
  </si>
  <si>
    <t>Occidental Mindoro</t>
  </si>
  <si>
    <t>Camarines Sur</t>
  </si>
  <si>
    <t>Bacolod City</t>
  </si>
  <si>
    <t>Bogo City</t>
  </si>
  <si>
    <t>Borongan City</t>
  </si>
  <si>
    <t>Isabela City</t>
  </si>
  <si>
    <t>Camiguin</t>
  </si>
  <si>
    <t>Davao del Norte</t>
  </si>
  <si>
    <t>Kidapawan City</t>
  </si>
  <si>
    <t>Bayugan City</t>
  </si>
  <si>
    <t>Lanao del Sur - I</t>
  </si>
  <si>
    <t>Baguio City</t>
  </si>
  <si>
    <t>Las Piñas City</t>
  </si>
  <si>
    <t>Dagupan City</t>
  </si>
  <si>
    <t>City of Ilagan</t>
  </si>
  <si>
    <t>Bataan</t>
  </si>
  <si>
    <t>Batangas City</t>
  </si>
  <si>
    <t>Oriental Mindoro</t>
  </si>
  <si>
    <t>Catanduanes</t>
  </si>
  <si>
    <t>Bago City</t>
  </si>
  <si>
    <t>Bohol</t>
  </si>
  <si>
    <t>Calbayog City</t>
  </si>
  <si>
    <t>Pagadian City</t>
  </si>
  <si>
    <t>El Salvador</t>
  </si>
  <si>
    <t>Davao del Sur</t>
  </si>
  <si>
    <t>Koronadal City</t>
  </si>
  <si>
    <t>Bislig City</t>
  </si>
  <si>
    <t>Lanao del Sur - IB</t>
  </si>
  <si>
    <t>Benguet</t>
  </si>
  <si>
    <t>Makati City</t>
  </si>
  <si>
    <t>Ilocos Norte</t>
  </si>
  <si>
    <t>Isabela</t>
  </si>
  <si>
    <t>Bulacan</t>
  </si>
  <si>
    <t>Binan City</t>
  </si>
  <si>
    <t>Palawan</t>
  </si>
  <si>
    <t>Iriga City</t>
  </si>
  <si>
    <t>Cadiz City</t>
  </si>
  <si>
    <t>Carcar City</t>
  </si>
  <si>
    <t>Catbalogan City</t>
  </si>
  <si>
    <t>Zamboanga City</t>
  </si>
  <si>
    <t>Gingoog City</t>
  </si>
  <si>
    <t>Davao Occidental</t>
  </si>
  <si>
    <t>North Cotabato</t>
  </si>
  <si>
    <t>Butuan City</t>
  </si>
  <si>
    <t>Lanao del Sur - II</t>
  </si>
  <si>
    <t>Ifugao</t>
  </si>
  <si>
    <t>Malabon City</t>
  </si>
  <si>
    <t>Ilocos Sur</t>
  </si>
  <si>
    <t>Nueva Vizcaya</t>
  </si>
  <si>
    <t>Cabanatuan City</t>
  </si>
  <si>
    <t>Cabuyao City</t>
  </si>
  <si>
    <t>Puerto Princesa City</t>
  </si>
  <si>
    <t>Legaspi City</t>
  </si>
  <si>
    <t>Capiz</t>
  </si>
  <si>
    <t>Cebu</t>
  </si>
  <si>
    <t>Eastern Samar</t>
  </si>
  <si>
    <t>Zamboanga del Norte</t>
  </si>
  <si>
    <t>Iligan City</t>
  </si>
  <si>
    <t>Davao Oriental</t>
  </si>
  <si>
    <t>Sarangani</t>
  </si>
  <si>
    <t>Cabadbaran City</t>
  </si>
  <si>
    <t>Lanao del Sur - IIB</t>
  </si>
  <si>
    <t>Kalinga</t>
  </si>
  <si>
    <t>Mandaluyong City</t>
  </si>
  <si>
    <t>La Union</t>
  </si>
  <si>
    <t>Quirino</t>
  </si>
  <si>
    <t>Gapan City</t>
  </si>
  <si>
    <t>Calamba City</t>
  </si>
  <si>
    <t>Romblon</t>
  </si>
  <si>
    <t>Ligao City</t>
  </si>
  <si>
    <t>Escalante City</t>
  </si>
  <si>
    <t>Cebu City</t>
  </si>
  <si>
    <t>Leyte</t>
  </si>
  <si>
    <t>Zamboanga del Sur</t>
  </si>
  <si>
    <t>Lanao del Norte</t>
  </si>
  <si>
    <t>Digos City</t>
  </si>
  <si>
    <t>South Cotabato</t>
  </si>
  <si>
    <t>Dinagat Island</t>
  </si>
  <si>
    <t>Maguindanao I</t>
  </si>
  <si>
    <t>Mt. Province</t>
  </si>
  <si>
    <t>Manila</t>
  </si>
  <si>
    <t>Laoag City</t>
  </si>
  <si>
    <t>Santiago City</t>
  </si>
  <si>
    <t>Mabalacat City</t>
  </si>
  <si>
    <t>Cavite</t>
  </si>
  <si>
    <t>Masbate</t>
  </si>
  <si>
    <t>Guimaras</t>
  </si>
  <si>
    <t>City of Naga, Cebu</t>
  </si>
  <si>
    <t>Maasin City</t>
  </si>
  <si>
    <t>Zamboanga Sibugay</t>
  </si>
  <si>
    <t>Malaybalay City</t>
  </si>
  <si>
    <t>Island Garden City of Samal</t>
  </si>
  <si>
    <t>Sultan Kudarat</t>
  </si>
  <si>
    <t>Siargao</t>
  </si>
  <si>
    <t>Maguindanao II</t>
  </si>
  <si>
    <t>Tabuk City</t>
  </si>
  <si>
    <t>Marikina City</t>
  </si>
  <si>
    <t>Pangasinan I, Lingayen</t>
  </si>
  <si>
    <t>Tuguegarao City</t>
  </si>
  <si>
    <t>Malolos City</t>
  </si>
  <si>
    <t>Cavite City</t>
  </si>
  <si>
    <t>Masbate City</t>
  </si>
  <si>
    <t>Himamaylan City</t>
  </si>
  <si>
    <t>Danao City</t>
  </si>
  <si>
    <t>Northern Samar</t>
  </si>
  <si>
    <t>Misamis Occidental</t>
  </si>
  <si>
    <t>Mati City</t>
  </si>
  <si>
    <t>Tacurong City</t>
  </si>
  <si>
    <t>Surigao City</t>
  </si>
  <si>
    <t>Marawi City</t>
  </si>
  <si>
    <t>Muntinlupa City</t>
  </si>
  <si>
    <t>Pangasinan II, Binalonan</t>
  </si>
  <si>
    <t>Meycauayan City</t>
  </si>
  <si>
    <t>Dasmarinas City</t>
  </si>
  <si>
    <t>Naga City</t>
  </si>
  <si>
    <t>Iloilo</t>
  </si>
  <si>
    <t>Dumaguete City</t>
  </si>
  <si>
    <t>Ormoc City</t>
  </si>
  <si>
    <t>Misamis Oriental</t>
  </si>
  <si>
    <t>Panabo City</t>
  </si>
  <si>
    <t>Surigao del Norte</t>
  </si>
  <si>
    <t>Shariff Kabunsuan</t>
  </si>
  <si>
    <t>Navotas</t>
  </si>
  <si>
    <t>San Carlos City</t>
  </si>
  <si>
    <t>Munoz Science City</t>
  </si>
  <si>
    <t>General Trias City</t>
  </si>
  <si>
    <t>Sorsogon</t>
  </si>
  <si>
    <t>Iloilo City</t>
  </si>
  <si>
    <t>Guihulngan City</t>
  </si>
  <si>
    <t>Samar (Western Samar)</t>
  </si>
  <si>
    <t>Oroquieta City</t>
  </si>
  <si>
    <t>Tagum City</t>
  </si>
  <si>
    <t>Surigao del Sur</t>
  </si>
  <si>
    <t>Sulu</t>
  </si>
  <si>
    <t>Paranaque City</t>
  </si>
  <si>
    <t>San Fernando City</t>
  </si>
  <si>
    <t>Nueva Ecija</t>
  </si>
  <si>
    <t>Imus City</t>
  </si>
  <si>
    <t>Sorsogon City</t>
  </si>
  <si>
    <t>Kabankalan City</t>
  </si>
  <si>
    <t>Lapu-Lapu City</t>
  </si>
  <si>
    <t>Southern Leyte</t>
  </si>
  <si>
    <t>Ozamis City</t>
  </si>
  <si>
    <t>Tandag City</t>
  </si>
  <si>
    <t>Sulu II</t>
  </si>
  <si>
    <t>Pasay City</t>
  </si>
  <si>
    <t>Urdaneta City</t>
  </si>
  <si>
    <t>Olongapo City</t>
  </si>
  <si>
    <t>Laguna</t>
  </si>
  <si>
    <t>Tabaco City</t>
  </si>
  <si>
    <t>La Carlota City</t>
  </si>
  <si>
    <t>Mandaue City</t>
  </si>
  <si>
    <t>Tacloban City</t>
  </si>
  <si>
    <t>Tangub City</t>
  </si>
  <si>
    <t>Tawi-Tawi</t>
  </si>
  <si>
    <t>Pasig City</t>
  </si>
  <si>
    <t>Vigan City</t>
  </si>
  <si>
    <t>Pampanga</t>
  </si>
  <si>
    <t>Lipa City</t>
  </si>
  <si>
    <t>Negros Occidental</t>
  </si>
  <si>
    <t>Negros Oriental</t>
  </si>
  <si>
    <t>Valencia City</t>
  </si>
  <si>
    <t>Quezon City</t>
  </si>
  <si>
    <t>Lucena City</t>
  </si>
  <si>
    <t>Passi City</t>
  </si>
  <si>
    <t>Siquijor</t>
  </si>
  <si>
    <t>Taguig</t>
  </si>
  <si>
    <t>San Jose City</t>
  </si>
  <si>
    <t>Quezon</t>
  </si>
  <si>
    <t>Roxas City</t>
  </si>
  <si>
    <t>Tagbilaran City</t>
  </si>
  <si>
    <t>Valenzuela City</t>
  </si>
  <si>
    <t>San Jose del Monte City</t>
  </si>
  <si>
    <t>Rizal</t>
  </si>
  <si>
    <t>Sagay City</t>
  </si>
  <si>
    <t>Talisay City</t>
  </si>
  <si>
    <t>Tarlac</t>
  </si>
  <si>
    <t>San Pablo City</t>
  </si>
  <si>
    <t>Tanjay City</t>
  </si>
  <si>
    <t>Tarlac City</t>
  </si>
  <si>
    <t>Sta. Rosa City</t>
  </si>
  <si>
    <t>Silay City</t>
  </si>
  <si>
    <t>Toledo City</t>
  </si>
  <si>
    <t>Zambales</t>
  </si>
  <si>
    <t>Tanauan City</t>
  </si>
  <si>
    <t>Sipalay City</t>
  </si>
  <si>
    <t>Tayabas City</t>
  </si>
  <si>
    <t>Fixed wireless</t>
  </si>
  <si>
    <t>Bayantel</t>
  </si>
  <si>
    <t>DepEd DICP</t>
  </si>
  <si>
    <t>Satellite</t>
  </si>
  <si>
    <t>Digitel</t>
  </si>
  <si>
    <t>USB modem</t>
  </si>
  <si>
    <t>Globe</t>
  </si>
  <si>
    <t>Wired</t>
  </si>
  <si>
    <t>Other Government Agencies</t>
  </si>
  <si>
    <t>Smart</t>
  </si>
  <si>
    <t>Sun</t>
  </si>
  <si>
    <t>School Funds</t>
  </si>
  <si>
    <t>1st District</t>
  </si>
  <si>
    <t>2nd District</t>
  </si>
  <si>
    <t>3rd District</t>
  </si>
  <si>
    <t>4th District</t>
  </si>
  <si>
    <t>5th District</t>
  </si>
  <si>
    <t>6th District</t>
  </si>
  <si>
    <t>7th District</t>
  </si>
  <si>
    <t>8th District</t>
  </si>
  <si>
    <t>Lone District</t>
  </si>
  <si>
    <t>activesheet_var</t>
  </si>
  <si>
    <t>tbl_to_insert</t>
  </si>
  <si>
    <t>var_column</t>
  </si>
  <si>
    <t>activesheet</t>
  </si>
  <si>
    <t>var_value</t>
  </si>
  <si>
    <t>validation</t>
  </si>
  <si>
    <t>error_message</t>
  </si>
  <si>
    <t>sequence</t>
  </si>
  <si>
    <t>sch_id</t>
  </si>
  <si>
    <t>shs_school_profile</t>
  </si>
  <si>
    <t>SchInfo!$AQ$2</t>
  </si>
  <si>
    <t>sch_name</t>
  </si>
  <si>
    <t>SchInfo!$G$21</t>
  </si>
  <si>
    <t>Please enter the name of the school.</t>
  </si>
  <si>
    <t>sch_prev_name</t>
  </si>
  <si>
    <t>SchInfo!$G$23</t>
  </si>
  <si>
    <t>sch_add_no</t>
  </si>
  <si>
    <t>SchInfo!$G$25</t>
  </si>
  <si>
    <t>sch_add_street</t>
  </si>
  <si>
    <t>SchInfo!$i$25</t>
  </si>
  <si>
    <t>sch_add_brgy</t>
  </si>
  <si>
    <t>SchInfo!$N$25</t>
  </si>
  <si>
    <t>sch_add_mun_city</t>
  </si>
  <si>
    <t>SchInfo!$g$27</t>
  </si>
  <si>
    <t>sch_add_prov</t>
  </si>
  <si>
    <t>SchInfo!$N$27</t>
  </si>
  <si>
    <t>sch_add_zip</t>
  </si>
  <si>
    <t>SchInfo!$t$27</t>
  </si>
  <si>
    <t>sch_region</t>
  </si>
  <si>
    <t>SchInfo!$Ah$21</t>
  </si>
  <si>
    <t>sch_division</t>
  </si>
  <si>
    <t>SchInfo!$Ah$22</t>
  </si>
  <si>
    <t>sch_leg_dist</t>
  </si>
  <si>
    <t>SchInfo!$Ah$23</t>
  </si>
  <si>
    <t>sch_tel_no</t>
  </si>
  <si>
    <t>SchInfo!$Ah$24</t>
  </si>
  <si>
    <t>sch_mob_no</t>
  </si>
  <si>
    <t>SchInfo!$Ah$25</t>
  </si>
  <si>
    <t>sch_fax_no</t>
  </si>
  <si>
    <t>sch_web_add</t>
  </si>
  <si>
    <t>SchInfo!$Ah$27</t>
  </si>
  <si>
    <t>sch_email_add</t>
  </si>
  <si>
    <t>SchInfo!$Ah$28</t>
  </si>
  <si>
    <t>sch_date_est</t>
  </si>
  <si>
    <t>SchInfo!$Ah$29</t>
  </si>
  <si>
    <t>sch_head_name</t>
  </si>
  <si>
    <t>SchInfo!$F$35</t>
  </si>
  <si>
    <t>sch_head_pos_title</t>
  </si>
  <si>
    <t>SchInfo!$F37</t>
  </si>
  <si>
    <t>sch_sdo_head_name</t>
  </si>
  <si>
    <t>SchInfo!$f$36</t>
  </si>
  <si>
    <t>sch_sdo_pos_title</t>
  </si>
  <si>
    <t>SchInfo!$Am$37</t>
  </si>
  <si>
    <t>sch_po3_name</t>
  </si>
  <si>
    <t>SchInfo!$R$35</t>
  </si>
  <si>
    <t>SchInfo!$C$30</t>
  </si>
  <si>
    <t>SchInfo!$R$30</t>
  </si>
  <si>
    <t>sch_iu</t>
  </si>
  <si>
    <t>SchInfo!$C$31</t>
  </si>
  <si>
    <t>sch_farm</t>
  </si>
  <si>
    <t>SchInfo!$C$32</t>
  </si>
  <si>
    <t>arts_music_m_gr11</t>
  </si>
  <si>
    <t>shs_arts_design_tracks</t>
  </si>
  <si>
    <t>Table1-2!$s$7</t>
  </si>
  <si>
    <t>arts_music_f_gr11</t>
  </si>
  <si>
    <t>Table1-2!$w$7</t>
  </si>
  <si>
    <t>arts_music_m_gr12</t>
  </si>
  <si>
    <t>Table1-2!$aa$7</t>
  </si>
  <si>
    <t>arts_music_f_gr12</t>
  </si>
  <si>
    <t>Table1-2!$ae$7</t>
  </si>
  <si>
    <t>arts_dance_m_gr11</t>
  </si>
  <si>
    <t>Table1-2!$s$8</t>
  </si>
  <si>
    <t>arts_dance_f_gr11</t>
  </si>
  <si>
    <t>Table1-2!$w$8</t>
  </si>
  <si>
    <t>arts_dance_m_gr12</t>
  </si>
  <si>
    <t>Table1-2!$aa$8</t>
  </si>
  <si>
    <t>arts_dance_f_gr12</t>
  </si>
  <si>
    <t>Table1-2!$ae$8</t>
  </si>
  <si>
    <t>arts_thtr_m_gr11</t>
  </si>
  <si>
    <t>Table1-2!$s$9</t>
  </si>
  <si>
    <t>arts_thtr_f_gr11</t>
  </si>
  <si>
    <t>Table1-2!$w$9</t>
  </si>
  <si>
    <t>arts_thtr_m_gr12</t>
  </si>
  <si>
    <t>Table1-2!$aa$9</t>
  </si>
  <si>
    <t>arts_thtr_f_gr12</t>
  </si>
  <si>
    <t>Table1-2!$ae$9</t>
  </si>
  <si>
    <t>arts_cw_m_gr11</t>
  </si>
  <si>
    <t>Table1-2!$s$10</t>
  </si>
  <si>
    <t>arts_cw_f_gr11</t>
  </si>
  <si>
    <t>Table1-2!$w$10</t>
  </si>
  <si>
    <t>arts_cw_m_gr12</t>
  </si>
  <si>
    <t>Table1-2!$aa$10</t>
  </si>
  <si>
    <t>arts_cw_f_gr12</t>
  </si>
  <si>
    <t>Table1-2!$ae$10</t>
  </si>
  <si>
    <t>arts_media_m_gr11</t>
  </si>
  <si>
    <t>Table1-2!$s$11</t>
  </si>
  <si>
    <t>arts_media_f_gr11</t>
  </si>
  <si>
    <t>Table1-2!$w$11</t>
  </si>
  <si>
    <t>arts_media_m_gr12</t>
  </si>
  <si>
    <t>Table1-2!$aa$11</t>
  </si>
  <si>
    <t>arts_media_f_gr12</t>
  </si>
  <si>
    <t>Table1-2!$ae$11</t>
  </si>
  <si>
    <t>arts_visual_m_gr11</t>
  </si>
  <si>
    <t>Table1-2!$s$12</t>
  </si>
  <si>
    <t>arts_visual_f_gr11</t>
  </si>
  <si>
    <t>Table1-2!$w$12</t>
  </si>
  <si>
    <t>arts_visual_m_gr12</t>
  </si>
  <si>
    <t>Table1-2!$aa$12</t>
  </si>
  <si>
    <t>arts_visual_f_gr12</t>
  </si>
  <si>
    <t>Table1-2!$ae$12</t>
  </si>
  <si>
    <t>devices_assist_tech</t>
  </si>
  <si>
    <t>shs_asst_tech_addapt_devices</t>
  </si>
  <si>
    <t>Table1-2!$j$28</t>
  </si>
  <si>
    <t>devices_adaptive</t>
  </si>
  <si>
    <t>Table1-2!$j$29</t>
  </si>
  <si>
    <t>sch_divsped_name</t>
  </si>
  <si>
    <t>Table1-2!$ag$28</t>
  </si>
  <si>
    <t>sch_divsped_postion</t>
  </si>
  <si>
    <t>Table1-2!$ak$31</t>
  </si>
  <si>
    <t>tvl_attractions_nc2_m_tkrs_2021</t>
  </si>
  <si>
    <t>tvl_attractions_nc2_f_tkrs_2021</t>
  </si>
  <si>
    <t>tvl_attractions_nc2_m_psrs_2021</t>
  </si>
  <si>
    <t>tvl_attractions_nc2_f_psrs_2021</t>
  </si>
  <si>
    <t>tvl_barbering_nc2_m_tkrs_2021</t>
  </si>
  <si>
    <t>tvl_barbering_nc2_f_tkrs_2021</t>
  </si>
  <si>
    <t>tvl_barbering_nc2_m_psrs_2021</t>
  </si>
  <si>
    <t>tvl_barbering_nc2_f_psrs_2021</t>
  </si>
  <si>
    <t>tvl_bartending_nc2_m_tkrs_2021</t>
  </si>
  <si>
    <t>tvl_bartending_nc2_f_tkrs_2021</t>
  </si>
  <si>
    <t>tvl_bartending_nc2_m_psrs_2021</t>
  </si>
  <si>
    <t>tvl_bartending_nc2_f_psrs_2021</t>
  </si>
  <si>
    <t>tvl_beautynnail_nc2_m_tkrs_2021</t>
  </si>
  <si>
    <t>tvl_beautynnail_nc2_f_tkrs_2021</t>
  </si>
  <si>
    <t>tvl_beautynnail_nc2_m_psrs_2021</t>
  </si>
  <si>
    <t>tvl_beautynnail_nc2_f_psrs_2021</t>
  </si>
  <si>
    <t>tvl_breadpastry_nc2_m_tkrs_2021</t>
  </si>
  <si>
    <t>tvl_breadpastry_nc2_f_tkrs_2021</t>
  </si>
  <si>
    <t>tvl_breadpastry_nc2_m_psrs_2021</t>
  </si>
  <si>
    <t>tvl_breadpastry_nc2_f_psrs_2021</t>
  </si>
  <si>
    <t>tvl_caregiving_nc2_m_tkrs_2021</t>
  </si>
  <si>
    <t>tvl_caregiving_nc2_f_tkrs_2021</t>
  </si>
  <si>
    <t>tvl_caregiving_nc2_m_psrs_2021</t>
  </si>
  <si>
    <t>tvl_caregiving_nc2_f_psrs_2021</t>
  </si>
  <si>
    <t>tvl_commercialcooking_nc2_m_tkrs_2021</t>
  </si>
  <si>
    <t>tvl_commercialcooking_nc2_f_tkrs_2021</t>
  </si>
  <si>
    <t>tvl_commercialcooking_nc2_m_psrs_2021</t>
  </si>
  <si>
    <t>tvl_commercialcooking_nc2_f_psrs_2021</t>
  </si>
  <si>
    <t>tvl_cookery_nc2_m_tkrs_2021</t>
  </si>
  <si>
    <t>tvl_cookery_nc2_f_tkrs_2021</t>
  </si>
  <si>
    <t>tvl_cookery_nc2_m_psrs_2021</t>
  </si>
  <si>
    <t>tvl_cookery_nc2_f_psrs_2021</t>
  </si>
  <si>
    <t>tvl_dressmaking_nc2_m_tkrs_2021</t>
  </si>
  <si>
    <t>tvl_dressmaking_nc2_f_tkrs_2021</t>
  </si>
  <si>
    <t>tvl_dressmaking_nc2_m_psrs_2021</t>
  </si>
  <si>
    <t>tvl_dressmaking_nc2_f_psrs_2021</t>
  </si>
  <si>
    <t>tvl_eventsmgt_nc3_m_tkrs_2021</t>
  </si>
  <si>
    <t>tvl_eventsmgt_nc3_f_tkrs_2021</t>
  </si>
  <si>
    <t>tvl_eventsmgt_nc3_m_psrs_2021</t>
  </si>
  <si>
    <t>tvl_eventsmgt_nc3_f_psrs_2021</t>
  </si>
  <si>
    <t>tvl_fashiondesign_nc3_m_tkrs_2021</t>
  </si>
  <si>
    <t>tvl_fashiondesign_nc3_f_tkrs_2021</t>
  </si>
  <si>
    <t>tvl_fashiondesign_nc3_m_psrs_2021</t>
  </si>
  <si>
    <t>tvl_fashiondesign_nc3_f_psrs_2021</t>
  </si>
  <si>
    <t>tvl_foodnbeverage_nc2_m_tkrs_2021</t>
  </si>
  <si>
    <t>tvl_foodnbeverage_nc2_f_tkrs_2021</t>
  </si>
  <si>
    <t>tvl_foodnbeverage_nc2_m_psrs_2021</t>
  </si>
  <si>
    <t>tvl_foodnbeverage_nc2_f_psrs_2021</t>
  </si>
  <si>
    <t>tvl_frontoffice_nc2_m_tkrs_2021</t>
  </si>
  <si>
    <t>tvl_frontoffice_nc2_f_tkrs_2021</t>
  </si>
  <si>
    <t>tvl_frontoffice_nc2_m_psrs_2021</t>
  </si>
  <si>
    <t>tvl_frontoffice_nc2_f_psrs_2021</t>
  </si>
  <si>
    <t>tvl_hairdressing_nc2_m_tkrs_2021</t>
  </si>
  <si>
    <t>tvl_hairdressing_nc2_f_tkrs_2021</t>
  </si>
  <si>
    <t>tvl_hairdressing_nc2_m_psrs_2021</t>
  </si>
  <si>
    <t>tvl_hairdressing_nc2_f_psrs_2021</t>
  </si>
  <si>
    <t>tvl_hairdressing_nc3_m_tkrs_2021</t>
  </si>
  <si>
    <t>tvl_hairdressing_nc3_f_tkrs_2021</t>
  </si>
  <si>
    <t>tvl_hairdressing_nc3_m_psrs_2021</t>
  </si>
  <si>
    <t>tvl_hairdressing_nc3_f_psrs_2021</t>
  </si>
  <si>
    <t>tvl_handibasketry_nonnc_m_tkrs_2021</t>
  </si>
  <si>
    <t>tvl_handibasketry_nonnc_f_tkrs_2021</t>
  </si>
  <si>
    <t>tvl_handibasketry_nonnc_m_psrs_2021</t>
  </si>
  <si>
    <t>tvl_handibasketry_nonnc_f_psrs_2021</t>
  </si>
  <si>
    <t>tvl_handifashion_nonnc_m_tkrs_2021</t>
  </si>
  <si>
    <t>tvl_handifashion_nonnc_f_tkrs_2021</t>
  </si>
  <si>
    <t>tvl_handifashion_nonnc_m_psrs_2021</t>
  </si>
  <si>
    <t>tvl_handifashion_nonnc_f_psrs_2021</t>
  </si>
  <si>
    <t>tvl_handineedlecraft_nonnc_m_tkrs_2021</t>
  </si>
  <si>
    <t>tvl_handineedlecraft_nonnc_f_tkrs_2021</t>
  </si>
  <si>
    <t>tvl_handineedlecraft_nonnc_m_psrs_2021</t>
  </si>
  <si>
    <t>tvl_handineedlecraft_nonnc_f_psrs_2021</t>
  </si>
  <si>
    <t>tvl_handiwoodcraft_nonnc_m_tkrs_2021</t>
  </si>
  <si>
    <t>tvl_handiwoodcraft_nonnc_f_tkrs_2021</t>
  </si>
  <si>
    <t>tvl_handiwoodcraft_nonnc_m_psrs_2021</t>
  </si>
  <si>
    <t>tvl_handiwoodcraft_nonnc_f_psrs_2021</t>
  </si>
  <si>
    <t>tvl_housekeeping_nc2_m_tkrs_2021</t>
  </si>
  <si>
    <t>tvl_housekeeping_nc2_f_tkrs_2021</t>
  </si>
  <si>
    <t>tvl_housekeeping_nc2_m_psrs_2021</t>
  </si>
  <si>
    <t>tvl_housekeeping_nc2_f_psrs_2021</t>
  </si>
  <si>
    <t>tvl_localguiding_nc2_m_tkrs_2021</t>
  </si>
  <si>
    <t>tvl_localguiding_nc2_f_tkrs_2021</t>
  </si>
  <si>
    <t>tvl_localguiding_nc2_m_psrs_2021</t>
  </si>
  <si>
    <t>tvl_localguiding_nc2_f_psrs_2021</t>
  </si>
  <si>
    <t>tvl_tailoring_nc2_m_tkrs_2021</t>
  </si>
  <si>
    <t>tvl_tailoring_nc2_f_tkrs_2021</t>
  </si>
  <si>
    <t>tvl_tailoring_nc2_m_psrs_2021</t>
  </si>
  <si>
    <t>tvl_tailoring_nc2_f_psrs_2021</t>
  </si>
  <si>
    <t>tvl_tourismpromotion_nc2_m_tkrs_2021</t>
  </si>
  <si>
    <t>tvl_tourismpromotion_nc2_f_tkrs_2021</t>
  </si>
  <si>
    <t>tvl_tourismpromotion_nc2_m_psrs_2021</t>
  </si>
  <si>
    <t>tvl_tourismpromotion_nc2_f_psrs_2021</t>
  </si>
  <si>
    <t>school_profile_type</t>
  </si>
  <si>
    <t>SchInfo!$A$2</t>
  </si>
  <si>
    <t>Special Geographic Area</t>
  </si>
  <si>
    <t>tvl_travelservices_nc2_m_tkrs_2021</t>
  </si>
  <si>
    <t>tvl_travelservices_nc2_f_tkrs_2021</t>
  </si>
  <si>
    <t>tvl_travelservices_nc2_m_psrs_2021</t>
  </si>
  <si>
    <t>tvl_travelservices_nc2_f_psrs_2021</t>
  </si>
  <si>
    <t>tvl_wellness_nc2_m_tkrs_2021</t>
  </si>
  <si>
    <t>tvl_wellness_nc2_f_tkrs_2021</t>
  </si>
  <si>
    <t>tvl_wellness_nc2_m_psrs_2021</t>
  </si>
  <si>
    <t>tvl_wellness_nc2_f_psrs_2021</t>
  </si>
  <si>
    <t>tvl_agricrops_nc1_m_tkrs_2021</t>
  </si>
  <si>
    <t>tvl_agricrops_nc1_f_tkrs_2021</t>
  </si>
  <si>
    <t>tvl_agricrops_nc1_m_psrs_2021</t>
  </si>
  <si>
    <t>tvl_agricrops_nc1_f_psrs_2021</t>
  </si>
  <si>
    <t>tvl_agricrops_nc2_m_tkrs_2021</t>
  </si>
  <si>
    <t>tvl_agricrops_nc2_f_tkrs_2021</t>
  </si>
  <si>
    <t>tvl_agricrops_nc2_m_psrs_2021</t>
  </si>
  <si>
    <t>tvl_agricrops_nc2_f_psrs_2021</t>
  </si>
  <si>
    <t>tvl_agricrops_nc3_m_tkrs_2021</t>
  </si>
  <si>
    <t>tvl_agricrops_nc3_f_tkrs_2021</t>
  </si>
  <si>
    <t>tvl_agricrops_nc3_m_psrs_2021</t>
  </si>
  <si>
    <t>tvl_agricrops_nc3_f_psrs_2021</t>
  </si>
  <si>
    <t>tvl_animalhealthcare_nc3_m_tkrs_2021</t>
  </si>
  <si>
    <t>tvl_animalhealthcare_nc3_f_tkrs_2021</t>
  </si>
  <si>
    <t>tvl_animalhealthcare_nc3_m_psrs_2021</t>
  </si>
  <si>
    <t>tvl_animalhealthcare_nc3_f_psrs_2021</t>
  </si>
  <si>
    <t>tvl_animalprodpoultry_nc2_m_tkrs_2021</t>
  </si>
  <si>
    <t>tvl_animalprodpoultry_nc2_f_tkrs_2021</t>
  </si>
  <si>
    <t>tvl_animalprodpoultry_nc2_m_psrs_2021</t>
  </si>
  <si>
    <t>tvl_animalprodpoultry_nc2_f_psrs_2021</t>
  </si>
  <si>
    <t>tvl_animalprodruminants_nc2_m_tkrs_2021</t>
  </si>
  <si>
    <t>tvl_animalprodruminants_nc2_f_tkrs_2021</t>
  </si>
  <si>
    <t>tvl_animalprodruminants_nc2_m_psrs_2021</t>
  </si>
  <si>
    <t>tvl_animalprodruminants_nc2_f_psrs_2021</t>
  </si>
  <si>
    <t>tvl_animalprodswine_nc2_m_tkrs_2021</t>
  </si>
  <si>
    <t>tvl_animalprodswine_nc2_f_tkrs_2021</t>
  </si>
  <si>
    <t>tvl_animalprodswine_nc2_m_psrs_2021</t>
  </si>
  <si>
    <t>tvl_animalprodswine_nc2_f_psrs_2021</t>
  </si>
  <si>
    <t>tvl_aquaculture_nc2_m_tkrs_2021</t>
  </si>
  <si>
    <t>tvl_aquaculture_nc2_f_tkrs_2021</t>
  </si>
  <si>
    <t>tvl_aquaculture_nc2_m_psrs_2021</t>
  </si>
  <si>
    <t>tvl_aquaculture_nc2_f_psrs_2021</t>
  </si>
  <si>
    <t>tvl_artificialinseminationruminants_nc2_m_tkrs_2021</t>
  </si>
  <si>
    <t>tvl_artificialinseminationruminants_nc2_f_tkrs_2021</t>
  </si>
  <si>
    <t>tvl_artificialinseminationruminants_nc2_m_psrs_2021</t>
  </si>
  <si>
    <t>tvl_artificialinseminationruminants_nc2_f_psrs_2021</t>
  </si>
  <si>
    <t>tvl_artificialinseminationswine_nc2_m_tkrs_2021</t>
  </si>
  <si>
    <t>tvl_artificialinseminationswine_nc2_f_tkrs_2021</t>
  </si>
  <si>
    <t>tvl_artificialinseminationswine_nc2_m_psrs_2021</t>
  </si>
  <si>
    <t>tvl_artificialinseminationswine_nc2_f_psrs_2021</t>
  </si>
  <si>
    <t>tvl_fishcapture_nc2_m_tkrs_2021</t>
  </si>
  <si>
    <t>tvl_fishcapture_nc2_f_tkrs_2021</t>
  </si>
  <si>
    <t>tvl_fishcapture_nc2_m_psrs_2021</t>
  </si>
  <si>
    <t>tvl_fishcapture_nc2_f_psrs_2021</t>
  </si>
  <si>
    <t>tvl_fishinggearrepair_nc3_m_tkrs_2021</t>
  </si>
  <si>
    <t>tvl_fishinggearrepair_nc3_f_tkrs_2021</t>
  </si>
  <si>
    <t>tvl_fishinggearrepair_nc3_m_psrs_2021</t>
  </si>
  <si>
    <t>tvl_fishinggearrepair_nc3_f_psrs_2021</t>
  </si>
  <si>
    <t>tvl_fishproductspackaging_nc2_m_tkrs_2021</t>
  </si>
  <si>
    <t>tvl_fishproductspackaging_nc2_f_tkrs_2021</t>
  </si>
  <si>
    <t>tvl_fishproductspackaging_nc2_m_psrs_2021</t>
  </si>
  <si>
    <t>tvl_fishproductspackaging_nc2_f_psrs_2021</t>
  </si>
  <si>
    <t>tvl_fishwharfop_nc1_m_tkrs_2021</t>
  </si>
  <si>
    <t>tvl_fishwharfop_nc1_f_tkrs_2021</t>
  </si>
  <si>
    <t>tvl_fishwharfop_nc1_m_psrs_2021</t>
  </si>
  <si>
    <t>tvl_fishwharfop_nc1_f_psrs_2021</t>
  </si>
  <si>
    <t>tvl_foodprocessing_nc2_m_tkrs_2021</t>
  </si>
  <si>
    <t>tvl_foodprocessing_nc2_f_tkrs_2021</t>
  </si>
  <si>
    <t>tvl_foodprocessing_nc2_m_psrs_2021</t>
  </si>
  <si>
    <t>tvl_foodprocessing_nc2_f_psrs_2021</t>
  </si>
  <si>
    <t>tvl_horticulture_nc3_m_tkrs_2021</t>
  </si>
  <si>
    <t>tvl_horticulture_nc3_f_tkrs_2021</t>
  </si>
  <si>
    <t>tvl_horticulture_nc3_m_psrs_2021</t>
  </si>
  <si>
    <t>tvl_horticulture_nc3_f_psrs_2021</t>
  </si>
  <si>
    <t>tvl_landscapeinstallation_nc2_m_tkrs_2021</t>
  </si>
  <si>
    <t>tvl_landscapeinstallation_nc2_f_tkrs_2021</t>
  </si>
  <si>
    <t>tvl_landscapeinstallation_nc2_m_psrs_2021</t>
  </si>
  <si>
    <t>tvl_landscapeinstallation_nc2_f_psrs_2021</t>
  </si>
  <si>
    <t>tvl_organicagri_nc2_m_tkrs_2021</t>
  </si>
  <si>
    <t>tvl_organicagri_nc2_f_tkrs_2021</t>
  </si>
  <si>
    <t>tvl_organicagri_nc2_m_psrs_2021</t>
  </si>
  <si>
    <t>tvl_organicagri_nc2_f_psrs_2021</t>
  </si>
  <si>
    <t>tvl_pestmgt_nc2_m_tkrs_2021</t>
  </si>
  <si>
    <t>tvl_pestmgt_nc2_f_tkrs_2021</t>
  </si>
  <si>
    <t>tvl_pestmgt_nc2_m_psrs_2021</t>
  </si>
  <si>
    <t>tvl_pestmgt_nc2_f_psrs_2021</t>
  </si>
  <si>
    <t>tvl_ricemachinery_nc2_m_tkrs_2021</t>
  </si>
  <si>
    <t>tvl_ricemachinery_nc2_f_tkrs_2021</t>
  </si>
  <si>
    <t>tvl_ricemachinery_nc2_m_psrs_2021</t>
  </si>
  <si>
    <t>tvl_ricemachinery_nc2_f_psrs_2021</t>
  </si>
  <si>
    <t>tvl_rubberprocessing_nc2_m_tkrs_2021</t>
  </si>
  <si>
    <t>tvl_rubberprocessing_nc2_f_tkrs_2021</t>
  </si>
  <si>
    <t>tvl_rubberprocessing_nc2_m_psrs_2021</t>
  </si>
  <si>
    <t>tvl_rubberprocessing_nc2_f_psrs_2021</t>
  </si>
  <si>
    <t>tvl_rubberproduction_nc2_m_tkrs_2021</t>
  </si>
  <si>
    <t>tvl_rubberproduction_nc2_f_tkrs_2021</t>
  </si>
  <si>
    <t>tvl_rubberproduction_nc2_m_psrs_2021</t>
  </si>
  <si>
    <t>tvl_rubberproduction_nc2_f_psrs_2021</t>
  </si>
  <si>
    <t>tvl_slaughteringops_nc2_m_tkrs_2021</t>
  </si>
  <si>
    <t>tvl_slaughteringops_nc2_f_tkrs_2021</t>
  </si>
  <si>
    <t>tvl_slaughteringops_nc2_m_psrs_2021</t>
  </si>
  <si>
    <t>tvl_slaughteringops_nc2_f_psrs_2021</t>
  </si>
  <si>
    <t>tvl_automotiveservicing_nc1_m_tkrs_2021</t>
  </si>
  <si>
    <t>tvl_automotiveservicing_nc1_f_tkrs_2021</t>
  </si>
  <si>
    <t>tvl_automotiveservicing_nc1_m_psrs_2021</t>
  </si>
  <si>
    <t>tvl_automotiveservicing_nc1_f_psrs_2021</t>
  </si>
  <si>
    <t>tvl_automotiveservicing_nc2_m_tkrs_2021</t>
  </si>
  <si>
    <t>tvl_automotiveservicing_nc2_f_tkrs_2021</t>
  </si>
  <si>
    <t>tvl_automotiveservicing_nc2_m_psrs_2021</t>
  </si>
  <si>
    <t>tvl_automotiveservicing_nc2_f_psrs_2021</t>
  </si>
  <si>
    <t>tvl_carpentry_nc2_m_tkrs_2021</t>
  </si>
  <si>
    <t>tvl_carpentry_nc2_f_tkrs_2021</t>
  </si>
  <si>
    <t>tvl_carpentry_nc2_m_psrs_2021</t>
  </si>
  <si>
    <t>tvl_carpentry_nc2_f_psrs_2021</t>
  </si>
  <si>
    <t>tvl_carpentry_nc3_m_tkrs_2021</t>
  </si>
  <si>
    <t>tvl_carpentry_nc3_f_tkrs_2021</t>
  </si>
  <si>
    <t>tvl_carpentry_nc3_m_psrs_2021</t>
  </si>
  <si>
    <t>tvl_carpentry_nc3_f_psrs_2021</t>
  </si>
  <si>
    <t>tvl_constructionpainting_nc2_m_tkrs_2021</t>
  </si>
  <si>
    <t>tvl_constructionpainting_nc2_f_tkrs_2021</t>
  </si>
  <si>
    <t>tvl_constructionpainting_nc2_m_psrs_2021</t>
  </si>
  <si>
    <t>tvl_constructionpainting_nc2_f_psrs_2021</t>
  </si>
  <si>
    <t>tvl_domrefrigeration_nc2_m_tkrs_2021</t>
  </si>
  <si>
    <t>tvl_domrefrigeration_nc2_f_tkrs_2021</t>
  </si>
  <si>
    <t>tvl_domrefrigeration_nc2_m_psrs_2021</t>
  </si>
  <si>
    <t>tvl_domrefrigeration_nc2_f_psrs_2021</t>
  </si>
  <si>
    <t>tvl_driving_nc2_m_tkrs_2021</t>
  </si>
  <si>
    <t>tvl_driving_nc2_f_tkrs_2021</t>
  </si>
  <si>
    <t>tvl_driving_nc2_m_psrs_2021</t>
  </si>
  <si>
    <t>tvl_driving_nc2_f_psrs_2021</t>
  </si>
  <si>
    <t>tvl_elecinstallation_nc2_m_tkrs_2021</t>
  </si>
  <si>
    <t>tvl_elecinstallation_nc2_f_tkrs_2021</t>
  </si>
  <si>
    <t>tvl_elecinstallation_nc2_m_psrs_2021</t>
  </si>
  <si>
    <t>tvl_elecinstallation_nc2_f_psrs_2021</t>
  </si>
  <si>
    <t>tvl_elecpowerdist_nc2_m_tkrs_2021</t>
  </si>
  <si>
    <t>tvl_elecpowerdist_nc2_f_tkrs_2021</t>
  </si>
  <si>
    <t>tvl_elecpowerdist_nc2_m_psrs_2021</t>
  </si>
  <si>
    <t>tvl_elecpowerdist_nc2_f_psrs_2021</t>
  </si>
  <si>
    <t>tvl_elecproduction_nc2_m_tkrs_2021</t>
  </si>
  <si>
    <t>tvl_elecproduction_nc2_f_tkrs_2021</t>
  </si>
  <si>
    <t>tvl_elecproduction_nc2_m_psrs_2021</t>
  </si>
  <si>
    <t>tvl_elecproduction_nc2_f_psrs_2021</t>
  </si>
  <si>
    <t>tvl_furnituremaking_nc2_m_tkrs_2021</t>
  </si>
  <si>
    <t>tvl_furnituremaking_nc2_f_tkrs_2021</t>
  </si>
  <si>
    <t>tvl_furnituremaking_nc2_m_psrs_2021</t>
  </si>
  <si>
    <t>tvl_furnituremaking_nc2_f_psrs_2021</t>
  </si>
  <si>
    <t>tvl_instncontrol_nc2_m_tkrs_2021</t>
  </si>
  <si>
    <t>tvl_instncontrol_nc2_f_tkrs_2021</t>
  </si>
  <si>
    <t>tvl_instncontrol_nc2_m_psrs_2021</t>
  </si>
  <si>
    <t>tvl_instncontrol_nc2_f_psrs_2021</t>
  </si>
  <si>
    <t>tvl_gasmetalwelding_nc2_m_tkrs_2021</t>
  </si>
  <si>
    <t>tvl_gasmetalwelding_nc2_f_tkrs_2021</t>
  </si>
  <si>
    <t>tvl_gasmetalwelding_nc2_m_psrs_2021</t>
  </si>
  <si>
    <t>tvl_gasmetalwelding_nc2_f_psrs_2021</t>
  </si>
  <si>
    <t>tvl_gastungstenwelding_nc2_m_tkrs_2021</t>
  </si>
  <si>
    <t>tvl_gastungstenwelding_nc2_f_tkrs_2021</t>
  </si>
  <si>
    <t>tvl_gastungstenwelding_nc2_m_psrs_2021</t>
  </si>
  <si>
    <t>tvl_gastungstenwelding_nc2_f_psrs_2021</t>
  </si>
  <si>
    <t>tvl_machining_nc1_m_tkrs_2021</t>
  </si>
  <si>
    <t>tvl_machining_nc1_f_tkrs_2021</t>
  </si>
  <si>
    <t>tvl_machining_nc1_m_psrs_2021</t>
  </si>
  <si>
    <t>tvl_machining_nc1_f_psrs_2021</t>
  </si>
  <si>
    <t>tvl_machining_nc2_m_tkrs_2021</t>
  </si>
  <si>
    <t>tvl_machining_nc2_f_tkrs_2021</t>
  </si>
  <si>
    <t>tvl_machining_nc2_m_psrs_2021</t>
  </si>
  <si>
    <t>tvl_machining_nc2_f_psrs_2021</t>
  </si>
  <si>
    <t>tvl_masonry_nc2_m_tkrs_2021</t>
  </si>
  <si>
    <t>tvl_masonry_nc2_f_tkrs_2021</t>
  </si>
  <si>
    <t>tvl_masonry_nc2_m_psrs_2021</t>
  </si>
  <si>
    <t>tvl_masonry_nc2_f_psrs_2021</t>
  </si>
  <si>
    <t>tvl_mechservicing_nc2_m_tkrs_2021</t>
  </si>
  <si>
    <t>tvl_mechservicing_nc2_f_tkrs_2021</t>
  </si>
  <si>
    <t>tvl_mechservicing_nc2_m_psrs_2021</t>
  </si>
  <si>
    <t>tvl_mechservicing_nc2_f_psrs_2021</t>
  </si>
  <si>
    <t>tvl_motorcyclservicing_nc2_m_tkrs_2021</t>
  </si>
  <si>
    <t>tvl_motorcyclservicing_nc2_f_tkrs_2021</t>
  </si>
  <si>
    <t>tvl_motorcyclservicing_nc2_m_psrs_2021</t>
  </si>
  <si>
    <t>tvl_motorcyclservicing_nc2_f_psrs_2021</t>
  </si>
  <si>
    <t>tvl_plumbing_nc1_m_tkrs_2021</t>
  </si>
  <si>
    <t>tvl_plumbing_nc1_f_tkrs_2021</t>
  </si>
  <si>
    <t>tvl_plumbing_nc1_m_psrs_2021</t>
  </si>
  <si>
    <t>tvl_plumbing_nc1_f_psrs_2021</t>
  </si>
  <si>
    <t>tvl_plumbing_nc2_m_tkrs_2021</t>
  </si>
  <si>
    <t>tvl_plumbing_nc2_f_tkrs_2021</t>
  </si>
  <si>
    <t>tvl_plumbing_nc2_m_psrs_2021</t>
  </si>
  <si>
    <t>tvl_plumbing_nc2_f_psrs_2021</t>
  </si>
  <si>
    <t>tvl_refnairconservicing_nc3_m_tkrs_2021</t>
  </si>
  <si>
    <t>tvl_refnairconservicing_nc3_f_tkrs_2021</t>
  </si>
  <si>
    <t>tvl_refnairconservicing_nc3_m_psrs_2021</t>
  </si>
  <si>
    <t>tvl_refnairconservicing_nc3_f_psrs_2021</t>
  </si>
  <si>
    <t>tvl_shieldedmetalwelding_nc1_m_tkrs_2021</t>
  </si>
  <si>
    <t>tvl_shieldedmetalwelding_nc1_f_tkrs_2021</t>
  </si>
  <si>
    <t>tvl_shieldedmetalwelding_nc1_m_psrs_2021</t>
  </si>
  <si>
    <t>tvl_shieldedmetalwelding_nc1_f_psrs_2021</t>
  </si>
  <si>
    <t>tvl_shieldedmetalwelding_nc2_m_tkrs_2021</t>
  </si>
  <si>
    <t>tvl_shieldedmetalwelding_nc2_f_tkrs_2021</t>
  </si>
  <si>
    <t>tvl_shieldedmetalwelding_nc2_m_psrs_2021</t>
  </si>
  <si>
    <t>tvl_shieldedmetalwelding_nc2_f_psrs_2021</t>
  </si>
  <si>
    <t>tvl_tilesetting_nc2_m_tkrs_2021</t>
  </si>
  <si>
    <t>tvl_tilesetting_nc2_f_tkrs_2021</t>
  </si>
  <si>
    <t>tvl_tilesetting_nc2_m_psrs_2021</t>
  </si>
  <si>
    <t>tvl_tilesetting_nc2_f_psrs_2021</t>
  </si>
  <si>
    <t>tvl_translineinstallation_nc2_m_tkrs_2021</t>
  </si>
  <si>
    <t>tvl_translineinstallation_nc2_f_tkrs_2021</t>
  </si>
  <si>
    <t>tvl_translineinstallation_nc2_m_psrs_2021</t>
  </si>
  <si>
    <t>tvl_translineinstallation_nc2_f_psrs_2021</t>
  </si>
  <si>
    <t>tvl_animation_nc2_m_tkrs_2021</t>
  </si>
  <si>
    <t>tvl_animation_nc2_f_tkrs_2021</t>
  </si>
  <si>
    <t>tvl_animation_nc2_m_psrs_2021</t>
  </si>
  <si>
    <t>tvl_animation_nc2_f_psrs_2021</t>
  </si>
  <si>
    <t>tvl_broadbandinsatallation_nc2_m_tkrs_2021</t>
  </si>
  <si>
    <t>tvl_broadbandinsatallation_nc2_f_tkrs_2021</t>
  </si>
  <si>
    <t>tvl_broadbandinsatallation_nc2_m_psrs_2021</t>
  </si>
  <si>
    <t>tvl_broadbandinsatallation_nc2_f_psrs_2021</t>
  </si>
  <si>
    <t>tvl_compprogrammingnettech_nc3_m_tkrs_2021</t>
  </si>
  <si>
    <t>tvl_compprogrammingnettech_nc3_f_tkrs_2021</t>
  </si>
  <si>
    <t>tvl_compprogrammingnettech_nc3_m_psrs_2021</t>
  </si>
  <si>
    <t>tvl_compprogrammingnettech_nc3_f_psrs_2021</t>
  </si>
  <si>
    <t>tvl_compprogrammingjava_nc3_m_tkrs_2021</t>
  </si>
  <si>
    <t>tvl_compprogrammingjava_nc3_f_tkrs_2021</t>
  </si>
  <si>
    <t>tvl_compprogrammingjava_nc3_m_psrs_2021</t>
  </si>
  <si>
    <t>tvl_compprogrammingjava_nc3_f_psrs_2021</t>
  </si>
  <si>
    <t>tvl_compprogrammingoracle_nc3_m_tkrs_2021</t>
  </si>
  <si>
    <t>tvl_compprogrammingoracle_nc3_f_tkrs_2021</t>
  </si>
  <si>
    <t>tvl_compprogrammingoracle_nc3_m_psrs_2021</t>
  </si>
  <si>
    <t>tvl_compprogrammingoracle_nc3_f_psrs_2021</t>
  </si>
  <si>
    <t>tvl_compsystemservicing_nc2_m_tkrs_2021</t>
  </si>
  <si>
    <t>tvl_compsystemservicing_nc2_f_tkrs_2021</t>
  </si>
  <si>
    <t>tvl_compsystemservicing_nc2_m_psrs_2021</t>
  </si>
  <si>
    <t>tvl_compsystemservicing_nc2_f_psrs_2021</t>
  </si>
  <si>
    <t>tvl_contactcenterservices_nc2_m_tkrs_2021</t>
  </si>
  <si>
    <t>tvl_contactcenterservices_nc2_f_tkrs_2021</t>
  </si>
  <si>
    <t>tvl_contactcenterservices_nc2_m_psrs_2021</t>
  </si>
  <si>
    <t>tvl_contactcenterservices_nc2_f_psrs_2021</t>
  </si>
  <si>
    <t>tvl_illustration_nc2_m_tkrs_2021</t>
  </si>
  <si>
    <t>tvl_illustration_nc2_f_tkrs_2021</t>
  </si>
  <si>
    <t>tvl_illustration_nc2_m_psrs_2021</t>
  </si>
  <si>
    <t>tvl_illustration_nc2_f_psrs_2021</t>
  </si>
  <si>
    <t>tvl_medicaltranscription_nc2_m_tkrs_2021</t>
  </si>
  <si>
    <t>tvl_medicaltranscription_nc2_f_tkrs_2021</t>
  </si>
  <si>
    <t>tvl_medicaltranscription_nc2_m_psrs_2021</t>
  </si>
  <si>
    <t>tvl_medicaltranscription_nc2_f_psrs_2021</t>
  </si>
  <si>
    <t>tvl_techdrafting_nc2_m_tkrs_2021</t>
  </si>
  <si>
    <t>tvl_techdrafting_nc2_f_tkrs_2021</t>
  </si>
  <si>
    <t>tvl_techdrafting_nc2_m_psrs_2021</t>
  </si>
  <si>
    <t>tvl_techdrafting_nc2_f_psrs_2021</t>
  </si>
  <si>
    <t>tvl_telcomospnsubslineinst_nc2_m_tkrs_2021</t>
  </si>
  <si>
    <t>tvl_telcomospnsubslineinst_nc2_f_tkrs_2021</t>
  </si>
  <si>
    <t>tvl_telcomospnsubslineinst_nc2_m_psrs_2021</t>
  </si>
  <si>
    <t>tvl_telcomospnsubslineinst_nc2_f_psrs_2021</t>
  </si>
  <si>
    <t>tvl_telcomospinstfiber_nc2_m_tkrs_2021</t>
  </si>
  <si>
    <t>tvl_telcomospinstfiber_nc2_f_tkrs_2021</t>
  </si>
  <si>
    <t>tvl_telcomospinstfiber_nc2_m_psrs_2021</t>
  </si>
  <si>
    <t>tvl_telcomospinstfiber_nc2_f_psrs_2021</t>
  </si>
  <si>
    <t>tvl_navigationalwatch1_m_tkrs_2021</t>
  </si>
  <si>
    <t>tvl_navigationalwatch1_f_tkrs_2021</t>
  </si>
  <si>
    <t>tvl_navigationalwatch1_m_psrs_2021</t>
  </si>
  <si>
    <t>tvl_navigationalwatch1_f_psrs_2021</t>
  </si>
  <si>
    <t>tvl_navigationalwatch2_m_tkrs_2021</t>
  </si>
  <si>
    <t>tvl_navigationalwatch2_f_tkrs_2021</t>
  </si>
  <si>
    <t>tvl_navigationalwatch2_m_psrs_2021</t>
  </si>
  <si>
    <t>tvl_navigationalwatch2_f_psrs_2021</t>
  </si>
  <si>
    <t>tvl_navigationalwatch3_m_tkrs_2021</t>
  </si>
  <si>
    <t>tvl_navigationalwatch3_f_tkrs_2021</t>
  </si>
  <si>
    <t>tvl_navigationalwatch3_m_psrs_2021</t>
  </si>
  <si>
    <t>tvl_navigationalwatch3_f_psrs_2021</t>
  </si>
  <si>
    <t>tvl_enginewatch1_m_tkrs_2021</t>
  </si>
  <si>
    <t>tvl_enginewatch1_f_tkrs_2021</t>
  </si>
  <si>
    <t>tvl_enginewatch1_m_psrs_2021</t>
  </si>
  <si>
    <t>tvl_enginewatch1_f_psrs_2021</t>
  </si>
  <si>
    <t>tvl_enginewatch2_m_tkrs_2021</t>
  </si>
  <si>
    <t>tvl_enginewatch2_f_tkrs_2021</t>
  </si>
  <si>
    <t>tvl_enginewatch2_m_psrs_2021</t>
  </si>
  <si>
    <t>tvl_enginewatch2_f_psrs_2021</t>
  </si>
  <si>
    <t>tvl_safety1_m_tkrs_2021</t>
  </si>
  <si>
    <t>tvl_safety1_f_tkrs_2021</t>
  </si>
  <si>
    <t>tvl_safety1_m_psrs_2021</t>
  </si>
  <si>
    <t>tvl_safety1_f_psrs_2021</t>
  </si>
  <si>
    <t>tvl_safety2_m_tkrs_2021</t>
  </si>
  <si>
    <t>tvl_safety2_f_tkrs_2021</t>
  </si>
  <si>
    <t>tvl_safety2_m_psrs_2021</t>
  </si>
  <si>
    <t>tvl_safety2_f_psrs_2021</t>
  </si>
  <si>
    <t>tvl_shipcateringservices_nc1_m_tkrs_2021</t>
  </si>
  <si>
    <t>tvl_shipcateringservices_nc1_f_tkrs_2021</t>
  </si>
  <si>
    <t>tvl_shipcateringservices_nc1_m_psrs_2021</t>
  </si>
  <si>
    <t>tvl_shipcateringservices_nc1_f_psrs_2021</t>
  </si>
  <si>
    <t>teach_local_fund_provincial</t>
  </si>
  <si>
    <t>shs_teach_local_fund</t>
  </si>
  <si>
    <t>teach_local_fund_city</t>
  </si>
  <si>
    <t>teach_local_fund_lgu</t>
  </si>
  <si>
    <t>teach_local_fund_others</t>
  </si>
  <si>
    <t>teach_qualified_m</t>
  </si>
  <si>
    <t>shs_teach_local</t>
  </si>
  <si>
    <t>teach_qualified_f</t>
  </si>
  <si>
    <t>teach_trained_m</t>
  </si>
  <si>
    <t>teach_trained_f</t>
  </si>
  <si>
    <t>sch_dhr_name</t>
  </si>
  <si>
    <t>sch_dhr_position</t>
  </si>
  <si>
    <t>sch_seps_name</t>
  </si>
  <si>
    <t>Table4-5!$b$7</t>
  </si>
  <si>
    <t>Table4-5!$h$7</t>
  </si>
  <si>
    <t>Table4-5!$n$7</t>
  </si>
  <si>
    <t>Table4-5!$t$7</t>
  </si>
  <si>
    <t>Table4-5!$b$25</t>
  </si>
  <si>
    <t>Table4-5!$g$25</t>
  </si>
  <si>
    <t>Table4-5!$q$25</t>
  </si>
  <si>
    <t>Table4-5!$v$25</t>
  </si>
  <si>
    <t>Table4-5!$ai$5</t>
  </si>
  <si>
    <t>Table4-5!$am$7</t>
  </si>
  <si>
    <t>Table4-5!$ai$25</t>
  </si>
  <si>
    <t>personnel_nonteach_sp4_psipop</t>
  </si>
  <si>
    <t>shs_nonteaching_plantilla</t>
  </si>
  <si>
    <t>personnel_nonteach_sp4_actual_m</t>
  </si>
  <si>
    <t>personnel_nonteach_sp4_actual_f</t>
  </si>
  <si>
    <t>personnel_nonteach_sp4_onleave</t>
  </si>
  <si>
    <t>personnel_nonteach_sp4_vacant</t>
  </si>
  <si>
    <t>personnel_nonteach_sp4_detailed_hs</t>
  </si>
  <si>
    <t>personnel_nonteach_sp4_detailed_es</t>
  </si>
  <si>
    <t>personnel_nonteach_sp4_detailed_outdiv</t>
  </si>
  <si>
    <t>personnel_nonteach_sp4_borrowed_m</t>
  </si>
  <si>
    <t>personnel_nonteach_sp4_borrowed_f</t>
  </si>
  <si>
    <t>personnel_nonteach_sp3_psipop</t>
  </si>
  <si>
    <t>personnel_nonteach_sp3_actual_m</t>
  </si>
  <si>
    <t>personnel_nonteach_sp3_actual_f</t>
  </si>
  <si>
    <t>personnel_nonteach_sp3_onleave</t>
  </si>
  <si>
    <t>personnel_nonteach_sp3_vacant</t>
  </si>
  <si>
    <t>personnel_nonteach_sp3_detailed_hs</t>
  </si>
  <si>
    <t>personnel_nonteach_sp3_detailed_es</t>
  </si>
  <si>
    <t>personnel_nonteach_sp3_detailed_outdiv</t>
  </si>
  <si>
    <t>personnel_nonteach_sp3_borrowed_m</t>
  </si>
  <si>
    <t>personnel_nonteach_sp3_borrowed_f</t>
  </si>
  <si>
    <t>personnel_nonteach_sp2_psipop</t>
  </si>
  <si>
    <t>personnel_nonteach_sp2_actual_m</t>
  </si>
  <si>
    <t>personnel_nonteach_sp2_actual_f</t>
  </si>
  <si>
    <t>personnel_nonteach_sp2_onleave</t>
  </si>
  <si>
    <t>personnel_nonteach_sp2_vacant</t>
  </si>
  <si>
    <t>personnel_nonteach_sp2_detailed_hs</t>
  </si>
  <si>
    <t>personnel_nonteach_sp2_detailed_es</t>
  </si>
  <si>
    <t>personnel_nonteach_sp2_detailed_outdiv</t>
  </si>
  <si>
    <t>personnel_nonteach_sp2_borrowed_m</t>
  </si>
  <si>
    <t>personnel_nonteach_sp2_borrowed_f</t>
  </si>
  <si>
    <t>personnel_nonteach_sp1_psipop</t>
  </si>
  <si>
    <t>personnel_nonteach_sp1_actual_m</t>
  </si>
  <si>
    <t>personnel_nonteach_sp1_actual_f</t>
  </si>
  <si>
    <t>personnel_nonteach_sp1_onleave</t>
  </si>
  <si>
    <t>personnel_nonteach_sp1_vacant</t>
  </si>
  <si>
    <t>personnel_nonteach_sp1_detailed_hs</t>
  </si>
  <si>
    <t>personnel_nonteach_sp1_detailed_es</t>
  </si>
  <si>
    <t>personnel_nonteach_sp1_detailed_outdiv</t>
  </si>
  <si>
    <t>personnel_nonteach_sp1_borrowed_m</t>
  </si>
  <si>
    <t>personnel_nonteach_sp1_borrowed_f</t>
  </si>
  <si>
    <t>personnel_nonteach_sap3_psipop</t>
  </si>
  <si>
    <t>personnel_nonteach_sap3_actual_m</t>
  </si>
  <si>
    <t>personnel_nonteach_sap3_actual_f</t>
  </si>
  <si>
    <t>personnel_nonteach_sap3_onleave</t>
  </si>
  <si>
    <t>personnel_nonteach_sap3_vacant</t>
  </si>
  <si>
    <t>personnel_nonteach_sap3_detailed_hs</t>
  </si>
  <si>
    <t>personnel_nonteach_sap3_detailed_es</t>
  </si>
  <si>
    <t>personnel_nonteach_sap3_detailed_outdiv</t>
  </si>
  <si>
    <t>personnel_nonteach_sap3_borrowed_m</t>
  </si>
  <si>
    <t>personnel_nonteach_sap3_borrowed_f</t>
  </si>
  <si>
    <t>personnel_nonteach_sap2_psipop</t>
  </si>
  <si>
    <t>personnel_nonteach_sap2_actual_m</t>
  </si>
  <si>
    <t>personnel_nonteach_sap2_actual_f</t>
  </si>
  <si>
    <t>personnel_nonteach_sap2_onleave</t>
  </si>
  <si>
    <t>personnel_nonteach_sap2_vacant</t>
  </si>
  <si>
    <t>personnel_nonteach_sap2_detailed_hs</t>
  </si>
  <si>
    <t>personnel_nonteach_sap2_detailed_es</t>
  </si>
  <si>
    <t>personnel_nonteach_sap2_detailed_outdiv</t>
  </si>
  <si>
    <t>personnel_nonteach_sap2_borrowed_m</t>
  </si>
  <si>
    <t>personnel_nonteach_sap2_borrowed_f</t>
  </si>
  <si>
    <t>personnel_nonteach_sap1_psipop</t>
  </si>
  <si>
    <t>personnel_nonteach_sap1_actual_m</t>
  </si>
  <si>
    <t>personnel_nonteach_sap1_actual_f</t>
  </si>
  <si>
    <t>personnel_nonteach_sap1_onleave</t>
  </si>
  <si>
    <t>personnel_nonteach_sap1_vacant</t>
  </si>
  <si>
    <t>personnel_nonteach_sap1_detailed_hs</t>
  </si>
  <si>
    <t>personnel_nonteach_sap1_detailed_es</t>
  </si>
  <si>
    <t>personnel_nonteach_sap1_detailed_outdiv</t>
  </si>
  <si>
    <t>personnel_nonteach_sap1_borrowed_m</t>
  </si>
  <si>
    <t>personnel_nonteach_sap1_borrowed_f</t>
  </si>
  <si>
    <t>personnel_nonteach_ht6_psipop</t>
  </si>
  <si>
    <t>personnel_nonteach_ht6_actual_m</t>
  </si>
  <si>
    <t>personnel_nonteach_ht6_actual_f</t>
  </si>
  <si>
    <t>personnel_nonteach_ht6_onleave</t>
  </si>
  <si>
    <t>personnel_nonteach_ht6_vacant</t>
  </si>
  <si>
    <t>personnel_nonteach_ht6_detailed_hs</t>
  </si>
  <si>
    <t>personnel_nonteach_ht6_detailed_es</t>
  </si>
  <si>
    <t>personnel_nonteach_ht6_detailed_outdiv</t>
  </si>
  <si>
    <t>personnel_nonteach_ht6_borrowed_m</t>
  </si>
  <si>
    <t>personnel_nonteach_ht6_borrowed_f</t>
  </si>
  <si>
    <t>personnel_nonteach_ht5_psipop</t>
  </si>
  <si>
    <t>personnel_nonteach_ht5_actual_m</t>
  </si>
  <si>
    <t>personnel_nonteach_ht5_actual_f</t>
  </si>
  <si>
    <t>personnel_nonteach_ht5_onleave</t>
  </si>
  <si>
    <t>personnel_nonteach_ht5_vacant</t>
  </si>
  <si>
    <t>personnel_nonteach_ht5_detailed_hs</t>
  </si>
  <si>
    <t>personnel_nonteach_ht5_detailed_es</t>
  </si>
  <si>
    <t>personnel_nonteach_ht5_detailed_outdiv</t>
  </si>
  <si>
    <t>personnel_nonteach_ht5_borrowed_m</t>
  </si>
  <si>
    <t>personnel_nonteach_ht5_borrowed_f</t>
  </si>
  <si>
    <t>personnel_nonteach_ht4_psipop</t>
  </si>
  <si>
    <t>personnel_nonteach_ht4_actual_m</t>
  </si>
  <si>
    <t>personnel_nonteach_ht4_actual_f</t>
  </si>
  <si>
    <t>personnel_nonteach_ht4_onleave</t>
  </si>
  <si>
    <t>personnel_nonteach_ht4_vacant</t>
  </si>
  <si>
    <t>personnel_nonteach_ht4_detailed_hs</t>
  </si>
  <si>
    <t>personnel_nonteach_ht4_detailed_es</t>
  </si>
  <si>
    <t>personnel_nonteach_ht4_detailed_outdiv</t>
  </si>
  <si>
    <t>personnel_nonteach_ht4_borrowed_m</t>
  </si>
  <si>
    <t>personnel_nonteach_ht4_borrowed_f</t>
  </si>
  <si>
    <t>personnel_nonteach_ht3_psipop</t>
  </si>
  <si>
    <t>personnel_nonteach_ht3_actual_m</t>
  </si>
  <si>
    <t>personnel_nonteach_ht3_actual_f</t>
  </si>
  <si>
    <t>personnel_nonteach_ht3_onleave</t>
  </si>
  <si>
    <t>personnel_nonteach_ht3_vacant</t>
  </si>
  <si>
    <t>personnel_nonteach_ht3_detailed_hs</t>
  </si>
  <si>
    <t>personnel_nonteach_ht3_detailed_es</t>
  </si>
  <si>
    <t>personnel_nonteach_ht3_detailed_outdiv</t>
  </si>
  <si>
    <t>personnel_nonteach_ht3_borrowed_m</t>
  </si>
  <si>
    <t>personnel_nonteach_ht3_borrowed_f</t>
  </si>
  <si>
    <t>personnel_nonteach_ht2_psipop</t>
  </si>
  <si>
    <t>personnel_nonteach_ht2_actual_m</t>
  </si>
  <si>
    <t>personnel_nonteach_ht2_actual_f</t>
  </si>
  <si>
    <t>personnel_nonteach_ht2_onleave</t>
  </si>
  <si>
    <t>personnel_nonteach_ht2_vacant</t>
  </si>
  <si>
    <t>personnel_nonteach_ht2_detailed_hs</t>
  </si>
  <si>
    <t>personnel_nonteach_ht2_detailed_es</t>
  </si>
  <si>
    <t>personnel_nonteach_ht2_detailed_outdiv</t>
  </si>
  <si>
    <t>personnel_nonteach_ht2_borrowed_m</t>
  </si>
  <si>
    <t>personnel_nonteach_ht2_borrowed_f</t>
  </si>
  <si>
    <t>personnel_nonteach_ht1_psipop</t>
  </si>
  <si>
    <t>personnel_nonteach_ht1_actual_m</t>
  </si>
  <si>
    <t>personnel_nonteach_ht1_actual_f</t>
  </si>
  <si>
    <t>personnel_nonteach_ht1_onleave</t>
  </si>
  <si>
    <t>personnel_nonteach_ht1_vacant</t>
  </si>
  <si>
    <t>personnel_nonteach_ht1_detailed_hs</t>
  </si>
  <si>
    <t>personnel_nonteach_ht1_detailed_es</t>
  </si>
  <si>
    <t>personnel_nonteach_ht1_detailed_outdiv</t>
  </si>
  <si>
    <t>personnel_nonteach_ht1_borrowed_m</t>
  </si>
  <si>
    <t>personnel_nonteach_ht1_borrowed_f</t>
  </si>
  <si>
    <t>personnel_nonteach_schnurse_psipop</t>
  </si>
  <si>
    <t>personnel_nonteach_schnurse_actual_m</t>
  </si>
  <si>
    <t>personnel_nonteach_schnurse_actual_f</t>
  </si>
  <si>
    <t>personnel_nonteach_schnurse_onleave</t>
  </si>
  <si>
    <t>personnel_nonteach_schnurse_vacant</t>
  </si>
  <si>
    <t>personnel_nonteach_schnurse_detailed_hs</t>
  </si>
  <si>
    <t>personnel_nonteach_schnurse_detailed_es</t>
  </si>
  <si>
    <t>personnel_nonteach_schnurse_detailed_outdiv</t>
  </si>
  <si>
    <t>personnel_nonteach_schnurse_borrowed_m</t>
  </si>
  <si>
    <t>personnel_nonteach_schnurse_borrowed_f</t>
  </si>
  <si>
    <t>personnel_nonteach_adminofcr4_psipop</t>
  </si>
  <si>
    <t>personnel_nonteach_adminofcr4_actual_m</t>
  </si>
  <si>
    <t>personnel_nonteach_adminofcr4_actual_f</t>
  </si>
  <si>
    <t>personnel_nonteach_adminofcr4_onleave</t>
  </si>
  <si>
    <t>personnel_nonteach_adminofcr4_vacant</t>
  </si>
  <si>
    <t>personnel_nonteach_adminofcr4_detailed_hs</t>
  </si>
  <si>
    <t>personnel_nonteach_adminofcr4_detailed_es</t>
  </si>
  <si>
    <t>personnel_nonteach_adminofcr4_detailed_outdiv</t>
  </si>
  <si>
    <t>personnel_nonteach_adminofcr4_borrowed_m</t>
  </si>
  <si>
    <t>personnel_nonteach_adminofcr4_borrowed_f</t>
  </si>
  <si>
    <t>personnel_nonteach_adminofcr2_psipop</t>
  </si>
  <si>
    <t>personnel_nonteach_adminofcr2_actual_m</t>
  </si>
  <si>
    <t>personnel_nonteach_adminofcr2_actual_f</t>
  </si>
  <si>
    <t>personnel_nonteach_adminofcr2_onleave</t>
  </si>
  <si>
    <t>personnel_nonteach_adminofcr2_vacant</t>
  </si>
  <si>
    <t>personnel_nonteach_adminofcr2_detailed_hs</t>
  </si>
  <si>
    <t>personnel_nonteach_adminofcr2_detailed_es</t>
  </si>
  <si>
    <t>personnel_nonteach_adminofcr2_detailed_outdiv</t>
  </si>
  <si>
    <t>personnel_nonteach_adminofcr2_borrowed_m</t>
  </si>
  <si>
    <t>personnel_nonteach_adminofcr2_borrowed_f</t>
  </si>
  <si>
    <t>personnel_nonteach_schlibr3_psipop</t>
  </si>
  <si>
    <t>personnel_nonteach_schlibr3_actual_m</t>
  </si>
  <si>
    <t>personnel_nonteach_schlibr3_actual_f</t>
  </si>
  <si>
    <t>personnel_nonteach_schlibr3_onleave</t>
  </si>
  <si>
    <t>personnel_nonteach_schlibr3_vacant</t>
  </si>
  <si>
    <t>personnel_nonteach_schlibr3_detailed_hs</t>
  </si>
  <si>
    <t>personnel_nonteach_schlibr3_detailed_es</t>
  </si>
  <si>
    <t>personnel_nonteach_schlibr3_detailed_outdiv</t>
  </si>
  <si>
    <t>personnel_nonteach_schlibr3_borrowed_m</t>
  </si>
  <si>
    <t>personnel_nonteach_schlibr3_borrowed_f</t>
  </si>
  <si>
    <t>personnel_nonteach_schlibr2_psipop</t>
  </si>
  <si>
    <t>personnel_nonteach_schlibr2_actual_m</t>
  </si>
  <si>
    <t>personnel_nonteach_schlibr2_actual_f</t>
  </si>
  <si>
    <t>personnel_nonteach_schlibr2_onleave</t>
  </si>
  <si>
    <t>personnel_nonteach_schlibr2_vacant</t>
  </si>
  <si>
    <t>personnel_nonteach_schlibr2_detailed_hs</t>
  </si>
  <si>
    <t>personnel_nonteach_schlibr2_detailed_es</t>
  </si>
  <si>
    <t>personnel_nonteach_schlibr2_detailed_outdiv</t>
  </si>
  <si>
    <t>personnel_nonteach_schlibr2_borrowed_m</t>
  </si>
  <si>
    <t>personnel_nonteach_schlibr2_borrowed_f</t>
  </si>
  <si>
    <t>personnel_nonteach_schlibr1_psipop</t>
  </si>
  <si>
    <t>personnel_nonteach_schlibr1_actual_m</t>
  </si>
  <si>
    <t>personnel_nonteach_schlibr1_actual_f</t>
  </si>
  <si>
    <t>personnel_nonteach_schlibr1_onleave</t>
  </si>
  <si>
    <t>personnel_nonteach_schlibr1_vacant</t>
  </si>
  <si>
    <t>personnel_nonteach_schlibr1_detailed_hs</t>
  </si>
  <si>
    <t>personnel_nonteach_schlibr1_detailed_es</t>
  </si>
  <si>
    <t>personnel_nonteach_schlibr1_detailed_outdiv</t>
  </si>
  <si>
    <t>personnel_nonteach_schlibr1_borrowed_m</t>
  </si>
  <si>
    <t>personnel_nonteach_schlibr1_borrowed_f</t>
  </si>
  <si>
    <t>personnel_nonteach_guidancesrvspcl2_psipop</t>
  </si>
  <si>
    <t>personnel_nonteach_guidancesrvspcl2_actual_m</t>
  </si>
  <si>
    <t>personnel_nonteach_guidancesrvspcl2_actual_f</t>
  </si>
  <si>
    <t>personnel_nonteach_guidancespcl2_onleave</t>
  </si>
  <si>
    <t>personnel_nonteach_guidancespcl2_vacant</t>
  </si>
  <si>
    <t>personnel_nonteach_guidancespcl2_detailed_hs</t>
  </si>
  <si>
    <t>personnel_nonteach_guidancespcl2_detailed_es</t>
  </si>
  <si>
    <t>personnel_nonteach_guidancespcl2_detailed_outdiv</t>
  </si>
  <si>
    <t>personnel_nonteach_guidancespcl2_borrowed_m</t>
  </si>
  <si>
    <t>personnel_nonteach_guidancespcl2_borrowed_f</t>
  </si>
  <si>
    <t>personnel_nonteach_guidancesrvspcl1_psipop</t>
  </si>
  <si>
    <t>personnel_nonteach_guidancesrvspcl1_actual_m</t>
  </si>
  <si>
    <t>personnel_nonteach_guidancesrvspcl1_actual_f</t>
  </si>
  <si>
    <t>personnel_nonteach_guidancesrvspcl1_onleave</t>
  </si>
  <si>
    <t>personnel_nonteach_guidancesrvspcl1_vacant</t>
  </si>
  <si>
    <t>personnel_nonteach_guidancesrvspcl1_detailed_hs</t>
  </si>
  <si>
    <t>personnel_nonteach_guidancesrvspcl1_detailed_es</t>
  </si>
  <si>
    <t>personnel_nonteach_guidancesrvspcl1_detailed_outdiv</t>
  </si>
  <si>
    <t>personnel_nonteach_guidancesrvspcl1_borrowed_m</t>
  </si>
  <si>
    <t>personnel_nonteach_guidancesrvspcl1_borrowed_f</t>
  </si>
  <si>
    <t>personnel_nonteach_guidancecounsel3_psipop</t>
  </si>
  <si>
    <t>personnel_nonteach_guidancecounsel3_actual_m</t>
  </si>
  <si>
    <t>personnel_nonteach_guidancecounsel3_actual_f</t>
  </si>
  <si>
    <t>personnel_nonteach_guidancecounsel3_onleave</t>
  </si>
  <si>
    <t>personnel_nonteach_guidancecounsel3_vacant</t>
  </si>
  <si>
    <t>personnel_nonteach_guidancecounsel3_detailed_hs</t>
  </si>
  <si>
    <t>personnel_nonteach_guidancecounsel3_detailed_es</t>
  </si>
  <si>
    <t>personnel_nonteach_guidancecounsel3_detailed_outdiv</t>
  </si>
  <si>
    <t>personnel_nonteach_guidancecounsel3_borrowed_m</t>
  </si>
  <si>
    <t>personnel_nonteach_guidancecounsel3_borrowed_f</t>
  </si>
  <si>
    <t>personnel_nonteach_guidancecounsel2_psipop</t>
  </si>
  <si>
    <t>personnel_nonteach_guidancecounsel2_actual_m</t>
  </si>
  <si>
    <t>personnel_nonteach_guidancecounsel2_actual_f</t>
  </si>
  <si>
    <t>personnel_nonteach_guidancecounsel2_onleave</t>
  </si>
  <si>
    <t>personnel_nonteach_guidancecounsel2_vacant</t>
  </si>
  <si>
    <t>personnel_nonteach_guidancecounsel2_detailed_hs</t>
  </si>
  <si>
    <t>personnel_nonteach_guidancecounsel2_detailed_es</t>
  </si>
  <si>
    <t>personnel_nonteach_guidancecounsel2_detailed_outdiv</t>
  </si>
  <si>
    <t>personnel_nonteach_guidancecounsel2_borrowed_m</t>
  </si>
  <si>
    <t>personnel_nonteach_guidancecounsel2_borrowed_f</t>
  </si>
  <si>
    <t>personnel_nonteach_guidancecounsel1_psipop</t>
  </si>
  <si>
    <t>personnel_nonteach_guidancecounsel1_actual_m</t>
  </si>
  <si>
    <t>personnel_nonteach_guidancecounsel1_actual_f</t>
  </si>
  <si>
    <t>personnel_nonteach_guidancecounsel1_onleave</t>
  </si>
  <si>
    <t>personnel_nonteach_guidancecounsel1_vacant</t>
  </si>
  <si>
    <t>personnel_nonteach_guidancecounsel1_detailed_hs</t>
  </si>
  <si>
    <t>personnel_nonteach_guidancecounsel1_detailed_es</t>
  </si>
  <si>
    <t>personnel_nonteach_guidancecounsel1_detailed_outdiv</t>
  </si>
  <si>
    <t>personnel_nonteach_guidancecounsel1_borrowed_m</t>
  </si>
  <si>
    <t>personnel_nonteach_guidancecounsel1_borrowed_f</t>
  </si>
  <si>
    <t>personnel_nonteach_acct1_psipop</t>
  </si>
  <si>
    <t>personnel_nonteach_acct1_actual_m</t>
  </si>
  <si>
    <t>personnel_nonteach_acct1_actual_f</t>
  </si>
  <si>
    <t>personnel_nonteach_acct1_onleave</t>
  </si>
  <si>
    <t>personnel_nonteach_acct1_vacant</t>
  </si>
  <si>
    <t>personnel_nonteach_acct1_detailed_hs</t>
  </si>
  <si>
    <t>personnel_nonteach_acct1_detailed_es</t>
  </si>
  <si>
    <t>personnel_nonteach_acct1_detailed_outdiv</t>
  </si>
  <si>
    <t>personnel_nonteach_acct1_borrowed_m</t>
  </si>
  <si>
    <t>personnel_nonteach_acct1_borrowed_f</t>
  </si>
  <si>
    <t>personnel_nonteach_pdo1_psipop</t>
  </si>
  <si>
    <t>personnel_nonteach_pdo1_actual_m</t>
  </si>
  <si>
    <t>personnel_nonteach_pdo1_actual_f</t>
  </si>
  <si>
    <t>personnel_nonteach_pdo1_onleave</t>
  </si>
  <si>
    <t>personnel_nonteach_pdo1_vacant</t>
  </si>
  <si>
    <t>personnel_nonteach_pdo1_detailed_hs</t>
  </si>
  <si>
    <t>personnel_nonteach_pdo1_detailed_es</t>
  </si>
  <si>
    <t>personnel_nonteach_pdo1_detailed_outdiv</t>
  </si>
  <si>
    <t>personnel_nonteach_pdo1_borrowed_m</t>
  </si>
  <si>
    <t>personnel_nonteach_pdo1_borrowed_f</t>
  </si>
  <si>
    <t>personnel_nonteach_registrar1_psipop</t>
  </si>
  <si>
    <t>personnel_nonteach_registrar1_actual_m</t>
  </si>
  <si>
    <t>personnel_nonteach_registrar1_actual_f</t>
  </si>
  <si>
    <t>personnel_nonteach_registrar1_onleave</t>
  </si>
  <si>
    <t>personnel_nonteach_registrar1_vacant</t>
  </si>
  <si>
    <t>personnel_nonteach_registrar1_detailed_hs</t>
  </si>
  <si>
    <t>personnel_nonteach_registrar1_detailed_es</t>
  </si>
  <si>
    <t>personnel_nonteach_registrar1_detailed_outdiv</t>
  </si>
  <si>
    <t>personnel_nonteach_registrar1_borrowed_m</t>
  </si>
  <si>
    <t>personnel_nonteach_registrar1_borrowed_f</t>
  </si>
  <si>
    <t>personnel_nonteach_chsr1_psipop</t>
  </si>
  <si>
    <t>personnel_nonteach_chsr1_actual_m</t>
  </si>
  <si>
    <t>personnel_nonteach_chsr1_actual_f</t>
  </si>
  <si>
    <t>personnel_nonteach_chsr1_onleave</t>
  </si>
  <si>
    <t>personnel_nonteach_chsr1_vacant</t>
  </si>
  <si>
    <t>personnel_nonteach_chsr1_detailed_hs</t>
  </si>
  <si>
    <t>personnel_nonteach_chsr1_detailed_es</t>
  </si>
  <si>
    <t>personnel_nonteach_chsr1_detailed_outdiv</t>
  </si>
  <si>
    <t>personnel_nonteach_chsr1_borrowed_m</t>
  </si>
  <si>
    <t>personnel_nonteach_chsr1_borrowed_f</t>
  </si>
  <si>
    <t>personnel_nonteach_supplofcr1_psipop</t>
  </si>
  <si>
    <t>personnel_nonteach_supplofcr1_actual_m</t>
  </si>
  <si>
    <t>personnel_nonteach_supplofcr1_actual_f</t>
  </si>
  <si>
    <t>personnel_nonteach_supplofcr1_onleave</t>
  </si>
  <si>
    <t>personnel_nonteach_supplofcr1_vacant</t>
  </si>
  <si>
    <t>personnel_nonteach_supplofcr1_detailed_hs</t>
  </si>
  <si>
    <t>personnel_nonteach_supplofcr1_detailed_es</t>
  </si>
  <si>
    <t>personnel_nonteach_supplofcr1_detailed_outdiv</t>
  </si>
  <si>
    <t>personnel_nonteach_supplofcr1_borrowed_m</t>
  </si>
  <si>
    <t>personnel_nonteach_supplofcr1_borrowed_f</t>
  </si>
  <si>
    <t>personnel_nonteach_seniorbk_psipop</t>
  </si>
  <si>
    <t>personnel_nonteach_seniorbk_actual_m</t>
  </si>
  <si>
    <t>personnel_nonteach_seniorbk_actual_f</t>
  </si>
  <si>
    <t>personnel_nonteach_seniorbk_onleave</t>
  </si>
  <si>
    <t>personnel_nonteach_seniorbk_vacant</t>
  </si>
  <si>
    <t>personnel_nonteach_seniorbk_detailed_hs</t>
  </si>
  <si>
    <t>personnel_nonteach_seniorbk_detailed_es</t>
  </si>
  <si>
    <t>personnel_nonteach_seniorbk_detailed_outdiv</t>
  </si>
  <si>
    <t>personnel_nonteach_seniorbk_borrowed_m</t>
  </si>
  <si>
    <t>personnel_nonteach_seniorbk_borrowed_f</t>
  </si>
  <si>
    <t>personnel_nonteach_adminasst2_psipop</t>
  </si>
  <si>
    <t>personnel_nonteach_adminasst2_actual_m</t>
  </si>
  <si>
    <t>personnel_nonteach_adminasst2_actual_f</t>
  </si>
  <si>
    <t>personnel_nonteach_adminasst2_onleave</t>
  </si>
  <si>
    <t>personnel_nonteach_adminasst2_vacant</t>
  </si>
  <si>
    <t>personnel_nonteach_adminasst2_detailed_hs</t>
  </si>
  <si>
    <t>personnel_nonteach_adminasst2_detailed_es</t>
  </si>
  <si>
    <t>personnel_nonteach_adminasst2_detailed_outdiv</t>
  </si>
  <si>
    <t>personnel_nonteach_adminasst2_borrowed_m</t>
  </si>
  <si>
    <t>personnel_nonteach_adminasst2_borrowed_f</t>
  </si>
  <si>
    <t>personnel_nonteach_adminasst1_psipop</t>
  </si>
  <si>
    <t>personnel_nonteach_adminasst1_actual_m</t>
  </si>
  <si>
    <t>personnel_nonteach_adminasst1_actual_f</t>
  </si>
  <si>
    <t>personnel_nonteach_adminasst1_onleave</t>
  </si>
  <si>
    <t>personnel_nonteach_adminasst1_vacant</t>
  </si>
  <si>
    <t>personnel_nonteach_adminasst1_detailed_hs</t>
  </si>
  <si>
    <t>personnel_nonteach_adminasst1_detailed_es</t>
  </si>
  <si>
    <t>personnel_nonteach_adminasst1_detailed_outdiv</t>
  </si>
  <si>
    <t>personnel_nonteach_adminasst1_borrowed_m</t>
  </si>
  <si>
    <t>personnel_nonteach_adminasst1_borrowed_f</t>
  </si>
  <si>
    <t>personnel_nonteach_adminaide6_psipop</t>
  </si>
  <si>
    <t>personnel_nonteach_adminaide6_actual_m</t>
  </si>
  <si>
    <t>personnel_nonteach_adminaide6_actual_f</t>
  </si>
  <si>
    <t>personnel_nonteach_adminaide6_onleave</t>
  </si>
  <si>
    <t>personnel_nonteach_adminaide6_vacant</t>
  </si>
  <si>
    <t>personnel_nonteach_adminaide6_detailed_hs</t>
  </si>
  <si>
    <t>personnel_nonteach_adminaide6_detailed_es</t>
  </si>
  <si>
    <t>personnel_nonteach_adminaide6_detailed_outdiv</t>
  </si>
  <si>
    <t>personnel_nonteach_adminaide6_borrowed_m</t>
  </si>
  <si>
    <t>personnel_nonteach_adminaide6_borrowed_f</t>
  </si>
  <si>
    <t>personnel_nonteach_heo1_psipop</t>
  </si>
  <si>
    <t>personnel_nonteach_heo1_actual_m</t>
  </si>
  <si>
    <t>personnel_nonteach_heo1_actual_f</t>
  </si>
  <si>
    <t>personnel_nonteach_heo1_onleave</t>
  </si>
  <si>
    <t>personnel_nonteach_heo1_vacant</t>
  </si>
  <si>
    <t>personnel_nonteach_heo1_detailed_hs</t>
  </si>
  <si>
    <t>personnel_nonteach_heo1_detailed_es</t>
  </si>
  <si>
    <t>personnel_nonteach_heo1_detailed_outdiv</t>
  </si>
  <si>
    <t>personnel_nonteach_heo1_borrowed_m</t>
  </si>
  <si>
    <t>personnel_nonteach_heo1_borrowed_f</t>
  </si>
  <si>
    <t>personnel_nonteach_sg1_psipop</t>
  </si>
  <si>
    <t>personnel_nonteach_sg1_actual_m</t>
  </si>
  <si>
    <t>personnel_nonteach_sg1_actual_f</t>
  </si>
  <si>
    <t>personnel_nonteach_sg1_onleave</t>
  </si>
  <si>
    <t>personnel_nonteach_sg1_vacant</t>
  </si>
  <si>
    <t>personnel_nonteach_sg1_detailed_hs</t>
  </si>
  <si>
    <t>personnel_nonteach_sg1_detailed_es</t>
  </si>
  <si>
    <t>personnel_nonteach_sg1_detailed_outdiv</t>
  </si>
  <si>
    <t>personnel_nonteach_sg1_borrowed_m</t>
  </si>
  <si>
    <t>personnel_nonteach_sg1_borrowed_f</t>
  </si>
  <si>
    <t>personnel_nonteach_leo1_psipop</t>
  </si>
  <si>
    <t>personnel_nonteach_leo1_actual_m</t>
  </si>
  <si>
    <t>personnel_nonteach_leo1_actual_f</t>
  </si>
  <si>
    <t>personnel_nonteach_leo1_onleave</t>
  </si>
  <si>
    <t>personnel_nonteach_leo1_vacant</t>
  </si>
  <si>
    <t>personnel_nonteach_leo1_detailed_hs</t>
  </si>
  <si>
    <t>personnel_nonteach_leo1_detailed_es</t>
  </si>
  <si>
    <t>personnel_nonteach_leo1_detailed_outdiv</t>
  </si>
  <si>
    <t>personnel_nonteach_leo1_borrowed_m</t>
  </si>
  <si>
    <t>personnel_nonteach_leo1_borrowed_f</t>
  </si>
  <si>
    <t>personnel_nonteach_uw1_psipop</t>
  </si>
  <si>
    <t>personnel_nonteach_uw1_actual_m</t>
  </si>
  <si>
    <t>personnel_nonteach_uw1_actual_f</t>
  </si>
  <si>
    <t>personnel_nonteach_uw1_onleave</t>
  </si>
  <si>
    <t>personnel_nonteach_uw1_vacant</t>
  </si>
  <si>
    <t>personnel_nonteach_uw1_detailed_hs</t>
  </si>
  <si>
    <t>personnel_nonteach_uw1_detailed_es</t>
  </si>
  <si>
    <t>personnel_nonteach_uw1_detailed_outdiv</t>
  </si>
  <si>
    <t>personnel_nonteach_uw1_borrowed_m</t>
  </si>
  <si>
    <t>personnel_nonteach_uw1_borrowed_f</t>
  </si>
  <si>
    <t>Table6!$M$10</t>
  </si>
  <si>
    <t>Table6!$P$10</t>
  </si>
  <si>
    <t>Table6!$S$10</t>
  </si>
  <si>
    <t>Table6!$Y$10</t>
  </si>
  <si>
    <t>Table6!$AB$10</t>
  </si>
  <si>
    <t>Table68!$AE$10</t>
  </si>
  <si>
    <t>Table6!$AH$10</t>
  </si>
  <si>
    <t>Table6!$AK$10</t>
  </si>
  <si>
    <t>Table6!$AU$10</t>
  </si>
  <si>
    <t>Table6!$Ax$10</t>
  </si>
  <si>
    <t>Table6!$M$11</t>
  </si>
  <si>
    <t>Table6!$P$11</t>
  </si>
  <si>
    <t>Table6!$S$11</t>
  </si>
  <si>
    <t>Table6!$Y$11</t>
  </si>
  <si>
    <t>Table6!$AB$11</t>
  </si>
  <si>
    <t>Table6!$AE$11</t>
  </si>
  <si>
    <t>Table6!$AH$11</t>
  </si>
  <si>
    <t>Table6!$AK$11</t>
  </si>
  <si>
    <t>Table6!$Au$11</t>
  </si>
  <si>
    <t>Table6!$Ax$11</t>
  </si>
  <si>
    <t>Table6!$M$12</t>
  </si>
  <si>
    <t>Table6!$P$12</t>
  </si>
  <si>
    <t>Table6!$S$12</t>
  </si>
  <si>
    <t>Table6!$Y$12</t>
  </si>
  <si>
    <t>Table6!$AB$12</t>
  </si>
  <si>
    <t>Table6!$AE$12</t>
  </si>
  <si>
    <t>Table6!$AH$12</t>
  </si>
  <si>
    <t>Table6!$AK$12</t>
  </si>
  <si>
    <t>Table6!$Au$12</t>
  </si>
  <si>
    <t>Table6!$Ax$12</t>
  </si>
  <si>
    <t>Table6!$M$13</t>
  </si>
  <si>
    <t>Table6!$P$13</t>
  </si>
  <si>
    <t>Table6!$S$13</t>
  </si>
  <si>
    <t>Table6!$Y$13</t>
  </si>
  <si>
    <t>Table6!$AB$13</t>
  </si>
  <si>
    <t>Table6!$AE$13</t>
  </si>
  <si>
    <t>Table6!$AH$13</t>
  </si>
  <si>
    <t>Table6!$AK$13</t>
  </si>
  <si>
    <t>Table6!$Au$13</t>
  </si>
  <si>
    <t>Table6!$Ax$13</t>
  </si>
  <si>
    <t>Table6!$M$14</t>
  </si>
  <si>
    <t>Table6!$P$14</t>
  </si>
  <si>
    <t>Table6!$S$14</t>
  </si>
  <si>
    <t>Table6!$Y$14</t>
  </si>
  <si>
    <t>Table6!$AB$14</t>
  </si>
  <si>
    <t>Table6!$AE$14</t>
  </si>
  <si>
    <t>Table6!$AH$14</t>
  </si>
  <si>
    <t>Table6!$AK$14</t>
  </si>
  <si>
    <t>Table6!$Au$14</t>
  </si>
  <si>
    <t>Table6!$Ax$14</t>
  </si>
  <si>
    <t>Table6!$M$15</t>
  </si>
  <si>
    <t>Table6!$P$15</t>
  </si>
  <si>
    <t>Table6!$S$15</t>
  </si>
  <si>
    <t>Table6!$Y$15</t>
  </si>
  <si>
    <t>Table6!$AB$15</t>
  </si>
  <si>
    <t>Table6!$AE$15</t>
  </si>
  <si>
    <t>Table6!$AH$15</t>
  </si>
  <si>
    <t>Table6!$AK$15</t>
  </si>
  <si>
    <t>Table6!$Au$15</t>
  </si>
  <si>
    <t>Table6!$Ax$15</t>
  </si>
  <si>
    <t>Table6!$M$16</t>
  </si>
  <si>
    <t>Table6!$P$16</t>
  </si>
  <si>
    <t>Table6!$S$16</t>
  </si>
  <si>
    <t>Table6!$Y$16</t>
  </si>
  <si>
    <t>Table6!$AB$16</t>
  </si>
  <si>
    <t>Table6!$AE$16</t>
  </si>
  <si>
    <t>Table6!$AH$16</t>
  </si>
  <si>
    <t>Table6!$AK$16</t>
  </si>
  <si>
    <t>Table6!$Au$16</t>
  </si>
  <si>
    <t>Table6!$Ax$16</t>
  </si>
  <si>
    <t>Table6!$M$17</t>
  </si>
  <si>
    <t>Table6!$P$17</t>
  </si>
  <si>
    <t>Table6!$S$17</t>
  </si>
  <si>
    <t>Table6!$Y$17</t>
  </si>
  <si>
    <t>Table6!$AB$17</t>
  </si>
  <si>
    <t>Table6!$AE$17</t>
  </si>
  <si>
    <t>Table6!$AH$17</t>
  </si>
  <si>
    <t>Table6!$AK$17</t>
  </si>
  <si>
    <t>Table6!$Au$17</t>
  </si>
  <si>
    <t>Table6!$Ax$17</t>
  </si>
  <si>
    <t>Table6!$M$18</t>
  </si>
  <si>
    <t>Table6!$P$18</t>
  </si>
  <si>
    <t>Table6!$S$18</t>
  </si>
  <si>
    <t>Table6!$Y$18</t>
  </si>
  <si>
    <t>Table6!$AB$18</t>
  </si>
  <si>
    <t>Table6!$AE$18</t>
  </si>
  <si>
    <t>Table6!$AH$18</t>
  </si>
  <si>
    <t>Table6!$AK$18</t>
  </si>
  <si>
    <t>Table6!$Au$18</t>
  </si>
  <si>
    <t>Table6!$Ax$18</t>
  </si>
  <si>
    <t>Table6!$M$19</t>
  </si>
  <si>
    <t>Table6!$P$19</t>
  </si>
  <si>
    <t>Table6!$S$19</t>
  </si>
  <si>
    <t>Table6!$Y$19</t>
  </si>
  <si>
    <t>Table6!$AB$19</t>
  </si>
  <si>
    <t>Table6!$AE$19</t>
  </si>
  <si>
    <t>Table6!$AH$19</t>
  </si>
  <si>
    <t>Table6!$AK$19</t>
  </si>
  <si>
    <t>Table6!$Au$19</t>
  </si>
  <si>
    <t>Table6!$Ax$19</t>
  </si>
  <si>
    <t>Table6!$M$20</t>
  </si>
  <si>
    <t>Table6!$P$20</t>
  </si>
  <si>
    <t>Table6!$S$20</t>
  </si>
  <si>
    <t>Table6!$Y$20</t>
  </si>
  <si>
    <t>Table6!$AB$20</t>
  </si>
  <si>
    <t>Table6!$AE$20</t>
  </si>
  <si>
    <t>Table6!$AH$20</t>
  </si>
  <si>
    <t>Table6!$AK$20</t>
  </si>
  <si>
    <t>Table6!$Au$20</t>
  </si>
  <si>
    <t>Table6!$Ax$20</t>
  </si>
  <si>
    <t>Table6!$M$21</t>
  </si>
  <si>
    <t>Table6!$P$21</t>
  </si>
  <si>
    <t>Table6!$S$21</t>
  </si>
  <si>
    <t>Table6!$Y$21</t>
  </si>
  <si>
    <t>Table6!$AB$21</t>
  </si>
  <si>
    <t>Table6!$AE$21</t>
  </si>
  <si>
    <t>Table6!$AH$21</t>
  </si>
  <si>
    <t>Table6!$AK$21</t>
  </si>
  <si>
    <t>Table6!$Au$21</t>
  </si>
  <si>
    <t>Table6!$Ax$21</t>
  </si>
  <si>
    <t>Table6!$M$22</t>
  </si>
  <si>
    <t>Table6!$P$22</t>
  </si>
  <si>
    <t>Table6!$S$22</t>
  </si>
  <si>
    <t>Table6!$Y$22</t>
  </si>
  <si>
    <t>Table6!$AB$22</t>
  </si>
  <si>
    <t>Table6!$AE$22</t>
  </si>
  <si>
    <t>Table6!$AH$22</t>
  </si>
  <si>
    <t>Table6!$AK$22</t>
  </si>
  <si>
    <t>Table6!$Au$22</t>
  </si>
  <si>
    <t>Table6!$Ax$22</t>
  </si>
  <si>
    <t>Table6!$M$23</t>
  </si>
  <si>
    <t>Table6!$P$23</t>
  </si>
  <si>
    <t>Table6!$S$23</t>
  </si>
  <si>
    <t>Table6!$Y$23</t>
  </si>
  <si>
    <t>Table6!$AB$23</t>
  </si>
  <si>
    <t>Table6!$AE$23</t>
  </si>
  <si>
    <t>Table6!$AH$23</t>
  </si>
  <si>
    <t>Table6!$AK$23</t>
  </si>
  <si>
    <t>Table6!$Au$23</t>
  </si>
  <si>
    <t>Table6!$Ax$23</t>
  </si>
  <si>
    <t>Table6!$M$24</t>
  </si>
  <si>
    <t>Table6!$P$24</t>
  </si>
  <si>
    <t>Table6!$S$24</t>
  </si>
  <si>
    <t>Table6!$Y$24</t>
  </si>
  <si>
    <t>Table6!$AB$24</t>
  </si>
  <si>
    <t>Table6!$AE$24</t>
  </si>
  <si>
    <t>Table6!$AH$24</t>
  </si>
  <si>
    <t>Table6!$AK$24</t>
  </si>
  <si>
    <t>Table6!$Au$24</t>
  </si>
  <si>
    <t>Table6!$Ax$24</t>
  </si>
  <si>
    <t>Table6!$M$25</t>
  </si>
  <si>
    <t>Table6!$P$25</t>
  </si>
  <si>
    <t>Table6!$S$25</t>
  </si>
  <si>
    <t>Table6!$Y$25</t>
  </si>
  <si>
    <t>Table6!$AB$25</t>
  </si>
  <si>
    <t>Table6!$AE$25</t>
  </si>
  <si>
    <t>Table6!$AH$25</t>
  </si>
  <si>
    <t>Table6!$AK$25</t>
  </si>
  <si>
    <t>Table6!$Au$25</t>
  </si>
  <si>
    <t>Table6!$Ax$25</t>
  </si>
  <si>
    <t>Table6!$M$26</t>
  </si>
  <si>
    <t>Table6!$P$26</t>
  </si>
  <si>
    <t>Table6!$S$26</t>
  </si>
  <si>
    <t>Table6!$Y$26</t>
  </si>
  <si>
    <t>Table6!$AB$26</t>
  </si>
  <si>
    <t>Table6!$AE$26</t>
  </si>
  <si>
    <t>Table6!$AH$26</t>
  </si>
  <si>
    <t>Table6!$AK$26</t>
  </si>
  <si>
    <t>Table6!$Au$26</t>
  </si>
  <si>
    <t>Table6!$Ax$26</t>
  </si>
  <si>
    <t>Table6!$M$27</t>
  </si>
  <si>
    <t>Table6!$P$27</t>
  </si>
  <si>
    <t>Table6!$S$27</t>
  </si>
  <si>
    <t>Table6!$Y$27</t>
  </si>
  <si>
    <t>Table6!$AB$27</t>
  </si>
  <si>
    <t>Table6!$AE$27</t>
  </si>
  <si>
    <t>Table6!$AH$27</t>
  </si>
  <si>
    <t>Table6!$AK$27</t>
  </si>
  <si>
    <t>Table6!$Au$27</t>
  </si>
  <si>
    <t>Table6!$Ax$27</t>
  </si>
  <si>
    <t>Table6!$M$28</t>
  </si>
  <si>
    <t>Table6!$S$28</t>
  </si>
  <si>
    <t>Table6!$Y$28</t>
  </si>
  <si>
    <t>Table6!$AB$28</t>
  </si>
  <si>
    <t>Table6!$AE$28</t>
  </si>
  <si>
    <t>Table6!$AH$28</t>
  </si>
  <si>
    <t>Table6!$AK$28</t>
  </si>
  <si>
    <t>Table6!$Au$28</t>
  </si>
  <si>
    <t>Table6!$Ax$28</t>
  </si>
  <si>
    <t>Table6!$M$29</t>
  </si>
  <si>
    <t>Table6!$P$29</t>
  </si>
  <si>
    <t>Table6!$S$29</t>
  </si>
  <si>
    <t>Table6!$Y$29</t>
  </si>
  <si>
    <t>Table6!$AB$29</t>
  </si>
  <si>
    <t>Table6!$AE$29</t>
  </si>
  <si>
    <t>Table6!$AH$29</t>
  </si>
  <si>
    <t>Table6!$AK$29</t>
  </si>
  <si>
    <t>Table6!$Au$29</t>
  </si>
  <si>
    <t>Table6!$Ax$29</t>
  </si>
  <si>
    <t>Table6!$M$30</t>
  </si>
  <si>
    <t>Table6!$P$30</t>
  </si>
  <si>
    <t>Table6!$S$30</t>
  </si>
  <si>
    <t>Table6!$Y$30</t>
  </si>
  <si>
    <t>Table6!$AB$30</t>
  </si>
  <si>
    <t>Table6!$AE$30</t>
  </si>
  <si>
    <t>Table6!$AH$30</t>
  </si>
  <si>
    <t>Table6!$AK$30</t>
  </si>
  <si>
    <t>Table6!$Au$30</t>
  </si>
  <si>
    <t>Table6!$Ax$30</t>
  </si>
  <si>
    <t>Table6!$M$31</t>
  </si>
  <si>
    <t>Table6!$P$31</t>
  </si>
  <si>
    <t>Table6!$S$31</t>
  </si>
  <si>
    <t>Table6!$Y$31</t>
  </si>
  <si>
    <t>Table6!$AB$31</t>
  </si>
  <si>
    <t>Table6!$AE$31</t>
  </si>
  <si>
    <t>Table6!$AH$31</t>
  </si>
  <si>
    <t>Table6!$AK$31</t>
  </si>
  <si>
    <t>Table6!$Au$31</t>
  </si>
  <si>
    <t>Table6!$Ax$31</t>
  </si>
  <si>
    <t>Table6!$M$32</t>
  </si>
  <si>
    <t>Table6!$P$32</t>
  </si>
  <si>
    <t>Table6!$S$32</t>
  </si>
  <si>
    <t>Table6!$Y$32</t>
  </si>
  <si>
    <t>Table6!$AB$32</t>
  </si>
  <si>
    <t>Table6!$AE$32</t>
  </si>
  <si>
    <t>Table6!$AH$32</t>
  </si>
  <si>
    <t>Table6!$AK$32</t>
  </si>
  <si>
    <t>Table6!$Au$32</t>
  </si>
  <si>
    <t>Table6!$Ax$32</t>
  </si>
  <si>
    <t>Table6!$M$33</t>
  </si>
  <si>
    <t>Table6!$P$33</t>
  </si>
  <si>
    <t>Table6!$S$33</t>
  </si>
  <si>
    <t>Table6!$Y$33</t>
  </si>
  <si>
    <t>Table6!$AB$33</t>
  </si>
  <si>
    <t>Table6!$AE$33</t>
  </si>
  <si>
    <t>Table6!$AH$33</t>
  </si>
  <si>
    <t>Table6!$AK$33</t>
  </si>
  <si>
    <t>Table6!$Au$33</t>
  </si>
  <si>
    <t>Table6!$Ax$33</t>
  </si>
  <si>
    <t>Table6!$M$34</t>
  </si>
  <si>
    <t>Table6!$P$34</t>
  </si>
  <si>
    <t>Table6!$S$34</t>
  </si>
  <si>
    <t>Table6!$Y$34</t>
  </si>
  <si>
    <t>Table6!$AB$34</t>
  </si>
  <si>
    <t>Table6!$AE$34</t>
  </si>
  <si>
    <t>Table6!$AH$34</t>
  </si>
  <si>
    <t>Table6!$AK$34</t>
  </si>
  <si>
    <t>Table6!$Au$34</t>
  </si>
  <si>
    <t>Table6!$Ax$34</t>
  </si>
  <si>
    <t>Table6!$M$35</t>
  </si>
  <si>
    <t>Table6!$P$35</t>
  </si>
  <si>
    <t>Table6!$S$35</t>
  </si>
  <si>
    <t>Table6!$Y$35</t>
  </si>
  <si>
    <t>Table6!$AB$35</t>
  </si>
  <si>
    <t>Table6!$AE$35</t>
  </si>
  <si>
    <t>Table6!$AH$35</t>
  </si>
  <si>
    <t>Table6!$AK$35</t>
  </si>
  <si>
    <t>Table6!$Au$35</t>
  </si>
  <si>
    <t>Table6!$Ax$35</t>
  </si>
  <si>
    <t>Table6!$M$36</t>
  </si>
  <si>
    <t>Table6!$P$36</t>
  </si>
  <si>
    <t>Table6!$S$36</t>
  </si>
  <si>
    <t>Table6!$Y$36</t>
  </si>
  <si>
    <t>Table6!$AB$36</t>
  </si>
  <si>
    <t>Table6!$AE$36</t>
  </si>
  <si>
    <t>Table6!$AH$36</t>
  </si>
  <si>
    <t>Table6!$AK$36</t>
  </si>
  <si>
    <t>Table6!$Au$36</t>
  </si>
  <si>
    <t>Table6!$Ax$36</t>
  </si>
  <si>
    <t>Table6!$M$37</t>
  </si>
  <si>
    <t>Table6!$P$37</t>
  </si>
  <si>
    <t>Table6!$S$37</t>
  </si>
  <si>
    <t>Table6!$Y$37</t>
  </si>
  <si>
    <t>Table6!$AB$37</t>
  </si>
  <si>
    <t>Table6!$AE$37</t>
  </si>
  <si>
    <t>Table6!$AH$37</t>
  </si>
  <si>
    <t>Table6!$AK$37</t>
  </si>
  <si>
    <t>Table6!$Au$37</t>
  </si>
  <si>
    <t>Table6!$Ax$37</t>
  </si>
  <si>
    <t>Table6!$M$38</t>
  </si>
  <si>
    <t>Table6!$P$38</t>
  </si>
  <si>
    <t>Table6!$S$38</t>
  </si>
  <si>
    <t>Table6!$Y$38</t>
  </si>
  <si>
    <t>Table6!$AB$38</t>
  </si>
  <si>
    <t>Table6!$AE$38</t>
  </si>
  <si>
    <t>Table6!$AH$38</t>
  </si>
  <si>
    <t>Table6!$AK$38</t>
  </si>
  <si>
    <t>Table6!$Au$38</t>
  </si>
  <si>
    <t>Table6!$Ax$38</t>
  </si>
  <si>
    <t>Table6!$M$39</t>
  </si>
  <si>
    <t>Table6!$P$39</t>
  </si>
  <si>
    <t>Table6!$S$39</t>
  </si>
  <si>
    <t>Table6!$Y$39</t>
  </si>
  <si>
    <t>Table6!$AB$39</t>
  </si>
  <si>
    <t>Table6!$AE$39</t>
  </si>
  <si>
    <t>Table6!$AH$39</t>
  </si>
  <si>
    <t>Table6!$AK$39</t>
  </si>
  <si>
    <t>Table6!$Au$39</t>
  </si>
  <si>
    <t>Table6!$Ax$39</t>
  </si>
  <si>
    <t>Table6!$M$40</t>
  </si>
  <si>
    <t>Table6!$P$40</t>
  </si>
  <si>
    <t>Table6!$S$40</t>
  </si>
  <si>
    <t>Table6!$Y$40</t>
  </si>
  <si>
    <t>Table6!$AB$40</t>
  </si>
  <si>
    <t>Table6!$AE$40</t>
  </si>
  <si>
    <t>Table6!$AH$40</t>
  </si>
  <si>
    <t>Table6!$AK$40</t>
  </si>
  <si>
    <t>Table6!$Au$40</t>
  </si>
  <si>
    <t>Table6!$Ax$40</t>
  </si>
  <si>
    <t>Table6!$M$41</t>
  </si>
  <si>
    <t>Table6!$P$41</t>
  </si>
  <si>
    <t>Table6!$S$41</t>
  </si>
  <si>
    <t>Table6!$Y$41</t>
  </si>
  <si>
    <t>Table6!$AB$41</t>
  </si>
  <si>
    <t>Table6!$AE$41</t>
  </si>
  <si>
    <t>Table6!$AH$41</t>
  </si>
  <si>
    <t>Table6!$AK$41</t>
  </si>
  <si>
    <t>Table6!$Au$41</t>
  </si>
  <si>
    <t>Table6!$Ax$41</t>
  </si>
  <si>
    <t>Table6!$M$42</t>
  </si>
  <si>
    <t>Table6!$P$42</t>
  </si>
  <si>
    <t>Table6!$S$42</t>
  </si>
  <si>
    <t>Table6!$Y$42</t>
  </si>
  <si>
    <t>Table6!$AB$42</t>
  </si>
  <si>
    <t>Table6!$AE$42</t>
  </si>
  <si>
    <t>Table6!$AH$42</t>
  </si>
  <si>
    <t>Table6!$AK$42</t>
  </si>
  <si>
    <t>Table6!$Au$42</t>
  </si>
  <si>
    <t>Table6!$Ax$42</t>
  </si>
  <si>
    <t>Table6!$M$43</t>
  </si>
  <si>
    <t>Table6!$P$43</t>
  </si>
  <si>
    <t>Table6!$S$43</t>
  </si>
  <si>
    <t>Table6!$Y$43</t>
  </si>
  <si>
    <t>Table6!$AB$43</t>
  </si>
  <si>
    <t>Table6!$AE$43</t>
  </si>
  <si>
    <t>Table6!$AH$43</t>
  </si>
  <si>
    <t>Table6!$AK$43</t>
  </si>
  <si>
    <t>Table6!$Au$43</t>
  </si>
  <si>
    <t>Table6!$Ax$43</t>
  </si>
  <si>
    <t>Table6!$M$44</t>
  </si>
  <si>
    <t>Table6!$P$44</t>
  </si>
  <si>
    <t>Table6!$S$44</t>
  </si>
  <si>
    <t>Table6!$Y$44</t>
  </si>
  <si>
    <t>Table6!$AB$44</t>
  </si>
  <si>
    <t>Table6!$AE$44</t>
  </si>
  <si>
    <t>Table6!$AH$44</t>
  </si>
  <si>
    <t>Table6!$AK$44</t>
  </si>
  <si>
    <t>Table6!$Au$44</t>
  </si>
  <si>
    <t>Table6!$Ax$44</t>
  </si>
  <si>
    <t>Table6!$M$45</t>
  </si>
  <si>
    <t>Table6!$P$45</t>
  </si>
  <si>
    <t>Table6!$S$45</t>
  </si>
  <si>
    <t>Table6!$Y$45</t>
  </si>
  <si>
    <t>Table6!$AB$45</t>
  </si>
  <si>
    <t>Table6!$AE$45</t>
  </si>
  <si>
    <t>Table6!$AH$45</t>
  </si>
  <si>
    <t>Table6!$AK$45</t>
  </si>
  <si>
    <t>Table6!$Au$45</t>
  </si>
  <si>
    <t>Table6!$Ax$45</t>
  </si>
  <si>
    <t>Table6!$M$46</t>
  </si>
  <si>
    <t>Table6!$P$46</t>
  </si>
  <si>
    <t>Table6!$S$46</t>
  </si>
  <si>
    <t>Table6!$Y$46</t>
  </si>
  <si>
    <t>Table6!$AB$46</t>
  </si>
  <si>
    <t>Table6!$AE$46</t>
  </si>
  <si>
    <t>Table6!$AH$46</t>
  </si>
  <si>
    <t>Table6!$AK$46</t>
  </si>
  <si>
    <t>Table6!$Au$46</t>
  </si>
  <si>
    <t>Table6!$Ax$46</t>
  </si>
  <si>
    <t>shs_teaching_plantilla</t>
  </si>
  <si>
    <t>personnel_teach_mt4_actual_m</t>
  </si>
  <si>
    <t>personnel_teach_mt4_actual_f</t>
  </si>
  <si>
    <t>personnel_teach_mt4_onleave</t>
  </si>
  <si>
    <t>personnel_teach_mt4_vacant</t>
  </si>
  <si>
    <t>personnel_teach_mt4_detailed_hs</t>
  </si>
  <si>
    <t>personnel_teach_mt4_detailed_es</t>
  </si>
  <si>
    <t>personnel_teach_mt4_detailed_outdiv</t>
  </si>
  <si>
    <t>personnel_teach_mt4_borrowed_m</t>
  </si>
  <si>
    <t>personnel_teach_mt4_borrowed_f</t>
  </si>
  <si>
    <t>personnel_teach_mt3_actual_m</t>
  </si>
  <si>
    <t>personnel_teach_mt3_actual_f</t>
  </si>
  <si>
    <t>personnel_teach_mt3_onleave</t>
  </si>
  <si>
    <t>personnel_teach_mt3_vacant</t>
  </si>
  <si>
    <t>personnel_teach_mt3_detailed_hs</t>
  </si>
  <si>
    <t>personnel_teach_mt3_detailed_es</t>
  </si>
  <si>
    <t>personnel_teach_mt3_detailed_outdiv</t>
  </si>
  <si>
    <t>personnel_teach_mt3_borrowed_m</t>
  </si>
  <si>
    <t>personnel_teach_mt3_borrowed_f</t>
  </si>
  <si>
    <t>personnel_teach_mt2_actual_m</t>
  </si>
  <si>
    <t>personnel_teach_mt2_actual_f</t>
  </si>
  <si>
    <t>personnel_teach_mt2_onleave</t>
  </si>
  <si>
    <t>personnel_teach_mt2_vacant</t>
  </si>
  <si>
    <t>personnel_teach_mt2_detailed_hs</t>
  </si>
  <si>
    <t>personnel_teach_mt2_detailed_es</t>
  </si>
  <si>
    <t>personnel_teach_mt2_detailed_outdiv</t>
  </si>
  <si>
    <t>personnel_teach_mt2_borrowed_m</t>
  </si>
  <si>
    <t>personnel_teach_mt2_borrowed_f</t>
  </si>
  <si>
    <t>personnel_teach_mt1_actual_m</t>
  </si>
  <si>
    <t>personnel_teach_mt1_actual_f</t>
  </si>
  <si>
    <t>personnel_teach_mt1_onleave</t>
  </si>
  <si>
    <t>personnel_teach_mt1_vacant</t>
  </si>
  <si>
    <t>personnel_teach_mt1_detailed_hs</t>
  </si>
  <si>
    <t>personnel_teach_mt1_detailed_es</t>
  </si>
  <si>
    <t>personnel_teach_mt1_detailed_outdiv</t>
  </si>
  <si>
    <t>personnel_teach_mt1_borrowed_m</t>
  </si>
  <si>
    <t>personnel_teach_mt1_borrowed_f</t>
  </si>
  <si>
    <t>personnel_teach_t3_actual_m</t>
  </si>
  <si>
    <t>personnel_teach_t3_actual_f</t>
  </si>
  <si>
    <t>personnel_teach_t3_onleave</t>
  </si>
  <si>
    <t>personnel_teach_t3_vacant</t>
  </si>
  <si>
    <t>personnel_teach_t3_detailed_hs</t>
  </si>
  <si>
    <t>personnel_teach_t3_detailed_es</t>
  </si>
  <si>
    <t>personnel_teach_t3_detailed_outdiv</t>
  </si>
  <si>
    <t>personnel_teach_t3_borrowed_m</t>
  </si>
  <si>
    <t>personnel_teach_t3_borrowed_f</t>
  </si>
  <si>
    <t>personnel_teach_t2_actual_m</t>
  </si>
  <si>
    <t>personnel_teach_t2_actual_f</t>
  </si>
  <si>
    <t>personnel_teach_t2_onleave</t>
  </si>
  <si>
    <t>personnel_teach_t2_vacant</t>
  </si>
  <si>
    <t>personnel_teach_t2_detailed_hs</t>
  </si>
  <si>
    <t>personnel_teach_t2_detailed_es</t>
  </si>
  <si>
    <t>personnel_teach_t2_detailed_outdiv</t>
  </si>
  <si>
    <t>personnel_teach_t2_borrowed_m</t>
  </si>
  <si>
    <t>personnel_teach_t2_borrowed_f</t>
  </si>
  <si>
    <t>personnel_teach_t1_actual_m</t>
  </si>
  <si>
    <t>personnel_teach_t1_actual_f</t>
  </si>
  <si>
    <t>personnel_teach_t1_onleave</t>
  </si>
  <si>
    <t>personnel_teach_t1_vacant</t>
  </si>
  <si>
    <t>personnel_teach_t1_detailed_hs</t>
  </si>
  <si>
    <t>personnel_teach_t1_detailed_es</t>
  </si>
  <si>
    <t>personnel_teach_t1_detailed_outdiv</t>
  </si>
  <si>
    <t>personnel_teach_t1_borrowed_m</t>
  </si>
  <si>
    <t>personnel_teach_t1_borrowed_f</t>
  </si>
  <si>
    <t>personnel_teach_sst1_actual_m</t>
  </si>
  <si>
    <t>personnel_teach_sst1_actual_f</t>
  </si>
  <si>
    <t>personnel_teach_sst1_onleave</t>
  </si>
  <si>
    <t>personnel_teach_sst1_vacant</t>
  </si>
  <si>
    <t>personnel_teach_sst1_detailed_hs</t>
  </si>
  <si>
    <t>personnel_teach_sst1_detailed_es</t>
  </si>
  <si>
    <t>personnel_teach_sst1_detailed_outdiv</t>
  </si>
  <si>
    <t>personnel_teach_sst1_borrowed_m</t>
  </si>
  <si>
    <t>personnel_teach_sst1_borrowed_f</t>
  </si>
  <si>
    <t>personnel_teach_mt4_psipop_latest</t>
  </si>
  <si>
    <t>personnel_teach_mt3_psipop_latest</t>
  </si>
  <si>
    <t>personnel_teach_mt2_psipop_latest</t>
  </si>
  <si>
    <t>personnel_teach_mt1_psipop_latest</t>
  </si>
  <si>
    <t>personnel_teach_t3_psipop_latest</t>
  </si>
  <si>
    <t>personnel_teach_t2_psipop_latest</t>
  </si>
  <si>
    <t>personnel_teach_t1_psipop_latest</t>
  </si>
  <si>
    <t>personnel_teach_sst1_psipop_latest</t>
  </si>
  <si>
    <t>Table7!$P$10</t>
  </si>
  <si>
    <t>Table7!$Y$10</t>
  </si>
  <si>
    <t>Table7!$AE$10</t>
  </si>
  <si>
    <t>Table7!$AH$10</t>
  </si>
  <si>
    <t>Table7!$AK$10</t>
  </si>
  <si>
    <t>Table7!$P$11</t>
  </si>
  <si>
    <t>Table7!$Y$11</t>
  </si>
  <si>
    <t>Table7!$AE$11</t>
  </si>
  <si>
    <t>Table7!$AH$11</t>
  </si>
  <si>
    <t>Table7!$AK$11</t>
  </si>
  <si>
    <t>Table7!$P$12</t>
  </si>
  <si>
    <t>Table7!$Y$12</t>
  </si>
  <si>
    <t>Table7!$AE$12</t>
  </si>
  <si>
    <t>Table7!$AH$12</t>
  </si>
  <si>
    <t>Table7!$AK$12</t>
  </si>
  <si>
    <t>Table7!$P$13</t>
  </si>
  <si>
    <t>Table7!$Y$13</t>
  </si>
  <si>
    <t>Table7!$AE$13</t>
  </si>
  <si>
    <t>Table7!$AH$13</t>
  </si>
  <si>
    <t>Table7!$AK$13</t>
  </si>
  <si>
    <t>Table7!$P$14</t>
  </si>
  <si>
    <t>Table7!$Y$14</t>
  </si>
  <si>
    <t>Table7!$AE$14</t>
  </si>
  <si>
    <t>Table7!$AH$14</t>
  </si>
  <si>
    <t>Table7!$AK$14</t>
  </si>
  <si>
    <t>Table7!$P$15</t>
  </si>
  <si>
    <t>Table7!$Y$15</t>
  </si>
  <si>
    <t>Table7!$AE$15</t>
  </si>
  <si>
    <t>Table7!$AH$15</t>
  </si>
  <si>
    <t>Table7!$AK$15</t>
  </si>
  <si>
    <t>Table7!$P$16</t>
  </si>
  <si>
    <t>Table7!$Y$16</t>
  </si>
  <si>
    <t>Table7!$AE$16</t>
  </si>
  <si>
    <t>Table7!$AH$16</t>
  </si>
  <si>
    <t>Table7!$AK$16</t>
  </si>
  <si>
    <t>Table7!$P$17</t>
  </si>
  <si>
    <t>Table7!$Y$17</t>
  </si>
  <si>
    <t>Table7!$AE$17</t>
  </si>
  <si>
    <t>Table7!$AH$17</t>
  </si>
  <si>
    <t>Table7!$AK$17</t>
  </si>
  <si>
    <t>Table7!$M$10</t>
  </si>
  <si>
    <t>Table7!$S$10</t>
  </si>
  <si>
    <t>Table7!$AB$10</t>
  </si>
  <si>
    <t>Table7!$AU$10</t>
  </si>
  <si>
    <t>Table7!$AX$10</t>
  </si>
  <si>
    <t>Table7!$M$11</t>
  </si>
  <si>
    <t>Table7!$S$11</t>
  </si>
  <si>
    <t>Table7!$AB$11</t>
  </si>
  <si>
    <t>Table7!$AU$11</t>
  </si>
  <si>
    <t>Table7!$AX$11</t>
  </si>
  <si>
    <t>Table7!$M$12</t>
  </si>
  <si>
    <t>Table7!$S$12</t>
  </si>
  <si>
    <t>Table7!$AB$12</t>
  </si>
  <si>
    <t>Table7!$AU$12</t>
  </si>
  <si>
    <t>Table7!$AX$12</t>
  </si>
  <si>
    <t>Table7!$M$13</t>
  </si>
  <si>
    <t>Table7!$S$13</t>
  </si>
  <si>
    <t>Table7!$AB$13</t>
  </si>
  <si>
    <t>Table7!$AU$13</t>
  </si>
  <si>
    <t>Table7!$AX$13</t>
  </si>
  <si>
    <t>Table7!$M$14</t>
  </si>
  <si>
    <t>Table7!$S$14</t>
  </si>
  <si>
    <t>Table7!$AB$14</t>
  </si>
  <si>
    <t>Table7!$AU$14</t>
  </si>
  <si>
    <t>Table7!$AX$14</t>
  </si>
  <si>
    <t>Table7!$M$15</t>
  </si>
  <si>
    <t>Table7!$S$15</t>
  </si>
  <si>
    <t>Table7!$AB$15</t>
  </si>
  <si>
    <t>Table7!$AU$15</t>
  </si>
  <si>
    <t>Table7!$AX$15</t>
  </si>
  <si>
    <t>Table7!$M$16</t>
  </si>
  <si>
    <t>Table7!$S$16</t>
  </si>
  <si>
    <t>Table7!$AB$16</t>
  </si>
  <si>
    <t>Table7!$AU$16</t>
  </si>
  <si>
    <t>Table7!$AX$16</t>
  </si>
  <si>
    <t>Table7!$M$17</t>
  </si>
  <si>
    <t>Table7!$S$17</t>
  </si>
  <si>
    <t>Table7!$AB$17</t>
  </si>
  <si>
    <t>Table7!$AU$17</t>
  </si>
  <si>
    <t>Table7!$AX$17</t>
  </si>
  <si>
    <t>personnel_teach_mt4_psipop</t>
  </si>
  <si>
    <t>shs_teaching_personnel</t>
  </si>
  <si>
    <t>personnel_teach_mt4_permanent</t>
  </si>
  <si>
    <t>personnel_teach_mt4_provisional</t>
  </si>
  <si>
    <t>personnel_teach_mt4_contrac_full</t>
  </si>
  <si>
    <t>personnel_teach_mt4_contrac_part</t>
  </si>
  <si>
    <t>personnel_teach_mt3_psipop</t>
  </si>
  <si>
    <t>personnel_teach_mt3_permanent</t>
  </si>
  <si>
    <t>personnel_teach_mt3_provisional</t>
  </si>
  <si>
    <t>personnel_teach_mt3_contrac_full</t>
  </si>
  <si>
    <t>personnel_teach_mt3_contrac_part</t>
  </si>
  <si>
    <t>personnel_teach_mt2_psipop</t>
  </si>
  <si>
    <t>personnel_teach_mt2_permanent</t>
  </si>
  <si>
    <t>personnel_teach_mt2_provisional</t>
  </si>
  <si>
    <t>personnel_teach_mt2_contrac_full</t>
  </si>
  <si>
    <t>personnel_teach_mt2_contrac_part</t>
  </si>
  <si>
    <t>personnel_teach_mt1_psipop</t>
  </si>
  <si>
    <t>personnel_teach_mt1_permanent</t>
  </si>
  <si>
    <t>personnel_teach_mt1_provisional</t>
  </si>
  <si>
    <t>personnel_teach_mt1_contrac_full</t>
  </si>
  <si>
    <t>personnel_teach_mt1_contrac_part</t>
  </si>
  <si>
    <t>personnel_teach_t3_psipop</t>
  </si>
  <si>
    <t>personnel_teach_t3_permanent</t>
  </si>
  <si>
    <t>personnel_teach_t3_provisional</t>
  </si>
  <si>
    <t>personnel_teach_t3_contrac_full</t>
  </si>
  <si>
    <t>personnel_teach_t3_contrac_part</t>
  </si>
  <si>
    <t>personnel_teach_t2_psipop</t>
  </si>
  <si>
    <t>personnel_teach_t2_permanent</t>
  </si>
  <si>
    <t>personnel_teach_t2_provisional</t>
  </si>
  <si>
    <t>personnel_teach_t2_contrac_full</t>
  </si>
  <si>
    <t>personnel_teach_t2_contrac_part</t>
  </si>
  <si>
    <t>personnel_teach_t1_psipop</t>
  </si>
  <si>
    <t>personnel_teach_t1_permanent</t>
  </si>
  <si>
    <t>personnel_teach_t1_provisional</t>
  </si>
  <si>
    <t>personnel_teach_t1_contrac_full</t>
  </si>
  <si>
    <t>personnel_teach_t1_contrac_part</t>
  </si>
  <si>
    <t>personnel_teach_sst1_psipop</t>
  </si>
  <si>
    <t>personnel_teach_sst1_permanent</t>
  </si>
  <si>
    <t>personnel_teach_sst1_provisional</t>
  </si>
  <si>
    <t>personnel_teach_sst1_contrac_full</t>
  </si>
  <si>
    <t>personnel_teach_sst1_contrac_part</t>
  </si>
  <si>
    <t>teach_assign_mt4_fullt_noancilliary</t>
  </si>
  <si>
    <t>shs_teacher_assignment</t>
  </si>
  <si>
    <t>teach_assign_mt4_fullt_ancilliary_addload</t>
  </si>
  <si>
    <t>teach_assign_mt4_part_ancilliary_200min</t>
  </si>
  <si>
    <t>teach_assign_mt4_part_ancilliary_less200min</t>
  </si>
  <si>
    <t>teach_assign_mt4_fullt_ancilliary</t>
  </si>
  <si>
    <t>teach_assign_mt3_fullt_noancilliary</t>
  </si>
  <si>
    <t>teach_assign_mt3_fullt_ancilliary_addload</t>
  </si>
  <si>
    <t>teach_assign_mt3_part_ancilliary_200min</t>
  </si>
  <si>
    <t>teach_assign_mt3_part_ancilliary_less200min</t>
  </si>
  <si>
    <t>teach_assign_mt3_fullt_ancilliary</t>
  </si>
  <si>
    <t>teach_assign_mt2_fullt_noancilliary</t>
  </si>
  <si>
    <t>teach_assign_mt2_fullt_ancilliary_addload</t>
  </si>
  <si>
    <t>teach_assign_mt2_part_ancilliary_200min</t>
  </si>
  <si>
    <t>teach_assign_mt2_part_ancilliary_less200min</t>
  </si>
  <si>
    <t>teach_assign_mt2_fullt_ancilliary</t>
  </si>
  <si>
    <t>teach_assign_mt1_fullt_noancilliary</t>
  </si>
  <si>
    <t>teach_assign_mt1_fullt_ancilliary_addload</t>
  </si>
  <si>
    <t>teach_assign_mt1_part_ancilliary_200min</t>
  </si>
  <si>
    <t>teach_assign_mt1_part_ancilliary_less200min</t>
  </si>
  <si>
    <t>teach_assign_mt1_fullt_ancilliary</t>
  </si>
  <si>
    <t>teach_assign_t3_fullt_noancilliary</t>
  </si>
  <si>
    <t>teach_assign_t3_fullt_ancilliary_addload</t>
  </si>
  <si>
    <t>teach_assign_t3_part_ancilliary_200min</t>
  </si>
  <si>
    <t>teach_assign_t3_part_ancilliary_less200min</t>
  </si>
  <si>
    <t>teach_assign_t3_fullt_ancilliary</t>
  </si>
  <si>
    <t>teach_assign_t2_fullt_noancilliary</t>
  </si>
  <si>
    <t>teach_assign_t2_fullt_ancilliary_addload</t>
  </si>
  <si>
    <t>teach_assign_t2_part_ancilliary_200min</t>
  </si>
  <si>
    <t>teach_assign_t2_part_ancilliary_less200min</t>
  </si>
  <si>
    <t>teach_assign_t2_fullt_ancilliary</t>
  </si>
  <si>
    <t>teach_assign_t1_fullt_noancilliary</t>
  </si>
  <si>
    <t>teach_assign_t1_fullt_ancilliary_addload</t>
  </si>
  <si>
    <t>teach_assign_t1_part_ancilliary_200min</t>
  </si>
  <si>
    <t>teach_assign_t1_part_ancilliary_less200min</t>
  </si>
  <si>
    <t>teach_assign_t1_fullt_ancilliary</t>
  </si>
  <si>
    <t>teach_assign_sst1_fullt_noancilliary</t>
  </si>
  <si>
    <t>teach_assign_sst1_fullt_ancilliary_addload</t>
  </si>
  <si>
    <t>teach_assign_sst1_part_ancilliary_200min</t>
  </si>
  <si>
    <t>teach_assign_sst1_part_ancilliary_less200min</t>
  </si>
  <si>
    <t>teach_assign_sst1_fullt_ancilliary</t>
  </si>
  <si>
    <t>Tables8-9'!$L$7</t>
  </si>
  <si>
    <t>Tables8-9'!$R$7</t>
  </si>
  <si>
    <t>Tables8-9'!$V$7</t>
  </si>
  <si>
    <t>Tables8-9'!$Z$7</t>
  </si>
  <si>
    <t>Tables8-9'!$AD$7</t>
  </si>
  <si>
    <t>Tables8-9'!$L$8</t>
  </si>
  <si>
    <t>Tables8-9'!$R$8</t>
  </si>
  <si>
    <t>Tables8-9'!$V$8</t>
  </si>
  <si>
    <t>Tables8-9'!$Z$8</t>
  </si>
  <si>
    <t>Tables8-9'!$AD$8</t>
  </si>
  <si>
    <t>Tables8-9'!$L$9</t>
  </si>
  <si>
    <t>Tables8-9'!$R$9</t>
  </si>
  <si>
    <t>Tables8-9'!$V$9</t>
  </si>
  <si>
    <t>Tables8-9'!$Z$9</t>
  </si>
  <si>
    <t>Tables8-9'!$AD$9</t>
  </si>
  <si>
    <t>Tables8-9'!$L$10</t>
  </si>
  <si>
    <t>Tables8-9'!$R$10</t>
  </si>
  <si>
    <t>Tables8-9'!$V$10</t>
  </si>
  <si>
    <t>Tables8-9'!$Z$10</t>
  </si>
  <si>
    <t>Tables8-9'!$AD$10</t>
  </si>
  <si>
    <t>Tables8-9'!$L$11</t>
  </si>
  <si>
    <t>Tables8-9'!$R$11</t>
  </si>
  <si>
    <t>Tables8-9'!$V$11</t>
  </si>
  <si>
    <t>Tables8-9'!$Z$11</t>
  </si>
  <si>
    <t>Tables8-9'!$AD$11</t>
  </si>
  <si>
    <t>Tables8-9'!$L$12</t>
  </si>
  <si>
    <t>Tables8-9'!$R$12</t>
  </si>
  <si>
    <t>Tables8-9'!$V$12</t>
  </si>
  <si>
    <t>Tables8-9'!$Z$12</t>
  </si>
  <si>
    <t>Tables8-9'!$AD$12</t>
  </si>
  <si>
    <t>Tables8-9'!$L$13</t>
  </si>
  <si>
    <t>Tables8-9'!$R$13</t>
  </si>
  <si>
    <t>Tables8-9'!$V$13</t>
  </si>
  <si>
    <t>Tables8-9'!$Z$13</t>
  </si>
  <si>
    <t>Tables8-9'!$AD$13</t>
  </si>
  <si>
    <t>Tables8-9'!$L$14</t>
  </si>
  <si>
    <t>Tables8-9'!$R$14</t>
  </si>
  <si>
    <t>Tables8-9'!$V$14</t>
  </si>
  <si>
    <t>Tables8-9'!$Z$14</t>
  </si>
  <si>
    <t>Tables8-9'!$AD$14</t>
  </si>
  <si>
    <t>Tables8-9'!$J$31</t>
  </si>
  <si>
    <t>Tables8-9'!$n$31</t>
  </si>
  <si>
    <t>Tables8-9'!$r$31</t>
  </si>
  <si>
    <t>Tables8-9'!$v$31</t>
  </si>
  <si>
    <t>Tables8-9'!$Z$31</t>
  </si>
  <si>
    <t>Tables8-9'!$J$32</t>
  </si>
  <si>
    <t>Tables8-9'!$n$32</t>
  </si>
  <si>
    <t>Tables8-9'!$r$32</t>
  </si>
  <si>
    <t>Tables8-9'!$v$32</t>
  </si>
  <si>
    <t>Tables8-9'!$Z$32</t>
  </si>
  <si>
    <t>Tables8-9'!$J$33</t>
  </si>
  <si>
    <t>Tables8-9'!$n$33</t>
  </si>
  <si>
    <t>Tables8-9'!$r$33</t>
  </si>
  <si>
    <t>Tables8-9'!$v$33</t>
  </si>
  <si>
    <t>Tables8-9'!$Z$33</t>
  </si>
  <si>
    <t>Tables8-9'!$J$34</t>
  </si>
  <si>
    <t>Tables8-9'!$N$34</t>
  </si>
  <si>
    <t>Tables8-9'!$R$34</t>
  </si>
  <si>
    <t>Tables8-9'!$V$34</t>
  </si>
  <si>
    <t>Tables8-9'!$Z$34</t>
  </si>
  <si>
    <t>Tables8-9'!$J$35</t>
  </si>
  <si>
    <t>Tables8-9'!$N$35</t>
  </si>
  <si>
    <t>Tables8-9'!$R$35</t>
  </si>
  <si>
    <t>Tables8-9'!$V$35</t>
  </si>
  <si>
    <t>Tables8-9'!$Z$35</t>
  </si>
  <si>
    <t>Tables8-9'!$J$36</t>
  </si>
  <si>
    <t>Tables8-9'!$N$36</t>
  </si>
  <si>
    <t>Tables8-9'!$R$36</t>
  </si>
  <si>
    <t>Tables8-9'!$V$36</t>
  </si>
  <si>
    <t>Tables8-9'!$Z$36</t>
  </si>
  <si>
    <t>Tables8-9'!$J$37</t>
  </si>
  <si>
    <t>Tables8-9'!$N$37</t>
  </si>
  <si>
    <t>Tables8-9'!$R$37</t>
  </si>
  <si>
    <t>Tables8-9'!$V$37</t>
  </si>
  <si>
    <t>Tables8-9'!$Z$37</t>
  </si>
  <si>
    <t>Tables8-9'!$J$38</t>
  </si>
  <si>
    <t>Tables8-9'!$N$38</t>
  </si>
  <si>
    <t>Tables8-9'!$R$38</t>
  </si>
  <si>
    <t>Tables8-9'!$V$38</t>
  </si>
  <si>
    <t>Tables8-9'!$Z$38</t>
  </si>
  <si>
    <t>teach_train_int3_m</t>
  </si>
  <si>
    <t>shs_teach_train_inservice</t>
  </si>
  <si>
    <t>teach_train_int3_f</t>
  </si>
  <si>
    <t>teach_train_int2_m</t>
  </si>
  <si>
    <t>teach_train_int2_f</t>
  </si>
  <si>
    <t>teach_train_int1_m</t>
  </si>
  <si>
    <t>teach_train_int1_f</t>
  </si>
  <si>
    <t>teach_train_mt4_m</t>
  </si>
  <si>
    <t>teach_train_mt4_f</t>
  </si>
  <si>
    <t>teach_train_mt3_m</t>
  </si>
  <si>
    <t>teach_train_mt3_f</t>
  </si>
  <si>
    <t>teach_train_mt2_m</t>
  </si>
  <si>
    <t>teach_train_mt2_f</t>
  </si>
  <si>
    <t>teach_train_mt1_m</t>
  </si>
  <si>
    <t>teach_train_mt1_f</t>
  </si>
  <si>
    <t>teach_train_t3_m</t>
  </si>
  <si>
    <t>teach_train_t3_f</t>
  </si>
  <si>
    <t>teach_train_t2_m</t>
  </si>
  <si>
    <t>teach_train_t2_f</t>
  </si>
  <si>
    <t>teach_train_t1_m</t>
  </si>
  <si>
    <t>teach_train_t1_f</t>
  </si>
  <si>
    <t>teach_train_sst1_m</t>
  </si>
  <si>
    <t>teach_train_sst1_f</t>
  </si>
  <si>
    <t>teach_train_sped5_m</t>
  </si>
  <si>
    <t>teach_train_sped5_f</t>
  </si>
  <si>
    <t>teach_train_sped4_m</t>
  </si>
  <si>
    <t>teach_train_sped4_f</t>
  </si>
  <si>
    <t>teach_train_sped3_m</t>
  </si>
  <si>
    <t>teach_train_sped3_f</t>
  </si>
  <si>
    <t>teach_train_sped2_m</t>
  </si>
  <si>
    <t>teach_train_sped2_f</t>
  </si>
  <si>
    <t>teach_train_sped1_m</t>
  </si>
  <si>
    <t>teach_train_sped1_f</t>
  </si>
  <si>
    <t>teach_train_ict_intg_m</t>
  </si>
  <si>
    <t>shs_teach_train_ict</t>
  </si>
  <si>
    <t>teach_train_ict_intg_f</t>
  </si>
  <si>
    <t>teach_train_ict_lit_m</t>
  </si>
  <si>
    <t>teach_train_ict_lit_f</t>
  </si>
  <si>
    <t>teach_train_ict_sw_m</t>
  </si>
  <si>
    <t>teach_train_ict_sw_f</t>
  </si>
  <si>
    <t>teach_train_ict_hw_m</t>
  </si>
  <si>
    <t>teach_train_ict_hw_f</t>
  </si>
  <si>
    <t>teach_train_ict_others_m</t>
  </si>
  <si>
    <t>teach_train_ict_others_f</t>
  </si>
  <si>
    <t>teach_train_ped_const_m</t>
  </si>
  <si>
    <t>shs_teach_train_pedagogy</t>
  </si>
  <si>
    <t>teach_train_ped_const_f</t>
  </si>
  <si>
    <t>teach_train_ped_inq_based_m</t>
  </si>
  <si>
    <t>teach_train_ped_inq_based_f</t>
  </si>
  <si>
    <t>teach_train_ped_ref_m</t>
  </si>
  <si>
    <t>teach_train_ped_ref_f</t>
  </si>
  <si>
    <t>teach_train_ped_collab_m</t>
  </si>
  <si>
    <t>teach_train_ped_collab_f</t>
  </si>
  <si>
    <t>teach_train_ped_integ_m</t>
  </si>
  <si>
    <t>teach_train_ped_integ_f</t>
  </si>
  <si>
    <t>teach_train_ped_inc_educ_m</t>
  </si>
  <si>
    <t>teach_train_ped_inc_educ_f</t>
  </si>
  <si>
    <t>teach_train_ped_others_m</t>
  </si>
  <si>
    <t>teach_train_ped_others_f</t>
  </si>
  <si>
    <t>Tables10-12'!$J$7</t>
  </si>
  <si>
    <t>Tables10-12'!$M$7</t>
  </si>
  <si>
    <t>Tables10-12'!$J$8</t>
  </si>
  <si>
    <t>Tables10-12'!$M$8</t>
  </si>
  <si>
    <t>Tables10-12'!$J$9</t>
  </si>
  <si>
    <t>Tables10-12'!$M$9</t>
  </si>
  <si>
    <t>Tables10-12'!$J$10</t>
  </si>
  <si>
    <t>Tables10-12'!$M$10</t>
  </si>
  <si>
    <t>Tables10-12'!$J$11</t>
  </si>
  <si>
    <t>Tables10-12'!$M$11</t>
  </si>
  <si>
    <t>Tables10-12'!$J$12</t>
  </si>
  <si>
    <t>Tables10-12'!$M$12</t>
  </si>
  <si>
    <t>Tables10-12'!$J$13</t>
  </si>
  <si>
    <t>Tables10-12'!$M$13</t>
  </si>
  <si>
    <t>Tables10-12'!$J$14</t>
  </si>
  <si>
    <t>Tables10-12'!$M$14</t>
  </si>
  <si>
    <t>Tables10-12'!$J$15</t>
  </si>
  <si>
    <t>Tables10-12'!$M$15</t>
  </si>
  <si>
    <t>Tables10-12'!$J$16</t>
  </si>
  <si>
    <t>Tables10-12'!$M$16</t>
  </si>
  <si>
    <t>Tables10-12'!$J$17</t>
  </si>
  <si>
    <t>Tables10-12'!$M$17</t>
  </si>
  <si>
    <t>Tables10-12'!$J$18</t>
  </si>
  <si>
    <t>Tables10-12'!$M$18</t>
  </si>
  <si>
    <t>Tables10-12'!$J$19</t>
  </si>
  <si>
    <t>Tables10-12'!$M$19</t>
  </si>
  <si>
    <t>Tables10-12'!$J$20</t>
  </si>
  <si>
    <t>Tables10-12'!$M$20</t>
  </si>
  <si>
    <t>Tables10-12'!$J$21</t>
  </si>
  <si>
    <t>Tables10-12'!$M$21</t>
  </si>
  <si>
    <t>Tables10-12'!$J$22</t>
  </si>
  <si>
    <t>Tables10-12'!$M$22</t>
  </si>
  <si>
    <t>Tables10-12'!$AD$8</t>
  </si>
  <si>
    <t>Tables10-12'!$AG$8</t>
  </si>
  <si>
    <t>Tables10-12'!$AD$9</t>
  </si>
  <si>
    <t>Tables10-12'!$AG$9</t>
  </si>
  <si>
    <t>Tables10-12'!$AD$10</t>
  </si>
  <si>
    <t>Tables10-12'!$AG$10</t>
  </si>
  <si>
    <t>Tables10-12'!$AD$11</t>
  </si>
  <si>
    <t>Tables10-12'!$AG$11</t>
  </si>
  <si>
    <t>Tables10-12'!$AD$12</t>
  </si>
  <si>
    <t>Tables10-12'!$AG$12</t>
  </si>
  <si>
    <t>Tables10-12'!$AX$7</t>
  </si>
  <si>
    <t>Tables10-12'!$BA$7</t>
  </si>
  <si>
    <t>Tables10-12'!$AX$8</t>
  </si>
  <si>
    <t>Tables10-12'!$BA$8</t>
  </si>
  <si>
    <t>Tables10-12'!$AX$9</t>
  </si>
  <si>
    <t>Tables10-12'!$BA$9</t>
  </si>
  <si>
    <t>Tables10-12'!$AX$10</t>
  </si>
  <si>
    <t>Tables10-12'!$BA$10</t>
  </si>
  <si>
    <t>Tables10-12'!$AX$11</t>
  </si>
  <si>
    <t>Tables10-12'!$BA$11</t>
  </si>
  <si>
    <t>Tables10-12'!$AX$12</t>
  </si>
  <si>
    <t>Tables10-12'!$BA$12</t>
  </si>
  <si>
    <t>Tables10-12'!$AX$13</t>
  </si>
  <si>
    <t>Tables10-12'!$BA$13</t>
  </si>
  <si>
    <t>SPED Teacher II</t>
  </si>
  <si>
    <t>teach_grade_sex_count_once_m_g11</t>
  </si>
  <si>
    <t>shs_teach_natl_fund</t>
  </si>
  <si>
    <t>teach_grade_sex_count_once_f_g11</t>
  </si>
  <si>
    <t>teach_grade_sex_count_more_once_m_g11</t>
  </si>
  <si>
    <t>teach_grade_sex_count_more_once_f_g11</t>
  </si>
  <si>
    <t>teach_grade_sex_count_once_m_g12</t>
  </si>
  <si>
    <t>teach_grade_sex_count_once_f_g12</t>
  </si>
  <si>
    <t>teach_grade_sex_count_more_once_m_g12</t>
  </si>
  <si>
    <t>teach_grade_sex_count_more_once_f_g12</t>
  </si>
  <si>
    <t>teach_grade_tlv_sex_count_once_m_g11</t>
  </si>
  <si>
    <t>teach_grade_tlv_sex_count_once_f_g11</t>
  </si>
  <si>
    <t>teach_grade_tlv_sex_count_more_once_m_g11</t>
  </si>
  <si>
    <t>teach_grade_tlv_sex_count_more_once_f_g11</t>
  </si>
  <si>
    <t>teach_grade_tlv_sex_count_once_m_g12</t>
  </si>
  <si>
    <t>teach_grade_tlv_sex_count_once_f_g12</t>
  </si>
  <si>
    <t>teach_grade_tlv_sex_count_more_once_m_g12</t>
  </si>
  <si>
    <t>teach_grade_tlv_sex_count_more_once_f_g12</t>
  </si>
  <si>
    <t>teachassgn_lang_oralcom_m_g11</t>
  </si>
  <si>
    <t>shs_teacher_assignment_bygrade</t>
  </si>
  <si>
    <t>teachassgn_lang_oralcom_f_g11</t>
  </si>
  <si>
    <t>teachassgn_lang_oralcom_m_g12</t>
  </si>
  <si>
    <t>teachassgn_lang_oralcom_f_g12</t>
  </si>
  <si>
    <t>teachassgn_lang_readnwrite_m_g11</t>
  </si>
  <si>
    <t>teachassgn_lang_readnwrite_f_g11</t>
  </si>
  <si>
    <t>teachassgn_lang_readnwrite_m_g12</t>
  </si>
  <si>
    <t>teachassgn_lang_readnwrite_f_g12</t>
  </si>
  <si>
    <t>teachassgn_lang_komatpanitikan_m_g11</t>
  </si>
  <si>
    <t>teachassgn_lang_komatpanitikan_f_g11</t>
  </si>
  <si>
    <t>teachassgn_lang_komatpanitikan_m_g12</t>
  </si>
  <si>
    <t>teachassgn_lang_komatpanitikan_f_g12</t>
  </si>
  <si>
    <t>teachassgn_lang_pagbasaatpagsusuri_m_g11</t>
  </si>
  <si>
    <t>teachassgn_lang_pagbasaatpagsusuri_f_g11</t>
  </si>
  <si>
    <t>teachassgn_lang_pagbasaatpagsusuri_m_g12</t>
  </si>
  <si>
    <t>teachassgn_lang_pagbasaatpagsusuri_f_g12</t>
  </si>
  <si>
    <t>teachassgn_hum_lit_m_g11</t>
  </si>
  <si>
    <t>teachassgn_hum_lit_f_g11</t>
  </si>
  <si>
    <t>teachassgn_hum_lit_m_g12</t>
  </si>
  <si>
    <t>teachassgn_hum_lit_f_g12</t>
  </si>
  <si>
    <t>teachassgn_hum_contemparts_m_g11</t>
  </si>
  <si>
    <t>teachassgn_hum_contemparts_f_g11</t>
  </si>
  <si>
    <t>teachassgn_hum_contemparts_m_g12</t>
  </si>
  <si>
    <t>teachassgn_hum_contemparts_f_g12</t>
  </si>
  <si>
    <t>teachassgn_com_media_m_g11</t>
  </si>
  <si>
    <t>teachassgn_com_media_f_g11</t>
  </si>
  <si>
    <t>teachassgn_com_media_m_g12</t>
  </si>
  <si>
    <t>teachassgn_com_media_f_g12</t>
  </si>
  <si>
    <t>teachassgn_math_genmath_m_g11</t>
  </si>
  <si>
    <t>teachassgn_math_genmath_f_g11</t>
  </si>
  <si>
    <t>teachassgn_math_genmath_m_g12</t>
  </si>
  <si>
    <t>teachassgn_math_genmath_f_g12</t>
  </si>
  <si>
    <t>teachassgn_math_stat_m_g11</t>
  </si>
  <si>
    <t>teachassgn_math_stat_f_g11</t>
  </si>
  <si>
    <t>teachassgn_math_stat_m_g12</t>
  </si>
  <si>
    <t>teachassgn_math_stat_f_g12</t>
  </si>
  <si>
    <t>teachassgn_sci_earthnlife_m_g11</t>
  </si>
  <si>
    <t>teachassgn_sci_earthnlife_f_g11</t>
  </si>
  <si>
    <t>teachassgn_sci_earthnlife_m_g12</t>
  </si>
  <si>
    <t>teachassgn_sci_earthnlife_f_g12</t>
  </si>
  <si>
    <t>teachassgn_sci_physci_m_g11</t>
  </si>
  <si>
    <t>teachassgn_sci_physci_f_g11</t>
  </si>
  <si>
    <t>teachassgn_sci_physci_m_g12</t>
  </si>
  <si>
    <t>teachassgn_sci_physci_f_g12</t>
  </si>
  <si>
    <t>teachassgn_socsci_personaldev_m_g11</t>
  </si>
  <si>
    <t>teachassgn_socsci_personaldev_f_g11</t>
  </si>
  <si>
    <t>teachassgn_socsci_personaldev_m_g12</t>
  </si>
  <si>
    <t>teachassgn_socsci_personaldev_f_g12</t>
  </si>
  <si>
    <t>teachassgn_socsci_culturensociety_m_g11</t>
  </si>
  <si>
    <t>teachassgn_socsci_culturensociety_f_g11</t>
  </si>
  <si>
    <t>teachassgn_socsci_culturensociety_m_g12</t>
  </si>
  <si>
    <t>teachassgn_socsci_culturensociety_f_g12</t>
  </si>
  <si>
    <t>teachassgn_philo_introphilo_m_g11</t>
  </si>
  <si>
    <t>teachassgn_philo_introphilo_f_g11</t>
  </si>
  <si>
    <t>teachassgn_philo_introphilo_m_g12</t>
  </si>
  <si>
    <t>teachassgn_philo_introphilo_f_g12</t>
  </si>
  <si>
    <t>teachassgn_pe_phyeduc_m_g11</t>
  </si>
  <si>
    <t>teachassgn_pe_phyeduc_f_g11</t>
  </si>
  <si>
    <t>teachassgn_pe_phyeduc_m_g12</t>
  </si>
  <si>
    <t>teachassgn_pe_phyeduc_f_g12</t>
  </si>
  <si>
    <t>teachassgn_disasterreadiness_m_g11</t>
  </si>
  <si>
    <t>teachassgn_disasterreadiness_f_g11</t>
  </si>
  <si>
    <t>teachassgn_disasterreadiness_m_g12</t>
  </si>
  <si>
    <t>teachassgn_disasterreadiness_f_g12</t>
  </si>
  <si>
    <t>Tables13-15!$H$7</t>
  </si>
  <si>
    <t>Tables13-15!$K$7</t>
  </si>
  <si>
    <t>Tables13-15!$Q$7</t>
  </si>
  <si>
    <t>Tables13-15!$T$7</t>
  </si>
  <si>
    <t>Tables13-15!$H$8</t>
  </si>
  <si>
    <t>Tables13-15!$K$8</t>
  </si>
  <si>
    <t>Tables13-15!$Q$8</t>
  </si>
  <si>
    <t>Tables13-15!$T$8</t>
  </si>
  <si>
    <t>Tables13-15!$H$19</t>
  </si>
  <si>
    <t>Tables13-15!$K$19</t>
  </si>
  <si>
    <t>Tables13-15!$Q$19</t>
  </si>
  <si>
    <t>Tables13-15!$T$19</t>
  </si>
  <si>
    <t>Tables13-15!$H$20</t>
  </si>
  <si>
    <t>Tables13-15!$K$20</t>
  </si>
  <si>
    <t>Tables13-15!$Q$20</t>
  </si>
  <si>
    <t>Tables13-15!$T$20</t>
  </si>
  <si>
    <t>Tables13-15'!$U$28</t>
  </si>
  <si>
    <t>Tables13-15'!$Y$28</t>
  </si>
  <si>
    <t>Tables13-15'!$AC$28</t>
  </si>
  <si>
    <t>Tables13-15'!$AG$28</t>
  </si>
  <si>
    <t>Tables13-15'!$U$29</t>
  </si>
  <si>
    <t>Tables13-15'!$Y$29</t>
  </si>
  <si>
    <t>Tables13-15'!$AC$29</t>
  </si>
  <si>
    <t>Tables13-15'!$AG$29</t>
  </si>
  <si>
    <t>Tables13-15'!$U$30</t>
  </si>
  <si>
    <t>Tables13-15'!$Y$30</t>
  </si>
  <si>
    <t>Tables13-15'!$AC$30</t>
  </si>
  <si>
    <t>Tables13-15'!$AG$30</t>
  </si>
  <si>
    <t>Tables13-15'!$U$31</t>
  </si>
  <si>
    <t>Tables13-15'!$Y$31</t>
  </si>
  <si>
    <t>Tables13-15'!$AC$31</t>
  </si>
  <si>
    <t>Tables13-15'!$AG$31</t>
  </si>
  <si>
    <t>Tables13-15'!$U$33</t>
  </si>
  <si>
    <t>Tables13-15'!$Y$33</t>
  </si>
  <si>
    <t>Tables13-15'!$AC$33</t>
  </si>
  <si>
    <t>Tables13-15'!$AG$33</t>
  </si>
  <si>
    <t>Tables13-15'!$U$34</t>
  </si>
  <si>
    <t>Tables13-15'!$Y$34</t>
  </si>
  <si>
    <t>Tables13-15'!$AC$34</t>
  </si>
  <si>
    <t>Tables13-15'!$AG$34</t>
  </si>
  <si>
    <t>Tables13-15'!$U$36</t>
  </si>
  <si>
    <t>Tables13-15'!$Y$36</t>
  </si>
  <si>
    <t>Tables13-15'!$AC$36</t>
  </si>
  <si>
    <t>Tables13-15'!$AG$36</t>
  </si>
  <si>
    <t>Tables13-15'!$U$38</t>
  </si>
  <si>
    <t>Tables13-15'!$Y$38</t>
  </si>
  <si>
    <t>Tables13-15'!$AC$38</t>
  </si>
  <si>
    <t>Tables13-15'!$AG$38</t>
  </si>
  <si>
    <t>Tables13-15'!$U$39</t>
  </si>
  <si>
    <t>Tables13-15'!$Y$39</t>
  </si>
  <si>
    <t>Tables13-15'!$AC$39</t>
  </si>
  <si>
    <t>Tables13-15'!$AG$39</t>
  </si>
  <si>
    <t>Tables13-15'!$U$41</t>
  </si>
  <si>
    <t>Tables13-15'!$Y$41</t>
  </si>
  <si>
    <t>Tables13-15'!$AC$41</t>
  </si>
  <si>
    <t>Tables13-15'!$AG$41</t>
  </si>
  <si>
    <t>Tables13-15'!$U$42</t>
  </si>
  <si>
    <t>Tables13-15'!$Y$42</t>
  </si>
  <si>
    <t>Tables13-15'!$AC$42</t>
  </si>
  <si>
    <t>Tables13-15'!$AG$42</t>
  </si>
  <si>
    <t>Tables13-15'!$U$44</t>
  </si>
  <si>
    <t>Tables13-15'!$Y$44</t>
  </si>
  <si>
    <t>Tables13-15'!$AC$44</t>
  </si>
  <si>
    <t>Tables13-15'!$AG$44</t>
  </si>
  <si>
    <t>Tables13-15'!$U$45</t>
  </si>
  <si>
    <t>Tables13-15'!$Y$45</t>
  </si>
  <si>
    <t>Tables13-15'!$AC$45</t>
  </si>
  <si>
    <t>Tables13-15'!$AG$45</t>
  </si>
  <si>
    <t>Tables13-15'!$U$47</t>
  </si>
  <si>
    <t>Tables13-15'!$Y$47</t>
  </si>
  <si>
    <t>Tables13-15'!$AC$47</t>
  </si>
  <si>
    <t>Tables13-15'!$AG$47</t>
  </si>
  <si>
    <t>Tables13-15'!$U$49</t>
  </si>
  <si>
    <t>Tables13-15'!$Y$49</t>
  </si>
  <si>
    <t>Tables13-15'!$AC$49</t>
  </si>
  <si>
    <t>Tables13-15'!$AG$49</t>
  </si>
  <si>
    <t>Tables13-15'!$U$50</t>
  </si>
  <si>
    <t>Tables13-15'!$Y$50</t>
  </si>
  <si>
    <t>Tables13-15'!$AC$50</t>
  </si>
  <si>
    <t>Tables13-15'!$AG$50</t>
  </si>
  <si>
    <t>numteach_highest_educ_attainment_bachelor_m</t>
  </si>
  <si>
    <t>shs_teacher_education_attainment</t>
  </si>
  <si>
    <t>numteach_highest_educ_attainment_bachelor_f</t>
  </si>
  <si>
    <t>numteach_highest_educ_attainment_masterunits_m</t>
  </si>
  <si>
    <t>numteach_highest_educ_attainment_masterunits_f</t>
  </si>
  <si>
    <t>numteach_highest_educ_attainment_master_m</t>
  </si>
  <si>
    <t>numteach_highest_educ_attainment_master_f</t>
  </si>
  <si>
    <t>numteach_highest_educ_attainment_doctor_units_m</t>
  </si>
  <si>
    <t>numteach_highest_educ_attainment_doctor_units_f</t>
  </si>
  <si>
    <t>numteach_highest_educ_attainment_doctor_m</t>
  </si>
  <si>
    <t>numteach_highest_educ_attainment_doctor_f</t>
  </si>
  <si>
    <t>numteach_scieducmajor_gensci_m</t>
  </si>
  <si>
    <t>shs_teacher_science_major</t>
  </si>
  <si>
    <t>numteach_scieducmajor_gensci_f</t>
  </si>
  <si>
    <t>numteach_scieducmajor_bio_m</t>
  </si>
  <si>
    <t>numteach_scieducmajor_bio_f</t>
  </si>
  <si>
    <t>numteach_scieducmajor_chem_m</t>
  </si>
  <si>
    <t>numteach_scieducmajor_chem_f</t>
  </si>
  <si>
    <t>numteach_scieducmajor_physics_m</t>
  </si>
  <si>
    <t>numteach_scieducmajor_physics_f</t>
  </si>
  <si>
    <t>numteach_scieducmajor_others_m</t>
  </si>
  <si>
    <t>numteach_scieducmajor_others_f</t>
  </si>
  <si>
    <t>shs_teacher_assignment_byspecialization</t>
  </si>
  <si>
    <t>teachassign_spcl_ftime_eng_maj_eng</t>
  </si>
  <si>
    <t>shs_teacher_byspecialization_efms</t>
  </si>
  <si>
    <t>teachassign_spcl_ftime_eng_maj_fil</t>
  </si>
  <si>
    <t>teachassign_spcl_ftime_eng_maj_math</t>
  </si>
  <si>
    <t>teachassign_spcl_ftime_eng_maj_sci</t>
  </si>
  <si>
    <t>teachassign_spcl_ftime_eng_min_eng</t>
  </si>
  <si>
    <t>teachassign_spcl_ftime_eng_min_fil</t>
  </si>
  <si>
    <t>teachassign_spcl_ftime_eng_min_math</t>
  </si>
  <si>
    <t>teachassign_spcl_ftime_eng_min_sci</t>
  </si>
  <si>
    <t>teachassign_spcl_ftime_eng_majmin_othersubject</t>
  </si>
  <si>
    <t>teachassign_spcl_ptime_eng_maj_eng</t>
  </si>
  <si>
    <t>teachassign_spcl_ptime_eng_maj_fil</t>
  </si>
  <si>
    <t>teachassign_spcl_ptime_eng_maj_math</t>
  </si>
  <si>
    <t>teachassign_spcl_ptime_eng_maj_sci</t>
  </si>
  <si>
    <t>teachassign_spcl_ptime_eng_min_eng</t>
  </si>
  <si>
    <t>teachassign_spcl_ptime_eng_min_fil</t>
  </si>
  <si>
    <t>teachassign_spcl_ptime_eng_min_math</t>
  </si>
  <si>
    <t>teachassign_spcl_ptime_eng_min_sci</t>
  </si>
  <si>
    <t>teachassign_spcl_ptime_eng_majmin_othersubject</t>
  </si>
  <si>
    <t>teachassign_spcl_ftime_fil_maj_eng</t>
  </si>
  <si>
    <t>teachassign_spcl_ftime_fil_maj_fil</t>
  </si>
  <si>
    <t>teachassign_spcl_ftime_fil_maj_math</t>
  </si>
  <si>
    <t>teachassign_spcl_ftime_fil_maj_sci</t>
  </si>
  <si>
    <t>teachassign_spcl_ftime_fil_min_eng</t>
  </si>
  <si>
    <t>teachassign_spcl_ftime_fil_min_fil</t>
  </si>
  <si>
    <t>teachassign_spcl_ftime_fil_min_math</t>
  </si>
  <si>
    <t>teachassign_spcl_ftime_fil_min_sci</t>
  </si>
  <si>
    <t>teachassign_spcl_ftime_fil_majmin_othersubject</t>
  </si>
  <si>
    <t>teachassign_spcl_ptime_fil_maj_eng</t>
  </si>
  <si>
    <t>teachassign_spcl_ptime_fil_maj_fil</t>
  </si>
  <si>
    <t>teachassign_spcl_ptime_fil_maj_math</t>
  </si>
  <si>
    <t>teachassign_spcl_ptime_fil_maj_sci</t>
  </si>
  <si>
    <t>teachassign_spcl_ptime_fil_min_eng</t>
  </si>
  <si>
    <t>teachassign_spcl_ptime_fil_min_fil</t>
  </si>
  <si>
    <t>teachassign_spcl_ptime_fil_min_math</t>
  </si>
  <si>
    <t>teachassign_spcl_ptime_fil_min_sci</t>
  </si>
  <si>
    <t>teachassign_spcl_ptime_fil_majmin_othersubject</t>
  </si>
  <si>
    <t>teachassign_spcl_ftime_math_maj_eng</t>
  </si>
  <si>
    <t>teachassign_spcl_ftime_math_maj_fil</t>
  </si>
  <si>
    <t>teachassign_spcl_ftime_math_maj_math</t>
  </si>
  <si>
    <t>teachassign_spcl_ftime_math_maj_sci</t>
  </si>
  <si>
    <t>teachassign_spcl_ftime_math_min_eng</t>
  </si>
  <si>
    <t>teachassign_spcl_ftime_math_min_fil</t>
  </si>
  <si>
    <t>teachassign_spcl_ftime_math_min_math</t>
  </si>
  <si>
    <t>teachassign_spcl_ftime_math_min_sci</t>
  </si>
  <si>
    <t>teachassign_spcl_ftime_math_majmin_othersubject</t>
  </si>
  <si>
    <t>teachassign_spcl_ptime_math_maj_eng</t>
  </si>
  <si>
    <t>teachassign_spcl_ptime_math_maj_fil</t>
  </si>
  <si>
    <t>teachassign_spcl_ptime_math_maj_math</t>
  </si>
  <si>
    <t>teachassign_spcl_ptime_math_maj_sci</t>
  </si>
  <si>
    <t>teachassign_spcl_ptime_math_min_eng</t>
  </si>
  <si>
    <t>teachassign_spcl_ptime_math_min_fil</t>
  </si>
  <si>
    <t>teachassign_spcl_ptime_math_min_math</t>
  </si>
  <si>
    <t>teachassign_spcl_ptime_math_min_sci</t>
  </si>
  <si>
    <t>teachassign_spcl_ptime_math_majmin_othersubject</t>
  </si>
  <si>
    <t>teachassign_spcl_ftime_sci_maj_eng</t>
  </si>
  <si>
    <t>teachassign_spcl_ftime_sci_maj_fil</t>
  </si>
  <si>
    <t>teachassign_spcl_ftime_sci_maj_math</t>
  </si>
  <si>
    <t>teachassign_spcl_ftime_sci_maj_sci</t>
  </si>
  <si>
    <t>teachassign_spcl_ftime_sci_min_eng</t>
  </si>
  <si>
    <t>teachassign_spcl_ftime_sci_min_fil</t>
  </si>
  <si>
    <t>teachassign_spcl_ftime_sci_min_math</t>
  </si>
  <si>
    <t>teachassign_spcl_ftime_sci_min_sci</t>
  </si>
  <si>
    <t>teachassign_spcl_ftime_sci_majmin_othersubject</t>
  </si>
  <si>
    <t>teachassign_spcl_ptime_sci_maj_eng</t>
  </si>
  <si>
    <t>teachassign_spcl_ptime_sci_maj_fil</t>
  </si>
  <si>
    <t>teachassign_spcl_ptime_sci_maj_math</t>
  </si>
  <si>
    <t>teachassign_spcl_ptime_sci_maj_sci</t>
  </si>
  <si>
    <t>teachassign_spcl_ptime_sci_min_eng</t>
  </si>
  <si>
    <t>teachassign_spcl_ptime_sci_min_fil</t>
  </si>
  <si>
    <t>teachassign_spcl_ptime_sci_min_math</t>
  </si>
  <si>
    <t>teachassign_spcl_ptime_sci_min_sci</t>
  </si>
  <si>
    <t>teachassign_spcl_ptime_sci_majmin_othersubject</t>
  </si>
  <si>
    <t>Tables16-19!$M$6</t>
  </si>
  <si>
    <t>Tables16-19!$Q$6</t>
  </si>
  <si>
    <t>Tables16-19!$M$7</t>
  </si>
  <si>
    <t>Tables16-19!$Q$7</t>
  </si>
  <si>
    <t>Tables16-19!$M$8</t>
  </si>
  <si>
    <t>Tables16-19!$Q$8</t>
  </si>
  <si>
    <t>Tables16-19!$M$9</t>
  </si>
  <si>
    <t>Tables16-19!$Q$79</t>
  </si>
  <si>
    <t>Tables16-19!$M$10</t>
  </si>
  <si>
    <t>Tables16-19!$Q$10</t>
  </si>
  <si>
    <t>Tables16-19'!$k$21</t>
  </si>
  <si>
    <t>Tables16-19'!$p$21</t>
  </si>
  <si>
    <t>Tables16-19'!$u$21</t>
  </si>
  <si>
    <t>Tables16-19'!$z$21</t>
  </si>
  <si>
    <t>Tables16-19'!$ae$21</t>
  </si>
  <si>
    <t>Tables16-19'!$aj$21</t>
  </si>
  <si>
    <t>Tables16-19'!$ao$21</t>
  </si>
  <si>
    <t>Tables16-19'!$at$21</t>
  </si>
  <si>
    <t>Tables16-19'!$ay$21</t>
  </si>
  <si>
    <t>Tables16-19'!$bd$21</t>
  </si>
  <si>
    <t>Tables16-19'!$k$22</t>
  </si>
  <si>
    <t>Tables16-19'!$p$22</t>
  </si>
  <si>
    <t>Tables16-19'!$u$22</t>
  </si>
  <si>
    <t>Tables16-19'!$z$22</t>
  </si>
  <si>
    <t>Tables16-19'!$ae$22</t>
  </si>
  <si>
    <t>Tables16-19'!$aj$22</t>
  </si>
  <si>
    <t>Tables16-19'!$ao$22</t>
  </si>
  <si>
    <t>Tables16-19'!$at$22</t>
  </si>
  <si>
    <t>Tables16-19'!$ay$22</t>
  </si>
  <si>
    <t>Tables16-19'!$bd$22</t>
  </si>
  <si>
    <t>Tables16-19'!$k$23</t>
  </si>
  <si>
    <t>Tables16-19'!$p$23</t>
  </si>
  <si>
    <t>Tables16-19'!$u$23</t>
  </si>
  <si>
    <t>Tables16-19'!$z$23</t>
  </si>
  <si>
    <t>Tables16-19'!$ae$23</t>
  </si>
  <si>
    <t>Tables16-19'!$aj$23</t>
  </si>
  <si>
    <t>Tables16-19'!$ao$23</t>
  </si>
  <si>
    <t>Tables16-19'!$at$23</t>
  </si>
  <si>
    <t>Tables16-19'!$ay$23</t>
  </si>
  <si>
    <t>Tables16-19'!$bd$23</t>
  </si>
  <si>
    <t>Tables16-19'!$k$24</t>
  </si>
  <si>
    <t>Tables16-19'!$p$24</t>
  </si>
  <si>
    <t>Tables16-19'!$u$24</t>
  </si>
  <si>
    <t>Tables16-19'!$z$24</t>
  </si>
  <si>
    <t>Tables16-19'!$ae$24</t>
  </si>
  <si>
    <t>Tables16-19'!$aj$24</t>
  </si>
  <si>
    <t>Tables16-19'!$ao$24</t>
  </si>
  <si>
    <t>Tables16-19'!$at$24</t>
  </si>
  <si>
    <t>Tables16-19'!$ay$24</t>
  </si>
  <si>
    <t>Tables16-19'!$bd$24</t>
  </si>
  <si>
    <t>Tables16-19'!$k$25</t>
  </si>
  <si>
    <t>Tables16-19'!$p$25</t>
  </si>
  <si>
    <t>Tables16-19'!$u$25</t>
  </si>
  <si>
    <t>Tables16-19'!$z$25</t>
  </si>
  <si>
    <t>Tables16-19'!$ae$25</t>
  </si>
  <si>
    <t>Tables16-19'!$aj$25</t>
  </si>
  <si>
    <t>Tables16-19'!$ao$25</t>
  </si>
  <si>
    <t>Tables16-19'!$at$25</t>
  </si>
  <si>
    <t>Tables16-19'!$ay$25</t>
  </si>
  <si>
    <t>Tables16-19'!$bd$25</t>
  </si>
  <si>
    <t>Tables16-19'!$k$26</t>
  </si>
  <si>
    <t>Tables16-19'!$p$26</t>
  </si>
  <si>
    <t>Tables16-19'!$u$26</t>
  </si>
  <si>
    <t>Tables16-19'!$z$26</t>
  </si>
  <si>
    <t>Tables16-19'!$ae$26</t>
  </si>
  <si>
    <t>Tables16-19'!$aj$26</t>
  </si>
  <si>
    <t>Tables16-19'!$ao$26</t>
  </si>
  <si>
    <t>Tables16-19'!$at$26</t>
  </si>
  <si>
    <t>Tables16-19'!$ay$26</t>
  </si>
  <si>
    <t>Tables16-19'!$bd$26</t>
  </si>
  <si>
    <t>Tables16-19'!$k$27</t>
  </si>
  <si>
    <t>Tables16-19'!$p$27</t>
  </si>
  <si>
    <t>Tables16-19'!$u$27</t>
  </si>
  <si>
    <t>Tables16-19'!$z$27</t>
  </si>
  <si>
    <t>Tables16-19'!$ae$27</t>
  </si>
  <si>
    <t>Tables16-19'!$aj$27</t>
  </si>
  <si>
    <t>Tables16-19'!$ao$27</t>
  </si>
  <si>
    <t>Tables16-19'!$at$27</t>
  </si>
  <si>
    <t>Tables16-19'!$ay$27</t>
  </si>
  <si>
    <t>Tables16-19'!$bd$27</t>
  </si>
  <si>
    <t>Tables16-19'!$k$28</t>
  </si>
  <si>
    <t>Tables16-19'!$p$28</t>
  </si>
  <si>
    <t>Tables16-19'!$u$28</t>
  </si>
  <si>
    <t>Tables16-19'!$z$28</t>
  </si>
  <si>
    <t>Tables16-19'!$ae$28</t>
  </si>
  <si>
    <t>Tables16-19'!$aj$28</t>
  </si>
  <si>
    <t>Tables16-19'!$ao$28</t>
  </si>
  <si>
    <t>Tables16-19'!$at$28</t>
  </si>
  <si>
    <t>Tables16-19'!$ay$28</t>
  </si>
  <si>
    <t>Tables16-19'!$bd$28</t>
  </si>
  <si>
    <t>Tables16-19'!$p$29</t>
  </si>
  <si>
    <t>Tables16-19'!$u$29</t>
  </si>
  <si>
    <t>Tables16-19'!$z$29</t>
  </si>
  <si>
    <t>Tables16-19'!$ae$29</t>
  </si>
  <si>
    <t>Tables16-19'!$aj$29</t>
  </si>
  <si>
    <t>Tables16-19'!$ao$29</t>
  </si>
  <si>
    <t>Tables16-19'!$at$29</t>
  </si>
  <si>
    <t>Tables16-19'!$ay$29</t>
  </si>
  <si>
    <t>Tables16-19'!$bd$29</t>
  </si>
  <si>
    <t>Tables16-19'!$g$41</t>
  </si>
  <si>
    <t>Tables16-19'!$j$41</t>
  </si>
  <si>
    <t>Tables16-19'!$m$41</t>
  </si>
  <si>
    <t>Tables16-19'!$p$41</t>
  </si>
  <si>
    <t>Tables16-19'!$s$41</t>
  </si>
  <si>
    <t>Tables16-19'!$v$41</t>
  </si>
  <si>
    <t>Tables16-19'!$y$41</t>
  </si>
  <si>
    <t>Tables16-19'!$ab$41</t>
  </si>
  <si>
    <t>Tables16-19'!$ae$41</t>
  </si>
  <si>
    <t>Tables16-19'!$ah$41</t>
  </si>
  <si>
    <t>Tables16-19'!$ak$41</t>
  </si>
  <si>
    <t>Tables16-19'!$an$41</t>
  </si>
  <si>
    <t>Tables16-19'!$aq$41</t>
  </si>
  <si>
    <t>Tables16-19'!$at$41</t>
  </si>
  <si>
    <t>Tables16-19'!$aw$41</t>
  </si>
  <si>
    <t>Tables16-19'!$az$41</t>
  </si>
  <si>
    <t>Tables16-19'!$bc$41</t>
  </si>
  <si>
    <t>Tables16-19'!$bf$41</t>
  </si>
  <si>
    <t>Tables16-19'!$g$42</t>
  </si>
  <si>
    <t>Tables16-19'!$j$42</t>
  </si>
  <si>
    <t>Tables16-19'!$m$42</t>
  </si>
  <si>
    <t>Tables16-19'!$p$42</t>
  </si>
  <si>
    <t>Tables16-19'!$s$42</t>
  </si>
  <si>
    <t>Tables16-19'!$v$42</t>
  </si>
  <si>
    <t>Tables16-19'!$y$42</t>
  </si>
  <si>
    <t>Tables16-19'!$ab$42</t>
  </si>
  <si>
    <t>Tables16-19'!$ae$42</t>
  </si>
  <si>
    <t>Tables16-19'!$ah$42</t>
  </si>
  <si>
    <t>Tables16-19'!$ak$42</t>
  </si>
  <si>
    <t>Tables16-19'!$an$42</t>
  </si>
  <si>
    <t>Tables16-19'!$aq$42</t>
  </si>
  <si>
    <t>Tables16-19'!$at$42</t>
  </si>
  <si>
    <t>Tables16-19'!$aw$42</t>
  </si>
  <si>
    <t>Tables16-19'!$az$42</t>
  </si>
  <si>
    <t>Tables16-19'!$bc$42</t>
  </si>
  <si>
    <t>Tables16-19'!$bf$42</t>
  </si>
  <si>
    <t>Tables16-19'!$g$43</t>
  </si>
  <si>
    <t>Tables16-19'!$j$43</t>
  </si>
  <si>
    <t>Tables16-19'!$m$43</t>
  </si>
  <si>
    <t>Tables16-19'!$p$43</t>
  </si>
  <si>
    <t>Tables16-19'!$s$43</t>
  </si>
  <si>
    <t>Tables16-19'!$v$43</t>
  </si>
  <si>
    <t>Tables16-19'!$y$43</t>
  </si>
  <si>
    <t>Tables16-19'!$ab$43</t>
  </si>
  <si>
    <t>Tables16-19'!$ae$43</t>
  </si>
  <si>
    <t>Tables16-19'!$ah$43</t>
  </si>
  <si>
    <t>Tables16-19'!$ak$43</t>
  </si>
  <si>
    <t>Tables16-19'!$an$43</t>
  </si>
  <si>
    <t>Tables16-19'!$aq$43</t>
  </si>
  <si>
    <t>Tables16-19'!$at$43</t>
  </si>
  <si>
    <t>Tables16-19'!$aw$43</t>
  </si>
  <si>
    <t>Tables16-19'!$az$43</t>
  </si>
  <si>
    <t>Tables16-19'!$bc$43</t>
  </si>
  <si>
    <t>Tables16-19'!$bf$43</t>
  </si>
  <si>
    <t>Tables16-19'!$g$44</t>
  </si>
  <si>
    <t>Tables16-19'!$j$44</t>
  </si>
  <si>
    <t>Tables16-19'!$m$44</t>
  </si>
  <si>
    <t>Tables16-19'!$p$44</t>
  </si>
  <si>
    <t>Tables16-19'!$s$44</t>
  </si>
  <si>
    <t>Tables16-19'!$v$44</t>
  </si>
  <si>
    <t>Tables16-19'!$y$44</t>
  </si>
  <si>
    <t>Tables16-19'!$ab$44</t>
  </si>
  <si>
    <t>Tables16-19'!$ae$44</t>
  </si>
  <si>
    <t>Tables16-19'!$ah$44</t>
  </si>
  <si>
    <t>Tables16-19'!$ak$44</t>
  </si>
  <si>
    <t>Tables16-19'!$an$44</t>
  </si>
  <si>
    <t>Tables16-19'!$aq$44</t>
  </si>
  <si>
    <t>Tables16-19'!$at$44</t>
  </si>
  <si>
    <t>Tables16-19'!$aw$44</t>
  </si>
  <si>
    <t>Tables16-19'!$az$44</t>
  </si>
  <si>
    <t>Tables16-19'!$bc$44</t>
  </si>
  <si>
    <t>Tables16-19'!$bf$44</t>
  </si>
  <si>
    <t>Tables16-19!$AW$6</t>
  </si>
  <si>
    <t>Tables16-19!$BA$6</t>
  </si>
  <si>
    <t>Tables16-19!$AW$7</t>
  </si>
  <si>
    <t>Tables16-19!$BA$7</t>
  </si>
  <si>
    <t>Tables16-19!$AW$8</t>
  </si>
  <si>
    <t>Tables16-19!$BA$8</t>
  </si>
  <si>
    <t>Tables16-19!$AW$9</t>
  </si>
  <si>
    <t>Tables16-19!$BA$9</t>
  </si>
  <si>
    <t>Tables16-19!$AW$10</t>
  </si>
  <si>
    <t>Tables16-19!$BA$10</t>
  </si>
  <si>
    <t>teachassign_spcl_eng_gradmajor_notgreaterthan40</t>
  </si>
  <si>
    <t>teachassign_spcl_eng_bachmajor_notgreaterthan40</t>
  </si>
  <si>
    <t>teachassign_spcl_eng_bachminor_notgreaterthan40</t>
  </si>
  <si>
    <t>teachassign_spcl_eng_withspcltraining_notgreaterthan40</t>
  </si>
  <si>
    <t>teachassign_spcl_eng_nospcltraining_notgreaterthan40</t>
  </si>
  <si>
    <t>teachassign_spcl_fil_gradmajor_notgreaterthan40</t>
  </si>
  <si>
    <t>teachassign_spcl_fil_bachmajor_notgreaterthan40</t>
  </si>
  <si>
    <t>teachassign_spcl_fil_bachminor_notgreaterthan40</t>
  </si>
  <si>
    <t>teachassign_spcl_fil_withspcltraining_notgreaterthan40</t>
  </si>
  <si>
    <t>teachassign_spcl_fil_nospcltraining_notgreaterthan40</t>
  </si>
  <si>
    <t>teachassign_spcl_hum_gradmajor_notgreaterthan40</t>
  </si>
  <si>
    <t>teachassign_spcl_hum_bachmajor_notgreaterthan40</t>
  </si>
  <si>
    <t>teachassign_spcl_hum_bachminor_notgreaterthan40</t>
  </si>
  <si>
    <t>teachassign_spcl_hum_withspcltraining_notgreaterthan40</t>
  </si>
  <si>
    <t>teachassign_spcl_hum_nospcltraining_notgreaterthan40</t>
  </si>
  <si>
    <t>teachassign_spcl_com_gradmajor_notgreaterthan40</t>
  </si>
  <si>
    <t>teachassign_spcl_com_bachmajor_notgreaterthan40</t>
  </si>
  <si>
    <t>teachassign_spcl_com_bachminor_notgreaterthan40</t>
  </si>
  <si>
    <t>teachassign_spcl_com_withspcltraining_notgreaterthan40</t>
  </si>
  <si>
    <t>teachassign_spcl_com_nospcltraining_notgreaterthan40</t>
  </si>
  <si>
    <t>teachassign_spcl_math_gradmajor_notgreaterthan40</t>
  </si>
  <si>
    <t>teachassign_spcl_math_bachmajor_notgreaterthan40</t>
  </si>
  <si>
    <t>teachassign_spcl_math_bachminor_notgreaterthan40</t>
  </si>
  <si>
    <t>teachassign_spcl_math_withspcltraining_notgreaterthan40</t>
  </si>
  <si>
    <t>teachassign_spcl_math_nospcltraining_notgreaterthan40</t>
  </si>
  <si>
    <t>teachassign_spcl_sci_gradmajor_notgreaterthan40</t>
  </si>
  <si>
    <t>teachassign_spcl_sci_bachmajor_notgreaterthan40</t>
  </si>
  <si>
    <t>teachassign_spcl_sci_bachminor_notgreaterthan40</t>
  </si>
  <si>
    <t>teachassign_spcl_sci_withspcltraining_notgreaterthan40</t>
  </si>
  <si>
    <t>teachassign_spcl_sci_nospcltraining_notgreaterthan40</t>
  </si>
  <si>
    <t>teachassign_spcl_socsci_gradmajor_notgreaterthan40</t>
  </si>
  <si>
    <t>teachassign_spcl_socsci_bachmajor_notgreaterthan40</t>
  </si>
  <si>
    <t>teachassign_spcl_socsci_bachminor_notgreaterthan40</t>
  </si>
  <si>
    <t>teachassign_spcl_socsci_withspcltraining_notgreaterthan40</t>
  </si>
  <si>
    <t>teachassign_spcl_socsci_nospcltraining_notgreaterthan40</t>
  </si>
  <si>
    <t>teachassign_spcl_philo_gradmajor_notgreaterthan40</t>
  </si>
  <si>
    <t>teachassign_spcl_philo_bachmajor_notgreaterthan40</t>
  </si>
  <si>
    <t>teachassign_spcl_philo_bachminor_notgreaterthan40</t>
  </si>
  <si>
    <t>teachassign_spcl_philo_withspcltraining_notgreaterthan40</t>
  </si>
  <si>
    <t>teachassign_spcl_philo_nospcltraining_notgreaterthan40</t>
  </si>
  <si>
    <t>teachassign_spcl_penhealth_gradmajor_notgreaterthan40</t>
  </si>
  <si>
    <t>teachassign_spcl_penhealth_bachmajor_notgreaterthan40</t>
  </si>
  <si>
    <t>teachassign_spcl_penhealth_bachminor_notgreaterthan40</t>
  </si>
  <si>
    <t>teachassign_spcl_penhealth_withspcltraining_notgreaterthan40</t>
  </si>
  <si>
    <t>teachassign_spcl_penhealth_nospcltraining_notgreaterthan40</t>
  </si>
  <si>
    <t>teachassign_spcl_eng_gradmajor_greaterthan40</t>
  </si>
  <si>
    <t>teachassign_spcl_eng_bachmajor_greaterthan40</t>
  </si>
  <si>
    <t>teachassign_spcl_eng_bachminor_greaterthan40</t>
  </si>
  <si>
    <t>teachassign_spcl_eng_withspcltraining_greaterthan40</t>
  </si>
  <si>
    <t>teachassign_spcl_eng_nospcltraining_greaterthan40</t>
  </si>
  <si>
    <t>teachassign_spcl_fil_gradmajor_greaterthan40</t>
  </si>
  <si>
    <t>teachassign_spcl_fil_bachmajor_greaterthan40</t>
  </si>
  <si>
    <t>teachassign_spcl_fil_bachminor_greaterthan40</t>
  </si>
  <si>
    <t>teachassign_spcl_fil_withspcltraining_greaterthan40</t>
  </si>
  <si>
    <t>teachassign_spcl_fil_nospcltraining_greaterthan40</t>
  </si>
  <si>
    <t>teachassign_spcl_hum_gradmajor_greaterthan40</t>
  </si>
  <si>
    <t>teachassign_spcl_hum_bachmajor_greaterthan40</t>
  </si>
  <si>
    <t>teachassign_spcl_hum_bachminor_greaterthan40</t>
  </si>
  <si>
    <t>teachassign_spcl_hum_withspcltraining_greaterthan40</t>
  </si>
  <si>
    <t>teachassign_spcl_hum_nospcltraining_greaterthan40</t>
  </si>
  <si>
    <t>teachassign_spcl_com_gradmajor_greaterthan40</t>
  </si>
  <si>
    <t>teachassign_spcl_com_bachmajor_greaterthan40</t>
  </si>
  <si>
    <t>teachassign_spcl_com_bachminor_greaterthan40</t>
  </si>
  <si>
    <t>teachassign_spcl_com_withspcltraining_greaterthan40</t>
  </si>
  <si>
    <t>teachassign_spcl_com_nospcltraining_greaterthan40</t>
  </si>
  <si>
    <t>teachassign_spcl_math_gradmajor_greaterthan40</t>
  </si>
  <si>
    <t>teachassign_spcl_math_bachmajor_greaterthan40</t>
  </si>
  <si>
    <t>teachassign_spcl_math_bachminor_greaterthan40</t>
  </si>
  <si>
    <t>teachassign_spcl_math_withspcltraining_greaterthan40</t>
  </si>
  <si>
    <t>teachassign_spcl_math_nospcltraining_greaterthan40</t>
  </si>
  <si>
    <t>teachassign_spcl_sci_gradmajor_greaterthan40</t>
  </si>
  <si>
    <t>teachassign_spcl_sci_bachmajor_greaterthan40</t>
  </si>
  <si>
    <t>teachassign_spcl_sci_bachminor_greaterthan40</t>
  </si>
  <si>
    <t>teachassign_spcl_sci_withspcltraining_greaterthan40</t>
  </si>
  <si>
    <t>teachassign_spcl_sci_nospcltraining_greaterthan40</t>
  </si>
  <si>
    <t>teachassign_spcl_socsci_gradmajor_greaterthan40</t>
  </si>
  <si>
    <t>teachassign_spcl_socsci_bachmajor_greaterthan40</t>
  </si>
  <si>
    <t>teachassign_spcl_socsci_bachminor_greaterthan40</t>
  </si>
  <si>
    <t>teachassign_spcl_socsci_withspcltraining_greaterthan40</t>
  </si>
  <si>
    <t>teachassign_spcl_socsci_nospcltraining_greaterthan40</t>
  </si>
  <si>
    <t>teachassign_spcl_philo_gradmajor_greaterthan40</t>
  </si>
  <si>
    <t>teachassign_spcl_philo_bachmajor_greaterthan40</t>
  </si>
  <si>
    <t>teachassign_spcl_philo_bachminor_greaterthan40</t>
  </si>
  <si>
    <t>teachassign_spcl_philo_withspcltraining_greaterthan40</t>
  </si>
  <si>
    <t>teachassign_spcl_philo_nospcltraining_greaterthan40</t>
  </si>
  <si>
    <t>teachassign_spcl_penhealth_gradmajor_greaterthan40</t>
  </si>
  <si>
    <t>teachassign_spcl_penhealth_bachmajor_greaterthan40</t>
  </si>
  <si>
    <t>teachassign_spcl_penhealth_bachminor_greaterthan40</t>
  </si>
  <si>
    <t>teachassign_spcl_penhealth_withspcltraining_greaterthan40</t>
  </si>
  <si>
    <t>teachassign_spcl_penhealth_nospcltraining_greaterthan40</t>
  </si>
  <si>
    <t>tchrs_tesdanatlquali_he_attractions_nc1</t>
  </si>
  <si>
    <t>shs_teacher_tesda_qualification</t>
  </si>
  <si>
    <t>tchrs_tesdanatlquali_he_attractions_nc2</t>
  </si>
  <si>
    <t>tchrs_tesdanatlquali_he_attractions_nc3</t>
  </si>
  <si>
    <t>tchrs_tesdanatlquali_he_attractions_nc4</t>
  </si>
  <si>
    <t>tchrs_tesdanatlquali_he_attractions_diploma</t>
  </si>
  <si>
    <t>tchrs_tesdanatlquali_he_attractions_trainingmngt</t>
  </si>
  <si>
    <t>tchrs_tesdanatlquali_he_barbering_nc1</t>
  </si>
  <si>
    <t>tchrs_tesdanatlquali_he_barbering_nc2</t>
  </si>
  <si>
    <t>tchrs_tesdanatlquali_he_barbering_nc3</t>
  </si>
  <si>
    <t>tchrs_tesdanatlquali_he_barbering_nc4</t>
  </si>
  <si>
    <t>tchrs_tesdanatlquali_he_barbering_diploma</t>
  </si>
  <si>
    <t>tchrs_tesdanatlquali_he_barbering_trainingmngt</t>
  </si>
  <si>
    <t>tchrs_tesdanatlquali_he_bartending_nc1</t>
  </si>
  <si>
    <t>tchrs_tesdanatlquali_he_bartending_nc2</t>
  </si>
  <si>
    <t>tchrs_tesdanatlquali_he_bartending_nc3</t>
  </si>
  <si>
    <t>tchrs_tesdanatlquali_he_bartending_nc4</t>
  </si>
  <si>
    <t>tchrs_tesdanatlquali_he_bartending_diploma</t>
  </si>
  <si>
    <t>tchrs_tesdanatlquali_he_bartending_trainingmngt</t>
  </si>
  <si>
    <t>tchrs_tesdanatlquali_he_beautynail_nc1</t>
  </si>
  <si>
    <t>tchrs_tesdanatlquali_he_beautynail_nc2</t>
  </si>
  <si>
    <t>tchrs_tesdanatlquali_he_beautynail_nc3</t>
  </si>
  <si>
    <t>tchrs_tesdanatlquali_he_beautynail_nc4</t>
  </si>
  <si>
    <t>tchrs_tesdanatlquali_he_beautynail_diploma</t>
  </si>
  <si>
    <t>tchrs_tesdanatlquali_he_beautynail_trainingmngt</t>
  </si>
  <si>
    <t>tchrs_tesdanatlquali_he_breadnpastry_nc1</t>
  </si>
  <si>
    <t>tchrs_tesdanatlquali_he_breadnpastry_nc2</t>
  </si>
  <si>
    <t>tchrs_tesdanatlquali_he_breadnpastry_nc3</t>
  </si>
  <si>
    <t>tchrs_tesdanatlquali_he_breadnpastry_nc4</t>
  </si>
  <si>
    <t>tchrs_tesdanatlquali_he_breadnpastry_diploma</t>
  </si>
  <si>
    <t>tchrs_tesdanatlquali_he_breadnpastry_trainingmngt</t>
  </si>
  <si>
    <t>tchrs_tesdanatlquali_he_caregiving_nc1</t>
  </si>
  <si>
    <t>tchrs_tesdanatlquali_he_caregiving_nc2</t>
  </si>
  <si>
    <t>tchrs_tesdanatlquali_he_caregiving_nc3</t>
  </si>
  <si>
    <t>tchrs_tesdanatlquali_he_caregiving_nc4</t>
  </si>
  <si>
    <t>tchrs_tesdanatlquali_he_caregiving_diploma</t>
  </si>
  <si>
    <t>tchrs_tesdanatlquali_he_caregiving_trainingmngt</t>
  </si>
  <si>
    <t>tchrs_tesdanatlquali_he_comcooking_nc1</t>
  </si>
  <si>
    <t>tchrs_tesdanatlquali_he_comcooking_nc2</t>
  </si>
  <si>
    <t>tchrs_tesdanatlquali_he_comcooking_nc3</t>
  </si>
  <si>
    <t>tchrs_tesdanatlquali_he_comcooking_nc4</t>
  </si>
  <si>
    <t>tchrs_tesdanatlquali_he_comcooking_diploma</t>
  </si>
  <si>
    <t>tchrs_tesdanatlquali_he_comcooking_trainingmngt</t>
  </si>
  <si>
    <t>tchrs_tesdanatlquali_he_cookery_nc1</t>
  </si>
  <si>
    <t>tchrs_tesdanatlquali_he_cookery_nc2</t>
  </si>
  <si>
    <t>tchrs_tesdanatlquali_he_cookery_nc3</t>
  </si>
  <si>
    <t>tchrs_tesdanatlquali_he_cookery_nc4</t>
  </si>
  <si>
    <t>tchrs_tesdanatlquali_he_cookery_diploma</t>
  </si>
  <si>
    <t>tchrs_tesdanatlquali_he_cookery_trainingmngt</t>
  </si>
  <si>
    <t>tchrs_tesdanatlquali_he_dressmaking_nc1</t>
  </si>
  <si>
    <t>tchrs_tesdanatlquali_he_dressmaking_nc2</t>
  </si>
  <si>
    <t>tchrs_tesdanatlquali_he_dressmaking_nc3</t>
  </si>
  <si>
    <t>tchrs_tesdanatlquali_he_dressmaking_nc4</t>
  </si>
  <si>
    <t>tchrs_tesdanatlquali_he_dressmaking_diploma</t>
  </si>
  <si>
    <t>tchrs_tesdanatlquali_he_dressmaking_trainingmngt</t>
  </si>
  <si>
    <t>tchrs_tesdanatlquali_he_eventsmngt_nc1</t>
  </si>
  <si>
    <t>tchrs_tesdanatlquali_he_eventsmngt_nc2</t>
  </si>
  <si>
    <t>tchrs_tesdanatlquali_he_eventsmngt_nc3</t>
  </si>
  <si>
    <t>tchrs_tesdanatlquali_he_eventsmngt_nc4</t>
  </si>
  <si>
    <t>tchrs_tesdanatlquali_he_eventsmngt_diploma</t>
  </si>
  <si>
    <t>tchrs_tesdanatlquali_he_eventsmngt_trainingmngt</t>
  </si>
  <si>
    <t>tchrs_tesdanatlquali_he_fashiondesign_nc1</t>
  </si>
  <si>
    <t>tchrs_tesdanatlquali_he_fashiondesign_nc2</t>
  </si>
  <si>
    <t>tchrs_tesdanatlquali_he_fashiondesign_nc3</t>
  </si>
  <si>
    <t>tchrs_tesdanatlquali_he_fashiondesign_nc4</t>
  </si>
  <si>
    <t>tchrs_tesdanatlquali_he_fashiondesign_diploma</t>
  </si>
  <si>
    <t>tchrs_tesdanatlquali_he_fashiondesign_trainingmngt</t>
  </si>
  <si>
    <t>tchrs_tesdanatlquali_he_foodnbeverage_nc1</t>
  </si>
  <si>
    <t>tchrs_tesdanatlquali_he_foodnbeverage_nc2</t>
  </si>
  <si>
    <t>tchrs_tesdanatlquali_he_foodnbeverage_nc3</t>
  </si>
  <si>
    <t>tchrs_tesdanatlquali_he_foodnbeverage_nc4</t>
  </si>
  <si>
    <t>tchrs_tesdanatlquali_he_foodnbeverage_diploma</t>
  </si>
  <si>
    <t>tchrs_tesdanatlquali_he_foodnbeverage_trainingmngt</t>
  </si>
  <si>
    <t>tchrs_tesdanatlquali_he_frontofc_nc1</t>
  </si>
  <si>
    <t>tchrs_tesdanatlquali_he_frontofc_nc2</t>
  </si>
  <si>
    <t>tchrs_tesdanatlquali_he_frontofc_nc3</t>
  </si>
  <si>
    <t>tchrs_tesdanatlquali_he_frontofc_nc4</t>
  </si>
  <si>
    <t>tchrs_tesdanatlquali_he_frontofc_diploma</t>
  </si>
  <si>
    <t>tchrs_tesdanatlquali_he_frontofc_trainingmngt</t>
  </si>
  <si>
    <t>tchrs_tesdanatlquali_he_hairdressing_nc1</t>
  </si>
  <si>
    <t>tchrs_tesdanatlquali_he_hairdressing_nc2</t>
  </si>
  <si>
    <t>tchrs_tesdanatlquali_he_hairdressing_nc3</t>
  </si>
  <si>
    <t>tchrs_tesdanatlquali_he_hairdressing_nc4</t>
  </si>
  <si>
    <t>tchrs_tesdanatlquali_he_hairdressing_diploma</t>
  </si>
  <si>
    <t>tchrs_tesdanatlquali_he_hairdressing_trainingmngt</t>
  </si>
  <si>
    <t>tchrs_tesdanatlquali_he_handibasketry_nc1</t>
  </si>
  <si>
    <t>tchrs_tesdanatlquali_he_handibasketry_nc2</t>
  </si>
  <si>
    <t>tchrs_tesdanatlquali_he_handibasketry_nc3</t>
  </si>
  <si>
    <t>tchrs_tesdanatlquali_he_handibasketry_nc4</t>
  </si>
  <si>
    <t>tchrs_tesdanatlquali_he_handibasketry_diploma</t>
  </si>
  <si>
    <t>tchrs_tesdanatlquali_he_handibasketry_trainingmngt</t>
  </si>
  <si>
    <t>tchrs_tesdanatlquali_he_handifashion_nc1</t>
  </si>
  <si>
    <t>tchrs_tesdanatlquali_he_handifashion_nc2</t>
  </si>
  <si>
    <t>tchrs_tesdanatlquali_he_handifashion_nc3</t>
  </si>
  <si>
    <t>tchrs_tesdanatlquali_he_handifashion_nc4</t>
  </si>
  <si>
    <t>tchrs_tesdanatlquali_he_handifashion_diploma</t>
  </si>
  <si>
    <t>tchrs_tesdanatlquali_he_handifashion_trainingmngt</t>
  </si>
  <si>
    <t>tchrs_tesdanatlquali_he_handineedle_nc1</t>
  </si>
  <si>
    <t>tchrs_tesdanatlquali_he_handineedle_nc2</t>
  </si>
  <si>
    <t>tchrs_tesdanatlquali_he_handineedle_nc3</t>
  </si>
  <si>
    <t>tchrs_tesdanatlquali_he_handineedle_nc4</t>
  </si>
  <si>
    <t>tchrs_tesdanatlquali_he_handineedle_diploma</t>
  </si>
  <si>
    <t>tchrs_tesdanatlquali_he_handineedle_trainingmngt</t>
  </si>
  <si>
    <t>tchrs_tesdanatlquali_he_handiwoodcraft_nc1</t>
  </si>
  <si>
    <t>tchrs_tesdanatlquali_he_handiwoodcraft_nc2</t>
  </si>
  <si>
    <t>tchrs_tesdanatlquali_he_handiwoodcraft_nc3</t>
  </si>
  <si>
    <t>tchrs_tesdanatlquali_he_handiwoodcraft_nc4</t>
  </si>
  <si>
    <t>tchrs_tesdanatlquali_he_handiwoodcraft_diploma</t>
  </si>
  <si>
    <t>tchrs_tesdanatlquali_he_handiwoodcraft_trainingmngt</t>
  </si>
  <si>
    <t>tchrs_tesdanatlquali_he_housekeeping_nc1</t>
  </si>
  <si>
    <t>tchrs_tesdanatlquali_he_housekeeping_nc2</t>
  </si>
  <si>
    <t>tchrs_tesdanatlquali_he_housekeeping_nc3</t>
  </si>
  <si>
    <t>tchrs_tesdanatlquali_he_housekeeping_nc4</t>
  </si>
  <si>
    <t>tchrs_tesdanatlquali_he_housekeeping_diploma</t>
  </si>
  <si>
    <t>tchrs_tesdanatlquali_he_housekeeping_trainingmngt</t>
  </si>
  <si>
    <t>tchrs_tesdanatlquali_he_tailoring_nc1</t>
  </si>
  <si>
    <t>tchrs_tesdanatlquali_he_tailoring_nc2</t>
  </si>
  <si>
    <t>tchrs_tesdanatlquali_he_tailoring_nc3</t>
  </si>
  <si>
    <t>tchrs_tesdanatlquali_he_tailoring_nc4</t>
  </si>
  <si>
    <t>tchrs_tesdanatlquali_he_tailoring_diploma</t>
  </si>
  <si>
    <t>tchrs_tesdanatlquali_he_tailoring_trainingmngt</t>
  </si>
  <si>
    <t>tchrs_tesdanatlquali_he_localguiding_nc1</t>
  </si>
  <si>
    <t>tchrs_tesdanatlquali_he_localguiding_nc2</t>
  </si>
  <si>
    <t>tchrs_tesdanatlquali_he_localguiding_nc3</t>
  </si>
  <si>
    <t>tchrs_tesdanatlquali_he_localguiding_nc4</t>
  </si>
  <si>
    <t>tchrs_tesdanatlquali_he_localguiding_diploma</t>
  </si>
  <si>
    <t>tchrs_tesdanatlquali_he_localguiding_trainingmngt</t>
  </si>
  <si>
    <t>tchrs_tesdanatlquali_he_tourismpromotion_nc1</t>
  </si>
  <si>
    <t>tchrs_tesdanatlquali_he_tourismpromotion_nc2</t>
  </si>
  <si>
    <t>tchrs_tesdanatlquali_he_tourismpromotion_nc3</t>
  </si>
  <si>
    <t>tchrs_tesdanatlquali_he_tourismpromotion_nc4</t>
  </si>
  <si>
    <t>tchrs_tesdanatlquali_he_tourismpromotion_diploma</t>
  </si>
  <si>
    <t>tchrs_tesdanatlquali_he_tourismpromotion_trainingmngt</t>
  </si>
  <si>
    <t>tchrs_tesdanatlquali_he_travelservices_nc1</t>
  </si>
  <si>
    <t>tchrs_tesdanatlquali_he_travelservices_nc2</t>
  </si>
  <si>
    <t>tchrs_tesdanatlquali_he_travelservices_nc3</t>
  </si>
  <si>
    <t>tchrs_tesdanatlquali_he_travelservices_nc4</t>
  </si>
  <si>
    <t>tchrs_tesdanatlquali_he_travelservices_diploma</t>
  </si>
  <si>
    <t>tchrs_tesdanatlquali_he_travelservices_trainingmngt</t>
  </si>
  <si>
    <t>tchrs_tesdanatlquali_he_wellnessmassage_nc1</t>
  </si>
  <si>
    <t>tchrs_tesdanatlquali_he_wellnessmassage_nc2</t>
  </si>
  <si>
    <t>tchrs_tesdanatlquali_he_wellnessmassage_nc3</t>
  </si>
  <si>
    <t>tchrs_tesdanatlquali_he_wellnessmassage_nc4</t>
  </si>
  <si>
    <t>tchrs_tesdanatlquali_he_wellnessmassage_diploma</t>
  </si>
  <si>
    <t>tchrs_tesdanatlquali_he_wellnessmassage_trainingmngt</t>
  </si>
  <si>
    <t>tchrs_tesdanatlquali_agri_agricrops_nc1</t>
  </si>
  <si>
    <t>tchrs_tesdanatlquali_agri_agricrops_nc2</t>
  </si>
  <si>
    <t>tchrs_tesdanatlquali_agri_agricrops_nc3</t>
  </si>
  <si>
    <t>tchrs_tesdanatlquali_agri_agricrops_nc4</t>
  </si>
  <si>
    <t>tchrs_tesdanatlquali_agri_agricrops_diploma</t>
  </si>
  <si>
    <t>tchrs_tesdanatlquali_agri_agricrops_trainingmngt</t>
  </si>
  <si>
    <t>tchrs_tesdanatlquali_agri_animalhealth_nc1</t>
  </si>
  <si>
    <t>tchrs_tesdanatlquali_agri_animalhealth_nc2</t>
  </si>
  <si>
    <t>tchrs_tesdanatlquali_agri_animalhealth_nc3</t>
  </si>
  <si>
    <t>tchrs_tesdanatlquali_agri_animalhealth_nc4</t>
  </si>
  <si>
    <t>tchrs_tesdanatlquali_agri_animalhealth_diploma</t>
  </si>
  <si>
    <t>tchrs_tesdanatlquali_agri_animalhealth_trainingmngt</t>
  </si>
  <si>
    <t>tchrs_tesdanatlquali_agri_animalprod_nc1</t>
  </si>
  <si>
    <t>tchrs_tesdanatlquali_agri_animalprod_nc2</t>
  </si>
  <si>
    <t>tchrs_tesdanatlquali_agri_animalprod_nc3</t>
  </si>
  <si>
    <t>tchrs_tesdanatlquali_agri_animalprod_nc4</t>
  </si>
  <si>
    <t>tchrs_tesdanatlquali_agri_animalprod_diploma</t>
  </si>
  <si>
    <t>tchrs_tesdanatlquali_agri_animalprod_trainingmngt</t>
  </si>
  <si>
    <t>tchrs_tesdanatlquali_agri_aquaculture_nc1</t>
  </si>
  <si>
    <t>tchrs_tesdanatlquali_agri_aquaculture_nc2</t>
  </si>
  <si>
    <t>tchrs_tesdanatlquali_agri_aquaculture_nc3</t>
  </si>
  <si>
    <t>tchrs_tesdanatlquali_agri_aquaculture_nc4</t>
  </si>
  <si>
    <t>tchrs_tesdanatlquali_agri_aquaculture_diploma</t>
  </si>
  <si>
    <t>tchrs_tesdanatlquali_agri_aquaculture_trainingmngt</t>
  </si>
  <si>
    <t>tchrs_tesdanatlquali_agri_artiruminants_nc1</t>
  </si>
  <si>
    <t>tchrs_tesdanatlquali_agri_artiruminants_nc2</t>
  </si>
  <si>
    <t>tchrs_tesdanatlquali_agri_artiruminants_nc3</t>
  </si>
  <si>
    <t>tchrs_tesdanatlquali_agri_artiruminants_nc4</t>
  </si>
  <si>
    <t>tchrs_tesdanatlquali_agri_artiruminants_diploma</t>
  </si>
  <si>
    <t>tchrs_tesdanatlquali_agri_artiruminants_trainingmngt</t>
  </si>
  <si>
    <t>tchrs_tesdanatlquali_agri_artiswine_nc1</t>
  </si>
  <si>
    <t>tchrs_tesdanatlquali_agri_artiswine_nc2</t>
  </si>
  <si>
    <t>tchrs_tesdanatlquali_agri_artiswine_nc3</t>
  </si>
  <si>
    <t>tchrs_tesdanatlquali_agri_artiswine_nc4</t>
  </si>
  <si>
    <t>tchrs_tesdanatlquali_agri_artiswine_diploma</t>
  </si>
  <si>
    <t>tchrs_tesdanatlquali_agri_artiswine_trainingmngt</t>
  </si>
  <si>
    <t>tchrs_tesdanatlquali_agri_fishcapture_nc1</t>
  </si>
  <si>
    <t>tchrs_tesdanatlquali_agri_fishcapture_nc2</t>
  </si>
  <si>
    <t>tchrs_tesdanatlquali_agri_fishcapture_nc3</t>
  </si>
  <si>
    <t>tchrs_tesdanatlquali_agri_fishcapture_nc4</t>
  </si>
  <si>
    <t>tchrs_tesdanatlquali_agri_fishcapture_diploma</t>
  </si>
  <si>
    <t>tchrs_tesdanatlquali_agri_fishcapture_trainingmngt</t>
  </si>
  <si>
    <t>tchrs_tesdanatlquali_agri_fishprod_nc1</t>
  </si>
  <si>
    <t>tchrs_tesdanatlquali_agri_fishprod_nc2</t>
  </si>
  <si>
    <t>tchrs_tesdanatlquali_agri_fishprod_nc3</t>
  </si>
  <si>
    <t>tchrs_tesdanatlquali_agri_fishprod_nc4</t>
  </si>
  <si>
    <t>tchrs_tesdanatlquali_agri_fishprod_diploma</t>
  </si>
  <si>
    <t>tchrs_tesdanatlquali_agri_fishprod_trainingmngt</t>
  </si>
  <si>
    <t>tchrs_tesdanatlquali_agri_fishportnwharf_nc1</t>
  </si>
  <si>
    <t>tchrs_tesdanatlquali_agri_fishportnwharf_nc2</t>
  </si>
  <si>
    <t>tchrs_tesdanatlquali_agri_fishportnwharf_nc3</t>
  </si>
  <si>
    <t>tchrs_tesdanatlquali_agri_fishportnwharf_nc4</t>
  </si>
  <si>
    <t>tchrs_tesdanatlquali_agri_fishportnwharf_diploma</t>
  </si>
  <si>
    <t>tchrs_tesdanatlquali_agri_fishportnwharf_trainingmngt</t>
  </si>
  <si>
    <t>tchrs_tesdanatlquali_agri_fishinggear_nc1</t>
  </si>
  <si>
    <t>tchrs_tesdanatlquali_agri_fishinggear_nc2</t>
  </si>
  <si>
    <t>tchrs_tesdanatlquali_agri_fishinggear_nc3</t>
  </si>
  <si>
    <t>tchrs_tesdanatlquali_agri_fishinggear_nc4</t>
  </si>
  <si>
    <t>tchrs_tesdanatlquali_agri_fishinggear_diploma</t>
  </si>
  <si>
    <t>tchrs_tesdanatlquali_agri_fishinggear_trainingmngt</t>
  </si>
  <si>
    <t>tchrs_tesdanatlquali_agri_fishprocessing_nc1</t>
  </si>
  <si>
    <t>tchrs_tesdanatlquali_agri_fishprocessing_nc2</t>
  </si>
  <si>
    <t>tchrs_tesdanatlquali_agri_fishprocessing_nc3</t>
  </si>
  <si>
    <t>tchrs_tesdanatlquali_agri_fishprocessing_nc4</t>
  </si>
  <si>
    <t>tchrs_tesdanatlquali_agri_fishprocessing_diploma</t>
  </si>
  <si>
    <t>tchrs_tesdanatlquali_agri_fishprocessing_trainingmngt</t>
  </si>
  <si>
    <t>tchrs_tesdanatlquali_agri_horiculture_nc1</t>
  </si>
  <si>
    <t>tchrs_tesdanatlquali_agri_horiculture_nc2</t>
  </si>
  <si>
    <t>tchrs_tesdanatlquali_agri_horiculture_nc3</t>
  </si>
  <si>
    <t>tchrs_tesdanatlquali_agri_horiculture_nc4</t>
  </si>
  <si>
    <t>tchrs_tesdanatlquali_agri_horiculture_diploma</t>
  </si>
  <si>
    <t>tchrs_tesdanatlquali_agri_horiculture_trainingmngt</t>
  </si>
  <si>
    <t>tchrs_tesdanatlquali_agri_lanscapenmain_nc1</t>
  </si>
  <si>
    <t>tchrs_tesdanatlquali_agri_lanscapenmain_nc2</t>
  </si>
  <si>
    <t>tchrs_tesdanatlquali_agri_lanscapenmain_nc3</t>
  </si>
  <si>
    <t>tchrs_tesdanatlquali_agri_lanscapenmain_nc4</t>
  </si>
  <si>
    <t>tchrs_tesdanatlquali_agri_lanscapenmain_diploma</t>
  </si>
  <si>
    <t>tchrs_tesdanatlquali_agri_lanscapenmain_trainingmngt</t>
  </si>
  <si>
    <t>tchrs_tesdanatlquali_agri_organicagri_nc1</t>
  </si>
  <si>
    <t>tchrs_tesdanatlquali_agri_organicagri_nc2</t>
  </si>
  <si>
    <t>tchrs_tesdanatlquali_agri_organicagri_nc3</t>
  </si>
  <si>
    <t>tchrs_tesdanatlquali_agri_organicagri_nc4</t>
  </si>
  <si>
    <t>tchrs_tesdanatlquali_agri_organicagri_diploma</t>
  </si>
  <si>
    <t>tchrs_tesdanatlquali_agri_organicagri_trainingmngt</t>
  </si>
  <si>
    <t>tchrs_tesdanatlquali_agri_pestmngt_nc1</t>
  </si>
  <si>
    <t>tchrs_tesdanatlquali_agri_pestmngt_nc2</t>
  </si>
  <si>
    <t>tchrs_tesdanatlquali_agri_pestmngt_nc3</t>
  </si>
  <si>
    <t>tchrs_tesdanatlquali_agri_pestmngt_nc4</t>
  </si>
  <si>
    <t>tchrs_tesdanatlquali_agri_pestmngt_diploma</t>
  </si>
  <si>
    <t>tchrs_tesdanatlquali_agri_pestmngt_trainingmngt</t>
  </si>
  <si>
    <t>tchrs_tesdanatlquali_agri_ricemachinery_nc1</t>
  </si>
  <si>
    <t>tchrs_tesdanatlquali_agri_ricemachinery_nc2</t>
  </si>
  <si>
    <t>tchrs_tesdanatlquali_agri_ricemachinery_nc3</t>
  </si>
  <si>
    <t>tchrs_tesdanatlquali_agri_ricemachinery_nc4</t>
  </si>
  <si>
    <t>tchrs_tesdanatlquali_agri_ricemachinery_diploma</t>
  </si>
  <si>
    <t>tchrs_tesdanatlquali_agri_ricemachinery_trainingmngt</t>
  </si>
  <si>
    <t>tchrs_tesdanatlquali_agri_rubberprocessing_nc1</t>
  </si>
  <si>
    <t>tchrs_tesdanatlquali_agri_rubberprocessing_nc2</t>
  </si>
  <si>
    <t>tchrs_tesdanatlquali_agri_rubberprocessing_nc3</t>
  </si>
  <si>
    <t>tchrs_tesdanatlquali_agri_rubberprocessing_nc4</t>
  </si>
  <si>
    <t>tchrs_tesdanatlquali_agri_rubberprocessing_diploma</t>
  </si>
  <si>
    <t>tchrs_tesdanatlquali_agri_rubberprocessing_trainingmngt</t>
  </si>
  <si>
    <t>tchrs_tesdanatlquali_agri_rubberproduction_nc1</t>
  </si>
  <si>
    <t>tchrs_tesdanatlquali_agri_rubberproduction_nc2</t>
  </si>
  <si>
    <t>tchrs_tesdanatlquali_agri_rubberproduction_nc3</t>
  </si>
  <si>
    <t>tchrs_tesdanatlquali_agri_rubberproduction_nc4</t>
  </si>
  <si>
    <t>tchrs_tesdanatlquali_agri_rubberproduction_diploma</t>
  </si>
  <si>
    <t>tchrs_tesdanatlquali_agri_rubberproduction_trainingmngt</t>
  </si>
  <si>
    <t>tchrs_tesdanatlquali_agri_slaughteringop_nc1</t>
  </si>
  <si>
    <t>tchrs_tesdanatlquali_agri_slaughteringop_nc2</t>
  </si>
  <si>
    <t>tchrs_tesdanatlquali_agri_slaughteringop_nc3</t>
  </si>
  <si>
    <t>tchrs_tesdanatlquali_agri_slaughteringop_nc4</t>
  </si>
  <si>
    <t>tchrs_tesdanatlquali_agri_slaughteringop_diploma</t>
  </si>
  <si>
    <t>tchrs_tesdanatlquali_agri_slaughteringop_trainingmngt</t>
  </si>
  <si>
    <t>Table20a!$U$6</t>
  </si>
  <si>
    <t>Table20a!$Y$6</t>
  </si>
  <si>
    <t>Table20a!$AC$6</t>
  </si>
  <si>
    <t>Table20a!$AG$6</t>
  </si>
  <si>
    <t>Table20a!$AK$6</t>
  </si>
  <si>
    <t>Table20a!$AO$6</t>
  </si>
  <si>
    <t>Table20a!$U$7</t>
  </si>
  <si>
    <t>Table20a!$Y$7</t>
  </si>
  <si>
    <t>Table20a!$AC$7</t>
  </si>
  <si>
    <t>Table20a!$AG$7</t>
  </si>
  <si>
    <t>Table20a!$AK$7</t>
  </si>
  <si>
    <t>Table20a!$A0$7</t>
  </si>
  <si>
    <t>Table20a!$U$8</t>
  </si>
  <si>
    <t>Table20a!$Y$8</t>
  </si>
  <si>
    <t>Table20a!$AC$8</t>
  </si>
  <si>
    <t>Table20a!$AG$8</t>
  </si>
  <si>
    <t>Table20a!$AK$8</t>
  </si>
  <si>
    <t>Table20a!$AO$8</t>
  </si>
  <si>
    <t>Table20a!$U$9</t>
  </si>
  <si>
    <t>Table20a!$Y$9</t>
  </si>
  <si>
    <t>Table20a!$AC$9</t>
  </si>
  <si>
    <t>Table20a!$AG$9</t>
  </si>
  <si>
    <t>Table20a!$AK$9</t>
  </si>
  <si>
    <t>Table20a!$AO$9</t>
  </si>
  <si>
    <t>Table20a!$U$10</t>
  </si>
  <si>
    <t>Table20a!$Y$10</t>
  </si>
  <si>
    <t>Table20a!$AC$10</t>
  </si>
  <si>
    <t>Table20a!$AG$10</t>
  </si>
  <si>
    <t>Table20a!$AK$10</t>
  </si>
  <si>
    <t>Table20a!$AO$10</t>
  </si>
  <si>
    <t>Table20a!$U$11</t>
  </si>
  <si>
    <t>Table20a!$Y$11</t>
  </si>
  <si>
    <t>Table20a!$AC$11</t>
  </si>
  <si>
    <t>Table20a!$AG$11</t>
  </si>
  <si>
    <t>Table20a!$AK$11</t>
  </si>
  <si>
    <t>Table20a!$AO$11</t>
  </si>
  <si>
    <t>Table20a!$U$12</t>
  </si>
  <si>
    <t>Table20a!$Y$12</t>
  </si>
  <si>
    <t>Table20a!$AC$12</t>
  </si>
  <si>
    <t>Table20a!$AG$12</t>
  </si>
  <si>
    <t>Table20a!$AK$12</t>
  </si>
  <si>
    <t>Table20a!$AO$12</t>
  </si>
  <si>
    <t>Table20a!$U$13</t>
  </si>
  <si>
    <t>Table20a!$Y$13</t>
  </si>
  <si>
    <t>Table20a!$AC$13</t>
  </si>
  <si>
    <t>Table20a!$AG$13</t>
  </si>
  <si>
    <t>Table20a!$AK$13</t>
  </si>
  <si>
    <t>Table20a!$AO$13</t>
  </si>
  <si>
    <t>Table20a!$U$14</t>
  </si>
  <si>
    <t>Table20a!$Y$14</t>
  </si>
  <si>
    <t>Table20a!$AC$14</t>
  </si>
  <si>
    <t>Table20a!$AG$14</t>
  </si>
  <si>
    <t>Table20a!$AK$14</t>
  </si>
  <si>
    <t>Table20a!$AO$14</t>
  </si>
  <si>
    <t>Table20a!$U$15</t>
  </si>
  <si>
    <t>Table20a!$Y$15</t>
  </si>
  <si>
    <t>Table20a!$AC$15</t>
  </si>
  <si>
    <t>Table20a!$AG$15</t>
  </si>
  <si>
    <t>Table20a!$AK$15</t>
  </si>
  <si>
    <t>Table20a!$AO$15</t>
  </si>
  <si>
    <t>Table20a!$U$16</t>
  </si>
  <si>
    <t>Table20a!$Y$16</t>
  </si>
  <si>
    <t>Table20a!$AC$16</t>
  </si>
  <si>
    <t>Table20a!$AG$16</t>
  </si>
  <si>
    <t>Table20a!$AK$16</t>
  </si>
  <si>
    <t>Table20a!$AO$16</t>
  </si>
  <si>
    <t>Table20a!$U$17</t>
  </si>
  <si>
    <t>Table20a!$Y$17</t>
  </si>
  <si>
    <t>Table20a!$AC$17</t>
  </si>
  <si>
    <t>Table20a!$AG$17</t>
  </si>
  <si>
    <t>Table20a!$AK$17</t>
  </si>
  <si>
    <t>Table20a!$AO$17</t>
  </si>
  <si>
    <t>Table20a!$U$18</t>
  </si>
  <si>
    <t>Table20a!$Y$18</t>
  </si>
  <si>
    <t>Table20a!$AC$18</t>
  </si>
  <si>
    <t>Table20a!$AG$18</t>
  </si>
  <si>
    <t>Table20a!$AK$18</t>
  </si>
  <si>
    <t>Table20a!$AO$18</t>
  </si>
  <si>
    <t>Table20a!$U$19</t>
  </si>
  <si>
    <t>Table20a!$Y$19</t>
  </si>
  <si>
    <t>Table20a!$AC$19</t>
  </si>
  <si>
    <t>Table20a!$AG$19</t>
  </si>
  <si>
    <t>Table20a!$AK$19</t>
  </si>
  <si>
    <t>Table20a!$AO$19</t>
  </si>
  <si>
    <t>Table20a!$U$20</t>
  </si>
  <si>
    <t>Table20a!$Y$20</t>
  </si>
  <si>
    <t>Table20a!$AC$20</t>
  </si>
  <si>
    <t>Table20a!$AG$20</t>
  </si>
  <si>
    <t>Table20a!$AK$20</t>
  </si>
  <si>
    <t>Table20a!$AO$20</t>
  </si>
  <si>
    <t>Table20a!$U$21</t>
  </si>
  <si>
    <t>Table20a!$Y$21</t>
  </si>
  <si>
    <t>Table20a!$AC$21</t>
  </si>
  <si>
    <t>Table20a!$AG$21</t>
  </si>
  <si>
    <t>Table20a!$AK$21</t>
  </si>
  <si>
    <t>Table20a!$AO$21</t>
  </si>
  <si>
    <t>Table20a!$U$22</t>
  </si>
  <si>
    <t>Table20a!$Y$22</t>
  </si>
  <si>
    <t>Table20a!$AC$22</t>
  </si>
  <si>
    <t>Table20a!$AG$22</t>
  </si>
  <si>
    <t>Table20a!$AK$22</t>
  </si>
  <si>
    <t>Table20a!$AO$22</t>
  </si>
  <si>
    <t>Table20a!$U$23</t>
  </si>
  <si>
    <t>Table20a!$Y$23</t>
  </si>
  <si>
    <t>Table20a!$AC$23</t>
  </si>
  <si>
    <t>Table20a!$AG$23</t>
  </si>
  <si>
    <t>Table20a!$AK$23</t>
  </si>
  <si>
    <t>Table20a!$AO$23</t>
  </si>
  <si>
    <t>Table20a!$U$24</t>
  </si>
  <si>
    <t>Table20a!$Y$24</t>
  </si>
  <si>
    <t>Table20a!$AC$24</t>
  </si>
  <si>
    <t>Table20a!$AG$24</t>
  </si>
  <si>
    <t>Table20a!$AK$24</t>
  </si>
  <si>
    <t>Table20a!$AO$24</t>
  </si>
  <si>
    <t>Table20a!$U$25</t>
  </si>
  <si>
    <t>Table20a!$Y$25</t>
  </si>
  <si>
    <t>Table20a!$AC$25</t>
  </si>
  <si>
    <t>Table20a!$AG$25</t>
  </si>
  <si>
    <t>Table20a!$AK$25</t>
  </si>
  <si>
    <t>Table20a!$AO$25</t>
  </si>
  <si>
    <t>Table20a!$U$26</t>
  </si>
  <si>
    <t>Table20a!$Y$26</t>
  </si>
  <si>
    <t>Table20a!$AC$26</t>
  </si>
  <si>
    <t>Table20a!$AG$26</t>
  </si>
  <si>
    <t>Table20a!$AK$26</t>
  </si>
  <si>
    <t>Table20a!$AO$26</t>
  </si>
  <si>
    <t>Table20a!$U$27</t>
  </si>
  <si>
    <t>Table20a!$Y$27</t>
  </si>
  <si>
    <t>Table20a!$AC$27</t>
  </si>
  <si>
    <t>Table20a!$AG$27</t>
  </si>
  <si>
    <t>Table20a!$AK$27</t>
  </si>
  <si>
    <t>Table20a!$AO$27</t>
  </si>
  <si>
    <t>Table20a!$U$28</t>
  </si>
  <si>
    <t>Table20a!$Y$28</t>
  </si>
  <si>
    <t>Table20a!$AC$28</t>
  </si>
  <si>
    <t>Table20a!$AG$28</t>
  </si>
  <si>
    <t>Table20a!$AK$28</t>
  </si>
  <si>
    <t>Table20a!$AO$28</t>
  </si>
  <si>
    <t>Table20a!$U$29</t>
  </si>
  <si>
    <t>Table20a!$Y$29</t>
  </si>
  <si>
    <t>Table20a!$AC$29</t>
  </si>
  <si>
    <t>Table20a!$AG$29</t>
  </si>
  <si>
    <t>Table20a!$AK$29</t>
  </si>
  <si>
    <t>Table20a!$AO$29</t>
  </si>
  <si>
    <t>Table20a!$U$31</t>
  </si>
  <si>
    <t>Table20a!$Y$31</t>
  </si>
  <si>
    <t>Table20a!$AC$31</t>
  </si>
  <si>
    <t>Table20a!$AG$31</t>
  </si>
  <si>
    <t>Table20a!$AK$31</t>
  </si>
  <si>
    <t>Table20a!$AO$31</t>
  </si>
  <si>
    <t>Table20a!$U$32</t>
  </si>
  <si>
    <t>Table20a!$Y$32</t>
  </si>
  <si>
    <t>Table20a!$AC$32</t>
  </si>
  <si>
    <t>Table20a!$AG$32</t>
  </si>
  <si>
    <t>Table20a!$AK$32</t>
  </si>
  <si>
    <t>Table20a!$AO$32</t>
  </si>
  <si>
    <t>Table20a!$U$33</t>
  </si>
  <si>
    <t>Table20a!$Y$33</t>
  </si>
  <si>
    <t>Table20a!$AC$33</t>
  </si>
  <si>
    <t>Table20a!$AG$33</t>
  </si>
  <si>
    <t>Table20a!$AK$33</t>
  </si>
  <si>
    <t>Table20a!$AO$33</t>
  </si>
  <si>
    <t>Table20a!$U$34</t>
  </si>
  <si>
    <t>Table20a!$Y$34</t>
  </si>
  <si>
    <t>Table20a!$AC$34</t>
  </si>
  <si>
    <t>Table20a!$AG$34</t>
  </si>
  <si>
    <t>Table20a!$AK$34</t>
  </si>
  <si>
    <t>Table20a!$AO$34</t>
  </si>
  <si>
    <t>Table20a!$U$35</t>
  </si>
  <si>
    <t>Table20a!$Y$35</t>
  </si>
  <si>
    <t>Table20a!$AC$35</t>
  </si>
  <si>
    <t>Table20a!$AG$35</t>
  </si>
  <si>
    <t>Table20a!$AK$35</t>
  </si>
  <si>
    <t>Table20a!$AO$35</t>
  </si>
  <si>
    <t>Table20a!$U$36</t>
  </si>
  <si>
    <t>Table20a!$Y$36</t>
  </si>
  <si>
    <t>Table20a!$AC$36</t>
  </si>
  <si>
    <t>Table20a!$AG$36</t>
  </si>
  <si>
    <t>Table20a!$AK$36</t>
  </si>
  <si>
    <t>Table20a!$AO$36</t>
  </si>
  <si>
    <t>Table20a!$U$37</t>
  </si>
  <si>
    <t>Table20a!$Y$37</t>
  </si>
  <si>
    <t>Table20a!$AC$37</t>
  </si>
  <si>
    <t>Table20a!$AG$37</t>
  </si>
  <si>
    <t>Table20a!$AK$37</t>
  </si>
  <si>
    <t>Table20a!$AO$37</t>
  </si>
  <si>
    <t>Table20a!$U$38</t>
  </si>
  <si>
    <t>Table20a!$Y$38</t>
  </si>
  <si>
    <t>Table20a!$AC$38</t>
  </si>
  <si>
    <t>Table20a!$AG$38</t>
  </si>
  <si>
    <t>Table20a!$AK$38</t>
  </si>
  <si>
    <t>Table20a!$AO$38</t>
  </si>
  <si>
    <t>Table20a!$U$39</t>
  </si>
  <si>
    <t>Table20a!$Y$39</t>
  </si>
  <si>
    <t>Table20a!$AC$39</t>
  </si>
  <si>
    <t>Table20a!$AG$39</t>
  </si>
  <si>
    <t>Table20a!$AK$39</t>
  </si>
  <si>
    <t>Table20a!$AO$39</t>
  </si>
  <si>
    <t>Table20a!$U$40</t>
  </si>
  <si>
    <t>Table20a!$Y$40</t>
  </si>
  <si>
    <t>Table20a!$AC$40</t>
  </si>
  <si>
    <t>Table20a!$AG$40</t>
  </si>
  <si>
    <t>Table20a!$AK$40</t>
  </si>
  <si>
    <t>Table20a!$AO$40</t>
  </si>
  <si>
    <t>Table20a!$U$41</t>
  </si>
  <si>
    <t>Table20a!$Y$41</t>
  </si>
  <si>
    <t>Table20a!$AC$41</t>
  </si>
  <si>
    <t>Table20a!$AG$41</t>
  </si>
  <si>
    <t>Table20a!$AK$41</t>
  </si>
  <si>
    <t>Table20a!$AO$41</t>
  </si>
  <si>
    <t>Table20a!$U$42</t>
  </si>
  <si>
    <t>Table20a!$Y$42</t>
  </si>
  <si>
    <t>Table20a!$AC$42</t>
  </si>
  <si>
    <t>Table20a!$AG$42</t>
  </si>
  <si>
    <t>Table20a!$AK$42</t>
  </si>
  <si>
    <t>Table20a!$AO$42</t>
  </si>
  <si>
    <t>Table20a!$U$43</t>
  </si>
  <si>
    <t>Table20a!$Y$43</t>
  </si>
  <si>
    <t>Table20a!$AC$43</t>
  </si>
  <si>
    <t>Table20a!$AG$43</t>
  </si>
  <si>
    <t>Table20a!$AK$43</t>
  </si>
  <si>
    <t>Table20a!$AO$43</t>
  </si>
  <si>
    <t>Table20a!$U$44</t>
  </si>
  <si>
    <t>Table20a!$Y$44</t>
  </si>
  <si>
    <t>Table20a!$AC$44</t>
  </si>
  <si>
    <t>Table20a!$AG$44</t>
  </si>
  <si>
    <t>Table20a!$AK$44</t>
  </si>
  <si>
    <t>Table20a!$AO$44</t>
  </si>
  <si>
    <t>Table20a!$U$45</t>
  </si>
  <si>
    <t>Table20a!$Y$45</t>
  </si>
  <si>
    <t>Table20a!$AC$45</t>
  </si>
  <si>
    <t>Table20a!$AG$45</t>
  </si>
  <si>
    <t>Table20a!$AK$45</t>
  </si>
  <si>
    <t>Table20a!$AO$45</t>
  </si>
  <si>
    <t>Table20a!$U$46</t>
  </si>
  <si>
    <t>Table20a!$Y$46</t>
  </si>
  <si>
    <t>Table20a!$AC$46</t>
  </si>
  <si>
    <t>Table20a!$AG$46</t>
  </si>
  <si>
    <t>Table20a!$AK$46</t>
  </si>
  <si>
    <t>Table20a!$AO$46</t>
  </si>
  <si>
    <t>Table20a!$U$47</t>
  </si>
  <si>
    <t>Table20a!$Y$47</t>
  </si>
  <si>
    <t>Table20a!$AC$47</t>
  </si>
  <si>
    <t>Table20a!$AG$47</t>
  </si>
  <si>
    <t>Table20a!$AK$47</t>
  </si>
  <si>
    <t>Table20a!$AO$47</t>
  </si>
  <si>
    <t>Table20a!$U$48</t>
  </si>
  <si>
    <t>Table20a!$Y$48</t>
  </si>
  <si>
    <t>Table20a!$AC$48</t>
  </si>
  <si>
    <t>Table20a!$AG$48</t>
  </si>
  <si>
    <t>Table20a!$AK$48</t>
  </si>
  <si>
    <t>Table20a!$AO$48</t>
  </si>
  <si>
    <t>Table20a!$U$49</t>
  </si>
  <si>
    <t>Table20a!$Y$49</t>
  </si>
  <si>
    <t>Table20a!$AC$49</t>
  </si>
  <si>
    <t>Table20a!$AG$49</t>
  </si>
  <si>
    <t>Table20a!$AK$49</t>
  </si>
  <si>
    <t>Table20a!$AO$49</t>
  </si>
  <si>
    <t>tchrs_tesdanatlquali_indus_autoservicing_nc1</t>
  </si>
  <si>
    <t>tchrs_tesdanatlquali_indus_autoservicing_nc2</t>
  </si>
  <si>
    <t>tchrs_tesdanatlquali_indus_autoservicing_nc3</t>
  </si>
  <si>
    <t>tchrs_tesdanatlquali_indus_autoservicing_nc4</t>
  </si>
  <si>
    <t>tchrs_tesdanatlquali_indus_autoservicing_diploma</t>
  </si>
  <si>
    <t>tchrs_tesdanatlquali_indus_autoservicing_trainingmngt</t>
  </si>
  <si>
    <t>tchrs_tesdanatlquali_indus_carpentry_nc1</t>
  </si>
  <si>
    <t>tchrs_tesdanatlquali_indus_carpentry_nc2</t>
  </si>
  <si>
    <t>tchrs_tesdanatlquali_indus_carpentry_nc3</t>
  </si>
  <si>
    <t>tchrs_tesdanatlquali_indus_carpentry_nc4</t>
  </si>
  <si>
    <t>tchrs_tesdanatlquali_indus_carpentry_diploma</t>
  </si>
  <si>
    <t>tchrs_tesdanatlquali_indus_carpentry_trainingmngt</t>
  </si>
  <si>
    <t>tchrs_tesdanatlquali_indus_constpainting_nc1</t>
  </si>
  <si>
    <t>tchrs_tesdanatlquali_indus_constpainting_nc2</t>
  </si>
  <si>
    <t>tchrs_tesdanatlquali_indus_constpainting_nc3</t>
  </si>
  <si>
    <t>tchrs_tesdanatlquali_indus_constpainting_nc4</t>
  </si>
  <si>
    <t>tchrs_tesdanatlquali_indus_constpainting_diploma</t>
  </si>
  <si>
    <t>tchrs_tesdanatlquali_indus_constpainting_trainingmngt</t>
  </si>
  <si>
    <t>tchrs_tesdanatlquali_indus_conselecsrvcng_nc1</t>
  </si>
  <si>
    <t>tchrs_tesdanatlquali_indus_conselecsrvcng_nc2</t>
  </si>
  <si>
    <t>tchrs_tesdanatlquali_indus_conselecsrvcng_nc3</t>
  </si>
  <si>
    <t>tchrs_tesdanatlquali_indus_conselecsrvcng_nc4</t>
  </si>
  <si>
    <t>tchrs_tesdanatlquali_indus_conselecsrvcng_diploma</t>
  </si>
  <si>
    <t>tchrs_tesdanatlquali_indus_conselecsrvcng_trainingmngt</t>
  </si>
  <si>
    <t>tchrs_tesdanatlquali_indus_domarcservicing_nc1</t>
  </si>
  <si>
    <t>tchrs_tesdanatlquali_indus_domarcservicing_nc2</t>
  </si>
  <si>
    <t>tchrs_tesdanatlquali_indus_domarcservicing_nc3</t>
  </si>
  <si>
    <t>tchrs_tesdanatlquali_indus_domarcservicing_nc4</t>
  </si>
  <si>
    <t>tchrs_tesdanatlquali_indus_domarcservicing_diploma</t>
  </si>
  <si>
    <t>tchrs_tesdanatlquali_indus_domarcservicing_trainingmngt</t>
  </si>
  <si>
    <t>tchrs_tesdanatlquali_indus_driving_nc1</t>
  </si>
  <si>
    <t>tchrs_tesdanatlquali_indus_driving_nc2</t>
  </si>
  <si>
    <t>tchrs_tesdanatlquali_indus_driving_nc3</t>
  </si>
  <si>
    <t>tchrs_tesdanatlquali_indus_driving_nc4</t>
  </si>
  <si>
    <t>tchrs_tesdanatlquali_indus_driving_diploma</t>
  </si>
  <si>
    <t>tchrs_tesdanatlquali_indus_driving_trainingmngt</t>
  </si>
  <si>
    <t>tchrs_tesdanatlquali_indus_electricpower_nc1</t>
  </si>
  <si>
    <t>tchrs_tesdanatlquali_indus_electricpower_nc2</t>
  </si>
  <si>
    <t>tchrs_tesdanatlquali_indus_electricpower_nc3</t>
  </si>
  <si>
    <t>tchrs_tesdanatlquali_indus_electricpower_nc4</t>
  </si>
  <si>
    <t>tchrs_tesdanatlquali_indus_electricpower_diploma</t>
  </si>
  <si>
    <t>tchrs_tesdanatlquali_indus_electricpower_trainingmngt</t>
  </si>
  <si>
    <t>tchrs_tesdanatlquali_indus_electroprod_nc1</t>
  </si>
  <si>
    <t>tchrs_tesdanatlquali_indus_electroprod_nc2</t>
  </si>
  <si>
    <t>tchrs_tesdanatlquali_indus_electroprod_nc3</t>
  </si>
  <si>
    <t>tchrs_tesdanatlquali_indus_electroprod_nc4</t>
  </si>
  <si>
    <t>tchrs_tesdanatlquali_indus_electroprod_diploma</t>
  </si>
  <si>
    <t>tchrs_tesdanatlquali_indus_electroprod_trainingmngt</t>
  </si>
  <si>
    <t>tchrs_tesdanatlquali_indus_electricinst_nc1</t>
  </si>
  <si>
    <t>tchrs_tesdanatlquali_indus_electricinst_nc2</t>
  </si>
  <si>
    <t>tchrs_tesdanatlquali_indus_electricinst_nc3</t>
  </si>
  <si>
    <t>tchrs_tesdanatlquali_indus_electricinst_nc4</t>
  </si>
  <si>
    <t>tchrs_tesdanatlquali_indus_electricinst_diploma</t>
  </si>
  <si>
    <t>tchrs_tesdanatlquali_indus_electricinst_trainingmngt</t>
  </si>
  <si>
    <t>tchrs_tesdanatlquali_indus_furnituremkng_nc1</t>
  </si>
  <si>
    <t>tchrs_tesdanatlquali_indus_furnituremkng_nc2</t>
  </si>
  <si>
    <t>tchrs_tesdanatlquali_indus_furnituremkng_nc3</t>
  </si>
  <si>
    <t>tchrs_tesdanatlquali_indus_furnituremkng_nc4</t>
  </si>
  <si>
    <t>tchrs_tesdanatlquali_indus_furnituremkng_diploma</t>
  </si>
  <si>
    <t>tchrs_tesdanatlquali_indus_furnituremkng_trainingmngt</t>
  </si>
  <si>
    <t>tchrs_tesdanatlquali_indus_instncontrol_nc1</t>
  </si>
  <si>
    <t>tchrs_tesdanatlquali_indus_instncontrol_nc2</t>
  </si>
  <si>
    <t>tchrs_tesdanatlquali_indus_instncontrol_nc3</t>
  </si>
  <si>
    <t>tchrs_tesdanatlquali_indus_instncontrol_nc4</t>
  </si>
  <si>
    <t>tchrs_tesdanatlquali_indus_instncontrol_diploma</t>
  </si>
  <si>
    <t>tchrs_tesdanatlquali_indus_instncontrol_trainingmngt</t>
  </si>
  <si>
    <t>tchrs_tesdanatlquali_indus_gmaw_nc1</t>
  </si>
  <si>
    <t>tchrs_tesdanatlquali_indus_gmaw_nc2</t>
  </si>
  <si>
    <t>tchrs_tesdanatlquali_indus_gmaw_nc3</t>
  </si>
  <si>
    <t>tchrs_tesdanatlquali_indus_gmaw_nc4</t>
  </si>
  <si>
    <t>tchrs_tesdanatlquali_indus_gmaw_diploma</t>
  </si>
  <si>
    <t>tchrs_tesdanatlquali_indus_gmaw_trainingmngt</t>
  </si>
  <si>
    <t>tchrs_tesdanatlquali_indus_gtaw_nc1</t>
  </si>
  <si>
    <t>tchrs_tesdanatlquali_indus_gtaw_nc2</t>
  </si>
  <si>
    <t>tchrs_tesdanatlquali_indus_gtaw_nc3</t>
  </si>
  <si>
    <t>tchrs_tesdanatlquali_indus_gtaw_nc4</t>
  </si>
  <si>
    <t>tchrs_tesdanatlquali_indus_gtaw_diploma</t>
  </si>
  <si>
    <t>tchrs_tesdanatlquali_indus_gtaw_trainingmngt</t>
  </si>
  <si>
    <t>tchrs_tesdanatlquali_indus_machining_nc1</t>
  </si>
  <si>
    <t>tchrs_tesdanatlquali_indus_machining_nc2</t>
  </si>
  <si>
    <t>tchrs_tesdanatlquali_indus_machining_nc3</t>
  </si>
  <si>
    <t>tchrs_tesdanatlquali_indus_machining_nc4</t>
  </si>
  <si>
    <t>tchrs_tesdanatlquali_indus_machining_diploma</t>
  </si>
  <si>
    <t>tchrs_tesdanatlquali_indus_machining_trainingmngt</t>
  </si>
  <si>
    <t>tchrs_tesdanatlquali_indus_masonry_nc1</t>
  </si>
  <si>
    <t>tchrs_tesdanatlquali_indus_masonry_nc2</t>
  </si>
  <si>
    <t>tchrs_tesdanatlquali_indus_masonry_nc3</t>
  </si>
  <si>
    <t>tchrs_tesdanatlquali_indus_masonry_nc4</t>
  </si>
  <si>
    <t>tchrs_tesdanatlquali_indus_masonry_diploma</t>
  </si>
  <si>
    <t>tchrs_tesdanatlquali_indus_masonry_trainingmngt</t>
  </si>
  <si>
    <t>tchrs_tesdanatlquali_indus_mechservicing_nc1</t>
  </si>
  <si>
    <t>tchrs_tesdanatlquali_indus_mechservicing_nc2</t>
  </si>
  <si>
    <t>tchrs_tesdanatlquali_indus_mechservicing_nc3</t>
  </si>
  <si>
    <t>tchrs_tesdanatlquali_indus_mechservicing_nc4</t>
  </si>
  <si>
    <t>tchrs_tesdanatlquali_indus_mechservicing_diploma</t>
  </si>
  <si>
    <t>tchrs_tesdanatlquali_indus_mechservicing_trainingmngt</t>
  </si>
  <si>
    <t>tchrs_tesdanatlquali_indus_motorcycleservicing_nc1</t>
  </si>
  <si>
    <t>tchrs_tesdanatlquali_indus_motorcycleservicing_nc2</t>
  </si>
  <si>
    <t>tchrs_tesdanatlquali_indus_motorcycleservicing_nc3</t>
  </si>
  <si>
    <t>tchrs_tesdanatlquali_indus_motorcycleservicing_nc4</t>
  </si>
  <si>
    <t>tchrs_tesdanatlquali_indus_motorcycleservicing_diploma</t>
  </si>
  <si>
    <t>tchrs_tesdanatlquali_indus_motorcycleservicing_trainingmngt</t>
  </si>
  <si>
    <t>tchrs_tesdanatlquali_indus_plumbing_nc1</t>
  </si>
  <si>
    <t>tchrs_tesdanatlquali_indus_plumbing_nc2</t>
  </si>
  <si>
    <t>tchrs_tesdanatlquali_indus_plumbing_nc3</t>
  </si>
  <si>
    <t>tchrs_tesdanatlquali_indus_plumbing_nc4</t>
  </si>
  <si>
    <t>tchrs_tesdanatlquali_indus_plumbing_diploma</t>
  </si>
  <si>
    <t>tchrs_tesdanatlquali_indus_plumbing_trainingmngt</t>
  </si>
  <si>
    <t>tchrs_tesdanatlquali_indus_pacuncre_nc1</t>
  </si>
  <si>
    <t>tchrs_tesdanatlquali_indus_pacuncre_nc2</t>
  </si>
  <si>
    <t>tchrs_tesdanatlquali_indus_pacuncre_nc3</t>
  </si>
  <si>
    <t>tchrs_tesdanatlquali_indus_pacuncre_nc4</t>
  </si>
  <si>
    <t>tchrs_tesdanatlquali_indus_pacuncre_diploma</t>
  </si>
  <si>
    <t>tchrs_tesdanatlquali_indus_pacuncre_trainingmngt</t>
  </si>
  <si>
    <t>tchrs_tesdanatlquali_indus_shieldedwelding_nc1</t>
  </si>
  <si>
    <t>tchrs_tesdanatlquali_indus_shieldedwelding_nc2</t>
  </si>
  <si>
    <t>tchrs_tesdanatlquali_indus_shieldedwelding_nc3</t>
  </si>
  <si>
    <t>tchrs_tesdanatlquali_indus_shieldedwelding_nc4</t>
  </si>
  <si>
    <t>tchrs_tesdanatlquali_indus_shieldedwelding_diploma</t>
  </si>
  <si>
    <t>tchrs_tesdanatlquali_indus_shieldedwelding_trainingmngt</t>
  </si>
  <si>
    <t>tchrs_tesdanatlquali_indus_tilesetting_nc1</t>
  </si>
  <si>
    <t>tchrs_tesdanatlquali_indus_tilesetting_nc2</t>
  </si>
  <si>
    <t>tchrs_tesdanatlquali_indus_tilesetting_nc3</t>
  </si>
  <si>
    <t>tchrs_tesdanatlquali_indus_tilesetting_nc4</t>
  </si>
  <si>
    <t>tchrs_tesdanatlquali_indus_tilesetting_diploma</t>
  </si>
  <si>
    <t>tchrs_tesdanatlquali_indus_tilesetting_trainingmngt</t>
  </si>
  <si>
    <t>tchrs_tesdanatlquali_indus_translineinstmain_nc1</t>
  </si>
  <si>
    <t>tchrs_tesdanatlquali_indus_translineinstmain_nc2</t>
  </si>
  <si>
    <t>tchrs_tesdanatlquali_indus_translineinstmain_nc3</t>
  </si>
  <si>
    <t>tchrs_tesdanatlquali_indus_translineinstmain_nc4</t>
  </si>
  <si>
    <t>tchrs_tesdanatlquali_indus_translineinstmain_diploma</t>
  </si>
  <si>
    <t>tchrs_tesdanatlquali_indus_translineinstmain_trainingmngt</t>
  </si>
  <si>
    <t>tchrs_tesdanatlquali_ict_animation_nc1</t>
  </si>
  <si>
    <t>tchrs_tesdanatlquali_ict_animation_nc2</t>
  </si>
  <si>
    <t>tchrs_tesdanatlquali_ict_animation_nc3</t>
  </si>
  <si>
    <t>tchrs_tesdanatlquali_ict_animation_nc4</t>
  </si>
  <si>
    <t>tchrs_tesdanatlquali_ict_animation_diploma</t>
  </si>
  <si>
    <t>tchrs_tesdanatlquali_ict_animation_trainingmngt</t>
  </si>
  <si>
    <t>tchrs_tesdanatlquali_ict_broadbandinst_nc1</t>
  </si>
  <si>
    <t>tchrs_tesdanatlquali_ict_broadbandinst_nc2</t>
  </si>
  <si>
    <t>tchrs_tesdanatlquali_ict_broadbandinst_nc3</t>
  </si>
  <si>
    <t>tchrs_tesdanatlquali_ict_broadbandinst_nc4</t>
  </si>
  <si>
    <t>tchrs_tesdanatlquali_ict_broadbandinst_diploma</t>
  </si>
  <si>
    <t>tchrs_tesdanatlquali_ict_broadbandinst_trainingmngt</t>
  </si>
  <si>
    <t>tchrs_tesdanatlquali_ict_comphardwaresrvcing_nc1</t>
  </si>
  <si>
    <t>tchrs_tesdanatlquali_ict_comphardwaresrvcing_nc2</t>
  </si>
  <si>
    <t>tchrs_tesdanatlquali_ict_comphardwaresrvcing_nc3</t>
  </si>
  <si>
    <t>tchrs_tesdanatlquali_ict_comphardwaresrvcing_nc4</t>
  </si>
  <si>
    <t>tchrs_tesdanatlquali_ict_comphardwaresrvcing_diploma</t>
  </si>
  <si>
    <t>tchrs_tesdanatlquali_ict_comphardwaresrvcing_trainingmngt</t>
  </si>
  <si>
    <t>tchrs_tesdanatlquali_ict_compprogramnciv_nc1</t>
  </si>
  <si>
    <t>tchrs_tesdanatlquali_ict_compprogramnciv_nc2</t>
  </si>
  <si>
    <t>tchrs_tesdanatlquali_ict_compprogramnciv_nc3</t>
  </si>
  <si>
    <t>tchrs_tesdanatlquali_ict_compprogramnciv_nc4</t>
  </si>
  <si>
    <t>tchrs_tesdanatlquali_ict_compprogramnciv_diploma</t>
  </si>
  <si>
    <t>tchrs_tesdanatlquali_ict_compprogramnciv_trainingmngt</t>
  </si>
  <si>
    <t>tchrs_tesdanatlquali_ict_conttactservices_nc1</t>
  </si>
  <si>
    <t>tchrs_tesdanatlquali_ict_conttactservices_nc2</t>
  </si>
  <si>
    <t>tchrs_tesdanatlquali_ict_conttactservices_nc3</t>
  </si>
  <si>
    <t>tchrs_tesdanatlquali_ict_conttactservices_nc4</t>
  </si>
  <si>
    <t>tchrs_tesdanatlquali_ict_conttactservices_diploma</t>
  </si>
  <si>
    <t>tchrs_tesdanatlquali_ict_conttactservices_trainingmngt</t>
  </si>
  <si>
    <t>tchrs_tesdanatlquali_ict_illustration_nc1</t>
  </si>
  <si>
    <t>tchrs_tesdanatlquali_ict_illustration_nc2</t>
  </si>
  <si>
    <t>tchrs_tesdanatlquali_ict_illustration_nc3</t>
  </si>
  <si>
    <t>tchrs_tesdanatlquali_ict_illustration_nc4</t>
  </si>
  <si>
    <t>tchrs_tesdanatlquali_ict_illustration_diploma</t>
  </si>
  <si>
    <t>tchrs_tesdanatlquali_ict_illustration_trainingmngt</t>
  </si>
  <si>
    <t>tchrs_tesdanatlquali_ict_medtranscription_nc1</t>
  </si>
  <si>
    <t>tchrs_tesdanatlquali_ict_medtranscription_nc2</t>
  </si>
  <si>
    <t>tchrs_tesdanatlquali_ict_medtranscription_nc3</t>
  </si>
  <si>
    <t>tchrs_tesdanatlquali_ict_medtranscription_nc4</t>
  </si>
  <si>
    <t>tchrs_tesdanatlquali_ict_medtranscription_diploma</t>
  </si>
  <si>
    <t>tchrs_tesdanatlquali_ict_medtranscription_trainingmngt</t>
  </si>
  <si>
    <t>tchrs_tesdanatlquali_ict_techdrafting_nc1</t>
  </si>
  <si>
    <t>tchrs_tesdanatlquali_ict_techdrafting_nc2</t>
  </si>
  <si>
    <t>tchrs_tesdanatlquali_ict_techdrafting_nc3</t>
  </si>
  <si>
    <t>tchrs_tesdanatlquali_ict_techdrafting_nc4</t>
  </si>
  <si>
    <t>tchrs_tesdanatlquali_ict_techdrafting_diploma</t>
  </si>
  <si>
    <t>tchrs_tesdanatlquali_ict_techdrafting_trainingmngt</t>
  </si>
  <si>
    <t>tchrs_tesdanatlquali_ict_telcomosppotsndsl_nc1</t>
  </si>
  <si>
    <t>tchrs_tesdanatlquali_ict_telcomosppotsndsl_nc2</t>
  </si>
  <si>
    <t>tchrs_tesdanatlquali_ict_telcomosppotsndsl_nc3</t>
  </si>
  <si>
    <t>tchrs_tesdanatlquali_ict_telcomosppotsndsl_nc4</t>
  </si>
  <si>
    <t>tchrs_tesdanatlquali_ict_telcomosppotsndsl_diploma</t>
  </si>
  <si>
    <t>tchrs_tesdanatlquali_ict_telcomosppotsndsl_trainingmngt</t>
  </si>
  <si>
    <t>tchrs_tesdanatlquali_ict_telcomospinst_nc1</t>
  </si>
  <si>
    <t>tchrs_tesdanatlquali_ict_telcomospinst_nc2</t>
  </si>
  <si>
    <t>tchrs_tesdanatlquali_ict_telcomospinst_nc3</t>
  </si>
  <si>
    <t>tchrs_tesdanatlquali_ict_telcomospinst_nc4</t>
  </si>
  <si>
    <t>tchrs_tesdanatlquali_ict_telcomospinst_diploma</t>
  </si>
  <si>
    <t>tchrs_tesdanatlquali_ict_telcomospinst_trainingmngt</t>
  </si>
  <si>
    <t>tchrs_tesdanatlquali_tvl_naviwatch_nc1</t>
  </si>
  <si>
    <t>tchrs_tesdanatlquali_tvl_naviwatch_nc2</t>
  </si>
  <si>
    <t>tchrs_tesdanatlquali_tvl_naviwatch_nc3</t>
  </si>
  <si>
    <t>tchrs_tesdanatlquali_tvl_naviwatch_nc4</t>
  </si>
  <si>
    <t>tchrs_tesdanatlquali_tvl_naviwatch_diploma</t>
  </si>
  <si>
    <t>tchrs_tesdanatlquali_tvl_naviwatch_trainingmngt</t>
  </si>
  <si>
    <t>tchrs_tesdanatlquali_tvl_enginewatch_nc1</t>
  </si>
  <si>
    <t>tchrs_tesdanatlquali_tvl_enginewatch_nc2</t>
  </si>
  <si>
    <t>tchrs_tesdanatlquali_tvl_enginewatch_nc3</t>
  </si>
  <si>
    <t>tchrs_tesdanatlquali_tvl_enginewatch_nc4</t>
  </si>
  <si>
    <t>tchrs_tesdanatlquali_tvl_enginewatch_diploma</t>
  </si>
  <si>
    <t>tchrs_tesdanatlquali_tvl_enginewatch_trainingmngt</t>
  </si>
  <si>
    <t>tchrs_tesdanatlquali_tvl_safety_nc1</t>
  </si>
  <si>
    <t>tchrs_tesdanatlquali_tvl_safety_nc2</t>
  </si>
  <si>
    <t>tchrs_tesdanatlquali_tvl_safety_nc3</t>
  </si>
  <si>
    <t>tchrs_tesdanatlquali_tvl_safety_nc4</t>
  </si>
  <si>
    <t>tchrs_tesdanatlquali_tvl_safety_diploma</t>
  </si>
  <si>
    <t>tchrs_tesdanatlquali_tvl_safety_trainingmngt</t>
  </si>
  <si>
    <t>tchrs_tesdanatlquali_tvl_shipcatering_nc1</t>
  </si>
  <si>
    <t>tchrs_tesdanatlquali_tvl_shipcatering_nc2</t>
  </si>
  <si>
    <t>tchrs_tesdanatlquali_tvl_shipcatering_nc3</t>
  </si>
  <si>
    <t>tchrs_tesdanatlquali_tvl_shipcatering_nc4</t>
  </si>
  <si>
    <t>tchrs_tesdanatlquali_tvl_shipcatering_diploma</t>
  </si>
  <si>
    <t>tchrs_tesdanatlquali_tvl_shipcatering_trainingmngt</t>
  </si>
  <si>
    <t>Table20b!$U$6</t>
  </si>
  <si>
    <t>Table20b!$Y$6</t>
  </si>
  <si>
    <t>Table20b!$AC$6</t>
  </si>
  <si>
    <t>Table20b!$AG$6</t>
  </si>
  <si>
    <t>Table20b!$AK$6</t>
  </si>
  <si>
    <t>Table20b!$AO$6</t>
  </si>
  <si>
    <t>Table20b!$U$7</t>
  </si>
  <si>
    <t>Table20b!$Y$7</t>
  </si>
  <si>
    <t>Table20b!$AC$7</t>
  </si>
  <si>
    <t>Table20b!$AG$7</t>
  </si>
  <si>
    <t>Table20b!$AK$7</t>
  </si>
  <si>
    <t>Table20b!$AO$7</t>
  </si>
  <si>
    <t>Table20b!$U$8</t>
  </si>
  <si>
    <t>Table20b!$Y$8</t>
  </si>
  <si>
    <t>Table20b!$AC$8</t>
  </si>
  <si>
    <t>Table20b!$AG$8</t>
  </si>
  <si>
    <t>Table20b!$AK$8</t>
  </si>
  <si>
    <t>Table20b!$AO$8</t>
  </si>
  <si>
    <t>Table20b!$U$9</t>
  </si>
  <si>
    <t>Table20b!$Y$9</t>
  </si>
  <si>
    <t>Table20b!$AC$9</t>
  </si>
  <si>
    <t>Table20b!$AG$9</t>
  </si>
  <si>
    <t>Table20b!$AK$9</t>
  </si>
  <si>
    <t>Table20b!$AO$9</t>
  </si>
  <si>
    <t>Table20b!$U$10</t>
  </si>
  <si>
    <t>Table20b!$Y$10</t>
  </si>
  <si>
    <t>Table20b!$AC$10</t>
  </si>
  <si>
    <t>Table20b!$AG$10</t>
  </si>
  <si>
    <t>Table20b!$AK$10</t>
  </si>
  <si>
    <t>Table20b!$AO$10</t>
  </si>
  <si>
    <t>Table20b!$U$11</t>
  </si>
  <si>
    <t>Table20b!$Y$11</t>
  </si>
  <si>
    <t>Table20b!$AC$11</t>
  </si>
  <si>
    <t>Table20b!$AG$11</t>
  </si>
  <si>
    <t>Table20b!$AK$11</t>
  </si>
  <si>
    <t>Table20b!$AO$11</t>
  </si>
  <si>
    <t>Table20b!$U$12</t>
  </si>
  <si>
    <t>Table20b!$Y$12</t>
  </si>
  <si>
    <t>Table20b!$AC$12</t>
  </si>
  <si>
    <t>Table20b!$AG$12</t>
  </si>
  <si>
    <t>Table20b!$AK$12</t>
  </si>
  <si>
    <t>Table20b!$AO$12</t>
  </si>
  <si>
    <t>Table20b!$U$13</t>
  </si>
  <si>
    <t>Table20b!$Y$13</t>
  </si>
  <si>
    <t>Table20b!$AC$13</t>
  </si>
  <si>
    <t>Table20b!$AG$13</t>
  </si>
  <si>
    <t>Table20b!$AK$13</t>
  </si>
  <si>
    <t>Table20b!$AO$13</t>
  </si>
  <si>
    <t>Table20b!$U$14</t>
  </si>
  <si>
    <t>Table20b!$Y$14</t>
  </si>
  <si>
    <t>Table20b!$AC$14</t>
  </si>
  <si>
    <t>Table20b!$AG$14</t>
  </si>
  <si>
    <t>Table20b!$AK$14</t>
  </si>
  <si>
    <t>Table20b!$AO$14</t>
  </si>
  <si>
    <t>Table20b!$U$15</t>
  </si>
  <si>
    <t>Table20b!$Y$15</t>
  </si>
  <si>
    <t>Table20b!$AC$15</t>
  </si>
  <si>
    <t>Table20b!$AG$15</t>
  </si>
  <si>
    <t>Table20b!$AK$15</t>
  </si>
  <si>
    <t>Table20b!$AO$15</t>
  </si>
  <si>
    <t>Table20b!$U$16</t>
  </si>
  <si>
    <t>Table20b!$Y$16</t>
  </si>
  <si>
    <t>Table20b!$AC$16</t>
  </si>
  <si>
    <t>Table20b!$AG$16</t>
  </si>
  <si>
    <t>Table20b!$AK$16</t>
  </si>
  <si>
    <t>Table20b!$AO$16</t>
  </si>
  <si>
    <t>Table20b!$U$17</t>
  </si>
  <si>
    <t>Table20b!$Y$17</t>
  </si>
  <si>
    <t>Table20b!$AC$17</t>
  </si>
  <si>
    <t>Table20b!$AG$17</t>
  </si>
  <si>
    <t>Table20b!$AK$17</t>
  </si>
  <si>
    <t>Table20b!$AO$17</t>
  </si>
  <si>
    <t>Table20b!$U$18</t>
  </si>
  <si>
    <t>Table20b!$Y$18</t>
  </si>
  <si>
    <t>Table20b!$AC$18</t>
  </si>
  <si>
    <t>Table20b!$AG$18</t>
  </si>
  <si>
    <t>Table20b!$AK$18</t>
  </si>
  <si>
    <t>Table20b!$AO$18</t>
  </si>
  <si>
    <t>Table20b!$U$19</t>
  </si>
  <si>
    <t>Table20b!$Y$19</t>
  </si>
  <si>
    <t>Table20b!$AC$19</t>
  </si>
  <si>
    <t>Table20b!$AG$19</t>
  </si>
  <si>
    <t>Table20b!$AK$19</t>
  </si>
  <si>
    <t>Table20b!$AO$19</t>
  </si>
  <si>
    <t>Table20b!$U$20</t>
  </si>
  <si>
    <t>Table20b!$Y$20</t>
  </si>
  <si>
    <t>Table20b!$AC$20</t>
  </si>
  <si>
    <t>Table20b!$AG$20</t>
  </si>
  <si>
    <t>Table20b!$AK$20</t>
  </si>
  <si>
    <t>Table20b!$AO$20</t>
  </si>
  <si>
    <t>Table20b!$U$21</t>
  </si>
  <si>
    <t>Table20b!$Y$21</t>
  </si>
  <si>
    <t>Table20b!$AC$21</t>
  </si>
  <si>
    <t>Table20b!$AG$21</t>
  </si>
  <si>
    <t>Table20b!$AK$21</t>
  </si>
  <si>
    <t>Table20b!$AO$21</t>
  </si>
  <si>
    <t>Table20b!$U$22</t>
  </si>
  <si>
    <t>Table20b!$Y$22</t>
  </si>
  <si>
    <t>Table20b!$AC$22</t>
  </si>
  <si>
    <t>Table20b!$AG$22</t>
  </si>
  <si>
    <t>Table20b!$AK$22</t>
  </si>
  <si>
    <t>Table20b!$AO$22</t>
  </si>
  <si>
    <t>Table20b!$U$23</t>
  </si>
  <si>
    <t>Table20b!$Y$23</t>
  </si>
  <si>
    <t>Table20b!$AC$23</t>
  </si>
  <si>
    <t>Table20b!$AG$23</t>
  </si>
  <si>
    <t>Table20b!$AK$23</t>
  </si>
  <si>
    <t>Table20b!$AO$23</t>
  </si>
  <si>
    <t>Table20b!$U$24</t>
  </si>
  <si>
    <t>Table20b!$Y$24</t>
  </si>
  <si>
    <t>Table20b!$AC$24</t>
  </si>
  <si>
    <t>Table20b!$AG$24</t>
  </si>
  <si>
    <t>Table20b!$AK$24</t>
  </si>
  <si>
    <t>Table20b!$AO$24</t>
  </si>
  <si>
    <t>Table20b!$U$25</t>
  </si>
  <si>
    <t>Table20b!$Y$25</t>
  </si>
  <si>
    <t>Table20b!$AC$25</t>
  </si>
  <si>
    <t>Table20b!$AG$25</t>
  </si>
  <si>
    <t>Table20b!$AK$25</t>
  </si>
  <si>
    <t>Table20b!$AO$25</t>
  </si>
  <si>
    <t>Table20b!$U$26</t>
  </si>
  <si>
    <t>Table20b!$Y$26</t>
  </si>
  <si>
    <t>Table20b!$AC$26</t>
  </si>
  <si>
    <t>Table20b!$AG$26</t>
  </si>
  <si>
    <t>Table20b!$AK$26</t>
  </si>
  <si>
    <t>Table20b!$AO$26</t>
  </si>
  <si>
    <t>Table20b!$U$27</t>
  </si>
  <si>
    <t>Table20b!$Y$27</t>
  </si>
  <si>
    <t>Table20b!$AC$27</t>
  </si>
  <si>
    <t>Table20b!$AG$27</t>
  </si>
  <si>
    <t>Table20b!$AK$27</t>
  </si>
  <si>
    <t>Table20b!$AO$27</t>
  </si>
  <si>
    <t>Table20b!$U$29</t>
  </si>
  <si>
    <t>Table20b!$Y$29</t>
  </si>
  <si>
    <t>Table20b!$AC$29</t>
  </si>
  <si>
    <t>Table20b!$AG$29</t>
  </si>
  <si>
    <t>Table20b!$AK$29</t>
  </si>
  <si>
    <t>Table20b!$AO$29</t>
  </si>
  <si>
    <t>Table20b!$U$30</t>
  </si>
  <si>
    <t>Table20b!$Y$30</t>
  </si>
  <si>
    <t>Table20b!$AC$30</t>
  </si>
  <si>
    <t>Table20b!$AG$30</t>
  </si>
  <si>
    <t>Table20b!$AK$30</t>
  </si>
  <si>
    <t>Table20b!$AO$30</t>
  </si>
  <si>
    <t>Table20b!$U$31</t>
  </si>
  <si>
    <t>Table20b!$Y$31</t>
  </si>
  <si>
    <t>Table20b!$AC$31</t>
  </si>
  <si>
    <t>Table20b!$AG$31</t>
  </si>
  <si>
    <t>Table20b!$AK$31</t>
  </si>
  <si>
    <t>Table20b!$AO$31</t>
  </si>
  <si>
    <t>Table20b!$U$32</t>
  </si>
  <si>
    <t>Table20b!$Y$32</t>
  </si>
  <si>
    <t>Table20b!$AC$32</t>
  </si>
  <si>
    <t>Table20b!$AG$32</t>
  </si>
  <si>
    <t>Table20b!$AK$32</t>
  </si>
  <si>
    <t>Table20b!$AO$32</t>
  </si>
  <si>
    <t>Table20b!$U$33</t>
  </si>
  <si>
    <t>Table20b!$Y$33</t>
  </si>
  <si>
    <t>Table20b!$AC$33</t>
  </si>
  <si>
    <t>Table20b!$AG$33</t>
  </si>
  <si>
    <t>Table20b!$AK$33</t>
  </si>
  <si>
    <t>Table20b!$AO$33</t>
  </si>
  <si>
    <t>Table20b!$U$34</t>
  </si>
  <si>
    <t>Table20b!$Y$34</t>
  </si>
  <si>
    <t>Table20b!$AC$34</t>
  </si>
  <si>
    <t>Table20b!$AG$34</t>
  </si>
  <si>
    <t>Table20b!$AK$34</t>
  </si>
  <si>
    <t>Table20b!$AO$34</t>
  </si>
  <si>
    <t>Table20b!$U$35</t>
  </si>
  <si>
    <t>Table20b!$Y$35</t>
  </si>
  <si>
    <t>Table20b!$AC$35</t>
  </si>
  <si>
    <t>Table20b!$AG$35</t>
  </si>
  <si>
    <t>Table20b!$AK$35</t>
  </si>
  <si>
    <t>Table20b!$AO$35</t>
  </si>
  <si>
    <t>Table20b!$U$36</t>
  </si>
  <si>
    <t>Table20b!$Y$36</t>
  </si>
  <si>
    <t>Table20b!$AC$36</t>
  </si>
  <si>
    <t>Table20b!$AG$36</t>
  </si>
  <si>
    <t>Table20b!$AK$36</t>
  </si>
  <si>
    <t>Table20b!$AO$36</t>
  </si>
  <si>
    <t>Table20b!$U$37</t>
  </si>
  <si>
    <t>Table20b!$Y$37</t>
  </si>
  <si>
    <t>Table20b!$AC$37</t>
  </si>
  <si>
    <t>Table20b!$AG$37</t>
  </si>
  <si>
    <t>Table20b!$AK$37</t>
  </si>
  <si>
    <t>Table20b!$AO$37</t>
  </si>
  <si>
    <t>Table20b!$U$38</t>
  </si>
  <si>
    <t>Table20b!$Y$38</t>
  </si>
  <si>
    <t>Table20b!$AC$38</t>
  </si>
  <si>
    <t>Table20b!$AG$38</t>
  </si>
  <si>
    <t>Table20b!$AK$38</t>
  </si>
  <si>
    <t>Table20b!$AO$38</t>
  </si>
  <si>
    <t>Table20b!$U$40</t>
  </si>
  <si>
    <t>Table20b!$Y$40</t>
  </si>
  <si>
    <t>Table20b!$AC$40</t>
  </si>
  <si>
    <t>Table20b!$AG$40</t>
  </si>
  <si>
    <t>Table20b!$AK$40</t>
  </si>
  <si>
    <t>Table20b!$AO$40</t>
  </si>
  <si>
    <t>Table20b!$U$41</t>
  </si>
  <si>
    <t>Table20b!$Y$41</t>
  </si>
  <si>
    <t>Table20b!$AC$41</t>
  </si>
  <si>
    <t>Table20b!$AG$41</t>
  </si>
  <si>
    <t>Table20b!$AK$41</t>
  </si>
  <si>
    <t>Table20b!$AO$41</t>
  </si>
  <si>
    <t>Table20b!$U$42</t>
  </si>
  <si>
    <t>Table20b!$Y$42</t>
  </si>
  <si>
    <t>Table20b!$AC$42</t>
  </si>
  <si>
    <t>Table20b!$AG$42</t>
  </si>
  <si>
    <t>Table20b!$AK$42</t>
  </si>
  <si>
    <t>Table20b!$AO$42</t>
  </si>
  <si>
    <t>Table20b!$U$43</t>
  </si>
  <si>
    <t>Table20b!$Y$43</t>
  </si>
  <si>
    <t>Table20b!$AC$43</t>
  </si>
  <si>
    <t>Table20b!$AG$43</t>
  </si>
  <si>
    <t>Table20b!$AK$43</t>
  </si>
  <si>
    <t>Table20b!$AO$43</t>
  </si>
  <si>
    <t>lac_session_yes</t>
  </si>
  <si>
    <t>shs_lac_session</t>
  </si>
  <si>
    <t>Boxes1-2'!$Q$5</t>
  </si>
  <si>
    <t>lac_session_last_sy</t>
  </si>
  <si>
    <t>Boxes1-2'!$Q$7</t>
  </si>
  <si>
    <t>lac_session_current_sy</t>
  </si>
  <si>
    <t>Boxes1-2'!$Q$8</t>
  </si>
  <si>
    <t>cid_personnel_name</t>
  </si>
  <si>
    <t>Boxes1-2'!$AD$6</t>
  </si>
  <si>
    <t>cid_personnel_pos</t>
  </si>
  <si>
    <t>Boxes1-2'!$AH$8</t>
  </si>
  <si>
    <t>action_research_yes</t>
  </si>
  <si>
    <t>shs_action_research</t>
  </si>
  <si>
    <t>Boxes1-2!$Q$16</t>
  </si>
  <si>
    <t>action_research_sy_1819</t>
  </si>
  <si>
    <t>Boxes1-2!$N$18</t>
  </si>
  <si>
    <t>action_research_ongoing</t>
  </si>
  <si>
    <t>Boxes1-2!$N$19</t>
  </si>
  <si>
    <t>action_research_tobe_conducted</t>
  </si>
  <si>
    <t>Boxes1-2!$N$20</t>
  </si>
  <si>
    <t>sch_seps_name_prs_sgod</t>
  </si>
  <si>
    <t>sch_sgp_spgcouncil_yes</t>
  </si>
  <si>
    <t>shs_school_government</t>
  </si>
  <si>
    <t>Boxes3-5'!$Z$5</t>
  </si>
  <si>
    <t>sch_sgp_spgadviser_yes</t>
  </si>
  <si>
    <t>Boxes3-5'!$Z$6</t>
  </si>
  <si>
    <t>sch_sgp_spgadviser_yes_num_advisers</t>
  </si>
  <si>
    <t>Boxes3-5'!$Z$7</t>
  </si>
  <si>
    <t>sch_spgadviser_subjhandle_sci</t>
  </si>
  <si>
    <t>Boxes3-5'!$G$9</t>
  </si>
  <si>
    <t>sch_spgadviser_subjhandle_math</t>
  </si>
  <si>
    <t>Boxes3-5'!$P$9</t>
  </si>
  <si>
    <t>sch_spgadviser_subjhandle_others</t>
  </si>
  <si>
    <t>Boxes3-5'!$Z$9</t>
  </si>
  <si>
    <t>sch_spgadviser_subjhandle_otherspec</t>
  </si>
  <si>
    <t>Boxes3-5'!$AE$9</t>
  </si>
  <si>
    <t>sch_spgadviser_subjhandle_fil</t>
  </si>
  <si>
    <t>Boxes3-5'!$G$10</t>
  </si>
  <si>
    <t>sch_spgadviser_subjhandle_ap</t>
  </si>
  <si>
    <t>Boxes3-5'!$P$10</t>
  </si>
  <si>
    <t>sch_spgadviser_hacadegree_undergrad</t>
  </si>
  <si>
    <t>Boxes3-5'!$G$12</t>
  </si>
  <si>
    <t>sch_spgadviser_hacadegree_mastergrad</t>
  </si>
  <si>
    <t>Boxes3-5'!$P$12</t>
  </si>
  <si>
    <t>sch_spgadviser_hacadegree_postgrad</t>
  </si>
  <si>
    <t>Boxes3-5'!$Z$12</t>
  </si>
  <si>
    <t>sch_spgadviser_hacadegree_master_unit</t>
  </si>
  <si>
    <t>Boxes3-5'!$G$13</t>
  </si>
  <si>
    <t>sch_spgadviser_hacadegree_doctorate_unit</t>
  </si>
  <si>
    <t>Boxes3-5'!$P$13</t>
  </si>
  <si>
    <t>sch_spgadviser_deload_yes</t>
  </si>
  <si>
    <t>Boxes3-5'!$Z$14</t>
  </si>
  <si>
    <t>sch_spgactshs_schfees_collect_yes</t>
  </si>
  <si>
    <t>Boxes3-5'!$Z$15</t>
  </si>
  <si>
    <t>sch_spgbudget_sipappinc_yes</t>
  </si>
  <si>
    <t>Boxes3-5'!$Z$16</t>
  </si>
  <si>
    <t>sch_spgroom_yes</t>
  </si>
  <si>
    <t>Boxes3-5'!$Z$17</t>
  </si>
  <si>
    <t>sch_spg_jdivsearch_yes</t>
  </si>
  <si>
    <t>Boxes3-5'!$Z$18</t>
  </si>
  <si>
    <t>sch_spgwon_nationalaward_yes</t>
  </si>
  <si>
    <t>Boxes3-5'!$Z$19</t>
  </si>
  <si>
    <t>sch_yfcpdo_numvisit</t>
  </si>
  <si>
    <t>Boxes3-5'!$Z$20</t>
  </si>
  <si>
    <t>sch_spga_cto_sat_yes</t>
  </si>
  <si>
    <t>Boxes3-5'!$Z$21</t>
  </si>
  <si>
    <t>sch_ssg_learner_brigada_eskwela_yes</t>
  </si>
  <si>
    <t>Boxes3-5'!$AD$28</t>
  </si>
  <si>
    <t>sch_ssg_lead_ngp_yes</t>
  </si>
  <si>
    <t>Boxes3-5'!$AD$29</t>
  </si>
  <si>
    <t>sch_ssg_prevent_learner_dropout_yes</t>
  </si>
  <si>
    <t>Boxes3-5'!$AD$30</t>
  </si>
  <si>
    <t>sch_ssg_esc_rts_yes</t>
  </si>
  <si>
    <t>Boxes3-5'!$AD$31</t>
  </si>
  <si>
    <t>sch_ssg_adaec_yes</t>
  </si>
  <si>
    <t>Boxes3-5'!$AD$32</t>
  </si>
  <si>
    <t>sch_ssg_smoke_tobacoo_free_yes</t>
  </si>
  <si>
    <t>Boxes3-5'!$AD$33</t>
  </si>
  <si>
    <t>sch_ssg_tmcsep_wtdoct_yes</t>
  </si>
  <si>
    <t>Boxes3-5'!$AD$34</t>
  </si>
  <si>
    <t>sch_ssg_curricular_org_activities_yes</t>
  </si>
  <si>
    <t>Boxes3-5'!$AD$35</t>
  </si>
  <si>
    <t>sch_cgp_guidancecounsel_yes</t>
  </si>
  <si>
    <t>shs_career_guidance</t>
  </si>
  <si>
    <t>Boxes3-5'!$Z$41</t>
  </si>
  <si>
    <t>sch_cgp_guidancecounsel_numyrs_ass</t>
  </si>
  <si>
    <t>Boxes3-5'!$Z$43</t>
  </si>
  <si>
    <t>sch_cgp_guidadv_yes</t>
  </si>
  <si>
    <t>Boxes3-5'!$Z$44</t>
  </si>
  <si>
    <t>sch_cgp_guidadv_numyrs</t>
  </si>
  <si>
    <t>Boxes3-5'!$Z$45</t>
  </si>
  <si>
    <t>sch_cgp_cond_careerguidact_yes</t>
  </si>
  <si>
    <t>Boxes3-5'!$Z$46</t>
  </si>
  <si>
    <t>sch_cgp_fcareerguidact_yes</t>
  </si>
  <si>
    <t>Boxes3-5'!$Z$47</t>
  </si>
  <si>
    <t>sch_cgp_guidoffc_yes</t>
  </si>
  <si>
    <t>Boxes3-5'!$Z$48</t>
  </si>
  <si>
    <t>div_yfc_name</t>
  </si>
  <si>
    <t>div_yfc_pos</t>
  </si>
  <si>
    <t>shs_oer_dlm</t>
  </si>
  <si>
    <t>num_oer_devloc_origwork_q1_g11</t>
  </si>
  <si>
    <t>Table21-Box6!$G$7</t>
  </si>
  <si>
    <t>Boxes3-5'!$AA$52</t>
  </si>
  <si>
    <t>Boxes3-5'!$AE$54</t>
  </si>
  <si>
    <t>num_oer_devloc_origwork_q2_g11</t>
  </si>
  <si>
    <t>num_oer_devloc_origwork_q3_g11</t>
  </si>
  <si>
    <t>num_oer_devloc_origwork_q4_g11</t>
  </si>
  <si>
    <t>Table21-Box6!$J$7</t>
  </si>
  <si>
    <t>Table21-Box6!$M$7</t>
  </si>
  <si>
    <t>Table21-Box6!$P$7</t>
  </si>
  <si>
    <t>num_oer_devloc_editwork_q1_g11</t>
  </si>
  <si>
    <t>num_oer_devloc_editwork_q2_g11</t>
  </si>
  <si>
    <t>num_oer_devloc_editwork_q3_g11</t>
  </si>
  <si>
    <t>num_oer_devloc_editwork_q4_g11</t>
  </si>
  <si>
    <t>Table21-Box6!$V$7</t>
  </si>
  <si>
    <t>Table21-Box6!$Y$7</t>
  </si>
  <si>
    <t>Table21-Box6!$AB$7</t>
  </si>
  <si>
    <t>Table21-Box6!$AE$7</t>
  </si>
  <si>
    <t>num_oer_devloc_origwork_q1_g12</t>
  </si>
  <si>
    <t>num_oer_devloc_origwork_q2_g12</t>
  </si>
  <si>
    <t>num_oer_devloc_origwork_q3_g12</t>
  </si>
  <si>
    <t>num_oer_devloc_origwork_q4_g12</t>
  </si>
  <si>
    <t>num_oer_devloc_editwork_q1_g12</t>
  </si>
  <si>
    <t>num_oer_devloc_editwork_q2_g12</t>
  </si>
  <si>
    <t>num_oer_devloc_editwork_q3_g12</t>
  </si>
  <si>
    <t>num_oer_devloc_editwork_q4_g12</t>
  </si>
  <si>
    <t>Table21-Box6!$G$8</t>
  </si>
  <si>
    <t>Table21-Box6!$J$8</t>
  </si>
  <si>
    <t>Table21-Box6!$M$8</t>
  </si>
  <si>
    <t>Table21-Box6!$P$8</t>
  </si>
  <si>
    <t>Table21-Box6!$V$8</t>
  </si>
  <si>
    <t>Table21-Box6!$Y$8</t>
  </si>
  <si>
    <t>Table21-Box6!$AB$8</t>
  </si>
  <si>
    <t>Table21-Box6!$AE$8</t>
  </si>
  <si>
    <t>Validated by Division Education Program Specialist for LRMDS:</t>
  </si>
  <si>
    <t>num_teach_depedtv_freq_m</t>
  </si>
  <si>
    <t>num_teach_depedtv_sel_m</t>
  </si>
  <si>
    <t>num_teach_depedtv_nvr_m</t>
  </si>
  <si>
    <t>num_teach_depedtv_freq_f</t>
  </si>
  <si>
    <t>num_teach_depedtv_sel_f</t>
  </si>
  <si>
    <t>num_teach_depedtv_nvr_f</t>
  </si>
  <si>
    <t>Table21-Box6!$J$24</t>
  </si>
  <si>
    <t>Table21-Box6!$J$25</t>
  </si>
  <si>
    <t>Table21-Box6!$J$26</t>
  </si>
  <si>
    <t>Table21-Box6!$O$24</t>
  </si>
  <si>
    <t>Table21-Box6!$O$25</t>
  </si>
  <si>
    <t>Table21-Box6!$O$26</t>
  </si>
  <si>
    <t>teach_meth_depedtv_broadcast</t>
  </si>
  <si>
    <t>teach_meth_depedtv_dl</t>
  </si>
  <si>
    <t>teach_meth_depedtv_yt</t>
  </si>
  <si>
    <t>teach_meth_depedtv_fb</t>
  </si>
  <si>
    <t>need_more_core</t>
  </si>
  <si>
    <t>need_more_appsubj</t>
  </si>
  <si>
    <t>need_more_abm</t>
  </si>
  <si>
    <t>need_more_humms</t>
  </si>
  <si>
    <t>need_more_sptrac</t>
  </si>
  <si>
    <t>need_more_otherspec</t>
  </si>
  <si>
    <t>need_more_others</t>
  </si>
  <si>
    <t>Table21-Box6!$AH$22</t>
  </si>
  <si>
    <t>Table21-Box6!$AQ$22</t>
  </si>
  <si>
    <t>Table21-Box6!$AH$23</t>
  </si>
  <si>
    <t>Table21-Box6!$AQ$23</t>
  </si>
  <si>
    <t>Table21-Box6!$AH$28</t>
  </si>
  <si>
    <t>Table21-Box6!$AH$29</t>
  </si>
  <si>
    <t>Table21-Box6!$AH$30</t>
  </si>
  <si>
    <t>Table21-Box6!$AH$32</t>
  </si>
  <si>
    <t>Table21-Box6!$AP$28</t>
  </si>
  <si>
    <t>Table21-Box6!$AP$29</t>
  </si>
  <si>
    <t>Table21-Box6!$AP$30</t>
  </si>
  <si>
    <t>Table21-Box6!$AQ$32</t>
  </si>
  <si>
    <t>name_depes_lrmds</t>
  </si>
  <si>
    <t>Table21-Box6!$V$37</t>
  </si>
  <si>
    <t>name_depes_lrmds_pos</t>
  </si>
  <si>
    <t>Table21-Box6!$Z$39</t>
  </si>
  <si>
    <t>need_more_stem</t>
  </si>
  <si>
    <t>sch_num_funct_computers_acad_desktop_depeddcp</t>
  </si>
  <si>
    <t>shs_computer</t>
  </si>
  <si>
    <t>sch_num_funct_computers_acad_sgs_desktop_depednondcp</t>
  </si>
  <si>
    <t>sch_num_funct_computers_acad_desktop_lgusef</t>
  </si>
  <si>
    <t>sch_num_funct_computers_acad_desktop_pta</t>
  </si>
  <si>
    <t>sch_num_funct_computers_acad_desktop_privatedon</t>
  </si>
  <si>
    <t>sch_num_funct_computers_acad_desktop_othergov</t>
  </si>
  <si>
    <t>sch_num_funct_computers_acad_desktop_others</t>
  </si>
  <si>
    <t>sch_num_funct_computers_acad_notnetbook_depeddcp</t>
  </si>
  <si>
    <t>sch_num_funct_computers_acad_notnetbook_depednondcp</t>
  </si>
  <si>
    <t>sch_num_funct_computers_acad_notnetbook_lgusef</t>
  </si>
  <si>
    <t>sch_num_funct_computers_acad_notnetbook_pta</t>
  </si>
  <si>
    <t>sch_num_funct_computers_acad_notnetbook_privatedon</t>
  </si>
  <si>
    <t>sch_num_funct_computers_acad_notnetbook_othergov</t>
  </si>
  <si>
    <t>sch_num_funct_computers_acad_notnetbook_others</t>
  </si>
  <si>
    <t>sch_num_funct_computers_acad_tablet_depeddcp</t>
  </si>
  <si>
    <t>sch_num_funct_computers_acad_tablet_depednondcp</t>
  </si>
  <si>
    <t>sch_num_funct_computers_acad_tablet_lgusef</t>
  </si>
  <si>
    <t>sch_num_funct_computers_acad_tablet_pta</t>
  </si>
  <si>
    <t>sch_num_funct_computers_acad_tablet_privatedon</t>
  </si>
  <si>
    <t>sch_num_funct_computers_acad_tablet_othergov</t>
  </si>
  <si>
    <t>sch_num_funct_computers_acad_tablet_others</t>
  </si>
  <si>
    <t>sch_num_funct_computers_acad_dvt_depeddcp</t>
  </si>
  <si>
    <t>sch_num_funct_computers_acad_dvt_depednondcp</t>
  </si>
  <si>
    <t>sch_num_funct_computers_acad_dvt_lgusef</t>
  </si>
  <si>
    <t>sch_num_funct_computers_acad_dvt_pta</t>
  </si>
  <si>
    <t>sch_num_funct_computers_acad_dvt_privatedon</t>
  </si>
  <si>
    <t>sch_num_funct_computers_acad_dvt_othergov</t>
  </si>
  <si>
    <t>sch_num_funct_computers_acad_dvt_others</t>
  </si>
  <si>
    <t>sch_num_funct_computers_admin_desktop_depeddcp</t>
  </si>
  <si>
    <t>sch_num_funct_computers_admin_desktop_depednondcp</t>
  </si>
  <si>
    <t>sch_num_funct_computers_admin_desktop_lgusef</t>
  </si>
  <si>
    <t>sch_num_funct_computers_admin_desktop_pta</t>
  </si>
  <si>
    <t>sch_num_funct_computers_admin_desktop_privatedon</t>
  </si>
  <si>
    <t>sch_num_funct_computers_admin_desktop_othergov</t>
  </si>
  <si>
    <t>sch_num_funct_computers_admin_desktop_others</t>
  </si>
  <si>
    <t>sch_num_funct_computers_admin_notnetbook_depeddcp</t>
  </si>
  <si>
    <t>sch_num_funct_computers_admin_notnetbook_depednondcp</t>
  </si>
  <si>
    <t>sch_num_funct_computers_admin_notnetbook_lgusef</t>
  </si>
  <si>
    <t>sch_num_funct_computers_admin_notnetbook_pta</t>
  </si>
  <si>
    <t>sch_num_funct_computers_admin_notnetbook_privatedon</t>
  </si>
  <si>
    <t>sch_num_funct_computers_admin_notnetbook_othergov</t>
  </si>
  <si>
    <t>sch_num_funct_computers_admin_notnetbook_others</t>
  </si>
  <si>
    <t>sch_num_funct_computers_admin_tablet_depeddcp</t>
  </si>
  <si>
    <t>sch_num_funct_computers_admin_tablet_depednondcp</t>
  </si>
  <si>
    <t>sch_num_funct_computers_admin_tablet_lgusef</t>
  </si>
  <si>
    <t>sch_num_funct_computers_admin_tablet_pta</t>
  </si>
  <si>
    <t>sch_num_funct_computers_admin_tablet_privatedon</t>
  </si>
  <si>
    <t>sch_num_funct_computers_admin_tablet_othergov</t>
  </si>
  <si>
    <t>sch_num_funct_computers_admin_tablet_others</t>
  </si>
  <si>
    <t>sch_num_funct_computers_admin_dvt_depeddcp</t>
  </si>
  <si>
    <t>sch_num_funct_computers_admin_dvt_depednondcp</t>
  </si>
  <si>
    <t>sch_num_funct_computers_admin_dvt_lgusef</t>
  </si>
  <si>
    <t>sch_num_funct_computers_admin_dvt_pta</t>
  </si>
  <si>
    <t>sch_num_funct_computers_admin_dvt_privatedon</t>
  </si>
  <si>
    <t>sch_num_funct_computers_admin_dvt_othergov</t>
  </si>
  <si>
    <t>sch_num_funct_computers_admin_dvt_others</t>
  </si>
  <si>
    <t>sch_div_ito_name</t>
  </si>
  <si>
    <t>sch_num_funct_computers_acad_ledtv_depeddcp</t>
  </si>
  <si>
    <t>shs_ict_funding</t>
  </si>
  <si>
    <t>sch_num_funct_computers_acad_ledtv_depednondcp</t>
  </si>
  <si>
    <t>sch_num_funct_computers_acad_ledtv_lgusef</t>
  </si>
  <si>
    <t>sch_num_funct_computers_acad_ledtv_pta</t>
  </si>
  <si>
    <t>sch_num_funct_computers_acad_ledtv_privatedon</t>
  </si>
  <si>
    <t>sch_num_funct_computers_acad_ledtv_othergov</t>
  </si>
  <si>
    <t>sch_num_funct_computers_acad_ledtv_others</t>
  </si>
  <si>
    <t>sch_num_funct_computers_acad_netswitch_depeddcp</t>
  </si>
  <si>
    <t>sch_num_funct_computers_acad_netswitch_depednondcp</t>
  </si>
  <si>
    <t>sch_num_funct_computers_acad_netswitch_lgusef</t>
  </si>
  <si>
    <t>sch_num_funct_computers_acad_netswitch_pta</t>
  </si>
  <si>
    <t>sch_num_funct_computers_acad_netswitch_privatedon</t>
  </si>
  <si>
    <t>sch_num_funct_computers_acad_netswitch_othergov</t>
  </si>
  <si>
    <t>sch_num_funct_computers_acad_netswitch_others</t>
  </si>
  <si>
    <t>sch_num_funct_computers_acad_printer_depeddcp</t>
  </si>
  <si>
    <t>sch_num_funct_computers_acad_printer_depednondcp</t>
  </si>
  <si>
    <t>sch_num_funct_computers_acad_printer_lgusef</t>
  </si>
  <si>
    <t>sch_num_funct_computers_acad_printer_pta</t>
  </si>
  <si>
    <t>sch_num_funct_computers_acad_printer_privatedon</t>
  </si>
  <si>
    <t>sch_num_funct_computers_acad_printer_othergov</t>
  </si>
  <si>
    <t>sch_num_funct_computers_acad_printer_others</t>
  </si>
  <si>
    <t>sch_num_funct_computers_acad_projector_depeddcp</t>
  </si>
  <si>
    <t>sch_num_funct_computers_acad_projector_depednondcp</t>
  </si>
  <si>
    <t>sch_num_funct_computers_acad_projector_lgusef</t>
  </si>
  <si>
    <t>sch_num_funct_computers_acad_projector_pta</t>
  </si>
  <si>
    <t>sch_num_funct_computers_acad_projector_privatedon</t>
  </si>
  <si>
    <t>sch_num_funct_computers_acad_projector_othergov</t>
  </si>
  <si>
    <t>sch_num_funct_computers_acad_projector_others</t>
  </si>
  <si>
    <t>sch_num_funct_computers_acad_ups_depeddcp</t>
  </si>
  <si>
    <t>sch_num_funct_computers_acad_ups_depednondcp</t>
  </si>
  <si>
    <t>sch_num_funct_computers_acad_ups_lgusef</t>
  </si>
  <si>
    <t>sch_num_funct_computers_acad_ups_pta</t>
  </si>
  <si>
    <t>sch_num_funct_computers_acad_ups_privatedon</t>
  </si>
  <si>
    <t>sch_num_funct_computers_acad_ups_othergov</t>
  </si>
  <si>
    <t>sch_num_funct_computers_acad_ups_others</t>
  </si>
  <si>
    <t>sch_num_funct_computers_acad_router_depeddcp</t>
  </si>
  <si>
    <t>sch_num_funct_computers_acad_router_depednondcp</t>
  </si>
  <si>
    <t>sch_num_funct_computers_acad_router_lgusef</t>
  </si>
  <si>
    <t>sch_num_funct_computers_acad_router_pta</t>
  </si>
  <si>
    <t>sch_num_funct_computers_acad_router_privatedon</t>
  </si>
  <si>
    <t>sch_num_funct_computers_acad_router_othergov</t>
  </si>
  <si>
    <t>sch_num_funct_computers_acad_router_others</t>
  </si>
  <si>
    <t>sch_num_funct_computers_admin_ledtv_depeddcp</t>
  </si>
  <si>
    <t>sch_num_funct_computers_admin_ledtv_depednondcp</t>
  </si>
  <si>
    <t>sch_num_funct_computers_admin_ledtv_lgusef</t>
  </si>
  <si>
    <t>sch_num_funct_computers_admin_ledtv_pta</t>
  </si>
  <si>
    <t>sch_num_funct_computers_admin_ledtv_privatedon</t>
  </si>
  <si>
    <t>sch_num_funct_computers_admin_ledtv_othergov</t>
  </si>
  <si>
    <t>sch_num_funct_computers_admin_ledtv_others</t>
  </si>
  <si>
    <t>sch_num_funct_computers_admin_netswitch_depeddcp</t>
  </si>
  <si>
    <t>sch_num_funct_computers_admin_netswitch_depednondcp</t>
  </si>
  <si>
    <t>sch_num_funct_computers_admin_netswitch_lgusef</t>
  </si>
  <si>
    <t>sch_num_funct_computers_admin_netswitch_pta</t>
  </si>
  <si>
    <t>sch_num_funct_computers_admin_netswitch_privatedon</t>
  </si>
  <si>
    <t>sch_num_funct_computers_admin_netswitch_othergov</t>
  </si>
  <si>
    <t>sch_num_funct_computers_admin_netswitch_others</t>
  </si>
  <si>
    <t>sch_num_funct_computers_admin_printer_depeddcp</t>
  </si>
  <si>
    <t>sch_num_funct_computers_admin_printer_depednondcp</t>
  </si>
  <si>
    <t>sch_num_funct_computers_admin_printer_lgusef</t>
  </si>
  <si>
    <t>sch_num_funct_computers_admin_printer_pta</t>
  </si>
  <si>
    <t>sch_num_funct_computers_admin_printer_privatedon</t>
  </si>
  <si>
    <t>sch_num_funct_computers_admin_printer_othergov</t>
  </si>
  <si>
    <t>sch_num_funct_computers_admin_printer_others</t>
  </si>
  <si>
    <t>sch_num_funct_computers_admin_projector_depeddcp</t>
  </si>
  <si>
    <t>sch_num_funct_computers_admin_projector_depednondcp</t>
  </si>
  <si>
    <t>sch_num_funct_computers_admin_projector_lgusef</t>
  </si>
  <si>
    <t>sch_num_funct_computers_admin_projector_pta</t>
  </si>
  <si>
    <t>sch_num_funct_computers_admin_projector_privatedon</t>
  </si>
  <si>
    <t>sch_num_funct_computers_admin_projector_othergov</t>
  </si>
  <si>
    <t>sch_num_funct_computers_admin_projector_others</t>
  </si>
  <si>
    <t>sch_num_funct_computers_admin_ups_depeddcp</t>
  </si>
  <si>
    <t>sch_num_funct_computers_admin_ups_depednondcp</t>
  </si>
  <si>
    <t>sch_num_funct_computers_admin_ups_lgusef</t>
  </si>
  <si>
    <t>sch_num_funct_computers_admin_ups_pta</t>
  </si>
  <si>
    <t>sch_num_funct_computers_admin_ups_privatedon</t>
  </si>
  <si>
    <t>sch_num_funct_computers_admin_ups_othergov</t>
  </si>
  <si>
    <t>sch_num_funct_computers_admin_ups_others</t>
  </si>
  <si>
    <t>sch_num_funct_computers_admin_router_depeddcp</t>
  </si>
  <si>
    <t>sch_num_funct_computers_admin_router_depednondcp</t>
  </si>
  <si>
    <t>sch_num_funct_computers_admin_router_lgusef</t>
  </si>
  <si>
    <t>sch_num_funct_computers_admin_router_pta</t>
  </si>
  <si>
    <t>sch_num_funct_computers_admin_router_privatedon</t>
  </si>
  <si>
    <t>sch_num_funct_computers_admin_router_othergov</t>
  </si>
  <si>
    <t>sch_num_funct_computers_admin_router_others</t>
  </si>
  <si>
    <t>Table22!$K$7</t>
  </si>
  <si>
    <t>Table22!$P$7</t>
  </si>
  <si>
    <t>Table22!$U$7</t>
  </si>
  <si>
    <t>Table22!$Z$7</t>
  </si>
  <si>
    <t>Table22!$AE$7</t>
  </si>
  <si>
    <t>Table22!$AJ$7</t>
  </si>
  <si>
    <t>Table22!$AO$7</t>
  </si>
  <si>
    <t>Table22!$K$8</t>
  </si>
  <si>
    <t>Table22!$P$8</t>
  </si>
  <si>
    <t>Table22!$U$8</t>
  </si>
  <si>
    <t>Table22!$Z$8</t>
  </si>
  <si>
    <t>Table22!$AE$8</t>
  </si>
  <si>
    <t>Table22!$AJ$8</t>
  </si>
  <si>
    <t>Table22!$AO$8</t>
  </si>
  <si>
    <t>Table22!$K$9</t>
  </si>
  <si>
    <t>Table22!$P$9</t>
  </si>
  <si>
    <t>Table22!$U$9</t>
  </si>
  <si>
    <t>Table22!$Z$9</t>
  </si>
  <si>
    <t>Table22!$AE$9</t>
  </si>
  <si>
    <t>Table22!$AJ$9</t>
  </si>
  <si>
    <t>Table22!$AO$9</t>
  </si>
  <si>
    <t>Table22!$K$10</t>
  </si>
  <si>
    <t>Table22!$P$10</t>
  </si>
  <si>
    <t>Table22!$U$10</t>
  </si>
  <si>
    <t>Table22!$Z$10</t>
  </si>
  <si>
    <t>Table22!$AE$10</t>
  </si>
  <si>
    <t>Table22!$AJ$10</t>
  </si>
  <si>
    <t>Table22!$AO$10</t>
  </si>
  <si>
    <t>Table22!$K$13</t>
  </si>
  <si>
    <t>Table22!$P$13</t>
  </si>
  <si>
    <t>Table22!$U$13</t>
  </si>
  <si>
    <t>Table22!$Z$13</t>
  </si>
  <si>
    <t>Table22!$AE$13</t>
  </si>
  <si>
    <t>Table22!$AJ$13</t>
  </si>
  <si>
    <t>Table22!$AO$13</t>
  </si>
  <si>
    <t>Table22!$K$14</t>
  </si>
  <si>
    <t>Table22!$P$14</t>
  </si>
  <si>
    <t>Table22!$U$14</t>
  </si>
  <si>
    <t>Table22!$Z$14</t>
  </si>
  <si>
    <t>Table22!$AE$14</t>
  </si>
  <si>
    <t>Table22!$AJ$14</t>
  </si>
  <si>
    <t>Table22!$AO$14</t>
  </si>
  <si>
    <t>Table22!$K$15</t>
  </si>
  <si>
    <t>Table22!$P$15</t>
  </si>
  <si>
    <t>Table22!$U$15</t>
  </si>
  <si>
    <t>Table22!$Z$15</t>
  </si>
  <si>
    <t>Table22!$AE$15</t>
  </si>
  <si>
    <t>Table22!$AJ$15</t>
  </si>
  <si>
    <t>Table22!$AO$15</t>
  </si>
  <si>
    <t>sch_num_funct_computers_acad_tabletpc_depeddcp</t>
  </si>
  <si>
    <t>sch_num_funct_computers_acad_tabletpc_depednondcp</t>
  </si>
  <si>
    <t>sch_num_funct_computers_acad_tabletpc_lgusef</t>
  </si>
  <si>
    <t>sch_num_funct_computers_acad_tabletpc_pta</t>
  </si>
  <si>
    <t>sch_num_funct_computers_acad_tabletpc_privatedon</t>
  </si>
  <si>
    <t>sch_num_funct_computers_acad_tabletpc_othergov</t>
  </si>
  <si>
    <t>sch_num_funct_computers_acad_tabletpc_others</t>
  </si>
  <si>
    <t>Table22!$K$11</t>
  </si>
  <si>
    <t>Table22!$P$11</t>
  </si>
  <si>
    <t>Table22!$U$11</t>
  </si>
  <si>
    <t>Table22!$Z$11</t>
  </si>
  <si>
    <t>Table22!$AE$11</t>
  </si>
  <si>
    <t>Table22!$AJ$11</t>
  </si>
  <si>
    <t>Table22!$AO$11</t>
  </si>
  <si>
    <t>sch_num_funct_computers_admin_tabletpc_depeddcp</t>
  </si>
  <si>
    <t>sch_num_funct_computers_admin_tabletpc_depednondcp</t>
  </si>
  <si>
    <t>sch_num_funct_computers_admin_tabletpc_lgusef</t>
  </si>
  <si>
    <t>sch_num_funct_computers_admin_tabletpc_pta</t>
  </si>
  <si>
    <t>sch_num_funct_computers_admin_tabletpc_privatedon</t>
  </si>
  <si>
    <t>sch_num_funct_computers_admin_tabletpc_othergov</t>
  </si>
  <si>
    <t>sch_num_funct_computers_admin_tabletpc_others</t>
  </si>
  <si>
    <t>Table22!$K$16</t>
  </si>
  <si>
    <t>Table22!$P$16</t>
  </si>
  <si>
    <t>Table22!$U$16</t>
  </si>
  <si>
    <t>Table22!$Z$16</t>
  </si>
  <si>
    <t>Table22!$AE$16</t>
  </si>
  <si>
    <t>Table22!$AJ$16</t>
  </si>
  <si>
    <t>Table22!$AO$16</t>
  </si>
  <si>
    <t>Table22!$K$17</t>
  </si>
  <si>
    <t>Table22!$P$17</t>
  </si>
  <si>
    <t>Table22!$U$17</t>
  </si>
  <si>
    <t>Table22!$Z$17</t>
  </si>
  <si>
    <t>Table22!$AE$17</t>
  </si>
  <si>
    <t>Table22!$AJ$17</t>
  </si>
  <si>
    <t>Table22!$AO$17</t>
  </si>
  <si>
    <t>Table22!$S$39</t>
  </si>
  <si>
    <t>sch_num_funct_computers_acad_lapel_depeddcp</t>
  </si>
  <si>
    <t>sch_num_funct_computers_acad_lapel_depednondcp</t>
  </si>
  <si>
    <t>sch_num_funct_computers_acad_lapel_lgusef</t>
  </si>
  <si>
    <t>sch_num_funct_computers_acad_lapel_pta</t>
  </si>
  <si>
    <t>sch_num_funct_computers_acad_lapel_privatedon</t>
  </si>
  <si>
    <t>sch_num_funct_computers_acad_lapel_othergov</t>
  </si>
  <si>
    <t>sch_num_funct_computers_acad_lapel_others</t>
  </si>
  <si>
    <t>Table23!$K$7</t>
  </si>
  <si>
    <t>Table23!$P$7</t>
  </si>
  <si>
    <t>Table23!$U$7</t>
  </si>
  <si>
    <t>Table23!$Z$7</t>
  </si>
  <si>
    <t>Table23!$AE$7</t>
  </si>
  <si>
    <t>Table23!$AJ$7</t>
  </si>
  <si>
    <t>Table23!$AO$7</t>
  </si>
  <si>
    <t>Table23!$K$8</t>
  </si>
  <si>
    <t>Table23!$P$8</t>
  </si>
  <si>
    <t>Table23!$U$8</t>
  </si>
  <si>
    <t>Table23!$Z$8</t>
  </si>
  <si>
    <t>Table23!$AE$8</t>
  </si>
  <si>
    <t>Table23!$AJ$8</t>
  </si>
  <si>
    <t>Table23!$AO$8</t>
  </si>
  <si>
    <t>Table23!$K$9</t>
  </si>
  <si>
    <t>Table23!$P$9</t>
  </si>
  <si>
    <t>Table23!$U$9</t>
  </si>
  <si>
    <t>Table23!$Z$9</t>
  </si>
  <si>
    <t>Table23!$AE$9</t>
  </si>
  <si>
    <t>Table23!$AJ$9</t>
  </si>
  <si>
    <t>Table23!$AO$9</t>
  </si>
  <si>
    <t>Table23!$K$10</t>
  </si>
  <si>
    <t>Table23!$P$10</t>
  </si>
  <si>
    <t>Table23!$U$10</t>
  </si>
  <si>
    <t>Table23!$Z$10</t>
  </si>
  <si>
    <t>Table23!$AE$10</t>
  </si>
  <si>
    <t>Table23!$AJ$10</t>
  </si>
  <si>
    <t>Table23!$AO$10</t>
  </si>
  <si>
    <t>Table23!$K$11</t>
  </si>
  <si>
    <t>Table23!$P$11</t>
  </si>
  <si>
    <t>Table23!$U$11</t>
  </si>
  <si>
    <t>Table23!$Z$11</t>
  </si>
  <si>
    <t>Table23!$AE$11</t>
  </si>
  <si>
    <t>Table23!$AJ$11</t>
  </si>
  <si>
    <t>Table23!$AO$11</t>
  </si>
  <si>
    <t>Table23!$K$12</t>
  </si>
  <si>
    <t>Table23!$P$12</t>
  </si>
  <si>
    <t>Table23!$U$12</t>
  </si>
  <si>
    <t>Table23!$Z$12</t>
  </si>
  <si>
    <t>Table23!$AE$12</t>
  </si>
  <si>
    <t>Table23!$AJ$12</t>
  </si>
  <si>
    <t>Table23!$AO$12</t>
  </si>
  <si>
    <t>Table23!$K$13</t>
  </si>
  <si>
    <t>Table23!$P$13</t>
  </si>
  <si>
    <t>Table23!$U$13</t>
  </si>
  <si>
    <t>Table23!$Z$13</t>
  </si>
  <si>
    <t>Table23!$AE$13</t>
  </si>
  <si>
    <t>Table23!$AJ$13</t>
  </si>
  <si>
    <t>Table23!$AO$13</t>
  </si>
  <si>
    <t>Table23!$K$15</t>
  </si>
  <si>
    <t>Table23!$P$15</t>
  </si>
  <si>
    <t>Table23!$U$15</t>
  </si>
  <si>
    <t>Table23!$Z$15</t>
  </si>
  <si>
    <t>Table23!$AE$15</t>
  </si>
  <si>
    <t>Table23!$AJ$15</t>
  </si>
  <si>
    <t>Table23!$AO$15</t>
  </si>
  <si>
    <t>Table23!$K$16</t>
  </si>
  <si>
    <t>Table23!$P$16</t>
  </si>
  <si>
    <t>Table23!$U$16</t>
  </si>
  <si>
    <t>Table23!$Z$16</t>
  </si>
  <si>
    <t>Table23!$AE$16</t>
  </si>
  <si>
    <t>Table23!$AJ$16</t>
  </si>
  <si>
    <t>Table23!$AO$16</t>
  </si>
  <si>
    <t>Table23!$K$17</t>
  </si>
  <si>
    <t>Table23!$P$17</t>
  </si>
  <si>
    <t>Table23!$U$17</t>
  </si>
  <si>
    <t>Table23!$Z$17</t>
  </si>
  <si>
    <t>Table23!$AE$17</t>
  </si>
  <si>
    <t>Table23!$AJ$17</t>
  </si>
  <si>
    <t>Table23!$AO$17</t>
  </si>
  <si>
    <t>Table23!$K$18</t>
  </si>
  <si>
    <t>Table23!$P$18</t>
  </si>
  <si>
    <t>Table23!$U$18</t>
  </si>
  <si>
    <t>Table23!$Z$18</t>
  </si>
  <si>
    <t>Table23!$AE$18</t>
  </si>
  <si>
    <t>Table23!$AJ$18</t>
  </si>
  <si>
    <t>Table23!$AO$18</t>
  </si>
  <si>
    <t>Table23!$K$19</t>
  </si>
  <si>
    <t>Table23!$P$19</t>
  </si>
  <si>
    <t>Table23!$U$19</t>
  </si>
  <si>
    <t>Table23!$Z$19</t>
  </si>
  <si>
    <t>Table23!$AE$19</t>
  </si>
  <si>
    <t>Table23!$AJ$19</t>
  </si>
  <si>
    <t>Table23!$AO$19</t>
  </si>
  <si>
    <t>Table23!$K$20</t>
  </si>
  <si>
    <t>Table23!$P$20</t>
  </si>
  <si>
    <t>Table23!$U$20</t>
  </si>
  <si>
    <t>Table23!$Z$20</t>
  </si>
  <si>
    <t>Table23!$AE$20</t>
  </si>
  <si>
    <t>Table23!$AJ$20</t>
  </si>
  <si>
    <t>Table23!$AO$20</t>
  </si>
  <si>
    <t>sch_intercon_isp_yes</t>
  </si>
  <si>
    <t>shs_internet</t>
  </si>
  <si>
    <t>sch_intercon_isp_yes_bayantel</t>
  </si>
  <si>
    <t>sch_intercon_isp_yes_digitel</t>
  </si>
  <si>
    <t>sch_intercon_isp_yes_globe</t>
  </si>
  <si>
    <t>sch_intercon_isp_yes_pldt</t>
  </si>
  <si>
    <t>sch_intercon_isp_yes_smart</t>
  </si>
  <si>
    <t>sch_intercon_isp_yes_sun</t>
  </si>
  <si>
    <t>sch_intercon_isp_yes_witg</t>
  </si>
  <si>
    <t>sch_intercon_isp_yes_otherspec</t>
  </si>
  <si>
    <t>sch_intercon_isp_yes_other_specify</t>
  </si>
  <si>
    <t>sch_intercon_isp_subscribe_yes</t>
  </si>
  <si>
    <t>sch_intercon_isp_subscribe_adminuse_yes</t>
  </si>
  <si>
    <t>sch_intercon_isp_subscribe_clinstructionuse_yes</t>
  </si>
  <si>
    <t>sch_intercon_speedtest_datetested_mm_dd_yyyy</t>
  </si>
  <si>
    <t>sch_intercon_num_speedtest_timetested</t>
  </si>
  <si>
    <t>sch_intercon_num_speedtest_ping_ms</t>
  </si>
  <si>
    <t>sch_intercon_num_speedtest_download_mbps</t>
  </si>
  <si>
    <t>sch_intercon_num_speedtest_upload_mbps</t>
  </si>
  <si>
    <t>combo_avemontlyexpense_typesofinternet1</t>
  </si>
  <si>
    <t>combo_avemontlyexpense_typesofinternet2</t>
  </si>
  <si>
    <t>combo_avemontlyexpense_typesofinternet3</t>
  </si>
  <si>
    <t>combo_avemontlyexpense_typesofinternet4</t>
  </si>
  <si>
    <t>combo_avemontlyexpense_typesofinternet5</t>
  </si>
  <si>
    <t>combo_avemonthlyexpense_internetserviceprovider1</t>
  </si>
  <si>
    <t>combo_avemonthlyexpense_internetserviceprovider2</t>
  </si>
  <si>
    <t>combo_avemonthlyexpense_internetserviceprovider3</t>
  </si>
  <si>
    <t>combo_avemonthlyexpense_internetserviceprovider4</t>
  </si>
  <si>
    <t>combo_avemonthlyexpense_internetserviceprovider5</t>
  </si>
  <si>
    <t>sch_internet_avemonthlyexpense1</t>
  </si>
  <si>
    <t>sch_internet_avemonthlyexpense2</t>
  </si>
  <si>
    <t>sch_internet_avemonthlyexpense3</t>
  </si>
  <si>
    <t>sch_internet_avemonthlyexpense4</t>
  </si>
  <si>
    <t>sch_internet_avemonthlyexpense5</t>
  </si>
  <si>
    <t>combo_avemonthlyexpense_fundingsource1</t>
  </si>
  <si>
    <t>combo_avemonthlyexpense_fundingsource2</t>
  </si>
  <si>
    <t>combo_avemonthlyexpense_fundingsource3</t>
  </si>
  <si>
    <t>combo_avemonthlyexpense_fundingsource4</t>
  </si>
  <si>
    <t>combo_avemonthlyexpense_fundingsource5</t>
  </si>
  <si>
    <t>Box7-Table24'!$H$7</t>
  </si>
  <si>
    <t>Box7-Table24'!$H$8</t>
  </si>
  <si>
    <t>Box7-Table24'!$O$7</t>
  </si>
  <si>
    <t>Box7-Table24'!$O$8</t>
  </si>
  <si>
    <t>Box7-Table24'!$U$7</t>
  </si>
  <si>
    <t>Box7-Table24'!$U$8</t>
  </si>
  <si>
    <t>Box7-Table24'!$AA$7</t>
  </si>
  <si>
    <t>Box7-Table24'!$AA$8</t>
  </si>
  <si>
    <t>Box7-Table24'!$AF$8</t>
  </si>
  <si>
    <t>Box7-Table24'!$AA$10</t>
  </si>
  <si>
    <t>Box7-Table24'!$H$12</t>
  </si>
  <si>
    <t>Box7-Table24'!$H$13</t>
  </si>
  <si>
    <t>Box7-Table24'!$K$16</t>
  </si>
  <si>
    <t>Box7-Table24'!$K$17</t>
  </si>
  <si>
    <t>Box7-Table24'!$X$16</t>
  </si>
  <si>
    <t>Box7-Table24'!$X$17</t>
  </si>
  <si>
    <t>Box7-Table24'!$AK$16</t>
  </si>
  <si>
    <t>Box7-Table24'!$B$26</t>
  </si>
  <si>
    <t>Box7-Table24'!$B$27</t>
  </si>
  <si>
    <t>Box7-Table24'!$B$278</t>
  </si>
  <si>
    <t>Box7-Table24'!$B$29</t>
  </si>
  <si>
    <t>Box7-Table24'!$B$30</t>
  </si>
  <si>
    <t>Box7-Table24'!$M$26</t>
  </si>
  <si>
    <t>Box7-Table24'!$M$27</t>
  </si>
  <si>
    <t>Box7-Table24'!$M$28</t>
  </si>
  <si>
    <t>Box7-Table24'!$M$29</t>
  </si>
  <si>
    <t>Box7-Table24'!$M$30</t>
  </si>
  <si>
    <t>Box7-Table24'!$X$26</t>
  </si>
  <si>
    <t>Box7-Table24'!$X$27</t>
  </si>
  <si>
    <t>Box7-Table24'!$X$28</t>
  </si>
  <si>
    <t>Box7-Table24'!$X$29</t>
  </si>
  <si>
    <t>Box7-Table24'!$X$30</t>
  </si>
  <si>
    <t>Box7-Table24'!$AI$26</t>
  </si>
  <si>
    <t>Box7-Table24'!$AI$27</t>
  </si>
  <si>
    <t>Box7-Table24'!$AI$28</t>
  </si>
  <si>
    <t>Box7-Table24'!$AI$29</t>
  </si>
  <si>
    <t>Box7-Table24'!$AI$30</t>
  </si>
  <si>
    <t>Box7-Table24'!$U$5</t>
  </si>
  <si>
    <t>combo_sch_cellular_com_prov1</t>
  </si>
  <si>
    <t>combo_sch_cellular_com_prov2</t>
  </si>
  <si>
    <t>combo_sch_cellular_com_prov3</t>
  </si>
  <si>
    <t>combo_sch_cellular_com_prov4</t>
  </si>
  <si>
    <t>combo_sch_cellular_com_prov5</t>
  </si>
  <si>
    <t>shs_cellcom</t>
  </si>
  <si>
    <t>Table25'!$B$7</t>
  </si>
  <si>
    <t>Table25'!$B$10</t>
  </si>
  <si>
    <t>Table25'!$B$13</t>
  </si>
  <si>
    <t>Table25'!$B$16</t>
  </si>
  <si>
    <t>Table25'!$B$19</t>
  </si>
  <si>
    <t>Table25'!$J$7</t>
  </si>
  <si>
    <t>Table25'!$J$8</t>
  </si>
  <si>
    <t>Table25'!$J$9</t>
  </si>
  <si>
    <t>Table25'!$P$7</t>
  </si>
  <si>
    <t>Table25'!$P$8</t>
  </si>
  <si>
    <t>Table25'!$J$10</t>
  </si>
  <si>
    <t>Table25'!$J$11</t>
  </si>
  <si>
    <t>Table25'!$J$12</t>
  </si>
  <si>
    <t>Table25'!$P$10</t>
  </si>
  <si>
    <t>Table25'!$P$11</t>
  </si>
  <si>
    <t>Table25'!$J$13</t>
  </si>
  <si>
    <t>Table25'!$J$14</t>
  </si>
  <si>
    <t>Table25'!$J$15</t>
  </si>
  <si>
    <t>Table25'!$P$13</t>
  </si>
  <si>
    <t>Table25'!$P$14</t>
  </si>
  <si>
    <t>Table25'!$J$16</t>
  </si>
  <si>
    <t>Table25'!$J$17</t>
  </si>
  <si>
    <t>Table25'!$J$18</t>
  </si>
  <si>
    <t>Table25'!$P$16</t>
  </si>
  <si>
    <t>Table25'!$P$17</t>
  </si>
  <si>
    <t>Table25'!$J$19</t>
  </si>
  <si>
    <t>Table25'!$J$20</t>
  </si>
  <si>
    <t>Table25'!$J$21</t>
  </si>
  <si>
    <t>Table25'!$P$19</t>
  </si>
  <si>
    <t>Table25'!$P$20</t>
  </si>
  <si>
    <t>sch_cellular_com_text_sms1</t>
  </si>
  <si>
    <t>sch_cellular_com_send_viewimage1</t>
  </si>
  <si>
    <t>sch_cellular_com_vcall1</t>
  </si>
  <si>
    <t>sch_cellular_com_nosign1</t>
  </si>
  <si>
    <t>sch_cellular_com_text_sms2</t>
  </si>
  <si>
    <t>sch_cellular_com_send_viewimage2</t>
  </si>
  <si>
    <t>sch_cellular_com_vcall2</t>
  </si>
  <si>
    <t>sch_cellular_com_nosign2</t>
  </si>
  <si>
    <t>sch_cellular_com_text_sms3</t>
  </si>
  <si>
    <t>sch_cellular_com_send_viewimage3</t>
  </si>
  <si>
    <t>sch_cellular_com_vcall3</t>
  </si>
  <si>
    <t>sch_cellular_com_nosign3</t>
  </si>
  <si>
    <t>sch_cellular_com_text_sms4</t>
  </si>
  <si>
    <t>sch_cellular_com_send_viewimage4</t>
  </si>
  <si>
    <t>sch_cellular_com_vcall4</t>
  </si>
  <si>
    <t>sch_cellular_com_nosign4</t>
  </si>
  <si>
    <t>sch_cellular_com_text_sms5</t>
  </si>
  <si>
    <t>sch_cellular_com_send_viewimage5</t>
  </si>
  <si>
    <t>sch_cellular_com_vcall5</t>
  </si>
  <si>
    <t>sch_cellular_com_nosign5</t>
  </si>
  <si>
    <t>combo_sch_cellular_wireless_tech1</t>
  </si>
  <si>
    <t>combo_sch_cellular_wireless_tech2</t>
  </si>
  <si>
    <t>combo_sch_cellular_wireless_tech3</t>
  </si>
  <si>
    <t>combo_sch_cellular_wireless_tech4</t>
  </si>
  <si>
    <t>combo_sch_cellular_wireless_tech5</t>
  </si>
  <si>
    <t>Table25'!$U$7</t>
  </si>
  <si>
    <t>Table25'!$U$10</t>
  </si>
  <si>
    <t>Table25'!$U$13</t>
  </si>
  <si>
    <t>Table25'!$U$16</t>
  </si>
  <si>
    <t>Table25'!$U$19</t>
  </si>
  <si>
    <t>sch_cellular_avemonthlyexpense1</t>
  </si>
  <si>
    <t>sch_cellular_avemonthlyexpense2</t>
  </si>
  <si>
    <t>sch_cellular_avemonthlyexpense3</t>
  </si>
  <si>
    <t>sch_cellular_avemonthlyexpense4</t>
  </si>
  <si>
    <t>sch_cellular_avemonthlyexpense5</t>
  </si>
  <si>
    <t>Table25'!$AC$7</t>
  </si>
  <si>
    <t>Table25'!$AC$10</t>
  </si>
  <si>
    <t>Table25'!$AC$13</t>
  </si>
  <si>
    <t>Table25'!$AC$16</t>
  </si>
  <si>
    <t>Table25'!$AC$19</t>
  </si>
  <si>
    <t>combo_sch_cellular_fundingsource1</t>
  </si>
  <si>
    <t>combo_sch_cellular_fundingsource2</t>
  </si>
  <si>
    <t>combo_sch_cellular_fundingsource3</t>
  </si>
  <si>
    <t>combo_sch_cellular_fundingsource4</t>
  </si>
  <si>
    <t>combo_sch_cellular_fundingsource5</t>
  </si>
  <si>
    <t>Table25'!$AK$7</t>
  </si>
  <si>
    <t>Table25'!$AK$10</t>
  </si>
  <si>
    <t>Table25'!$AK$13</t>
  </si>
  <si>
    <t>Table25'!$AK$16</t>
  </si>
  <si>
    <t>Table25'!$AK$19</t>
  </si>
  <si>
    <t>sch_cellular_com_call1</t>
  </si>
  <si>
    <t>sch_cellular_com_call2</t>
  </si>
  <si>
    <t>sch_cellular_com_call3</t>
  </si>
  <si>
    <t>sch_cellular_com_call4</t>
  </si>
  <si>
    <t>sch_cellular_com_call5</t>
  </si>
  <si>
    <t>combo_sch_print_copy1</t>
  </si>
  <si>
    <t>combo_sch_print_copy2</t>
  </si>
  <si>
    <t>combo_sch_print_copy3</t>
  </si>
  <si>
    <t>combo_sch_print_copy4</t>
  </si>
  <si>
    <t>combo_sch_print_copy5</t>
  </si>
  <si>
    <t>combo_sch_print_copy6</t>
  </si>
  <si>
    <t>combo_sch_print_copy7</t>
  </si>
  <si>
    <t>combo_sch_print_copy8</t>
  </si>
  <si>
    <t>combo_sch_print_copy9</t>
  </si>
  <si>
    <t>combo_sch_print_copy10</t>
  </si>
  <si>
    <t>shs_printer_copier</t>
  </si>
  <si>
    <t>Table26'!$B$7</t>
  </si>
  <si>
    <t>Table26'!$B$8</t>
  </si>
  <si>
    <t>Table26'!$B$9</t>
  </si>
  <si>
    <t>Table26'!$B$10</t>
  </si>
  <si>
    <t>Table26'!$B$11</t>
  </si>
  <si>
    <t>Table26'!$B$12</t>
  </si>
  <si>
    <t>Table26'!$B$13</t>
  </si>
  <si>
    <t>Table26'!$B$14</t>
  </si>
  <si>
    <t>Table26'!$B$15</t>
  </si>
  <si>
    <t>Table26'!$B$16</t>
  </si>
  <si>
    <t>Table26'!$J$7</t>
  </si>
  <si>
    <t>Table26'!$J$8</t>
  </si>
  <si>
    <t>Table26'!$J$9</t>
  </si>
  <si>
    <t>Table26'!$J$10</t>
  </si>
  <si>
    <t>Table26'!$J$11</t>
  </si>
  <si>
    <t>Table26'!$J$12</t>
  </si>
  <si>
    <t>Table26'!$J$13</t>
  </si>
  <si>
    <t>Table26'!$J$14</t>
  </si>
  <si>
    <t>Table26'!$J$15</t>
  </si>
  <si>
    <t>Table26'!$J$16</t>
  </si>
  <si>
    <t>sch_print_copy_brand_model1</t>
  </si>
  <si>
    <t>sch_print_copy_brand_model2</t>
  </si>
  <si>
    <t>sch_print_copy_brand_model3</t>
  </si>
  <si>
    <t>sch_print_copy_brand_model4</t>
  </si>
  <si>
    <t>sch_print_copy_brand_model5</t>
  </si>
  <si>
    <t>sch_print_copy_brand_model6</t>
  </si>
  <si>
    <t>sch_print_copy_brand_model7</t>
  </si>
  <si>
    <t>sch_print_copy_brand_model8</t>
  </si>
  <si>
    <t>sch_print_copy_brand_model9</t>
  </si>
  <si>
    <t>sch_print_copy_brand_model10</t>
  </si>
  <si>
    <t>sch_print_copy_avemonthexp1</t>
  </si>
  <si>
    <t>sch_print_copy_avemonthexp2</t>
  </si>
  <si>
    <t>sch_print_copy_avemonthexp3</t>
  </si>
  <si>
    <t>sch_print_copy_avemonthexp4</t>
  </si>
  <si>
    <t>sch_print_copy_avemonthexp5</t>
  </si>
  <si>
    <t>sch_print_copy_avemonthexp6</t>
  </si>
  <si>
    <t>sch_print_copy_avemonthexp7</t>
  </si>
  <si>
    <t>sch_print_copy_avemonthexp8</t>
  </si>
  <si>
    <t>sch_print_copy_avemonthexp9</t>
  </si>
  <si>
    <t>sch_print_copy_avemonthexp10</t>
  </si>
  <si>
    <t>Table26'!$R$7</t>
  </si>
  <si>
    <t>Table26'!$R$8</t>
  </si>
  <si>
    <t>Table26'!$R$9</t>
  </si>
  <si>
    <t>Table26'!$R$10</t>
  </si>
  <si>
    <t>Table26'!$R$11</t>
  </si>
  <si>
    <t>Table26'!$R$12</t>
  </si>
  <si>
    <t>Table26'!$R$13</t>
  </si>
  <si>
    <t>Table26'!$R$14</t>
  </si>
  <si>
    <t>Table26'!$R$15</t>
  </si>
  <si>
    <t>Table26'!$R$16</t>
  </si>
  <si>
    <t>combo_print_copy_fundingsource1</t>
  </si>
  <si>
    <t>combo_print_copy_fundingsource2</t>
  </si>
  <si>
    <t>combo_print_copy_fundingsource3</t>
  </si>
  <si>
    <t>combo_print_copy_fundingsource4</t>
  </si>
  <si>
    <t>combo_print_copy_fundingsource5</t>
  </si>
  <si>
    <t>combo_print_copy_fundingsource6</t>
  </si>
  <si>
    <t>combo_print_copy_fundingsource7</t>
  </si>
  <si>
    <t>combo_print_copy_fundingsource8</t>
  </si>
  <si>
    <t>combo_print_copy_fundingsource9</t>
  </si>
  <si>
    <t>combo_print_copy_fundingsource10</t>
  </si>
  <si>
    <t>Table26'!$Z$7</t>
  </si>
  <si>
    <t>Table26'!$Z$8</t>
  </si>
  <si>
    <t>Table26'!$Z$9</t>
  </si>
  <si>
    <t>Table26'!$Z$10</t>
  </si>
  <si>
    <t>Table26'!$Z$11</t>
  </si>
  <si>
    <t>Table26'!$Z$12</t>
  </si>
  <si>
    <t>Table26'!$Z$13</t>
  </si>
  <si>
    <t>Table26'!$Z$14</t>
  </si>
  <si>
    <t>Table26'!$Z$15</t>
  </si>
  <si>
    <t>Table26'!$Z$16</t>
  </si>
  <si>
    <t>combo_print_copy_purpose1</t>
  </si>
  <si>
    <t>combo_print_copy_purpose2</t>
  </si>
  <si>
    <t>combo_print_copy_purpose3</t>
  </si>
  <si>
    <t>combo_print_copy_purpose4</t>
  </si>
  <si>
    <t>combo_print_copy_purpose5</t>
  </si>
  <si>
    <t>combo_print_copy_purpose6</t>
  </si>
  <si>
    <t>combo_print_copy_purpose7</t>
  </si>
  <si>
    <t>combo_print_copy_purpose8</t>
  </si>
  <si>
    <t>combo_print_copy_purpose9</t>
  </si>
  <si>
    <t>combo_print_copy_purpose10</t>
  </si>
  <si>
    <t>Table26'!$AH$7</t>
  </si>
  <si>
    <t>Table26'!$AH$8</t>
  </si>
  <si>
    <t>Table26'!$AH$9</t>
  </si>
  <si>
    <t>Table26'!$AH$10</t>
  </si>
  <si>
    <t>Table26'!$AH$11</t>
  </si>
  <si>
    <t>Table26'!$AH$12</t>
  </si>
  <si>
    <t>Table26'!$AH$13</t>
  </si>
  <si>
    <t>Table26'!$AH$14</t>
  </si>
  <si>
    <t>Table26'!$AH$15</t>
  </si>
  <si>
    <t>Table26'!$AH$16</t>
  </si>
  <si>
    <t>Local TV</t>
  </si>
  <si>
    <t>AM Radio Station</t>
  </si>
  <si>
    <t>shs_broadcast_station</t>
  </si>
  <si>
    <t>Table27'!$B$6</t>
  </si>
  <si>
    <t>Table27'!$B$7</t>
  </si>
  <si>
    <t>Table27'!$B$8</t>
  </si>
  <si>
    <t>Table27'!$B$9</t>
  </si>
  <si>
    <t>Table27'!$B$10</t>
  </si>
  <si>
    <t>Table27'!$B$11</t>
  </si>
  <si>
    <t>Table27'!$B$12</t>
  </si>
  <si>
    <t>Table27'!$B$13</t>
  </si>
  <si>
    <t>Table27'!$B$14</t>
  </si>
  <si>
    <t>combo_shs_broadcast_station_type1</t>
  </si>
  <si>
    <t>combo_shs_broadcast_station_type2</t>
  </si>
  <si>
    <t>combo_shs_broadcast_station_type3</t>
  </si>
  <si>
    <t>combo_shs_broadcast_station_type4</t>
  </si>
  <si>
    <t>combo_shs_broadcast_station_type5</t>
  </si>
  <si>
    <t>combo_shs_broadcast_station_type6</t>
  </si>
  <si>
    <t>combo_shs_broadcast_station_type7</t>
  </si>
  <si>
    <t>combo_shs_broadcast_station_type8</t>
  </si>
  <si>
    <t>combo_shs_broadcast_station_type9</t>
  </si>
  <si>
    <t>shs_broadcast_station_name1</t>
  </si>
  <si>
    <t>shs_broadcast_station_name2</t>
  </si>
  <si>
    <t>shs_broadcast_station_name3</t>
  </si>
  <si>
    <t>shs_broadcast_station_name4</t>
  </si>
  <si>
    <t>shs_broadcast_station_name5</t>
  </si>
  <si>
    <t>shs_broadcast_station_name6</t>
  </si>
  <si>
    <t>shs_broadcast_station_name7</t>
  </si>
  <si>
    <t>shs_broadcast_station_name8</t>
  </si>
  <si>
    <t>shs_broadcast_station_name9</t>
  </si>
  <si>
    <t>Table27'!$G$6</t>
  </si>
  <si>
    <t>Table27'!$G$7</t>
  </si>
  <si>
    <t>Table27'!$G$8</t>
  </si>
  <si>
    <t>Table27'!$G$9</t>
  </si>
  <si>
    <t>Table27'!$G$10</t>
  </si>
  <si>
    <t>Table27'!$G$11</t>
  </si>
  <si>
    <t>Table27'!$G$12</t>
  </si>
  <si>
    <t>Table27'!$G$13</t>
  </si>
  <si>
    <t>Table27'!$G$14</t>
  </si>
  <si>
    <t>shs_broadcast_station_frequency1</t>
  </si>
  <si>
    <t>shs_broadcast_station_frequency2</t>
  </si>
  <si>
    <t>shs_broadcast_station_frequency3</t>
  </si>
  <si>
    <t>shs_broadcast_station_frequency4</t>
  </si>
  <si>
    <t>shs_broadcast_station_frequency5</t>
  </si>
  <si>
    <t>shs_broadcast_station_frequency6</t>
  </si>
  <si>
    <t>shs_broadcast_station_frequency7</t>
  </si>
  <si>
    <t>shs_broadcast_station_frequency8</t>
  </si>
  <si>
    <t>shs_broadcast_station_frequency9</t>
  </si>
  <si>
    <t>Table27'!$L$6</t>
  </si>
  <si>
    <t>Table27'!$L$7</t>
  </si>
  <si>
    <t>Table27'!$L$8</t>
  </si>
  <si>
    <t>Table27'!$L$9</t>
  </si>
  <si>
    <t>Table27'!$L$10</t>
  </si>
  <si>
    <t>Table27'!$L$11</t>
  </si>
  <si>
    <t>Table27'!$L$12</t>
  </si>
  <si>
    <t>Table27'!$L$13</t>
  </si>
  <si>
    <t>Table27'!$L$14</t>
  </si>
  <si>
    <t>Table27'!$Q$6</t>
  </si>
  <si>
    <t>Table27'!$Q$7</t>
  </si>
  <si>
    <t>Table27'!$Q$8</t>
  </si>
  <si>
    <t>Table27'!$Q$9</t>
  </si>
  <si>
    <t>Table27'!$Q$10</t>
  </si>
  <si>
    <t>Table27'!$Q$11</t>
  </si>
  <si>
    <t>Table27'!$Q$12</t>
  </si>
  <si>
    <t>Table27'!$Q$13</t>
  </si>
  <si>
    <t>Table27'!$Q$14</t>
  </si>
  <si>
    <t>Table27'!$V$6</t>
  </si>
  <si>
    <t>Table27'!$V$7</t>
  </si>
  <si>
    <t>Table27'!$V$8</t>
  </si>
  <si>
    <t>Table27'!$V$9</t>
  </si>
  <si>
    <t>Table27'!$V$10</t>
  </si>
  <si>
    <t>Table27'!$V$11</t>
  </si>
  <si>
    <t>Table27'!$V$12</t>
  </si>
  <si>
    <t>Table27'!$V$13</t>
  </si>
  <si>
    <t>Table27'!$V$14</t>
  </si>
  <si>
    <t>Table27'!$AA$6</t>
  </si>
  <si>
    <t>Table27'!$AA$7</t>
  </si>
  <si>
    <t>Table27'!$AA$8</t>
  </si>
  <si>
    <t>Table27'!$AA$9</t>
  </si>
  <si>
    <t>Table27'!$AA$10</t>
  </si>
  <si>
    <t>Table27'!$AA$11</t>
  </si>
  <si>
    <t>Table27'!$AA$12</t>
  </si>
  <si>
    <t>Table27'!$AA$13</t>
  </si>
  <si>
    <t>Table27'!$AA$14</t>
  </si>
  <si>
    <t>Table27'!$AF$6</t>
  </si>
  <si>
    <t>Table27'!$AF$7</t>
  </si>
  <si>
    <t>Table27'!$AF$8</t>
  </si>
  <si>
    <t>Table27'!$AF$9</t>
  </si>
  <si>
    <t>Table27'!$AF$10</t>
  </si>
  <si>
    <t>Table27'!$AF$11</t>
  </si>
  <si>
    <t>Table27'!$AF$12</t>
  </si>
  <si>
    <t>Table27'!$AF$13</t>
  </si>
  <si>
    <t>Table27'!$AF$14</t>
  </si>
  <si>
    <t>Table27'!$AK$6</t>
  </si>
  <si>
    <t>Table27'!$AK$7</t>
  </si>
  <si>
    <t>Table27'!$AK$8</t>
  </si>
  <si>
    <t>Table27'!$AK$9</t>
  </si>
  <si>
    <t>Table27'!$AK$10</t>
  </si>
  <si>
    <t>Table27'!$AK$11</t>
  </si>
  <si>
    <t>Table27'!$AK$12</t>
  </si>
  <si>
    <t>Table27'!$AK$13</t>
  </si>
  <si>
    <t>Table27'!$AK$14</t>
  </si>
  <si>
    <t>Table27'!$AP$6</t>
  </si>
  <si>
    <t>Table27'!$AP$7</t>
  </si>
  <si>
    <t>Table27'!$AP$8</t>
  </si>
  <si>
    <t>Table27'!$AP$9</t>
  </si>
  <si>
    <t>Table27'!$AP$10</t>
  </si>
  <si>
    <t>Table27'!$AP$11</t>
  </si>
  <si>
    <t>Table27'!$AP$12</t>
  </si>
  <si>
    <t>Table27'!$AP$13</t>
  </si>
  <si>
    <t>Table27'!$AP$14</t>
  </si>
  <si>
    <t>Table27'!$AU$6</t>
  </si>
  <si>
    <t>Table27'!$AU$7</t>
  </si>
  <si>
    <t>Table27'!$AU$8</t>
  </si>
  <si>
    <t>Table27'!$AU$9</t>
  </si>
  <si>
    <t>Table27'!$AU$10</t>
  </si>
  <si>
    <t>Table27'!$AU$11</t>
  </si>
  <si>
    <t>Table27'!$AU$12</t>
  </si>
  <si>
    <t>Table27'!$AU$13</t>
  </si>
  <si>
    <t>Table27'!$AU$14</t>
  </si>
  <si>
    <t>shs_broadcast_station_ntc_lic1</t>
  </si>
  <si>
    <t>shs_broadcast_station_ntc_lic2</t>
  </si>
  <si>
    <t>shs_broadcast_station_ntc_lic3</t>
  </si>
  <si>
    <t>shs_broadcast_station_ntc_lic4</t>
  </si>
  <si>
    <t>shs_broadcast_station_ntc_lic5</t>
  </si>
  <si>
    <t>shs_broadcast_station_ntc_lic6</t>
  </si>
  <si>
    <t>shs_broadcast_station_ntc_lic7</t>
  </si>
  <si>
    <t>shs_broadcast_station_ntc_lic8</t>
  </si>
  <si>
    <t>shs_broadcast_station_ntc_lic9</t>
  </si>
  <si>
    <t>shs_broadcast_station_owner_name1</t>
  </si>
  <si>
    <t>shs_broadcast_station_owner_name2</t>
  </si>
  <si>
    <t>shs_broadcast_station_owner_name3</t>
  </si>
  <si>
    <t>shs_broadcast_station_owner_name4</t>
  </si>
  <si>
    <t>shs_broadcast_station_owner_name5</t>
  </si>
  <si>
    <t>shs_broadcast_station_owner_name6</t>
  </si>
  <si>
    <t>shs_broadcast_station_owner_name7</t>
  </si>
  <si>
    <t>shs_broadcast_station_owner_name8</t>
  </si>
  <si>
    <t>shs_broadcast_station_owner_name9</t>
  </si>
  <si>
    <t>shs_broadcast_station_part_status1</t>
  </si>
  <si>
    <t>shs_broadcast_station_part_status2</t>
  </si>
  <si>
    <t>shs_broadcast_station_part_status3</t>
  </si>
  <si>
    <t>shs_broadcast_station_part_status4</t>
  </si>
  <si>
    <t>shs_broadcast_station_part_status5</t>
  </si>
  <si>
    <t>shs_broadcast_station_part_status6</t>
  </si>
  <si>
    <t>shs_broadcast_station_part_status7</t>
  </si>
  <si>
    <t>shs_broadcast_station_part_status8</t>
  </si>
  <si>
    <t>shs_broadcast_station_part_status9</t>
  </si>
  <si>
    <t>shs_broadcast_station_broadcast_start1</t>
  </si>
  <si>
    <t>shs_broadcast_station_broadcast_start2</t>
  </si>
  <si>
    <t>shs_broadcast_station_broadcast_start3</t>
  </si>
  <si>
    <t>shs_broadcast_station_broadcast_start4</t>
  </si>
  <si>
    <t>shs_broadcast_station_broadcast_start5</t>
  </si>
  <si>
    <t>shs_broadcast_station_broadcast_start6</t>
  </si>
  <si>
    <t>shs_broadcast_station_broadcast_start7</t>
  </si>
  <si>
    <t>shs_broadcast_station_broadcast_start8</t>
  </si>
  <si>
    <t>shs_broadcast_station_broadcast_start9</t>
  </si>
  <si>
    <t>shs_broadcast_station_tel_cell1</t>
  </si>
  <si>
    <t>shs_broadcast_station_tel_cell2</t>
  </si>
  <si>
    <t>shs_broadcast_station_tel_cell3</t>
  </si>
  <si>
    <t>shs_broadcast_station_tel_cell4</t>
  </si>
  <si>
    <t>shs_broadcast_station_tel_cell5</t>
  </si>
  <si>
    <t>shs_broadcast_station_tel_cell6</t>
  </si>
  <si>
    <t>shs_broadcast_station_tel_cell7</t>
  </si>
  <si>
    <t>shs_broadcast_station_tel_cell8</t>
  </si>
  <si>
    <t>shs_broadcast_station_tel_cell9</t>
  </si>
  <si>
    <t>shs_broadcast_station_add1</t>
  </si>
  <si>
    <t>shs_broadcast_station_add2</t>
  </si>
  <si>
    <t>shs_broadcast_station_add3</t>
  </si>
  <si>
    <t>shs_broadcast_station_add4</t>
  </si>
  <si>
    <t>shs_broadcast_station_add5</t>
  </si>
  <si>
    <t>shs_broadcast_station_add6</t>
  </si>
  <si>
    <t>shs_broadcast_station_add7</t>
  </si>
  <si>
    <t>shs_broadcast_station_add8</t>
  </si>
  <si>
    <t>shs_broadcast_station_add9</t>
  </si>
  <si>
    <t>shs_broadcast_station_e_add1</t>
  </si>
  <si>
    <t>shs_broadcast_station_e_add2</t>
  </si>
  <si>
    <t>shs_broadcast_station_e_add3</t>
  </si>
  <si>
    <t>shs_broadcast_station_e_add4</t>
  </si>
  <si>
    <t>shs_broadcast_station_e_add5</t>
  </si>
  <si>
    <t>shs_broadcast_station_e_add6</t>
  </si>
  <si>
    <t>shs_broadcast_station_e_add7</t>
  </si>
  <si>
    <t>shs_broadcast_station_e_add8</t>
  </si>
  <si>
    <t>shs_broadcast_station_e_add9</t>
  </si>
  <si>
    <t>sch_shs_radio_purpose1</t>
  </si>
  <si>
    <t>sch_shs_radio_purpose2</t>
  </si>
  <si>
    <t>sch_shs_radio_purpose3</t>
  </si>
  <si>
    <t>sch_shs_radio_purpose4</t>
  </si>
  <si>
    <t>sch_shs_radio_purpose5</t>
  </si>
  <si>
    <t>sch_shs_radio_purpose6</t>
  </si>
  <si>
    <t>sch_shs_radio_purpose7</t>
  </si>
  <si>
    <t>sch_shs_radio_purpose8</t>
  </si>
  <si>
    <t>sch_shs_radio_purpose9</t>
  </si>
  <si>
    <t>sch_shs_radio_purpose10</t>
  </si>
  <si>
    <t>sch_shs_radio_frequency1</t>
  </si>
  <si>
    <t>sch_shs_radio_frequency2</t>
  </si>
  <si>
    <t>sch_shs_radio_frequency3</t>
  </si>
  <si>
    <t>sch_shs_radio_frequency4</t>
  </si>
  <si>
    <t>sch_shs_radio_frequency5</t>
  </si>
  <si>
    <t>sch_shs_radio_frequency6</t>
  </si>
  <si>
    <t>sch_shs_radio_frequency7</t>
  </si>
  <si>
    <t>sch_shs_radio_frequency8</t>
  </si>
  <si>
    <t>sch_shs_radio_frequency9</t>
  </si>
  <si>
    <t>sch_shs_radio_frequency10</t>
  </si>
  <si>
    <t>combo_sch_shs_radio_type1</t>
  </si>
  <si>
    <t>combo_sch_shs_radio_type2</t>
  </si>
  <si>
    <t>combo_sch_shs_radio_type3</t>
  </si>
  <si>
    <t>combo_sch_shs_radio_type4</t>
  </si>
  <si>
    <t>combo_sch_shs_radio_type5</t>
  </si>
  <si>
    <t>combo_sch_shs_radio_type6</t>
  </si>
  <si>
    <t>combo_sch_shs_radio_type7</t>
  </si>
  <si>
    <t>combo_sch_shs_radio_type8</t>
  </si>
  <si>
    <t>combo_sch_shs_radio_type9</t>
  </si>
  <si>
    <t>sch_shs_radio_ntc_lic1</t>
  </si>
  <si>
    <t>sch_shs_radio_ntc_lic2</t>
  </si>
  <si>
    <t>sch_shs_radio_ntc_lic3</t>
  </si>
  <si>
    <t>sch_shs_radio_ntc_lic4</t>
  </si>
  <si>
    <t>sch_shs_radio_ntc_lic5</t>
  </si>
  <si>
    <t>sch_shs_radio_ntc_lic6</t>
  </si>
  <si>
    <t>sch_shs_radio_ntc_lic7</t>
  </si>
  <si>
    <t>sch_shs_radio_ntc_lic8</t>
  </si>
  <si>
    <t>sch_shs_radio_ntc_lic9</t>
  </si>
  <si>
    <t>sch_shs_radio_ntc_lic10</t>
  </si>
  <si>
    <t>sch_shs_radio_unit1</t>
  </si>
  <si>
    <t>sch_shs_radio_unit2</t>
  </si>
  <si>
    <t>sch_shs_radio_unit3</t>
  </si>
  <si>
    <t>sch_shs_radio_unit4</t>
  </si>
  <si>
    <t>sch_shs_radio_unit5</t>
  </si>
  <si>
    <t>sch_shs_radio_unit6</t>
  </si>
  <si>
    <t>sch_shs_radio_unit7</t>
  </si>
  <si>
    <t>sch_shs_radio_unit8</t>
  </si>
  <si>
    <t>sch_shs_radio_unit9</t>
  </si>
  <si>
    <t>sch_shs_radio_unit10</t>
  </si>
  <si>
    <t>Table28'!$B$7</t>
  </si>
  <si>
    <t>Table28'!$B$8</t>
  </si>
  <si>
    <t>Table28'!$B$9</t>
  </si>
  <si>
    <t>Table28'!$B$10</t>
  </si>
  <si>
    <t>Table28'!$B$11</t>
  </si>
  <si>
    <t>Table28'!$B$12</t>
  </si>
  <si>
    <t>Table28'!$B$13</t>
  </si>
  <si>
    <t>Table28'!$B$14</t>
  </si>
  <si>
    <t>Table28'!$B$15</t>
  </si>
  <si>
    <t>Table28'!$B$16</t>
  </si>
  <si>
    <t>Table28'!$J$7</t>
  </si>
  <si>
    <t>Table28'!$J$8</t>
  </si>
  <si>
    <t>Table28'!$J$9</t>
  </si>
  <si>
    <t>Table28'!$J$10</t>
  </si>
  <si>
    <t>Table28'!$J$11</t>
  </si>
  <si>
    <t>Table28'!$J$12</t>
  </si>
  <si>
    <t>Table28'!$J$13</t>
  </si>
  <si>
    <t>Table28'!$J$14</t>
  </si>
  <si>
    <t>Table28'!$J$15</t>
  </si>
  <si>
    <t>Table28'!$J$16</t>
  </si>
  <si>
    <t>Table28'!$R$7</t>
  </si>
  <si>
    <t>Table28'!$R$8</t>
  </si>
  <si>
    <t>Table28'!$R$9</t>
  </si>
  <si>
    <t>Table28'!$R$10</t>
  </si>
  <si>
    <t>Table28'!$R$11</t>
  </si>
  <si>
    <t>Table28'!$R$12</t>
  </si>
  <si>
    <t>Table28'!$R$13</t>
  </si>
  <si>
    <t>Table28'!$R$14</t>
  </si>
  <si>
    <t>Table28'!$R$15</t>
  </si>
  <si>
    <t>Table28'!$R$16</t>
  </si>
  <si>
    <t>Table28'!$Z$7</t>
  </si>
  <si>
    <t>Table28'!$Z$8</t>
  </si>
  <si>
    <t>Table28'!$Z$9</t>
  </si>
  <si>
    <t>Table28'!$Z$10</t>
  </si>
  <si>
    <t>Table28'!$Z$11</t>
  </si>
  <si>
    <t>Table28'!$Z$12</t>
  </si>
  <si>
    <t>Table28'!$Z$13</t>
  </si>
  <si>
    <t>Table28'!$Z$14</t>
  </si>
  <si>
    <t>Table28'!$Z$15</t>
  </si>
  <si>
    <t>Table28'!$Z$16</t>
  </si>
  <si>
    <t>Table28'!$AH$7</t>
  </si>
  <si>
    <t>Table28'!$AH$8</t>
  </si>
  <si>
    <t>Table28'!$AH$9</t>
  </si>
  <si>
    <t>Table28'!$AH$10</t>
  </si>
  <si>
    <t>Table28'!$AH$11</t>
  </si>
  <si>
    <t>Table28'!$AH$12</t>
  </si>
  <si>
    <t>Table28'!$AH$13</t>
  </si>
  <si>
    <t>Table28'!$AH$14</t>
  </si>
  <si>
    <t>Table28'!$AH$15</t>
  </si>
  <si>
    <t>Table28'!$AH$16</t>
  </si>
  <si>
    <t>shs_sch_radio</t>
  </si>
  <si>
    <t>combo_sch_shs_radio_type10</t>
  </si>
  <si>
    <t>electrical_supply_sources_grid</t>
  </si>
  <si>
    <t>shs_electricity</t>
  </si>
  <si>
    <t>electrical_supply_sources_offgrid</t>
  </si>
  <si>
    <t>electrical_offgrid_solar_power</t>
  </si>
  <si>
    <t>electrical_offgrid_generator</t>
  </si>
  <si>
    <t>electrical_offgrid_others</t>
  </si>
  <si>
    <t>electrical_offgrid_others_specify</t>
  </si>
  <si>
    <t>electrical_no_source</t>
  </si>
  <si>
    <t>ave_cost_monthly_bills_amount</t>
  </si>
  <si>
    <t>electrical_funding_source_mooe</t>
  </si>
  <si>
    <t>electrical_funding_source_lgu</t>
  </si>
  <si>
    <t>electrical_funding_source_pta</t>
  </si>
  <si>
    <t>electrical_funding_source_canteen</t>
  </si>
  <si>
    <t>electrical_funding_source_private</t>
  </si>
  <si>
    <t>electrical_funding_source_others</t>
  </si>
  <si>
    <t>electrical_funding_source_others_specify</t>
  </si>
  <si>
    <t>electrical_available_inaday_hours</t>
  </si>
  <si>
    <t>do_accountant_name</t>
  </si>
  <si>
    <t>do_accountant_pos</t>
  </si>
  <si>
    <t>phyfacoor_doengr_name</t>
  </si>
  <si>
    <t>phyfacoor_doengr_pos</t>
  </si>
  <si>
    <t>mooe_alloc_jantodec_amount</t>
  </si>
  <si>
    <t>shs_mooe</t>
  </si>
  <si>
    <t>utili_jantodec_amount</t>
  </si>
  <si>
    <t>liqui_jantodec_amount</t>
  </si>
  <si>
    <t>Table29-Box8!$J$6</t>
  </si>
  <si>
    <t>Table29-Box8!$J$7</t>
  </si>
  <si>
    <t>Table29-Box8!$J$8</t>
  </si>
  <si>
    <t>Table29-Box8'!$AB$6</t>
  </si>
  <si>
    <t>Table29-Box8'!$AB$7</t>
  </si>
  <si>
    <t>Table29-Box8'!$AE$8</t>
  </si>
  <si>
    <t>Table29-Box8'!$AE$9</t>
  </si>
  <si>
    <t>Table29-Box8'!$AE$10</t>
  </si>
  <si>
    <t>Table29-Box8'!$AJ$10</t>
  </si>
  <si>
    <t>Table29-Box8'!$AB$11</t>
  </si>
  <si>
    <t>Table29-Box8'!$AQ$12</t>
  </si>
  <si>
    <t>Table29-Box8'!$AB$14</t>
  </si>
  <si>
    <t>Table29-Box8'!$AB$15</t>
  </si>
  <si>
    <t>Table29-Box8'!$AB$16</t>
  </si>
  <si>
    <t>Table29-Box8'!$AH$14</t>
  </si>
  <si>
    <t>Table29-Box8'!$AH$15</t>
  </si>
  <si>
    <t>Table29-Box8'!$AH$16</t>
  </si>
  <si>
    <t>Table29-Box8'!$AM$16</t>
  </si>
  <si>
    <t>Table29-Box8'!$AN$17</t>
  </si>
  <si>
    <t>Table29-Box8'!$B$24</t>
  </si>
  <si>
    <t>Table29-Box8'!$F$26</t>
  </si>
  <si>
    <t>Table29-Box8'!$AJ$24</t>
  </si>
  <si>
    <t>Table29-Box8'!$AN$26</t>
  </si>
  <si>
    <t>site_deped</t>
  </si>
  <si>
    <t>shs_site_ownership</t>
  </si>
  <si>
    <t>site_lgu</t>
  </si>
  <si>
    <t>site_othergov</t>
  </si>
  <si>
    <t>site_prvt_ind</t>
  </si>
  <si>
    <t>site_yes</t>
  </si>
  <si>
    <t>site_yes_oct</t>
  </si>
  <si>
    <t>site_yes_tct</t>
  </si>
  <si>
    <t>site_yes_cloa</t>
  </si>
  <si>
    <t>site_yes_spl_patent</t>
  </si>
  <si>
    <t>site_yes_pres_proc</t>
  </si>
  <si>
    <t>site_yes_tax_dec</t>
  </si>
  <si>
    <t>site_yes_deed_abso</t>
  </si>
  <si>
    <t>site_yes_deed_donation</t>
  </si>
  <si>
    <t>site_yes_cert_stew</t>
  </si>
  <si>
    <t>site_yes_slup</t>
  </si>
  <si>
    <t>site_yes_usufruct</t>
  </si>
  <si>
    <t>site_yes_moa</t>
  </si>
  <si>
    <t>site_yes_lease</t>
  </si>
  <si>
    <t>site_yes_others</t>
  </si>
  <si>
    <t>site_specify</t>
  </si>
  <si>
    <t>site_land_area</t>
  </si>
  <si>
    <t>site_modeyr_donation</t>
  </si>
  <si>
    <t>site_modeyr_purchase</t>
  </si>
  <si>
    <t>site_modeyr_usufruct_agree</t>
  </si>
  <si>
    <t>site_modeyr_expropriation</t>
  </si>
  <si>
    <t>site_modeyr_exchange_swapping</t>
  </si>
  <si>
    <t>site_modeyr_pres_proc</t>
  </si>
  <si>
    <t>site_modeyr_spl_patent</t>
  </si>
  <si>
    <t>site_modeyr_cloa</t>
  </si>
  <si>
    <t>site_modeyr_slup</t>
  </si>
  <si>
    <t>site_modeyr_others</t>
  </si>
  <si>
    <t>site_mode_specify</t>
  </si>
  <si>
    <t>site_mode_donation</t>
  </si>
  <si>
    <t>site_mode_purchase</t>
  </si>
  <si>
    <t>site_mode_usufruct_agree</t>
  </si>
  <si>
    <t>site_mode_expropriation</t>
  </si>
  <si>
    <t>site_mode_exchange_swapping</t>
  </si>
  <si>
    <t>site_mode_pres_proc</t>
  </si>
  <si>
    <t>site_mode_spl_patent</t>
  </si>
  <si>
    <t>site_mode_cloa</t>
  </si>
  <si>
    <t>site_mode_slup</t>
  </si>
  <si>
    <t>site_mode_others</t>
  </si>
  <si>
    <t>site_w_ancesdom_usuyes</t>
  </si>
  <si>
    <t>site_w_ancesdom_cadtyes</t>
  </si>
  <si>
    <t>site_w_ancesland_usuyes</t>
  </si>
  <si>
    <t>site_w_ancesland_caltyes</t>
  </si>
  <si>
    <t>site_leg_own_adverseclaim</t>
  </si>
  <si>
    <t>site_leg_own_encroach</t>
  </si>
  <si>
    <t>site_leg_own_willegalsetler</t>
  </si>
  <si>
    <t>site_leg_own_others</t>
  </si>
  <si>
    <t>site_leg_own_specify</t>
  </si>
  <si>
    <t>site_schsite_protec_area</t>
  </si>
  <si>
    <t>site_schsite_timber_forest</t>
  </si>
  <si>
    <t>loc_althighway</t>
  </si>
  <si>
    <t>shs_school_location</t>
  </si>
  <si>
    <t>loc_bythillside</t>
  </si>
  <si>
    <t>loc_ontopmount</t>
  </si>
  <si>
    <t>loc_onsmllisland</t>
  </si>
  <si>
    <t>loc_nearcoast</t>
  </si>
  <si>
    <t>loc_nearriverwway</t>
  </si>
  <si>
    <t>loc_nearfaultl</t>
  </si>
  <si>
    <t>loc_other</t>
  </si>
  <si>
    <t>loc_other_specify</t>
  </si>
  <si>
    <t>Box9'!$E$7</t>
  </si>
  <si>
    <t>Box9'!$E$8</t>
  </si>
  <si>
    <t>Box9'!$I$7</t>
  </si>
  <si>
    <t>Box9'!$I$8</t>
  </si>
  <si>
    <t>Box9'!$E$12</t>
  </si>
  <si>
    <t>Box9'!$E$13</t>
  </si>
  <si>
    <t>Box9'!$E$14</t>
  </si>
  <si>
    <t>Box9'!$E$15</t>
  </si>
  <si>
    <t>Box9'!$E$16</t>
  </si>
  <si>
    <t>Box9'!$E$17</t>
  </si>
  <si>
    <t>Box9'!$E$18</t>
  </si>
  <si>
    <t>Box9'!$E$19</t>
  </si>
  <si>
    <t>Box9'!$E$20</t>
  </si>
  <si>
    <t>Box9'!$E$23</t>
  </si>
  <si>
    <t>Box9'!$E$24</t>
  </si>
  <si>
    <t>Box9'!$E$25</t>
  </si>
  <si>
    <t>Box9'!$E$26</t>
  </si>
  <si>
    <t>Box9'!$J$26</t>
  </si>
  <si>
    <t>Box9'!$T$20</t>
  </si>
  <si>
    <t>Box9cont-Box10'!$D$32</t>
  </si>
  <si>
    <t>Box9cont-Box10'!$D$33</t>
  </si>
  <si>
    <t>Box9cont-Box10'!$M$31</t>
  </si>
  <si>
    <t>Box9cont-Box10'!$M$32</t>
  </si>
  <si>
    <t>Box9cont-Box10'!$M$33</t>
  </si>
  <si>
    <t>Box9cont-Box10'!$W$31</t>
  </si>
  <si>
    <t>Box9cont-Box10'!$W$32</t>
  </si>
  <si>
    <t>Box9cont-Box10'!$AB$32</t>
  </si>
  <si>
    <t>Box9cont-Box10'!$D$31</t>
  </si>
  <si>
    <t>Box9'!$I$9</t>
  </si>
  <si>
    <t>Box9'!$E$11</t>
  </si>
  <si>
    <t>Box9'!$E$22</t>
  </si>
  <si>
    <t>site_yes_flag</t>
  </si>
  <si>
    <t>Box9'!$AB$5</t>
  </si>
  <si>
    <t>Box9'!$AD$10</t>
  </si>
  <si>
    <t>Box9'!$AD$11</t>
  </si>
  <si>
    <t>Box9'!$AD$12</t>
  </si>
  <si>
    <t>Box9'!$AD$13</t>
  </si>
  <si>
    <t>Box9'!$AD$14</t>
  </si>
  <si>
    <t>Box9'!$AD$15</t>
  </si>
  <si>
    <t>Box9'!$AD$16</t>
  </si>
  <si>
    <t>Box9'!$AD$19</t>
  </si>
  <si>
    <t>Box9'!$AD$9</t>
  </si>
  <si>
    <t>Box9'!$S$9</t>
  </si>
  <si>
    <t>Box9'!$S$10</t>
  </si>
  <si>
    <t>Box9'!$S$11</t>
  </si>
  <si>
    <t>Box9'!$S$12</t>
  </si>
  <si>
    <t>Box9'!$S$13</t>
  </si>
  <si>
    <t>Box9'!$S$14</t>
  </si>
  <si>
    <t>Box9'!$S$15</t>
  </si>
  <si>
    <t>Box9'!$S$16</t>
  </si>
  <si>
    <t>Box9'!$S$19</t>
  </si>
  <si>
    <t>Box9'!$S$18</t>
  </si>
  <si>
    <t>Box9'!$AD$18</t>
  </si>
  <si>
    <t>Box9'!$AL$7</t>
  </si>
  <si>
    <t>Box9'!$AL$9</t>
  </si>
  <si>
    <t>Box9'!$AL$18</t>
  </si>
  <si>
    <t>Box9'!$AL$19</t>
  </si>
  <si>
    <t>Box9'!$AL$20</t>
  </si>
  <si>
    <t>Box9'!$AL$12</t>
  </si>
  <si>
    <t>Box9'!$AL$14</t>
  </si>
  <si>
    <t>Box9'!$AL$17</t>
  </si>
  <si>
    <t>Box9'!$AQ$20</t>
  </si>
  <si>
    <t>Box9'!$AL$24</t>
  </si>
  <si>
    <t>Box9'!$AL$25</t>
  </si>
  <si>
    <t>sch_health_learners_dewormed_g11_m</t>
  </si>
  <si>
    <t>shs_dewormed</t>
  </si>
  <si>
    <t>sch_health_learners_dewormed_g11_f</t>
  </si>
  <si>
    <t>sch_health_learners_dewormed_g12_m</t>
  </si>
  <si>
    <t>sch_health_learners_dewormed_g12_f</t>
  </si>
  <si>
    <t>shs_vaccinated</t>
  </si>
  <si>
    <t>sch_health_nsw_normal_g11_m</t>
  </si>
  <si>
    <t>shs_nutritional_status</t>
  </si>
  <si>
    <t>sch_health_nsw_normal_g11_f</t>
  </si>
  <si>
    <t>sch_health_nsw_normal_g12_m</t>
  </si>
  <si>
    <t>sch_health_nsw_normal_g12_f</t>
  </si>
  <si>
    <t>sch_health_nsw_obese_g11_m</t>
  </si>
  <si>
    <t>sch_health_nsw_obese_g11_f</t>
  </si>
  <si>
    <t>sch_health_nsw_obese_g12_m</t>
  </si>
  <si>
    <t>sch_health_nsw_obese_g12_f</t>
  </si>
  <si>
    <t>sch_health_nsw_overweight_g11_m</t>
  </si>
  <si>
    <t>sch_health_nsw_overweight_g11_f</t>
  </si>
  <si>
    <t>sch_health_nsw_overweight_g12_m</t>
  </si>
  <si>
    <t>sch_health_nsw_overweight_g12_f</t>
  </si>
  <si>
    <t>sch_health_nsw_severelywasted_g11_m</t>
  </si>
  <si>
    <t>sch_health_nsw_severelywasted_g11_f</t>
  </si>
  <si>
    <t>sch_health_nsw_severelywasted_g12_m</t>
  </si>
  <si>
    <t>sch_health_nsw_severelywasted_g12_f</t>
  </si>
  <si>
    <t>sch_health_nsw_wasted_g11_m</t>
  </si>
  <si>
    <t>sch_health_nsw_wasted_g11_f</t>
  </si>
  <si>
    <t>sch_health_nsw_wasted_g12_m</t>
  </si>
  <si>
    <t>sch_health_nsw_wasted_g12_f</t>
  </si>
  <si>
    <t>sch_health_nsh_severely_stunted_g11_m</t>
  </si>
  <si>
    <t>sch_health_nsh_severely_stunted_g11_f</t>
  </si>
  <si>
    <t>sch_health_nsh_severely_stunted_g12_m</t>
  </si>
  <si>
    <t>sch_health_nsh_severely_stunted_g12_f</t>
  </si>
  <si>
    <t>sch_health_nsh_stunted_g11_m</t>
  </si>
  <si>
    <t>sch_health_nsh_stunted_g11_f</t>
  </si>
  <si>
    <t>sch_health_nsh_stunted_g12_m</t>
  </si>
  <si>
    <t>sch_health_nsh_stunted_g12_f</t>
  </si>
  <si>
    <t>sch_health_nsh_normal_g11_m</t>
  </si>
  <si>
    <t>sch_health_nsh_normal_g11_f</t>
  </si>
  <si>
    <t>sch_health_nsh_normal_g12_m</t>
  </si>
  <si>
    <t>sch_health_nsh_normal_g12_f</t>
  </si>
  <si>
    <t>sch_health_nsh_tall_g11_m</t>
  </si>
  <si>
    <t>sch_health_nsh_tall_g11_f</t>
  </si>
  <si>
    <t>sch_health_nsh_tall_g12_m</t>
  </si>
  <si>
    <t>sch_health_nsh_tall_g12_f</t>
  </si>
  <si>
    <t>do_school_health_coor_name</t>
  </si>
  <si>
    <t>do_school_health_coor_pos</t>
  </si>
  <si>
    <t>Table30A-B'!$R$8</t>
  </si>
  <si>
    <t>Table30A-B'!$V$8</t>
  </si>
  <si>
    <t>Table30A-B'!$Z$8</t>
  </si>
  <si>
    <t>Table30A-B'!$AD$8</t>
  </si>
  <si>
    <t>Table30A-B'!$R$16</t>
  </si>
  <si>
    <t>Table30A-B'!$V$16</t>
  </si>
  <si>
    <t>Table30A-B'!$Z$16</t>
  </si>
  <si>
    <t>Table30A-B'!$AD$16</t>
  </si>
  <si>
    <t>Table30A-B'!$R$17</t>
  </si>
  <si>
    <t>Table30A-B'!$V$17</t>
  </si>
  <si>
    <t>Table30A-B'!$Z$17</t>
  </si>
  <si>
    <t>Table30A-B'!$AD$17</t>
  </si>
  <si>
    <t>Table30A-B'!$R$18</t>
  </si>
  <si>
    <t>Table30A-B'!$V$18</t>
  </si>
  <si>
    <t>Table30A-B'!$Z$18</t>
  </si>
  <si>
    <t>Table30A-B'!$AD$18</t>
  </si>
  <si>
    <t>Table30A-B'!$R$19</t>
  </si>
  <si>
    <t>Table30A-B'!$V$19</t>
  </si>
  <si>
    <t>Table30A-B'!$Z$19</t>
  </si>
  <si>
    <t>Table30A-B'!$AD$19</t>
  </si>
  <si>
    <t>Table30A-B'!$R$23</t>
  </si>
  <si>
    <t>Table30A-B'!$V$23</t>
  </si>
  <si>
    <t>Table30A-B'!$Z$23</t>
  </si>
  <si>
    <t>Table30A-B'!$AD$23</t>
  </si>
  <si>
    <t>Table30A-B'!$R$24</t>
  </si>
  <si>
    <t>Table30A-B'!$V$24</t>
  </si>
  <si>
    <t>Table30A-B'!$Z$24</t>
  </si>
  <si>
    <t>Table30A-B'!$AD$24</t>
  </si>
  <si>
    <t>Table30A-B'!$R$25</t>
  </si>
  <si>
    <t>Table30A-B'!$V$25</t>
  </si>
  <si>
    <t>Table30A-B'!$Z$25</t>
  </si>
  <si>
    <t>Table30A-B'!$AD$25</t>
  </si>
  <si>
    <t>Table30A-B'!$R$7</t>
  </si>
  <si>
    <t>Table30A-B'!$V$7</t>
  </si>
  <si>
    <t>Table30A-B'!$Z$7</t>
  </si>
  <si>
    <t>Table30A-B'!$AD$7</t>
  </si>
  <si>
    <t>Table30A-B'!$R$15</t>
  </si>
  <si>
    <t>Table30A-B'!$V$15</t>
  </si>
  <si>
    <t>Table30A-B'!$Z$15</t>
  </si>
  <si>
    <t>Table30A-B'!$AD$15</t>
  </si>
  <si>
    <t>Table30A-B'!$R$22</t>
  </si>
  <si>
    <t>Table30A-B'!$V$22</t>
  </si>
  <si>
    <t>Table30A-B'!$Z$22</t>
  </si>
  <si>
    <t>Table30A-B'!$AD$22</t>
  </si>
  <si>
    <t>Table30A-B'!$Q$42</t>
  </si>
  <si>
    <t>Table30A-B'!$U$44</t>
  </si>
  <si>
    <t>sch_female_learners_wifa_with_consent_g11</t>
  </si>
  <si>
    <t>sch_female_learners_wifa_with_consent_g12</t>
  </si>
  <si>
    <t>sch_clinic_designated_yes</t>
  </si>
  <si>
    <t>shs_clinic</t>
  </si>
  <si>
    <t>sch_clinic_designated_teach_yes</t>
  </si>
  <si>
    <t>sch_clinic_scale_bathroom_unit</t>
  </si>
  <si>
    <t>sch_clinic_scale_beambalance_unit</t>
  </si>
  <si>
    <t>sch_clinic_scale_others_specify_unit</t>
  </si>
  <si>
    <t>sch_clinic_scale_others_unit</t>
  </si>
  <si>
    <t>sch_clinic_tools_height_tapemeasure</t>
  </si>
  <si>
    <t>sch_clinic_tools_height_steeltape</t>
  </si>
  <si>
    <t>sch_clinic_tools_height_microtoise</t>
  </si>
  <si>
    <t>sch_clinic_tools_height_stadiometer</t>
  </si>
  <si>
    <t>sch_clinic_tools_height_others_specify_value</t>
  </si>
  <si>
    <t>sch_clinic_tools_height_others_value</t>
  </si>
  <si>
    <t>sch_clinic_first_aids</t>
  </si>
  <si>
    <t>sch_clinic_thermometers</t>
  </si>
  <si>
    <t>sch_clinic_bpa</t>
  </si>
  <si>
    <t>sch_clinic_training</t>
  </si>
  <si>
    <t>Tables30C-D-Box11!$O$6</t>
  </si>
  <si>
    <t>Tables30C-D-Box11!$R$6</t>
  </si>
  <si>
    <t>Tables30C-D-Box11!$U$6</t>
  </si>
  <si>
    <t>Tables30C-D-Box11!$X$6</t>
  </si>
  <si>
    <t>Tables30C-D-Box11!$R$11</t>
  </si>
  <si>
    <t>Tables30C-D-Box11!$W$11</t>
  </si>
  <si>
    <t>Tables30C-D-Box11!$R$12</t>
  </si>
  <si>
    <t>Tables30C-D-Box11!$W$12</t>
  </si>
  <si>
    <t>Tables30C-D-Box11!$R$13</t>
  </si>
  <si>
    <t>Tables30C-D-Box11!$W$13</t>
  </si>
  <si>
    <t>Tables30C-D-Box11!$U$18</t>
  </si>
  <si>
    <t>Tables30C-D-Box11!$U$20</t>
  </si>
  <si>
    <t>Tables30C-D-Box11!$S$26</t>
  </si>
  <si>
    <t>Tables30C-D-Box11!$S$27</t>
  </si>
  <si>
    <t>Tables30C-D-Box11!$K$28</t>
  </si>
  <si>
    <t>Tables30C-D-Box11!$S$28</t>
  </si>
  <si>
    <t>Tables30C-D-Box11!$H$32</t>
  </si>
  <si>
    <t>Tables30C-D-Box11!$H$33</t>
  </si>
  <si>
    <t>Tables30C-D-Box11!$O$32</t>
  </si>
  <si>
    <t>Tables30C-D-Box11!$O$33</t>
  </si>
  <si>
    <t>Tables30C-D-Box11!$U$32</t>
  </si>
  <si>
    <t>Tables30C-D-Box11!$Z$32</t>
  </si>
  <si>
    <t>Tables30C-D-Box11!$X$34</t>
  </si>
  <si>
    <t>Tables30C-D-Box11!$X$35</t>
  </si>
  <si>
    <t>Tables30C-D-Box11!$X$36</t>
  </si>
  <si>
    <t>Tables30C-D-Box11!$X$37</t>
  </si>
  <si>
    <t>sch_female_learners_given_wifa_july_sept_2020_g11</t>
  </si>
  <si>
    <t>sch_female_learners_given_wifa_july_sept_2020_g12</t>
  </si>
  <si>
    <t>sch_female_learners_given_wifa_jan_mar_2021_g11</t>
  </si>
  <si>
    <t>sch_female_learners_given_wifa_jan_mar_2021_g12</t>
  </si>
  <si>
    <t>sch_ws_wsource_yes</t>
  </si>
  <si>
    <t>shs_water</t>
  </si>
  <si>
    <t>sch_ws_ifyshs_pipe</t>
  </si>
  <si>
    <t>sch_ws_ifyshs_well</t>
  </si>
  <si>
    <t>sch_ws_ifyshs_natural</t>
  </si>
  <si>
    <t>sch_ws_ifyshs_rainwater</t>
  </si>
  <si>
    <t>sch_ws_ifyshs_others</t>
  </si>
  <si>
    <t>sch_ws_ifyshs_others_specify</t>
  </si>
  <si>
    <t>sch_ws_ifyshs_avecost</t>
  </si>
  <si>
    <t>sch_ws_ifyshs_fundsource_schmooe</t>
  </si>
  <si>
    <t>sch_ws_ifyshs_fundsource_lgu</t>
  </si>
  <si>
    <t>sch_ws_ifyshs_fundsource_pta</t>
  </si>
  <si>
    <t>sch_ws_ifyshs_fundsource_schcanteen</t>
  </si>
  <si>
    <t>sch_ws_ifyshs_fundsource_private</t>
  </si>
  <si>
    <t>sch_ws_ifyshs_fundsource_others</t>
  </si>
  <si>
    <t>sch_ws_ifyshs_fundsource_others_specify</t>
  </si>
  <si>
    <t>sch_ws_drinking_yes</t>
  </si>
  <si>
    <t>sch_ws_water_safety_yes</t>
  </si>
  <si>
    <t>sch_ws_result_safe_yes</t>
  </si>
  <si>
    <t>sch_ws_ifyshs_test_frequency_monthly</t>
  </si>
  <si>
    <t>sch_ws_ifyshs_test_frequency_annually</t>
  </si>
  <si>
    <t>sch_ws_ifyshs_test_frequency_quarterly</t>
  </si>
  <si>
    <t>sch_ws_ifyshs_test_frequent_others</t>
  </si>
  <si>
    <t>sch_ws_ifyshs_test_frequent_others_specify</t>
  </si>
  <si>
    <t>sch_ws_ifyshs_test_last</t>
  </si>
  <si>
    <t>sch_ws_ifyshs_water_unavailable_yes</t>
  </si>
  <si>
    <t>sch_ws_ifyshs_mechanism_yes</t>
  </si>
  <si>
    <t>sch_ws_mechanism_ifyshs_bring_water</t>
  </si>
  <si>
    <t>sch_ws_mechanism_ifyshs_refillable_containers</t>
  </si>
  <si>
    <t>sch_ws_mechanism_ifyshs_accessible_water</t>
  </si>
  <si>
    <t>sch_ws_mechanism_ifyshs_others</t>
  </si>
  <si>
    <t>sch_ws_mechanism_ifyshs_others_specify</t>
  </si>
  <si>
    <t>sch_wf_group_hw_wsoap</t>
  </si>
  <si>
    <t>sch_wf_group_hw_wosoap</t>
  </si>
  <si>
    <t>sch_wf_group_hw_nonfunctional</t>
  </si>
  <si>
    <t>sch_wf_group_hw_no_water_outlets</t>
  </si>
  <si>
    <t>sch_wf_individual_hw_wsoap</t>
  </si>
  <si>
    <t>sch_wf_individual_hw_wosoap</t>
  </si>
  <si>
    <t>sch_wf_individual_hw_nonfunctional</t>
  </si>
  <si>
    <t>sch_wf_individual_hw_no_water_outlets</t>
  </si>
  <si>
    <t>Box12-Table31'!$AD$5</t>
  </si>
  <si>
    <t>Box12-Table31'!$J$8</t>
  </si>
  <si>
    <t>Box12-Table31'!$J$9</t>
  </si>
  <si>
    <t>Box12-Table31'!$J$10</t>
  </si>
  <si>
    <t>Box12-Table31'!$X$8</t>
  </si>
  <si>
    <t>Box12-Table31'!$X$9</t>
  </si>
  <si>
    <t>Box12-Table31'!$AC$9</t>
  </si>
  <si>
    <t>Box12-Table31'!$X$11</t>
  </si>
  <si>
    <t>Box12-Table31'!$J$13</t>
  </si>
  <si>
    <t>Box12-Table31'!$J$14</t>
  </si>
  <si>
    <t>Box12-Table31'!$J$15</t>
  </si>
  <si>
    <t>Box12-Table31'!$X$13</t>
  </si>
  <si>
    <t>Box12-Table31'!$X$14</t>
  </si>
  <si>
    <t>Box12-Table31'!$X$15</t>
  </si>
  <si>
    <t>Box12-Table31'!$AD$15</t>
  </si>
  <si>
    <t>Box12-Table31'!$AD$16</t>
  </si>
  <si>
    <t>Box12-Table31'!$AD$17</t>
  </si>
  <si>
    <t>Box12-Table31!$AD$18</t>
  </si>
  <si>
    <t>Box12-Table31'!$J$20</t>
  </si>
  <si>
    <t>Box12-Table31'!$X$20</t>
  </si>
  <si>
    <t>Box12-Table31'!$J$21</t>
  </si>
  <si>
    <t>Box12-Table31'!$X$21</t>
  </si>
  <si>
    <t>Box12-Table31'!$AD$21</t>
  </si>
  <si>
    <t>Box12-Table31'!$U$22</t>
  </si>
  <si>
    <t>Box12-Table31'!$AD$23</t>
  </si>
  <si>
    <t>Box12-Table31'!$AD$25</t>
  </si>
  <si>
    <t>Box12-Table31'!$J$27</t>
  </si>
  <si>
    <t>Box12-Table31'!$J$28</t>
  </si>
  <si>
    <t>Box12-Table31'!$J$29</t>
  </si>
  <si>
    <t>Box12-Table31'!$J$30</t>
  </si>
  <si>
    <t>Box12-Table31'!$P$30</t>
  </si>
  <si>
    <t>Box12-Table31'!$M$40</t>
  </si>
  <si>
    <t>Box12-Table31'!$R$40</t>
  </si>
  <si>
    <t>Box12-Table31'!$W$40</t>
  </si>
  <si>
    <t>Box12-Table31'!$AG$40</t>
  </si>
  <si>
    <t>Box12-Table31'!$M$41</t>
  </si>
  <si>
    <t>Box12-Table31'!$R$41</t>
  </si>
  <si>
    <t>Box12-Table31'!$W$41</t>
  </si>
  <si>
    <t>Box12-Table31'!$AG$41</t>
  </si>
  <si>
    <t>sch_oralh_details_num_lexamined_g11</t>
  </si>
  <si>
    <t>shs_oral_health</t>
  </si>
  <si>
    <t>sch_oralh_details_num_lexamined_g12</t>
  </si>
  <si>
    <t>sch_oralh_details_num_learner_dmftpermatet_11</t>
  </si>
  <si>
    <t>sch_oralh_details_num_learner_dmftpermatet_12</t>
  </si>
  <si>
    <t>sch_oralh_details_num_dmftpermatet_g11</t>
  </si>
  <si>
    <t>sch_oralh_details_num_dmftpermatet_g12</t>
  </si>
  <si>
    <t>sch_oralh_details_num_learner_dmfttempotet_g11</t>
  </si>
  <si>
    <t>sch_oralh_details_num_learner_dmfttempotet_g12</t>
  </si>
  <si>
    <t>sch_oralh_details_num_dmfttempotet_g11</t>
  </si>
  <si>
    <t>sch_oralh_details_num_dmfttempotet_g12</t>
  </si>
  <si>
    <t>sch_oralh_details_num_learner_fthgumdisease_g11</t>
  </si>
  <si>
    <t>sch_oralh_details_num_learner_fthgumdisease_g12</t>
  </si>
  <si>
    <t>sch_oralh_details_num_learner_wosigdentalanom_g11</t>
  </si>
  <si>
    <t>sch_oralh_details_num_learner_wosigdentalanom_g12</t>
  </si>
  <si>
    <t>mednurse_num_learn_exam_g11</t>
  </si>
  <si>
    <t>shs_medical_services</t>
  </si>
  <si>
    <t>mednurse_num_learn_exam_g12</t>
  </si>
  <si>
    <t>mednurse_num_learn_findings_g11</t>
  </si>
  <si>
    <t>mednurse_num_learn_findings_g12</t>
  </si>
  <si>
    <t>mednurse_num_learn_given_intervention_g11</t>
  </si>
  <si>
    <t>mednurse_num_learn_given_intervention_g12</t>
  </si>
  <si>
    <t>mednurse_num_learn_referred_g11</t>
  </si>
  <si>
    <t>mednurse_num_learn_referred_g12</t>
  </si>
  <si>
    <t>shs_mental_health</t>
  </si>
  <si>
    <t>Tables32-34'!$M$35</t>
  </si>
  <si>
    <t>Tables32-34'!$O$35</t>
  </si>
  <si>
    <t>Tables32-34'!$Q$35</t>
  </si>
  <si>
    <t>Tables32-34'!$S$35</t>
  </si>
  <si>
    <t>Tables32-34'!$U$35</t>
  </si>
  <si>
    <t>Tables32-34'!$W$35</t>
  </si>
  <si>
    <t>Tables32-34'!$Y$35</t>
  </si>
  <si>
    <t>Tables32-34'!$AA$35</t>
  </si>
  <si>
    <t>Tables32-34'!$AC$35</t>
  </si>
  <si>
    <t>Tables32-34'!$AE$35</t>
  </si>
  <si>
    <t>Tables32-34'!$AG$35</t>
  </si>
  <si>
    <t>Tables32-34'!$AI$35</t>
  </si>
  <si>
    <t>Tables32-34'!$AK$35</t>
  </si>
  <si>
    <t>Tables32-34'!$AM$35</t>
  </si>
  <si>
    <t>Tables32-34'!$AO$35</t>
  </si>
  <si>
    <t>Tables32-34'!$AQ$35</t>
  </si>
  <si>
    <t>Tables32-34'!$Q$6</t>
  </si>
  <si>
    <t>Tables32-34'!$V$6</t>
  </si>
  <si>
    <t>Tables32-34'!$Q$8</t>
  </si>
  <si>
    <t>Tables32-34'!$Q$9</t>
  </si>
  <si>
    <t>Tables32-34'!$Q$11</t>
  </si>
  <si>
    <t>Tables32-34'!$Q$12</t>
  </si>
  <si>
    <t>Tables32-34'!$Q$13</t>
  </si>
  <si>
    <t>Tables32-34'!$Q$14</t>
  </si>
  <si>
    <t>Tables32-34'!$V$8</t>
  </si>
  <si>
    <t>Tables32-34'!$V$9</t>
  </si>
  <si>
    <t>Tables32-34'!$V$11</t>
  </si>
  <si>
    <t>Tables32-34'!$V$12</t>
  </si>
  <si>
    <t>Tables32-34'!$V$13</t>
  </si>
  <si>
    <t>Tables32-34'!$V$14</t>
  </si>
  <si>
    <t>Tables32-34'!$Q$24</t>
  </si>
  <si>
    <t>Tables32-34'!$Q$25</t>
  </si>
  <si>
    <t>Tables32-34'!$Q$26</t>
  </si>
  <si>
    <t>Tables32-34'!$Q$27</t>
  </si>
  <si>
    <t>Tables32-34'!$V$24</t>
  </si>
  <si>
    <t>Tables32-34'!$V$25</t>
  </si>
  <si>
    <t>Tables32-34'!$V$26</t>
  </si>
  <si>
    <t>Tables32-34'!$V$27</t>
  </si>
  <si>
    <t>Tables32-34'!$G$35</t>
  </si>
  <si>
    <t>Tables32-34'!$I$35</t>
  </si>
  <si>
    <t>Tables32-34'!$K$35</t>
  </si>
  <si>
    <t>Tables32-34'!$AS$35</t>
  </si>
  <si>
    <t>Tables32-34'!$AU$35</t>
  </si>
  <si>
    <t>Tables32-34'!$AW$35</t>
  </si>
  <si>
    <t>Tables32-34'!$AY$35</t>
  </si>
  <si>
    <t>Tables32-34'!$BA$35</t>
  </si>
  <si>
    <t>Tables32-34'!$BC$35</t>
  </si>
  <si>
    <t>Tables32-34'!$BE$35</t>
  </si>
  <si>
    <t>Tables32-34'!$BG$35</t>
  </si>
  <si>
    <t>Tables32-34'!$BI$35</t>
  </si>
  <si>
    <t>Tables32-34'!$G$36</t>
  </si>
  <si>
    <t>Tables32-34'!$I$36</t>
  </si>
  <si>
    <t>Tables32-34'!$K$36</t>
  </si>
  <si>
    <t>Tables32-34'!$M$36</t>
  </si>
  <si>
    <t>Tables32-34'!$O$36</t>
  </si>
  <si>
    <t>Tables32-34'!$Q$36</t>
  </si>
  <si>
    <t>Tables32-34'!$S$36</t>
  </si>
  <si>
    <t>Tables32-34'!$U$36</t>
  </si>
  <si>
    <t>Tables32-34'!$W$36</t>
  </si>
  <si>
    <t>Tables32-34'!$Y$36</t>
  </si>
  <si>
    <t>Tables32-34'!$AA$36</t>
  </si>
  <si>
    <t>Tables32-34'!$AC$36</t>
  </si>
  <si>
    <t>Tables32-34'!$AE$36</t>
  </si>
  <si>
    <t>Tables32-34'!$AG$36</t>
  </si>
  <si>
    <t>Tables32-34'!$AI$36</t>
  </si>
  <si>
    <t>Tables32-34'!$AK$36</t>
  </si>
  <si>
    <t>Tables32-34'!$AM$36</t>
  </si>
  <si>
    <t>Tables32-34'!$AO$36</t>
  </si>
  <si>
    <t>Tables32-34'!$AQ$36</t>
  </si>
  <si>
    <t>Tables32-34'!$AS$36</t>
  </si>
  <si>
    <t>Tables32-34'!$AU$36</t>
  </si>
  <si>
    <t>Tables32-34'!$AW$36</t>
  </si>
  <si>
    <t>Tables32-34'!$AY$36</t>
  </si>
  <si>
    <t>Tables32-34'!$BA$36</t>
  </si>
  <si>
    <t>Tables32-34'!$BC$36</t>
  </si>
  <si>
    <t>Tables32-34'!$BE$36</t>
  </si>
  <si>
    <t>Tables32-34'!$BG$36</t>
  </si>
  <si>
    <t>Tables32-34'!$BI$36</t>
  </si>
  <si>
    <t>sch_guidance_officeyes</t>
  </si>
  <si>
    <t>sch_reg_guidance_counselyes</t>
  </si>
  <si>
    <t>sch_mental_guidancelcoun_numlearner_g11</t>
  </si>
  <si>
    <t>sch_mental_guidancelcoun_numlearner_g12</t>
  </si>
  <si>
    <t>sch_screening_toolyes</t>
  </si>
  <si>
    <t>sch_celebrate_nmhwyes</t>
  </si>
  <si>
    <t>sch_train_learnyes</t>
  </si>
  <si>
    <t>sch_exca_bull_amongl_g11</t>
  </si>
  <si>
    <t>sch_exca_mental_amongl_g11</t>
  </si>
  <si>
    <t>sch_excac_suiprevent_amongl_g11</t>
  </si>
  <si>
    <t>sch_excac_selfcare_amongl_g11</t>
  </si>
  <si>
    <t>sch_excac_psycho_amongl_g11</t>
  </si>
  <si>
    <t>sch_excac_other_amongl_g11</t>
  </si>
  <si>
    <t>sch_exca_bull_amongl_g12</t>
  </si>
  <si>
    <t>sch_exca_mental_amongl_g12</t>
  </si>
  <si>
    <t>sch_excac_suiprevent_amongl_g12</t>
  </si>
  <si>
    <t>sch_excac_selfcare_amongl_g12</t>
  </si>
  <si>
    <t>sch_excac_psycho_amongl_g12</t>
  </si>
  <si>
    <t>sch_excac_other_amongl_g12</t>
  </si>
  <si>
    <t>sch_train_teachyes</t>
  </si>
  <si>
    <t>sch_exca_bull_amongsper_g11</t>
  </si>
  <si>
    <t>sch_exca_mental_amongsper_g11</t>
  </si>
  <si>
    <t>sch_excac_suiprevent_amongsper_g11</t>
  </si>
  <si>
    <t>sch_excac_selfcare_amongsper_g11</t>
  </si>
  <si>
    <t>sch_excac_psycho_amongsper_g11</t>
  </si>
  <si>
    <t>sch_excac_other_amongsper_g11</t>
  </si>
  <si>
    <t>sch_exca_bull_amongsper_g12</t>
  </si>
  <si>
    <t>sch_exca_mental_amongsper_g12</t>
  </si>
  <si>
    <t>sch_excac_suiprevent_amongsper_g12</t>
  </si>
  <si>
    <t>sch_excac_selfcare_amongsper_g12</t>
  </si>
  <si>
    <t>sch_excac_psycho_amongsper_g12</t>
  </si>
  <si>
    <t>sch_excac_other_amongsper_g12</t>
  </si>
  <si>
    <t>Box13!$AA$5</t>
  </si>
  <si>
    <t>Box13!$AA$7</t>
  </si>
  <si>
    <t>Box13'!$L$12</t>
  </si>
  <si>
    <t>Box13'!$L$13</t>
  </si>
  <si>
    <t>Box13!$AA$16</t>
  </si>
  <si>
    <t>Box13!$AA$18</t>
  </si>
  <si>
    <t>Box13!$AF$20</t>
  </si>
  <si>
    <t>Box13'!$I$24</t>
  </si>
  <si>
    <t>Box13'!$N$24</t>
  </si>
  <si>
    <t>Box13'!$S$24</t>
  </si>
  <si>
    <t>Box13'!$X$24</t>
  </si>
  <si>
    <t>Box13'!$AC$24</t>
  </si>
  <si>
    <t>Box13'!$AH$24</t>
  </si>
  <si>
    <t>Box13'!$I$25</t>
  </si>
  <si>
    <t>Box13'!$N$25</t>
  </si>
  <si>
    <t>Box13'!$S$25</t>
  </si>
  <si>
    <t>Box13'!$X$25</t>
  </si>
  <si>
    <t>Box13'!$AC$25</t>
  </si>
  <si>
    <t>Box13'!$AH$25</t>
  </si>
  <si>
    <t>Box13!$AF$28</t>
  </si>
  <si>
    <t>Box13'!$I$32</t>
  </si>
  <si>
    <t>Box13'!$N$32</t>
  </si>
  <si>
    <t>Box13'!$S$32</t>
  </si>
  <si>
    <t>Box13'!$X$32</t>
  </si>
  <si>
    <t>Box13'!$AC$32</t>
  </si>
  <si>
    <t>Box13'!$AH$32</t>
  </si>
  <si>
    <t>Box13'!$I$33</t>
  </si>
  <si>
    <t>Box13'!$N$33</t>
  </si>
  <si>
    <t>Box13'!$S$33</t>
  </si>
  <si>
    <t>Box13'!$X$33</t>
  </si>
  <si>
    <t>Box13'!$AC$33</t>
  </si>
  <si>
    <t>Box13'!$AH$33</t>
  </si>
  <si>
    <t>sch_cancer_leuk_patient_amongl</t>
  </si>
  <si>
    <t>shs_physical_health</t>
  </si>
  <si>
    <t>sch_cancer_leuk_livingw_amongl</t>
  </si>
  <si>
    <t>sch_cancer_leuk_survivor_amongl</t>
  </si>
  <si>
    <t>sch_cancer_leuk_died_amongl</t>
  </si>
  <si>
    <t>sch_cancer_brainspine_patient_amongl</t>
  </si>
  <si>
    <t>sch_cancer_brainspine_livingw_amongl</t>
  </si>
  <si>
    <t>sch_cancer_brainspine_survivor_amongl</t>
  </si>
  <si>
    <t>sch_cancer_brainspine_died_amongl</t>
  </si>
  <si>
    <t>sch_cancer_othrs_patient_amongl</t>
  </si>
  <si>
    <t>sch_cancer_othrs_livingw_amongl</t>
  </si>
  <si>
    <t>sch_cancer_othrs_survivor_amongl</t>
  </si>
  <si>
    <t>sch_cancer_othrs_died_amongl</t>
  </si>
  <si>
    <t>sch_cancer_breast_patient_amongsper</t>
  </si>
  <si>
    <t>sch_cancer_breast_livingw_amongsper</t>
  </si>
  <si>
    <t>sch_cancer_breast_survivor_amongsper</t>
  </si>
  <si>
    <t>sch_cancer_breast_died_amongsper</t>
  </si>
  <si>
    <t>sch_cancer_lung_patient_amongsper</t>
  </si>
  <si>
    <t>sch_cancer_lung_livingw_amongsper</t>
  </si>
  <si>
    <t>sch_cancer_lung_survivor_amongsper</t>
  </si>
  <si>
    <t>sch_cancer_lung_died_amongsper</t>
  </si>
  <si>
    <t>sch_cancer_othrs_patient_amongsper</t>
  </si>
  <si>
    <t>sch_cancer_othrs_livingw_amongsper</t>
  </si>
  <si>
    <t>sch_cancer_othrs_survivor_amongsper</t>
  </si>
  <si>
    <t>sch_cancer_othrs_died_amongsper</t>
  </si>
  <si>
    <t>Box14!$P$10</t>
  </si>
  <si>
    <t>Box14!$W$10</t>
  </si>
  <si>
    <t>Box14!$AD$10</t>
  </si>
  <si>
    <t>Box14!$AK$10</t>
  </si>
  <si>
    <t>Box14!$P$11</t>
  </si>
  <si>
    <t>Box14!$W$11</t>
  </si>
  <si>
    <t>Box14!$AD$11</t>
  </si>
  <si>
    <t>Box14!$AK$11</t>
  </si>
  <si>
    <t>Box14!$P$20</t>
  </si>
  <si>
    <t>Box14!$W$20</t>
  </si>
  <si>
    <t>Box14!$AD$20</t>
  </si>
  <si>
    <t>Box14!$AK$20</t>
  </si>
  <si>
    <t>Box14!$P$12</t>
  </si>
  <si>
    <t>Box14!$W$12</t>
  </si>
  <si>
    <t>Box14!$AD$12</t>
  </si>
  <si>
    <t>Box14!$AK$12</t>
  </si>
  <si>
    <t>Box14!$P$21</t>
  </si>
  <si>
    <t>Box14!$W$21</t>
  </si>
  <si>
    <t>Box14!$AD$21</t>
  </si>
  <si>
    <t>Box14!$AK$21</t>
  </si>
  <si>
    <t>Box14!$P$22</t>
  </si>
  <si>
    <t>Box14!$W$22</t>
  </si>
  <si>
    <t>Box14!$AD$22</t>
  </si>
  <si>
    <t>Box14!$AK$22</t>
  </si>
  <si>
    <t>sch_preg_insch_g11</t>
  </si>
  <si>
    <t>shs_reproductive_health</t>
  </si>
  <si>
    <t>sch_preg_adm_g11</t>
  </si>
  <si>
    <t>sch_preg_transin_g11</t>
  </si>
  <si>
    <t>sch_preg_transout_g11</t>
  </si>
  <si>
    <t>sch_preg_drop_g11</t>
  </si>
  <si>
    <t>sch_preg_insch_g12</t>
  </si>
  <si>
    <t>sch_preg_adm_g12</t>
  </si>
  <si>
    <t>sch_preg_transin_g12</t>
  </si>
  <si>
    <t>sch_preg_transout_g12</t>
  </si>
  <si>
    <t>sch_preg_drop_g12</t>
  </si>
  <si>
    <t>sch_impreg_insch_g11</t>
  </si>
  <si>
    <t>sch_impreg_adm_g11</t>
  </si>
  <si>
    <t>sch_impreg_transin_g11</t>
  </si>
  <si>
    <t>sch_impreg_transout_g11</t>
  </si>
  <si>
    <t>sch_impreg_drop_g11</t>
  </si>
  <si>
    <t>sch_impreg_insch_g12</t>
  </si>
  <si>
    <t>sch_impreg_adm_g12</t>
  </si>
  <si>
    <t>sch_impreg_transin_g12</t>
  </si>
  <si>
    <t>sch_impreg_transout_g12</t>
  </si>
  <si>
    <t>sch_impreg_drop_g12</t>
  </si>
  <si>
    <t>sch_operational_centeryes</t>
  </si>
  <si>
    <t>sch_train_hivaids_g11</t>
  </si>
  <si>
    <t>sch_train_asrh_g11</t>
  </si>
  <si>
    <t>sch_train_arh_g11</t>
  </si>
  <si>
    <t>sch_train_teen_g11</t>
  </si>
  <si>
    <t>sch_train_redcross_g11</t>
  </si>
  <si>
    <t>sch_train_hivaids_g12</t>
  </si>
  <si>
    <t>sch_train_asrh_g12</t>
  </si>
  <si>
    <t>sch_train_arh_g12</t>
  </si>
  <si>
    <t>sch_train_teen_g12</t>
  </si>
  <si>
    <t>sch_train_redcross_g12</t>
  </si>
  <si>
    <t>sch_train_teach_aja_g11</t>
  </si>
  <si>
    <t>sch_train_teach_adept_g11</t>
  </si>
  <si>
    <t>sch_train_teach_hivaids_g11</t>
  </si>
  <si>
    <t>sch_train_teach_aja_g12</t>
  </si>
  <si>
    <t>sch_train_teach_adept_g12</t>
  </si>
  <si>
    <t>sch_train_teach_hivaids_g12</t>
  </si>
  <si>
    <t>Box15!$N$9</t>
  </si>
  <si>
    <t>Box15!$T$9</t>
  </si>
  <si>
    <t>Box15!$Z$9</t>
  </si>
  <si>
    <t>Box15!$AF$9</t>
  </si>
  <si>
    <t>Box15!$AL$9</t>
  </si>
  <si>
    <t>Box15!$N$10</t>
  </si>
  <si>
    <t>Box15!$T$10</t>
  </si>
  <si>
    <t>Box15!$Z$10</t>
  </si>
  <si>
    <t>Box15!$AF$10</t>
  </si>
  <si>
    <t>Box15!$AL$10</t>
  </si>
  <si>
    <t>Box15!$N$17</t>
  </si>
  <si>
    <t>Box15!$T$17</t>
  </si>
  <si>
    <t>Box15!$Z$17</t>
  </si>
  <si>
    <t>Box15!$AF$17</t>
  </si>
  <si>
    <t>Box15!$AL$17</t>
  </si>
  <si>
    <t>Box15!$N$18</t>
  </si>
  <si>
    <t>Box15!$T$18</t>
  </si>
  <si>
    <t>Box15!$Z$18</t>
  </si>
  <si>
    <t>Box15!$AF$18</t>
  </si>
  <si>
    <t>Box15!$AL$18</t>
  </si>
  <si>
    <t>Box15!$AA$21</t>
  </si>
  <si>
    <t>Box15!$N$26</t>
  </si>
  <si>
    <t>Box15!$T$26</t>
  </si>
  <si>
    <t>Box15!$Z$26</t>
  </si>
  <si>
    <t>Box15!$AF$26</t>
  </si>
  <si>
    <t>Box15!$AL$26</t>
  </si>
  <si>
    <t>Box15!$N$27</t>
  </si>
  <si>
    <t>Box15!$T$27</t>
  </si>
  <si>
    <t>Box15!$Z$27</t>
  </si>
  <si>
    <t>Box15!$AF$27</t>
  </si>
  <si>
    <t>Box15!$AL$27</t>
  </si>
  <si>
    <t>Box15!$N$33</t>
  </si>
  <si>
    <t>Box15!$T$33</t>
  </si>
  <si>
    <t>Box15!$Z$33</t>
  </si>
  <si>
    <t>Box15!$N$34</t>
  </si>
  <si>
    <t>Box15!$T$34</t>
  </si>
  <si>
    <t>Box15!$Z$34</t>
  </si>
  <si>
    <t>sch_nosmoking_sign_yes</t>
  </si>
  <si>
    <t>shs_tobacco_control</t>
  </si>
  <si>
    <t>sch_nosmoking_postschgate_yes</t>
  </si>
  <si>
    <t>sch_store_tobaccoyess</t>
  </si>
  <si>
    <t>sch_store_ecigaryes</t>
  </si>
  <si>
    <t>tobacco_measures_partnerships</t>
  </si>
  <si>
    <t>tobacco_measures_partnerships_instrument</t>
  </si>
  <si>
    <t>tobacco_measures_partnerships_not_connected</t>
  </si>
  <si>
    <t>sch_sh_smoke_not_endsennds</t>
  </si>
  <si>
    <t>sch_sh_endsennds_not_smoke</t>
  </si>
  <si>
    <t>sch_sh_both_smoke_endsennds</t>
  </si>
  <si>
    <t>sch_sh_neither_smoke_endsennds</t>
  </si>
  <si>
    <t>sch_teach_smoke_not_endsennds_g11</t>
  </si>
  <si>
    <t>sch_teach_endsennds_not_smoke_g11</t>
  </si>
  <si>
    <t>sch_teach_both_smoke_endsennds_g11</t>
  </si>
  <si>
    <t>sch_teach_smoke_not_endsennds_g12</t>
  </si>
  <si>
    <t>sch_teach_endsennds_not_smoke_g12</t>
  </si>
  <si>
    <t>sch_teach_both_smoke_endsennds_g12</t>
  </si>
  <si>
    <t>sch_learn_smoke_not_endsennds_g11</t>
  </si>
  <si>
    <t>sch_learn_endsennds_not_smoke_g11</t>
  </si>
  <si>
    <t>sch_learn_both_smoke_endsennds_g11</t>
  </si>
  <si>
    <t>sch_learn_smoke_not_endsennds_g12</t>
  </si>
  <si>
    <t>sch_learn_endsennds_not_smoke_g12</t>
  </si>
  <si>
    <t>sch_learn_both_smoke_endsennds_g12</t>
  </si>
  <si>
    <t>Box16'!$AI$6</t>
  </si>
  <si>
    <t>Box16'!$AI$7</t>
  </si>
  <si>
    <t>Box16'!$AI$10</t>
  </si>
  <si>
    <t>Box16'!$AI$11</t>
  </si>
  <si>
    <t>Box16'!$AI$13</t>
  </si>
  <si>
    <t>Box16'!$AI$14</t>
  </si>
  <si>
    <t>Box16'!$AI$15</t>
  </si>
  <si>
    <t>Box16!$G$19</t>
  </si>
  <si>
    <t>Box16!$G$20</t>
  </si>
  <si>
    <t>Box16!$AA$19</t>
  </si>
  <si>
    <t>Box16!$AA$20</t>
  </si>
  <si>
    <t>Box16!$P$28</t>
  </si>
  <si>
    <t>Box16!$Y$28</t>
  </si>
  <si>
    <t>Box16!$AH$28</t>
  </si>
  <si>
    <t>Box16!$P$29</t>
  </si>
  <si>
    <t>Box16!$Y$29</t>
  </si>
  <si>
    <t>Box16!$AH$29</t>
  </si>
  <si>
    <t>Box16!$P$38</t>
  </si>
  <si>
    <t>Box16!$Y$38</t>
  </si>
  <si>
    <t>Box16!$AH$38</t>
  </si>
  <si>
    <t>Box16!$P$39</t>
  </si>
  <si>
    <t>Box16!$Y$39</t>
  </si>
  <si>
    <t>Box16!$AH$39</t>
  </si>
  <si>
    <t>natpdruged_implement_yes</t>
  </si>
  <si>
    <t>shs_drug_education</t>
  </si>
  <si>
    <t>natpdruged_compart_curriculumin</t>
  </si>
  <si>
    <t>natpdruged_compart_partnwbadac</t>
  </si>
  <si>
    <t>natpdruged_compart_extrcurriact</t>
  </si>
  <si>
    <t>natpdruged_compart_other_specify</t>
  </si>
  <si>
    <t>natpdruged_compart_other</t>
  </si>
  <si>
    <t>natpdruged_coord_yes</t>
  </si>
  <si>
    <t>natpdruged_cl_corners_number</t>
  </si>
  <si>
    <t>natpdruged_established_bkd_yes</t>
  </si>
  <si>
    <t>natpdruged_learn_bkd_g11</t>
  </si>
  <si>
    <t>natpdruged_learn_bkd_g12</t>
  </si>
  <si>
    <t>natpdruged_learn_train_g11</t>
  </si>
  <si>
    <t>natpdruged_learn_train_g12</t>
  </si>
  <si>
    <t>ok_sa_deped_focal</t>
  </si>
  <si>
    <t>shs_ok_sa_deped</t>
  </si>
  <si>
    <t>ok_sa_deped_ohw</t>
  </si>
  <si>
    <t>ok_sa_deped_fbpageyes</t>
  </si>
  <si>
    <t>ok_sa_deped_fbpage_add</t>
  </si>
  <si>
    <t>Boxes17-18!$AG$5</t>
  </si>
  <si>
    <t>Boxes17-18!$M$7</t>
  </si>
  <si>
    <t>Boxes17-18!$W$7</t>
  </si>
  <si>
    <t>Boxes17-18!$M$8</t>
  </si>
  <si>
    <t>Boxes17-18!$W$8</t>
  </si>
  <si>
    <t>Boxes17-18!$AB$8</t>
  </si>
  <si>
    <t>Boxes17-18!$AG$9</t>
  </si>
  <si>
    <t>Boxes17-18!$AG$10</t>
  </si>
  <si>
    <t>Boxes17-18!$AG$11</t>
  </si>
  <si>
    <t>Boxes17-18!$S$14</t>
  </si>
  <si>
    <t>Boxes17-18!$S$15</t>
  </si>
  <si>
    <t>Boxes17-18!$S$20</t>
  </si>
  <si>
    <t>Boxes17-18!$S$21</t>
  </si>
  <si>
    <t>Boxes17-18!$AG$28</t>
  </si>
  <si>
    <t>Boxes17-18!$AG$29</t>
  </si>
  <si>
    <t>Boxes17-18!$AG$230</t>
  </si>
  <si>
    <t>Boxes17-18!$AG$231</t>
  </si>
  <si>
    <t>fp_has_yes</t>
  </si>
  <si>
    <t>shs_feeding</t>
  </si>
  <si>
    <t>fp_fundsource_mooe</t>
  </si>
  <si>
    <t>fp_fundsource_lgufund</t>
  </si>
  <si>
    <t>fp_fundsource_brgyfund</t>
  </si>
  <si>
    <t>fp_fundsource_sbfp</t>
  </si>
  <si>
    <t>fp_fundsource_scfund</t>
  </si>
  <si>
    <t>fp_fundsource_ptafund</t>
  </si>
  <si>
    <t>fp_fundsource_privatefund</t>
  </si>
  <si>
    <t>fp_fundsource_others</t>
  </si>
  <si>
    <t>fp_fundsource_others_specify</t>
  </si>
  <si>
    <t>fp_agri_gulayan</t>
  </si>
  <si>
    <t>fp_agri_gulayan_legumes</t>
  </si>
  <si>
    <t>fp_agri_gulayan_leafy</t>
  </si>
  <si>
    <t>fp_agri_gulayan_fruit</t>
  </si>
  <si>
    <t>fp_agri_gulayan_rootcrops</t>
  </si>
  <si>
    <t>fp_agri_fishpond</t>
  </si>
  <si>
    <t>fp_agri_crops</t>
  </si>
  <si>
    <t>fp_agri_livestock</t>
  </si>
  <si>
    <t>fp_agri_others</t>
  </si>
  <si>
    <t>fp_agri_others_specify</t>
  </si>
  <si>
    <t>fp_agri_none</t>
  </si>
  <si>
    <t>fp_agri_usedfp_yes</t>
  </si>
  <si>
    <t>fp_agri_fundsource_mooe</t>
  </si>
  <si>
    <t>fp_agri_fundsource_lgufund</t>
  </si>
  <si>
    <t>fp_agri_fundsource_brgyfund</t>
  </si>
  <si>
    <t>fp_agri_fundsource_others</t>
  </si>
  <si>
    <t>fp_agri_fundsource_others_specify</t>
  </si>
  <si>
    <t>Boxes10-12'!$AM$20</t>
  </si>
  <si>
    <t>fp_agri_fundsource_scfund</t>
  </si>
  <si>
    <t>fp_agri_fundsource_ptafund</t>
  </si>
  <si>
    <t>fp_agri_fundsource_privatefund</t>
  </si>
  <si>
    <t>fh_has_canteen_yes</t>
  </si>
  <si>
    <t>shs_food_handling</t>
  </si>
  <si>
    <t>fh_canteen_mngd_sch</t>
  </si>
  <si>
    <t>fh_canteen_mngd_sch_sanitary</t>
  </si>
  <si>
    <t>fh_canteen_mngd_sch_validity</t>
  </si>
  <si>
    <t>fh_canteen_mngd_sch_personnel_health_yes</t>
  </si>
  <si>
    <t>fh_canteen_mngd_tchcoop</t>
  </si>
  <si>
    <t>fh_canteen_mngd_tchcoop_sanitary</t>
  </si>
  <si>
    <t>fh_canteen_mngd_tchcoop_validity</t>
  </si>
  <si>
    <t>fh_canteen_mngd_tchcoop_personnel_health_yes</t>
  </si>
  <si>
    <t>fh_canteen_mngd_others</t>
  </si>
  <si>
    <t>fh_canteen_mngd_others_specify</t>
  </si>
  <si>
    <t>fh_canteen_mngd_others_sanitary</t>
  </si>
  <si>
    <t>fh_canteen_mngd_others_validity</t>
  </si>
  <si>
    <t>fh_canteen_mngd_others_personnel_health_yes</t>
  </si>
  <si>
    <t>Boxes19-20'!$S$5</t>
  </si>
  <si>
    <t>Boxes19-20'!$I$7</t>
  </si>
  <si>
    <t>Boxes19-20'!$Q$7</t>
  </si>
  <si>
    <t>Boxes19-20'!$X$7</t>
  </si>
  <si>
    <t>Boxes19-20'!$AG$7</t>
  </si>
  <si>
    <t>Boxes19-20'!$I$8</t>
  </si>
  <si>
    <t>Boxes19-20'!$Q$8</t>
  </si>
  <si>
    <t>Boxes19-20'!$X$8</t>
  </si>
  <si>
    <t>Boxes19-20'!$AG$8</t>
  </si>
  <si>
    <t>Boxes19-20'!$AM$8</t>
  </si>
  <si>
    <t>Boxes19-20'!$I$11</t>
  </si>
  <si>
    <t>Boxes19-20'!$L$12</t>
  </si>
  <si>
    <t>Boxes19-20'!$Q$12</t>
  </si>
  <si>
    <t>Boxes19-20'!$X$12</t>
  </si>
  <si>
    <t>Boxes19-20'!$AD$12</t>
  </si>
  <si>
    <t>Boxes19-20'!$I$13</t>
  </si>
  <si>
    <t>Boxes19-20'!$I$14</t>
  </si>
  <si>
    <t>Boxes19-20'!$I$15</t>
  </si>
  <si>
    <t>Boxes19-20'!$I$16</t>
  </si>
  <si>
    <t>Boxes19-20'!$O$16</t>
  </si>
  <si>
    <t>Boxes19-20'!$I$17</t>
  </si>
  <si>
    <t>Boxes19-20'!$X$18</t>
  </si>
  <si>
    <t>Boxes19-20'!$I$20</t>
  </si>
  <si>
    <t>Boxes19-20'!$Q$20</t>
  </si>
  <si>
    <t>Boxes19-20'!$X$20</t>
  </si>
  <si>
    <t>Boxes19-20'!$AG$20</t>
  </si>
  <si>
    <t>Boxes19-20'!$I$21</t>
  </si>
  <si>
    <t>Boxes19-20'!$Q$21</t>
  </si>
  <si>
    <t>Boxes19-20'!$X$21</t>
  </si>
  <si>
    <t>Boxes19-20'!$O$27</t>
  </si>
  <si>
    <t>Boxes19-20'!$I$30</t>
  </si>
  <si>
    <t>Boxes19-20'!$R$30</t>
  </si>
  <si>
    <t>Boxes19-20'!$Z$30</t>
  </si>
  <si>
    <t>Boxes19-20'!$AH$30</t>
  </si>
  <si>
    <t>Boxes19-20'!$I$32</t>
  </si>
  <si>
    <t>Boxes19-20'!$R$32</t>
  </si>
  <si>
    <t>Boxes19-20'!$Z$32</t>
  </si>
  <si>
    <t>Boxes19-20'!$AH$32</t>
  </si>
  <si>
    <t>Boxes19-20'!$I$34</t>
  </si>
  <si>
    <t>Boxes19-20'!$J$35</t>
  </si>
  <si>
    <t>Boxes19-20'!$R$35</t>
  </si>
  <si>
    <t>Boxes19-20'!$Z$35</t>
  </si>
  <si>
    <t>Boxes19-20'!$AH$35</t>
  </si>
  <si>
    <t>solidwm_complieswma_yes</t>
  </si>
  <si>
    <t>shs_solid_waste</t>
  </si>
  <si>
    <t>implesolidwm_composting</t>
  </si>
  <si>
    <t>implesolidwm_postsign</t>
  </si>
  <si>
    <t>implesolidwm_usppcip</t>
  </si>
  <si>
    <t>implesolidwm_dtcp</t>
  </si>
  <si>
    <t>implesolidwm_recyclingpr</t>
  </si>
  <si>
    <t>implesolidwm_usrmtt</t>
  </si>
  <si>
    <t>implesolidwm_pmsmcon</t>
  </si>
  <si>
    <t>implesolidwm_schrep</t>
  </si>
  <si>
    <t>implesolidwm_urfc</t>
  </si>
  <si>
    <t>implesolidwm_wasteseg</t>
  </si>
  <si>
    <t>implesolidwm_stakeholder_brgy</t>
  </si>
  <si>
    <t>implesolidwm_stakeholder_localbusp</t>
  </si>
  <si>
    <t>implesolidwm_stakeholder_parents</t>
  </si>
  <si>
    <t>implesolidwm_stakeholder_commulead</t>
  </si>
  <si>
    <t>implesolidwm_stakeholder_mun_city</t>
  </si>
  <si>
    <t>opmainsanf_sanfclean_daily</t>
  </si>
  <si>
    <t>shs_operation_sanitation</t>
  </si>
  <si>
    <t>opmainsanf_sanfclean_onceawk</t>
  </si>
  <si>
    <t>opmainsanf_sanfclean_attwiceawk</t>
  </si>
  <si>
    <t>opmainsanf_sanfclean_lessonceawk</t>
  </si>
  <si>
    <t>opmainsanf_sanfclean_avecos_monbm_amount</t>
  </si>
  <si>
    <t>opmainsanf_sanfclean_payavecos_monbmes_schmooe</t>
  </si>
  <si>
    <t>opmainsanf_sanfclean_payavecos_monbmes_schcantf</t>
  </si>
  <si>
    <t>opmainsanf_sanfclean_payavecos_monbm_lgu</t>
  </si>
  <si>
    <t>opmainsanf_sanfclean_payavecos_monbm_privinds</t>
  </si>
  <si>
    <t>opmainsanf_sanfclean_payavecos_monbm_pta</t>
  </si>
  <si>
    <t>opmainsanf_sanfclean_payavecos_monbm_other</t>
  </si>
  <si>
    <t>opmainsanf_sanfclean_payavecos_monbm_other_specify</t>
  </si>
  <si>
    <t>mestrualh_avail_sanpads_yes</t>
  </si>
  <si>
    <t>shs_menstrual_hygiene</t>
  </si>
  <si>
    <t>mestrualh_avail_sanpads_yeses_schcant</t>
  </si>
  <si>
    <t>mestrualh_avail_sanpads_yes_guidoff</t>
  </si>
  <si>
    <t>mestrualh_avail_sanpads_yeses_schclinic</t>
  </si>
  <si>
    <t>mestrualh_avail_sanpads_yes_others</t>
  </si>
  <si>
    <t>mestrualh_avail_sanpads_yes_others_specify</t>
  </si>
  <si>
    <t>Boxes21-23'!$AC$5</t>
  </si>
  <si>
    <t>Boxes21-23'!$I$8</t>
  </si>
  <si>
    <t>Boxes21-23'!$V$8</t>
  </si>
  <si>
    <t>Boxes21-23'!$AH$8</t>
  </si>
  <si>
    <t>Boxes21-23'!$I$9</t>
  </si>
  <si>
    <t>Boxes21-23'!$V$9</t>
  </si>
  <si>
    <t>Boxes21-23'!$AH$9</t>
  </si>
  <si>
    <t>Boxes21-23'!$I$10</t>
  </si>
  <si>
    <t>Boxes21-23'!$V$10</t>
  </si>
  <si>
    <t>Boxes21-23'!$AH$10</t>
  </si>
  <si>
    <t>Boxes21-23'!$AH$11</t>
  </si>
  <si>
    <t>Boxes21-23'!$I$14</t>
  </si>
  <si>
    <t>Boxes21-23'!$V$14</t>
  </si>
  <si>
    <t>Boxes21-23'!$AH$14</t>
  </si>
  <si>
    <t>Boxes21-23'!$I$15</t>
  </si>
  <si>
    <t>Boxes21-23'!$V$15</t>
  </si>
  <si>
    <t>Boxes21-23'!$I$22</t>
  </si>
  <si>
    <t>Boxes21-23'!$U$22</t>
  </si>
  <si>
    <t>Boxes21-23'!$I$23</t>
  </si>
  <si>
    <t>Boxes21-23'!$U$23</t>
  </si>
  <si>
    <t>Boxes21-23'!$Z$24</t>
  </si>
  <si>
    <t>Boxes21-23'!$I$26</t>
  </si>
  <si>
    <t>Boxes21-23'!$U$26</t>
  </si>
  <si>
    <t>Boxes21-23'!$I$27</t>
  </si>
  <si>
    <t>Boxes21-23'!$U$27</t>
  </si>
  <si>
    <t>Boxes21-23'!$I$28</t>
  </si>
  <si>
    <t>Boxes21-23'!$U$28</t>
  </si>
  <si>
    <t>Boxes21-23'!$Z$28</t>
  </si>
  <si>
    <t>Boxes21-23'!$I$36</t>
  </si>
  <si>
    <t>Boxes21-23'!$U$36</t>
  </si>
  <si>
    <t>Boxes21-23'!$I$37</t>
  </si>
  <si>
    <t>Boxes21-23'!$U$37</t>
  </si>
  <si>
    <t>Boxes21-23'!ZI$37</t>
  </si>
  <si>
    <t>Boxes21-23'!$X$34</t>
  </si>
  <si>
    <t>sch_cpc_yes</t>
  </si>
  <si>
    <t>shs_child_protection</t>
  </si>
  <si>
    <t>sch_cpc_fmeet_monthly</t>
  </si>
  <si>
    <t>sch_cpc_fmeet_quarterly</t>
  </si>
  <si>
    <t>sch_cpc_fmeet_annually</t>
  </si>
  <si>
    <t>sch_cpc_fmeet_others</t>
  </si>
  <si>
    <t>sch_cpc_fmeet_others_specify</t>
  </si>
  <si>
    <t>sch_num_cpcases_refer_apprauth</t>
  </si>
  <si>
    <t>sch_studcodeconduct_yes</t>
  </si>
  <si>
    <t>cp_inc_violence_physical_lrnrs_m</t>
  </si>
  <si>
    <t>shs_child_protection_vag</t>
  </si>
  <si>
    <t>cp_inc_violence_physical_lrnrs_f</t>
  </si>
  <si>
    <t>cp_perp_violence_physical_lrnrs_schpersonnel</t>
  </si>
  <si>
    <t>cp_perp_violence_physical_lrnrs_outsider</t>
  </si>
  <si>
    <t>cp_inc_violence_sexual_lrnrs_m</t>
  </si>
  <si>
    <t>cp_inc_violence_sexual_lrnrs_f</t>
  </si>
  <si>
    <t>cp_perp_violence_sexual_lrnrs_schpersonnel</t>
  </si>
  <si>
    <t>cp_perp_violence_sexual_lrnrs_outsider</t>
  </si>
  <si>
    <t>cp_inc_violence_psychological_lrnrs_m</t>
  </si>
  <si>
    <t>cp_inc_violence_psychological_lrnrs_f</t>
  </si>
  <si>
    <t>cp_perp_violence_psychological_lrnrs_schpersonnel</t>
  </si>
  <si>
    <t>cp_perp_violence_psychological_lrnrs_outsider</t>
  </si>
  <si>
    <t>cp_inc_violence_others_lrnrs_m</t>
  </si>
  <si>
    <t>cp_inc_violence_others_lrnrs_f</t>
  </si>
  <si>
    <t>cp_perp_violence_others_lrnrs_schpersonnel</t>
  </si>
  <si>
    <t>cp_perp_violence_others_lrnrs_outsider</t>
  </si>
  <si>
    <t>cp_inc_vag_g11_m</t>
  </si>
  <si>
    <t>cp_inc_vag_g11_f</t>
  </si>
  <si>
    <t>cp_inc_vag_g12_m</t>
  </si>
  <si>
    <t>cp_inc_vag_g12_f</t>
  </si>
  <si>
    <t>cp_div_cdfp</t>
  </si>
  <si>
    <t>cp_div_cdfp_pos</t>
  </si>
  <si>
    <t>Boxes24-25!$AF$5</t>
  </si>
  <si>
    <t>Boxes24-25!$T$6</t>
  </si>
  <si>
    <t>Boxes24-25!$X$6</t>
  </si>
  <si>
    <t>Boxes24-25!$AB$6</t>
  </si>
  <si>
    <t>Boxes24-25!$AF$6</t>
  </si>
  <si>
    <t>Boxes24-25!$AK$6</t>
  </si>
  <si>
    <t>Boxes24-25!$AF$7</t>
  </si>
  <si>
    <t>Boxes24-25!$AF$9</t>
  </si>
  <si>
    <t>Boxes24-25!$O$19</t>
  </si>
  <si>
    <t>Boxes24-25!$U$19</t>
  </si>
  <si>
    <t>Boxes24-25!$AG$19</t>
  </si>
  <si>
    <t>Boxes24-25!$AM$19</t>
  </si>
  <si>
    <t>Boxes24-25!$O$20</t>
  </si>
  <si>
    <t>Boxes24-25!$U$20</t>
  </si>
  <si>
    <t>Boxes24-25!$AG$20</t>
  </si>
  <si>
    <t>Boxes24-25!$AM$20</t>
  </si>
  <si>
    <t>Boxes24-25!$O$21</t>
  </si>
  <si>
    <t>Boxes24-25!$U$21</t>
  </si>
  <si>
    <t>Boxes24-25!$AG$21</t>
  </si>
  <si>
    <t>Boxes24-25!$AM$21</t>
  </si>
  <si>
    <t>Boxes24-25!$O$22</t>
  </si>
  <si>
    <t>Boxes24-25!$U$22</t>
  </si>
  <si>
    <t>Boxes24-25!$AG$22</t>
  </si>
  <si>
    <t>Boxes24-25!$AM$22</t>
  </si>
  <si>
    <t>Boxes24-25!$O$28</t>
  </si>
  <si>
    <t>Boxes24-25!$U$28</t>
  </si>
  <si>
    <t>Boxes24-25!$O$29</t>
  </si>
  <si>
    <t>Boxes24-25!$U$29</t>
  </si>
  <si>
    <t>Boxes24-25!$T$39</t>
  </si>
  <si>
    <t>Boxes24-25!$X$41</t>
  </si>
  <si>
    <t>cp_inc_bullying_physical_lrnrs_m</t>
  </si>
  <si>
    <t>shs_child_protection_bullying</t>
  </si>
  <si>
    <t>cp_inc_bullying_physical_lrnrs_f</t>
  </si>
  <si>
    <t>cp_inc_bullying_cyber_lrnrs_m</t>
  </si>
  <si>
    <t>cp_inc_bullying_cyber_lrnrs_f</t>
  </si>
  <si>
    <t>cp_inc_bullying_genderbased_lrnrs_m</t>
  </si>
  <si>
    <t>cp_inc_bullying_genderbased_lrnrs_f</t>
  </si>
  <si>
    <t>cp_inc_bullying_social_lrnrs_m</t>
  </si>
  <si>
    <t>cp_inc_bullying_social_lrnrs_f</t>
  </si>
  <si>
    <t>cp_inc_bullying_g11_m</t>
  </si>
  <si>
    <t>cp_inc_bullying_g11_f</t>
  </si>
  <si>
    <t>cp_inc_bullying_g12_m</t>
  </si>
  <si>
    <t>cp_inc_bullying_g12_f</t>
  </si>
  <si>
    <t>cp_inc_bullying_due_physapp_g11</t>
  </si>
  <si>
    <t>cp_inc_bullying_due_physapp_g12</t>
  </si>
  <si>
    <t>cp_inc_bullying_due_statinlife_g11</t>
  </si>
  <si>
    <t>cp_inc_bullying_due_statinlife_g12</t>
  </si>
  <si>
    <t>cp_inc_bullying_due_skincolor_g11</t>
  </si>
  <si>
    <t>cp_inc_bullying_due_skincolor_g12</t>
  </si>
  <si>
    <t>cp_inc_bullying_due_age_g11</t>
  </si>
  <si>
    <t>cp_inc_bullying_due_age_g12</t>
  </si>
  <si>
    <t>cp_inc_bullying_due_gender_g11</t>
  </si>
  <si>
    <t>cp_inc_bullying_due_gender_g12</t>
  </si>
  <si>
    <t>cp_inc_bullying_due_race_g11</t>
  </si>
  <si>
    <t>cp_inc_bullying_due_race_g12</t>
  </si>
  <si>
    <t>cp_inc_bullying_due_religion_g11</t>
  </si>
  <si>
    <t>cp_inc_bullying_due_religion_g12</t>
  </si>
  <si>
    <t>cp_inc_bullying_due_disability_g11</t>
  </si>
  <si>
    <t>cp_inc_bullying_due_disability_g12</t>
  </si>
  <si>
    <t>cp_inc_bullying_due_others_g11</t>
  </si>
  <si>
    <t>cp_inc_bullying_due_others_g12</t>
  </si>
  <si>
    <t>Box26!$L$9</t>
  </si>
  <si>
    <t>Box26!$R$9</t>
  </si>
  <si>
    <t>Box26!$L$10</t>
  </si>
  <si>
    <t>Box26!$R$10</t>
  </si>
  <si>
    <t>Box26!$L$11</t>
  </si>
  <si>
    <t>Box26!$R$11</t>
  </si>
  <si>
    <t>Box26!$L$12</t>
  </si>
  <si>
    <t>Box26!$R$12</t>
  </si>
  <si>
    <t>Box26!$L$18</t>
  </si>
  <si>
    <t>Box26!$R$18</t>
  </si>
  <si>
    <t>Box26!$L$19</t>
  </si>
  <si>
    <t>Box26!$R$19</t>
  </si>
  <si>
    <t>Box26!$L$25</t>
  </si>
  <si>
    <t>Box26!$R$25</t>
  </si>
  <si>
    <t>Box26!$L$26</t>
  </si>
  <si>
    <t>Box26!$R$26</t>
  </si>
  <si>
    <t>Box26!$L$27</t>
  </si>
  <si>
    <t>Box26!$R$27</t>
  </si>
  <si>
    <t>Box26!$L$28</t>
  </si>
  <si>
    <t>Box26!$R$28</t>
  </si>
  <si>
    <t>Box26!$L$29</t>
  </si>
  <si>
    <t>Box26!$R$29</t>
  </si>
  <si>
    <t>Box26!$L$30</t>
  </si>
  <si>
    <t>Box26!$R$30</t>
  </si>
  <si>
    <t>Box26!$L$31</t>
  </si>
  <si>
    <t>Box26!$R$31</t>
  </si>
  <si>
    <t>Box26!$L$32</t>
  </si>
  <si>
    <t>Box26!$R$32</t>
  </si>
  <si>
    <t>Box26!$L$33</t>
  </si>
  <si>
    <t>Box26!$R$33</t>
  </si>
  <si>
    <t>sch_avail_sp_sportsevent_arch</t>
  </si>
  <si>
    <t>shs_sports_program</t>
  </si>
  <si>
    <t>sch_avail_sp_sportsevent_arnis</t>
  </si>
  <si>
    <t>sch_avail_sp_sportsevent_athlthrow</t>
  </si>
  <si>
    <t>sch_avail_sp_sportsevent_athlrun</t>
  </si>
  <si>
    <t>sch_avail_sp_sportsevent_badm</t>
  </si>
  <si>
    <t>sch_avail_sp_sportsevent_basket</t>
  </si>
  <si>
    <t>sch_avail_sp_sportsevent_baseball</t>
  </si>
  <si>
    <t>sch_avail_sp_sportsevent_billard</t>
  </si>
  <si>
    <t>sch_avail_sp_sportsevent_boxing</t>
  </si>
  <si>
    <t>sch_avail_sp_sportsevent_chess</t>
  </si>
  <si>
    <t>sch_avail_sp_sportsevent_dancesports</t>
  </si>
  <si>
    <t>sch_avail_sp_sportsevent_football</t>
  </si>
  <si>
    <t>sch_avail_sp_sportsevent_futsal</t>
  </si>
  <si>
    <t>sch_avail_sp_sportsevent_aerogymn</t>
  </si>
  <si>
    <t>sch_avail_sp_sportsevent_mag</t>
  </si>
  <si>
    <t>sch_avail_sp_sportsclub_arch</t>
  </si>
  <si>
    <t>sch_avail_sp_sportsclub_arnis</t>
  </si>
  <si>
    <t>sch_avail_sp_sportsclub_athlthrow</t>
  </si>
  <si>
    <t>sch_avail_sp_sportsclub_athlrun</t>
  </si>
  <si>
    <t>sch_avail_sp_sportsclub_badm</t>
  </si>
  <si>
    <t>sch_avail_sp_sportsclub_basket</t>
  </si>
  <si>
    <t>sch_avail_sp_sportsclub_baseball</t>
  </si>
  <si>
    <t>sch_avail_sp_sportsclub_billard</t>
  </si>
  <si>
    <t>sch_avail_sp_sportsclub_boxing</t>
  </si>
  <si>
    <t>sch_avail_sp_sportsclub_chess</t>
  </si>
  <si>
    <t>sch_avail_sp_sportsclub_dancesports</t>
  </si>
  <si>
    <t>sch_avail_sp_sportsclub_football</t>
  </si>
  <si>
    <t>sch_avail_sp_sportsclub_futsal</t>
  </si>
  <si>
    <t>sch_avail_sp_sportsclub_aerogymn</t>
  </si>
  <si>
    <t>sch_avail_sp_sportsclub_mag</t>
  </si>
  <si>
    <t>sch_avail_sp_sportssportsfac_arch</t>
  </si>
  <si>
    <t>sch_avail_sp_sportssportsfac_arnis</t>
  </si>
  <si>
    <t>sch_avail_sp_sportssportsfac_athlthrow</t>
  </si>
  <si>
    <t>sch_avail_sp_sportssportsfac_athlrun</t>
  </si>
  <si>
    <t>sch_avail_sp_sportssportsfac_badm</t>
  </si>
  <si>
    <t>sch_avail_sp_sportssportsfac_basket</t>
  </si>
  <si>
    <t>sch_avail_sp_sportssportsfac_baseball</t>
  </si>
  <si>
    <t>sch_avail_sp_sportssportsfac_billard</t>
  </si>
  <si>
    <t>sch_avail_sp_sportssportsfac_boxing</t>
  </si>
  <si>
    <t>sch_avail_sp_sportssportsfac_chess</t>
  </si>
  <si>
    <t>sch_avail_sp_sportssportsfac_dancesports</t>
  </si>
  <si>
    <t>sch_avail_sp_sportssportsfac_football</t>
  </si>
  <si>
    <t>sch_avail_sp_sportssportsfac_futsal</t>
  </si>
  <si>
    <t>sch_avail_sp_sportssportsfac_aerogymn</t>
  </si>
  <si>
    <t>sch_avail_sp_sportssportsfac_mag</t>
  </si>
  <si>
    <t>sch_avail_sp_sportsevent_wag</t>
  </si>
  <si>
    <t>sch_avail_sp_sportsevent_rg</t>
  </si>
  <si>
    <t>sch_avail_sp_sportsevent_pencak</t>
  </si>
  <si>
    <t>sch_avail_sp_sportsevent_sepaktakraw</t>
  </si>
  <si>
    <t>sch_avail_sp_sportsevent_softball</t>
  </si>
  <si>
    <t>sch_avail_sp_sportsevent_swimming</t>
  </si>
  <si>
    <t>sch_avail_sp_sportsevent_tabletennis</t>
  </si>
  <si>
    <t>sch_avail_sp_sportsevent_taekwondo</t>
  </si>
  <si>
    <t>sch_avail_sp_sportsevent_tennis</t>
  </si>
  <si>
    <t>sch_avail_sp_sportsevent_volleyball</t>
  </si>
  <si>
    <t>sch_avail_sp_sportsevent_wrestling</t>
  </si>
  <si>
    <t>sch_avail_sp_sportsevent_wushu</t>
  </si>
  <si>
    <t>sch_avail_sp_sportsevent_bocce</t>
  </si>
  <si>
    <t>sch_avail_sp_sportsevent_goalball</t>
  </si>
  <si>
    <t>sch_avail_sp_sportsclub_wag</t>
  </si>
  <si>
    <t>sch_avail_sp_sportsclub_rg</t>
  </si>
  <si>
    <t>sch_avail_sp_sportsclub_pencak</t>
  </si>
  <si>
    <t>sch_avail_sp_sportsclub_sepaktakraw</t>
  </si>
  <si>
    <t>sch_avail_sp_sportsclub_softball</t>
  </si>
  <si>
    <t>sch_avail_sp_sportsclub_swimming</t>
  </si>
  <si>
    <t>sch_avail_sp_sportsclub_tabletennis</t>
  </si>
  <si>
    <t>sch_avail_sp_sportsclub_taekwondo</t>
  </si>
  <si>
    <t>sch_avail_sp_sportsclub_tennis</t>
  </si>
  <si>
    <t>sch_avail_sp_sportsclub_volleyball</t>
  </si>
  <si>
    <t>sch_avail_sp_sportsclub_wrestling</t>
  </si>
  <si>
    <t>sch_avail_sp_sportsclub_wushu</t>
  </si>
  <si>
    <t>sch_avail_sp_sportsclub_bocce</t>
  </si>
  <si>
    <t>sch_avail_sp_sportsclub_goalball</t>
  </si>
  <si>
    <t>sch_avail_sp_sportssportsfac_wag</t>
  </si>
  <si>
    <t>sch_avail_sp_sportssportsfac_rg</t>
  </si>
  <si>
    <t>sch_avail_sp_sportssportsfac_pencak</t>
  </si>
  <si>
    <t>sch_avail_sp_sportssportsfac_sepaktakraw</t>
  </si>
  <si>
    <t>sch_avail_sp_sportssportsfac_softball</t>
  </si>
  <si>
    <t>sch_avail_sp_sportssportsfac_swimming</t>
  </si>
  <si>
    <t>sch_avail_sp_sportssportsfac_tabletennis</t>
  </si>
  <si>
    <t>sch_avail_sp_sportssportsfac_taekwondo</t>
  </si>
  <si>
    <t>sch_avail_sp_sportssportsfac_tennis</t>
  </si>
  <si>
    <t>sch_avail_sp_sportssportsfac_volleyball</t>
  </si>
  <si>
    <t>sch_avail_sp_sportssportsfac_wrestling</t>
  </si>
  <si>
    <t>sch_avail_sp_sportssportsfac_wushu</t>
  </si>
  <si>
    <t>sch_avail_sp_sportssportsfac_bocce</t>
  </si>
  <si>
    <t>sch_avail_sp_sportssportsfac_goalball</t>
  </si>
  <si>
    <t>do_sports_coordinator_name</t>
  </si>
  <si>
    <t>do_sports_coordinator_pos</t>
  </si>
  <si>
    <t>Box27!$P$5</t>
  </si>
  <si>
    <t>Box27!$P$6</t>
  </si>
  <si>
    <t>Box27!$P$7</t>
  </si>
  <si>
    <t>Box27!$P$8</t>
  </si>
  <si>
    <t>Box27!$P$9</t>
  </si>
  <si>
    <t>Box27!$P$10</t>
  </si>
  <si>
    <t>Box27!$P$11</t>
  </si>
  <si>
    <t>Box27!$P$12</t>
  </si>
  <si>
    <t>Box27!$P$13</t>
  </si>
  <si>
    <t>Box27!$P$14</t>
  </si>
  <si>
    <t>Box27!$P$15</t>
  </si>
  <si>
    <t>Box27!$P$16</t>
  </si>
  <si>
    <t>Box27!$P$17</t>
  </si>
  <si>
    <t>Box27!$P$18</t>
  </si>
  <si>
    <t>Box27!$P$19</t>
  </si>
  <si>
    <t>Box27!$S$5</t>
  </si>
  <si>
    <t>Box27!$S$6</t>
  </si>
  <si>
    <t>Box27!$S$7</t>
  </si>
  <si>
    <t>Box27!$S$8</t>
  </si>
  <si>
    <t>Box27!$S$9</t>
  </si>
  <si>
    <t>Box27!$S$10</t>
  </si>
  <si>
    <t>Box27!$S$11</t>
  </si>
  <si>
    <t>Box27!$S$12</t>
  </si>
  <si>
    <t>Box27!$S$13</t>
  </si>
  <si>
    <t>Box27!$S$14</t>
  </si>
  <si>
    <t>Box27!$S$15</t>
  </si>
  <si>
    <t>Box27!$S$16</t>
  </si>
  <si>
    <t>Box27!$S$17</t>
  </si>
  <si>
    <t>Box27!$S$18</t>
  </si>
  <si>
    <t>Box27!$S$19</t>
  </si>
  <si>
    <t>Box27!$V$5</t>
  </si>
  <si>
    <t>Box27!$V$6</t>
  </si>
  <si>
    <t>Box27!$V$7</t>
  </si>
  <si>
    <t>Box27!$V$8</t>
  </si>
  <si>
    <t>Box27!$V$9</t>
  </si>
  <si>
    <t>Box27!$V$10</t>
  </si>
  <si>
    <t>Box27!$V$11</t>
  </si>
  <si>
    <t>Box27!$V$12</t>
  </si>
  <si>
    <t>Box27!$V$13</t>
  </si>
  <si>
    <t>Box27!$V$14</t>
  </si>
  <si>
    <t>Box27!$V$15</t>
  </si>
  <si>
    <t>Box27!$V$16</t>
  </si>
  <si>
    <t>Box27!$V$17</t>
  </si>
  <si>
    <t>Box27!$V$18</t>
  </si>
  <si>
    <t>Box27!$V$19</t>
  </si>
  <si>
    <t>Box27!$AI$5</t>
  </si>
  <si>
    <t>Box27!$AI$6</t>
  </si>
  <si>
    <t>Box27!$AI$7</t>
  </si>
  <si>
    <t>Box27!$AI$8</t>
  </si>
  <si>
    <t>Box27!$AI$9</t>
  </si>
  <si>
    <t>Box27!$AI$10</t>
  </si>
  <si>
    <t>Box27!$AI$11</t>
  </si>
  <si>
    <t>Box27!$AI$12</t>
  </si>
  <si>
    <t>Box27!$AI$13</t>
  </si>
  <si>
    <t>Box27!$AI$14</t>
  </si>
  <si>
    <t>Box27!$AI$15</t>
  </si>
  <si>
    <t>Box27!$AI$16</t>
  </si>
  <si>
    <t>Box27!$AI$17</t>
  </si>
  <si>
    <t>Box27!$AI$18</t>
  </si>
  <si>
    <t>Box27!$AL$5</t>
  </si>
  <si>
    <t>Box27!$AL$6</t>
  </si>
  <si>
    <t>Box27!$AL$7</t>
  </si>
  <si>
    <t>Box27!$AL$8</t>
  </si>
  <si>
    <t>Box27!$AL$9</t>
  </si>
  <si>
    <t>Box27!$AL$10</t>
  </si>
  <si>
    <t>Box27!$AL$11</t>
  </si>
  <si>
    <t>Box27!$AL$12</t>
  </si>
  <si>
    <t>Box27!$AL$13</t>
  </si>
  <si>
    <t>Box27!$AL$14</t>
  </si>
  <si>
    <t>Box27!$AL$15</t>
  </si>
  <si>
    <t>Box27!$AL$16</t>
  </si>
  <si>
    <t>Box27!$AL$17</t>
  </si>
  <si>
    <t>Box27!$AL$18</t>
  </si>
  <si>
    <t>Box27!$AO$5</t>
  </si>
  <si>
    <t>Box27!$AO$6</t>
  </si>
  <si>
    <t>Box27!$AO$7</t>
  </si>
  <si>
    <t>Box27!$AO$8</t>
  </si>
  <si>
    <t>Box27!$AO$9</t>
  </si>
  <si>
    <t>Box27!$AO$10</t>
  </si>
  <si>
    <t>Box27!$AO$11</t>
  </si>
  <si>
    <t>Box27!$AO$12</t>
  </si>
  <si>
    <t>Box27!$AO$13</t>
  </si>
  <si>
    <t>Box27!$AO$14</t>
  </si>
  <si>
    <t>Box27!$AO$15</t>
  </si>
  <si>
    <t>Box27!$AO$16</t>
  </si>
  <si>
    <t>Box27!$AO$17</t>
  </si>
  <si>
    <t>Box27!$AO$18</t>
  </si>
  <si>
    <t>Box27!$Q$25</t>
  </si>
  <si>
    <t>Box27!$U$27</t>
  </si>
  <si>
    <t>sch_sp_se_num_coaches_arch</t>
  </si>
  <si>
    <t>shs_sports_personnel</t>
  </si>
  <si>
    <t>sch_sp_se_num_officials_arch</t>
  </si>
  <si>
    <t>sch_sp_se_num_peteachss_arch</t>
  </si>
  <si>
    <t>sch_sp_se_num_nonpeteachss_arch</t>
  </si>
  <si>
    <t>sch_sp_se_num_nonteachpss_arch</t>
  </si>
  <si>
    <t>sch_sp_se_num_coaches_arnis</t>
  </si>
  <si>
    <t>sch_sp_se_num_officials_arnis</t>
  </si>
  <si>
    <t>sch_sp_se_num_peteachss_arnis</t>
  </si>
  <si>
    <t>sch_sp_se_num_nonpeteachss_arnis</t>
  </si>
  <si>
    <t>sch_sp_se_num_nonteachpss_arnis</t>
  </si>
  <si>
    <t>sch_sp_se_num_coaches_athlthrow</t>
  </si>
  <si>
    <t>sch_sp_se_num_officials_athlthrow</t>
  </si>
  <si>
    <t>sch_sp_se_num_peteachss_athlthrow</t>
  </si>
  <si>
    <t>sch_sp_se_num_nonpeteachss_athlthrow</t>
  </si>
  <si>
    <t>sch_sp_se_num_nonteachpss_athlthrow</t>
  </si>
  <si>
    <t>sch_sp_se_num_coaches_athltrun</t>
  </si>
  <si>
    <t>sch_sp_se_num_officials_athltrun</t>
  </si>
  <si>
    <t>sch_sp_se_num_peteachss_athltrun</t>
  </si>
  <si>
    <t>sch_sp_se_num_nonpeteachss_athltrun</t>
  </si>
  <si>
    <t>sch_sp_se_num_nonteachpss_athltrun</t>
  </si>
  <si>
    <t>sch_sp_se_num_coaches_badm</t>
  </si>
  <si>
    <t>sch_sp_se_num_officials_badm</t>
  </si>
  <si>
    <t>sch_sp_se_num_peteachss_badm</t>
  </si>
  <si>
    <t>sch_sp_se_num_nonpeteachss_badm</t>
  </si>
  <si>
    <t>sch_sp_se_num_nonteachpss_badm</t>
  </si>
  <si>
    <t>sch_sp_se_num_coaches_basket</t>
  </si>
  <si>
    <t>sch_sp_se_num_officials_basket</t>
  </si>
  <si>
    <t>sch_sp_se_num_peteachss_basket</t>
  </si>
  <si>
    <t>sch_sp_se_num_nonpeteachss_basket</t>
  </si>
  <si>
    <t>sch_sp_se_num_nonteachpss_basket</t>
  </si>
  <si>
    <t>sch_sp_se_num_coaches_baseball</t>
  </si>
  <si>
    <t>sch_sp_se_num_officials_baseball</t>
  </si>
  <si>
    <t>sch_sp_se_num_peteachss_baseball</t>
  </si>
  <si>
    <t>sch_sp_se_num_nonpeteachss_baseball</t>
  </si>
  <si>
    <t>sch_sp_se_num_nonteachpss_baseball</t>
  </si>
  <si>
    <t>sch_sp_se_num_coaches_billard</t>
  </si>
  <si>
    <t>sch_sp_se_num_officials_billard</t>
  </si>
  <si>
    <t>sch_sp_se_num_peteachss_billard</t>
  </si>
  <si>
    <t>sch_sp_se_num_nonpeteachss_billard</t>
  </si>
  <si>
    <t>sch_sp_se_num_nonteachpss_billard</t>
  </si>
  <si>
    <t>sch_sp_se_num_coaches_boxing</t>
  </si>
  <si>
    <t>sch_sp_se_num_officials_boxing</t>
  </si>
  <si>
    <t>sch_sp_se_num_peteachss_boxing</t>
  </si>
  <si>
    <t>sch_sp_se_num_nonpeteachss_boxing</t>
  </si>
  <si>
    <t>sch_sp_se_num_nonteachpss_boxing</t>
  </si>
  <si>
    <t>sch_sp_se_num_coaches_chess</t>
  </si>
  <si>
    <t>sch_sp_se_num_officials_chess</t>
  </si>
  <si>
    <t>sch_sp_se_num_peteachss_chess</t>
  </si>
  <si>
    <t>sch_sp_se_num_nonpeteachss_chess</t>
  </si>
  <si>
    <t>sch_sp_se_num_nonteachpss_chess</t>
  </si>
  <si>
    <t>sch_sp_se_num_coaches_dancesports</t>
  </si>
  <si>
    <t>sch_sp_se_num_officials_dancesports</t>
  </si>
  <si>
    <t>sch_sp_se_num_peteachss_dancesports</t>
  </si>
  <si>
    <t>sch_sp_se_num_nonpeteachss_dancesports</t>
  </si>
  <si>
    <t>sch_sp_se_num_nonteachpss_dancesports</t>
  </si>
  <si>
    <t>sch_sp_se_num_coaches_football</t>
  </si>
  <si>
    <t>sch_sp_se_num_officials_football</t>
  </si>
  <si>
    <t>sch_sp_se_num_peteachss_football</t>
  </si>
  <si>
    <t>sch_sp_se_num_nonpeteachss_football</t>
  </si>
  <si>
    <t>sch_sp_se_num_nonteachpss_football</t>
  </si>
  <si>
    <t>sch_sp_se_num_coaches_futsal</t>
  </si>
  <si>
    <t>sch_sp_se_num_officials_futsal</t>
  </si>
  <si>
    <t>sch_sp_se_num_peteachss_futsal</t>
  </si>
  <si>
    <t>sch_sp_se_num_nonpeteachss_futsal</t>
  </si>
  <si>
    <t>sch_sp_se_num_nonteachpss_futsal</t>
  </si>
  <si>
    <t>sch_sp_se_num_coaches_aerogymn</t>
  </si>
  <si>
    <t>sch_sp_se_num_officials_aerogymn</t>
  </si>
  <si>
    <t>sch_sp_se_num_peteachss_aerogymn</t>
  </si>
  <si>
    <t>sch_sp_se_num_nonpeteachss_aerogymn</t>
  </si>
  <si>
    <t>sch_sp_se_num_nonteachpss_aerogymn</t>
  </si>
  <si>
    <t>sch_sp_se_num_coaches_mag</t>
  </si>
  <si>
    <t>sch_sp_se_num_officials_mag</t>
  </si>
  <si>
    <t>sch_sp_se_num_peteachss_mag</t>
  </si>
  <si>
    <t>sch_sp_se_num_nonpeteachss_mag</t>
  </si>
  <si>
    <t>sch_sp_se_num_nonteachpss_mag</t>
  </si>
  <si>
    <t>sch_sp_se_num_coaches_wag</t>
  </si>
  <si>
    <t>sch_sp_se_num_officials_wag</t>
  </si>
  <si>
    <t>sch_sp_se_num_peteachss_wag</t>
  </si>
  <si>
    <t>sch_sp_se_num_nonpeteachss_wag</t>
  </si>
  <si>
    <t>sch_sp_se_num_nonteachpss_wag</t>
  </si>
  <si>
    <t>sch_sp_se_num_coaches_rg</t>
  </si>
  <si>
    <t>sch_sp_se_num_officials_rg</t>
  </si>
  <si>
    <t>sch_sp_se_num_peteachss_rg</t>
  </si>
  <si>
    <t>sch_sp_se_num_nonpeteachss_rg</t>
  </si>
  <si>
    <t>sch_sp_se_num_nonteachpss_rg</t>
  </si>
  <si>
    <t>sch_sp_se_num_coaches_pencak</t>
  </si>
  <si>
    <t>sch_sp_se_num_officials_pencak</t>
  </si>
  <si>
    <t>sch_sp_se_num_peteachss_pencak</t>
  </si>
  <si>
    <t>sch_sp_se_num_nonpeteachss_pencak</t>
  </si>
  <si>
    <t>sch_sp_se_num_nonteachpss_pencak</t>
  </si>
  <si>
    <t>sch_sp_se_num_coaches_sepaktakraw</t>
  </si>
  <si>
    <t>sch_sp_se_num_officials_sepaktakraw</t>
  </si>
  <si>
    <t>sch_sp_se_num_peteachss_sepaktakraw</t>
  </si>
  <si>
    <t>sch_sp_se_num_nonpeteachss_sepaktakraw</t>
  </si>
  <si>
    <t>sch_sp_se_num_nonteachpss_sepaktakraw</t>
  </si>
  <si>
    <t>sch_sp_se_num_coaches_softball</t>
  </si>
  <si>
    <t>sch_sp_se_num_officials_softball</t>
  </si>
  <si>
    <t>sch_sp_se_num_peteachss_softball</t>
  </si>
  <si>
    <t>sch_sp_se_num_nonpeteachss_softball</t>
  </si>
  <si>
    <t>sch_sp_se_num_nonteachpss_softball</t>
  </si>
  <si>
    <t>sch_sp_se_num_coaches_swimming</t>
  </si>
  <si>
    <t>sch_sp_se_num_officials_swimming</t>
  </si>
  <si>
    <t>sch_sp_se_num_peteachss_swimming</t>
  </si>
  <si>
    <t>sch_sp_se_num_nonpeteachss_swimming</t>
  </si>
  <si>
    <t>sch_sp_se_num_nonteachpss_swimming</t>
  </si>
  <si>
    <t>sch_sp_se_num_coaches_tabletennis</t>
  </si>
  <si>
    <t>sch_sp_se_num_officials_tabletennis</t>
  </si>
  <si>
    <t>sch_sp_se_num_peteachss_tabletennis</t>
  </si>
  <si>
    <t>sch_sp_se_num_nonpeteachss_tabletennis</t>
  </si>
  <si>
    <t>sch_sp_se_num_nonteachpss_tabletennis</t>
  </si>
  <si>
    <t>sch_sp_se_num_coaches_taekwondo</t>
  </si>
  <si>
    <t>sch_sp_se_num_officials_taekwondo</t>
  </si>
  <si>
    <t>sch_sp_se_num_peteachss_taekwondo</t>
  </si>
  <si>
    <t>sch_sp_se_num_nonpeteachss_taekwondo</t>
  </si>
  <si>
    <t>sch_sp_se_num_nonteachpss_taekwondo</t>
  </si>
  <si>
    <t>sch_sp_se_num_coaches_tennis</t>
  </si>
  <si>
    <t>sch_sp_se_num_officials_tennis</t>
  </si>
  <si>
    <t>sch_sp_se_num_peteachss_tennis</t>
  </si>
  <si>
    <t>sch_sp_se_num_nonpeteachss_tennis</t>
  </si>
  <si>
    <t>sch_sp_se_num_nonteachpss_tennis</t>
  </si>
  <si>
    <t>sch_sp_se_num_coaches_volleyball</t>
  </si>
  <si>
    <t>sch_sp_se_num_officials_volleyball</t>
  </si>
  <si>
    <t>sch_sp_se_num_peteachss_volleyball</t>
  </si>
  <si>
    <t>sch_sp_se_num_nonpeteachss_volleyball</t>
  </si>
  <si>
    <t>sch_sp_se_num_nonteachpss_volleyball</t>
  </si>
  <si>
    <t>sch_sp_se_num_coaches_wrestling</t>
  </si>
  <si>
    <t>sch_sp_se_num_officials_wrestling</t>
  </si>
  <si>
    <t>sch_sp_se_num_peteachss_wrestling</t>
  </si>
  <si>
    <t>sch_sp_se_num_nonpeteachss_wrestling</t>
  </si>
  <si>
    <t>sch_sp_se_num_nonteachpss_wrestling</t>
  </si>
  <si>
    <t>sch_sp_se_num_coaches_wushu</t>
  </si>
  <si>
    <t>sch_sp_se_num_officials_wushu</t>
  </si>
  <si>
    <t>sch_sp_se_num_peteachss_wushu</t>
  </si>
  <si>
    <t>sch_sp_se_num_nonpeteachss_wushu</t>
  </si>
  <si>
    <t>sch_sp_se_num_nonteachpss_wushu</t>
  </si>
  <si>
    <t>sch_sp_se_num_coaches_bocce</t>
  </si>
  <si>
    <t>sch_sp_se_num_officials_bocce</t>
  </si>
  <si>
    <t>sch_sp_se_num_peteachss_bocce</t>
  </si>
  <si>
    <t>sch_sp_se_num_nonpeteachss_bocce</t>
  </si>
  <si>
    <t>sch_sp_se_num_nonteachpss_bocce</t>
  </si>
  <si>
    <t>sch_sp_se_num_coaches_goalball</t>
  </si>
  <si>
    <t>sch_sp_se_num_officials_goalball</t>
  </si>
  <si>
    <t>sch_sp_se_num_peteachss_goalball</t>
  </si>
  <si>
    <t>sch_sp_se_num_nonpeteachss_goalball</t>
  </si>
  <si>
    <t>sch_sp_se_num_nonteachpss_goalball</t>
  </si>
  <si>
    <t>Tables35'!$N$5</t>
  </si>
  <si>
    <t>Tables35'!$S$5</t>
  </si>
  <si>
    <t>Tables35'!$X$5</t>
  </si>
  <si>
    <t>Tables35'!$AC$5</t>
  </si>
  <si>
    <t>Tables35'!$AH$5</t>
  </si>
  <si>
    <t>Tables35'!$N$6</t>
  </si>
  <si>
    <t>Tables35'!$S$6</t>
  </si>
  <si>
    <t>Tables35'!$X$6</t>
  </si>
  <si>
    <t>Tables35'!$AC$6</t>
  </si>
  <si>
    <t>Tables35'!$AH$6</t>
  </si>
  <si>
    <t>Tables35'!$N$7</t>
  </si>
  <si>
    <t>Tables35'!$S$7</t>
  </si>
  <si>
    <t>Tables35'!$X$7</t>
  </si>
  <si>
    <t>Tables35'!$AC$7</t>
  </si>
  <si>
    <t>Tables35'!$AH$7</t>
  </si>
  <si>
    <t>Tables35'!$N$8</t>
  </si>
  <si>
    <t>Tables35'!$S$8</t>
  </si>
  <si>
    <t>Tables35'!$X$8</t>
  </si>
  <si>
    <t>Tables35'!$AC$8</t>
  </si>
  <si>
    <t>Tables35'!$AH$8</t>
  </si>
  <si>
    <t>Tables35'!$N$9</t>
  </si>
  <si>
    <t>Tables35'!$S$9</t>
  </si>
  <si>
    <t>Tables35'!$X$9</t>
  </si>
  <si>
    <t>Tables35'!$AC$9</t>
  </si>
  <si>
    <t>Tables35'!$AH$9</t>
  </si>
  <si>
    <t>Tables35'!$N$10</t>
  </si>
  <si>
    <t>Tables35'!$S$10</t>
  </si>
  <si>
    <t>Tables35'!$X$10</t>
  </si>
  <si>
    <t>Tables35'!$AC$10</t>
  </si>
  <si>
    <t>Tables35'!$AH$10</t>
  </si>
  <si>
    <t>Tables35'!$N$11</t>
  </si>
  <si>
    <t>Tables35'!$S$11</t>
  </si>
  <si>
    <t>Tables35'!$X$11</t>
  </si>
  <si>
    <t>Tables35'!$AC$11</t>
  </si>
  <si>
    <t>Tables35'!$AH$11</t>
  </si>
  <si>
    <t>Tables35'!$N$12</t>
  </si>
  <si>
    <t>Tables35'!$S$12</t>
  </si>
  <si>
    <t>Tables35'!$X$12</t>
  </si>
  <si>
    <t>Tables35'!$AC$12</t>
  </si>
  <si>
    <t>Tables35'!$AH$12</t>
  </si>
  <si>
    <t>Tables35'!$N$13</t>
  </si>
  <si>
    <t>Tables35'!$S$13</t>
  </si>
  <si>
    <t>Tables35'!$X$13</t>
  </si>
  <si>
    <t>Tables35'!$AC$13</t>
  </si>
  <si>
    <t>Tables35'!$AH$13</t>
  </si>
  <si>
    <t>Tables35'!$N$14</t>
  </si>
  <si>
    <t>Tables35'!$S$14</t>
  </si>
  <si>
    <t>Tables35'!$X$14</t>
  </si>
  <si>
    <t>Tables35'!$AC$14</t>
  </si>
  <si>
    <t>Tables35'!$AH$14</t>
  </si>
  <si>
    <t>Tables35'!$N$15</t>
  </si>
  <si>
    <t>Tables35'!$S$15</t>
  </si>
  <si>
    <t>Tables35'!$X$15</t>
  </si>
  <si>
    <t>Tables35'!$AC$15</t>
  </si>
  <si>
    <t>Tables35'!$AH$15</t>
  </si>
  <si>
    <t>Tables35'!$N$16</t>
  </si>
  <si>
    <t>Tables35'!$S$16</t>
  </si>
  <si>
    <t>Tables35'!$X$16</t>
  </si>
  <si>
    <t>Tables35'!$AC$16</t>
  </si>
  <si>
    <t>Tables35'!$AH$16</t>
  </si>
  <si>
    <t>Tables35'!$N$17</t>
  </si>
  <si>
    <t>Tables35'!$S$17</t>
  </si>
  <si>
    <t>Tables35'!$X$17</t>
  </si>
  <si>
    <t>Tables35'!$AC$17</t>
  </si>
  <si>
    <t>Tables35'!$AH$17</t>
  </si>
  <si>
    <t>Tables35'!$N$18</t>
  </si>
  <si>
    <t>Tables35'!$S$18</t>
  </si>
  <si>
    <t>Tables35'!$X$18</t>
  </si>
  <si>
    <t>Tables35'!$AC$18</t>
  </si>
  <si>
    <t>Tables35'!$AH$18</t>
  </si>
  <si>
    <t>Tables35'!$N$19</t>
  </si>
  <si>
    <t>Tables35'!$S$19</t>
  </si>
  <si>
    <t>Tables35'!$X$19</t>
  </si>
  <si>
    <t>Tables35'!$AC$19</t>
  </si>
  <si>
    <t>Tables35'!$AH$19</t>
  </si>
  <si>
    <t>Tables35'!$N$20</t>
  </si>
  <si>
    <t>Tables35'!$S$20</t>
  </si>
  <si>
    <t>Tables35'!$X$20</t>
  </si>
  <si>
    <t>Tables35'!$AC$20</t>
  </si>
  <si>
    <t>Tables35'!$AH$20</t>
  </si>
  <si>
    <t>Tables35'!$N$21</t>
  </si>
  <si>
    <t>Tables35'!$S$21</t>
  </si>
  <si>
    <t>Tables35'!$X$21</t>
  </si>
  <si>
    <t>Tables35'!$AC$21</t>
  </si>
  <si>
    <t>Tables35'!$AH$21</t>
  </si>
  <si>
    <t>Tables35'!$N$22</t>
  </si>
  <si>
    <t>Tables35'!$S$22</t>
  </si>
  <si>
    <t>Tables35'!$X$22</t>
  </si>
  <si>
    <t>Tables35'!$AC$22</t>
  </si>
  <si>
    <t>Tables35'!$AH$22</t>
  </si>
  <si>
    <t>Tables35'!$N$23</t>
  </si>
  <si>
    <t>Tables35'!$S$23</t>
  </si>
  <si>
    <t>Tables35'!$X$23</t>
  </si>
  <si>
    <t>Tables35'!$AC$23</t>
  </si>
  <si>
    <t>Tables35'!$AH$23</t>
  </si>
  <si>
    <t>Tables35'!$N$24</t>
  </si>
  <si>
    <t>Tables35'!$S$24</t>
  </si>
  <si>
    <t>Tables35'!$X$24</t>
  </si>
  <si>
    <t>Tables35'!$AC$24</t>
  </si>
  <si>
    <t>Tables35'!$AH$24</t>
  </si>
  <si>
    <t>Tables35'!$N$25</t>
  </si>
  <si>
    <t>Tables35'!$S$25</t>
  </si>
  <si>
    <t>Tables35'!$X$25</t>
  </si>
  <si>
    <t>Tables35'!$AC$25</t>
  </si>
  <si>
    <t>Tables35'!$AH$25</t>
  </si>
  <si>
    <t>Tables35'!$N$26</t>
  </si>
  <si>
    <t>Tables35'!$S$26</t>
  </si>
  <si>
    <t>Tables35'!$X$26</t>
  </si>
  <si>
    <t>Tables35'!$AC$26</t>
  </si>
  <si>
    <t>Tables35'!$AH$26</t>
  </si>
  <si>
    <t>Tables35'!$N$27</t>
  </si>
  <si>
    <t>Tables35'!$S$27</t>
  </si>
  <si>
    <t>Tables35'!$X$27</t>
  </si>
  <si>
    <t>Tables35'!$AC$27</t>
  </si>
  <si>
    <t>Tables35'!$AH$27</t>
  </si>
  <si>
    <t>Tables35'!$N$28</t>
  </si>
  <si>
    <t>Tables35'!$S$28</t>
  </si>
  <si>
    <t>Tables35'!$X$28</t>
  </si>
  <si>
    <t>Tables35'!$AC$28</t>
  </si>
  <si>
    <t>Tables35'!$AH$28</t>
  </si>
  <si>
    <t>Tables35'!$N$29</t>
  </si>
  <si>
    <t>Tables35'!$S$29</t>
  </si>
  <si>
    <t>Tables35'!$X$29</t>
  </si>
  <si>
    <t>Tables35'!$AC$29</t>
  </si>
  <si>
    <t>Tables35'!$AH$29</t>
  </si>
  <si>
    <t>Tables35'!$N$30</t>
  </si>
  <si>
    <t>Tables35'!$S$30</t>
  </si>
  <si>
    <t>Tables35'!$X$30</t>
  </si>
  <si>
    <t>Tables35'!$AC$30</t>
  </si>
  <si>
    <t>Tables35'!$AH$30</t>
  </si>
  <si>
    <t>Tables35'!$N$31</t>
  </si>
  <si>
    <t>Tables35'!$S$31</t>
  </si>
  <si>
    <t>Tables35'!$X$31</t>
  </si>
  <si>
    <t>Tables35'!$AC$31</t>
  </si>
  <si>
    <t>Tables35'!$AH$31</t>
  </si>
  <si>
    <t>Tables35'!$N$32</t>
  </si>
  <si>
    <t>Tables35'!$S$32</t>
  </si>
  <si>
    <t>Tables35'!$X$32</t>
  </si>
  <si>
    <t>Tables35'!$AC$32</t>
  </si>
  <si>
    <t>Tables35'!$AH$32</t>
  </si>
  <si>
    <t>Tables35'!$N$33</t>
  </si>
  <si>
    <t>Tables35'!$S$33</t>
  </si>
  <si>
    <t>Tables35'!$X$33</t>
  </si>
  <si>
    <t>Tables35'!$AC$33</t>
  </si>
  <si>
    <t>Tables35'!$AH$33</t>
  </si>
  <si>
    <t>disascal_nh_jun_drought</t>
  </si>
  <si>
    <t>shs_disaster</t>
  </si>
  <si>
    <t>disascal_nh_jul_drought</t>
  </si>
  <si>
    <t>disascal_nh_aug_drought</t>
  </si>
  <si>
    <t>disascal_nh_sep_drought</t>
  </si>
  <si>
    <t>disascal_nh_oct_drought</t>
  </si>
  <si>
    <t>disascal_nh_nov_drought</t>
  </si>
  <si>
    <t>disascal_nh_dec_drought</t>
  </si>
  <si>
    <t>disascal_nh_jan_drought</t>
  </si>
  <si>
    <t>disascal_nh_feb_drought</t>
  </si>
  <si>
    <t>disascal_nh_mar_drought</t>
  </si>
  <si>
    <t>disascal_nh_apr_drought</t>
  </si>
  <si>
    <t>disascal_nh_may_drought</t>
  </si>
  <si>
    <t>disascal_nh_jun_earthquake</t>
  </si>
  <si>
    <t>disascal_nh_jul_earthquake</t>
  </si>
  <si>
    <t>disascal_nh_aug_earthquake</t>
  </si>
  <si>
    <t>disascal_nh_sep_earthquake</t>
  </si>
  <si>
    <t>disascal_nh_oct_earthquake</t>
  </si>
  <si>
    <t>disascal_nh_nov_earthquake</t>
  </si>
  <si>
    <t>disascal_nh_dec_earthquake</t>
  </si>
  <si>
    <t>disascal_nh_jan_earthquake</t>
  </si>
  <si>
    <t>disascal_nh_feb_earthquake</t>
  </si>
  <si>
    <t>disascal_nh_mar_earthquake</t>
  </si>
  <si>
    <t>disascal_nh_apr_earthquake</t>
  </si>
  <si>
    <t>disascal_nh_may_earthquake</t>
  </si>
  <si>
    <t>disascal_nh_jun_fire</t>
  </si>
  <si>
    <t>disascal_nh_jul_fire</t>
  </si>
  <si>
    <t>disascal_nh_aug_fire</t>
  </si>
  <si>
    <t>disascal_nh_sep_fire</t>
  </si>
  <si>
    <t>disascal_nh_oct_fire</t>
  </si>
  <si>
    <t>disascal_nh_nov_fire</t>
  </si>
  <si>
    <t>disascal_nh_dec_fire</t>
  </si>
  <si>
    <t>disascal_nh_jan_fire</t>
  </si>
  <si>
    <t>disascal_nh_feb_fire</t>
  </si>
  <si>
    <t>disascal_nh_mar_fire</t>
  </si>
  <si>
    <t>disascal_nh_apr_fire</t>
  </si>
  <si>
    <t>disascal_nh_may_fire</t>
  </si>
  <si>
    <t>disascal_nh_jun_flood</t>
  </si>
  <si>
    <t>disascal_nh_jul_flood</t>
  </si>
  <si>
    <t>disascal_nh_aug_flood</t>
  </si>
  <si>
    <t>disascal_nh_sep_flood</t>
  </si>
  <si>
    <t>disascal_nh_oct_flood</t>
  </si>
  <si>
    <t>disascal_nh_nov_flood</t>
  </si>
  <si>
    <t>disascal_nh_dec_flood</t>
  </si>
  <si>
    <t>disascal_nh_jan_flood</t>
  </si>
  <si>
    <t>disascal_nh_feb_flood</t>
  </si>
  <si>
    <t>disascal_nh_mar_flood</t>
  </si>
  <si>
    <t>disascal_nh_apr_flood</t>
  </si>
  <si>
    <t>disascal_nh_may_flood</t>
  </si>
  <si>
    <t>disascal_nh_jun_landslide</t>
  </si>
  <si>
    <t>disascal_nh_jul_landslide</t>
  </si>
  <si>
    <t>disascal_nh_aug_landslide</t>
  </si>
  <si>
    <t>disascal_nh_sep_landslide</t>
  </si>
  <si>
    <t>disascal_nh_oct_landslide</t>
  </si>
  <si>
    <t>disascal_nh_nov_landslide</t>
  </si>
  <si>
    <t>disascal_nh_dec_landslide</t>
  </si>
  <si>
    <t>disascal_nh_jan_landslide</t>
  </si>
  <si>
    <t>disascal_nh_feb_landslide</t>
  </si>
  <si>
    <t>disascal_nh_mar_landslide</t>
  </si>
  <si>
    <t>disascal_nh_apr_landslide</t>
  </si>
  <si>
    <t>disascal_nh_may_landslide</t>
  </si>
  <si>
    <t>disascal_nh_jun_stormsurge</t>
  </si>
  <si>
    <t>disascal_nh_jul_stormsurge</t>
  </si>
  <si>
    <t>disascal_nh_aug_stormsurge</t>
  </si>
  <si>
    <t>disascal_nh_sep_stormsurge</t>
  </si>
  <si>
    <t>disascal_nh_oct_stormsurge</t>
  </si>
  <si>
    <t>disascal_nh_nov_stormsurge</t>
  </si>
  <si>
    <t>disascal_nh_dec_stormsurge</t>
  </si>
  <si>
    <t>disascal_nh_jan_stormsurge</t>
  </si>
  <si>
    <t>disascal_nh_feb_stormsurge</t>
  </si>
  <si>
    <t>disascal_nh_mar_stormsurge</t>
  </si>
  <si>
    <t>disascal_nh_apr_stormsurge</t>
  </si>
  <si>
    <t>disascal_nh_may_stormsurge</t>
  </si>
  <si>
    <t>disascal_nh_jun_tropicyclone</t>
  </si>
  <si>
    <t>disascal_nh_jul_tropicyclone</t>
  </si>
  <si>
    <t>disascal_nh_aug_tropicyclone</t>
  </si>
  <si>
    <t>disascal_nh_sep_tropicyclone</t>
  </si>
  <si>
    <t>disascal_nh_oct_tropicyclone</t>
  </si>
  <si>
    <t>disascal_nh_nov_tropicyclone</t>
  </si>
  <si>
    <t>disascal_nh_dec_tropicyclone</t>
  </si>
  <si>
    <t>disascal_nh_jan_tropicyclone</t>
  </si>
  <si>
    <t>disascal_nh_feb_tropicyclone</t>
  </si>
  <si>
    <t>disascal_nh_mar_tropicyclone</t>
  </si>
  <si>
    <t>disascal_nh_apr_tropicyclone</t>
  </si>
  <si>
    <t>disascal_nh_may_tropicyclone</t>
  </si>
  <si>
    <t>disascal_nh_jun_tsunami</t>
  </si>
  <si>
    <t>disascal_nh_jul_tsunami</t>
  </si>
  <si>
    <t>disascal_nh_aug_tsunami</t>
  </si>
  <si>
    <t>disascal_nh_sep_tsunami</t>
  </si>
  <si>
    <t>disascal_nh_oct_tsunami</t>
  </si>
  <si>
    <t>disascal_nh_nov_tsunami</t>
  </si>
  <si>
    <t>disascal_nh_dec_tsunami</t>
  </si>
  <si>
    <t>disascal_nh_jan_tsunami</t>
  </si>
  <si>
    <t>disascal_nh_feb_tsunami</t>
  </si>
  <si>
    <t>disascal_nh_mar_tsunami</t>
  </si>
  <si>
    <t>disascal_nh_apr_tsunami</t>
  </si>
  <si>
    <t>disascal_nh_may_tsunami</t>
  </si>
  <si>
    <t>disascal_nh_jun_volcanerupt</t>
  </si>
  <si>
    <t>disascal_nh_jul_volcanerupt</t>
  </si>
  <si>
    <t>disascal_nh_aug_volcanerupt</t>
  </si>
  <si>
    <t>disascal_nh_sep_volcanerupt</t>
  </si>
  <si>
    <t>disascal_nh_oct_volcanerupt</t>
  </si>
  <si>
    <t>disascal_nh_nov_volcanerupt</t>
  </si>
  <si>
    <t>disascal_nh_dec_volcanerupt</t>
  </si>
  <si>
    <t>disascal_nh_jan_volcanerupt</t>
  </si>
  <si>
    <t>disascal_nh_feb_volcanerupt</t>
  </si>
  <si>
    <t>disascal_nh_mar_volcanerupt</t>
  </si>
  <si>
    <t>disascal_nh_apr_volcanerupt</t>
  </si>
  <si>
    <t>disascal_nh_may_volcanerupt</t>
  </si>
  <si>
    <t>disascal_hih_jun_bombthreat_schprem</t>
  </si>
  <si>
    <t>disascal_hih_jul_bombthreat_schprem</t>
  </si>
  <si>
    <t>disascal_hih_aug_bombthreat_schprem</t>
  </si>
  <si>
    <t>disascal_hih_sep_bombthreat_schprem</t>
  </si>
  <si>
    <t>disascal_hih_oct_bombthreat_schprem</t>
  </si>
  <si>
    <t>disascal_hih_nov_bombthreat_schprem</t>
  </si>
  <si>
    <t>disascal_hih_dec_bombthreat_schprem</t>
  </si>
  <si>
    <t>disascal_hih_jan_bombthreat_schprem</t>
  </si>
  <si>
    <t>disascal_hih_feb_bombthreat_schprem</t>
  </si>
  <si>
    <t>disascal_hih_mar_bombthreat_schprem</t>
  </si>
  <si>
    <t>disascal_hih_apr_bombthreat_schprem</t>
  </si>
  <si>
    <t>disascal_hih_may_bombthreat_schprem</t>
  </si>
  <si>
    <t>disascal_hih_jun_bomb_schprem</t>
  </si>
  <si>
    <t>disascal_hih_jul_bomb_schprem</t>
  </si>
  <si>
    <t>disascal_hih_aug_bomb_schprem</t>
  </si>
  <si>
    <t>disascal_hih_sep_bomb_schprem</t>
  </si>
  <si>
    <t>disascal_hih_oct_bomb_schprem</t>
  </si>
  <si>
    <t>disascal_hih_nov_bomb_schprem</t>
  </si>
  <si>
    <t>disascal_hih_dec_bomb_schprem</t>
  </si>
  <si>
    <t>disascal_hih_jan_bomb_schprem</t>
  </si>
  <si>
    <t>disascal_hih_feb_bomb_schprem</t>
  </si>
  <si>
    <t>disascal_hih_mar_bomb_schprem</t>
  </si>
  <si>
    <t>disascal_hih_apr_bomb_schprem</t>
  </si>
  <si>
    <t>disascal_hih_may_bomb_schprem</t>
  </si>
  <si>
    <t>disascal_hih_jun_crime_learners</t>
  </si>
  <si>
    <t>disascal_hih_jul_crime_learners</t>
  </si>
  <si>
    <t>disascal_hih_aug_crime_learners</t>
  </si>
  <si>
    <t>disascal_hih_sep_crime_learners</t>
  </si>
  <si>
    <t>disascal_hih_oct_crime_learners</t>
  </si>
  <si>
    <t>disascal_hih_nov_crime_learners</t>
  </si>
  <si>
    <t>disascal_hih_dec_crime_learners</t>
  </si>
  <si>
    <t>disascal_hih_jan_crime_learners</t>
  </si>
  <si>
    <t>disascal_hih_feb_crime_learners</t>
  </si>
  <si>
    <t>disascal_hih_mar_crime_learners</t>
  </si>
  <si>
    <t>disascal_hih_apr_crime_learners</t>
  </si>
  <si>
    <t>disascal_hih_may_crime_learners</t>
  </si>
  <si>
    <t>disascal_hih_jun_crime_nonteach_personnel</t>
  </si>
  <si>
    <t>disascal_hih_jul_crime_nonteach_personnel</t>
  </si>
  <si>
    <t>disascal_hih_aug_crime_nonteach_personnel</t>
  </si>
  <si>
    <t>disascal_hih_sep_crime_nonteach_personnel</t>
  </si>
  <si>
    <t>disascal_hih_oct_crime_nonteach_personnel</t>
  </si>
  <si>
    <t>disascal_hih_nov_crime_nonteach_personnel</t>
  </si>
  <si>
    <t>disascal_hih_dec_crime_nonteach_personnel</t>
  </si>
  <si>
    <t>disascal_hih_jan_crime_nonteach_personnel</t>
  </si>
  <si>
    <t>disascal_hih_feb_crime_nonteach_personnel</t>
  </si>
  <si>
    <t>disascal_hih_mar_crime_nonteach_personnel</t>
  </si>
  <si>
    <t>disascal_hih_apr_crime_nonteach_personnel</t>
  </si>
  <si>
    <t>disascal_hih_may_crime_nonteach_personnel</t>
  </si>
  <si>
    <t>disascal_hih_jun_crime_schhead</t>
  </si>
  <si>
    <t>disascal_hih_jul_crime_schhead</t>
  </si>
  <si>
    <t>disascal_hih_aug_crime_schhead</t>
  </si>
  <si>
    <t>disascal_hih_sep_crime_schhead</t>
  </si>
  <si>
    <t>disascal_hih_oct_crime_schhead</t>
  </si>
  <si>
    <t>disascal_hih_nov_crime_schhead</t>
  </si>
  <si>
    <t>disascal_hih_dec_crime_schhead</t>
  </si>
  <si>
    <t>disascal_hih_jan_crime_schhead</t>
  </si>
  <si>
    <t>disascal_hih_feb_crime_schhead</t>
  </si>
  <si>
    <t>disascal_hih_mar_crime_schhead</t>
  </si>
  <si>
    <t>disascal_hih_apr_crime_schhead</t>
  </si>
  <si>
    <t>disascal_hih_may_crime_schhead</t>
  </si>
  <si>
    <t>disascal_hih_jun_crime_schproperty</t>
  </si>
  <si>
    <t>disascal_hih_jul_crime_schproperty</t>
  </si>
  <si>
    <t>disascal_hih_aug_crime_schproperty</t>
  </si>
  <si>
    <t>disascal_hih_sep_crime_schproperty</t>
  </si>
  <si>
    <t>disascal_hih_oct_crime_schproperty</t>
  </si>
  <si>
    <t>disascal_hih_nov_crime_schproperty</t>
  </si>
  <si>
    <t>disascal_hih_dec_crime_schproperty</t>
  </si>
  <si>
    <t>disascal_hih_jan_crime_schproperty</t>
  </si>
  <si>
    <t>disascal_hih_feb_crime_schproperty</t>
  </si>
  <si>
    <t>disascal_hih_mar_crime_schproperty</t>
  </si>
  <si>
    <t>disascal_hih_apr_crime_schproperty</t>
  </si>
  <si>
    <t>disascal_hih_may_crime_schproperty</t>
  </si>
  <si>
    <t>disascal_hih_jun_crime_teachers</t>
  </si>
  <si>
    <t>disascal_hih_jul_crime_teachers</t>
  </si>
  <si>
    <t>disascal_hih_aug_crime_teachers</t>
  </si>
  <si>
    <t>disascal_hih_sep_crime_teachers</t>
  </si>
  <si>
    <t>disascal_hih_oct_crime_teachers</t>
  </si>
  <si>
    <t>disascal_hih_nov_crime_teachers</t>
  </si>
  <si>
    <t>disascal_hih_dec_crime_teachers</t>
  </si>
  <si>
    <t>disascal_hih_jan_crime_teachers</t>
  </si>
  <si>
    <t>disascal_hih_feb_crime_teachers</t>
  </si>
  <si>
    <t>disascal_hih_mar_crime_teachers</t>
  </si>
  <si>
    <t>disascal_hih_apr_crime_teachers</t>
  </si>
  <si>
    <t>disascal_hih_may_crime_teachers</t>
  </si>
  <si>
    <t>disascal_hih_jun_fire</t>
  </si>
  <si>
    <t>disascal_hih_jul_fire</t>
  </si>
  <si>
    <t>disascal_hih_aug_fire</t>
  </si>
  <si>
    <t>disascal_hih_sep_fire</t>
  </si>
  <si>
    <t>disascal_hih_oct_fire</t>
  </si>
  <si>
    <t>disascal_hih_nov_fire</t>
  </si>
  <si>
    <t>disascal_hih_dec_fire</t>
  </si>
  <si>
    <t>disascal_hih_jan_fire</t>
  </si>
  <si>
    <t>disascal_hih_feb_fire</t>
  </si>
  <si>
    <t>disascal_hih_mar_fire</t>
  </si>
  <si>
    <t>disascal_hih_apr_fire</t>
  </si>
  <si>
    <t>disascal_hih_may_fire</t>
  </si>
  <si>
    <t>disascal_hih_jun_hazardous_materials</t>
  </si>
  <si>
    <t>disascal_hih_jul_hazardous_materials</t>
  </si>
  <si>
    <t>disascal_hih_aug_hazardous_materials</t>
  </si>
  <si>
    <t>disascal_hih_sep_hazardous_materials</t>
  </si>
  <si>
    <t>disascal_hih_oct_hazardous_materials</t>
  </si>
  <si>
    <t>disascal_hih_nov_hazardous_materials</t>
  </si>
  <si>
    <t>disascal_hih_dec_hazardous_materials</t>
  </si>
  <si>
    <t>disascal_hih_jan_hazardous_materials</t>
  </si>
  <si>
    <t>disascal_hih_feb_hazardous_materials</t>
  </si>
  <si>
    <t>disascal_hih_mar_hazardous_materials</t>
  </si>
  <si>
    <t>disascal_hih_apr_hazardous_materials</t>
  </si>
  <si>
    <t>disascal_hih_may_hazardous_materials</t>
  </si>
  <si>
    <t>disascal_hih_jun_healththreat</t>
  </si>
  <si>
    <t>disascal_hih_jul_healththreat</t>
  </si>
  <si>
    <t>disascal_hih_aug_healththreat</t>
  </si>
  <si>
    <t>disascal_hih_sep_healththreat</t>
  </si>
  <si>
    <t>disascal_hih_oct_healththreat</t>
  </si>
  <si>
    <t>disascal_hih_nov_healththreat</t>
  </si>
  <si>
    <t>disascal_hih_dec_healththreat</t>
  </si>
  <si>
    <t>disascal_hih_jan_healththreat</t>
  </si>
  <si>
    <t>disascal_hih_feb_healththreat</t>
  </si>
  <si>
    <t>disascal_hih_mar_healththreat</t>
  </si>
  <si>
    <t>disascal_hih_apr_healththreat</t>
  </si>
  <si>
    <t>disascal_hih_may_healththreat</t>
  </si>
  <si>
    <t>disascal_hih_jun_hostage_insch</t>
  </si>
  <si>
    <t>disascal_hih_jul_hostage_insch</t>
  </si>
  <si>
    <t>disascal_hih_aug_hostage_insch</t>
  </si>
  <si>
    <t>disascal_hih_sep_hostage_insch</t>
  </si>
  <si>
    <t>disascal_hih_oct_hostage_insch</t>
  </si>
  <si>
    <t>disascal_hih_nov_hostage_insch</t>
  </si>
  <si>
    <t>disascal_hih_dec_hostage_insch</t>
  </si>
  <si>
    <t>disascal_hih_jan_hostage_insch</t>
  </si>
  <si>
    <t>disascal_hih_feb_hostage_insch</t>
  </si>
  <si>
    <t>disascal_hih_mar_hostage_insch</t>
  </si>
  <si>
    <t>disascal_hih_apr_hostage_insch</t>
  </si>
  <si>
    <t>disascal_hih_may_hostage_insch</t>
  </si>
  <si>
    <t>disascal_hih_jun_shooting_insch</t>
  </si>
  <si>
    <t>disascal_hih_jul_shooting_insch</t>
  </si>
  <si>
    <t>disascal_hih_aug_shooting_insch</t>
  </si>
  <si>
    <t>disascal_hih_sep_shooting_insch</t>
  </si>
  <si>
    <t>disascal_hih_oct_shooting_insch</t>
  </si>
  <si>
    <t>disascal_hih_nov_shooting_insch</t>
  </si>
  <si>
    <t>disascal_hih_dec_shooting_insch</t>
  </si>
  <si>
    <t>disascal_hih_jan_shooting_insch</t>
  </si>
  <si>
    <t>disascal_hih_feb_shooting_insch</t>
  </si>
  <si>
    <t>disascal_hih_mar_shooting_insch</t>
  </si>
  <si>
    <t>disascal_hih_apr_shooting_insch</t>
  </si>
  <si>
    <t>disascal_hih_may_shooting_insch</t>
  </si>
  <si>
    <t>disascal_hih_jun_structural_collapse</t>
  </si>
  <si>
    <t>disascal_hih_jul_structural_collapse</t>
  </si>
  <si>
    <t>disascal_hih_aug_structural_collapse</t>
  </si>
  <si>
    <t>disascal_hih_sep_structural_collapse</t>
  </si>
  <si>
    <t>disascal_hih_oct_structural_collapse</t>
  </si>
  <si>
    <t>disascal_hih_nov_structural_collapse</t>
  </si>
  <si>
    <t>disascal_hih_dec_structural_collapse</t>
  </si>
  <si>
    <t>disascal_hih_jan_structural_collapse</t>
  </si>
  <si>
    <t>disascal_hih_feb_structural_collapse</t>
  </si>
  <si>
    <t>disascal_hih_mar_structural_collapse</t>
  </si>
  <si>
    <t>disascal_hih_apr_structural_collapse</t>
  </si>
  <si>
    <t>disascal_hih_may_structural_collapse</t>
  </si>
  <si>
    <t>disascal_hih_jun_others_specify</t>
  </si>
  <si>
    <t>disascal_hih_jul_others_specify</t>
  </si>
  <si>
    <t>disascal_hih_aug_others_specify</t>
  </si>
  <si>
    <t>disascal_hih_sep_others_specify</t>
  </si>
  <si>
    <t>disascal_hih_oct_others_specify</t>
  </si>
  <si>
    <t>disascal_hih_nov_others_specify</t>
  </si>
  <si>
    <t>disascal_hih_dec_others_specify</t>
  </si>
  <si>
    <t>disascal_hih_jan_others_specify</t>
  </si>
  <si>
    <t>disascal_hih_feb_others_specify</t>
  </si>
  <si>
    <t>disascal_hih_mar_others_specify</t>
  </si>
  <si>
    <t>disascal_hih_apr_others_specify</t>
  </si>
  <si>
    <t>disascal_hih_may_others_specify</t>
  </si>
  <si>
    <t>disascal_hih_others_specify</t>
  </si>
  <si>
    <t>drrm_coordinator_name</t>
  </si>
  <si>
    <t>drrm_coordinator_pos</t>
  </si>
  <si>
    <t>Table36!$U$7</t>
  </si>
  <si>
    <t>Table36!$W$7</t>
  </si>
  <si>
    <t>Table36!$Y$7</t>
  </si>
  <si>
    <t>Table36!$AA$7</t>
  </si>
  <si>
    <t>Table36!$AC$7</t>
  </si>
  <si>
    <t>Table36!$AE$7</t>
  </si>
  <si>
    <t>Table36!$AG$7</t>
  </si>
  <si>
    <t>Table36!$AI$7</t>
  </si>
  <si>
    <t>Table36!$AK$7</t>
  </si>
  <si>
    <t>Table36!$AM$7</t>
  </si>
  <si>
    <t>Table36!$AO$7</t>
  </si>
  <si>
    <t>Table36!$AQ$7</t>
  </si>
  <si>
    <t>Table36!$U$8</t>
  </si>
  <si>
    <t>Table36!$W$8</t>
  </si>
  <si>
    <t>Table36!$Y$8</t>
  </si>
  <si>
    <t>Table36!$AA$8</t>
  </si>
  <si>
    <t>Table36!$AC$8</t>
  </si>
  <si>
    <t>Table36!$AE$8</t>
  </si>
  <si>
    <t>Table36!$AG$8</t>
  </si>
  <si>
    <t>Table36!$AI$8</t>
  </si>
  <si>
    <t>Table36!$AK$8</t>
  </si>
  <si>
    <t>Table36!$AM$8</t>
  </si>
  <si>
    <t>Table36!$AO$8</t>
  </si>
  <si>
    <t>Table36!$AQ$8</t>
  </si>
  <si>
    <t>Table36!$U$9</t>
  </si>
  <si>
    <t>Table36!$W$9</t>
  </si>
  <si>
    <t>Table36!$Y$9</t>
  </si>
  <si>
    <t>Table36!$AA$9</t>
  </si>
  <si>
    <t>Table36!$AC$9</t>
  </si>
  <si>
    <t>Table36!$AE$9</t>
  </si>
  <si>
    <t>Table36!$AG$9</t>
  </si>
  <si>
    <t>Table36!$AI$9</t>
  </si>
  <si>
    <t>Table36!$AK$9</t>
  </si>
  <si>
    <t>Table36!$AM$9</t>
  </si>
  <si>
    <t>Table36!$AO$9</t>
  </si>
  <si>
    <t>Table36!$AQ$9</t>
  </si>
  <si>
    <t>Table36!$U$10</t>
  </si>
  <si>
    <t>Table36!$W$10</t>
  </si>
  <si>
    <t>Table36!$Y$10</t>
  </si>
  <si>
    <t>Table36!$AA$10</t>
  </si>
  <si>
    <t>Table36!$AC$10</t>
  </si>
  <si>
    <t>Table36!$AE$10</t>
  </si>
  <si>
    <t>Table36!$AG$10</t>
  </si>
  <si>
    <t>Table36!$AI$10</t>
  </si>
  <si>
    <t>Table36!$AK$10</t>
  </si>
  <si>
    <t>Table36!$AM$10</t>
  </si>
  <si>
    <t>Table36!$AO$10</t>
  </si>
  <si>
    <t>Table36!$AQ$10</t>
  </si>
  <si>
    <t>Table36!$U$11</t>
  </si>
  <si>
    <t>Table36!$W$11</t>
  </si>
  <si>
    <t>Table36!$Y$11</t>
  </si>
  <si>
    <t>Table36!$AA$11</t>
  </si>
  <si>
    <t>Table36!$AC$11</t>
  </si>
  <si>
    <t>Table36!$AE$11</t>
  </si>
  <si>
    <t>Table36!$AG$11</t>
  </si>
  <si>
    <t>Table36!$AI$11</t>
  </si>
  <si>
    <t>Table36!$AK$11</t>
  </si>
  <si>
    <t>Table36!$AM$11</t>
  </si>
  <si>
    <t>Table36!$AO$11</t>
  </si>
  <si>
    <t>Table36!$AQ$11</t>
  </si>
  <si>
    <t>Table36!$U$12</t>
  </si>
  <si>
    <t>Table36!$W$12</t>
  </si>
  <si>
    <t>Table36!$Y$12</t>
  </si>
  <si>
    <t>Table36!$AA$12</t>
  </si>
  <si>
    <t>Table36!$AC$12</t>
  </si>
  <si>
    <t>Table36!$AE$12</t>
  </si>
  <si>
    <t>Table36!$AG$12</t>
  </si>
  <si>
    <t>Table36!$AI$12</t>
  </si>
  <si>
    <t>Table36!$AK$12</t>
  </si>
  <si>
    <t>Table36!$AM$12</t>
  </si>
  <si>
    <t>Table36!$AO$12</t>
  </si>
  <si>
    <t>Table36!$AQ$12</t>
  </si>
  <si>
    <t>Table36!$U$13</t>
  </si>
  <si>
    <t>Table36!$W$13</t>
  </si>
  <si>
    <t>Table36!$Y$13</t>
  </si>
  <si>
    <t>Table36!$AA$13</t>
  </si>
  <si>
    <t>Table36!$AC$13</t>
  </si>
  <si>
    <t>Table36!$AE$13</t>
  </si>
  <si>
    <t>Table36!$AG$13</t>
  </si>
  <si>
    <t>Table36!$AI$13</t>
  </si>
  <si>
    <t>Table36!$AK$13</t>
  </si>
  <si>
    <t>Table36!$AM$13</t>
  </si>
  <si>
    <t>Table36!$AO$13</t>
  </si>
  <si>
    <t>Table36!$AQ$13</t>
  </si>
  <si>
    <t>Table36!$U$14</t>
  </si>
  <si>
    <t>Table36!$W$14</t>
  </si>
  <si>
    <t>Table36!$Y$14</t>
  </si>
  <si>
    <t>Table36!$AA$14</t>
  </si>
  <si>
    <t>Table36!$AC$14</t>
  </si>
  <si>
    <t>Table36!$AE$14</t>
  </si>
  <si>
    <t>Table36!$AG$14</t>
  </si>
  <si>
    <t>Table36!$AI$14</t>
  </si>
  <si>
    <t>Table36!$AK$14</t>
  </si>
  <si>
    <t>Table36!$AM$14</t>
  </si>
  <si>
    <t>Table36!$AO$14</t>
  </si>
  <si>
    <t>Table36!$AQ$14</t>
  </si>
  <si>
    <t>Table36!$U$15</t>
  </si>
  <si>
    <t>Table36!$W$15</t>
  </si>
  <si>
    <t>Table36!$Y$15</t>
  </si>
  <si>
    <t>Table36!$AA$15</t>
  </si>
  <si>
    <t>Table36!$AC$15</t>
  </si>
  <si>
    <t>Table36!$AE$15</t>
  </si>
  <si>
    <t>Table36!$AG$15</t>
  </si>
  <si>
    <t>Table36!$AI$15</t>
  </si>
  <si>
    <t>Table36!$AK$15</t>
  </si>
  <si>
    <t>Table36!$AM$15</t>
  </si>
  <si>
    <t>Table36!$AO$15</t>
  </si>
  <si>
    <t>Table36!$AQ$15</t>
  </si>
  <si>
    <t>Table36!$U$17</t>
  </si>
  <si>
    <t>Table36!$W$17</t>
  </si>
  <si>
    <t>Table36!$Y$17</t>
  </si>
  <si>
    <t>Table36!$AA$17</t>
  </si>
  <si>
    <t>Table36!$AC$17</t>
  </si>
  <si>
    <t>Table36!$AE$17</t>
  </si>
  <si>
    <t>Table36!$AG$17</t>
  </si>
  <si>
    <t>Table36!$AI$17</t>
  </si>
  <si>
    <t>Table36!$AK$17</t>
  </si>
  <si>
    <t>Table36!$AM$17</t>
  </si>
  <si>
    <t>Table36!$AO$17</t>
  </si>
  <si>
    <t>Table36!$AQ$17</t>
  </si>
  <si>
    <t>Table36!$U$18</t>
  </si>
  <si>
    <t>Table36!$W$18</t>
  </si>
  <si>
    <t>Table36!$Y$18</t>
  </si>
  <si>
    <t>Table36!$AA$18</t>
  </si>
  <si>
    <t>Table36!$AC$18</t>
  </si>
  <si>
    <t>Table36!$AE$18</t>
  </si>
  <si>
    <t>Table36!$AG$18</t>
  </si>
  <si>
    <t>Table36!$AI$18</t>
  </si>
  <si>
    <t>Table36!$AK$18</t>
  </si>
  <si>
    <t>Table36!$AM$18</t>
  </si>
  <si>
    <t>Table36!$AO$18</t>
  </si>
  <si>
    <t>Table36!$AQ$18</t>
  </si>
  <si>
    <t>Table36!$U$19</t>
  </si>
  <si>
    <t>Table36!$W$19</t>
  </si>
  <si>
    <t>Table36!$Y$19</t>
  </si>
  <si>
    <t>Table36!$AA$19</t>
  </si>
  <si>
    <t>Table36!$AC$19</t>
  </si>
  <si>
    <t>Table36!$AE$19</t>
  </si>
  <si>
    <t>Table36!$AG$19</t>
  </si>
  <si>
    <t>Table36!$AI$19</t>
  </si>
  <si>
    <t>Table36!$AK$19</t>
  </si>
  <si>
    <t>Table36!$AM$19</t>
  </si>
  <si>
    <t>Table36!$AO$19</t>
  </si>
  <si>
    <t>Table36!$AQ$19</t>
  </si>
  <si>
    <t>Table36!$U$20</t>
  </si>
  <si>
    <t>Table36!$W$20</t>
  </si>
  <si>
    <t>Table36!$Y$20</t>
  </si>
  <si>
    <t>Table36!$AA$20</t>
  </si>
  <si>
    <t>Table36!$AC$20</t>
  </si>
  <si>
    <t>Table36!$AE$20</t>
  </si>
  <si>
    <t>Table36!$AG$20</t>
  </si>
  <si>
    <t>Table36!$AI$20</t>
  </si>
  <si>
    <t>Table36!$AK$20</t>
  </si>
  <si>
    <t>Table36!$AM$20</t>
  </si>
  <si>
    <t>Table36!$AO$20</t>
  </si>
  <si>
    <t>Table36!$AQ$20</t>
  </si>
  <si>
    <t>Table36!$U$21</t>
  </si>
  <si>
    <t>Table36!$W$21</t>
  </si>
  <si>
    <t>Table36!$Y$21</t>
  </si>
  <si>
    <t>Table36!$AA$21</t>
  </si>
  <si>
    <t>Table36!$AC$21</t>
  </si>
  <si>
    <t>Table36!$AE$21</t>
  </si>
  <si>
    <t>Table36!$AG$21</t>
  </si>
  <si>
    <t>Table36!$AI$21</t>
  </si>
  <si>
    <t>Table36!$AK$21</t>
  </si>
  <si>
    <t>Table36!$AM$21</t>
  </si>
  <si>
    <t>Table36!$AO$21</t>
  </si>
  <si>
    <t>Table36!$AQ$21</t>
  </si>
  <si>
    <t>Table36!$U$22</t>
  </si>
  <si>
    <t>Table36!$W$22</t>
  </si>
  <si>
    <t>Table36!$Y$22</t>
  </si>
  <si>
    <t>Table36!$AA$22</t>
  </si>
  <si>
    <t>Table36!$AC$22</t>
  </si>
  <si>
    <t>Table36!$AE$22</t>
  </si>
  <si>
    <t>Table36!$AG$22</t>
  </si>
  <si>
    <t>Table36!$AI$22</t>
  </si>
  <si>
    <t>Table36!$AK$22</t>
  </si>
  <si>
    <t>Table36!$AM$22</t>
  </si>
  <si>
    <t>Table36!$AO$22</t>
  </si>
  <si>
    <t>Table36!$AQ$22</t>
  </si>
  <si>
    <t>Table36!$U$23</t>
  </si>
  <si>
    <t>Table36!$W$23</t>
  </si>
  <si>
    <t>Table36!$Y$23</t>
  </si>
  <si>
    <t>Table36!$AA$23</t>
  </si>
  <si>
    <t>Table36!$AC$23</t>
  </si>
  <si>
    <t>Table36!$AE$23</t>
  </si>
  <si>
    <t>Table36!$AG$23</t>
  </si>
  <si>
    <t>Table36!$AI$23</t>
  </si>
  <si>
    <t>Table36!$AK$23</t>
  </si>
  <si>
    <t>Table36!$AM$23</t>
  </si>
  <si>
    <t>Table36!$AO$23</t>
  </si>
  <si>
    <t>Table36!$AQ$23</t>
  </si>
  <si>
    <t>Table36!$U$24</t>
  </si>
  <si>
    <t>Table36!$W$24</t>
  </si>
  <si>
    <t>Table36!$Y$24</t>
  </si>
  <si>
    <t>Table36!$AA$24</t>
  </si>
  <si>
    <t>Table36!$AC$24</t>
  </si>
  <si>
    <t>Table36!$AE$24</t>
  </si>
  <si>
    <t>Table36!$AG$24</t>
  </si>
  <si>
    <t>Table36!$AI$24</t>
  </si>
  <si>
    <t>Table36!$AK$24</t>
  </si>
  <si>
    <t>Table36!$AM$24</t>
  </si>
  <si>
    <t>Table36!$AO$24</t>
  </si>
  <si>
    <t>Table36!$AQ$24</t>
  </si>
  <si>
    <t>Table36!$U$25</t>
  </si>
  <si>
    <t>Table36!$W$25</t>
  </si>
  <si>
    <t>Table36!$Y$25</t>
  </si>
  <si>
    <t>Table36!$AA$25</t>
  </si>
  <si>
    <t>Table36!$AC$25</t>
  </si>
  <si>
    <t>Table36!$AE$25</t>
  </si>
  <si>
    <t>Table36!$AG$25</t>
  </si>
  <si>
    <t>Table36!$AI$25</t>
  </si>
  <si>
    <t>Table36!$AK$25</t>
  </si>
  <si>
    <t>Table36!$AM$25</t>
  </si>
  <si>
    <t>Table36!$AO$25</t>
  </si>
  <si>
    <t>Table36!$AQ$25</t>
  </si>
  <si>
    <t>Table36!$U$26</t>
  </si>
  <si>
    <t>Table36!$W$26</t>
  </si>
  <si>
    <t>Table36!$Y$26</t>
  </si>
  <si>
    <t>Table36!$AA$26</t>
  </si>
  <si>
    <t>Table36!$AC$26</t>
  </si>
  <si>
    <t>Table36!$AE$26</t>
  </si>
  <si>
    <t>Table36!$AG$26</t>
  </si>
  <si>
    <t>Table36!$AI$26</t>
  </si>
  <si>
    <t>Table36!$AK$26</t>
  </si>
  <si>
    <t>Table36!$AM$26</t>
  </si>
  <si>
    <t>Table36!$AO$26</t>
  </si>
  <si>
    <t>Table36!$AQ$26</t>
  </si>
  <si>
    <t>Table36!$U$27</t>
  </si>
  <si>
    <t>Table36!$W$27</t>
  </si>
  <si>
    <t>Table36!$Y$27</t>
  </si>
  <si>
    <t>Table36!$AA$27</t>
  </si>
  <si>
    <t>Table36!$AC$27</t>
  </si>
  <si>
    <t>Table36!$AE$27</t>
  </si>
  <si>
    <t>Table36!$AG$27</t>
  </si>
  <si>
    <t>Table36!$AI$27</t>
  </si>
  <si>
    <t>Table36!$AK$27</t>
  </si>
  <si>
    <t>Table36!$AM$27</t>
  </si>
  <si>
    <t>Table36!$AO$27</t>
  </si>
  <si>
    <t>Table36!$AQ$27</t>
  </si>
  <si>
    <t>Table36!$U$28</t>
  </si>
  <si>
    <t>Table36!$W$28</t>
  </si>
  <si>
    <t>Table36!$Y$28</t>
  </si>
  <si>
    <t>Table36!$AA$28</t>
  </si>
  <si>
    <t>Table36!$AC$28</t>
  </si>
  <si>
    <t>Table36!$AE$28</t>
  </si>
  <si>
    <t>Table36!$AG$28</t>
  </si>
  <si>
    <t>Table36!$AI$28</t>
  </si>
  <si>
    <t>Table36!$AK$28</t>
  </si>
  <si>
    <t>Table36!$AM$28</t>
  </si>
  <si>
    <t>Table36!$AO$28</t>
  </si>
  <si>
    <t>Table36!$AQ$28</t>
  </si>
  <si>
    <t>Table36!$U$29</t>
  </si>
  <si>
    <t>Table36!$W$29</t>
  </si>
  <si>
    <t>Table36!$Y$29</t>
  </si>
  <si>
    <t>Table36!$AA$29</t>
  </si>
  <si>
    <t>Table36!$AC$29</t>
  </si>
  <si>
    <t>Table36!$AE$29</t>
  </si>
  <si>
    <t>Table36!$AG$29</t>
  </si>
  <si>
    <t>Table36!$AI$29</t>
  </si>
  <si>
    <t>Table36!$AK$29</t>
  </si>
  <si>
    <t>Table36!$AM$29</t>
  </si>
  <si>
    <t>Table36!$AO$29</t>
  </si>
  <si>
    <t>Table36!$AQ$29</t>
  </si>
  <si>
    <t>Table36!$U$30</t>
  </si>
  <si>
    <t>Table36!$W$30</t>
  </si>
  <si>
    <t>Table36!$Y$30</t>
  </si>
  <si>
    <t>Table36!$AA$30</t>
  </si>
  <si>
    <t>Table36!$AC$30</t>
  </si>
  <si>
    <t>Table36!$AE$30</t>
  </si>
  <si>
    <t>Table36!$AG$30</t>
  </si>
  <si>
    <t>Table36!$AI$30</t>
  </si>
  <si>
    <t>Table36!$AK$30</t>
  </si>
  <si>
    <t>Table36!$AM$30</t>
  </si>
  <si>
    <t>Table36!$AO$30</t>
  </si>
  <si>
    <t>Table36!$AQ$30</t>
  </si>
  <si>
    <t>Table36!$C$31</t>
  </si>
  <si>
    <t>Table36!$Q$37</t>
  </si>
  <si>
    <t>Table36!$U$39</t>
  </si>
  <si>
    <t>disascal_hih_acsa_jun</t>
  </si>
  <si>
    <t>shs_disaster_human</t>
  </si>
  <si>
    <t>disascal_hih_acsa_jul</t>
  </si>
  <si>
    <t>disascal_hih_acsa_aug</t>
  </si>
  <si>
    <t>disascal_hih_acsa_sep</t>
  </si>
  <si>
    <t>disascal_hih_acsa_oct</t>
  </si>
  <si>
    <t>disascal_hih_acsa_nov</t>
  </si>
  <si>
    <t>disascal_hih_acsa_dec</t>
  </si>
  <si>
    <t>disascal_hih_acsa_jan</t>
  </si>
  <si>
    <t>disascal_hih_acsa_feb</t>
  </si>
  <si>
    <t>disascal_hih_acsa_mar</t>
  </si>
  <si>
    <t>disascal_hih_acsa_apr</t>
  </si>
  <si>
    <t>disascal_hih_acsa_may</t>
  </si>
  <si>
    <t>disascal_hih_acsa_jun_afp</t>
  </si>
  <si>
    <t>disascal_hih_acsa_jul_afp</t>
  </si>
  <si>
    <t>disascal_hih_acsa_aug_afp</t>
  </si>
  <si>
    <t>disascal_hih_acsa_sep_afp</t>
  </si>
  <si>
    <t>disascal_hih_acsa_oct_afp</t>
  </si>
  <si>
    <t>disascal_hih_acsa_nov_afp</t>
  </si>
  <si>
    <t>disascal_hih_acsa_dec_afp</t>
  </si>
  <si>
    <t>disascal_hih_acsa_jan_afp</t>
  </si>
  <si>
    <t>disascal_hih_acsa_feb_afp</t>
  </si>
  <si>
    <t>disascal_hih_acsa_mar_afp</t>
  </si>
  <si>
    <t>disascal_hih_acsa_apr_afp</t>
  </si>
  <si>
    <t>disascal_hih_acsa_may_afp</t>
  </si>
  <si>
    <t>disascal_hih_acsa_jun_pnp</t>
  </si>
  <si>
    <t>disascal_hih_acsa_jul_pnp</t>
  </si>
  <si>
    <t>disascal_hih_acsa_aug_pnp</t>
  </si>
  <si>
    <t>disascal_hih_acsa_sep_pnp</t>
  </si>
  <si>
    <t>disascal_hih_acsa_oct_pnp</t>
  </si>
  <si>
    <t>disascal_hih_acsa_nov_pnp</t>
  </si>
  <si>
    <t>disascal_hih_acsa_dec_pnp</t>
  </si>
  <si>
    <t>disascal_hih_acsa_jan_pnp</t>
  </si>
  <si>
    <t>disascal_hih_acsa_feb_pnp</t>
  </si>
  <si>
    <t>disascal_hih_acsa_mar_pnp</t>
  </si>
  <si>
    <t>disascal_hih_acsa_apr_pnp</t>
  </si>
  <si>
    <t>disascal_hih_acsa_may_pnp</t>
  </si>
  <si>
    <t>disascal_hih_acsa_jun_others_specify</t>
  </si>
  <si>
    <t>disascal_hih_acsa_jul_others_specify</t>
  </si>
  <si>
    <t>disascal_hih_acsa_aug_others_specify</t>
  </si>
  <si>
    <t>disascal_hih_acsa_sep_others_specify</t>
  </si>
  <si>
    <t>disascal_hih_acsa_oct_others_specify</t>
  </si>
  <si>
    <t>disascal_hih_acsa_nov_others_specify</t>
  </si>
  <si>
    <t>disascal_hih_acsa_dec_others_specify</t>
  </si>
  <si>
    <t>disascal_hih_acsa_jan_others_specify</t>
  </si>
  <si>
    <t>disascal_hih_acsa_feb_others_specify</t>
  </si>
  <si>
    <t>disascal_hih_acsa_mar_others_specify</t>
  </si>
  <si>
    <t>disascal_hih_acsa_apr_others_specify</t>
  </si>
  <si>
    <t>disascal_hih_acsa_may_others_specify</t>
  </si>
  <si>
    <t>disascal_hih_acsa_others_specify</t>
  </si>
  <si>
    <t>disascal_hih_acnsa_jun_abu_sayyaf</t>
  </si>
  <si>
    <t>disascal_hih_acnsa_jul_abu_sayyaf</t>
  </si>
  <si>
    <t>disascal_hih_acnsa_aug_abu_sayyaf</t>
  </si>
  <si>
    <t>disascal_hih_acnsa_sep_abu_sayyaf</t>
  </si>
  <si>
    <t>disascal_hih_acnsa_oct_abu_sayyaf</t>
  </si>
  <si>
    <t>disascal_hih_acnsa_nov_abu_sayyaf</t>
  </si>
  <si>
    <t>disascal_hih_acnsa_dec_abu_sayyaf</t>
  </si>
  <si>
    <t>disascal_hih_acnsa_jan_abu_sayyaf</t>
  </si>
  <si>
    <t>disascal_hih_acnsa_feb_abu_sayyaf</t>
  </si>
  <si>
    <t>disascal_hih_acnsa_mar_abu_sayyaf</t>
  </si>
  <si>
    <t>disascal_hih_acnsa_apr_abu_sayyaf</t>
  </si>
  <si>
    <t>disascal_hih_acnsa_may_abu_sayyaf</t>
  </si>
  <si>
    <t>disascal_hih_acnsa_jun_biff</t>
  </si>
  <si>
    <t>disascal_hih_acnsa_jul_biff</t>
  </si>
  <si>
    <t>disascal_hih_acnsa_aug_biff</t>
  </si>
  <si>
    <t>disascal_hih_acnsa_sep_biff</t>
  </si>
  <si>
    <t>disascal_hih_acnsa_oct_biff</t>
  </si>
  <si>
    <t>disascal_hih_acnsa_nov_biff</t>
  </si>
  <si>
    <t>disascal_hih_acnsa_dec_biff</t>
  </si>
  <si>
    <t>disascal_hih_acnsa_jan_biff</t>
  </si>
  <si>
    <t>disascal_hih_acnsa_feb_biff</t>
  </si>
  <si>
    <t>disascal_hih_acnsa_mar_biff</t>
  </si>
  <si>
    <t>disascal_hih_acnsa_apr_biff</t>
  </si>
  <si>
    <t>disascal_hih_acnsa_may_biff</t>
  </si>
  <si>
    <t>disascal_hih_acnsa_jun_ccp_npa</t>
  </si>
  <si>
    <t>disascal_hih_acnsa_jul_ccp_npa</t>
  </si>
  <si>
    <t>disascal_hih_acnsa_aug_ccp_npa</t>
  </si>
  <si>
    <t>disascal_hih_acnsa_sep_ccp_npa</t>
  </si>
  <si>
    <t>disascal_hih_acnsa_oct_ccp_npa</t>
  </si>
  <si>
    <t>disascal_hih_acnsa_nov_ccp_npa</t>
  </si>
  <si>
    <t>disascal_hih_acnsa_dec_ccp_npa</t>
  </si>
  <si>
    <t>disascal_hih_acnsa_jan_ccp_npa</t>
  </si>
  <si>
    <t>disascal_hih_acnsa_feb_ccp_npa</t>
  </si>
  <si>
    <t>disascal_hih_acnsa_mar_ccp_npa</t>
  </si>
  <si>
    <t>disascal_hih_acnsa_apr_ccp_npa</t>
  </si>
  <si>
    <t>disascal_hih_acnsa_may_ccp_npa</t>
  </si>
  <si>
    <t>disascal_hih_acnsa_jun_maute</t>
  </si>
  <si>
    <t>disascal_hih_acnsa_jul_maute</t>
  </si>
  <si>
    <t>disascal_hih_acnsa_aug_maute</t>
  </si>
  <si>
    <t>disascal_hih_acnsa_sep_maute</t>
  </si>
  <si>
    <t>disascal_hih_acnsa_oct_maute</t>
  </si>
  <si>
    <t>disascal_hih_acnsa_nov_maute</t>
  </si>
  <si>
    <t>disascal_hih_acnsa_dec_maute</t>
  </si>
  <si>
    <t>disascal_hih_acnsa_jan_maute</t>
  </si>
  <si>
    <t>disascal_hih_acnsa_feb_maute</t>
  </si>
  <si>
    <t>disascal_hih_acnsa_mar_maute</t>
  </si>
  <si>
    <t>disascal_hih_acnsa_apr_maute</t>
  </si>
  <si>
    <t>disascal_hih_acnsa_may_maute</t>
  </si>
  <si>
    <t>disascal_hih_acnsa_jun_mnlf</t>
  </si>
  <si>
    <t>disascal_hih_acnsa_jul_mnlf</t>
  </si>
  <si>
    <t>disascal_hih_acnsa_aug_mnlf</t>
  </si>
  <si>
    <t>disascal_hih_acnsa_sep_mnlf</t>
  </si>
  <si>
    <t>disascal_hih_acnsa_oct_mnlf</t>
  </si>
  <si>
    <t>disascal_hih_acnsa_nov_mnlf</t>
  </si>
  <si>
    <t>disascal_hih_acnsa_dec_mnlf</t>
  </si>
  <si>
    <t>disascal_hih_acnsa_jan_mnlf</t>
  </si>
  <si>
    <t>disascal_hih_acnsa_feb_mnlf</t>
  </si>
  <si>
    <t>disascal_hih_acnsa_mar_mnlf</t>
  </si>
  <si>
    <t>disascal_hih_acnsa_apr_mnlf</t>
  </si>
  <si>
    <t>disascal_hih_acnsa_may_mnlf</t>
  </si>
  <si>
    <t>disascal_hih_acnsa_jun_others_specify</t>
  </si>
  <si>
    <t>disascal_hih_acnsa_jul_others_specify</t>
  </si>
  <si>
    <t>disascal_hih_acnsa_aug_others_specify</t>
  </si>
  <si>
    <t>disascal_hih_acnsa_sep_others_specify</t>
  </si>
  <si>
    <t>disascal_hih_acnsa_oct_others_specify</t>
  </si>
  <si>
    <t>disascal_hih_acnsa_nov_others_specify</t>
  </si>
  <si>
    <t>disascal_hih_acnsa_dec_others_specify</t>
  </si>
  <si>
    <t>disascal_hih_acnsa_jan_others_specify</t>
  </si>
  <si>
    <t>disascal_hih_acnsa_feb_others_specify</t>
  </si>
  <si>
    <t>disascal_hih_acnsa_mar_others_specify</t>
  </si>
  <si>
    <t>disascal_hih_acnsa_apr_others_specify</t>
  </si>
  <si>
    <t>disascal_hih_acnsa_may_others_specify</t>
  </si>
  <si>
    <t>disascal_hih_acnsa_others_specify</t>
  </si>
  <si>
    <t>disascal_hih_child_jun_killing</t>
  </si>
  <si>
    <t>disascal_hih_child_jul_killing</t>
  </si>
  <si>
    <t>disascal_hih_child_aug_killing</t>
  </si>
  <si>
    <t>disascal_hih_child_sep_killing</t>
  </si>
  <si>
    <t>disascal_hih_child_oct_killing</t>
  </si>
  <si>
    <t>disascal_hih_child_nov_killing</t>
  </si>
  <si>
    <t>disascal_hih_child_dec_killing</t>
  </si>
  <si>
    <t>disascal_hih_child_jan_killing</t>
  </si>
  <si>
    <t>disascal_hih_child_feb_killing</t>
  </si>
  <si>
    <t>disascal_hih_child_mar_killing</t>
  </si>
  <si>
    <t>disascal_hih_child_apr_killing</t>
  </si>
  <si>
    <t>disascal_hih_child_may_killing</t>
  </si>
  <si>
    <t>disascal_hih_child_jun_abduction</t>
  </si>
  <si>
    <t>disascal_hih_child_jul_abduction</t>
  </si>
  <si>
    <t>disascal_hih_child_aug_abduction</t>
  </si>
  <si>
    <t>disascal_hih_child_sep_abduction</t>
  </si>
  <si>
    <t>disascal_hih_child_oct_abduction</t>
  </si>
  <si>
    <t>disascal_hih_child_nov_abduction</t>
  </si>
  <si>
    <t>disascal_hih_child_dec_abduction</t>
  </si>
  <si>
    <t>disascal_hih_child_jan_abduction</t>
  </si>
  <si>
    <t>disascal_hih_child_feb_abduction</t>
  </si>
  <si>
    <t>disascal_hih_child_mar_abduction</t>
  </si>
  <si>
    <t>disascal_hih_child_apr_abduction</t>
  </si>
  <si>
    <t>disascal_hih_child_may_abduction</t>
  </si>
  <si>
    <t>disascal_hih_child_jun_attacks</t>
  </si>
  <si>
    <t>disascal_hih_child_jul_attacks</t>
  </si>
  <si>
    <t>disascal_hih_child_aug_attacks</t>
  </si>
  <si>
    <t>disascal_hih_child_sep_attacks</t>
  </si>
  <si>
    <t>disascal_hih_child_oct_attacks</t>
  </si>
  <si>
    <t>disascal_hih_child_nov_attacks</t>
  </si>
  <si>
    <t>disascal_hih_child_dec_attacks</t>
  </si>
  <si>
    <t>disascal_hih_child_jan_attacks</t>
  </si>
  <si>
    <t>disascal_hih_child_feb_attacks</t>
  </si>
  <si>
    <t>disascal_hih_child_mar_attacks</t>
  </si>
  <si>
    <t>disascal_hih_child_apr_attacks</t>
  </si>
  <si>
    <t>disascal_hih_child_may_attacks</t>
  </si>
  <si>
    <t>disascal_hih_child_jun_denial</t>
  </si>
  <si>
    <t>disascal_hih_child_jul_denial</t>
  </si>
  <si>
    <t>disascal_hih_child_aug_denial</t>
  </si>
  <si>
    <t>disascal_hih_child_sep_denial</t>
  </si>
  <si>
    <t>disascal_hih_child_oct_denial</t>
  </si>
  <si>
    <t>disascal_hih_child_nov_denial</t>
  </si>
  <si>
    <t>disascal_hih_child_dec_denial</t>
  </si>
  <si>
    <t>disascal_hih_child_jan_denial</t>
  </si>
  <si>
    <t>disascal_hih_child_feb_denial</t>
  </si>
  <si>
    <t>disascal_hih_child_mar_denial</t>
  </si>
  <si>
    <t>disascal_hih_child_apr_denial</t>
  </si>
  <si>
    <t>disascal_hih_child_may_denial</t>
  </si>
  <si>
    <t>disascal_hih_child_jun_recruit</t>
  </si>
  <si>
    <t>disascal_hih_child_jul_recruit</t>
  </si>
  <si>
    <t>disascal_hih_child_aug_recruit</t>
  </si>
  <si>
    <t>disascal_hih_child_sep_recruit</t>
  </si>
  <si>
    <t>disascal_hih_child_oct_recruit</t>
  </si>
  <si>
    <t>disascal_hih_child_nov_recruit</t>
  </si>
  <si>
    <t>disascal_hih_child_dec_recruit</t>
  </si>
  <si>
    <t>disascal_hih_child_jan_recruit</t>
  </si>
  <si>
    <t>disascal_hih_child_feb_recruit</t>
  </si>
  <si>
    <t>disascal_hih_child_mar_recruit</t>
  </si>
  <si>
    <t>disascal_hih_child_apr_recruit</t>
  </si>
  <si>
    <t>disascal_hih_child_may_recruit</t>
  </si>
  <si>
    <t>disascal_hih_child_jun_sexual</t>
  </si>
  <si>
    <t>disascal_hih_child_jul_sexual</t>
  </si>
  <si>
    <t>disascal_hih_child_aug_sexual</t>
  </si>
  <si>
    <t>disascal_hih_child_sep_sexual</t>
  </si>
  <si>
    <t>disascal_hih_child_oct_sexual</t>
  </si>
  <si>
    <t>disascal_hih_child_nov_sexual</t>
  </si>
  <si>
    <t>disascal_hih_child_dec_sexual</t>
  </si>
  <si>
    <t>disascal_hih_child_jan_sexual</t>
  </si>
  <si>
    <t>disascal_hih_child_feb_sexual</t>
  </si>
  <si>
    <t>disascal_hih_child_mar_sexual</t>
  </si>
  <si>
    <t>disascal_hih_child_apr_sexual</t>
  </si>
  <si>
    <t>disascal_hih_child_may_sexual</t>
  </si>
  <si>
    <t>Tables37'!$U$8</t>
  </si>
  <si>
    <t>Tables37'!$W$8</t>
  </si>
  <si>
    <t>Tables37'!$Y$8</t>
  </si>
  <si>
    <t>Tables37'!$AA$8</t>
  </si>
  <si>
    <t>Tables37'!$AC$8</t>
  </si>
  <si>
    <t>Tables37'!$AE$8</t>
  </si>
  <si>
    <t>Tables37'!$AG$8</t>
  </si>
  <si>
    <t>Tables37'!$AI$8</t>
  </si>
  <si>
    <t>Tables37'!$AK$8</t>
  </si>
  <si>
    <t>Tables37'!$AM$8</t>
  </si>
  <si>
    <t>Tables37'!$AO$8</t>
  </si>
  <si>
    <t>Tables37'!$AQ$8</t>
  </si>
  <si>
    <t>Tables37'!$U$11</t>
  </si>
  <si>
    <t>Tables37'!$W$11</t>
  </si>
  <si>
    <t>Tables37'!$Y$11</t>
  </si>
  <si>
    <t>Tables37'!$AA$11</t>
  </si>
  <si>
    <t>Tables37'!$AC$11</t>
  </si>
  <si>
    <t>Tables37'!$AE$11</t>
  </si>
  <si>
    <t>Tables37'!$AG$11</t>
  </si>
  <si>
    <t>Tables37'!$AI$11</t>
  </si>
  <si>
    <t>Tables37'!$AK$11</t>
  </si>
  <si>
    <t>Tables37'!$AM$11</t>
  </si>
  <si>
    <t>Tables37'!$AO$11</t>
  </si>
  <si>
    <t>Tables37'!$AQ$11</t>
  </si>
  <si>
    <t>Tables37'!$U$12</t>
  </si>
  <si>
    <t>Tables37'!$W$12</t>
  </si>
  <si>
    <t>Tables37'!$Y$12</t>
  </si>
  <si>
    <t>Tables37'!$AA$12</t>
  </si>
  <si>
    <t>Tables37'!$AC$12</t>
  </si>
  <si>
    <t>Tables37'!$AE$12</t>
  </si>
  <si>
    <t>Tables37'!$AG$12</t>
  </si>
  <si>
    <t>Tables37'!$AI$12</t>
  </si>
  <si>
    <t>Tables37'!$AK$12</t>
  </si>
  <si>
    <t>Tables37'!$AM$12</t>
  </si>
  <si>
    <t>Tables37'!$AO$12</t>
  </si>
  <si>
    <t>Tables37'!$AQ$12</t>
  </si>
  <si>
    <t>Tables37'!$U$13</t>
  </si>
  <si>
    <t>Tables37'!$W$13</t>
  </si>
  <si>
    <t>Tables37'!$Y$13</t>
  </si>
  <si>
    <t>Tables37'!$AA$13</t>
  </si>
  <si>
    <t>Tables37'!$AC$13</t>
  </si>
  <si>
    <t>Tables37'!$AE$13</t>
  </si>
  <si>
    <t>Tables37'!$AG$13</t>
  </si>
  <si>
    <t>Tables37'!$AI$13</t>
  </si>
  <si>
    <t>Tables37'!$AK$13</t>
  </si>
  <si>
    <t>Tables37'!$AM$13</t>
  </si>
  <si>
    <t>Tables37'!$AO$13</t>
  </si>
  <si>
    <t>Tables37'!$AQ$13</t>
  </si>
  <si>
    <t>Tables37'!$F$14</t>
  </si>
  <si>
    <t>Tables37'!$U$17</t>
  </si>
  <si>
    <t>Tables37'!$W$17</t>
  </si>
  <si>
    <t>Tables37'!$Y$17</t>
  </si>
  <si>
    <t>Tables37'!$AA$17</t>
  </si>
  <si>
    <t>Tables37'!$AC$17</t>
  </si>
  <si>
    <t>Tables37'!$AE$17</t>
  </si>
  <si>
    <t>Tables37'!$AG$17</t>
  </si>
  <si>
    <t>Tables37'!$AI$17</t>
  </si>
  <si>
    <t>Tables37'!$AK$17</t>
  </si>
  <si>
    <t>Tables37'!$AM$17</t>
  </si>
  <si>
    <t>Tables37'!$AO$17</t>
  </si>
  <si>
    <t>Tables37'!$AQ$17</t>
  </si>
  <si>
    <t>Tables37'!$U$18</t>
  </si>
  <si>
    <t>Tables37'!$W$18</t>
  </si>
  <si>
    <t>Tables37'!$Y$18</t>
  </si>
  <si>
    <t>Tables37'!$AA$18</t>
  </si>
  <si>
    <t>Tables37'!$AC$18</t>
  </si>
  <si>
    <t>Tables37'!$AE$18</t>
  </si>
  <si>
    <t>Tables37'!$AG$18</t>
  </si>
  <si>
    <t>Tables37'!$AI$18</t>
  </si>
  <si>
    <t>Tables37'!$AK$18</t>
  </si>
  <si>
    <t>Tables37'!$AM$18</t>
  </si>
  <si>
    <t>Tables37'!$AO$18</t>
  </si>
  <si>
    <t>Tables37'!$AQ$18</t>
  </si>
  <si>
    <t>Tables37'!$U$19</t>
  </si>
  <si>
    <t>Tables37'!$W$19</t>
  </si>
  <si>
    <t>Tables37'!$Y$19</t>
  </si>
  <si>
    <t>Tables37'!$AA$19</t>
  </si>
  <si>
    <t>Tables37'!$AC$19</t>
  </si>
  <si>
    <t>Tables37'!$AE$19</t>
  </si>
  <si>
    <t>Tables37'!$AG$19</t>
  </si>
  <si>
    <t>Tables37'!$AI$19</t>
  </si>
  <si>
    <t>Tables37'!$AK$19</t>
  </si>
  <si>
    <t>Tables37'!$AM$19</t>
  </si>
  <si>
    <t>Tables37'!$AO$19</t>
  </si>
  <si>
    <t>Tables37'!$AQ$19</t>
  </si>
  <si>
    <t>Tables37'!$U$20</t>
  </si>
  <si>
    <t>Tables37'!$W$20</t>
  </si>
  <si>
    <t>Tables37'!$Y$20</t>
  </si>
  <si>
    <t>Tables37'!$AA$20</t>
  </si>
  <si>
    <t>Tables37'!$AC$20</t>
  </si>
  <si>
    <t>Tables37'!$AE$20</t>
  </si>
  <si>
    <t>Tables37'!$AG$20</t>
  </si>
  <si>
    <t>Tables37'!$AI$20</t>
  </si>
  <si>
    <t>Tables37'!$AK$20</t>
  </si>
  <si>
    <t>Tables37'!$AM$20</t>
  </si>
  <si>
    <t>Tables37'!$AO$20</t>
  </si>
  <si>
    <t>Tables37'!$AQ$20</t>
  </si>
  <si>
    <t>Tables37'!$U$21</t>
  </si>
  <si>
    <t>Tables37'!$W$21</t>
  </si>
  <si>
    <t>Tables37'!$Y$21</t>
  </si>
  <si>
    <t>Tables37'!$AA$21</t>
  </si>
  <si>
    <t>Tables37'!$AC$21</t>
  </si>
  <si>
    <t>Tables37'!$AE$21</t>
  </si>
  <si>
    <t>Tables37'!$AG$21</t>
  </si>
  <si>
    <t>Tables37'!$AI$21</t>
  </si>
  <si>
    <t>Tables37'!$AK$21</t>
  </si>
  <si>
    <t>Tables37'!$AM$21</t>
  </si>
  <si>
    <t>Tables37'!$AO$21</t>
  </si>
  <si>
    <t>Tables37'!$AQ$21</t>
  </si>
  <si>
    <t>Tables37'!$U$22</t>
  </si>
  <si>
    <t>Tables37'!$W$22</t>
  </si>
  <si>
    <t>Tables37'!$Y$22</t>
  </si>
  <si>
    <t>Tables37'!$AA$22</t>
  </si>
  <si>
    <t>Tables37'!$AC$22</t>
  </si>
  <si>
    <t>Tables37'!$AE$22</t>
  </si>
  <si>
    <t>Tables37'!$AG$22</t>
  </si>
  <si>
    <t>Tables37'!$AI$22</t>
  </si>
  <si>
    <t>Tables37'!$AK$22</t>
  </si>
  <si>
    <t>Tables37'!$AM$22</t>
  </si>
  <si>
    <t>Tables37'!$AO$22</t>
  </si>
  <si>
    <t>Tables37'!$AQ$22</t>
  </si>
  <si>
    <t>Tables37'!$F$23</t>
  </si>
  <si>
    <t>Tables37'!$U$27</t>
  </si>
  <si>
    <t>Tables37'!$W$27</t>
  </si>
  <si>
    <t>Tables37'!$Y$27</t>
  </si>
  <si>
    <t>Tables37'!$AA$27</t>
  </si>
  <si>
    <t>Tables37'!$AC$27</t>
  </si>
  <si>
    <t>Tables37'!$AE$27</t>
  </si>
  <si>
    <t>Tables37'!$AG$27</t>
  </si>
  <si>
    <t>Tables37'!$AI$27</t>
  </si>
  <si>
    <t>Tables37'!$AK$27</t>
  </si>
  <si>
    <t>Tables37'!$AM$27</t>
  </si>
  <si>
    <t>Tables37'!$AO$27</t>
  </si>
  <si>
    <t>Tables37'!$AQ$27</t>
  </si>
  <si>
    <t>Tables37'!$U$28</t>
  </si>
  <si>
    <t>Tables37'!$W$28</t>
  </si>
  <si>
    <t>Tables37'!$Y$28</t>
  </si>
  <si>
    <t>Tables37'!$AA$28</t>
  </si>
  <si>
    <t>Tables37'!$AC$28</t>
  </si>
  <si>
    <t>Tables37'!$AE$28</t>
  </si>
  <si>
    <t>Tables37'!$AG$28</t>
  </si>
  <si>
    <t>Tables37'!$AI$28</t>
  </si>
  <si>
    <t>Tables37'!$AK$28</t>
  </si>
  <si>
    <t>Tables37'!$AM$28</t>
  </si>
  <si>
    <t>Tables37'!$AO$28</t>
  </si>
  <si>
    <t>Tables37'!$AQ$28</t>
  </si>
  <si>
    <t>Tables37'!$U$29</t>
  </si>
  <si>
    <t>Tables37'!$W$29</t>
  </si>
  <si>
    <t>Tables37'!$Y$29</t>
  </si>
  <si>
    <t>Tables37'!$AA$29</t>
  </si>
  <si>
    <t>Tables37'!$AC$29</t>
  </si>
  <si>
    <t>Tables37'!$AE$29</t>
  </si>
  <si>
    <t>Tables37'!$AG$29</t>
  </si>
  <si>
    <t>Tables37'!$AI$29</t>
  </si>
  <si>
    <t>Tables37'!$AK$29</t>
  </si>
  <si>
    <t>Tables37'!$AM$29</t>
  </si>
  <si>
    <t>Tables37'!$AO$29</t>
  </si>
  <si>
    <t>Tables37'!$AQ$29</t>
  </si>
  <si>
    <t>Tables37'!$U$30</t>
  </si>
  <si>
    <t>Tables37'!$W$30</t>
  </si>
  <si>
    <t>Tables37'!$Y$30</t>
  </si>
  <si>
    <t>Tables37'!$AA$30</t>
  </si>
  <si>
    <t>Tables37'!$AC$30</t>
  </si>
  <si>
    <t>Tables37'!$AE$30</t>
  </si>
  <si>
    <t>Tables37'!$AG$30</t>
  </si>
  <si>
    <t>Tables37'!$AI$30</t>
  </si>
  <si>
    <t>Tables37'!$AK$30</t>
  </si>
  <si>
    <t>Tables37'!$AM$30</t>
  </si>
  <si>
    <t>Tables37'!$AO$30</t>
  </si>
  <si>
    <t>Tables37'!$AQ$30</t>
  </si>
  <si>
    <t>Tables37'!$U$31</t>
  </si>
  <si>
    <t>Tables37'!$W$31</t>
  </si>
  <si>
    <t>Tables37'!$Y$31</t>
  </si>
  <si>
    <t>Tables37'!$AA$31</t>
  </si>
  <si>
    <t>Tables37'!$AC$31</t>
  </si>
  <si>
    <t>Tables37'!$AE$31</t>
  </si>
  <si>
    <t>Tables37'!$AG$31</t>
  </si>
  <si>
    <t>Tables37'!$AI$31</t>
  </si>
  <si>
    <t>Tables37'!$AK$31</t>
  </si>
  <si>
    <t>Tables37'!$AM$31</t>
  </si>
  <si>
    <t>Tables37'!$AO$31</t>
  </si>
  <si>
    <t>Tables37'!$AQ$31</t>
  </si>
  <si>
    <t>Tables37'!$U$32</t>
  </si>
  <si>
    <t>Tables37'!$W$32</t>
  </si>
  <si>
    <t>Tables37'!$Y$32</t>
  </si>
  <si>
    <t>Tables37'!$AA$32</t>
  </si>
  <si>
    <t>Tables37'!$AC$32</t>
  </si>
  <si>
    <t>Tables37'!$AE$32</t>
  </si>
  <si>
    <t>Tables37'!$AG$32</t>
  </si>
  <si>
    <t>Tables37'!$AI$32</t>
  </si>
  <si>
    <t>Tables37'!$AK$32</t>
  </si>
  <si>
    <t>Tables37'!$AM$32</t>
  </si>
  <si>
    <t>Tables37'!$AO$32</t>
  </si>
  <si>
    <t>Tables37'!$AQ$32</t>
  </si>
  <si>
    <t>result_disasinci_jun_num_cls</t>
  </si>
  <si>
    <t>shs_disaster_result</t>
  </si>
  <si>
    <t>result_disasinci_jul_num_cls</t>
  </si>
  <si>
    <t>result_disasinci_aug_num_cls</t>
  </si>
  <si>
    <t>result_disasinci_sep_num_cls</t>
  </si>
  <si>
    <t>result_disasinci_oct_num_cls</t>
  </si>
  <si>
    <t>result_disasinci_nov_num_cls</t>
  </si>
  <si>
    <t>result_disasinci_dec_num_cls</t>
  </si>
  <si>
    <t>result_disasinci_jan_num_cls</t>
  </si>
  <si>
    <t>result_disasinci_feb_num_cls</t>
  </si>
  <si>
    <t>result_disasinci_mar_num_cls</t>
  </si>
  <si>
    <t>result_disasinci_apr_num_cls</t>
  </si>
  <si>
    <t>result_disasinci_may_num_cls</t>
  </si>
  <si>
    <t>result_disasinci_jun_num_days</t>
  </si>
  <si>
    <t>result_disasinci_jul_num_days</t>
  </si>
  <si>
    <t>result_disasinci_aug_num_days</t>
  </si>
  <si>
    <t>result_disasinci_sep_num_days</t>
  </si>
  <si>
    <t>result_disasinci_oct_num_days</t>
  </si>
  <si>
    <t>result_disasinci_nov_num_days</t>
  </si>
  <si>
    <t>result_disasinci_dec_num_days</t>
  </si>
  <si>
    <t>result_disasinci_jan_num_days</t>
  </si>
  <si>
    <t>result_disasinci_feb_num_days</t>
  </si>
  <si>
    <t>result_disasinci_mar_num_days</t>
  </si>
  <si>
    <t>result_disasinci_apr_num_days</t>
  </si>
  <si>
    <t>result_disasinci_may_num_days</t>
  </si>
  <si>
    <t>result_disasinci_nh_jun_num_suspend</t>
  </si>
  <si>
    <t>result_disasinci_nh_jul_num_suspend</t>
  </si>
  <si>
    <t>result_disasinci_nh_aug_num_suspend</t>
  </si>
  <si>
    <t>result_disasinci_nh_sep_num_suspend</t>
  </si>
  <si>
    <t>result_disasinci_nh_oct_num_suspend</t>
  </si>
  <si>
    <t>result_disasinci_nh_nov_num_suspend</t>
  </si>
  <si>
    <t>result_disasinci_nh_dec_num_suspend</t>
  </si>
  <si>
    <t>result_disasinci_nh_jan_num_suspend</t>
  </si>
  <si>
    <t>result_disasinci_nh_feb_num_suspend</t>
  </si>
  <si>
    <t>result_disasinci_nh_mar_num_suspend</t>
  </si>
  <si>
    <t>result_disasinci_nh_apr_num_suspend</t>
  </si>
  <si>
    <t>result_disasinci_nh_may_num_suspend</t>
  </si>
  <si>
    <t>result_disasinci_hih_jun_num_suspend</t>
  </si>
  <si>
    <t>result_disasinci_hih_jul_num_suspend</t>
  </si>
  <si>
    <t>result_disasinci_hih_aug_num_suspend</t>
  </si>
  <si>
    <t>result_disasinci_hih_sep_num_suspend</t>
  </si>
  <si>
    <t>result_disasinci_hih_oct_num_suspend</t>
  </si>
  <si>
    <t>result_disasinci_hih_nov_num_suspend</t>
  </si>
  <si>
    <t>result_disasinci_hih_dec_num_suspend</t>
  </si>
  <si>
    <t>result_disasinci_hih_jan_num_suspend</t>
  </si>
  <si>
    <t>result_disasinci_hih_feb_num_suspend</t>
  </si>
  <si>
    <t>result_disasinci_hih_mar_num_suspend</t>
  </si>
  <si>
    <t>result_disasinci_hih_apr_num_suspend</t>
  </si>
  <si>
    <t>result_disasinci_hih_may_num_suspend</t>
  </si>
  <si>
    <t>result_disasinci_jun_num_arm_conflict</t>
  </si>
  <si>
    <t>result_disasinci_jul_num_arm_conflict</t>
  </si>
  <si>
    <t>result_disasinci_aug_num_arm_conflict</t>
  </si>
  <si>
    <t>result_disasinci_sep_num_arm_conflict</t>
  </si>
  <si>
    <t>result_disasinci_oct_num_arm_conflict</t>
  </si>
  <si>
    <t>result_disasinci_nov_num_arm_conflict</t>
  </si>
  <si>
    <t>result_disasinci_dec_num_arm_conflict</t>
  </si>
  <si>
    <t>result_disasinci_jan_num_arm_conflict</t>
  </si>
  <si>
    <t>result_disasinci_feb_num_arm_conflict</t>
  </si>
  <si>
    <t>result_disasinci_mar_num_arm_conflict</t>
  </si>
  <si>
    <t>result_disasinci_apr_num_arm_conflict</t>
  </si>
  <si>
    <t>result_disasinci_may_num_arm_conflict</t>
  </si>
  <si>
    <t>Tables38'!$U$13</t>
  </si>
  <si>
    <t>Tables38'!$W$13</t>
  </si>
  <si>
    <t>Tables38'!$Y$13</t>
  </si>
  <si>
    <t>Tables38'!$AA$13</t>
  </si>
  <si>
    <t>Tables38'!$AC$13</t>
  </si>
  <si>
    <t>Tables38'!$AE$13</t>
  </si>
  <si>
    <t>Tables38'!$AG$13</t>
  </si>
  <si>
    <t>Tables38'!$AI$13</t>
  </si>
  <si>
    <t>Tables38'!$AK13</t>
  </si>
  <si>
    <t>Tables38'!$AM$13</t>
  </si>
  <si>
    <t>Tables38'!$AO$13</t>
  </si>
  <si>
    <t>Tables38'!$AQ$13</t>
  </si>
  <si>
    <t>Tables38'!$U$14</t>
  </si>
  <si>
    <t>Tables38'!$W$14</t>
  </si>
  <si>
    <t>Tables38'!$Y$14</t>
  </si>
  <si>
    <t>Tables38'!$AA$14</t>
  </si>
  <si>
    <t>Tables38'!$AC$14</t>
  </si>
  <si>
    <t>Tables38'!$AE$14</t>
  </si>
  <si>
    <t>Tables38'!$AG$14</t>
  </si>
  <si>
    <t>Tables38'!$AI$14</t>
  </si>
  <si>
    <t>Tables38'!$AK14</t>
  </si>
  <si>
    <t>Tables38'!$AM$14</t>
  </si>
  <si>
    <t>Tables38'!$AO$14</t>
  </si>
  <si>
    <t>Tables38'!$AQ$14</t>
  </si>
  <si>
    <t>Tables38'!$U$15</t>
  </si>
  <si>
    <t>Tables38'!$W$15</t>
  </si>
  <si>
    <t>Tables38'!$Y$15</t>
  </si>
  <si>
    <t>Tables38'!$AA$15</t>
  </si>
  <si>
    <t>Tables38'!$AC$15</t>
  </si>
  <si>
    <t>Tables38'!$AE$15</t>
  </si>
  <si>
    <t>Tables38'!$AG$15</t>
  </si>
  <si>
    <t>Tables38'!$AI$15</t>
  </si>
  <si>
    <t>Tables38'!$AK15</t>
  </si>
  <si>
    <t>Tables38'!$AM$15</t>
  </si>
  <si>
    <t>Tables38'!$AO$15</t>
  </si>
  <si>
    <t>Tables38'!$AQ$15</t>
  </si>
  <si>
    <t>Tables38'!$U$16</t>
  </si>
  <si>
    <t>Tables38'!$W$16</t>
  </si>
  <si>
    <t>Tables38'!$Y$16</t>
  </si>
  <si>
    <t>Tables38'!$AA$16</t>
  </si>
  <si>
    <t>Tables38'!$AC$16</t>
  </si>
  <si>
    <t>Tables38'!$AE$16</t>
  </si>
  <si>
    <t>Tables38'!$AG$16</t>
  </si>
  <si>
    <t>Tables38'!$AI$16</t>
  </si>
  <si>
    <t>Tables38'!$AK16</t>
  </si>
  <si>
    <t>Tables38'!$AM$16</t>
  </si>
  <si>
    <t>Tables38'!$AO$16</t>
  </si>
  <si>
    <t>Tables38'!$AQ$16</t>
  </si>
  <si>
    <t>Tables38'!$U$17</t>
  </si>
  <si>
    <t>Tables38'!$W$17</t>
  </si>
  <si>
    <t>Tables38'!$Y$17</t>
  </si>
  <si>
    <t>Tables38'!$AA$17</t>
  </si>
  <si>
    <t>Tables38'!$AC$17</t>
  </si>
  <si>
    <t>Tables38'!$AE$17</t>
  </si>
  <si>
    <t>Tables38'!$AG$17</t>
  </si>
  <si>
    <t>Tables38'!$AI$17</t>
  </si>
  <si>
    <t>Tables38'!$AK17</t>
  </si>
  <si>
    <t>Tables38'!$AM$17</t>
  </si>
  <si>
    <t>Tables38'!$AO$17</t>
  </si>
  <si>
    <t>Tables38'!$AQ$17</t>
  </si>
  <si>
    <t>drrm_cca_policies_DO82_s2010</t>
  </si>
  <si>
    <t>shs_enabling_environment</t>
  </si>
  <si>
    <t>drrm_cca_policies_DO83_s2011</t>
  </si>
  <si>
    <t>drrm_cca_policies_DO43_s2012</t>
  </si>
  <si>
    <t>drrm_cca_policies_DO21_s2015</t>
  </si>
  <si>
    <t>drrm_cca_policies_DO23_s2015</t>
  </si>
  <si>
    <t>drrm_cca_policies_DO27_s2015</t>
  </si>
  <si>
    <t>drrm_cca_policies_DO37_s2015</t>
  </si>
  <si>
    <t>drrm_cca_policies_DO28_s2016</t>
  </si>
  <si>
    <t>Box28-Part1'!$D$10</t>
  </si>
  <si>
    <t>Box28-Part1'!$D$11</t>
  </si>
  <si>
    <t>Box28-Part1'!$D$12</t>
  </si>
  <si>
    <t>Box28-Part1'!$D$13</t>
  </si>
  <si>
    <t>Box28-Part1'!$D$14</t>
  </si>
  <si>
    <t>Box28-Part1'!$D$15</t>
  </si>
  <si>
    <t>Box28-Part1'!$D$16</t>
  </si>
  <si>
    <t>Box28-Part1'!$D$17</t>
  </si>
  <si>
    <t>Box28-Part1'!$D$18</t>
  </si>
  <si>
    <t>Box28-Part1'!$D$19</t>
  </si>
  <si>
    <t>Box28-Part1'!$D$20</t>
  </si>
  <si>
    <t>Box28-Part1'!$D$22</t>
  </si>
  <si>
    <t>Box28-Part1'!$D$23</t>
  </si>
  <si>
    <t>Box28-Part1'!$D$24</t>
  </si>
  <si>
    <t>Box28-Part1'!$D$25</t>
  </si>
  <si>
    <t>Box28-Part1'!$D$26</t>
  </si>
  <si>
    <t>cons_l_excl_ip_f</t>
  </si>
  <si>
    <t>cons_ip_l_m</t>
  </si>
  <si>
    <t>cons_ip_l_f</t>
  </si>
  <si>
    <t>cons_muslim_l_m</t>
  </si>
  <si>
    <t>cons_muslim_l_f</t>
  </si>
  <si>
    <t>cons_l_excl_ip_m</t>
  </si>
  <si>
    <t>cons_lwd_m</t>
  </si>
  <si>
    <t>cons_lwd_f</t>
  </si>
  <si>
    <t>Box28-Part1'!$D$31</t>
  </si>
  <si>
    <t>Box28-Part1'!$G$31</t>
  </si>
  <si>
    <t>Box28-Part1'!$J$31</t>
  </si>
  <si>
    <t>Box28-Part1'!$M$31</t>
  </si>
  <si>
    <t>Box28-Part1'!$P$31</t>
  </si>
  <si>
    <t>Box28-Part1'!$S$31</t>
  </si>
  <si>
    <t>Box28-Part1'!$V$31</t>
  </si>
  <si>
    <t>Box28-Part1'!$Y$31</t>
  </si>
  <si>
    <t>sch_lev_pol_l</t>
  </si>
  <si>
    <t>sch_lev_pol_per</t>
  </si>
  <si>
    <t>sch_lev_pol_parents</t>
  </si>
  <si>
    <t>sch_lev_pol_lgu</t>
  </si>
  <si>
    <t>sch_lev_pol_ngo</t>
  </si>
  <si>
    <t>Box28-Part1'!$D$37</t>
  </si>
  <si>
    <t>Box28-Part1'!$I$37</t>
  </si>
  <si>
    <t>Box28-Part1'!$N$37</t>
  </si>
  <si>
    <t>Box28-Part1'!$S$37</t>
  </si>
  <si>
    <t>Box28-Part1'!$X$37</t>
  </si>
  <si>
    <t>sch_drrm_ccam_peacebuild_plan</t>
  </si>
  <si>
    <t>sch_drrm_ccam_peacebuild_plan_dev_sp</t>
  </si>
  <si>
    <t>sch_drrm_ccam_peacebuild_plan_dev_parents</t>
  </si>
  <si>
    <t>sch_drrm_ccam_peacebuild_plan_dev_lgu</t>
  </si>
  <si>
    <t>sch_drrm_ccam_peacebuild_plan_dev_expart</t>
  </si>
  <si>
    <t>sch_drrm_ccam_peacebuild_plan_lwd</t>
  </si>
  <si>
    <t>sch_drrm_ccam_peacebuild_plan_iksp</t>
  </si>
  <si>
    <t>sch_drrm_ccam_peacebuild_plan_gensense</t>
  </si>
  <si>
    <t>sch_drrm_ccam_peacebuild_plan2</t>
  </si>
  <si>
    <t>sch_drrm_ccam_peacebuild_plan_dev_l_excl_ip_m</t>
  </si>
  <si>
    <t>sch_drrm_ccam_peacebuild_plan_dev_l_excl_ip_f</t>
  </si>
  <si>
    <t>sch_drrm_ccam_peacebuild_plan_dev_ip_l_m</t>
  </si>
  <si>
    <t>sch_drrm_ccam_peacebuild_plan_dev_ip_l_f</t>
  </si>
  <si>
    <t>sch_drrm_ccam_peacebuild_plan_dev_muslim_l_m</t>
  </si>
  <si>
    <t>sch_drrm_ccam_peacebuild_plan_dev_muslim_l_f</t>
  </si>
  <si>
    <t>sch_drrm_ccam_peacebuild_plan_dev_lwd_m</t>
  </si>
  <si>
    <t>sch_drrm_ccam_peacebuild_plan_dev_lwd_f</t>
  </si>
  <si>
    <t>sch_drrm_ccam_peacebuild_func_team</t>
  </si>
  <si>
    <t>sch_drrm_ccam_peacebuild_drrm_coor</t>
  </si>
  <si>
    <t>sch_drrm_ccam_peacebuild_drrm_ppa_no</t>
  </si>
  <si>
    <t>sch_drrm_ccam_peacebuild_drrm_ppa_cost</t>
  </si>
  <si>
    <t>sch_drrm_ccam_peacebuild_drrm_ppa_percent</t>
  </si>
  <si>
    <t>sch_drrm_ccam_peacebuild_ccam_ppa_no</t>
  </si>
  <si>
    <t>sch_drrm_ccam_peacebuild_ccam_ppa_cost</t>
  </si>
  <si>
    <t>sch_drrm_ccam_peacebuild_ccam_ppa_percent</t>
  </si>
  <si>
    <t>sch_drrm_ccam_peacebuild_pbuild_ppa_no</t>
  </si>
  <si>
    <t>sch_drrm_ccam_peacebuild_pbuild_ppa_cost</t>
  </si>
  <si>
    <t>sch_drrm_ccam_peacebuild_pbuild_ppa_percent</t>
  </si>
  <si>
    <t>sch_drrm_ccam_peacebuild_dim_teachper_m</t>
  </si>
  <si>
    <t>sch_drrm_ccam_peacebuild_dim_teachper_f</t>
  </si>
  <si>
    <t>sch_drrm_ccam_peacebuild_dim_non_teachper_m</t>
  </si>
  <si>
    <t>sch_drrm_ccam_peacebuild_dim_non_teachper_f</t>
  </si>
  <si>
    <t>sch_drrm_ccam_peacebuild_dim_train</t>
  </si>
  <si>
    <t>sch_drrm_ccam_peacebuild_dim_research</t>
  </si>
  <si>
    <t>sch_drrm_ccam_peacebuild_dim_prog_dev</t>
  </si>
  <si>
    <t>sch_drrm_ccam_peacebuild_dim_sw_dcr</t>
  </si>
  <si>
    <t>Box28-Part2-4'!$D$4</t>
  </si>
  <si>
    <t>Box28-Part2-4'!$G$6</t>
  </si>
  <si>
    <t>Box28-Part2-4'!$N$6</t>
  </si>
  <si>
    <t>Box28-Part2-4'!$S$6</t>
  </si>
  <si>
    <t>Box28-Part2-4'!$W$6</t>
  </si>
  <si>
    <t>Box28-Part2-4'!$D$7</t>
  </si>
  <si>
    <t>Box28-Part2-4'!$D$8</t>
  </si>
  <si>
    <t>Box28-Part2-4'!$D$9</t>
  </si>
  <si>
    <t>Box28-Part2-4'!$D$10</t>
  </si>
  <si>
    <t>Box28-Part2-4'!$D$15</t>
  </si>
  <si>
    <t>Box28-Part2-4'!$G$15</t>
  </si>
  <si>
    <t>Box28-Part2-4'!$J$15</t>
  </si>
  <si>
    <t>Box28-Part2-4'!$M$15</t>
  </si>
  <si>
    <t>Box28-Part2-4'!$P$15</t>
  </si>
  <si>
    <t>Box28-Part2-4'!$S$15</t>
  </si>
  <si>
    <t>Box28-Part2-4'!$V$15</t>
  </si>
  <si>
    <t>Box28-Part2-4'!$Y$15</t>
  </si>
  <si>
    <t>Box28-Part2-4'!$D$22</t>
  </si>
  <si>
    <t>Box28-Part2-4'!$D$23</t>
  </si>
  <si>
    <t>Box28-Part2-4'!$D$27</t>
  </si>
  <si>
    <t>Box28-Part2-4'!$G$27</t>
  </si>
  <si>
    <t>Box28-Part2-4'!$J$27</t>
  </si>
  <si>
    <t>Box28-Part2-4'!$M$27</t>
  </si>
  <si>
    <t>Box28-Part2-4'!$P$27</t>
  </si>
  <si>
    <t>Box28-Part2-4'!$S$27</t>
  </si>
  <si>
    <t>Box28-Part2-4'!$V$27</t>
  </si>
  <si>
    <t>Box28-Part2-4'!$Y$27</t>
  </si>
  <si>
    <t>Box28-Part2-4'!$AB$27</t>
  </si>
  <si>
    <t>Box28-Part2-4'!$D$36</t>
  </si>
  <si>
    <t>Box28-Part2-4'!$G$36</t>
  </si>
  <si>
    <t>Box28-Part2-4'!$J$36</t>
  </si>
  <si>
    <t>Box28-Part2-4'!$M$36</t>
  </si>
  <si>
    <t>Box28-Part2-4'!$AB$38</t>
  </si>
  <si>
    <t>Box28-Part2-4'!$AB$40</t>
  </si>
  <si>
    <t>Box28-Part2-4'!$AB$42</t>
  </si>
  <si>
    <t>Box28-Part2-4'!$D$44</t>
  </si>
  <si>
    <t>sch_drrm_ccam_peacebuild_monitor_evaluate_implementyes</t>
  </si>
  <si>
    <t>sch_drrm_ccam_peacebuild_monitor_cssyes</t>
  </si>
  <si>
    <t>sch_drrm_ccam_peacebuild_docs_drrm</t>
  </si>
  <si>
    <t>sch_drrm_ccam_peacebuild_docs_peacebuild</t>
  </si>
  <si>
    <t>sch_drrm_ccam_peacebuild_nos_prog</t>
  </si>
  <si>
    <t>Box28-Part5'!$D$4</t>
  </si>
  <si>
    <t>Box28-Part5'!$D$6</t>
  </si>
  <si>
    <t>Box28-Part5'!$J$12</t>
  </si>
  <si>
    <t>Box28-Part5'!$P$12</t>
  </si>
  <si>
    <t>Box28-Part5'!$AB$14</t>
  </si>
  <si>
    <t>safelearn_facilities_instructional_safe</t>
  </si>
  <si>
    <t>safelearn_facilities_instructional_unsafe</t>
  </si>
  <si>
    <t>safelearn_facilities_noninstructional_safe</t>
  </si>
  <si>
    <t>safelearn_facilities_noninstructional_unsafe</t>
  </si>
  <si>
    <t>safelearn_facilities_instructional_retrofitted</t>
  </si>
  <si>
    <t>safelearn_facilities_noninstructional_retrofitted</t>
  </si>
  <si>
    <t>safelearn_facilities_instructional_resilient</t>
  </si>
  <si>
    <t>safelearn_facilities_noninstructional_resilient</t>
  </si>
  <si>
    <t>safelearn_facilities_structural_hazard_mit_fld</t>
  </si>
  <si>
    <t>safelearn_facilities_structural_hazard_mit_fire</t>
  </si>
  <si>
    <t>safelearn_facilities_structural_hazard_mit_sea</t>
  </si>
  <si>
    <t>safelearn_facilities_structural_hazard_mit_slope</t>
  </si>
  <si>
    <t>safelearn_facilities_structural_hazard_mit_others</t>
  </si>
  <si>
    <t>safelearn_facilities_structural_hazard_mit_others_specify</t>
  </si>
  <si>
    <t>safelearn_facilities_nonstructural_hazard_mit_slope_protect</t>
  </si>
  <si>
    <t>safelearn_facilities_nonstructural_hazard_mit_vege</t>
  </si>
  <si>
    <t>safelearn_facilities_nonstructural_hazard_mit_porous</t>
  </si>
  <si>
    <t>safelearn_facilities_nonstructural_hazard_mit_pruning</t>
  </si>
  <si>
    <t>safelearn_facilities_nonstructural_hazard_mit_others</t>
  </si>
  <si>
    <t>safelearn_facilities_nonstructural_hazard_mit_others_specify</t>
  </si>
  <si>
    <t>safelearn_facilities_reg_inspect</t>
  </si>
  <si>
    <t>safelearn_facilities_sh_budget</t>
  </si>
  <si>
    <t>safelearn_facilities_reg_repair</t>
  </si>
  <si>
    <t>safelearn_main_fac_jun</t>
  </si>
  <si>
    <t>safelearn_main_fac_july</t>
  </si>
  <si>
    <t>safelearn_main_fac_aug</t>
  </si>
  <si>
    <t>safelearn_main_fac_sep</t>
  </si>
  <si>
    <t>safelearn_main_fac_oct</t>
  </si>
  <si>
    <t>safelearn_main_fac_nov</t>
  </si>
  <si>
    <t>safelearn_main_fac_dec</t>
  </si>
  <si>
    <t>safelearn_main_fac_jan</t>
  </si>
  <si>
    <t>safelearn_main_fac_feb</t>
  </si>
  <si>
    <t>safelearn_main_fac_apr</t>
  </si>
  <si>
    <t>safelearn_main_fac_may</t>
  </si>
  <si>
    <t>safelearn_main_fac_mar</t>
  </si>
  <si>
    <t>shs_safe_learning</t>
  </si>
  <si>
    <t>Box29-Part1'!$K$10</t>
  </si>
  <si>
    <t>Box29-Part1'!$Q$10</t>
  </si>
  <si>
    <t>Box29-Part1'!$K$11</t>
  </si>
  <si>
    <t>Box29-Part1'!$Q$11</t>
  </si>
  <si>
    <t>Box29-Part1'!$AB$13</t>
  </si>
  <si>
    <t>Box29-Part1'!$AB$15</t>
  </si>
  <si>
    <t>Box29-Part1'!$AB$17</t>
  </si>
  <si>
    <t>Box29-Part1'!$AB$19</t>
  </si>
  <si>
    <t>Box29-Part1'!$G$22</t>
  </si>
  <si>
    <t>Box29-Part1'!$G$23</t>
  </si>
  <si>
    <t>Box29-Part1'!$G$24</t>
  </si>
  <si>
    <t>Box29-Part1'!$S$22</t>
  </si>
  <si>
    <t>Box29-Part1'!$S$23</t>
  </si>
  <si>
    <t>Box29-Part1'!$X$23</t>
  </si>
  <si>
    <t>Box29-Part1'!$G$26</t>
  </si>
  <si>
    <t>Box29-Part1'!$G$27</t>
  </si>
  <si>
    <t>Box29-Part1'!$G$28</t>
  </si>
  <si>
    <t>Box29-Part1'!$S$26</t>
  </si>
  <si>
    <t>Box29-Part1'!$S$27</t>
  </si>
  <si>
    <t>Box29-Part1'!$X$27</t>
  </si>
  <si>
    <t>Box29-Part1'!$D$29</t>
  </si>
  <si>
    <t>Box29-Part1'!$D$30</t>
  </si>
  <si>
    <t>Box29-Part1'!$D$31</t>
  </si>
  <si>
    <t>Box29-Part1'!$M$36</t>
  </si>
  <si>
    <t>Box29-Part1'!$P$36</t>
  </si>
  <si>
    <t>Box29-Part1'!$S$36</t>
  </si>
  <si>
    <t>Box29-Part1'!$V$36</t>
  </si>
  <si>
    <t>Box29-Part1'!$Y$36</t>
  </si>
  <si>
    <t>Box29-Part1'!ABY$36</t>
  </si>
  <si>
    <t>Box29-Part1'!$M$38</t>
  </si>
  <si>
    <t>Box29-Part1'!$P$38</t>
  </si>
  <si>
    <t>Box29-Part1'!$S$38</t>
  </si>
  <si>
    <t>Box29-Part1'!$V$38</t>
  </si>
  <si>
    <t>Box29-Part1'!$Y$38</t>
  </si>
  <si>
    <t>Box29-Part1'!ABY$368</t>
  </si>
  <si>
    <t>safelearn_rehab_recover_instruction_rep_basic</t>
  </si>
  <si>
    <t>safelearn_rehab_recover_instruction_rep_quick</t>
  </si>
  <si>
    <t>safelearn_rehab_recover_instruction_rep_ndrrm</t>
  </si>
  <si>
    <t>safelearn_rehab_recover_instruction_rep_expart</t>
  </si>
  <si>
    <t>safelearn_rehab_recover_noninstruction_rep_basic</t>
  </si>
  <si>
    <t>safelearn_rehab_recover_noninstruction_rep_quick</t>
  </si>
  <si>
    <t>safelearn_rehab_recover_noninstruction_rep_ndrrm</t>
  </si>
  <si>
    <t>safelearn_rehab_recover_noninstruction_rep_expart</t>
  </si>
  <si>
    <t>safelearn_rehab_recover_instruction_reconstruct_basic</t>
  </si>
  <si>
    <t>safelearn_rehab_recover_instruction_reconstruct_quick</t>
  </si>
  <si>
    <t>safelearn_rehab_recover_instruction_reconstruct_ndrrm</t>
  </si>
  <si>
    <t>safelearn_rehab_recover_instruction_reconstruct_expart</t>
  </si>
  <si>
    <t>safelearn_rehab_recover_noninstruction_reconstruct_basic</t>
  </si>
  <si>
    <t>safelearn_rehab_recover_noninstruction_reconstruct_quick</t>
  </si>
  <si>
    <t>safelearn_rehab_recover_noninstruction_reconstruct_ndrrm</t>
  </si>
  <si>
    <t>safelearn_rehab_recover_noninstruction_reconstruct_expart</t>
  </si>
  <si>
    <t>Box29-Part2'!$K$9</t>
  </si>
  <si>
    <t>Box29-Part2'!$P$9</t>
  </si>
  <si>
    <t>Box29-Part2'!$U$9</t>
  </si>
  <si>
    <t>Box29-Part2'!$Z$9</t>
  </si>
  <si>
    <t>Box29-Part2'!$K$10</t>
  </si>
  <si>
    <t>Box29-Part2'!$P$10</t>
  </si>
  <si>
    <t>Box29-Part2'!$U$10</t>
  </si>
  <si>
    <t>Box29-Part2'!$Z$10</t>
  </si>
  <si>
    <t>Box29-Part2'!$K$12</t>
  </si>
  <si>
    <t>Box29-Part2'!$P$12</t>
  </si>
  <si>
    <t>Box29-Part2'!$U$12</t>
  </si>
  <si>
    <t>Box29-Part2'!$Z$12</t>
  </si>
  <si>
    <t>Box29-Part2'!$K$13</t>
  </si>
  <si>
    <t>Box29-Part2'!$P$13</t>
  </si>
  <si>
    <t>Box29-Part2'!$U$13</t>
  </si>
  <si>
    <t>Box29-Part2'!$Z$13</t>
  </si>
  <si>
    <t>safelearn_rehab_recover_safe_precaution_yes</t>
  </si>
  <si>
    <t>Box29-Part2'!$D$4</t>
  </si>
  <si>
    <t>sch_watch_conduct_hazard_map</t>
  </si>
  <si>
    <t>sch_watch_inc_hazard_map</t>
  </si>
  <si>
    <t>sch_watch_avail_hazard_map</t>
  </si>
  <si>
    <t>sch_watch_present_hazard_map</t>
  </si>
  <si>
    <t>sch_watch_link_hazard_map</t>
  </si>
  <si>
    <t>sch_watch_nat_hazard_trop_cyclone</t>
  </si>
  <si>
    <t>sch_watch_nat_hazard_storm_surge</t>
  </si>
  <si>
    <t>sch_watch_nat_hazard_flood</t>
  </si>
  <si>
    <t>sch_watch_nat_hazard_drought</t>
  </si>
  <si>
    <t>sch_watch_nat_hazard_landslide</t>
  </si>
  <si>
    <t>sch_watch_nat_hazard_earthquake</t>
  </si>
  <si>
    <t>sch_watch_nat_hazard_vol_erupt</t>
  </si>
  <si>
    <t>sch_watch_nat_hazard_tsunami</t>
  </si>
  <si>
    <t>sch_watch_nat_hazard_fire</t>
  </si>
  <si>
    <t>sch_watch_nat_hazard_others</t>
  </si>
  <si>
    <t>sch_watch_nat_hazard_others_specify</t>
  </si>
  <si>
    <t>sch_watch_human_induce_hazard_armed_conflict</t>
  </si>
  <si>
    <t>sch_watch_human_induce_hazard_bomb_threat</t>
  </si>
  <si>
    <t>sch_watch_human_induce_hazard_civil_violence</t>
  </si>
  <si>
    <t>sch_watch_human_induce_hazard_fire</t>
  </si>
  <si>
    <t>sch_watch_human_induce_hazard_others</t>
  </si>
  <si>
    <t>sch_watch_human_induce_hazard_othrs_specify</t>
  </si>
  <si>
    <t>sch_watch_stand_cont_vulnerable</t>
  </si>
  <si>
    <t>sch_watch_stand_cont_evac</t>
  </si>
  <si>
    <t>sch_watch_stand_cont_reunify</t>
  </si>
  <si>
    <t>sch_watch_stand_cont_track</t>
  </si>
  <si>
    <t>sch_watch_stand_cont_recover</t>
  </si>
  <si>
    <t>sch_watch_stand_cont_tls_wash</t>
  </si>
  <si>
    <t>sch_watch_stand_cont_evac_center</t>
  </si>
  <si>
    <t>sch_watch_stand_cont_temp_evac_center</t>
  </si>
  <si>
    <t>sch_watch_stand_cont_class_resume</t>
  </si>
  <si>
    <t>sch_watch_stand_cont_emergency_supply</t>
  </si>
  <si>
    <t>sch_watch_stand_cont_part</t>
  </si>
  <si>
    <t>sch_watch_stand_cont_drrm</t>
  </si>
  <si>
    <t>sch_watch_stand_cont_lockdown</t>
  </si>
  <si>
    <t>sch_watch_covid_quarantine_fac</t>
  </si>
  <si>
    <t>sch_watch_covid_health_safe</t>
  </si>
  <si>
    <t>sch_watch_covid_ppe</t>
  </si>
  <si>
    <t>sch_watch_covid_mgmt</t>
  </si>
  <si>
    <t>sch_watch_cont_plan_l</t>
  </si>
  <si>
    <t>sch_watch_cont_plan_per</t>
  </si>
  <si>
    <t>sch_watch_cont_plan_par</t>
  </si>
  <si>
    <t>sch_watch_cont_plan_lgu</t>
  </si>
  <si>
    <t>sch_watch_cont_plan_part</t>
  </si>
  <si>
    <t>sch_watch_cont_plan_docs_moa</t>
  </si>
  <si>
    <t>sch_watch_cont_plan_terms_fac</t>
  </si>
  <si>
    <t>sch_watch_cont_plan_fam_earthquake_prepared</t>
  </si>
  <si>
    <t>sch_watch_cont_plan_act_earthquake_prepared</t>
  </si>
  <si>
    <t>sch_watch_cont_plan_drrm_com_plan</t>
  </si>
  <si>
    <t>sch_watch_cont_plan_with_part</t>
  </si>
  <si>
    <t>sch_watch_cont_plan_with_lgu</t>
  </si>
  <si>
    <t>sch_watch_cont_plan_support_drrm</t>
  </si>
  <si>
    <t>sch_watch_cont_plan_support_arm_conf</t>
  </si>
  <si>
    <t>sch_watch_cont_plan_support_ppa</t>
  </si>
  <si>
    <t>sch_watch_cont_plan_train_teach_nonteach</t>
  </si>
  <si>
    <t>Box30-Part1'!$D$7</t>
  </si>
  <si>
    <t>Box30-Part1'!$D$8</t>
  </si>
  <si>
    <t>Box30-Part1'!$D$10</t>
  </si>
  <si>
    <t>Box30-Part1'!$D$12</t>
  </si>
  <si>
    <t>Box30-Part1'!$D$14</t>
  </si>
  <si>
    <t>Box30-Part1'!$D$18</t>
  </si>
  <si>
    <t>Box30-Part1'!$D$19</t>
  </si>
  <si>
    <t>Box30-Part1'!$D$20</t>
  </si>
  <si>
    <t>Box30-Part1'!$D$21</t>
  </si>
  <si>
    <t>Box30-Part1'!$D$22</t>
  </si>
  <si>
    <t>Box30-Part1'!$J$18</t>
  </si>
  <si>
    <t>Box30-Part1'!$J$19</t>
  </si>
  <si>
    <t>Box30-Part1'!$J$20</t>
  </si>
  <si>
    <t>Box30-Part1'!$J$21</t>
  </si>
  <si>
    <t>Box30-Part1'!$J$22</t>
  </si>
  <si>
    <t>Box30-Part1'!$O$22</t>
  </si>
  <si>
    <t>Box30-Part1'!$V$18</t>
  </si>
  <si>
    <t>Box30-Part1'!$V$19</t>
  </si>
  <si>
    <t>Box30-Part1'!$V$20</t>
  </si>
  <si>
    <t>Box30-Part1'!$V$21</t>
  </si>
  <si>
    <t>Box30-Part1'!$V$22</t>
  </si>
  <si>
    <t>Box30-Part1'!$AA$22</t>
  </si>
  <si>
    <t>Box30-Part1'!$D$26</t>
  </si>
  <si>
    <t>Box30-Part1'!$D$28</t>
  </si>
  <si>
    <t>Box30-Part1'!$D$29</t>
  </si>
  <si>
    <t>Box30-Part1'!$D$31</t>
  </si>
  <si>
    <t>Box30-Part1'!$D$33</t>
  </si>
  <si>
    <t>Box30-Part1'!$D$34</t>
  </si>
  <si>
    <t>Box30-Part1'!$D$36</t>
  </si>
  <si>
    <t>Box30-Part1'!$T$26</t>
  </si>
  <si>
    <t>Box30-Part1'!$T$30</t>
  </si>
  <si>
    <t>Box30-Part1'!$T$32</t>
  </si>
  <si>
    <t>Box30-Part1'!$T$34</t>
  </si>
  <si>
    <t>Box30-Part1'!$T$36</t>
  </si>
  <si>
    <t>Box30-Part1'!$T$29</t>
  </si>
  <si>
    <t>Box30-Part1'!$D$39</t>
  </si>
  <si>
    <t>Box30-Part1'!$D$42</t>
  </si>
  <si>
    <t>Box30-Part1'!$T$39</t>
  </si>
  <si>
    <t>Box30-Part1'!$T$41</t>
  </si>
  <si>
    <t>Box30-Part1'!$G$45</t>
  </si>
  <si>
    <t>Box30-Part1'!$L$45</t>
  </si>
  <si>
    <t>Box30-Part1'!$R$45</t>
  </si>
  <si>
    <t>Box30-Part1'!$W$45</t>
  </si>
  <si>
    <t>Box30-Part1'!$AB$45</t>
  </si>
  <si>
    <t>Box30-Part1'!$D$46</t>
  </si>
  <si>
    <t>Box30-Part1'!$D$48</t>
  </si>
  <si>
    <t>Box30-Part1'!$D$50</t>
  </si>
  <si>
    <t>Box30-Part1'!$D$51</t>
  </si>
  <si>
    <t>Box30-Part1'!$D$52</t>
  </si>
  <si>
    <t>Box30-Part1'!$D$53</t>
  </si>
  <si>
    <t>Box30-Part1'!$D$54</t>
  </si>
  <si>
    <t>Box30-Part1'!$AD$56</t>
  </si>
  <si>
    <t>Box30-Part1'!$AD$58</t>
  </si>
  <si>
    <t>Box30-Part1'!$AD$60</t>
  </si>
  <si>
    <t>Box30-Part1'!$AD$62</t>
  </si>
  <si>
    <t>disaspre_brigada_eskwela</t>
  </si>
  <si>
    <t>disaspre_func_warn_syst</t>
  </si>
  <si>
    <t>disaspre_emer_supply</t>
  </si>
  <si>
    <t>disaspre_num_emer_2fold_deped</t>
  </si>
  <si>
    <t>disaspre_num_emer_cad_bag_deped</t>
  </si>
  <si>
    <t>disaspre_num_emer_ccollar_deped</t>
  </si>
  <si>
    <t>disaspre_num_emer_cot_deped</t>
  </si>
  <si>
    <t>disaspre_num_emer_cpr_deped</t>
  </si>
  <si>
    <t>disaspre_num_emer_headlamp_deped</t>
  </si>
  <si>
    <t>disaspre_num_emer_whistle_deped</t>
  </si>
  <si>
    <t>disaspre_num_emer_firextinguish_deped</t>
  </si>
  <si>
    <t>disaspre_num_emer_firstaid_l_deped</t>
  </si>
  <si>
    <t>disaspre_num_emer_firstaid_per_deped</t>
  </si>
  <si>
    <t>disaspre_num_emer_go_bag_l_deped</t>
  </si>
  <si>
    <t>disaspre_num_emer_go_bag_per_deped</t>
  </si>
  <si>
    <t>disaspre_num_emer_radio_deped</t>
  </si>
  <si>
    <t>disaspre_num_emer_light_deped</t>
  </si>
  <si>
    <t>disaspre_num_emer_search_light_deped</t>
  </si>
  <si>
    <t>disaspre_num_emer_vest_deped</t>
  </si>
  <si>
    <t>disaspre_num_emer_cushion_deped</t>
  </si>
  <si>
    <t>disaspre_num_emer_spine_board_deped</t>
  </si>
  <si>
    <t>disaspre_num_emer_pa_sys_deped</t>
  </si>
  <si>
    <t>disaspre_num_emer_coat_deped</t>
  </si>
  <si>
    <t>disaspre_num_emer_helmet_deped</t>
  </si>
  <si>
    <t>disaspre_num_emer_shoes_deped</t>
  </si>
  <si>
    <t>disaspre_num_emer_splinter_deped</t>
  </si>
  <si>
    <t>disaspre_num_emer_steel_box_deped</t>
  </si>
  <si>
    <t>disaspre_num_emer_steel_cab_deped</t>
  </si>
  <si>
    <t>disaspre_num_emer_tvest_deped</t>
  </si>
  <si>
    <t>disaspre_num_emer_trans_bag_deped</t>
  </si>
  <si>
    <t>disaspre_num_emer_trauma_bag_deped</t>
  </si>
  <si>
    <t>disaspre_num_emer_univ_head_deped</t>
  </si>
  <si>
    <t>disaspre_num_emer_2fold_part</t>
  </si>
  <si>
    <t>disaspre_num_emer_cad_bag_part</t>
  </si>
  <si>
    <t>disaspre_num_emer_ccollar_part</t>
  </si>
  <si>
    <t>disaspre_num_emer_cot_part</t>
  </si>
  <si>
    <t>disaspre_num_emer_cpr_part</t>
  </si>
  <si>
    <t>disaspre_num_emer_headlamp_part</t>
  </si>
  <si>
    <t>disaspre_num_emer_whistle_part</t>
  </si>
  <si>
    <t>disaspre_num_emer_firextinguish_part</t>
  </si>
  <si>
    <t>disaspre_num_emer_firstaid_l_part</t>
  </si>
  <si>
    <t>disaspre_num_emer_firstaid_per_part</t>
  </si>
  <si>
    <t>disaspre_num_emer_go_bag_l_part</t>
  </si>
  <si>
    <t>disaspre_num_emer_go_bag_per_part</t>
  </si>
  <si>
    <t>disaspre_num_emer_radio_part</t>
  </si>
  <si>
    <t>disaspre_num_emer_light_part</t>
  </si>
  <si>
    <t>disaspre_num_emer_search_light_part</t>
  </si>
  <si>
    <t>disaspre_num_emer_vest_part</t>
  </si>
  <si>
    <t>disaspre_num_emer_cushion_part</t>
  </si>
  <si>
    <t>disaspre_num_emer_spine_board_part</t>
  </si>
  <si>
    <t>disaspre_num_emer_pa_sys_part</t>
  </si>
  <si>
    <t>disaspre_num_emer_coat_part</t>
  </si>
  <si>
    <t>disaspre_num_emer_helmet_part</t>
  </si>
  <si>
    <t>disaspre_num_emer_shoes_part</t>
  </si>
  <si>
    <t>disaspre_num_emer_splinter_part</t>
  </si>
  <si>
    <t>disaspre_num_emer_steel_box_part</t>
  </si>
  <si>
    <t>disaspre_num_emer_steel_cab_part</t>
  </si>
  <si>
    <t>disaspre_num_emer_tvest_part</t>
  </si>
  <si>
    <t>disaspre_num_emer_trans_bag_part</t>
  </si>
  <si>
    <t>disaspre_num_emer_trauma_bag_part</t>
  </si>
  <si>
    <t>disaspre_num_emer_univ_head_part</t>
  </si>
  <si>
    <t>disaspre_num_rescue_bic_deped</t>
  </si>
  <si>
    <t>disaspre_num_rescue_fire_cabinet_deped</t>
  </si>
  <si>
    <t>disaspre_num_rescue_firextinguish_deped</t>
  </si>
  <si>
    <t>disaspre_num_rescue_firehose_deped</t>
  </si>
  <si>
    <t>disaspre_num_rescue_lvest_deped</t>
  </si>
  <si>
    <t>disaspre_num_rescue_mot_banca_deped</t>
  </si>
  <si>
    <t>disaspre_num_rescue_psprayer_deped</t>
  </si>
  <si>
    <t>disaspre_num_rescue_bic_part</t>
  </si>
  <si>
    <t>disaspre_num_rescue_fire_cabinet_part</t>
  </si>
  <si>
    <t>disaspre_num_rescue_firextinguish_part</t>
  </si>
  <si>
    <t>disaspre_num_rescue_firehose_part</t>
  </si>
  <si>
    <t>disaspre_num_rescue_lvest_part</t>
  </si>
  <si>
    <t>disaspre_num_rescue_mot_banca_part</t>
  </si>
  <si>
    <t>disaspre_num_rescue_psprayer_part</t>
  </si>
  <si>
    <t>disaspre_jun_earthq_drl</t>
  </si>
  <si>
    <t>disaspre_jul_earthq_drl</t>
  </si>
  <si>
    <t>disaspre_aug_earthq_drl</t>
  </si>
  <si>
    <t>disaspre_sep_earthq_drl</t>
  </si>
  <si>
    <t>disaspre_oct_earthq_drl</t>
  </si>
  <si>
    <t>disaspre_nov_earthq_drl</t>
  </si>
  <si>
    <t>disaspre_dec_earthq_drl</t>
  </si>
  <si>
    <t>disaspre_jan_earthq_drl</t>
  </si>
  <si>
    <t>disaspre_feb_earthq_drl</t>
  </si>
  <si>
    <t>disaspre_mar_earthq_drl</t>
  </si>
  <si>
    <t>disaspre_apr_earthq_drl</t>
  </si>
  <si>
    <t>disaspre_may_earthq_drl</t>
  </si>
  <si>
    <t>disaspre_jun_fire_drl</t>
  </si>
  <si>
    <t>disaspre_jul_fire_drl</t>
  </si>
  <si>
    <t>disaspre_aug_fire_drl</t>
  </si>
  <si>
    <t>disaspre_sep_fire_drl</t>
  </si>
  <si>
    <t>disaspre_oct_fire_drl</t>
  </si>
  <si>
    <t>disaspre_nov_fire_drl</t>
  </si>
  <si>
    <t>disaspre_dec_fire_drl</t>
  </si>
  <si>
    <t>disaspre_jan_fire_drl</t>
  </si>
  <si>
    <t>disaspre_feb_fire_drl</t>
  </si>
  <si>
    <t>disaspre_mar_fire_drl</t>
  </si>
  <si>
    <t>disaspre_apr_fire_drl</t>
  </si>
  <si>
    <t>disaspre_may_fire_drl</t>
  </si>
  <si>
    <t>disaspre_jun_flood_drl</t>
  </si>
  <si>
    <t>disaspre_jul_flood_drl</t>
  </si>
  <si>
    <t>disaspre_aug_flood_drl</t>
  </si>
  <si>
    <t>disaspre_sep_flood_drl</t>
  </si>
  <si>
    <t>disaspre_oct_flood_drl</t>
  </si>
  <si>
    <t>disaspre_nov_flood_drl</t>
  </si>
  <si>
    <t>disaspre_dec_flood_drl</t>
  </si>
  <si>
    <t>disaspre_jan_flood_drl</t>
  </si>
  <si>
    <t>disaspre_feb_flood_drl</t>
  </si>
  <si>
    <t>disaspre_mar_flood_drl</t>
  </si>
  <si>
    <t>disaspre_apr_flood_drl</t>
  </si>
  <si>
    <t>disaspre_may_flood_drl</t>
  </si>
  <si>
    <t>disaspre_jun_tsunami_drl</t>
  </si>
  <si>
    <t>disaspre_jul_tsunami_drl</t>
  </si>
  <si>
    <t>disaspre_aug_tsunami_drl</t>
  </si>
  <si>
    <t>disaspre_sep_tsunami_drl</t>
  </si>
  <si>
    <t>disaspre_oct_tsunami_drl</t>
  </si>
  <si>
    <t>disaspre_nov_tsunami_drl</t>
  </si>
  <si>
    <t>disaspre_dec_tsunami_drl</t>
  </si>
  <si>
    <t>disaspre_jan_tsunami_drl</t>
  </si>
  <si>
    <t>disaspre_feb_tsunami_drl</t>
  </si>
  <si>
    <t>disaspre_mar_tsunami_drl</t>
  </si>
  <si>
    <t>disaspre_apr_tsunami_drl</t>
  </si>
  <si>
    <t>disaspre_may_tsunami_drl</t>
  </si>
  <si>
    <t>disaspre_jun_stormsurge_drl</t>
  </si>
  <si>
    <t>disaspre_jul_stormsurge_drl</t>
  </si>
  <si>
    <t>disaspre_aug_stormsurge_drl</t>
  </si>
  <si>
    <t>disaspre_sep_stormsurge_drl</t>
  </si>
  <si>
    <t>disaspre_oct_stormsurge_drl</t>
  </si>
  <si>
    <t>disaspre_nov_stormsurge_drl</t>
  </si>
  <si>
    <t>disaspre_dec_stormsurge_drl</t>
  </si>
  <si>
    <t>disaspre_jan_stormsurge_drl</t>
  </si>
  <si>
    <t>disaspre_feb_stormsurge_drl</t>
  </si>
  <si>
    <t>disaspre_mar_stormsurge_drl</t>
  </si>
  <si>
    <t>disaspre_apr_stormsurge_drl</t>
  </si>
  <si>
    <t>disaspre_may_stormsurge_drl</t>
  </si>
  <si>
    <t>disaspre_jun_lockdown_drl</t>
  </si>
  <si>
    <t>disaspre_jul_lockdown_drl</t>
  </si>
  <si>
    <t>disaspre_aug_lockdown_drl</t>
  </si>
  <si>
    <t>disaspre_sep_lockdown_drl</t>
  </si>
  <si>
    <t>disaspre_oct_lockdown_drl</t>
  </si>
  <si>
    <t>disaspre_nov_lockdown_drl</t>
  </si>
  <si>
    <t>disaspre_dec_lockdown_drl</t>
  </si>
  <si>
    <t>disaspre_jan_lockdown_drl</t>
  </si>
  <si>
    <t>disaspre_feb_lockdown_drl</t>
  </si>
  <si>
    <t>disaspre_mar_lockdown_drl</t>
  </si>
  <si>
    <t>disaspre_apr_lockdown_drl</t>
  </si>
  <si>
    <t>disaspre_may_lockdown_drl</t>
  </si>
  <si>
    <t>Box30-Part2'!$F$4</t>
  </si>
  <si>
    <t>Box30-Part2'!$F$5</t>
  </si>
  <si>
    <t>Box30-Part2'!$F$7</t>
  </si>
  <si>
    <t>Box30-Part2'!$N$11</t>
  </si>
  <si>
    <t>Box30-Part2'!$N$12</t>
  </si>
  <si>
    <t>Box30-Part2'!$N$13</t>
  </si>
  <si>
    <t>Box30-Part2'!$N$14</t>
  </si>
  <si>
    <t>Box30-Part2'!$N$15</t>
  </si>
  <si>
    <t>Box30-Part2'!$N$16</t>
  </si>
  <si>
    <t>Box30-Part2'!$N$17</t>
  </si>
  <si>
    <t>Box30-Part2'!$N$18</t>
  </si>
  <si>
    <t>Box30-Part2'!$N$19</t>
  </si>
  <si>
    <t>Box30-Part2'!$N$20</t>
  </si>
  <si>
    <t>Box30-Part2'!$N$22</t>
  </si>
  <si>
    <t>Box30-Part2'!$N$24</t>
  </si>
  <si>
    <t>Box30-Part2'!$N$26</t>
  </si>
  <si>
    <t>Box30-Part2'!$N$27</t>
  </si>
  <si>
    <t>Box30-Part2'!$N$28</t>
  </si>
  <si>
    <t>Box30-Part2'!$N$29</t>
  </si>
  <si>
    <t>Box30-Part2'!$N$30</t>
  </si>
  <si>
    <t>Box30-Part2'!$N$31</t>
  </si>
  <si>
    <t>Box30-Part2'!$N$33</t>
  </si>
  <si>
    <t>Box30-Part2'!$N$40</t>
  </si>
  <si>
    <t>Box30-Part2'!$N$34</t>
  </si>
  <si>
    <t>Box30-Part2'!$N$35</t>
  </si>
  <si>
    <t>Box30-Part2'!$N$36</t>
  </si>
  <si>
    <t>Box30-Part2'!$N$37</t>
  </si>
  <si>
    <t>Box30-Part2'!$N$38</t>
  </si>
  <si>
    <t>Box30-Part2'!$N$39</t>
  </si>
  <si>
    <t>Box30-Part2'!$N$41</t>
  </si>
  <si>
    <t>Box30-Part2'!$N$42</t>
  </si>
  <si>
    <t>Box30-Part2'!$N$44</t>
  </si>
  <si>
    <t>Box30-Part2'!$Q$11</t>
  </si>
  <si>
    <t>Box30-Part2'!$Q$12</t>
  </si>
  <si>
    <t>Box30-Part2'!$Q$13</t>
  </si>
  <si>
    <t>Box30-Part2'!$Q$14</t>
  </si>
  <si>
    <t>Box30-Part2'!$Q$15</t>
  </si>
  <si>
    <t>Box30-Part2'!$Q$16</t>
  </si>
  <si>
    <t>Box30-Part2'!$Q$17</t>
  </si>
  <si>
    <t>Box30-Part2'!$Q$18</t>
  </si>
  <si>
    <t>Box30-Part2'!$Q$19</t>
  </si>
  <si>
    <t>Box30-Part2'!$Q$20</t>
  </si>
  <si>
    <t>Box30-Part2'!$Q$22</t>
  </si>
  <si>
    <t>Box30-Part2'!$Q$24</t>
  </si>
  <si>
    <t>Box30-Part2'!$Q$26</t>
  </si>
  <si>
    <t>Box30-Part2'!$Q$27</t>
  </si>
  <si>
    <t>Box30-Part2'!$Q$28</t>
  </si>
  <si>
    <t>Box30-Part2'!$Q$29</t>
  </si>
  <si>
    <t>Box30-Part2'!$Q$30</t>
  </si>
  <si>
    <t>Box30-Part2'!$Q$31</t>
  </si>
  <si>
    <t>Box30-Part2'!$Q$33</t>
  </si>
  <si>
    <t>Box30-Part2'!$Q$34</t>
  </si>
  <si>
    <t>Box30-Part2'!$Q$35</t>
  </si>
  <si>
    <t>Box30-Part2'!$Q$36</t>
  </si>
  <si>
    <t>Box30-Part2'!$Q$37</t>
  </si>
  <si>
    <t>Box30-Part2'!$Q$38</t>
  </si>
  <si>
    <t>Box30-Part2'!$Q$39</t>
  </si>
  <si>
    <t>Box30-Part2'!$Q$40</t>
  </si>
  <si>
    <t>Box30-Part2'!$Q$41</t>
  </si>
  <si>
    <t>Box30-Part2'!$Q$42</t>
  </si>
  <si>
    <t>Box30-Part2'!$Q$44</t>
  </si>
  <si>
    <t>Box30-Part2'!$AF$11</t>
  </si>
  <si>
    <t>Box30-Part2'!$AF$12</t>
  </si>
  <si>
    <t>Box30-Part2'!$AF$13</t>
  </si>
  <si>
    <t>Box30-Part2'!$AF$14</t>
  </si>
  <si>
    <t>Box30-Part2'!$AF$15</t>
  </si>
  <si>
    <t>Box30-Part2'!$AF$17</t>
  </si>
  <si>
    <t>Box30-Part2'!$AF$19</t>
  </si>
  <si>
    <t>Box30-Part2'!$AI$11</t>
  </si>
  <si>
    <t>Box30-Part2'!$AI$12</t>
  </si>
  <si>
    <t>Box30-Part2'!$AI$13</t>
  </si>
  <si>
    <t>Box30-Part2'!$AI$14</t>
  </si>
  <si>
    <t>Box30-Part2'!$AI$15</t>
  </si>
  <si>
    <t>Box30-Part2'!$AI$17</t>
  </si>
  <si>
    <t>Box30-Part2'!$AI$19</t>
  </si>
  <si>
    <t>Box30-Part2'!$N$48</t>
  </si>
  <si>
    <t>Box30-Part2'!$P$48</t>
  </si>
  <si>
    <t>Box30-Part2'!$R$48</t>
  </si>
  <si>
    <t>Box30-Part2'!$T$48</t>
  </si>
  <si>
    <t>Box30-Part2'!$V$48</t>
  </si>
  <si>
    <t>Box30-Part2'!$X$48</t>
  </si>
  <si>
    <t>Box30-Part2'!$Z$48</t>
  </si>
  <si>
    <t>Box30-Part2'!$AB$48</t>
  </si>
  <si>
    <t>Box30-Part2'!$AD$48</t>
  </si>
  <si>
    <t>Box30-Part2'!$AF$48</t>
  </si>
  <si>
    <t>Box30-Part2'!$AH$48</t>
  </si>
  <si>
    <t>Box30-Part2'!$AJ$48</t>
  </si>
  <si>
    <t>Box30-Part2'!$N$49</t>
  </si>
  <si>
    <t>Box30-Part2'!$P$49</t>
  </si>
  <si>
    <t>Box30-Part2'!$R$49</t>
  </si>
  <si>
    <t>Box30-Part2'!$T$49</t>
  </si>
  <si>
    <t>Box30-Part2'!$V$49</t>
  </si>
  <si>
    <t>Box30-Part2'!$X$49</t>
  </si>
  <si>
    <t>Box30-Part2'!$Z$49</t>
  </si>
  <si>
    <t>Box30-Part2'!$AB$49</t>
  </si>
  <si>
    <t>Box30-Part2'!$AD$49</t>
  </si>
  <si>
    <t>Box30-Part2'!$AF$49</t>
  </si>
  <si>
    <t>Box30-Part2'!$AH$49</t>
  </si>
  <si>
    <t>Box30-Part2'!$AJ$49</t>
  </si>
  <si>
    <t>Box30-Part2'!$N$50</t>
  </si>
  <si>
    <t>Box30-Part2'!$P$50</t>
  </si>
  <si>
    <t>Box30-Part2'!$R$50</t>
  </si>
  <si>
    <t>Box30-Part2'!$T$50</t>
  </si>
  <si>
    <t>Box30-Part2'!$V$50</t>
  </si>
  <si>
    <t>Box30-Part2'!$X$50</t>
  </si>
  <si>
    <t>Box30-Part2'!$Z$50</t>
  </si>
  <si>
    <t>Box30-Part2'!$AB$50</t>
  </si>
  <si>
    <t>Box30-Part2'!$AD$50</t>
  </si>
  <si>
    <t>Box30-Part2'!$AF$50</t>
  </si>
  <si>
    <t>Box30-Part2'!$AH$50</t>
  </si>
  <si>
    <t>Box30-Part2'!$AJ$50</t>
  </si>
  <si>
    <t>Box30-Part2'!$N$51</t>
  </si>
  <si>
    <t>Box30-Part2'!$P$51</t>
  </si>
  <si>
    <t>Box30-Part2'!$R$51</t>
  </si>
  <si>
    <t>Box30-Part2'!$T$51</t>
  </si>
  <si>
    <t>Box30-Part2'!$V$51</t>
  </si>
  <si>
    <t>Box30-Part2'!$X$51</t>
  </si>
  <si>
    <t>Box30-Part2'!$Z$51</t>
  </si>
  <si>
    <t>Box30-Part2'!$AB$51</t>
  </si>
  <si>
    <t>Box30-Part2'!$AD$51</t>
  </si>
  <si>
    <t>Box30-Part2'!$AF$51</t>
  </si>
  <si>
    <t>Box30-Part2'!$AH$51</t>
  </si>
  <si>
    <t>Box30-Part2'!$AJ$51</t>
  </si>
  <si>
    <t>Box30-Part2'!$N$52</t>
  </si>
  <si>
    <t>Box30-Part2'!$P$52</t>
  </si>
  <si>
    <t>Box30-Part2'!$R$52</t>
  </si>
  <si>
    <t>Box30-Part2'!$T$52</t>
  </si>
  <si>
    <t>Box30-Part2'!$V$52</t>
  </si>
  <si>
    <t>Box30-Part2'!$X$52</t>
  </si>
  <si>
    <t>Box30-Part2'!$Z$52</t>
  </si>
  <si>
    <t>Box30-Part2'!$AB$52</t>
  </si>
  <si>
    <t>Box30-Part2'!$AD$52</t>
  </si>
  <si>
    <t>Box30-Part2'!$AF$52</t>
  </si>
  <si>
    <t>Box30-Part2'!$AH$52</t>
  </si>
  <si>
    <t>Box30-Part2'!$AJ$52</t>
  </si>
  <si>
    <t>Box30-Part2'!$N$53</t>
  </si>
  <si>
    <t>Box30-Part2'!$P$53</t>
  </si>
  <si>
    <t>Box30-Part2'!$R$53</t>
  </si>
  <si>
    <t>Box30-Part2'!$T$53</t>
  </si>
  <si>
    <t>Box30-Part2'!$V$53</t>
  </si>
  <si>
    <t>Box30-Part2'!$X$53</t>
  </si>
  <si>
    <t>Box30-Part2'!$Z$53</t>
  </si>
  <si>
    <t>Box30-Part2'!$AB$53</t>
  </si>
  <si>
    <t>Box30-Part2'!$AD$53</t>
  </si>
  <si>
    <t>Box30-Part2'!$AF$53</t>
  </si>
  <si>
    <t>Box30-Part2'!$AH$53</t>
  </si>
  <si>
    <t>Box30-Part2'!$AJ$53</t>
  </si>
  <si>
    <t>Box30-Part2'!$F$59</t>
  </si>
  <si>
    <t>Box30-Part2'!$I$59</t>
  </si>
  <si>
    <t>Box30-Part2'!$L$59</t>
  </si>
  <si>
    <t>Box30-Part2'!$O$59</t>
  </si>
  <si>
    <t>Box30-Part2'!$F$65</t>
  </si>
  <si>
    <t>Box30-Part2'!$I$65</t>
  </si>
  <si>
    <t>Box30-Part2'!$L$65</t>
  </si>
  <si>
    <t>Box30-Part2'!$O$65</t>
  </si>
  <si>
    <t>Box30-Part2'!$R$65</t>
  </si>
  <si>
    <t>Box30-Part2'!$U$65</t>
  </si>
  <si>
    <t>Box30-Part2'!$X$65</t>
  </si>
  <si>
    <t>Box30-Part2'!$AA$65</t>
  </si>
  <si>
    <t>disaspre_num_hazzard_drl_teach_m</t>
  </si>
  <si>
    <t>disaspre_num_hazzard_drl_teach_f</t>
  </si>
  <si>
    <t>disaspre_num_hazzard_drl_nonteach_m</t>
  </si>
  <si>
    <t>disaspre_num_hazzard_drl_nonteach_f</t>
  </si>
  <si>
    <t>disaspre_num_hazzard_drl_l_m</t>
  </si>
  <si>
    <t>disaspre_num_hazzard_drl_l_f</t>
  </si>
  <si>
    <t>disaspre_num_hazzard_drl_ip_m</t>
  </si>
  <si>
    <t>disaspre_num_hazzard_drl_ip_f</t>
  </si>
  <si>
    <t>disaspre_num_hazzard_drl_muslim_m</t>
  </si>
  <si>
    <t>disaspre_num_hazzard_drl_muslim_f</t>
  </si>
  <si>
    <t>disaspre_num_hazzard_drl_lwd_m</t>
  </si>
  <si>
    <t>disaspre_num_hazzard_drl_lwd_f</t>
  </si>
  <si>
    <t>disasres_brigada_eskwela</t>
  </si>
  <si>
    <t>disasres_peace_prog</t>
  </si>
  <si>
    <t>disasres_radar</t>
  </si>
  <si>
    <t>disasres_num_drrms_fund_cleanup</t>
  </si>
  <si>
    <t>disasres_num_drrms_fund_templearn</t>
  </si>
  <si>
    <t>disasres_num_drrms_fund_tempwash</t>
  </si>
  <si>
    <t>disasres_num_drrms_fund_feed</t>
  </si>
  <si>
    <t>disasres_num_drrms_hygiene</t>
  </si>
  <si>
    <t>disasres_num_drrms_learnkit</t>
  </si>
  <si>
    <t>disasres_num_drrms_teachkit</t>
  </si>
  <si>
    <t>disasres_num_drrms_adm</t>
  </si>
  <si>
    <t>disasres_num_drrms_fund_cleanup_date</t>
  </si>
  <si>
    <t>disasres_num_drrms_fund_templearn_date</t>
  </si>
  <si>
    <t>disasres_num_drrms_fund_tempwash_date</t>
  </si>
  <si>
    <t>disasres_num_drrms_fund_feed_date</t>
  </si>
  <si>
    <t>disasres_num_drrms_hygiene_date</t>
  </si>
  <si>
    <t>disasres_num_drrms_learnkit_date</t>
  </si>
  <si>
    <t>disasres_num_drrms_teachkit_date</t>
  </si>
  <si>
    <t>disasres_num_drrms_adm_date</t>
  </si>
  <si>
    <t>disasres_num_part_donate</t>
  </si>
  <si>
    <t>disasres_num_part_feed</t>
  </si>
  <si>
    <t>disasres_num_part_hygiene</t>
  </si>
  <si>
    <t>disasres_num_part_learnkit</t>
  </si>
  <si>
    <t>disasres_num_part_teachkit</t>
  </si>
  <si>
    <t>disasres_num_part_adm</t>
  </si>
  <si>
    <t>disasres_num_part_mhpps</t>
  </si>
  <si>
    <t>disasres_num_part_templearn</t>
  </si>
  <si>
    <t>disasres_num_part_wash</t>
  </si>
  <si>
    <t>disasres_num_teachper_resp_m</t>
  </si>
  <si>
    <t>disasres_num_teachper_resp_f</t>
  </si>
  <si>
    <t>disasres_num_teachper_impl_m</t>
  </si>
  <si>
    <t>disasres_num_teachper_impl_f</t>
  </si>
  <si>
    <t>disasres_impl_adm_disas</t>
  </si>
  <si>
    <t>disasres_impl_adm_emer</t>
  </si>
  <si>
    <t>disasres_resump_classhift</t>
  </si>
  <si>
    <t>disasres_resump_makeup</t>
  </si>
  <si>
    <t>disasres_resump_module</t>
  </si>
  <si>
    <t>disasres_resump_online</t>
  </si>
  <si>
    <t>disasres_resump_peer</t>
  </si>
  <si>
    <t>disasres_resump_prog</t>
  </si>
  <si>
    <t>disasres_resump_classhift_days</t>
  </si>
  <si>
    <t>disasres_resump_makeup_days</t>
  </si>
  <si>
    <t>disasres_resump_module_days</t>
  </si>
  <si>
    <t>disasres_resump_online_days</t>
  </si>
  <si>
    <t>disasres_resump_peer_days</t>
  </si>
  <si>
    <t>disasres_resump_prog_days</t>
  </si>
  <si>
    <t>disasres_adm_eimpact</t>
  </si>
  <si>
    <t>disasres_adm_home</t>
  </si>
  <si>
    <t>disasres_adm_misosa</t>
  </si>
  <si>
    <t>disasres_adm_nhs</t>
  </si>
  <si>
    <t>disasres_adm_ohsp</t>
  </si>
  <si>
    <t>disasres_adm_eimpact_days</t>
  </si>
  <si>
    <t>disasres_adm_home_days</t>
  </si>
  <si>
    <t>disasres_adm_misosa_days</t>
  </si>
  <si>
    <t>disasres_adm_nhs_days</t>
  </si>
  <si>
    <t>disasres_adm_ohsp_days</t>
  </si>
  <si>
    <t>disasres_learn_sess_l_m</t>
  </si>
  <si>
    <t>disasres_learn_mhpss_l_m</t>
  </si>
  <si>
    <t>disasres_learn_pss_l_m</t>
  </si>
  <si>
    <t>disasres_learn_ref_mech_l_m</t>
  </si>
  <si>
    <t>disasres_learn_sess_l_f</t>
  </si>
  <si>
    <t>disasres_learn_mhpss_l_f</t>
  </si>
  <si>
    <t>disasres_learn_pss_l_f</t>
  </si>
  <si>
    <t>disasres_learn_ref_mech_l_f</t>
  </si>
  <si>
    <t>disasres_ipearn_sess_ip_m</t>
  </si>
  <si>
    <t>disasres_ipearn_mhpss_ip_m</t>
  </si>
  <si>
    <t>disasres_ipearn_pss_ip_m</t>
  </si>
  <si>
    <t>disasres_ipearn_ref_mech_ip_m</t>
  </si>
  <si>
    <t>disasres_ipearn_sess_ip_f</t>
  </si>
  <si>
    <t>disasres_ipearn_mhpss_ip_f</t>
  </si>
  <si>
    <t>disasres_ipearn_pss_ip_f</t>
  </si>
  <si>
    <t>disasres_ipearn_ref_mech_ip_f</t>
  </si>
  <si>
    <t>disasres_ipearn_sess_muslim_m</t>
  </si>
  <si>
    <t>disasres_ipearn_mhpss_muslim_m</t>
  </si>
  <si>
    <t>disasres_ipearn_pss_muslim_m</t>
  </si>
  <si>
    <t>disasres_ipearn_ref_mech_muslim_m</t>
  </si>
  <si>
    <t>disasres_ipearn_sess_muslim_f</t>
  </si>
  <si>
    <t>disasres_ipearn_mhpss_muslim_f</t>
  </si>
  <si>
    <t>disasres_ipearn_pss_muslim_f</t>
  </si>
  <si>
    <t>disasres_ipearn_ref_mech_muslim_f</t>
  </si>
  <si>
    <t>disasres_ipearn_sess_lwd_m</t>
  </si>
  <si>
    <t>disasres_ipearn_mhpss_lwd_m</t>
  </si>
  <si>
    <t>disasres_ipearn_pss_lwd_m</t>
  </si>
  <si>
    <t>disasres_ipearn_ref_mech_lwd_m</t>
  </si>
  <si>
    <t>disasres_ipearn_sess_lwd_f</t>
  </si>
  <si>
    <t>disasres_ipearn_mhpss_lwd_f</t>
  </si>
  <si>
    <t>disasres_ipearn_pss_lwd_f</t>
  </si>
  <si>
    <t>disasres_ipearn_ref_mech_lwd_f</t>
  </si>
  <si>
    <t>Box30-Part3a'!$E$4</t>
  </si>
  <si>
    <t>Box30-Part3a'!$E$7</t>
  </si>
  <si>
    <t>Box30-Part3a'!$AI$5</t>
  </si>
  <si>
    <t>Box30-Part3a'!$M$13</t>
  </si>
  <si>
    <t>Box30-Part3a'!$M$15</t>
  </si>
  <si>
    <t>Box30-Part3a'!$M$17</t>
  </si>
  <si>
    <t>Box30-Part3a'!$M$19</t>
  </si>
  <si>
    <t>Box30-Part3a'!$M$21</t>
  </si>
  <si>
    <t>Box30-Part3a'!$M$22</t>
  </si>
  <si>
    <t>Box30-Part3a'!$M$23</t>
  </si>
  <si>
    <t>Box30-Part3a'!$M$24</t>
  </si>
  <si>
    <t>Box30-Part3a'!$Q$13</t>
  </si>
  <si>
    <t>Box30-Part3a'!$Q$15</t>
  </si>
  <si>
    <t>Box30-Part3a'!$Q$17</t>
  </si>
  <si>
    <t>Box30-Part3a'!$Q$19</t>
  </si>
  <si>
    <t>Box30-Part3a'!$Q$21</t>
  </si>
  <si>
    <t>Box30-Part3a'!$Q$22</t>
  </si>
  <si>
    <t>Box30-Part3a'!$Q$23</t>
  </si>
  <si>
    <t>Box30-Part3a'!$Q$24</t>
  </si>
  <si>
    <t>Box30-Part3a'!$AH$13</t>
  </si>
  <si>
    <t>Box30-Part3a'!$AH$14</t>
  </si>
  <si>
    <t>Box30-Part3a'!$AH$15</t>
  </si>
  <si>
    <t>Box30-Part3a'!$AH$16</t>
  </si>
  <si>
    <t>Box30-Part3a'!$AH$17</t>
  </si>
  <si>
    <t>Box30-Part3a'!$AH$18</t>
  </si>
  <si>
    <t>Box30-Part3a'!$AH$20</t>
  </si>
  <si>
    <t>Box30-Part3a'!$AH$21</t>
  </si>
  <si>
    <t>Box30-Part3a'!$AH$23</t>
  </si>
  <si>
    <t>Box30-Part3a'!$O$31</t>
  </si>
  <si>
    <t>Box30-Part3a'!$R$31</t>
  </si>
  <si>
    <t>Box30-Part3a'!$O$32</t>
  </si>
  <si>
    <t>Box30-Part3a'!$R$32</t>
  </si>
  <si>
    <t>Box30-Part3a'!$E$34</t>
  </si>
  <si>
    <t>Box30-Part3a'!$E$36</t>
  </si>
  <si>
    <t>Box30-Part3a'!$E$41</t>
  </si>
  <si>
    <t>Box30-Part3a'!$E$42</t>
  </si>
  <si>
    <t>Box30-Part3a'!$E$43</t>
  </si>
  <si>
    <t>Box30-Part3a'!$E$44</t>
  </si>
  <si>
    <t>Box30-Part3a'!$E$45</t>
  </si>
  <si>
    <t>Box30-Part3a'!$E$46</t>
  </si>
  <si>
    <t>Box30-Part3a'!$M$41</t>
  </si>
  <si>
    <t>Box30-Part3a'!$M$42</t>
  </si>
  <si>
    <t>Box30-Part3a'!$M$43</t>
  </si>
  <si>
    <t>Box30-Part3a'!$M$44</t>
  </si>
  <si>
    <t>Box30-Part3a'!$M$45</t>
  </si>
  <si>
    <t>Box30-Part3a'!$M$46</t>
  </si>
  <si>
    <t>Box30-Part3a'!$Z$41</t>
  </si>
  <si>
    <t>Box30-Part3a'!$Z$42</t>
  </si>
  <si>
    <t>Box30-Part3a'!$Z$43</t>
  </si>
  <si>
    <t>Box30-Part3a'!$Z$44</t>
  </si>
  <si>
    <t>Box30-Part3a'!$Z$45</t>
  </si>
  <si>
    <t>Box30-Part3a'!$AH$41</t>
  </si>
  <si>
    <t>Box30-Part3a'!$AH$42</t>
  </si>
  <si>
    <t>Box30-Part3a'!$AH$43</t>
  </si>
  <si>
    <t>Box30-Part3a'!$AH$44</t>
  </si>
  <si>
    <t>Box30-Part3a'!$AH$45</t>
  </si>
  <si>
    <t>Box30-Part3a'!$O$53</t>
  </si>
  <si>
    <t>Box30-Part3a'!$O$54</t>
  </si>
  <si>
    <t>Box30-Part3a'!$O$55</t>
  </si>
  <si>
    <t>Box30-Part3a'!$O$56</t>
  </si>
  <si>
    <t>Box30-Part3a'!$R$53</t>
  </si>
  <si>
    <t>Box30-Part3a'!$R$54</t>
  </si>
  <si>
    <t>Box30-Part3a'!$R$55</t>
  </si>
  <si>
    <t>Box30-Part3a'!$R$56</t>
  </si>
  <si>
    <t>Box30-Part3a'!$U$53</t>
  </si>
  <si>
    <t>Box30-Part3a'!$U$54</t>
  </si>
  <si>
    <t>Box30-Part3a'!$U$55</t>
  </si>
  <si>
    <t>Box30-Part3a'!$U$56</t>
  </si>
  <si>
    <t>Box30-Part3a'!$X$53</t>
  </si>
  <si>
    <t>Box30-Part3a'!$X$54</t>
  </si>
  <si>
    <t>Box30-Part3a'!$X$55</t>
  </si>
  <si>
    <t>Box30-Part3a'!$X$56</t>
  </si>
  <si>
    <t>Box30-Part3a'!$AA$53</t>
  </si>
  <si>
    <t>Box30-Part3a'!$AA$54</t>
  </si>
  <si>
    <t>Box30-Part3a'!$AA$55</t>
  </si>
  <si>
    <t>Box30-Part3a'!$AA$56</t>
  </si>
  <si>
    <t>Box30-Part3a'!$AD$53</t>
  </si>
  <si>
    <t>Box30-Part3a'!$AD$54</t>
  </si>
  <si>
    <t>Box30-Part3a'!$AD$55</t>
  </si>
  <si>
    <t>Box30-Part3a'!$AD$56</t>
  </si>
  <si>
    <t>Box30-Part3a'!$AG$53</t>
  </si>
  <si>
    <t>Box30-Part3a'!$AG$54</t>
  </si>
  <si>
    <t>Box30-Part3a'!$AG$55</t>
  </si>
  <si>
    <t>Box30-Part3a'!$AG$56</t>
  </si>
  <si>
    <t>Box30-Part3a'!$AJ$53</t>
  </si>
  <si>
    <t>Box30-Part3a'!$AJ$54</t>
  </si>
  <si>
    <t>Box30-Part3a'!$AJ$55</t>
  </si>
  <si>
    <t>Box30-Part3a'!$AJ$56</t>
  </si>
  <si>
    <t>disasres_num_teach_per_mhpss_m</t>
  </si>
  <si>
    <t>disasres_num_teach_per_pss_m</t>
  </si>
  <si>
    <t>disasres_num_teach_per_refmech_m</t>
  </si>
  <si>
    <t>disasres_num_teach_per_mhpss_f</t>
  </si>
  <si>
    <t>disasres_num_teach_per_pss_f</t>
  </si>
  <si>
    <t>disasres_num_teach_per_refmech_f</t>
  </si>
  <si>
    <t>disasres_num_nonteach_per_mhpss_m</t>
  </si>
  <si>
    <t>disasres_num_nonteach_per_pss_m</t>
  </si>
  <si>
    <t>disasres_num_nonteach_per_refmech_m</t>
  </si>
  <si>
    <t>disasres_num_nonteach_per_mhpss_f</t>
  </si>
  <si>
    <t>disasres_num_nonteach_per_pss_f</t>
  </si>
  <si>
    <t>disasres_num_nonteach_per_refmech_f</t>
  </si>
  <si>
    <t>disasres_num_mhpss_conduct</t>
  </si>
  <si>
    <t>disasres_num_grps_rehab_recover</t>
  </si>
  <si>
    <t>disasres_num_recvd_fur</t>
  </si>
  <si>
    <t>disasres_num_recvd_dcp</t>
  </si>
  <si>
    <t>disasres_num_recvd_learnresource</t>
  </si>
  <si>
    <t>disasres_num_recvd_accountmecha</t>
  </si>
  <si>
    <t>Box30-Part3b'!$N$9</t>
  </si>
  <si>
    <t>Box30-Part3b'!$N$12</t>
  </si>
  <si>
    <t>Box30-Part3b'!$N$15</t>
  </si>
  <si>
    <t>Box30-Part3b'!$Q$9</t>
  </si>
  <si>
    <t>Box30-Part3b'!$Q$12</t>
  </si>
  <si>
    <t>Box30-Part3b'!$Q$15</t>
  </si>
  <si>
    <t>Box30-Part3b'!$T$9</t>
  </si>
  <si>
    <t>Box30-Part3b'!$T$12</t>
  </si>
  <si>
    <t>Box30-Part3b'!$T$15</t>
  </si>
  <si>
    <t>Box30-Part3b'!$W$9</t>
  </si>
  <si>
    <t>Box30-Part3b'!$W$12</t>
  </si>
  <si>
    <t>Box30-Part3b'!$W$15</t>
  </si>
  <si>
    <t>Box30-Part3b'!$AF$10</t>
  </si>
  <si>
    <t>Box30-Part3b'!$AF$12</t>
  </si>
  <si>
    <t>Box30-Part3b'!$AF$14</t>
  </si>
  <si>
    <t>Box30-Part3b'!$AW$4</t>
  </si>
  <si>
    <t>Box30-Part3b'!$AW$7</t>
  </si>
  <si>
    <t>Box30-Part3b'!$AF$16</t>
  </si>
  <si>
    <t>riskreduce_drrm_abm_g11</t>
  </si>
  <si>
    <t>riskreduce_drrm_abm_g12</t>
  </si>
  <si>
    <t>riskreduce_ccam_abm_g11</t>
  </si>
  <si>
    <t>riskreduce_ccam_abm_g12</t>
  </si>
  <si>
    <t>riskreduce_peacebuilding_abm_g11</t>
  </si>
  <si>
    <t>riskreduce_peacebuilding_abm_g12</t>
  </si>
  <si>
    <t>riskreduce_drrm_humss_g11</t>
  </si>
  <si>
    <t>riskreduce_drrm_humss_g12</t>
  </si>
  <si>
    <t>riskreduce_ccam_humss_g11</t>
  </si>
  <si>
    <t>riskreduce_ccam_humss_g12</t>
  </si>
  <si>
    <t>riskreduce_peacebuilding_humss_g11</t>
  </si>
  <si>
    <t>riskreduce_peacebuilding_humss_g12</t>
  </si>
  <si>
    <t>riskreduce_drrm_stem_g11</t>
  </si>
  <si>
    <t>riskreduce_drrm_stem_g12</t>
  </si>
  <si>
    <t>riskreduce_ccam_stem_g11</t>
  </si>
  <si>
    <t>riskreduce_ccam_stem_g12</t>
  </si>
  <si>
    <t>riskreduce_peacebuilding_stem_g11</t>
  </si>
  <si>
    <t>riskreduce_peacebuilding_stem_g12</t>
  </si>
  <si>
    <t>riskreduce_drrm_gas_g11</t>
  </si>
  <si>
    <t>riskreduce_drrm_gas_g12</t>
  </si>
  <si>
    <t>riskreduce_ccam_gas_g11</t>
  </si>
  <si>
    <t>riskreduce_ccam_gas_g12</t>
  </si>
  <si>
    <t>riskreduce_peacebuilding_gas_g11</t>
  </si>
  <si>
    <t>riskreduce_peacebuilding_gas_g12</t>
  </si>
  <si>
    <t>riskreduce_drrm_agrifish_g11</t>
  </si>
  <si>
    <t>riskreduce_drrm_agrifish_g12</t>
  </si>
  <si>
    <t>riskreduce_ccam_agrifish_g11</t>
  </si>
  <si>
    <t>riskreduce_ccam_agrifish_g12</t>
  </si>
  <si>
    <t>riskreduce_peacebuilding_agrifish_g11</t>
  </si>
  <si>
    <t>riskreduce_peacebuilding_agrifish_g12</t>
  </si>
  <si>
    <t>riskreduce_drrm_he_g11</t>
  </si>
  <si>
    <t>riskreduce_drrm_he_g12</t>
  </si>
  <si>
    <t>riskreduce_ccam_he_g11</t>
  </si>
  <si>
    <t>riskreduce_ccam_he_g12</t>
  </si>
  <si>
    <t>riskreduce_peacebuilding_he_g11</t>
  </si>
  <si>
    <t>riskreduce_peacebuilding_he_g12</t>
  </si>
  <si>
    <t>riskreduce_drrm_ict_g11</t>
  </si>
  <si>
    <t>riskreduce_drrm_ict_g12</t>
  </si>
  <si>
    <t>riskreduce_ccam_ict_g11</t>
  </si>
  <si>
    <t>riskreduce_ccam_ict_g12</t>
  </si>
  <si>
    <t>riskreduce_peacebuilding_ict_g11</t>
  </si>
  <si>
    <t>riskreduce_peacebuilding_ict_g12</t>
  </si>
  <si>
    <t>riskreduce_drrm_sports_g11</t>
  </si>
  <si>
    <t>riskreduce_drrm_sports_g12</t>
  </si>
  <si>
    <t>riskreduce_ccam_sports_g11</t>
  </si>
  <si>
    <t>riskreduce_ccam_sports_g12</t>
  </si>
  <si>
    <t>riskreduce_peacebuilding_sports_g11</t>
  </si>
  <si>
    <t>riskreduce_peacebuilding_sports_g12</t>
  </si>
  <si>
    <t>riskreduce_drrm_artsdesign_g11</t>
  </si>
  <si>
    <t>riskreduce_drrm_artsdesign_g12</t>
  </si>
  <si>
    <t>riskreduce_ccam_artsdesign_g11</t>
  </si>
  <si>
    <t>riskreduce_ccam_artsdesign_g12</t>
  </si>
  <si>
    <t>riskreduce_peacebuilding_artsdesign_g11</t>
  </si>
  <si>
    <t>riskreduce_peacebuilding_artsdesign_g12</t>
  </si>
  <si>
    <t>riskreduce_drrm_others_g11</t>
  </si>
  <si>
    <t>riskreduce_drrm_others_g12</t>
  </si>
  <si>
    <t>riskreduce_ccam_others_g11</t>
  </si>
  <si>
    <t>riskreduce_ccam_others_g12</t>
  </si>
  <si>
    <t>riskreduce_peacebuilding_others_g11</t>
  </si>
  <si>
    <t>riskreduce_peacebuilding_others_g12</t>
  </si>
  <si>
    <t>riskreduce_drrm_sped</t>
  </si>
  <si>
    <t>riskreduce_drrm_iped</t>
  </si>
  <si>
    <t>riskreduce_drrm_als</t>
  </si>
  <si>
    <t>riskreduce_drrm_learn_competence</t>
  </si>
  <si>
    <t>riskreduce_drrm_intro_contents</t>
  </si>
  <si>
    <t>riskreduce_drrm_context_learn</t>
  </si>
  <si>
    <t>riskreduce_ccam_sped</t>
  </si>
  <si>
    <t>riskreduce_ccam_iped</t>
  </si>
  <si>
    <t>riskreduce_ccam_als</t>
  </si>
  <si>
    <t>riskreduce_ccam_learn_competence</t>
  </si>
  <si>
    <t>riskreduce_ccam_intro_contents</t>
  </si>
  <si>
    <t>riskreduce_ccam_context_learn</t>
  </si>
  <si>
    <t>riskreduce_peace_sped</t>
  </si>
  <si>
    <t>riskreduce_peace_iped</t>
  </si>
  <si>
    <t>riskreduce_peace_als</t>
  </si>
  <si>
    <t>riskreduce_peace_learn_competence</t>
  </si>
  <si>
    <t>riskreduce_peace_intro_contents</t>
  </si>
  <si>
    <t>riskreduce_peace_context_learn</t>
  </si>
  <si>
    <t>riskreduce_use_iec_mat</t>
  </si>
  <si>
    <t>riskreduce_update_iec_mat</t>
  </si>
  <si>
    <t>riskreduce_iec_teach_m</t>
  </si>
  <si>
    <t>riskreduce_iec_teach_f</t>
  </si>
  <si>
    <t>riskreduce_iec_nonteach_m</t>
  </si>
  <si>
    <t>riskreduce_iec_nonteach_f</t>
  </si>
  <si>
    <t>riskreduce_iec_part_l_m</t>
  </si>
  <si>
    <t>riskreduce_iec_consult_l_m</t>
  </si>
  <si>
    <t>riskreduce_iec_codev_l_m</t>
  </si>
  <si>
    <t>riskreduce_iec_initiate_l_m</t>
  </si>
  <si>
    <t>riskreduce_iec_part_l_f</t>
  </si>
  <si>
    <t>riskreduce_iec_consult_l_f</t>
  </si>
  <si>
    <t>riskreduce_iec_codev_l_f</t>
  </si>
  <si>
    <t>riskreduce_iec_initiate_l_f</t>
  </si>
  <si>
    <t>riskreduce_iec_part_ip_m</t>
  </si>
  <si>
    <t>riskreduce_iec_consult_ip_m</t>
  </si>
  <si>
    <t>riskreduce_iec_codev_ip_m</t>
  </si>
  <si>
    <t>riskreduce_iec_initiate_ip_m</t>
  </si>
  <si>
    <t>riskreduce_iec_part_ip_f</t>
  </si>
  <si>
    <t>riskreduce_iec_consult_ip_f</t>
  </si>
  <si>
    <t>riskreduce_iec_codev_ip_f</t>
  </si>
  <si>
    <t>riskreduce_iec_initiate_ip_f</t>
  </si>
  <si>
    <t>riskreduce_iec_part_muslim_m</t>
  </si>
  <si>
    <t>riskreduce_iec_consult_muslim_m</t>
  </si>
  <si>
    <t>riskreduce_iec_codev_muslim_m</t>
  </si>
  <si>
    <t>riskreduce_iec_initiate_muslim_m</t>
  </si>
  <si>
    <t>riskreduce_iec_part_muslim_f</t>
  </si>
  <si>
    <t>riskreduce_iec_consult_muslim_f</t>
  </si>
  <si>
    <t>riskreduce_iec_codev_muslim_f</t>
  </si>
  <si>
    <t>riskreduce_iec_initiate_muslim_f</t>
  </si>
  <si>
    <t>riskreduce_iec_part_lwd_m</t>
  </si>
  <si>
    <t>riskreduce_iec_consult_lwd_m</t>
  </si>
  <si>
    <t>riskreduce_iec_codev_lwd_m</t>
  </si>
  <si>
    <t>riskreduce_iec_initiate_lwd_m</t>
  </si>
  <si>
    <t>riskreduce_iec_part_lwd_f</t>
  </si>
  <si>
    <t>riskreduce_iec_consult_lwd_f</t>
  </si>
  <si>
    <t>riskreduce_iec_codev_lwd_f</t>
  </si>
  <si>
    <t>riskreduce_iec_initiate_lwd_f</t>
  </si>
  <si>
    <t>Box31-Parts1-2'!$S$11</t>
  </si>
  <si>
    <t>Box31-Parts1-2'!$S$12</t>
  </si>
  <si>
    <t>Box31-Parts1-2'!$V$11</t>
  </si>
  <si>
    <t>Box31-Parts1-2'!$Y$11</t>
  </si>
  <si>
    <t>Box31-Parts1-2'!$Y$12</t>
  </si>
  <si>
    <t>Box31-Parts1-2'!$AB$11</t>
  </si>
  <si>
    <t>Box31-Parts1-2'!$AE$11</t>
  </si>
  <si>
    <t>Box31-Parts1-2'!$AE$12</t>
  </si>
  <si>
    <t>Box31-Parts1-2'!$AH$11</t>
  </si>
  <si>
    <t>Box31-Parts1-2'!$V$12</t>
  </si>
  <si>
    <t>Box31-Parts1-2'!$AB$12</t>
  </si>
  <si>
    <t>Box31-Parts1-2'!$AH$12</t>
  </si>
  <si>
    <t>Box31-Parts1-2'!$S$13</t>
  </si>
  <si>
    <t>Box31-Parts1-2'!$V$13</t>
  </si>
  <si>
    <t>Box31-Parts1-2'!$Y$13</t>
  </si>
  <si>
    <t>Box31-Parts1-2'!$AB$13</t>
  </si>
  <si>
    <t>Box31-Parts1-2'!$AE$13</t>
  </si>
  <si>
    <t>Box31-Parts1-2'!$AH$13</t>
  </si>
  <si>
    <t>Box31-Parts1-2'!$S$14</t>
  </si>
  <si>
    <t>Box31-Parts1-2'!$V$14</t>
  </si>
  <si>
    <t>Box31-Parts1-2'!$Y$14</t>
  </si>
  <si>
    <t>Box31-Parts1-2'!$AB$14</t>
  </si>
  <si>
    <t>Box31-Parts1-2'!$AE$14</t>
  </si>
  <si>
    <t>Box31-Parts1-2'!$AH$14</t>
  </si>
  <si>
    <t>Box31-Parts1-2'!$S$15</t>
  </si>
  <si>
    <t>Box31-Parts1-2'!$V$15</t>
  </si>
  <si>
    <t>Box31-Parts1-2'!$Y$15</t>
  </si>
  <si>
    <t>Box31-Parts1-2'!$AB$15</t>
  </si>
  <si>
    <t>Box31-Parts1-2'!$AE$15</t>
  </si>
  <si>
    <t>Box31-Parts1-2'!$AH$15</t>
  </si>
  <si>
    <t>Box31-Parts1-2'!$S$16</t>
  </si>
  <si>
    <t>Box31-Parts1-2'!$V$16</t>
  </si>
  <si>
    <t>Box31-Parts1-2'!$Y$16</t>
  </si>
  <si>
    <t>Box31-Parts1-2'!$AB$16</t>
  </si>
  <si>
    <t>Box31-Parts1-2'!$AE$16</t>
  </si>
  <si>
    <t>Box31-Parts1-2'!$AH$16</t>
  </si>
  <si>
    <t>Box31-Parts1-2'!$S$17</t>
  </si>
  <si>
    <t>Box31-Parts1-2'!$V$17</t>
  </si>
  <si>
    <t>Box31-Parts1-2'!$Y$17</t>
  </si>
  <si>
    <t>Box31-Parts1-2'!$AB$17</t>
  </si>
  <si>
    <t>Box31-Parts1-2'!$AE$17</t>
  </si>
  <si>
    <t>Box31-Parts1-2'!$AH$17</t>
  </si>
  <si>
    <t>Box31-Parts1-2'!$S$18</t>
  </si>
  <si>
    <t>Box31-Parts1-2'!$V$18</t>
  </si>
  <si>
    <t>Box31-Parts1-2'!$Y$18</t>
  </si>
  <si>
    <t>Box31-Parts1-2'!$AB$18</t>
  </si>
  <si>
    <t>Box31-Parts1-2'!$AE$18</t>
  </si>
  <si>
    <t>Box31-Parts1-2'!$AH$18</t>
  </si>
  <si>
    <t>Box31-Parts1-2'!$S$19</t>
  </si>
  <si>
    <t>Box31-Parts1-2'!$V$19</t>
  </si>
  <si>
    <t>Box31-Parts1-2'!$Y$19</t>
  </si>
  <si>
    <t>Box31-Parts1-2'!$AB$19</t>
  </si>
  <si>
    <t>Box31-Parts1-2'!$AE$19</t>
  </si>
  <si>
    <t>Box31-Parts1-2'!$AH$19</t>
  </si>
  <si>
    <t>Box31-Parts1-2'!$S$20</t>
  </si>
  <si>
    <t>Box31-Parts1-2'!$V$20</t>
  </si>
  <si>
    <t>Box31-Parts1-2'!$Y$20</t>
  </si>
  <si>
    <t>Box31-Parts1-2'!$AB$20</t>
  </si>
  <si>
    <t>Box31-Parts1-2'!$AE$20</t>
  </si>
  <si>
    <t>Box31-Parts1-2'!$AH$20</t>
  </si>
  <si>
    <t>Box31-Parts1-2'!$I$26</t>
  </si>
  <si>
    <t>Box31-Parts1-2'!$N$26</t>
  </si>
  <si>
    <t>Box31-Parts1-2'!$S$26</t>
  </si>
  <si>
    <t>Box31-Parts1-2'!$X$26</t>
  </si>
  <si>
    <t>Box31-Parts1-2'!$AC$26</t>
  </si>
  <si>
    <t>Box31-Parts1-2'!$AH$26</t>
  </si>
  <si>
    <t>Box31-Parts1-2'!$I$27</t>
  </si>
  <si>
    <t>Box31-Parts1-2'!$N$27</t>
  </si>
  <si>
    <t>Box31-Parts1-2'!$S$27</t>
  </si>
  <si>
    <t>Box31-Parts1-2'!$X$27</t>
  </si>
  <si>
    <t>Box31-Parts1-2'!$AC$27</t>
  </si>
  <si>
    <t>Box31-Parts1-2'!$AH$27</t>
  </si>
  <si>
    <t>Box31-Parts1-2'!$I$28</t>
  </si>
  <si>
    <t>Box31-Parts1-2'!$N$28</t>
  </si>
  <si>
    <t>Box31-Parts1-2'!$S$28</t>
  </si>
  <si>
    <t>Box31-Parts1-2'!$X$28</t>
  </si>
  <si>
    <t>Box31-Parts1-2'!$AC$28</t>
  </si>
  <si>
    <t>Box31-Parts1-2'!$AH$28</t>
  </si>
  <si>
    <t>riskreduce_assess_rel_comp</t>
  </si>
  <si>
    <t>Box31-Parts1-2'!$D$30</t>
  </si>
  <si>
    <t>Box31-Parts1-2'!$D$35</t>
  </si>
  <si>
    <t>Box31-Parts1-2'!$D$39</t>
  </si>
  <si>
    <t>Box31-Parts1-2'!$AF$42</t>
  </si>
  <si>
    <t>Box31-Parts1-2'!$AI$42</t>
  </si>
  <si>
    <t>Box31-Parts1-2'!$AL$42</t>
  </si>
  <si>
    <t>Box31-Parts1-2'!$AO$42</t>
  </si>
  <si>
    <t>Box31-Parts1-2'!$N$48</t>
  </si>
  <si>
    <t>Box31-Parts1-2'!$N$49</t>
  </si>
  <si>
    <t>Box31-Parts1-2'!$N$50</t>
  </si>
  <si>
    <t>Box31-Parts1-2'!$N$51</t>
  </si>
  <si>
    <t>Box31-Parts1-2'!$Q$48</t>
  </si>
  <si>
    <t>Box31-Parts1-2'!$Q$49</t>
  </si>
  <si>
    <t>Box31-Parts1-2'!$Q$50</t>
  </si>
  <si>
    <t>Box31-Parts1-2'!$Q$51</t>
  </si>
  <si>
    <t>Box31-Parts1-2'!$T$48</t>
  </si>
  <si>
    <t>Box31-Parts1-2'!$T$49</t>
  </si>
  <si>
    <t>Box31-Parts1-2'!$T$50</t>
  </si>
  <si>
    <t>Box31-Parts1-2'!$T$51</t>
  </si>
  <si>
    <t>Box31-Parts1-2'!$W$48</t>
  </si>
  <si>
    <t>Box31-Parts1-2'!$W$49</t>
  </si>
  <si>
    <t>Box31-Parts1-2'!$W$50</t>
  </si>
  <si>
    <t>Box31-Parts1-2'!$W$51</t>
  </si>
  <si>
    <t>Box31-Parts1-2'!$Z$48</t>
  </si>
  <si>
    <t>Box31-Parts1-2'!$Z$49</t>
  </si>
  <si>
    <t>Box31-Parts1-2'!$Z$50</t>
  </si>
  <si>
    <t>Box31-Parts1-2'!$Z$51</t>
  </si>
  <si>
    <t>Box31-Parts1-2'!$AC$48</t>
  </si>
  <si>
    <t>Box31-Parts1-2'!$AC$49</t>
  </si>
  <si>
    <t>Box31-Parts1-2'!$AC$50</t>
  </si>
  <si>
    <t>Box31-Parts1-2'!$AC$51</t>
  </si>
  <si>
    <t>Box31-Parts1-2'!$AF$48</t>
  </si>
  <si>
    <t>Box31-Parts1-2'!$AF$49</t>
  </si>
  <si>
    <t>Box31-Parts1-2'!$AF$50</t>
  </si>
  <si>
    <t>Box31-Parts1-2'!$AF$51</t>
  </si>
  <si>
    <t>Box31-Parts1-2'!$AI$48</t>
  </si>
  <si>
    <t>Box31-Parts1-2'!$AI$49</t>
  </si>
  <si>
    <t>Box31-Parts1-2'!$AI$50</t>
  </si>
  <si>
    <t>Box31-Parts1-2'!$AI$51</t>
  </si>
  <si>
    <t>Box31-Part3a'!$AI$50</t>
  </si>
  <si>
    <t>resilince_train_teach_per_m</t>
  </si>
  <si>
    <t>resilince_train_teach_per_f</t>
  </si>
  <si>
    <t>resilince_train_nonteach_per_m</t>
  </si>
  <si>
    <t>resilince_train_nonteach_per_f</t>
  </si>
  <si>
    <t>resilince_num_drrm_part_l</t>
  </si>
  <si>
    <t>resilince_num_drrm_part_per</t>
  </si>
  <si>
    <t>resilince_num_drrm_part_par</t>
  </si>
  <si>
    <t>resilince_num_drrm_part_lgu</t>
  </si>
  <si>
    <t>resilince_num_drrm_part_ngo</t>
  </si>
  <si>
    <t>resilince_num_drrm_basic_teach_per_m</t>
  </si>
  <si>
    <t>resilince_num_drrm_basic_teach_per_f</t>
  </si>
  <si>
    <t>resilince_num_drrm_basic_nonteach_per_m</t>
  </si>
  <si>
    <t>resilince_num_drrm_basic_nonteach_per_f</t>
  </si>
  <si>
    <t>resilince_num_drrm_quake_teach_per_m</t>
  </si>
  <si>
    <t>resilince_num_drrm_quake_teach_per_f</t>
  </si>
  <si>
    <t>resilince_num_drrm_quake_nonteach_per_m</t>
  </si>
  <si>
    <t>resilince_num_drrm_quake_nonteach_per_f</t>
  </si>
  <si>
    <t>resilince_num_drrm_sw_teach_per_m</t>
  </si>
  <si>
    <t>resilince_num_drrm_sw_teach_per_f</t>
  </si>
  <si>
    <t>resilince_num_drrm_sw_nonteach_per_m</t>
  </si>
  <si>
    <t>resilince_num_drrm_sw_nonteach_per_f</t>
  </si>
  <si>
    <t>resilince_num_drrm_spl_event_teach_per_m</t>
  </si>
  <si>
    <t>resilince_num_drrm_spl_event_teach_per_f</t>
  </si>
  <si>
    <t>resilince_num_drrm_spl_event_nonteach_per_m</t>
  </si>
  <si>
    <t>resilince_num_drrm_spl_event_nonteach_per_f</t>
  </si>
  <si>
    <t>resilince_num_drrm_drrm_camp_teach_per_m</t>
  </si>
  <si>
    <t>resilince_num_drrm_drrm_camp_teach_per_f</t>
  </si>
  <si>
    <t>resilince_num_drrm_drrm_camp_nonteach_per_m</t>
  </si>
  <si>
    <t>resilince_num_drrm_drrm_camp_nonteach_per_f</t>
  </si>
  <si>
    <t>resilince_num_drrm_youth_council_teach_per_m</t>
  </si>
  <si>
    <t>resilince_num_drrm_youth_council_teach_per_f</t>
  </si>
  <si>
    <t>resilince_num_drrm_youth_council_nonteach_per_m</t>
  </si>
  <si>
    <t>resilince_num_drrm_youth_council_nonteach_per_f</t>
  </si>
  <si>
    <t>resilince_num_drrm_youth_act_teach_per_m</t>
  </si>
  <si>
    <t>resilince_num_drrm_youth_act_teach_per_f</t>
  </si>
  <si>
    <t>resilince_num_drrm_youth_act_nonteach_per_m</t>
  </si>
  <si>
    <t>resilince_num_drrm_youth_act_nonteach_per_f</t>
  </si>
  <si>
    <t>resilince_num_drrm_camp_journal_teach_per_m</t>
  </si>
  <si>
    <t>resilince_num_drrm_camp_journal_teach_per_f</t>
  </si>
  <si>
    <t>resilince_num_drrm_camp_journal_nonteach_per_m</t>
  </si>
  <si>
    <t>resilince_num_drrm_camp_journal_nonteach_per_f</t>
  </si>
  <si>
    <t>resilince_num_drrm_others_teach_per_m</t>
  </si>
  <si>
    <t>resilince_num_drrm_others_teach_per_f</t>
  </si>
  <si>
    <t>resilince_num_drrm_others_nonteach_per_m</t>
  </si>
  <si>
    <t>resilince_num_drrm_others_nonteach_per_f</t>
  </si>
  <si>
    <t>resilince_num_drrm_others_specify</t>
  </si>
  <si>
    <t>resilince_num_ccam_others_specify</t>
  </si>
  <si>
    <t>resilince_num_ccam_arts_teach_per_m</t>
  </si>
  <si>
    <t>resilince_num_ccam_arts_teach_per_f</t>
  </si>
  <si>
    <t>resilince_num_ccam_arts_nonteach_per_m</t>
  </si>
  <si>
    <t>resilince_num_ccam_arts_nonteach_per_f</t>
  </si>
  <si>
    <t>resilince_num_ccam_climate_action_teach_per_m</t>
  </si>
  <si>
    <t>resilince_num_ccam_climate_action_nonteach_per_m</t>
  </si>
  <si>
    <t>resilince_num_ccam_climate_action_nonteach_per_f</t>
  </si>
  <si>
    <t>resilince_num_ccam_climate_action_teach_per_f</t>
  </si>
  <si>
    <t>resilince_num_ccam_climate_change_teach_per_m</t>
  </si>
  <si>
    <t>resilince_num_ccam_climate_change_teach_per_f</t>
  </si>
  <si>
    <t>resilince_num_ccam_climate_change_nonteach_per_m</t>
  </si>
  <si>
    <t>resilince_num_ccam_climate_change_nonteach_per_f</t>
  </si>
  <si>
    <t>resilince_num_ccam_climate_maker_teach_per_m</t>
  </si>
  <si>
    <t>resilince_num_ccam_climate_maker_teach_per_f</t>
  </si>
  <si>
    <t>resilince_num_ccam_climate_maker_nonteach_per_m</t>
  </si>
  <si>
    <t>resilince_num_ccam_climate_maker_nonteach_per_f</t>
  </si>
  <si>
    <t>resilince_num_ccam_enviro_journal_teach_per_m</t>
  </si>
  <si>
    <t>resilince_num_ccam_enviro_journal_teach_per_f</t>
  </si>
  <si>
    <t>resilince_num_ccam_enviro_journal_nonteach_per_m</t>
  </si>
  <si>
    <t>resilince_num_ccam_enviro_journal_nonteach_per_f</t>
  </si>
  <si>
    <t>resilince_num_ccam_gulayan_teach_per_m</t>
  </si>
  <si>
    <t>resilince_num_ccam_gulayan_teach_per_f</t>
  </si>
  <si>
    <t>resilince_num_ccam_gulayan_nonteach_per_m</t>
  </si>
  <si>
    <t>resilince_num_ccam_gulayan_nonteach_per_f</t>
  </si>
  <si>
    <t>resilince_num_ccam_mat_recover_teach_per_m</t>
  </si>
  <si>
    <t>resilince_num_ccam_mat_recover_teach_per_f</t>
  </si>
  <si>
    <t>resilince_num_ccam_mat_recover_nonteach_per_m</t>
  </si>
  <si>
    <t>resilince_num_ccam_mat_recover_nonteach_per_f</t>
  </si>
  <si>
    <t>resilince_num_ccam_kalikhasan_teach_per_m</t>
  </si>
  <si>
    <t>resilince_num_ccam_kalikhasan_teach_per_f</t>
  </si>
  <si>
    <t>resilince_num_ccam_kalikhasan_nonteach_per_m</t>
  </si>
  <si>
    <t>resilince_num_ccam_kalikhasan_nonteach_per_f</t>
  </si>
  <si>
    <t>resilince_num_ccam_solidwaste_teach_per_m</t>
  </si>
  <si>
    <t>resilince_num_ccam_solidwaste_teach_per_f</t>
  </si>
  <si>
    <t>resilince_num_ccam_solidwaste_nonteach_per_m</t>
  </si>
  <si>
    <t>resilince_num_ccam_solidwaste_nonteach_per_f</t>
  </si>
  <si>
    <t>resilince_num_ccam_recycling_teach_per_m</t>
  </si>
  <si>
    <t>resilince_num_ccam_recycling_teach_per_f</t>
  </si>
  <si>
    <t>resilince_num_ccam_recycling_nonteach_per_m</t>
  </si>
  <si>
    <t>resilince_num_ccam_recycling_nonteach_per_f</t>
  </si>
  <si>
    <t>resilince_num_ccam_treeplanting_teach_per_m</t>
  </si>
  <si>
    <t>resilince_num_ccam_treeplanting_teach_per_f</t>
  </si>
  <si>
    <t>resilince_num_ccam_treeplanting_nonteach_per_m</t>
  </si>
  <si>
    <t>resilince_num_ccam_treeplanting_nonteach_per_f</t>
  </si>
  <si>
    <t>resilince_num_ccam_youthstrike_teach_per_m</t>
  </si>
  <si>
    <t>resilince_num_ccam_youthstrike_teach_per_f</t>
  </si>
  <si>
    <t>resilince_num_ccam_youthstrike_nonteach_per_m</t>
  </si>
  <si>
    <t>resilince_num_ccam_youthstrike_nonteach_per_f</t>
  </si>
  <si>
    <t>resilince_num_ccam_commsplevent_teach_per_m</t>
  </si>
  <si>
    <t>resilince_num_ccam_commsplevent_teach_per_f</t>
  </si>
  <si>
    <t>resilince_num_ccam_commsplevent_nonteach_per_m</t>
  </si>
  <si>
    <t>resilince_num_ccam_commsplevent_nonteach_per_f</t>
  </si>
  <si>
    <t>resilince_num_ccam_others_teach_per_m</t>
  </si>
  <si>
    <t>resilince_num_ccam_others_teach_per_f</t>
  </si>
  <si>
    <t>resilince_num_ccam_others_nonteach_per_m</t>
  </si>
  <si>
    <t>resilince_num_ccam_others_nonteach_per_f</t>
  </si>
  <si>
    <t>resilince_num_peace_conf_teach_per_m</t>
  </si>
  <si>
    <t>resilince_num_peace_conf_teach_per_f</t>
  </si>
  <si>
    <t>resilince_num_peace_conf_nonteach_per_m</t>
  </si>
  <si>
    <t>resilince_num_peace_conf_nonteach_per_f</t>
  </si>
  <si>
    <t>resilince_num_peace_youthnet_teach_per_m</t>
  </si>
  <si>
    <t>resilince_num_peace_youthnet_teach_per_f</t>
  </si>
  <si>
    <t>resilince_num_peace_youthnet_nonteach_per_m</t>
  </si>
  <si>
    <t>resilince_num_peace_youthnet_nonteach_per_f</t>
  </si>
  <si>
    <t>resilince_num_peace_artscontest_teach_per_m</t>
  </si>
  <si>
    <t>resilince_num_peace_artscontest_teach_per_f</t>
  </si>
  <si>
    <t>resilince_num_peace_artscontest_nonteach_per_m</t>
  </si>
  <si>
    <t>resilince_num_peace_artscontest_nonteach_per_f</t>
  </si>
  <si>
    <t>resilince_num_peace_commsplevent_teach_per_m</t>
  </si>
  <si>
    <t>resilince_num_peace_commsplevent_teach_per_f</t>
  </si>
  <si>
    <t>resilince_num_peace_commsplevent_nonteach_per_m</t>
  </si>
  <si>
    <t>resilince_num_peace_commsplevent_nonteach_per_f</t>
  </si>
  <si>
    <t>resilince_num_peace_others_teach_per_m</t>
  </si>
  <si>
    <t>resilince_num_peace_others_teach_per_f</t>
  </si>
  <si>
    <t>resilince_num_peace_others_nonteach_per_m</t>
  </si>
  <si>
    <t>resilince_num_peace_others_nonteach_per_f</t>
  </si>
  <si>
    <t>resilince_num_peace_others_specify</t>
  </si>
  <si>
    <t>Box31-Part3a'!$F$8</t>
  </si>
  <si>
    <t>Box31-Part3a'!$I$8</t>
  </si>
  <si>
    <t>Box31-Part3a'!$L$8</t>
  </si>
  <si>
    <t>Box31-Part3a'!$O$8</t>
  </si>
  <si>
    <t>Box31-Part3a'!$F$13</t>
  </si>
  <si>
    <t>Box31-Part3a'!$K$13</t>
  </si>
  <si>
    <t>Box31-Part3a'!$P$13</t>
  </si>
  <si>
    <t>Box31-Part3a'!$V$13</t>
  </si>
  <si>
    <t>Box31-Part3a'!$Z$13</t>
  </si>
  <si>
    <t>Box31-Part3a'!$Z$19</t>
  </si>
  <si>
    <t>Box31-Part3a'!$AC$19</t>
  </si>
  <si>
    <t>Box31-Part3a'!$AF$19</t>
  </si>
  <si>
    <t>Box31-Part3a'!$AI$19</t>
  </si>
  <si>
    <t>Box31-Part3a'!$Z$20</t>
  </si>
  <si>
    <t>Box31-Part3a'!$AC$20</t>
  </si>
  <si>
    <t>Box31-Part3a'!$AF$20</t>
  </si>
  <si>
    <t>Box31-Part3a'!$AI$20</t>
  </si>
  <si>
    <t>Box31-Part3a'!$Z$21</t>
  </si>
  <si>
    <t>Box31-Part3a'!$AC$21</t>
  </si>
  <si>
    <t>Box31-Part3a'!$AF$21</t>
  </si>
  <si>
    <t>Box31-Part3a'!$AI$21</t>
  </si>
  <si>
    <t>Box31-Part3a'!$Z$22</t>
  </si>
  <si>
    <t>Box31-Part3a'!$AC$22</t>
  </si>
  <si>
    <t>Box31-Part3a'!$AF$22</t>
  </si>
  <si>
    <t>Box31-Part3a'!$AI$22</t>
  </si>
  <si>
    <t>Box31-Part3a'!$Z$23</t>
  </si>
  <si>
    <t>Box31-Part3a'!$AC$23</t>
  </si>
  <si>
    <t>Box31-Part3a'!$AF$23</t>
  </si>
  <si>
    <t>Box31-Part3a'!$AI$23</t>
  </si>
  <si>
    <t>Box31-Part3a'!$Z$24</t>
  </si>
  <si>
    <t>Box31-Part3a'!$AC$24</t>
  </si>
  <si>
    <t>Box31-Part3a'!$AF$24</t>
  </si>
  <si>
    <t>Box31-Part3a'!$AI$24</t>
  </si>
  <si>
    <t>Box31-Part3a'!$Z$25</t>
  </si>
  <si>
    <t>Box31-Part3a'!$AC$25</t>
  </si>
  <si>
    <t>Box31-Part3a'!$AF$25</t>
  </si>
  <si>
    <t>Box31-Part3a'!$AI$25</t>
  </si>
  <si>
    <t>Box31-Part3a'!$Z$26</t>
  </si>
  <si>
    <t>Box31-Part3a'!$AC$26</t>
  </si>
  <si>
    <t>Box31-Part3a'!$AF$26</t>
  </si>
  <si>
    <t>Box31-Part3a'!$AI$26</t>
  </si>
  <si>
    <t>Box31-Part3a'!$Z$27</t>
  </si>
  <si>
    <t>Box31-Part3a'!$AC$27</t>
  </si>
  <si>
    <t>Box31-Part3a'!$AF$27</t>
  </si>
  <si>
    <t>Box31-Part3a'!$AI$27</t>
  </si>
  <si>
    <t>Box31-Part3a'!$K$27</t>
  </si>
  <si>
    <t>Box31-Part3a'!$Z$31</t>
  </si>
  <si>
    <t>Box31-Part3a'!$AC$31</t>
  </si>
  <si>
    <t>Box31-Part3a'!$AF$31</t>
  </si>
  <si>
    <t>Box31-Part3a'!$AI$31</t>
  </si>
  <si>
    <t>Box31-Part3a'!$Z$32</t>
  </si>
  <si>
    <t>Box31-Part3a'!$AC$32</t>
  </si>
  <si>
    <t>Box31-Part3a'!$AF$32</t>
  </si>
  <si>
    <t>Box31-Part3a'!$AI$32</t>
  </si>
  <si>
    <t>Box31-Part3a'!$Z$33</t>
  </si>
  <si>
    <t>Box31-Part3a'!$AC$33</t>
  </si>
  <si>
    <t>Box31-Part3a'!$AF$33</t>
  </si>
  <si>
    <t>Box31-Part3a'!$AI$33</t>
  </si>
  <si>
    <t>Box31-Part3a'!$Z$34</t>
  </si>
  <si>
    <t>Box31-Part3a'!$AC$34</t>
  </si>
  <si>
    <t>Box31-Part3a'!$AF$34</t>
  </si>
  <si>
    <t>Box31-Part3a'!$AI$34</t>
  </si>
  <si>
    <t>Box31-Part3a'!$Z$35</t>
  </si>
  <si>
    <t>Box31-Part3a'!$AC$35</t>
  </si>
  <si>
    <t>Box31-Part3a'!$AF$35</t>
  </si>
  <si>
    <t>Box31-Part3a'!$AI$35</t>
  </si>
  <si>
    <t>Box31-Part3a'!$Z$36</t>
  </si>
  <si>
    <t>Box31-Part3a'!$AC$36</t>
  </si>
  <si>
    <t>Box31-Part3a'!$AF$36</t>
  </si>
  <si>
    <t>Box31-Part3a'!$AI$36</t>
  </si>
  <si>
    <t>Box31-Part3a'!$Z$37</t>
  </si>
  <si>
    <t>Box31-Part3a'!$AC$37</t>
  </si>
  <si>
    <t>Box31-Part3a'!$AF$37</t>
  </si>
  <si>
    <t>Box31-Part3a'!$AI$37</t>
  </si>
  <si>
    <t>Box31-Part3a'!$Z$38</t>
  </si>
  <si>
    <t>Box31-Part3a'!$AC$38</t>
  </si>
  <si>
    <t>Box31-Part3a'!$AF$38</t>
  </si>
  <si>
    <t>Box31-Part3a'!$AI$38</t>
  </si>
  <si>
    <t>Box31-Part3a'!$Z$39</t>
  </si>
  <si>
    <t>Box31-Part3a'!$AC$39</t>
  </si>
  <si>
    <t>Box31-Part3a'!$AF$39</t>
  </si>
  <si>
    <t>Box31-Part3a'!$AI$39</t>
  </si>
  <si>
    <t>Box31-Part3a'!$Z$40</t>
  </si>
  <si>
    <t>Box31-Part3a'!$AC$40</t>
  </si>
  <si>
    <t>Box31-Part3a'!$AF$40</t>
  </si>
  <si>
    <t>Box31-Part3a'!$AI$40</t>
  </si>
  <si>
    <t>Box31-Part3a'!$Z$41</t>
  </si>
  <si>
    <t>Box31-Part3a'!$AC$41</t>
  </si>
  <si>
    <t>Box31-Part3a'!$AF$41</t>
  </si>
  <si>
    <t>Box31-Part3a'!$AI$41</t>
  </si>
  <si>
    <t>Box31-Part3a'!$Z$42</t>
  </si>
  <si>
    <t>Box31-Part3a'!$AC$42</t>
  </si>
  <si>
    <t>Box31-Part3a'!$AF$42</t>
  </si>
  <si>
    <t>Box31-Part3a'!$AI$42</t>
  </si>
  <si>
    <t>Box31-Part3a'!$Z$43</t>
  </si>
  <si>
    <t>Box31-Part3a'!$AC$43</t>
  </si>
  <si>
    <t>Box31-Part3a'!$AF$43</t>
  </si>
  <si>
    <t>Box31-Part3a'!$AI$43</t>
  </si>
  <si>
    <t>Box31-Part3a'!$Z$44</t>
  </si>
  <si>
    <t>Box31-Part3a'!$AC$44</t>
  </si>
  <si>
    <t>Box31-Part3a'!$AF$44</t>
  </si>
  <si>
    <t>Box31-Part3a'!$AI$44</t>
  </si>
  <si>
    <t>Box31-Part3a'!$K$44</t>
  </si>
  <si>
    <t>Box31-Part3a'!$Z$48</t>
  </si>
  <si>
    <t>Box31-Part3a'!$AC$48</t>
  </si>
  <si>
    <t>Box31-Part3a'!$AF$48</t>
  </si>
  <si>
    <t>Box31-Part3a'!$AI$48</t>
  </si>
  <si>
    <t>Box31-Part3a'!$Z$49</t>
  </si>
  <si>
    <t>Box31-Part3a'!$AC$49</t>
  </si>
  <si>
    <t>Box31-Part3a'!$AF$49</t>
  </si>
  <si>
    <t>Box31-Part3a'!$AI$49</t>
  </si>
  <si>
    <t>Box31-Part3a'!$Z$50</t>
  </si>
  <si>
    <t>Box31-Part3a'!$AC$50</t>
  </si>
  <si>
    <t>Box31-Part3a'!$AF$50</t>
  </si>
  <si>
    <t>Box31-Part3a'!$Z$51</t>
  </si>
  <si>
    <t>Box31-Part3a'!$AC$51</t>
  </si>
  <si>
    <t>Box31-Part3a'!$AF$51</t>
  </si>
  <si>
    <t>Box31-Part3a'!$AI$51</t>
  </si>
  <si>
    <t>Box31-Part3a'!$Z$52</t>
  </si>
  <si>
    <t>Box31-Part3a'!$AC$52</t>
  </si>
  <si>
    <t>Box31-Part3a'!$AF$52</t>
  </si>
  <si>
    <t>Box31-Part3a'!$AI$52</t>
  </si>
  <si>
    <t>Box31-Part3a'!$K$52</t>
  </si>
  <si>
    <t>resilince_num_drrm_basic_l_m</t>
  </si>
  <si>
    <t>resilince_num_drrm_basic_l_f</t>
  </si>
  <si>
    <t>resilince_num_drrm_basic_ip_m</t>
  </si>
  <si>
    <t>resilince_num_drrm_basic_ip_f</t>
  </si>
  <si>
    <t>resilince_num_drrm_basic_muslim_m</t>
  </si>
  <si>
    <t>resilince_num_drrm_basic_muslim_f</t>
  </si>
  <si>
    <t>resilince_num_drrm_basic_lwd_m</t>
  </si>
  <si>
    <t>resilince_num_drrm_basic_lwd_f</t>
  </si>
  <si>
    <t>resilince_num_drrm_quake_l_m</t>
  </si>
  <si>
    <t>resilince_num_drrm_quake_l_f</t>
  </si>
  <si>
    <t>resilince_num_drrm_quake_ip_m</t>
  </si>
  <si>
    <t>resilince_num_drrm_quake_ip_f</t>
  </si>
  <si>
    <t>resilince_num_drrm_quake_muslim_m</t>
  </si>
  <si>
    <t>resilince_num_drrm_quake_muslim_f</t>
  </si>
  <si>
    <t>resilince_num_drrm_quake_lwd_m</t>
  </si>
  <si>
    <t>resilince_num_drrm_quake_lwd_f</t>
  </si>
  <si>
    <t>resilince_num_drrm_sw_l_m</t>
  </si>
  <si>
    <t>resilince_num_drrm_sw_l_f</t>
  </si>
  <si>
    <t>resilince_num_drrm_sw_ip_m</t>
  </si>
  <si>
    <t>resilince_num_drrm_sw_ip_f</t>
  </si>
  <si>
    <t>resilince_num_drrm_sw_muslim_m</t>
  </si>
  <si>
    <t>resilince_num_drrm_sw_muslim_f</t>
  </si>
  <si>
    <t>resilince_num_drrm_sw_lwd_m</t>
  </si>
  <si>
    <t>resilince_num_drrm_sw_lwd_f</t>
  </si>
  <si>
    <t>resilince_num_drrm_mhpss_l_m</t>
  </si>
  <si>
    <t>resilince_num_drrm_mhpss_l_f</t>
  </si>
  <si>
    <t>resilince_num_drrm_mhpss_ip_m</t>
  </si>
  <si>
    <t>resilince_num_drrm_mhpss_ip_f</t>
  </si>
  <si>
    <t>resilince_num_drrm_mhpss_muslim_m</t>
  </si>
  <si>
    <t>resilince_num_drrm_mhpss_muslim_f</t>
  </si>
  <si>
    <t>resilince_num_drrm_mhpss_lwd_m</t>
  </si>
  <si>
    <t>resilince_num_drrm_mhpss_lwd_f</t>
  </si>
  <si>
    <t>resilince_num_drrm_spl_event_l_m</t>
  </si>
  <si>
    <t>resilince_num_drrm_spl_event_l_f</t>
  </si>
  <si>
    <t>resilince_num_drrm_spl_event_ip_m</t>
  </si>
  <si>
    <t>resilince_num_drrm_spl_event_ip_f</t>
  </si>
  <si>
    <t>resilince_num_drrm_spl_event_muslim_m</t>
  </si>
  <si>
    <t>resilince_num_drrm_spl_event_muslim_f</t>
  </si>
  <si>
    <t>resilince_num_drrm_spl_event_lwd_m</t>
  </si>
  <si>
    <t>resilince_num_drrm_spl_event_lwd_f</t>
  </si>
  <si>
    <t>resilince_num_drrm_camp_l_m</t>
  </si>
  <si>
    <t>resilince_num_drrm_camp_l_f</t>
  </si>
  <si>
    <t>resilince_num_drrm_camp_ip_m</t>
  </si>
  <si>
    <t>resilince_num_drrm_camp_ip_f</t>
  </si>
  <si>
    <t>resilince_num_drrm_camp_muslim_m</t>
  </si>
  <si>
    <t>resilince_num_drrm_camp_muslim_f</t>
  </si>
  <si>
    <t>resilince_num_drrm_camp_lwd_m</t>
  </si>
  <si>
    <t>resilince_num_drrm_camp_lwd_f</t>
  </si>
  <si>
    <t>resilince_num_drrm_youth_council_l_m</t>
  </si>
  <si>
    <t>resilince_num_drrm_youth_council_l_f</t>
  </si>
  <si>
    <t>resilince_num_drrm_youth_council_ip_m</t>
  </si>
  <si>
    <t>resilince_num_drrm_youth_council_ip_f</t>
  </si>
  <si>
    <t>resilince_num_drrm_youth_council_muslim_m</t>
  </si>
  <si>
    <t>resilince_num_drrm_youth_council_muslim_f</t>
  </si>
  <si>
    <t>resilince_num_drrm_youth_council_lwd_m</t>
  </si>
  <si>
    <t>resilince_num_drrm_youth_council_lwd_f</t>
  </si>
  <si>
    <t>resilince_num_drrm_youth_act_l_m</t>
  </si>
  <si>
    <t>resilince_num_drrm_youth_act_l_f</t>
  </si>
  <si>
    <t>resilince_num_drrm_youth_act_ip_m</t>
  </si>
  <si>
    <t>resilince_num_drrm_youth_act_ip_f</t>
  </si>
  <si>
    <t>resilince_num_drrm_youth_act_muslim_m</t>
  </si>
  <si>
    <t>resilince_num_drrm_youth_act_muslim_f</t>
  </si>
  <si>
    <t>resilince_num_drrm_youth_act_lwd_m</t>
  </si>
  <si>
    <t>resilince_num_drrm_youth_act_lwd_f</t>
  </si>
  <si>
    <t>resilince_num_drrm_camp_journal_l_m</t>
  </si>
  <si>
    <t>resilince_num_drrm_camp_journal_l_f</t>
  </si>
  <si>
    <t>resilince_num_drrm_camp_journal_ip_m</t>
  </si>
  <si>
    <t>resilince_num_drrm_camp_journal_ip_f</t>
  </si>
  <si>
    <t>resilince_num_drrm_camp_journal_muslim_m</t>
  </si>
  <si>
    <t>resilince_num_drrm_camp_journal_muslim_f</t>
  </si>
  <si>
    <t>resilince_num_drrm_camp_journal_lwd_m</t>
  </si>
  <si>
    <t>resilince_num_drrm_camp_journal_lwd_f</t>
  </si>
  <si>
    <t>resilince_num_drrm_others_l_m</t>
  </si>
  <si>
    <t>resilince_num_drrm_others_l_f</t>
  </si>
  <si>
    <t>resilince_num_drrm_others_ip_m</t>
  </si>
  <si>
    <t>resilince_num_drrm_others_ip_f</t>
  </si>
  <si>
    <t>resilince_num_drrm_others_muslim_m</t>
  </si>
  <si>
    <t>resilince_num_drrm_others_muslim_f</t>
  </si>
  <si>
    <t>resilince_num_drrm_others_lwd_m</t>
  </si>
  <si>
    <t>resilince_num_drrm_others_lwd_f</t>
  </si>
  <si>
    <t>resilince_num_ccam_arts_l_m</t>
  </si>
  <si>
    <t>resilince_num_ccam_arts_l_f</t>
  </si>
  <si>
    <t>resilince_num_ccam_arts_ip_m</t>
  </si>
  <si>
    <t>resilince_num_ccam_arts_ip_f</t>
  </si>
  <si>
    <t>resilince_num_ccam_arts_muslim_m</t>
  </si>
  <si>
    <t>resilince_num_ccam_arts_muslim_f</t>
  </si>
  <si>
    <t>resilince_num_ccam_arts_lwd_m</t>
  </si>
  <si>
    <t>resilince_num_ccam_arts_lwd_f</t>
  </si>
  <si>
    <t>resilince_num_ccam_climate_action_l_m</t>
  </si>
  <si>
    <t>resilince_num_ccam_climate_action_l_f</t>
  </si>
  <si>
    <t>resilince_num_ccam_climate_action_ip_m</t>
  </si>
  <si>
    <t>resilince_num_ccam_climate_action_ip_f</t>
  </si>
  <si>
    <t>resilince_num_ccam_climate_action_muslim_m</t>
  </si>
  <si>
    <t>resilince_num_ccam_climate_action_muslim_f</t>
  </si>
  <si>
    <t>resilince_num_ccam_climate_action_lwd_m</t>
  </si>
  <si>
    <t>resilince_num_ccam_climate_action_lwd_f</t>
  </si>
  <si>
    <t>resilince_num_ccam_climate_change_l_m</t>
  </si>
  <si>
    <t>resilince_num_ccam_climate_change_l_f</t>
  </si>
  <si>
    <t>resilince_num_ccam_climate_change_ip_m</t>
  </si>
  <si>
    <t>resilince_num_ccam_climate_change_ip_f</t>
  </si>
  <si>
    <t>resilince_num_ccam_climate_change_muslim_m</t>
  </si>
  <si>
    <t>resilince_num_ccam_climate_change_muslim_f</t>
  </si>
  <si>
    <t>resilince_num_ccam_climate_change_lwd_m</t>
  </si>
  <si>
    <t>resilince_num_ccam_climate_change_lwd_f</t>
  </si>
  <si>
    <t>resilince_num_ccam_enviro_journal_l_m</t>
  </si>
  <si>
    <t>resilince_num_ccam_enviro_journal_l_f</t>
  </si>
  <si>
    <t>resilince_num_ccam_enviro_journal_ip_m</t>
  </si>
  <si>
    <t>resilince_num_ccam_enviro_journal_ip_f</t>
  </si>
  <si>
    <t>resilince_num_ccam_enviro_journal_muslim_m</t>
  </si>
  <si>
    <t>resilince_num_ccam_enviro_journal_muslim_f</t>
  </si>
  <si>
    <t>resilince_num_ccam_enviro_journal_lwd_m</t>
  </si>
  <si>
    <t>resilince_num_ccam_enviro_journal_lwd_f</t>
  </si>
  <si>
    <t>resilince_num_ccam_gulayan_l_m</t>
  </si>
  <si>
    <t>resilince_num_ccam_gulayan_l_f</t>
  </si>
  <si>
    <t>resilince_num_ccam_gulayan_ip_m</t>
  </si>
  <si>
    <t>resilince_num_ccam_gulayan_ip_f</t>
  </si>
  <si>
    <t>resilince_num_ccam_gulayan_muslim_m</t>
  </si>
  <si>
    <t>resilince_num_ccam_gulayan_muslim_f</t>
  </si>
  <si>
    <t>resilince_num_ccam_gulayan_lwd_m</t>
  </si>
  <si>
    <t>resilince_num_ccam_gulayan_lwd_f</t>
  </si>
  <si>
    <t>resilince_num_ccam_kalikhasan_l_m</t>
  </si>
  <si>
    <t>resilince_num_ccam_kalikhasan_l_f</t>
  </si>
  <si>
    <t>resilince_num_ccam_kalikhasan_ip_m</t>
  </si>
  <si>
    <t>resilince_num_ccam_kalikhasan_ip_f</t>
  </si>
  <si>
    <t>resilince_num_ccam_kalikhasan_muslim_m</t>
  </si>
  <si>
    <t>resilince_num_ccam_kalikhasan_muslim_f</t>
  </si>
  <si>
    <t>resilince_num_ccam_kalikhasan_lwd_m</t>
  </si>
  <si>
    <t>resilince_num_ccam_kalikhasan_lwd_f</t>
  </si>
  <si>
    <t>resilince_num_ccam_solidwaste_l_m</t>
  </si>
  <si>
    <t>resilince_num_ccam_solidwaste_l_f</t>
  </si>
  <si>
    <t>resilince_num_ccam_solidwaste_ip_m</t>
  </si>
  <si>
    <t>resilince_num_ccam_solidwaste_ip_f</t>
  </si>
  <si>
    <t>resilince_num_ccam_solidwaste_muslim_m</t>
  </si>
  <si>
    <t>resilince_num_ccam_solidwaste_muslim_f</t>
  </si>
  <si>
    <t>resilince_num_ccam_solidwaste_lwd_m</t>
  </si>
  <si>
    <t>resilince_num_ccam_solidwaste_lwd_f</t>
  </si>
  <si>
    <t>resilince_num_ccam_recycling_l_m</t>
  </si>
  <si>
    <t>resilince_num_ccam_recycling_l_f</t>
  </si>
  <si>
    <t>resilince_num_ccam_recycling_ip_m</t>
  </si>
  <si>
    <t>resilince_num_ccam_recycling_ip_f</t>
  </si>
  <si>
    <t>resilince_num_ccam_recycling_muslim_m</t>
  </si>
  <si>
    <t>resilince_num_ccam_recycling_muslim_f</t>
  </si>
  <si>
    <t>resilince_num_ccam_recycling_lwd_m</t>
  </si>
  <si>
    <t>resilince_num_ccam_recycling_lwd_f</t>
  </si>
  <si>
    <t>resilince_num_ccam_treeplanting_l_m</t>
  </si>
  <si>
    <t>resilince_num_ccam_treeplanting_l_f</t>
  </si>
  <si>
    <t>resilince_num_ccam_treeplanting_ip_m</t>
  </si>
  <si>
    <t>resilince_num_ccam_treeplanting_ip_f</t>
  </si>
  <si>
    <t>resilince_num_ccam_treeplanting_muslim_m</t>
  </si>
  <si>
    <t>resilince_num_ccam_treeplanting_muslim_f</t>
  </si>
  <si>
    <t>resilince_num_ccam_treeplanting_lwd_m</t>
  </si>
  <si>
    <t>resilince_num_ccam_treeplanting_lwd_f</t>
  </si>
  <si>
    <t>resilince_num_ccam_youthstrike_l_m</t>
  </si>
  <si>
    <t>resilince_num_ccam_youthstrike_l_f</t>
  </si>
  <si>
    <t>resilince_num_ccam_youthstrike_ip_m</t>
  </si>
  <si>
    <t>resilince_num_ccam_youthstrike_ip_f</t>
  </si>
  <si>
    <t>resilince_num_ccam_youthstrike_muslim_m</t>
  </si>
  <si>
    <t>resilince_num_ccam_youthstrike_muslim_f</t>
  </si>
  <si>
    <t>resilince_num_ccam_youthstrike_lwd_m</t>
  </si>
  <si>
    <t>resilince_num_ccam_youthstrike_lwd_f</t>
  </si>
  <si>
    <t>resilince_num_ccam_commsplevent_l_m</t>
  </si>
  <si>
    <t>resilince_num_ccam_commsplevent_l_f</t>
  </si>
  <si>
    <t>resilince_num_ccam_commsplevent_ip_m</t>
  </si>
  <si>
    <t>resilince_num_ccam_commsplevent_ip_f</t>
  </si>
  <si>
    <t>resilince_num_ccam_commsplevent_muslim_m</t>
  </si>
  <si>
    <t>resilince_num_ccam_commsplevent_muslim_f</t>
  </si>
  <si>
    <t>resilince_num_ccam_commsplevent_lwd_m</t>
  </si>
  <si>
    <t>resilince_num_ccam_commsplevent_lwd_f</t>
  </si>
  <si>
    <t>resilince_num_ccam_others_l_m</t>
  </si>
  <si>
    <t>resilince_num_ccam_others_l_f</t>
  </si>
  <si>
    <t>resilince_num_ccam_others_ip_m</t>
  </si>
  <si>
    <t>resilince_num_ccam_others_ip_f</t>
  </si>
  <si>
    <t>resilince_num_ccam_others_muslim_m</t>
  </si>
  <si>
    <t>resilince_num_ccam_others_muslim_f</t>
  </si>
  <si>
    <t>resilince_num_ccam_others_lwd_m</t>
  </si>
  <si>
    <t>resilince_num_ccam_others_lwd_f</t>
  </si>
  <si>
    <t>resilince_num_peace_conf_l_m</t>
  </si>
  <si>
    <t>resilince_num_peace_conf_l_f</t>
  </si>
  <si>
    <t>resilince_num_peace_conf_ip_m</t>
  </si>
  <si>
    <t>resilince_num_peace_conf_ip_f</t>
  </si>
  <si>
    <t>resilince_num_peace_conf_muslim_m</t>
  </si>
  <si>
    <t>resilince_num_peace_conf_muslim_f</t>
  </si>
  <si>
    <t>resilince_num_peace_conf_lwd_m</t>
  </si>
  <si>
    <t>resilince_num_peace_conf_lwd_f</t>
  </si>
  <si>
    <t>resilince_num_peace_youthnet_l_m</t>
  </si>
  <si>
    <t>resilince_num_peace_youthnet_l_f</t>
  </si>
  <si>
    <t>resilince_num_peace_youthnet_ip_m</t>
  </si>
  <si>
    <t>resilince_num_peace_youthnet_ip_f</t>
  </si>
  <si>
    <t>resilince_num_peace_youthnet_muslim_m</t>
  </si>
  <si>
    <t>resilince_num_peace_youthnet_muslim_f</t>
  </si>
  <si>
    <t>resilince_num_peace_youthnet_lwd_m</t>
  </si>
  <si>
    <t>resilince_num_peace_youthnet_lwd_f</t>
  </si>
  <si>
    <t>resilince_num_peace_artscontest_l_m</t>
  </si>
  <si>
    <t>resilince_num_peace_artscontest_l_f</t>
  </si>
  <si>
    <t>resilince_num_peace_artscontest_ip_m</t>
  </si>
  <si>
    <t>resilince_num_peace_artscontest_ip_f</t>
  </si>
  <si>
    <t>resilince_num_peace_artscontest_muslim_m</t>
  </si>
  <si>
    <t>resilince_num_peace_artscontest_muslim_f</t>
  </si>
  <si>
    <t>resilince_num_peace_artscontest_lwd_m</t>
  </si>
  <si>
    <t>resilince_num_peace_artscontest_lwd_f</t>
  </si>
  <si>
    <t>resilince_num_peace_commsplevent_l_m</t>
  </si>
  <si>
    <t>resilince_num_peace_commsplevent_l_f</t>
  </si>
  <si>
    <t>resilince_num_peace_commsplevent_ip_m</t>
  </si>
  <si>
    <t>resilince_num_peace_commsplevent_ip_f</t>
  </si>
  <si>
    <t>resilince_num_peace_commsplevent_muslim_m</t>
  </si>
  <si>
    <t>resilince_num_peace_commsplevent_muslim_f</t>
  </si>
  <si>
    <t>resilince_num_peace_commsplevent_lwd_m</t>
  </si>
  <si>
    <t>resilince_num_peace_commsplevent_lwd_f</t>
  </si>
  <si>
    <t>resilince_num_peace_others_l_m</t>
  </si>
  <si>
    <t>resilince_num_peace_others_l_f</t>
  </si>
  <si>
    <t>resilince_num_peace_others_ip_m</t>
  </si>
  <si>
    <t>resilince_num_peace_others_ip_f</t>
  </si>
  <si>
    <t>resilince_num_peace_others_muslim_m</t>
  </si>
  <si>
    <t>resilince_num_peace_others_muslim_f</t>
  </si>
  <si>
    <t>resilince_num_peace_others_lwd_m</t>
  </si>
  <si>
    <t>resilince_num_peace_others_lwd_f</t>
  </si>
  <si>
    <t>resilince_num_dev_learning_resources</t>
  </si>
  <si>
    <t>resilince_num_drrm_train</t>
  </si>
  <si>
    <t>resilince_num_ccam_train</t>
  </si>
  <si>
    <t>resilince_num_peace_train</t>
  </si>
  <si>
    <t>Box31-Part3b'!$P$9</t>
  </si>
  <si>
    <t>Box31-Part3b'!$S$9</t>
  </si>
  <si>
    <t>Box31-Part3b'!$V$9</t>
  </si>
  <si>
    <t>Box31-Part3b'!$Y$9</t>
  </si>
  <si>
    <t>Box31-Part3b'!$AB$9</t>
  </si>
  <si>
    <t>Box31-Part3b'!$AE$9</t>
  </si>
  <si>
    <t>Box31-Part3b'!$AH$9</t>
  </si>
  <si>
    <t>Box31-Part3b'!$AK$9</t>
  </si>
  <si>
    <t>Box31-Part3b'!$P$10</t>
  </si>
  <si>
    <t>Box31-Part3b'!$S$10</t>
  </si>
  <si>
    <t>Box31-Part3b'!$V$10</t>
  </si>
  <si>
    <t>Box31-Part3b'!$Y$10</t>
  </si>
  <si>
    <t>Box31-Part3b'!$AB$10</t>
  </si>
  <si>
    <t>Box31-Part3b'!$AE$10</t>
  </si>
  <si>
    <t>Box31-Part3b'!$AH$10</t>
  </si>
  <si>
    <t>Box31-Part3b'!$AK$10</t>
  </si>
  <si>
    <t>Box31-Part3b'!$P$11</t>
  </si>
  <si>
    <t>Box31-Part3b'!$S$11</t>
  </si>
  <si>
    <t>Box31-Part3b'!$V$11</t>
  </si>
  <si>
    <t>Box31-Part3b'!$Y$11</t>
  </si>
  <si>
    <t>Box31-Part3b'!$AB$11</t>
  </si>
  <si>
    <t>Box31-Part3b'!$AE$11</t>
  </si>
  <si>
    <t>Box31-Part3b'!$AH$11</t>
  </si>
  <si>
    <t>Box31-Part3b'!$AK$11</t>
  </si>
  <si>
    <t>Box31-Part3b'!$P$12</t>
  </si>
  <si>
    <t>Box31-Part3b'!$S$12</t>
  </si>
  <si>
    <t>Box31-Part3b'!$V$12</t>
  </si>
  <si>
    <t>Box31-Part3b'!$Y$12</t>
  </si>
  <si>
    <t>Box31-Part3b'!$AB$12</t>
  </si>
  <si>
    <t>Box31-Part3b'!$AE$12</t>
  </si>
  <si>
    <t>Box31-Part3b'!$AH$12</t>
  </si>
  <si>
    <t>Box31-Part3b'!$AK$12</t>
  </si>
  <si>
    <t>Box31-Part3b'!$P$13</t>
  </si>
  <si>
    <t>Box31-Part3b'!$S$13</t>
  </si>
  <si>
    <t>Box31-Part3b'!$V$13</t>
  </si>
  <si>
    <t>Box31-Part3b'!$Y$13</t>
  </si>
  <si>
    <t>Box31-Part3b'!$AB$13</t>
  </si>
  <si>
    <t>Box31-Part3b'!$AE$13</t>
  </si>
  <si>
    <t>Box31-Part3b'!$AH$13</t>
  </si>
  <si>
    <t>Box31-Part3b'!$AK$13</t>
  </si>
  <si>
    <t>Box31-Part3b'!$P$14</t>
  </si>
  <si>
    <t>Box31-Part3b'!$S$14</t>
  </si>
  <si>
    <t>Box31-Part3b'!$V$14</t>
  </si>
  <si>
    <t>Box31-Part3b'!$Y$14</t>
  </si>
  <si>
    <t>Box31-Part3b'!$AB$14</t>
  </si>
  <si>
    <t>Box31-Part3b'!$AE$14</t>
  </si>
  <si>
    <t>Box31-Part3b'!$AH$14</t>
  </si>
  <si>
    <t>Box31-Part3b'!$AK$14</t>
  </si>
  <si>
    <t>Box31-Part3b'!$P$15</t>
  </si>
  <si>
    <t>Box31-Part3b'!$S$15</t>
  </si>
  <si>
    <t>Box31-Part3b'!$V$15</t>
  </si>
  <si>
    <t>Box31-Part3b'!$Y$15</t>
  </si>
  <si>
    <t>Box31-Part3b'!$AB$15</t>
  </si>
  <si>
    <t>Box31-Part3b'!$AE$15</t>
  </si>
  <si>
    <t>Box31-Part3b'!$AH$15</t>
  </si>
  <si>
    <t>Box31-Part3b'!$AK$15</t>
  </si>
  <si>
    <t>Box31-Part3b'!$P$16</t>
  </si>
  <si>
    <t>Box31-Part3b'!$S$16</t>
  </si>
  <si>
    <t>Box31-Part3b'!$V$16</t>
  </si>
  <si>
    <t>Box31-Part3b'!$Y$16</t>
  </si>
  <si>
    <t>Box31-Part3b'!$AB$16</t>
  </si>
  <si>
    <t>Box31-Part3b'!$AE$16</t>
  </si>
  <si>
    <t>Box31-Part3b'!$AH$16</t>
  </si>
  <si>
    <t>Box31-Part3b'!$AK$16</t>
  </si>
  <si>
    <t>Box31-Part3b'!$P$17</t>
  </si>
  <si>
    <t>Box31-Part3b'!$S$17</t>
  </si>
  <si>
    <t>Box31-Part3b'!$V$17</t>
  </si>
  <si>
    <t>Box31-Part3b'!$Y$17</t>
  </si>
  <si>
    <t>Box31-Part3b'!$AB$17</t>
  </si>
  <si>
    <t>Box31-Part3b'!$AE$17</t>
  </si>
  <si>
    <t>Box31-Part3b'!$AH$17</t>
  </si>
  <si>
    <t>Box31-Part3b'!$AK$17</t>
  </si>
  <si>
    <t>Box31-Part3b'!$P$18</t>
  </si>
  <si>
    <t>Box31-Part3b'!$S$18</t>
  </si>
  <si>
    <t>Box31-Part3b'!$V$18</t>
  </si>
  <si>
    <t>Box31-Part3b'!$Y$18</t>
  </si>
  <si>
    <t>Box31-Part3b'!$AB$18</t>
  </si>
  <si>
    <t>Box31-Part3b'!$AE$18</t>
  </si>
  <si>
    <t>Box31-Part3b'!$AH$18</t>
  </si>
  <si>
    <t>Box31-Part3b'!$AK$18</t>
  </si>
  <si>
    <t>Box31-Part3b'!$E$19</t>
  </si>
  <si>
    <t>Box31-Part3b'!$P$22</t>
  </si>
  <si>
    <t>Box31-Part3b'!$S$22</t>
  </si>
  <si>
    <t>Box31-Part3b'!$V$22</t>
  </si>
  <si>
    <t>Box31-Part3b'!$Y$22</t>
  </si>
  <si>
    <t>Box31-Part3b'!$AB$22</t>
  </si>
  <si>
    <t>Box31-Part3b'!$AE$22</t>
  </si>
  <si>
    <t>Box31-Part3b'!$AH$22</t>
  </si>
  <si>
    <t>Box31-Part3b'!$AK$22</t>
  </si>
  <si>
    <t>Box31-Part3b'!$P$23</t>
  </si>
  <si>
    <t>Box31-Part3b'!$S$23</t>
  </si>
  <si>
    <t>Box31-Part3b'!$V$23</t>
  </si>
  <si>
    <t>Box31-Part3b'!$Y$23</t>
  </si>
  <si>
    <t>Box31-Part3b'!$AB$23</t>
  </si>
  <si>
    <t>Box31-Part3b'!$AE$23</t>
  </si>
  <si>
    <t>Box31-Part3b'!$AH$23</t>
  </si>
  <si>
    <t>Box31-Part3b'!$AK$23</t>
  </si>
  <si>
    <t>Box31-Part3b'!$P$24</t>
  </si>
  <si>
    <t>Box31-Part3b'!$S$24</t>
  </si>
  <si>
    <t>Box31-Part3b'!$V$24</t>
  </si>
  <si>
    <t>Box31-Part3b'!$Y$24</t>
  </si>
  <si>
    <t>Box31-Part3b'!$AB$24</t>
  </si>
  <si>
    <t>Box31-Part3b'!$AE$24</t>
  </si>
  <si>
    <t>Box31-Part3b'!$AH$24</t>
  </si>
  <si>
    <t>Box31-Part3b'!$AK$24</t>
  </si>
  <si>
    <t>Box31-Part3b'!$P$25</t>
  </si>
  <si>
    <t>Box31-Part3b'!$S$25</t>
  </si>
  <si>
    <t>Box31-Part3b'!$V$25</t>
  </si>
  <si>
    <t>Box31-Part3b'!$Y$25</t>
  </si>
  <si>
    <t>Box31-Part3b'!$AB$25</t>
  </si>
  <si>
    <t>Box31-Part3b'!$AE$25</t>
  </si>
  <si>
    <t>Box31-Part3b'!$AH$25</t>
  </si>
  <si>
    <t>Box31-Part3b'!$AK$25</t>
  </si>
  <si>
    <t>Box31-Part3b'!$P$26</t>
  </si>
  <si>
    <t>Box31-Part3b'!$S$26</t>
  </si>
  <si>
    <t>Box31-Part3b'!$V$26</t>
  </si>
  <si>
    <t>Box31-Part3b'!$Y$26</t>
  </si>
  <si>
    <t>Box31-Part3b'!$AB$26</t>
  </si>
  <si>
    <t>Box31-Part3b'!$AE$26</t>
  </si>
  <si>
    <t>Box31-Part3b'!$AH$26</t>
  </si>
  <si>
    <t>Box31-Part3b'!$AK$26</t>
  </si>
  <si>
    <t>Box31-Part3b'!$P$27</t>
  </si>
  <si>
    <t>Box31-Part3b'!$S$27</t>
  </si>
  <si>
    <t>Box31-Part3b'!$V$27</t>
  </si>
  <si>
    <t>Box31-Part3b'!$Y$27</t>
  </si>
  <si>
    <t>Box31-Part3b'!$AB$27</t>
  </si>
  <si>
    <t>Box31-Part3b'!$AE$27</t>
  </si>
  <si>
    <t>Box31-Part3b'!$AH$27</t>
  </si>
  <si>
    <t>Box31-Part3b'!$AK$27</t>
  </si>
  <si>
    <t>Box31-Part3b'!$P$28</t>
  </si>
  <si>
    <t>Box31-Part3b'!$S$28</t>
  </si>
  <si>
    <t>Box31-Part3b'!$V$28</t>
  </si>
  <si>
    <t>Box31-Part3b'!$Y$28</t>
  </si>
  <si>
    <t>Box31-Part3b'!$AB$28</t>
  </si>
  <si>
    <t>Box31-Part3b'!$AE$28</t>
  </si>
  <si>
    <t>Box31-Part3b'!$AH$28</t>
  </si>
  <si>
    <t>Box31-Part3b'!$AK$28</t>
  </si>
  <si>
    <t>Box31-Part3b'!$P$29</t>
  </si>
  <si>
    <t>Box31-Part3b'!$S$29</t>
  </si>
  <si>
    <t>Box31-Part3b'!$V$29</t>
  </si>
  <si>
    <t>Box31-Part3b'!$Y$29</t>
  </si>
  <si>
    <t>Box31-Part3b'!$AB$29</t>
  </si>
  <si>
    <t>Box31-Part3b'!$AE$29</t>
  </si>
  <si>
    <t>Box31-Part3b'!$AH$29</t>
  </si>
  <si>
    <t>Box31-Part3b'!$AK$29</t>
  </si>
  <si>
    <t>Box31-Part3b'!$P$30</t>
  </si>
  <si>
    <t>Box31-Part3b'!$S$30</t>
  </si>
  <si>
    <t>Box31-Part3b'!$V$30</t>
  </si>
  <si>
    <t>Box31-Part3b'!$Y$30</t>
  </si>
  <si>
    <t>Box31-Part3b'!$AB$30</t>
  </si>
  <si>
    <t>Box31-Part3b'!$AE$30</t>
  </si>
  <si>
    <t>Box31-Part3b'!$AH$30</t>
  </si>
  <si>
    <t>Box31-Part3b'!$AK$30</t>
  </si>
  <si>
    <t>Box31-Part3b'!$P$31</t>
  </si>
  <si>
    <t>Box31-Part3b'!$S$31</t>
  </si>
  <si>
    <t>Box31-Part3b'!$V$31</t>
  </si>
  <si>
    <t>Box31-Part3b'!$Y$31</t>
  </si>
  <si>
    <t>Box31-Part3b'!$AB$31</t>
  </si>
  <si>
    <t>Box31-Part3b'!$AE$31</t>
  </si>
  <si>
    <t>Box31-Part3b'!$AH$31</t>
  </si>
  <si>
    <t>Box31-Part3b'!$AK$31</t>
  </si>
  <si>
    <t>Box31-Part3b'!$P$32</t>
  </si>
  <si>
    <t>Box31-Part3b'!$S$32</t>
  </si>
  <si>
    <t>Box31-Part3b'!$V$32</t>
  </si>
  <si>
    <t>Box31-Part3b'!$Y$32</t>
  </si>
  <si>
    <t>Box31-Part3b'!$AB$32</t>
  </si>
  <si>
    <t>Box31-Part3b'!$AE$32</t>
  </si>
  <si>
    <t>Box31-Part3b'!$AH$32</t>
  </si>
  <si>
    <t>Box31-Part3b'!$AK$32</t>
  </si>
  <si>
    <t>Box31-Part3b'!$P$33</t>
  </si>
  <si>
    <t>Box31-Part3b'!$S$33</t>
  </si>
  <si>
    <t>Box31-Part3b'!$V$33</t>
  </si>
  <si>
    <t>Box31-Part3b'!$Y$33</t>
  </si>
  <si>
    <t>Box31-Part3b'!$AB$33</t>
  </si>
  <si>
    <t>Box31-Part3b'!$AE$33</t>
  </si>
  <si>
    <t>Box31-Part3b'!$AH$33</t>
  </si>
  <si>
    <t>Box31-Part3b'!$AK$33</t>
  </si>
  <si>
    <t>Box31-Part3b'!$E$34</t>
  </si>
  <si>
    <t>Box31-Part3b'!$P$37</t>
  </si>
  <si>
    <t>Box31-Part3b'!$S$37</t>
  </si>
  <si>
    <t>Box31-Part3b'!$V$37</t>
  </si>
  <si>
    <t>Box31-Part3b'!$Y$37</t>
  </si>
  <si>
    <t>Box31-Part3b'!$AB$37</t>
  </si>
  <si>
    <t>Box31-Part3b'!$AE$37</t>
  </si>
  <si>
    <t>Box31-Part3b'!$AH$37</t>
  </si>
  <si>
    <t>Box31-Part3b'!$AK$37</t>
  </si>
  <si>
    <t>Box31-Part3b'!$P$38</t>
  </si>
  <si>
    <t>Box31-Part3b'!$S$38</t>
  </si>
  <si>
    <t>Box31-Part3b'!$V$38</t>
  </si>
  <si>
    <t>Box31-Part3b'!$Y$38</t>
  </si>
  <si>
    <t>Box31-Part3b'!$AB$38</t>
  </si>
  <si>
    <t>Box31-Part3b'!$AE$38</t>
  </si>
  <si>
    <t>Box31-Part3b'!$AH$38</t>
  </si>
  <si>
    <t>Box31-Part3b'!$AK$38</t>
  </si>
  <si>
    <t>Box31-Part3b'!$P$39</t>
  </si>
  <si>
    <t>Box31-Part3b'!$S$39</t>
  </si>
  <si>
    <t>Box31-Part3b'!$V$39</t>
  </si>
  <si>
    <t>Box31-Part3b'!$Y$39</t>
  </si>
  <si>
    <t>Box31-Part3b'!$AB$39</t>
  </si>
  <si>
    <t>Box31-Part3b'!$AE$39</t>
  </si>
  <si>
    <t>Box31-Part3b'!$AH$39</t>
  </si>
  <si>
    <t>Box31-Part3b'!$AK$39</t>
  </si>
  <si>
    <t>Box31-Part3b'!$P$40</t>
  </si>
  <si>
    <t>Box31-Part3b'!$S$40</t>
  </si>
  <si>
    <t>Box31-Part3b'!$V$40</t>
  </si>
  <si>
    <t>Box31-Part3b'!$Y$40</t>
  </si>
  <si>
    <t>Box31-Part3b'!$AB$40</t>
  </si>
  <si>
    <t>Box31-Part3b'!$AE$40</t>
  </si>
  <si>
    <t>Box31-Part3b'!$AH$40</t>
  </si>
  <si>
    <t>Box31-Part3b'!$AK$40</t>
  </si>
  <si>
    <t>Box31-Part3b'!$P$41</t>
  </si>
  <si>
    <t>Box31-Part3b'!$S$41</t>
  </si>
  <si>
    <t>Box31-Part3b'!$V$41</t>
  </si>
  <si>
    <t>Box31-Part3b'!$Y$41</t>
  </si>
  <si>
    <t>Box31-Part3b'!$AB$41</t>
  </si>
  <si>
    <t>Box31-Part3b'!$AE$41</t>
  </si>
  <si>
    <t>Box31-Part3b'!$AH$41</t>
  </si>
  <si>
    <t>Box31-Part3b'!$AK$41</t>
  </si>
  <si>
    <t>Box31-Part3b'!$E$42</t>
  </si>
  <si>
    <t>Box31-Part3b'!$D$47</t>
  </si>
  <si>
    <t>Box31-Part3b'!$J$52</t>
  </si>
  <si>
    <t>Box31-Part3b'!$J$53</t>
  </si>
  <si>
    <t>Box31-Part3b'!$J$54</t>
  </si>
  <si>
    <t>resilince_num_drrm_learners_others_specify</t>
  </si>
  <si>
    <t>resilince_num_ccam_l_others_secify</t>
  </si>
  <si>
    <t>resilince_num_peace_l_others_specify</t>
  </si>
  <si>
    <t>resilince_num_comp_traincourse_l_m</t>
  </si>
  <si>
    <t>resilince_num_comp_traincourse_l_f</t>
  </si>
  <si>
    <t>resilince_num_comp_traincourse_ip_m</t>
  </si>
  <si>
    <t>resilince_num_comp_traincourse_ip_f</t>
  </si>
  <si>
    <t>resilince_num_comp_traincourse_muslim_m</t>
  </si>
  <si>
    <t>resilince_num_comp_traincourse_muslim_f</t>
  </si>
  <si>
    <t>resilince_num_comp_traincourse_lwd_m</t>
  </si>
  <si>
    <t>resilince_num_comp_traincourse_lwd_f</t>
  </si>
  <si>
    <t>resilince_num_trained_l_m</t>
  </si>
  <si>
    <t>resilince_num_trained_l_f</t>
  </si>
  <si>
    <t>resilince_num_trained_ip_m</t>
  </si>
  <si>
    <t>resilince_num_trained_ip_f</t>
  </si>
  <si>
    <t>resilince_num_trained_muslim_m</t>
  </si>
  <si>
    <t>resilince_num_trained_muslim_f</t>
  </si>
  <si>
    <t>resilince_num_trained_lwd_m</t>
  </si>
  <si>
    <t>resilince_num_trained_lwd_f</t>
  </si>
  <si>
    <t>resilince_num_co_led_l_m</t>
  </si>
  <si>
    <t>resilince_num_co_led_l_f</t>
  </si>
  <si>
    <t>resilince_num_co_led_ip_m</t>
  </si>
  <si>
    <t>resilince_num_co_led_ip_f</t>
  </si>
  <si>
    <t>resilince_num_co_led_muslim_m</t>
  </si>
  <si>
    <t>resilince_num_co_led_muslim_f</t>
  </si>
  <si>
    <t>resilince_num_co_led_lwd_m</t>
  </si>
  <si>
    <t>resilince_num_co_led_lwd_f</t>
  </si>
  <si>
    <t>resilince_num_led_l_m</t>
  </si>
  <si>
    <t>resilince_num_led_l_f</t>
  </si>
  <si>
    <t>resilince_num_led_ip_m</t>
  </si>
  <si>
    <t>resilince_num_led_ip_f</t>
  </si>
  <si>
    <t>resilince_num_led_muslim_m</t>
  </si>
  <si>
    <t>resilince_num_led_muslim_f</t>
  </si>
  <si>
    <t>resilince_num_led_lwd_m</t>
  </si>
  <si>
    <t>resilince_num_led_lwd_f</t>
  </si>
  <si>
    <t>resilince_num_ppaled_l_drrm</t>
  </si>
  <si>
    <t>resilince_num_ppaled_l_ccam</t>
  </si>
  <si>
    <t>resilince_num_ppaled_l_peace</t>
  </si>
  <si>
    <t>resilince_num_train_manual</t>
  </si>
  <si>
    <t>resilince_num_trainmodule_climatechange_teach_per_m</t>
  </si>
  <si>
    <t>resilince_num_trainmodule_climatechange_teach_per_f</t>
  </si>
  <si>
    <t>resilince_num_trainmodule_climatechange_nonteach_per_m</t>
  </si>
  <si>
    <t>resilince_num_trainmodule_climatechange_nonteach_per_f</t>
  </si>
  <si>
    <t>resilince_num_trainmodule_intlfound_teach_per_m</t>
  </si>
  <si>
    <t>resilince_num_trainmodule_intlfound_teach_per_f</t>
  </si>
  <si>
    <t>resilince_num_trainmodule_intlfound_nonteach_per_m</t>
  </si>
  <si>
    <t>resilince_num_trainmodule_intlfound_nonteach_per_f</t>
  </si>
  <si>
    <t>resilince_num_trainmodule_compre_drrm_teach_per_m</t>
  </si>
  <si>
    <t>resilince_num_trainmodule_compre_drrm_teach_per_f</t>
  </si>
  <si>
    <t>resilince_num_trainmodule_compre_drrm_nonteach_per_m</t>
  </si>
  <si>
    <t>resilince_num_trainmodule_compre_drrm_nonteach_per_f</t>
  </si>
  <si>
    <t>resilince_num_trainmodule_childcntrd_teach_per_m</t>
  </si>
  <si>
    <t>resilince_num_trainmodule_childcntrd_teach_per_f</t>
  </si>
  <si>
    <t>resilince_num_trainmodule_childcntrd_nonteach_per_m</t>
  </si>
  <si>
    <t>resilince_num_trainmodule_childcntrd_nonteach_per_f</t>
  </si>
  <si>
    <t>resilince_num_trainmodule_eie_teach_per_m</t>
  </si>
  <si>
    <t>resilince_num_trainmodule_eie_teach_per_f</t>
  </si>
  <si>
    <t>resilince_num_trainmodule_eie_nonteach_per_m</t>
  </si>
  <si>
    <t>resilince_num_trainmodule_eie_nonteach_per_f</t>
  </si>
  <si>
    <t>resilince_num_trainmodule_adm_teach_per_m</t>
  </si>
  <si>
    <t>resilince_num_trainmodule_adm_teach_per_f</t>
  </si>
  <si>
    <t>resilince_num_trainmodule_adm_nonteach_per_m</t>
  </si>
  <si>
    <t>resilince_num_trainmodule_adm_nonteach_per_f</t>
  </si>
  <si>
    <t>resilince_num_trainmodule_im_teach_per_m</t>
  </si>
  <si>
    <t>resilince_num_trainmodule_im_teach_per_f</t>
  </si>
  <si>
    <t>resilince_num_trainmodule_im_nonteach_per_m</t>
  </si>
  <si>
    <t>resilince_num_trainmodule_im_nonteach_per_f</t>
  </si>
  <si>
    <t>resilince_num_trainmodule_schbased_teach_per_m</t>
  </si>
  <si>
    <t>resilince_num_trainmodule_schbased_teach_per_f</t>
  </si>
  <si>
    <t>resilince_num_trainmodule_schbased_nonteach_per_m</t>
  </si>
  <si>
    <t>resilince_num_trainmodule_schbased_nonteach_per_f</t>
  </si>
  <si>
    <t>resilince_num_trainmodule_cmg_teach_per_m</t>
  </si>
  <si>
    <t>resilince_num_trainmodule_cmg_teach_per_f</t>
  </si>
  <si>
    <t>resilince_num_trainmodule_cmg_nonteach_per_m</t>
  </si>
  <si>
    <t>resilince_num_trainmodule_cmg_nonteach_per_f</t>
  </si>
  <si>
    <t>resilince_num_trainmodule_tls_teach_per_m</t>
  </si>
  <si>
    <t>resilince_num_trainmodule_tls_teach_per_f</t>
  </si>
  <si>
    <t>resilince_num_trainmodule_tls_nonteach_per_m</t>
  </si>
  <si>
    <t>resilince_num_trainmodule_tls_nonteach_per_f</t>
  </si>
  <si>
    <t>resilince_num_trainmodule_basiceie_teach_per_m</t>
  </si>
  <si>
    <t>resilince_num_trainmodule_basiceie_teach_per_f</t>
  </si>
  <si>
    <t>resilince_num_trainmodule_basiceie_nonteach_per_m</t>
  </si>
  <si>
    <t>resilince_num_trainmodule_basiceie_nonteach_per_f</t>
  </si>
  <si>
    <t>resilince_num_trainmodule_resmobpart_teach_per_m</t>
  </si>
  <si>
    <t>resilince_num_trainmodule_resmobpart_teach_per_f</t>
  </si>
  <si>
    <t>resilince_num_trainmodule_resmobpart_nonteach_per_m</t>
  </si>
  <si>
    <t>resilince_num_trainmodule_resmobpart_nonteach_per_f</t>
  </si>
  <si>
    <t>resilince_num_trainmodule_contplan_be_teach_per_m</t>
  </si>
  <si>
    <t>resilince_num_trainmodule_contplan_be_teach_per_f</t>
  </si>
  <si>
    <t>resilince_num_trainmodule_contplan_be_nonteach_per_m</t>
  </si>
  <si>
    <t>resilince_num_trainmodule_contplan_be_nonteach_per_f</t>
  </si>
  <si>
    <t>resilince_num_trainmodule_ucomhazard_teach_per_m</t>
  </si>
  <si>
    <t>resilince_num_trainmodule_ucomhazard_teach_per_f</t>
  </si>
  <si>
    <t>resilince_num_trainmodule_ucomhazard_nonteach_per_m</t>
  </si>
  <si>
    <t>resilince_num_trainmodule_ucomhazard_nonteach_per_f</t>
  </si>
  <si>
    <t>resilince_num_trainmodule_plancycle_teach_per_m</t>
  </si>
  <si>
    <t>resilince_num_trainmodule_plancycle_teach_per_f</t>
  </si>
  <si>
    <t>resilince_num_trainmodule_plancycle_nonteach_per_m</t>
  </si>
  <si>
    <t>resilince_num_trainmodule_plancycle_nonteach_per_f</t>
  </si>
  <si>
    <t>resilince_num_trainmodule_uclimatechg_teach_per_m</t>
  </si>
  <si>
    <t>resilince_num_trainmodule_uclimatechg_teach_per_f</t>
  </si>
  <si>
    <t>resilince_num_trainmodule_uclimatechg_nonteach_per_m</t>
  </si>
  <si>
    <t>resilince_num_trainmodule_uclimatechg_nonteach_per_f</t>
  </si>
  <si>
    <t>resilince_num_trainmodule_cchange_global_teach_per_m</t>
  </si>
  <si>
    <t>resilince_num_trainmodule_cchange_global_teach_per_f</t>
  </si>
  <si>
    <t>resilince_num_trainmodule_cchange_global_nonteach_per_m</t>
  </si>
  <si>
    <t>resilince_num_trainmodule_cchange_global_nonteach_per_f</t>
  </si>
  <si>
    <t>resilince_num_trainmodule_upeace_conf_teach_per_m</t>
  </si>
  <si>
    <t>resilince_num_trainmodule_upeace_conf_teach_per_f</t>
  </si>
  <si>
    <t>resilince_num_trainmodule_upeace_conf_nonteach_per_m</t>
  </si>
  <si>
    <t>resilince_num_trainmodule_upeace_conf_nonteach_per_f</t>
  </si>
  <si>
    <t>resilince_num_trainmodule_consense_edu_teach_per_m</t>
  </si>
  <si>
    <t>resilince_num_trainmodule_consense_edu_teach_per_f</t>
  </si>
  <si>
    <t>resilince_num_trainmodule_consense_edu_nonteach_per_m</t>
  </si>
  <si>
    <t>resilince_num_trainmodule_consense_edu_nonteach_per_f</t>
  </si>
  <si>
    <t>resilince_num_trainmodule_mhpss_teach_per_m</t>
  </si>
  <si>
    <t>resilince_num_trainmodule_mhpss_teach_per_f</t>
  </si>
  <si>
    <t>resilince_num_trainmodule_mhpss_nonteach_per_m</t>
  </si>
  <si>
    <t>resilince_num_trainmodule_mhpss_nonteach_per_f</t>
  </si>
  <si>
    <t>resilince_num_trainmodule_baslifsup_teach_per_m</t>
  </si>
  <si>
    <t>resilince_num_trainmodule_baslifsup_teach_per_f</t>
  </si>
  <si>
    <t>resilince_num_trainmodule_baslifsup_nonteach_per_m</t>
  </si>
  <si>
    <t>resilince_num_trainmodule_baslifsup_nonteach_per_f</t>
  </si>
  <si>
    <t>resilince_num_trainmodule_staffsafe_sec_teach_per_m</t>
  </si>
  <si>
    <t>resilince_num_trainmodule_staffsafe_sec_teach_per_f</t>
  </si>
  <si>
    <t>resilince_num_trainmodule_staffsafe_sec_nonteach_per_m</t>
  </si>
  <si>
    <t>resilince_num_trainmodule_staffsafe_sec_nonteach_per_f</t>
  </si>
  <si>
    <t>resilince_num_trainmodule_others_teach_per_m</t>
  </si>
  <si>
    <t>resilince_num_trainmodule_others_teach_per_f</t>
  </si>
  <si>
    <t>resilince_num_trainmodule_others_nonteach_per_m</t>
  </si>
  <si>
    <t>resilince_num_trainmodule_others_nonteach_per_f</t>
  </si>
  <si>
    <t>resilince_num_trainmodule_others_specify</t>
  </si>
  <si>
    <t>Box31-Part3c'!$O$8</t>
  </si>
  <si>
    <t>Box31-Part3c'!$R$8</t>
  </si>
  <si>
    <t>Box31-Part3c'!$U$8</t>
  </si>
  <si>
    <t>Box31-Part3c'!$X$8</t>
  </si>
  <si>
    <t>Box31-Part3c'!$AA$8</t>
  </si>
  <si>
    <t>Box31-Part3c'!$AD$8</t>
  </si>
  <si>
    <t>Box31-Part3c'!$AG$8</t>
  </si>
  <si>
    <t>Box31-Part3c'!$AJ$8</t>
  </si>
  <si>
    <t>Box31-Part3c'!$O$9</t>
  </si>
  <si>
    <t>Box31-Part3c'!$R$9</t>
  </si>
  <si>
    <t>Box31-Part3c'!$U$9</t>
  </si>
  <si>
    <t>Box31-Part3c'!$X$9</t>
  </si>
  <si>
    <t>Box31-Part3c'!$AA$9</t>
  </si>
  <si>
    <t>Box31-Part3c'!$AD$9</t>
  </si>
  <si>
    <t>Box31-Part3c'!$AG$9</t>
  </si>
  <si>
    <t>Box31-Part3c'!$AJ$9</t>
  </si>
  <si>
    <t>Box31-Part3c'!$O$10</t>
  </si>
  <si>
    <t>Box31-Part3c'!$R$10</t>
  </si>
  <si>
    <t>Box31-Part3c'!$U$10</t>
  </si>
  <si>
    <t>Box31-Part3c'!$X$10</t>
  </si>
  <si>
    <t>Box31-Part3c'!$AA$10</t>
  </si>
  <si>
    <t>Box31-Part3c'!$AD$10</t>
  </si>
  <si>
    <t>Box31-Part3c'!$AG$10</t>
  </si>
  <si>
    <t>Box31-Part3c'!$AJ$10</t>
  </si>
  <si>
    <t>Box31-Part3c'!$O$11</t>
  </si>
  <si>
    <t>Box31-Part3c'!$R$11</t>
  </si>
  <si>
    <t>Box31-Part3c'!$U$11</t>
  </si>
  <si>
    <t>Box31-Part3c'!$X$11</t>
  </si>
  <si>
    <t>Box31-Part3c'!$AA$11</t>
  </si>
  <si>
    <t>Box31-Part3c'!$AD$11</t>
  </si>
  <si>
    <t>Box31-Part3c'!$AG$11</t>
  </si>
  <si>
    <t>Box31-Part3c'!$AJ$11</t>
  </si>
  <si>
    <t>Box31-Part3c'!$K$19</t>
  </si>
  <si>
    <t>Box31-Part3c'!$K$20</t>
  </si>
  <si>
    <t>Box31-Part3c'!$K$21</t>
  </si>
  <si>
    <t>Box31-Part3c'!$E$22</t>
  </si>
  <si>
    <t>Box31-Part3c'!$Y$29</t>
  </si>
  <si>
    <t>Box31-Part3c'!$AB$29</t>
  </si>
  <si>
    <t>Box31-Part3c'!$AE$29</t>
  </si>
  <si>
    <t>Box31-Part3c'!$AH$29</t>
  </si>
  <si>
    <t>Box31-Part3c'!$Y$30</t>
  </si>
  <si>
    <t>Box31-Part3c'!$AB$30</t>
  </si>
  <si>
    <t>Box31-Part3c'!$AE$30</t>
  </si>
  <si>
    <t>Box31-Part3c'!$AH$30</t>
  </si>
  <si>
    <t>Box31-Part3c'!$Y$31</t>
  </si>
  <si>
    <t>Box31-Part3c'!$AB$31</t>
  </si>
  <si>
    <t>Box31-Part3c'!$AE$31</t>
  </si>
  <si>
    <t>Box31-Part3c'!$AH$31</t>
  </si>
  <si>
    <t>Box31-Part3c'!$Y$32</t>
  </si>
  <si>
    <t>Box31-Part3c'!$AB$32</t>
  </si>
  <si>
    <t>Box31-Part3c'!$AE$32</t>
  </si>
  <si>
    <t>Box31-Part3c'!$AH$32</t>
  </si>
  <si>
    <t>Box31-Part3c'!$Y$33</t>
  </si>
  <si>
    <t>Box31-Part3c'!$AB$33</t>
  </si>
  <si>
    <t>Box31-Part3c'!$AE$33</t>
  </si>
  <si>
    <t>Box31-Part3c'!$AH$33</t>
  </si>
  <si>
    <t>Box31-Part3c'!$Y$34</t>
  </si>
  <si>
    <t>Box31-Part3c'!$AB$34</t>
  </si>
  <si>
    <t>Box31-Part3c'!$AE$34</t>
  </si>
  <si>
    <t>Box31-Part3c'!$AH$34</t>
  </si>
  <si>
    <t>Box31-Part3c'!$Y$35</t>
  </si>
  <si>
    <t>Box31-Part3c'!$AB$35</t>
  </si>
  <si>
    <t>Box31-Part3c'!$AE$35</t>
  </si>
  <si>
    <t>Box31-Part3c'!$AH$35</t>
  </si>
  <si>
    <t>Box31-Part3c'!$Y$36</t>
  </si>
  <si>
    <t>Box31-Part3c'!$AB$36</t>
  </si>
  <si>
    <t>Box31-Part3c'!$AE$36</t>
  </si>
  <si>
    <t>Box31-Part3c'!$AH$36</t>
  </si>
  <si>
    <t>Box31-Part3c'!$Y$37</t>
  </si>
  <si>
    <t>Box31-Part3c'!$AB$37</t>
  </si>
  <si>
    <t>Box31-Part3c'!$AE$37</t>
  </si>
  <si>
    <t>Box31-Part3c'!$AH$37</t>
  </si>
  <si>
    <t>Box31-Part3c'!$Y$38</t>
  </si>
  <si>
    <t>Box31-Part3c'!$AB$38</t>
  </si>
  <si>
    <t>Box31-Part3c'!$AE$38</t>
  </si>
  <si>
    <t>Box31-Part3c'!$AH$38</t>
  </si>
  <si>
    <t>Box31-Part3c'!$Y$39</t>
  </si>
  <si>
    <t>Box31-Part3c'!$AB$39</t>
  </si>
  <si>
    <t>Box31-Part3c'!$AE$39</t>
  </si>
  <si>
    <t>Box31-Part3c'!$AH$39</t>
  </si>
  <si>
    <t>Box31-Part3c'!$Y$40</t>
  </si>
  <si>
    <t>Box31-Part3c'!$AB$40</t>
  </si>
  <si>
    <t>Box31-Part3c'!$AE$40</t>
  </si>
  <si>
    <t>Box31-Part3c'!$AH$40</t>
  </si>
  <si>
    <t>Box31-Part3c'!$Y$41</t>
  </si>
  <si>
    <t>Box31-Part3c'!$AB$41</t>
  </si>
  <si>
    <t>Box31-Part3c'!$AE$41</t>
  </si>
  <si>
    <t>Box31-Part3c'!$AH$41</t>
  </si>
  <si>
    <t>Box31-Part3c'!$Y$42</t>
  </si>
  <si>
    <t>Box31-Part3c'!$AB$42</t>
  </si>
  <si>
    <t>Box31-Part3c'!$AE$42</t>
  </si>
  <si>
    <t>Box31-Part3c'!$AH$42</t>
  </si>
  <si>
    <t>Box31-Part3c'!$Y$43</t>
  </si>
  <si>
    <t>Box31-Part3c'!$AB$43</t>
  </si>
  <si>
    <t>Box31-Part3c'!$AE$43</t>
  </si>
  <si>
    <t>Box31-Part3c'!$AH$43</t>
  </si>
  <si>
    <t>Box31-Part3c'!$Y$44</t>
  </si>
  <si>
    <t>Box31-Part3c'!$AB$44</t>
  </si>
  <si>
    <t>Box31-Part3c'!$AE$44</t>
  </si>
  <si>
    <t>Box31-Part3c'!$AH$44</t>
  </si>
  <si>
    <t>Box31-Part3c'!$Y$45</t>
  </si>
  <si>
    <t>Box31-Part3c'!$AB$45</t>
  </si>
  <si>
    <t>Box31-Part3c'!$AE$45</t>
  </si>
  <si>
    <t>Box31-Part3c'!$AH$45</t>
  </si>
  <si>
    <t>Box31-Part3c'!$Y$46</t>
  </si>
  <si>
    <t>Box31-Part3c'!$AB$46</t>
  </si>
  <si>
    <t>Box31-Part3c'!$AE$46</t>
  </si>
  <si>
    <t>Box31-Part3c'!$AH$46</t>
  </si>
  <si>
    <t>Box31-Part3c'!$Y$47</t>
  </si>
  <si>
    <t>Box31-Part3c'!$AB$47</t>
  </si>
  <si>
    <t>Box31-Part3c'!$AE$47</t>
  </si>
  <si>
    <t>Box31-Part3c'!$AH$47</t>
  </si>
  <si>
    <t>Box31-Part3c'!$Y$48</t>
  </si>
  <si>
    <t>Box31-Part3c'!$AB$48</t>
  </si>
  <si>
    <t>Box31-Part3c'!$AE$48</t>
  </si>
  <si>
    <t>Box31-Part3c'!$AH$48</t>
  </si>
  <si>
    <t>Box31-Part3c'!$Y$49</t>
  </si>
  <si>
    <t>Box31-Part3c'!$AB$49</t>
  </si>
  <si>
    <t>Box31-Part3c'!$AE$49</t>
  </si>
  <si>
    <t>Box31-Part3c'!$AH$49</t>
  </si>
  <si>
    <t>Box31-Part3c'!$Y$50</t>
  </si>
  <si>
    <t>Box31-Part3c'!$AB$50</t>
  </si>
  <si>
    <t>Box31-Part3c'!$AE$50</t>
  </si>
  <si>
    <t>Box31-Part3c'!$AH$50</t>
  </si>
  <si>
    <t>Box31-Part3c'!$Y$51</t>
  </si>
  <si>
    <t>Box31-Part3c'!$AB$51</t>
  </si>
  <si>
    <t>Box31-Part3c'!$AE$51</t>
  </si>
  <si>
    <t>Box31-Part3c'!$AH$51</t>
  </si>
  <si>
    <t>Box31-Part3c'!$F$52</t>
  </si>
  <si>
    <t>resilince_num_compl_train_course_teach_m</t>
  </si>
  <si>
    <t>resilince_num_compl_train_course_teach_f</t>
  </si>
  <si>
    <t>resilince_num_compl_train_course_nonteach_m</t>
  </si>
  <si>
    <t>resilince_num_compl_train_course_nonteach_f</t>
  </si>
  <si>
    <t>resilince_num_trained_intg_teach_m</t>
  </si>
  <si>
    <t>resilince_num_trained_intg_teach_f</t>
  </si>
  <si>
    <t>resilince_dev_mphss_train_manual</t>
  </si>
  <si>
    <t>resilince_num_train_conduct_drrm_l</t>
  </si>
  <si>
    <t>resilince_num_train_conduct_drrm_per</t>
  </si>
  <si>
    <t>resilince_num_train_conduct_ccam_l</t>
  </si>
  <si>
    <t>resilince_num_train_conduct_ccam_per</t>
  </si>
  <si>
    <t>resilince_num_train_conduct_peace_l</t>
  </si>
  <si>
    <t>resilince_num_train_conduct_peace_per</t>
  </si>
  <si>
    <t>resilince_num_train_provide_mhpss_l_m</t>
  </si>
  <si>
    <t>resilince_num_train_provide_mhpss_l_f</t>
  </si>
  <si>
    <t>resilince_num_train_provide_mhpss_ip_m</t>
  </si>
  <si>
    <t>resilince_num_train_provide_mhpss_ip_f</t>
  </si>
  <si>
    <t>resilince_num_train_provide_mhpss_muslim_m</t>
  </si>
  <si>
    <t>resilince_num_train_provide_mhpss_muslim_f</t>
  </si>
  <si>
    <t>resilince_num_train_provide_mhpss_lwd_m</t>
  </si>
  <si>
    <t>resilince_num_train_provide_mhpss_lwd_f</t>
  </si>
  <si>
    <t>Box31-Part3d'!$D$10</t>
  </si>
  <si>
    <t>Box31-Part3d'!$G$10</t>
  </si>
  <si>
    <t>Box31-Part3d'!$J$10</t>
  </si>
  <si>
    <t>Box31-Part3d'!$M$10</t>
  </si>
  <si>
    <t>Box31-Part3d'!$X$10</t>
  </si>
  <si>
    <t>Box31-Part3d'!$AB$10</t>
  </si>
  <si>
    <t>Box31-Part3d'!$D$12</t>
  </si>
  <si>
    <t>Box31-Part3d'!$I$18</t>
  </si>
  <si>
    <t>Box31-Part3d'!$N$18</t>
  </si>
  <si>
    <t>Box31-Part3d'!$I$19</t>
  </si>
  <si>
    <t>Box31-Part3d'!$N$19</t>
  </si>
  <si>
    <t>Box31-Part3d'!$I$20</t>
  </si>
  <si>
    <t>Box31-Part3d'!$N$20</t>
  </si>
  <si>
    <t>Box31-Part3d'!$Y$20</t>
  </si>
  <si>
    <t>Box31-Part3d'!$AB$20</t>
  </si>
  <si>
    <t>Box31-Part3d'!$AE$20</t>
  </si>
  <si>
    <t>Box31-Part3d'!$AH$20</t>
  </si>
  <si>
    <t>Box31-Part3d'!$D$26</t>
  </si>
  <si>
    <t>Box31-Part3d'!$G$26</t>
  </si>
  <si>
    <t>Box31-Part3d'!$J$26</t>
  </si>
  <si>
    <t>Box31-Part3d'!$M$26</t>
  </si>
  <si>
    <t>Box31-Part3d'!$P$26</t>
  </si>
  <si>
    <t>Box31-Part3d'!$S$26</t>
  </si>
  <si>
    <t>Box31-Part3d'!$V$26</t>
  </si>
  <si>
    <t>Box31-Part3d'!$Y$26</t>
  </si>
  <si>
    <t>resilince_num_train_conduct_mhpss_psych_teach_m</t>
  </si>
  <si>
    <t>resilince_num_train_conduct_mhpss_psych_teach_f</t>
  </si>
  <si>
    <t>resilince_num_train_conduct_mhpss_psych_nonteach_m</t>
  </si>
  <si>
    <t>resilince_num_train_conduct_mhpss_psych_nonteach_f</t>
  </si>
  <si>
    <t>sch_cond_peaceandordertensions_past5yrs</t>
  </si>
  <si>
    <t>shs_iped_program</t>
  </si>
  <si>
    <t>sch_cond_cant_reach_regcars_regpuv</t>
  </si>
  <si>
    <t>sch_cond_occ_danger_geo_challenges</t>
  </si>
  <si>
    <t>num_teachers_reside_withinschmun_g11_m</t>
  </si>
  <si>
    <t>num_teachers_reside_withinschmun_g11_f</t>
  </si>
  <si>
    <t>num_teachers_reside_withinschmun_g12_m</t>
  </si>
  <si>
    <t>num_teachers_reside_withinschmun_g12_f</t>
  </si>
  <si>
    <t>num_teachers_reside_outsideschmun_g11_m</t>
  </si>
  <si>
    <t>num_teachers_reside_outsideschmun_g11_f</t>
  </si>
  <si>
    <t>num_teachers_reside_outsideschmun_g12_m</t>
  </si>
  <si>
    <t>num_teachers_reside_outsideschmun_g12_f</t>
  </si>
  <si>
    <t>sch_workexp_IPcomm_devtlessonplans_ifyes</t>
  </si>
  <si>
    <t>do_iped_focal_name</t>
  </si>
  <si>
    <t>do_iped_focal_pos_title</t>
  </si>
  <si>
    <t>Box32!$D$7</t>
  </si>
  <si>
    <t>Box32!$D$9</t>
  </si>
  <si>
    <t>Box32!$D$11</t>
  </si>
  <si>
    <t>Box32!$O$21</t>
  </si>
  <si>
    <t>Box32!$R$21</t>
  </si>
  <si>
    <t>Box32!$U$21</t>
  </si>
  <si>
    <t>Box32!$X$21</t>
  </si>
  <si>
    <t>Box32!$O$22</t>
  </si>
  <si>
    <t>Box32!$R$22</t>
  </si>
  <si>
    <t>Box32!$U$22</t>
  </si>
  <si>
    <t>Box32!$X$22</t>
  </si>
  <si>
    <t>Box32!$AJ$25</t>
  </si>
  <si>
    <t>sch_celeb_ipday_ifyes</t>
  </si>
  <si>
    <t>sch_workexp_ipcomm_devtlessonplans_ifyes</t>
  </si>
  <si>
    <t>sch_celeb_ipmonth_ifyes</t>
  </si>
  <si>
    <t>sch_head_ip_ifyes</t>
  </si>
  <si>
    <t>sch_head_ip_ifyes_ethnicity</t>
  </si>
  <si>
    <t>sch_head_attend_iped_ifyes</t>
  </si>
  <si>
    <t>sch_num_teach_ip_gr11_m</t>
  </si>
  <si>
    <t>sch_num_teach_ip_gr11_f</t>
  </si>
  <si>
    <t>sch_num_teach_ip_gr12_m</t>
  </si>
  <si>
    <t>sch_num_teach_ip_gr12_f</t>
  </si>
  <si>
    <t>sch_num_teach_orient_iped_m</t>
  </si>
  <si>
    <t>sch_num_teach_orient_iped_f</t>
  </si>
  <si>
    <t>sch_num_teach_train_iped_m</t>
  </si>
  <si>
    <t>sch_num_teach_train_iped_f</t>
  </si>
  <si>
    <t>sch_num_learn_vac_measle_gr11_m</t>
  </si>
  <si>
    <t>sch_num_learn_vac_measle_gr11_f</t>
  </si>
  <si>
    <t>sch_num_learn_vac_measle_gr12_m</t>
  </si>
  <si>
    <t>sch_num_learn_vac_measle_gr12_f</t>
  </si>
  <si>
    <t>sch_num_learn_vac_tet_dip_gr11_m</t>
  </si>
  <si>
    <t>sch_num_learn_vac_tet_dip_gr11_f</t>
  </si>
  <si>
    <t>sch_num_learn_vac_tet_dip_gr12_m</t>
  </si>
  <si>
    <t>sch_num_learn_vac_tet_dip_gr12_f</t>
  </si>
  <si>
    <t>sch_num_learn_vac_pap_vir_gr11_m</t>
  </si>
  <si>
    <t>sch_num_learn_vac_pap_vir_gr11_f</t>
  </si>
  <si>
    <t>sch_num_learn_vac_pap_vir_gr12_m</t>
  </si>
  <si>
    <t>sch_num_learn_vac_pap_vir_gr12_f</t>
  </si>
  <si>
    <t>Box32!$N$27</t>
  </si>
  <si>
    <t>Box32!$N$28</t>
  </si>
  <si>
    <t>Box32!$N$29</t>
  </si>
  <si>
    <t>Box32!$AA$29</t>
  </si>
  <si>
    <t>Box32!$V$30</t>
  </si>
  <si>
    <t>Box32!$E$35</t>
  </si>
  <si>
    <t>Box32!$H$35</t>
  </si>
  <si>
    <t>Box32!$K$35</t>
  </si>
  <si>
    <t>Box32!$N$35</t>
  </si>
  <si>
    <t>Box32!$E$38</t>
  </si>
  <si>
    <t>Box32!$K$38</t>
  </si>
  <si>
    <t>Box32!$E$41</t>
  </si>
  <si>
    <t>Box32!$K$41</t>
  </si>
  <si>
    <t>Box32!$M$46</t>
  </si>
  <si>
    <t>Box32!$O$46</t>
  </si>
  <si>
    <t>Box32!$Q$46</t>
  </si>
  <si>
    <t>Box32!$S$46</t>
  </si>
  <si>
    <t>Box32!$M$47</t>
  </si>
  <si>
    <t>Box32!$O$47</t>
  </si>
  <si>
    <t>Box32!$Q$47</t>
  </si>
  <si>
    <t>Box32!$S$47</t>
  </si>
  <si>
    <t>Box32!$M$48</t>
  </si>
  <si>
    <t>Box32!$O$48</t>
  </si>
  <si>
    <t>Box32!$Q$48</t>
  </si>
  <si>
    <t>Box32!$S$48</t>
  </si>
  <si>
    <t>sch_loc_ancest_dom_armed_conf</t>
  </si>
  <si>
    <t>Box32!$P$50</t>
  </si>
  <si>
    <t>Box32!$AB$60</t>
  </si>
  <si>
    <t>Box32!$AF$62</t>
  </si>
  <si>
    <t>shs_learner_tesda_qualification</t>
  </si>
  <si>
    <t>shs_disaster_risk</t>
  </si>
  <si>
    <t>shs_teachers_deped_tv</t>
  </si>
  <si>
    <t>Value should only be “True” or “False”.</t>
  </si>
  <si>
    <t>CATV</t>
  </si>
  <si>
    <t>DTT</t>
  </si>
  <si>
    <t>FM Radio Station</t>
  </si>
  <si>
    <t>2G</t>
  </si>
  <si>
    <t>3G</t>
  </si>
  <si>
    <t>TALK n TEXT</t>
  </si>
  <si>
    <t>LTE</t>
  </si>
  <si>
    <t>For both administrative &amp; classroom instruction use</t>
  </si>
  <si>
    <t>5G</t>
  </si>
  <si>
    <t>DITO</t>
  </si>
  <si>
    <t>RED MOBILE</t>
  </si>
  <si>
    <t>TOUCH MOBILE</t>
  </si>
  <si>
    <t>OTHERS</t>
  </si>
  <si>
    <t>Inkjet Printer</t>
  </si>
  <si>
    <t>UHF</t>
  </si>
  <si>
    <t>Laser Printer</t>
  </si>
  <si>
    <t>Ongoing</t>
  </si>
  <si>
    <t>VHF</t>
  </si>
  <si>
    <t>LED Printer</t>
  </si>
  <si>
    <t>Multifunction Printer</t>
  </si>
  <si>
    <t>Solid Ink Printer</t>
  </si>
  <si>
    <t>Photocopier</t>
  </si>
  <si>
    <t>sch_mh_suicide_learners_lastsy_dec</t>
  </si>
  <si>
    <t>sch_mh_suicide_learners_lastsy_jan</t>
  </si>
  <si>
    <t>sch_mh_suicide_learners_lastsy_feb</t>
  </si>
  <si>
    <t>sch_mh_suicide_learners_lastsy_mar</t>
  </si>
  <si>
    <t>sch_mh_suicide_learners_lastsy_apr</t>
  </si>
  <si>
    <t>sch_mh_suicide_learners_lastsy_may</t>
  </si>
  <si>
    <t>sch_mh_suicide_learners_lastsy_jun</t>
  </si>
  <si>
    <t>sch_mh_suicide_learners_aftersy_jul</t>
  </si>
  <si>
    <t>sch_mh_suicide_learners_aftersy_aug</t>
  </si>
  <si>
    <t>sch_mh_suicide_learners_duringsy_sep</t>
  </si>
  <si>
    <t>sch_mh_suicide_learners_duringsy_oct</t>
  </si>
  <si>
    <t>sch_mh_suicide_learners_duringsy_nov</t>
  </si>
  <si>
    <t>sch_mh_suicide_personnel_lastsy_dec</t>
  </si>
  <si>
    <t>sch_mh_suicide_personnel_lastsy_jan</t>
  </si>
  <si>
    <t>sch_mh_suicide_personnel_lastsy_feb</t>
  </si>
  <si>
    <t>sch_mh_suicide_personnel_lastsy_mar</t>
  </si>
  <si>
    <t>sch_mh_suicide_personnel_lastsy_apr</t>
  </si>
  <si>
    <t>sch_mh_suicide_personnel_lastsy_may</t>
  </si>
  <si>
    <t>sch_mh_suicide_personnel_lastsy_jun</t>
  </si>
  <si>
    <t>sch_mh_suicide_personnel_aftersy_jul</t>
  </si>
  <si>
    <t>sch_mh_suicide_personnel_aftersy_aug</t>
  </si>
  <si>
    <t>sch_mh_suicide_personnel_duringsy_sep</t>
  </si>
  <si>
    <t>sch_mh_suicide_personnel_duringsy_oct</t>
  </si>
  <si>
    <t>sch_mh_suicide_personnel_duringsy_nov</t>
  </si>
  <si>
    <t>sch_mh_atpsuicide_learners_lastsy_dec</t>
  </si>
  <si>
    <t>sch_mh_atpsuicide_learners_lastsy_jan</t>
  </si>
  <si>
    <t>sch_mh_atpsuicide_learners_lastsy_feb</t>
  </si>
  <si>
    <t>sch_mh_atpsuicide_learners_lastsy_mar</t>
  </si>
  <si>
    <t>sch_mh_atpsuicide_learners_lastsy_apr</t>
  </si>
  <si>
    <t>sch_mh_atpsuicide_learners_lastsy_may</t>
  </si>
  <si>
    <t>sch_mh_atpsuicide_learners_lastsy_jun</t>
  </si>
  <si>
    <t>sch_mh_atpsuicide_learners_aftersy_jul</t>
  </si>
  <si>
    <t>sch_mh_atpsuicide_learners_aftersy_aug</t>
  </si>
  <si>
    <t>sch_mh_atpsuicide_learners_duringsy_sep</t>
  </si>
  <si>
    <t>sch_mh_atpsuicide_learners_duringsy_oct</t>
  </si>
  <si>
    <t>sch_mh_atpsuicide_learners_duringsy_nov</t>
  </si>
  <si>
    <t>sch_mh_atpsuicide_personnel_lastsy_dec</t>
  </si>
  <si>
    <t>sch_mh_atpsuicide_personnel_lastsy_jan</t>
  </si>
  <si>
    <t>sch_mh_atpsuicide_personnel_lastsy_feb</t>
  </si>
  <si>
    <t>sch_mh_atpsuicide_personnel_lastsy_mar</t>
  </si>
  <si>
    <t>sch_mh_atpsuicide_personnel_lastsy_apr</t>
  </si>
  <si>
    <t>sch_mh_atpsuicide_personnel_lastsy_may</t>
  </si>
  <si>
    <t>sch_mh_atpsuicide_personnel_lastsy_jun</t>
  </si>
  <si>
    <t>sch_mh_atpsuicide_personnel_aftersy_jul</t>
  </si>
  <si>
    <t>sch_mh_atpsuicide_personnel_aftersy_aug</t>
  </si>
  <si>
    <t>sch_mh_atpsuicide_personnel_duringsy_sep</t>
  </si>
  <si>
    <t>sch_mh_atpsuicide_personnel_duringsy_oct</t>
  </si>
  <si>
    <t>sch_mh_atpsuicide_personnel_duringsy_nov</t>
  </si>
  <si>
    <t>drrm_cca_policies_DO24_s2021</t>
  </si>
  <si>
    <t>drrm_cca_policies_DO33_s2021</t>
  </si>
  <si>
    <t>drrm_cca_policies_DM084_s2019</t>
  </si>
  <si>
    <t>shs_disaster_preparednes</t>
  </si>
  <si>
    <t>template_version</t>
  </si>
  <si>
    <t>school_profiles</t>
  </si>
  <si>
    <t>sch_annex_extension_sch</t>
  </si>
  <si>
    <t>sch_mother_sch_id</t>
  </si>
  <si>
    <t>sch_heath_vacc_mcv_g11_m</t>
  </si>
  <si>
    <t>sch_heath_vacc_mcv_g11_f</t>
  </si>
  <si>
    <t>sch_heath_vacc_mcv_g12_m</t>
  </si>
  <si>
    <t>sch_heath_vacc_mcv_g12_f</t>
  </si>
  <si>
    <t>sch_heath_vacc_td_g11_m</t>
  </si>
  <si>
    <t>sch_heath_vacc_td_g11_f</t>
  </si>
  <si>
    <t>sch_heath_vacc_td_g12_m</t>
  </si>
  <si>
    <t>sch_heath_vacc_td_g12_f</t>
  </si>
  <si>
    <t>child_protect_DO44_s2005</t>
  </si>
  <si>
    <t>child_protect_DO57_s2017</t>
  </si>
  <si>
    <t>child_protect_DO40_s2012</t>
  </si>
  <si>
    <t>drrm_cca_policies_DO32_s2019</t>
  </si>
  <si>
    <t>drrm_cca_policies_DM221_s2013</t>
  </si>
  <si>
    <t>School ID is invalid.</t>
  </si>
  <si>
    <t>Victorias City</t>
  </si>
  <si>
    <t xml:space="preserve">Number of school personnel that participated in DRRM, CCAM, and Peacebuilding activities </t>
  </si>
  <si>
    <t>Note:  This table shall be filled out if the school subscribe to any internet service provider or if the answer is "YES" in Box 7 Item number 2.</t>
  </si>
  <si>
    <t>With signed MOA</t>
  </si>
  <si>
    <t>For MOA signing</t>
  </si>
  <si>
    <r>
      <t>Certificate of Ancestral Domain Titles (CADT)</t>
    </r>
    <r>
      <rPr>
        <sz val="11"/>
        <rFont val="Times New Roman"/>
        <family val="1"/>
      </rPr>
      <t xml:space="preserve"> - refers to a title formally recognizing the rights of possession and ownership of ICCs/IPs over their ancestral domains identified and delineated in accordance with RA No. 837 otherwise known as the Indigenous People’s Rights Act of 1973.</t>
    </r>
  </si>
  <si>
    <t xml:space="preserve">          Important:  Read the definitions/instructions found at the bottom of each table before filling out the form.  No item shall be left blank.  Instead, "zero ( 0 )" or "not applicable (n/a)" shall be written.  Shaded boxes shall not be filled.</t>
  </si>
  <si>
    <t>e.g. 1:20 AM = 1:20:00</t>
  </si>
  <si>
    <t xml:space="preserve">      1:20 PM = 13:20:00</t>
  </si>
  <si>
    <t>(HH:MM:SS 24 hrs. format)</t>
  </si>
  <si>
    <t>School has integrated DRRM, CCAM, and Peacebuilding into School Improvement Plan (SIP)</t>
  </si>
  <si>
    <t>SY 2022-2023</t>
  </si>
  <si>
    <t>GSHSPv2022.12.02</t>
  </si>
  <si>
    <t>Table 1. LEARNERS BY ARTS AND DESIGN TRACK AND STRAND,  SY 2022-2023 (As of October 31, 2022)</t>
  </si>
  <si>
    <t>Note: Arts and Design strands are not yet available in the LIS database, hence, its inclusion in the BEIS form for SY 2022-2023.</t>
  </si>
  <si>
    <t>SY 2022-2023 (As of October 31, 2022)</t>
  </si>
  <si>
    <t>Table 6. TEACHING RELATED AND NON-TEACHING PERSONNEL (Nationally-funded),  SY 2022-2023 (As of October 31, 2022)</t>
  </si>
  <si>
    <t>Table 7. TEACHING PERSONNEL (Nationally-funded),  SY 2022-2023 (As of October 31, 2022)</t>
  </si>
  <si>
    <t>Table 8. TEACHER EMPLOYMENT STATUS (Nationally-funded), SY 2022-2023 (As of October 31, 2022)</t>
  </si>
  <si>
    <t>Table 9. TEACHER ASSIGNMENTS (Nationally-funded teachers working in the school),  SY 2022-2023 (As of October 31, 2022)</t>
  </si>
  <si>
    <t>IN-SERVICE FROM JULY 2021 TO JUNE 2022</t>
  </si>
  <si>
    <t>(Nationally-funded teachers working in the school), SY 2022-2023 (As of October 31, 2022)</t>
  </si>
  <si>
    <t>TRACK BY GRADE LEVEL AND SEX, SY 2022-2023 (As of October 31, 2022)</t>
  </si>
  <si>
    <t>Table 15. NUMBER OF TEACHERS BY TEACHING ASSIGNMENT, BY GRADE LEVEL AND SEX (Nationally-funded teachers only),  SY 2022-2023 (As of October 31, 2022)</t>
  </si>
  <si>
    <t>(Nationally-funded teachers only), SY 2022-2023 (As of October 31, 2022)</t>
  </si>
  <si>
    <t>Table 18. NUMBER OF TEACHERS BY TEACHING ASSIGNMENT AND AREA OF SPECIALIZATION (Nationally-funded teachers only),  SY 2022-2023 (As of October 31, 2022)</t>
  </si>
  <si>
    <t>Table 19. NUMBER OF ENGLISH, FILIPINO, MATHEMATICS AND SCIENCE TEACHERS BY SPECIALIZATION (Nationally-funded teachers actually working in the school), SY 2022-2023 (As of October 31, 2022)</t>
  </si>
  <si>
    <t>Table 20a. NUMBER OF TEACHERS IN THE SCHOOL WITH TESDA NATIONAL QUALIFICATIONS (Nationally-funded teachers only), SY 2022-2023 (As of October 31, 2022)</t>
  </si>
  <si>
    <t>Table 20b. NUMBER OF TEACHERS IN THE SCHOOL WITH TESDA NATIONAL QUALIFICATIONS (Nationally-funded teachers only), SY 2022-2023 (As of October 31, 2022)</t>
  </si>
  <si>
    <t>Box 1. LEARNING ACTION CELL (LAC) SESSION, SY 2022-2023 (As of October 31, 2022)</t>
  </si>
  <si>
    <t>Box 2. ACTION RESEARCH, SY 2022-2023 (As of October 31, 2022)</t>
  </si>
  <si>
    <t>Box 3. SCHOOL GOVERNMENT PROGRAM (SGP), SY 2022-2023 (As of October 31, 2022)</t>
  </si>
  <si>
    <t>Box 4. SUPREME STUDENT GOVERNMENT (SSG) ACTIVITIES, SY 2022-2023 (As of October 31, 2022)</t>
  </si>
  <si>
    <t>Box 5. CAREER GUIDANCE PROGRAM, SY 2022-2023 (As of October 31, 2022)</t>
  </si>
  <si>
    <t>PREVIOUS SY 2021-2022</t>
  </si>
  <si>
    <t>Box 6. NATIONALLY-FUNDED TEACHERS WHO USED DEPED TV AS PART OF INSTRUCTIONAL STRATEGY IN DELIVERING DISTANCE LEARNING, SY 2022-2023 (As of October 31, 2022)</t>
  </si>
  <si>
    <t>Table 23. NUMBER OF FUNCTIONAL ICT EQUIPMENT BY FUNDING SOURCE, SY 2022-2023 (As of October 31, 2022)</t>
  </si>
  <si>
    <t>Box 7. INTERNET CONNECTIVITY, SY 2022-2023 (As of October 31, 2022)</t>
  </si>
  <si>
    <t>Table 24. AVERAGE MONTHLY EXPENSE (IN PESOS) OF INTERNET CONNECTION BY FUNDING SOURCE, SY 2022-2023 (As of October 31, 2022)</t>
  </si>
  <si>
    <t>Table 25. CELLULAR COMMUNICATION, SY 2022-2023 (As of October 31, 2022)</t>
  </si>
  <si>
    <t>Table 26. AVAILABILITY OF PRINTER / PHOTOCOPIER, SY 2022-2023 (As of October 31, 2022)</t>
  </si>
  <si>
    <t>Table 27. BROADCASTING STATION, SY 2022-2023 (As of October 31, 2022)</t>
  </si>
  <si>
    <t>Table 28. SCHOOL RADIO, SY 2022-2023 (As of October 31, 2022)</t>
  </si>
  <si>
    <t>FROM JANUARY 2021 TO DECEMBER 2021</t>
  </si>
  <si>
    <t>Box 8. AVAILABILITY OF ELECTRICAL SUPPLY, SY 2022-2023 (As of October 31, 2022)</t>
  </si>
  <si>
    <t>Box 9. SCHOOL SITE, SY 2022-2023 (As of October 31, 2022)</t>
  </si>
  <si>
    <t>Box 10. SCHOOL LOCATION, SY 2022-2023 (As of October 31, 2022)</t>
  </si>
  <si>
    <t>Table 31. NUMBER OF EXISTING WASH FACILITIES, SY 2022-2023 (As of December 31, 2022)</t>
  </si>
  <si>
    <t>Box 12. AVAILABILITY OF WATER SUPPLY, SY 2022-2023 (As of December 31, 2022)</t>
  </si>
  <si>
    <t>Box 11. SCHOOL CLINIC, SY 2022-2023 (As of December 31, 2022)</t>
  </si>
  <si>
    <t>Table 30. HEALTH AND NUTRITION, SY 2022-2023 (As of December 31, 2022)</t>
  </si>
  <si>
    <t>Table 32. ORAL HEALTH, PREVIOUS SY 2021-2022</t>
  </si>
  <si>
    <t>Table 33. MEDICAL AND NURSING SERVICES, PREVIOUS SY 2021-2022</t>
  </si>
  <si>
    <t>Table 34. MENTAL HEALTH, For the months of December 2021 to November 2022</t>
  </si>
  <si>
    <t>After SY 2021-2022</t>
  </si>
  <si>
    <t>During SY 2022-2023</t>
  </si>
  <si>
    <t>Number of Cases from December 2021 to November 2022</t>
  </si>
  <si>
    <t>Box 13. SCHOOL MENTAL HEALTH, PREVIOUS SY 2021-2022</t>
  </si>
  <si>
    <t>Did the school celebrate the National Mental Health Week in October 2021?</t>
  </si>
  <si>
    <t>Box 14. CANCER CASES, PREVIOUS SY 2021-2022</t>
  </si>
  <si>
    <t>Box 15. ADOLESCENT REPRODUCTIVE HEALTH, PREVIOUS SY 2021-2022</t>
  </si>
  <si>
    <t>Box 16. COMPREHENSIVE TOBACCO CONTROL, SY 2022-2023 (As of December 31, 2022)</t>
  </si>
  <si>
    <t>How many partnerships did the school have from January to December 2022?</t>
  </si>
  <si>
    <t>Box 17. NATIONAL PREVENTIVE DRUG EDUCATION, SY 2022-2023 (As of December 31, 2022)</t>
  </si>
  <si>
    <t>Box 18. OK sa DepEd PROGRAM, SY 2022-2023 (As of December 31, 2022)</t>
  </si>
  <si>
    <t>Box 19. FEEDING PROGRAM, SY 2022-2023 (As of December 31, 2022)</t>
  </si>
  <si>
    <t>Box 20. FOOD HANDLING, SY 2022-2023 (As of December 31, 2022)</t>
  </si>
  <si>
    <t>Box 21. SOLID WASTE MANAGEMENT, SY 2022-2023 (As of December 31, 2022)</t>
  </si>
  <si>
    <t>Box 22. OPERATION AND MAINTENANCE OF SANITATION FACILITIES, SY 2022-2023 (As of December 31, 2022)</t>
  </si>
  <si>
    <t>Box 23. MENSTRUAL HYGIENE, SY 2022-2023 (As of December 31, 2022)</t>
  </si>
  <si>
    <t>Box 24. CHILD PROTECTION, PREVIOUS SY 2021-2022</t>
  </si>
  <si>
    <t>Box 25. CHILD PROTECTION: VIOLENCE AGAINST CHILDREN, PREVIOUS SY 2021-2022</t>
  </si>
  <si>
    <t>Box 26. CHILD PROTECTION: BULLYING, PREVIOUS SY 2021-2022</t>
  </si>
  <si>
    <t>Box 27. SCHOOL SPORTS PROGRAM: AVAILABLE SPORTS EVENTS, CLUBS, AND FACILITIES, SY 2022-2023 (As of October 31, 2022)</t>
  </si>
  <si>
    <t>Table 35. SCHOOL SPORTS PROGRAM: SPORTS PERSONNEL (DepEd Funded), SY 2022-2023 (As of October 31, 2022)</t>
  </si>
  <si>
    <t>Table 36. DISASTERS, For the months of June 2021 to May 2022</t>
  </si>
  <si>
    <t>Table 37. DISASTERS/CALAMITIES, For the months of June 2021 to May 2022</t>
  </si>
  <si>
    <t>Table 38. RESULT OF DISASTER INCIDENCES, For the months of June 2021 to May 2022</t>
  </si>
  <si>
    <t>Box 28. ENABLING ENVIRONMENT, For the months of June 2021 to May 2022</t>
  </si>
  <si>
    <t>Box 29. PILLAR 1. SAFE LEARNING FACILITIES, For the months of June 2021 to May 2022</t>
  </si>
  <si>
    <t>Maintenance of School Facilities
in Year 2021</t>
  </si>
  <si>
    <t>Box 30. PILLAR 2. DISASTER RISK MANAGEMENT, For the months of June 2021 to May 2022</t>
  </si>
  <si>
    <r>
      <t xml:space="preserve">Number of conducted regular hazard-specific drills (at least 3 priority hazards based on risk assessment) with the participation of key stakeholders (e.g. BFP, Medic, LGUs, NGOs, community, PTA, alumni, and others) from </t>
    </r>
    <r>
      <rPr>
        <b/>
        <i/>
        <sz val="13"/>
        <rFont val="Times New Roman"/>
        <family val="1"/>
      </rPr>
      <t>January to December 2021</t>
    </r>
  </si>
  <si>
    <t>Box 31. PILLAR 3. RISK REDUCTION AND RESILIENCE EDUCATION, For the months of June 2021 to May 2022</t>
  </si>
  <si>
    <t>Box 32. INDIGENOUS PEOPLES EDUCATION (IPEd) PROGRAM, SY 2022-2023 (As of October 31, 2022)</t>
  </si>
  <si>
    <t>GOVERNMENT SENIOR HIGH SCHOOL (SHS) PROFILE, SY 2022-2023</t>
  </si>
  <si>
    <t>Table 2. NUMBER OF FUNCTIONAL ASSISTIVE TECHNOLOGY AND ADAPTIVE  DEVICES FOR LEARNERS WITH DISABILITIES,
SY 2022-2023 (As of October 31, 2022)</t>
  </si>
  <si>
    <t>Table 3b. GRADE 12 LEARNERS IN TECHNICAL-VOCATIONAL-LIVELIHOOD (TVL) TRACK SPECIALIZATIONS WHO TOOK AND PASSED THE NATIONAL CERTIFICATION, SY 2021-2022</t>
  </si>
  <si>
    <t>Table 4. LOCALLY-FUNDED TEACHERS WORKING IN THE SCHOOL BY FUNDING SOURCE, SY 2022-2023 (As of October 31, 2022)</t>
  </si>
  <si>
    <t>Table 5. LOCALLY-FUNDED TEACHERS WORKING IN THE SCHOOL WHO ARE QUALIFIED AND TRAINED, SY 2022-2023 (As of October 31, 2022)</t>
  </si>
  <si>
    <t>Table 6. TEACHING RELATED AND NON-TEACHING PERSONNEL (Nationally-funded), SY 2022-2023 (As of October 31, 2022)</t>
  </si>
  <si>
    <t>Table 7. TEACHING PERSONNEL (Nationally-funded), SY 2022-2023 (As of October 31, 2022)</t>
  </si>
  <si>
    <t>Table 9. TEACHER ASSIGNMENTS (Nationally-funded teachers working in the school), SY 2022-2023 (As of October 31, 2022)</t>
  </si>
  <si>
    <t>Table 10. TEACHERS WHO RECEIVED TRAINING WHILE IN-SERVICE FROM JULY 2021 TO JUNE 2022 (Nationally-funded teachers working in the school)</t>
  </si>
  <si>
    <t>Table 11. TEACHERS WHO RECEIVED TRAINING ON INFORMATION AND COMMUNICATIONS TECHNOLOGY (ICT), SY 2022-2023 (As of October 31, 2022)</t>
  </si>
  <si>
    <t>Table 12. TEACHERS WHO RECEIVED TRAINING ON PEDAGOGY (Nationally-funded teachers working in the school), SY 2022-2023 (As of October 31, 2022)</t>
  </si>
  <si>
    <t>Table 13. NUMBER OF TEACHERS BY GRADE LEVEL AND SEX (Nationally-funded teachers actually working in the school),
SY 2022-2023 (As of October 31, 2022)</t>
  </si>
  <si>
    <t>Table 14. NUMBER OF TEACHERS HANDLING TECHNICAL-VOCATIONAL-LIVELIHOOD TRACK BY GRADE LEVEL AND SEX,
SY 2022-2023 (As of October 31, 2022)</t>
  </si>
  <si>
    <t>Table 15. NUMBER OF TEACHERS BY TEACHING ASSIGNMENT, BY GRADE LEVEL AND SEX (Nationally-funded teachers only),
SY 2022-2023 (As of October 31, 2022)</t>
  </si>
  <si>
    <t>Table 17. NUMBER OF SCIENCE TEACHERS WITH SCIENCE EDUCATION MAJOR (Nationally-funded teachers only), SY 2022-2023 (As of October 31, 2022)</t>
  </si>
  <si>
    <t>Table 18. NUMBER OF TEACHERS BY TEACHING ASSIGNMENT AND AREA OF SPECIALIZATION (Nationally-funded teachers only),
SY 2022-2023 (As of October 31, 2022)</t>
  </si>
  <si>
    <t>Table 19. NUMBER OF ENGLISH, FILIPINO, MATHEMATICS AND SCIENCE TEACHERS BY SPECIALIZATION
(Nationally-funded teachers actually working in the school), SY 2022-2023 (As of October 31, 2022)</t>
  </si>
  <si>
    <t>Table 20a. NUMBER OF TEACHERS IN THE SCHOOL WITH TESDA NATIONAL QUALIFICATIONS (Nationally-funded teachers only),
SY 2022-2023 (As of October 31, 2022)</t>
  </si>
  <si>
    <t>Table 20b. NUMBER OF TEACHERS IN THE SCHOOL WITH TESDA NATIONAL QUALIFICATIONS (Nationally-funded teachers only),
SY 2022-2023 (As of October 31, 2022)</t>
  </si>
  <si>
    <t>Table 21. NUMBER OF OPEN EDUCATIONAL RESOURCES (OERs) USED AS DISTANCE LEARNING MODALITY DEVELOPED BY TEACHERS 
PREVIOUS SY 2021-2022</t>
  </si>
  <si>
    <t>Table 22. NUMBER OF FUNCTIONAL COMPUTERS BY FUNDING SOURCE, SY 2022-2023 (As of October 31, 2022)</t>
  </si>
  <si>
    <t>Table 24. AVERAGE MONTHLY EXPENSE (IN PESOS) OF INTERNET CONNECTION BY FUNDING SOURCE,
SY 2022-2023 (As of October 31, 2022)</t>
  </si>
  <si>
    <t>Table 29. MOOE ALLOCATION, UTILIZATION AND LIQUIDATION FROM JANUARY 2021 TO DECEMBER 2021</t>
  </si>
  <si>
    <t>Table 30. HEALTH AND NUTRITION, SY 2022-2023 (As of October 31, 2022)</t>
  </si>
  <si>
    <t>A. Number of learners who were vaccinated by the Department of Health among the learners this SY 2022-2023 (As of October 31, 2022) (based on LGU health records)</t>
  </si>
  <si>
    <t>D. Number of female learners who received Weekly Iron Folic Acid (WIFA) Supplementation for the previous SY 2021-2022</t>
  </si>
  <si>
    <t>Box 11. SCHOOL CLINIC, SY 2022-2023 (As of October 31, 2022)</t>
  </si>
  <si>
    <t>Box 12. AVAILABILITY OF WATER SUPPLY, SY 2022-2023 (As of October 31, 2022)</t>
  </si>
  <si>
    <t>Table 31. NUMBER OF EXISTING WASH FACILITIES, SY 2022-2023 (As of October 31, 2022)</t>
  </si>
  <si>
    <t>Box 13. MENTAL HEALTH, PREVIOUS SY 2021-2022</t>
  </si>
  <si>
    <t>Box 16. COMPREHENSIVE TOBACCO CONTROL, SY 2022-2023 (As of October 31, 2022)</t>
  </si>
  <si>
    <t>Box 17. NATIONAL PREVENTIVE DRUG EDUCATION, SY 2022-2023 (As of October 31, 2022)</t>
  </si>
  <si>
    <t>Box 18. OK sa DepED PROGRAM, SY 2022-2023 (As of October 31, 2022)</t>
  </si>
  <si>
    <t>Box 19. FEEDING PROGRAM, SY SY 2022-2023 (As of October 31, 2022)</t>
  </si>
  <si>
    <t>Box 20. FOOD HANDLING, SY 2022-2023 (As of October 31, 2022)</t>
  </si>
  <si>
    <t>Box 21. SOLID WASTE MANAGEMENT, SY 2022-2023 (As of October 31, 2022)</t>
  </si>
  <si>
    <t>Box 22. OPERATION AND MAINTENANCE OF SANITATION FACILITIES, SY 2022-2023 (As of October 31, 2022)</t>
  </si>
  <si>
    <t>Box 23. MENSTRUAL HYGIENE, SY 2022-2023 (As of October 31, 2022)</t>
  </si>
  <si>
    <t>Table 37. DISASTERS/CALAMITIES (Human-Induced Hazards - Armed Conflict and Grave Child Rights Violations), For the months of June 2021 to May 2022</t>
  </si>
  <si>
    <t>Box 28. Enabling Environment, For the months of June 2021 to May 2022</t>
  </si>
  <si>
    <t>Box 29. Pillar 1. Safe Learning Facilities, For the months of June 2021 to May 2022</t>
  </si>
  <si>
    <t>Box 30. Pillar 2. Disaster Risk Management, For the months of June 2021 to May 2022</t>
  </si>
  <si>
    <t>Box 31. Pillar 3. Risk Reduction and Resilience Education, For the months of June 2021 to May 2022</t>
  </si>
  <si>
    <t>San Pedro City</t>
  </si>
  <si>
    <t>Table 16. NUMBER OF TEACHERS BY HIGHEST EDUCATIONAL ATTAINMENT (Nationally-funded teachers only), SY 2022-2023 (As of October 31, 2021)</t>
  </si>
  <si>
    <t>Box 7. INTERNET CONNECTIVITY, SY 2022-2023 (As of October 31, 2021)</t>
  </si>
  <si>
    <t>Added reminders</t>
  </si>
  <si>
    <t>Revised row header, Added reminders</t>
  </si>
  <si>
    <t>Revised row header</t>
  </si>
  <si>
    <t>AND PASSED THE NATIONAL CERTIFICATION, SY 2021-2022</t>
  </si>
  <si>
    <t>Table3a!$V$8</t>
  </si>
  <si>
    <t>Table3a!$V$9</t>
  </si>
  <si>
    <t>Table3a!$V$10</t>
  </si>
  <si>
    <t>Table3a!$V$11</t>
  </si>
  <si>
    <t>Table3a!$V$12</t>
  </si>
  <si>
    <t>Table3a!$V$13</t>
  </si>
  <si>
    <t>Table3a!$V$14</t>
  </si>
  <si>
    <t>Table3a!$V$15</t>
  </si>
  <si>
    <t>Table3a!$V$16</t>
  </si>
  <si>
    <t>Table3a!$V$17</t>
  </si>
  <si>
    <t>Table3a!$V$18</t>
  </si>
  <si>
    <t>Table3a!$V$19</t>
  </si>
  <si>
    <t>Table3a!$V$20</t>
  </si>
  <si>
    <t>Table3a!$V$21</t>
  </si>
  <si>
    <t>Table3a!$V$22</t>
  </si>
  <si>
    <t>Table3a!$V$23</t>
  </si>
  <si>
    <t>Table3a!$V$24</t>
  </si>
  <si>
    <t>Table3a!$V$25</t>
  </si>
  <si>
    <t>Table3a!$V$26</t>
  </si>
  <si>
    <t>Table3a!$V$27</t>
  </si>
  <si>
    <t>Table3a!$V$28</t>
  </si>
  <si>
    <t>Table3a!$V$29</t>
  </si>
  <si>
    <t>Table3a!$V$30</t>
  </si>
  <si>
    <t>Table3a!$V$31</t>
  </si>
  <si>
    <t>Table3a!$V$32</t>
  </si>
  <si>
    <t>Table3a!$V$34</t>
  </si>
  <si>
    <t>Table3a!$V$35</t>
  </si>
  <si>
    <t>Table3a!$V$36</t>
  </si>
  <si>
    <t>Table3a!$V$37</t>
  </si>
  <si>
    <t>Table3a!$V$38</t>
  </si>
  <si>
    <t>Table3a!$V$39</t>
  </si>
  <si>
    <t>Table3a!$V$40</t>
  </si>
  <si>
    <t>Table3a!$V$41</t>
  </si>
  <si>
    <t>Table3a!$V$42</t>
  </si>
  <si>
    <t>Table3a!$V$43</t>
  </si>
  <si>
    <t>Table3a!$V$44</t>
  </si>
  <si>
    <t>Table3a!$V$45</t>
  </si>
  <si>
    <t>Table3a!$V$46</t>
  </si>
  <si>
    <t>Table3a!$V$47</t>
  </si>
  <si>
    <t>Table3a!$V$48</t>
  </si>
  <si>
    <t>Table3a!$V$49</t>
  </si>
  <si>
    <t>Table3a!$V$50</t>
  </si>
  <si>
    <t>Table3a!$V$51</t>
  </si>
  <si>
    <t>Table3a!$V$52</t>
  </si>
  <si>
    <t>Table3a!$V$53</t>
  </si>
  <si>
    <t>Table3a!$V$54</t>
  </si>
  <si>
    <t>Table3a!$V$55</t>
  </si>
  <si>
    <t>Table3a!$V$56</t>
  </si>
  <si>
    <t>Table3b!$V$8</t>
  </si>
  <si>
    <t>Table3b!$V$9</t>
  </si>
  <si>
    <t>Table3b!$V$10</t>
  </si>
  <si>
    <t>Table3b!$V$11</t>
  </si>
  <si>
    <t>Table3b!$V$12</t>
  </si>
  <si>
    <t>Table3b!$V$13</t>
  </si>
  <si>
    <t>Table3b!$V$14</t>
  </si>
  <si>
    <t>Table3b!$V$15</t>
  </si>
  <si>
    <t>Table3b!$V$16</t>
  </si>
  <si>
    <t>Table3b!$V$17</t>
  </si>
  <si>
    <t>Table3b!$V$18</t>
  </si>
  <si>
    <t>Table3b!$V$19</t>
  </si>
  <si>
    <t>Table3b!$V$20</t>
  </si>
  <si>
    <t>Table3b!$V$21</t>
  </si>
  <si>
    <t>Table3b!$V$22</t>
  </si>
  <si>
    <t>Table3b!$V$23</t>
  </si>
  <si>
    <t>Table3b!$V$24</t>
  </si>
  <si>
    <t>Table3b!$V$25</t>
  </si>
  <si>
    <t>Table3b!$V$26</t>
  </si>
  <si>
    <t>Table3b!$V$27</t>
  </si>
  <si>
    <t>Table3b!$V$28</t>
  </si>
  <si>
    <t>Table3b!$V$29</t>
  </si>
  <si>
    <t>Table3b!$V$30</t>
  </si>
  <si>
    <t>Table3b!$V$31</t>
  </si>
  <si>
    <t>Table3b!$V$32</t>
  </si>
  <si>
    <t>Table3b!$V$33</t>
  </si>
  <si>
    <t>Table3b!$V$35</t>
  </si>
  <si>
    <t>Table3b!$V$36</t>
  </si>
  <si>
    <t>Table3b!$V$37</t>
  </si>
  <si>
    <t>Table3b!$V$38</t>
  </si>
  <si>
    <t>Table3b!$V$39</t>
  </si>
  <si>
    <t>Table3b!$V$40</t>
  </si>
  <si>
    <t>Table3b!$V$41</t>
  </si>
  <si>
    <t>Table3b!$V$42</t>
  </si>
  <si>
    <t>Table3b!$V$43</t>
  </si>
  <si>
    <t>Table3b!$V$44</t>
  </si>
  <si>
    <t>Table3b!$V$45</t>
  </si>
  <si>
    <t>Table3b!$V$46</t>
  </si>
  <si>
    <t>Table3b!$V$48</t>
  </si>
  <si>
    <t>Table3b!$V$49</t>
  </si>
  <si>
    <t>Table3b!$V$50</t>
  </si>
  <si>
    <t>Table3b!$V$51</t>
  </si>
  <si>
    <t>Table3b!$V$52</t>
  </si>
  <si>
    <t>Table3b!$V$53</t>
  </si>
  <si>
    <t>Table3b!$V$54</t>
  </si>
  <si>
    <t>Table3b!$V$55</t>
  </si>
  <si>
    <t>Table3a!$Y$8</t>
  </si>
  <si>
    <t>Table3a!$Y$9</t>
  </si>
  <si>
    <t>Table3a!$Y$10</t>
  </si>
  <si>
    <t>Table3a!$Y$11</t>
  </si>
  <si>
    <t>Table3a!$Y$12</t>
  </si>
  <si>
    <t>Table3a!$Y$13</t>
  </si>
  <si>
    <t>Table3a!$Y$14</t>
  </si>
  <si>
    <t>Table3a!$Y$15</t>
  </si>
  <si>
    <t>Table3a!$Y$16</t>
  </si>
  <si>
    <t>Table3a!$Y$17</t>
  </si>
  <si>
    <t>Table3a!$Y$18</t>
  </si>
  <si>
    <t>Table3a!$Y$19</t>
  </si>
  <si>
    <t>Table3a!$Y$20</t>
  </si>
  <si>
    <t>Table3a!$Y$21</t>
  </si>
  <si>
    <t>Table3a!$Y$22</t>
  </si>
  <si>
    <t>Table3a!$Y$23</t>
  </si>
  <si>
    <t>Table3a!$Y$24</t>
  </si>
  <si>
    <t>Table3a!$Y$25</t>
  </si>
  <si>
    <t>Table3a!$Y$26</t>
  </si>
  <si>
    <t>Table3a!$Y$27</t>
  </si>
  <si>
    <t>Table3a!$Y$28</t>
  </si>
  <si>
    <t>Table3a!$Y$29</t>
  </si>
  <si>
    <t>Table3a!$Y$30</t>
  </si>
  <si>
    <t>Table3a!$Y$31</t>
  </si>
  <si>
    <t>Table3a!$Y$32</t>
  </si>
  <si>
    <t>Table3a!$Y$34</t>
  </si>
  <si>
    <t>Table3a!$Y$35</t>
  </si>
  <si>
    <t>Table3a!$Y$36</t>
  </si>
  <si>
    <t>Table3a!$Y$37</t>
  </si>
  <si>
    <t>Table3a!$Y$38</t>
  </si>
  <si>
    <t>Table3a!$Y$39</t>
  </si>
  <si>
    <t>Table3a!$Y$40</t>
  </si>
  <si>
    <t>Table3a!$Y$41</t>
  </si>
  <si>
    <t>Table3a!$Y$42</t>
  </si>
  <si>
    <t>Table3a!$Y$43</t>
  </si>
  <si>
    <t>Table3a!$Y$44</t>
  </si>
  <si>
    <t>Table3a!$Y$45</t>
  </si>
  <si>
    <t>Table3a!$Y$46</t>
  </si>
  <si>
    <t>Table3a!$Y$47</t>
  </si>
  <si>
    <t>Table3a!$Y$48</t>
  </si>
  <si>
    <t>Table3a!$Y$49</t>
  </si>
  <si>
    <t>Table3a!$Y$50</t>
  </si>
  <si>
    <t>Table3a!$Y$51</t>
  </si>
  <si>
    <t>Table3a!$Y$52</t>
  </si>
  <si>
    <t>Table3a!$Y$53</t>
  </si>
  <si>
    <t>Table3a!$Y$54</t>
  </si>
  <si>
    <t>Table3a!$Y$55</t>
  </si>
  <si>
    <t>Table3a!$Y$56</t>
  </si>
  <si>
    <t>Table3b!$Y$8</t>
  </si>
  <si>
    <t>Table3b!$Y$9</t>
  </si>
  <si>
    <t>Table3b!$Y$10</t>
  </si>
  <si>
    <t>Table3b!$Y$11</t>
  </si>
  <si>
    <t>Table3b!$Y$12</t>
  </si>
  <si>
    <t>Table3b!$Y$13</t>
  </si>
  <si>
    <t>Table3b!$Y$14</t>
  </si>
  <si>
    <t>Table3b!$Y$15</t>
  </si>
  <si>
    <t>Table3b!$Y$16</t>
  </si>
  <si>
    <t>Table3b!$Y$17</t>
  </si>
  <si>
    <t>Table3b!$Y$18</t>
  </si>
  <si>
    <t>Table3b!$Y$19</t>
  </si>
  <si>
    <t>Table3b!$Y$20</t>
  </si>
  <si>
    <t>Table3b!$Y$21</t>
  </si>
  <si>
    <t>Table3b!$Y$22</t>
  </si>
  <si>
    <t>Table3b!$Y$23</t>
  </si>
  <si>
    <t>Table3b!$Y$24</t>
  </si>
  <si>
    <t>Table3b!$Y$25</t>
  </si>
  <si>
    <t>Table3b!$Y$26</t>
  </si>
  <si>
    <t>Table3b!$Y$27</t>
  </si>
  <si>
    <t>Table3b!$Y$28</t>
  </si>
  <si>
    <t>Table3b!$Y$29</t>
  </si>
  <si>
    <t>Table3b!$Y$30</t>
  </si>
  <si>
    <t>Table3b!$Y$31</t>
  </si>
  <si>
    <t>Table3b!$Y$32</t>
  </si>
  <si>
    <t>Table3b!$Y$33</t>
  </si>
  <si>
    <t>Table3b!$Y$35</t>
  </si>
  <si>
    <t>Table3b!$Y$36</t>
  </si>
  <si>
    <t>Table3b!$Y$37</t>
  </si>
  <si>
    <t>Table3b!$Y$38</t>
  </si>
  <si>
    <t>Table3b!$Y$39</t>
  </si>
  <si>
    <t>Table3b!$Y$40</t>
  </si>
  <si>
    <t>Table3b!$Y$41</t>
  </si>
  <si>
    <t>Table3b!$Y$42</t>
  </si>
  <si>
    <t>Table3b!$Y$43</t>
  </si>
  <si>
    <t>Table3b!$Y$44</t>
  </si>
  <si>
    <t>Table3b!$Y$45</t>
  </si>
  <si>
    <t>Table3b!$Y$46</t>
  </si>
  <si>
    <t>Table3b!$Y$48</t>
  </si>
  <si>
    <t>Table3b!$Y$49</t>
  </si>
  <si>
    <t>Table3b!$Y$50</t>
  </si>
  <si>
    <t>Table3b!$Y$51</t>
  </si>
  <si>
    <t>Table3b!$Y$52</t>
  </si>
  <si>
    <t>Table3b!$Y$53</t>
  </si>
  <si>
    <t>Table3b!$Y$54</t>
  </si>
  <si>
    <t>Table3b!$Y$55</t>
  </si>
  <si>
    <t>Table3a!$AB$8</t>
  </si>
  <si>
    <t>Table3a!$AB$9</t>
  </si>
  <si>
    <t>Table3a!$AB$10</t>
  </si>
  <si>
    <t>Table3a!$AB$11</t>
  </si>
  <si>
    <t>Table3a!$AB$12</t>
  </si>
  <si>
    <t>Table3a!$AB$13</t>
  </si>
  <si>
    <t>Table3a!$AB$14</t>
  </si>
  <si>
    <t>Table3a!$AB$15</t>
  </si>
  <si>
    <t>Table3a!$AB$16</t>
  </si>
  <si>
    <t>Table3a!$AB$17</t>
  </si>
  <si>
    <t>Table3a!$AB$18</t>
  </si>
  <si>
    <t>Table3a!$AB$19</t>
  </si>
  <si>
    <t>Table3a!$AB$20</t>
  </si>
  <si>
    <t>Table3a!$AB$21</t>
  </si>
  <si>
    <t>Table3a!$AB$22</t>
  </si>
  <si>
    <t>Table3a!$AB$23</t>
  </si>
  <si>
    <t>Table3a!$AB$24</t>
  </si>
  <si>
    <t>Table3a!$AB$25</t>
  </si>
  <si>
    <t>Table3a!$AB$26</t>
  </si>
  <si>
    <t>Table3a!$AB$27</t>
  </si>
  <si>
    <t>Table3a!$AB$28</t>
  </si>
  <si>
    <t>Table3a!$AB$29</t>
  </si>
  <si>
    <t>Table3a!$AB$30</t>
  </si>
  <si>
    <t>Table3a!$AB$31</t>
  </si>
  <si>
    <t>Table3a!$AB$32</t>
  </si>
  <si>
    <t>Table3a!$AB$34</t>
  </si>
  <si>
    <t>Table3a!$AB$35</t>
  </si>
  <si>
    <t>Table3a!$AB$36</t>
  </si>
  <si>
    <t>Table3a!$AB$37</t>
  </si>
  <si>
    <t>Table3a!$AB$38</t>
  </si>
  <si>
    <t>Table3a!$AB$39</t>
  </si>
  <si>
    <t>Table3a!$AB$40</t>
  </si>
  <si>
    <t>Table3a!$AB$41</t>
  </si>
  <si>
    <t>Table3a!$AB$42</t>
  </si>
  <si>
    <t>Table3a!$AB$43</t>
  </si>
  <si>
    <t>Table3a!$AB$44</t>
  </si>
  <si>
    <t>Table3a!$AB$45</t>
  </si>
  <si>
    <t>Table3a!$AB$46</t>
  </si>
  <si>
    <t>Table3a!$AB$47</t>
  </si>
  <si>
    <t>Table3a!$AB$48</t>
  </si>
  <si>
    <t>Table3a!$AB$49</t>
  </si>
  <si>
    <t>Table3a!$AB$50</t>
  </si>
  <si>
    <t>Table3a!$AB$51</t>
  </si>
  <si>
    <t>Table3a!$AB$52</t>
  </si>
  <si>
    <t>Table3a!$AB$53</t>
  </si>
  <si>
    <t>Table3a!$AB$54</t>
  </si>
  <si>
    <t>Table3a!$AB$55</t>
  </si>
  <si>
    <t>Table3a!$AB$56</t>
  </si>
  <si>
    <t>Table3b!$AB$8</t>
  </si>
  <si>
    <t>Table3b!$AB$9</t>
  </si>
  <si>
    <t>Table3b!$AB$10</t>
  </si>
  <si>
    <t>Table3b!$AB$11</t>
  </si>
  <si>
    <t>Table3b!$AB$12</t>
  </si>
  <si>
    <t>Table3b!$AB$13</t>
  </si>
  <si>
    <t>Table3b!$AB$14</t>
  </si>
  <si>
    <t>Table3b!$AB$15</t>
  </si>
  <si>
    <t>Table3b!$AB$16</t>
  </si>
  <si>
    <t>Table3b!$AB$17</t>
  </si>
  <si>
    <t>Table3b!$AB$18</t>
  </si>
  <si>
    <t>Table3b!$AB$19</t>
  </si>
  <si>
    <t>Table3b!$AB$20</t>
  </si>
  <si>
    <t>Table3b!$AB$21</t>
  </si>
  <si>
    <t>Table3b!$AB$22</t>
  </si>
  <si>
    <t>Table3b!$AB$23</t>
  </si>
  <si>
    <t>Table3b!$AB$24</t>
  </si>
  <si>
    <t>Table3b!$AB$25</t>
  </si>
  <si>
    <t>Table3b!$AB$26</t>
  </si>
  <si>
    <t>Table3b!$AB$27</t>
  </si>
  <si>
    <t>Table3b!$AB$28</t>
  </si>
  <si>
    <t>Table3b!$AB$29</t>
  </si>
  <si>
    <t>Table3b!$AB$30</t>
  </si>
  <si>
    <t>Table3b!$AB$31</t>
  </si>
  <si>
    <t>Table3b!$AB$32</t>
  </si>
  <si>
    <t>Table3b!$AB$33</t>
  </si>
  <si>
    <t>Table3b!$AB$35</t>
  </si>
  <si>
    <t>Table3b!$AB$36</t>
  </si>
  <si>
    <t>Table3b!$AB$37</t>
  </si>
  <si>
    <t>Table3b!$AB$38</t>
  </si>
  <si>
    <t>Table3b!$AB$39</t>
  </si>
  <si>
    <t>Table3b!$AB$40</t>
  </si>
  <si>
    <t>Table3b!$AB$41</t>
  </si>
  <si>
    <t>Table3b!$AB$42</t>
  </si>
  <si>
    <t>Table3b!$AB$43</t>
  </si>
  <si>
    <t>Table3b!$AB$44</t>
  </si>
  <si>
    <t>Table3b!$AB$45</t>
  </si>
  <si>
    <t>Table3b!$AB$46</t>
  </si>
  <si>
    <t>Table3b!$AB$48</t>
  </si>
  <si>
    <t>Table3b!$AB$49</t>
  </si>
  <si>
    <t>Table3b!$AB$50</t>
  </si>
  <si>
    <t>Table3b!$AB$51</t>
  </si>
  <si>
    <t>Table3b!$AB$52</t>
  </si>
  <si>
    <t>Table3b!$AB$53</t>
  </si>
  <si>
    <t>Table3b!$AB$54</t>
  </si>
  <si>
    <t>Table3b!$AB$55</t>
  </si>
  <si>
    <t>Table3a!$AE$8</t>
  </si>
  <si>
    <t>Table3a!$AE$9</t>
  </si>
  <si>
    <t>Table3a!$AE$10</t>
  </si>
  <si>
    <t>Table3a!$AE$11</t>
  </si>
  <si>
    <t>Table3a!$AE$12</t>
  </si>
  <si>
    <t>Table3a!$AE$13</t>
  </si>
  <si>
    <t>Table3a!$AE$14</t>
  </si>
  <si>
    <t>Table3a!$AE$15</t>
  </si>
  <si>
    <t>Table3a!$AE$16</t>
  </si>
  <si>
    <t>Table3a!$AE$17</t>
  </si>
  <si>
    <t>Table3a!$AE$18</t>
  </si>
  <si>
    <t>Table3a!$AE$19</t>
  </si>
  <si>
    <t>Table3a!$AE$20</t>
  </si>
  <si>
    <t>Table3a!$AE$21</t>
  </si>
  <si>
    <t>Table3a!$AE$22</t>
  </si>
  <si>
    <t>Table3a!$AE$23</t>
  </si>
  <si>
    <t>Table3a!$AE$24</t>
  </si>
  <si>
    <t>Table3a!$AE$25</t>
  </si>
  <si>
    <t>Table3a!$AE$26</t>
  </si>
  <si>
    <t>Table3a!$AE$27</t>
  </si>
  <si>
    <t>Table3a!$AE$28</t>
  </si>
  <si>
    <t>Table3a!$AE$29</t>
  </si>
  <si>
    <t>Table3a!$AE$30</t>
  </si>
  <si>
    <t>Table3a!$AE$31</t>
  </si>
  <si>
    <t>Table3a!$AE$32</t>
  </si>
  <si>
    <t>Table3a!$AE$34</t>
  </si>
  <si>
    <t>Table3a!$AE$35</t>
  </si>
  <si>
    <t>Table3a!$AE$36</t>
  </si>
  <si>
    <t>Table3a!$AE$37</t>
  </si>
  <si>
    <t>Table3a!$AE$38</t>
  </si>
  <si>
    <t>Table3a!$AE$39</t>
  </si>
  <si>
    <t>Table3a!$AE$40</t>
  </si>
  <si>
    <t>Table3a!$AE$41</t>
  </si>
  <si>
    <t>Table3a!$AE$42</t>
  </si>
  <si>
    <t>Table3a!$AE$43</t>
  </si>
  <si>
    <t>Table3a!$AE$44</t>
  </si>
  <si>
    <t>Table3a!$AE$45</t>
  </si>
  <si>
    <t>Table3a!$AE$46</t>
  </si>
  <si>
    <t>Table3a!$AE$47</t>
  </si>
  <si>
    <t>Table3a!$AE$48</t>
  </si>
  <si>
    <t>Table3a!$AE$49</t>
  </si>
  <si>
    <t>Table3a!$AE$50</t>
  </si>
  <si>
    <t>Table3a!$AE$51</t>
  </si>
  <si>
    <t>Table3a!$AE$52</t>
  </si>
  <si>
    <t>Table3a!$AE$53</t>
  </si>
  <si>
    <t>Table3a!$AE$54</t>
  </si>
  <si>
    <t>Table3a!$AE$55</t>
  </si>
  <si>
    <t>Table3a!$AE$56</t>
  </si>
  <si>
    <t>Table3b!$AE$8</t>
  </si>
  <si>
    <t>Table3b!$AE$9</t>
  </si>
  <si>
    <t>Table3b!$AE$10</t>
  </si>
  <si>
    <t>Table3b!$AE$11</t>
  </si>
  <si>
    <t>Table3b!$AE$12</t>
  </si>
  <si>
    <t>Table3b!$AE$13</t>
  </si>
  <si>
    <t>Table3b!$AE$14</t>
  </si>
  <si>
    <t>Table3b!$AE$15</t>
  </si>
  <si>
    <t>Table3b!$AE$16</t>
  </si>
  <si>
    <t>Table3b!$AE$17</t>
  </si>
  <si>
    <t>Table3b!$AE$18</t>
  </si>
  <si>
    <t>Table3b!$AE$19</t>
  </si>
  <si>
    <t>Table3b!$AE$20</t>
  </si>
  <si>
    <t>Table3b!$AE$21</t>
  </si>
  <si>
    <t>Table3b!$AE$22</t>
  </si>
  <si>
    <t>Table3b!$AE$23</t>
  </si>
  <si>
    <t>Table3b!$AE$24</t>
  </si>
  <si>
    <t>Table3b!$AE$25</t>
  </si>
  <si>
    <t>Table3b!$AE$26</t>
  </si>
  <si>
    <t>Table3b!$AE$27</t>
  </si>
  <si>
    <t>Table3b!$AE$28</t>
  </si>
  <si>
    <t>Table3b!$AE$29</t>
  </si>
  <si>
    <t>Table3b!$AE$30</t>
  </si>
  <si>
    <t>Table3b!$AE$31</t>
  </si>
  <si>
    <t>Table3b!$AE$32</t>
  </si>
  <si>
    <t>Table3b!$AE$33</t>
  </si>
  <si>
    <t>Table3b!$AE$35</t>
  </si>
  <si>
    <t>Table3b!$AE$36</t>
  </si>
  <si>
    <t>Table3b!$AE$37</t>
  </si>
  <si>
    <t>Table3b!$AE$38</t>
  </si>
  <si>
    <t>Table3b!$AE$39</t>
  </si>
  <si>
    <t>Table3b!$AE$40</t>
  </si>
  <si>
    <t>Table3b!$AE$41</t>
  </si>
  <si>
    <t>Table3b!$AE$42</t>
  </si>
  <si>
    <t>Table3b!$AE$43</t>
  </si>
  <si>
    <t>Table3b!$AE$44</t>
  </si>
  <si>
    <t>Table3b!$AE$45</t>
  </si>
  <si>
    <t>Table3b!$AE$46</t>
  </si>
  <si>
    <t>Table3b!$AE$48</t>
  </si>
  <si>
    <t>Table3b!$AE$49</t>
  </si>
  <si>
    <t>Table3b!$AE$50</t>
  </si>
  <si>
    <t>Table3b!$AE$51</t>
  </si>
  <si>
    <t>Table3b!$AE$52</t>
  </si>
  <si>
    <t>Table3b!$AE$53</t>
  </si>
  <si>
    <t>Table3b!$AE$54</t>
  </si>
  <si>
    <t>Table3b!$AE$55</t>
  </si>
  <si>
    <r>
      <t xml:space="preserve">** Number of teachers that can be </t>
    </r>
    <r>
      <rPr>
        <b/>
        <i/>
        <u/>
        <sz val="12"/>
        <rFont val="Times New Roman"/>
        <family val="1"/>
      </rPr>
      <t>counted more than once</t>
    </r>
  </si>
  <si>
    <t>If a teacher is teaching more than one grade level, he/she can be counted in all the grade level he/she is handling. In the case of a teacher handling one grade level only, he/she shall also be counted in the grade level that he/she is handling in table "Counted more than once".</t>
  </si>
  <si>
    <t>Number of Teachers Counted more than once shall be greater than or equal to the Number of Teachers "Counted only once".</t>
  </si>
  <si>
    <t>No. of teachers handling class size of less than 40 or equal to 40 (≤40)</t>
  </si>
  <si>
    <t>No. of teachers handling class size of greater than 40 (&gt;40)</t>
  </si>
  <si>
    <r>
      <t xml:space="preserve">2a. For with "Major/Minor", a teacher shall only be counted in his/her highest educational attainment.
2b. For a teacher who is handling both class size of </t>
    </r>
    <r>
      <rPr>
        <b/>
        <sz val="12"/>
        <rFont val="Times New Roman"/>
        <family val="1"/>
      </rPr>
      <t>≤</t>
    </r>
    <r>
      <rPr>
        <b/>
        <i/>
        <sz val="12"/>
        <rFont val="Times New Roman"/>
        <family val="1"/>
      </rPr>
      <t>40 and class size of &gt;40, he/she shall be counted in the "Number of teachers handling class size of &gt;40.</t>
    </r>
  </si>
  <si>
    <t>Conducted last SY 2021-2022</t>
  </si>
  <si>
    <t>Planned to be conducted this SY 2022-2023</t>
  </si>
  <si>
    <t>Completed last SY 2021-2022</t>
  </si>
  <si>
    <t>Number of female learners given WIFA Supplements from
July to September 2021</t>
  </si>
  <si>
    <t>Number of female learners given WIFA Supplements from
January to March 2022</t>
  </si>
  <si>
    <t>Aug</t>
  </si>
  <si>
    <t>sch_mh_suicide_learners_aftersy_jun</t>
  </si>
  <si>
    <t>sch_mh_suicide_learners_duringsy_aug</t>
  </si>
  <si>
    <t>sch_mh_atpsuicide_learners_aftersy_jun</t>
  </si>
  <si>
    <t>sch_mh_atpsuicide_learners_duringsy_aug</t>
  </si>
  <si>
    <t>sch_mh_suicide_personnel_aftersy_jun</t>
  </si>
  <si>
    <t>sch_mh_atpsuicide_personnel_aftersy_jun</t>
  </si>
  <si>
    <t>sch_mh_suicide_personnel_duringsy_aug</t>
  </si>
  <si>
    <t>sch_mh_atpsuicide_personnel_duringsy_aug</t>
  </si>
  <si>
    <t>(3 kHz to 300 GHz)</t>
  </si>
  <si>
    <t>ALORAN TRADE HIGH SCHOOL</t>
  </si>
  <si>
    <t>ALORAN NATIONAL HIGH SCHOOL</t>
  </si>
  <si>
    <t>LABO</t>
  </si>
  <si>
    <t>ALORAN</t>
  </si>
  <si>
    <t>MISAMIS OCCIDENTAL</t>
  </si>
  <si>
    <t>N/A</t>
  </si>
  <si>
    <t>SCHOOLS DIVISION SUPERINTENDENT</t>
  </si>
  <si>
    <t>EDUCATION PROGRAM SUPERVISOR</t>
  </si>
  <si>
    <t>ADMINISTRATIVE OFFICER IV</t>
  </si>
  <si>
    <t>NON-TEACHING</t>
  </si>
  <si>
    <t>PROJECT DEVELOPMENT OFFICER I</t>
  </si>
  <si>
    <t>Patnership in Municipal Anti-Drug Program</t>
  </si>
  <si>
    <t>Altrade High</t>
  </si>
  <si>
    <t>As need arises</t>
  </si>
  <si>
    <t>Brother -DCP-1720DW</t>
  </si>
  <si>
    <t>EPSON L3110</t>
  </si>
  <si>
    <t>EPSON L6170</t>
  </si>
  <si>
    <t>ENGINEER III</t>
  </si>
  <si>
    <t>ACCOUNTANT III</t>
  </si>
  <si>
    <t>NURSE II</t>
  </si>
  <si>
    <t>PROJECT DEVELOPMENT OFFICER II</t>
  </si>
  <si>
    <t>RONE RAY M. PORTACION / March 17, 2023</t>
  </si>
  <si>
    <t>MICHAEL T. JAMIS / March 17, 2023</t>
  </si>
  <si>
    <t>MELCHESIEDICK Q. BOLANIO / March 17, 2023</t>
  </si>
  <si>
    <t>EDWIN R. MARIBOJOC / March 17, 2023</t>
  </si>
  <si>
    <t>ELMA CEZARIE Y. ROMERO / March 17, 2023</t>
  </si>
  <si>
    <t>MARIANNE APRIL A. BUTA / March 17, 2023</t>
  </si>
  <si>
    <t>ANNE VALERIE KERSTEINE I. VILLANUEVA / March 17, 2023</t>
  </si>
  <si>
    <t>ROBERTO L. TORRES / March 17, 2023</t>
  </si>
  <si>
    <t>BRYAN REY P. JAMIS / March 17. 2023</t>
  </si>
  <si>
    <t>RACQUEL N. ACOMPANADO / March 17, 2023</t>
  </si>
  <si>
    <t>PARA D. TALIP / March 17, 2023</t>
  </si>
  <si>
    <t>ELYN KENDRA D. DELA CRUZ / March 17, 2023</t>
  </si>
  <si>
    <t>SECONDARY SCHOOL PRINCIPAL IV</t>
  </si>
  <si>
    <t>Not Applicable</t>
  </si>
  <si>
    <t>Purok 1</t>
  </si>
  <si>
    <t>088-545-0181</t>
  </si>
  <si>
    <t>304024@deped.gov.ph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</si>
</sst>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_-* #,##0_-;\-* #,##0_-;_-* &quot;-&quot;_-;_-@_-"/>
    <numFmt numFmtId="165" formatCode="_-* #,##0.00_-;\-* #,##0.00_-;_-* &quot;-&quot;??_-;_-@_-"/>
    <numFmt numFmtId="166" formatCode="_-&quot;$&quot;* #,##0.00_-;\-&quot;$&quot;* #,##0.00_-;_-&quot;$&quot;* &quot;-&quot;??_-;_-@_-"/>
    <numFmt numFmtId="167" formatCode="_(&quot;Php&quot;* #,##0.00_);_(&quot;Php&quot;* \(#,##0.00\);_(&quot;Php&quot;* &quot;-&quot;??_);_(@_)"/>
    <numFmt numFmtId="168" formatCode="0.00_)"/>
    <numFmt numFmtId="169" formatCode="_(* #,##0_);_(* \(#,##0\);_(* &quot;-&quot;??_);_(@_)"/>
    <numFmt numFmtId="170" formatCode="_-&quot;$&quot;* #,##0_-;\-&quot;$&quot;* #,##0_-;_-&quot;$&quot;* &quot;-&quot;_-;_-@_-"/>
    <numFmt numFmtId="171" formatCode="h:mm:ss;@"/>
    <numFmt numFmtId="172" formatCode="yyyy\-mm\-dd;@"/>
  </numFmts>
  <fonts count="94">
    <font>
      <sz val="12"/>
      <name val="Times New Roman"/>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Arial"/>
      <family val="2"/>
    </font>
    <font>
      <sz val="11"/>
      <name val="Times New Roman"/>
      <family val="1"/>
    </font>
    <font>
      <b/>
      <i/>
      <sz val="9"/>
      <name val="Times New Roman"/>
      <family val="1"/>
    </font>
    <font>
      <sz val="10"/>
      <name val="Times New Roman"/>
      <family val="1"/>
    </font>
    <font>
      <b/>
      <sz val="12"/>
      <name val="Times New Roman"/>
      <family val="1"/>
    </font>
    <font>
      <b/>
      <sz val="13"/>
      <name val="Times New Roman"/>
      <family val="1"/>
    </font>
    <font>
      <b/>
      <i/>
      <sz val="13"/>
      <name val="Times New Roman"/>
      <family val="1"/>
    </font>
    <font>
      <b/>
      <sz val="16"/>
      <name val="Wingdings"/>
      <charset val="2"/>
    </font>
    <font>
      <sz val="13"/>
      <name val="Times New Roman"/>
      <family val="1"/>
    </font>
    <font>
      <b/>
      <i/>
      <sz val="12"/>
      <name val="Times New Roman"/>
      <family val="1"/>
    </font>
    <font>
      <b/>
      <i/>
      <sz val="11"/>
      <name val="Times New Roman"/>
      <family val="1"/>
    </font>
    <font>
      <b/>
      <i/>
      <sz val="10"/>
      <name val="Times New Roman"/>
      <family val="1"/>
    </font>
    <font>
      <i/>
      <sz val="11"/>
      <name val="Times New Roman"/>
      <family val="1"/>
    </font>
    <font>
      <sz val="16"/>
      <name val="Times New Roman"/>
      <family val="1"/>
    </font>
    <font>
      <b/>
      <sz val="11"/>
      <name val="Times New Roman"/>
      <family val="1"/>
    </font>
    <font>
      <sz val="14"/>
      <name val="Wingdings"/>
      <charset val="2"/>
    </font>
    <font>
      <sz val="16"/>
      <name val="Wingdings"/>
      <charset val="2"/>
    </font>
    <font>
      <sz val="12"/>
      <name val="Wingdings"/>
      <charset val="2"/>
    </font>
    <font>
      <sz val="11"/>
      <name val="Calibri"/>
      <family val="2"/>
      <scheme val="minor"/>
    </font>
    <font>
      <i/>
      <sz val="12"/>
      <name val="Times New Roman"/>
      <family val="1"/>
    </font>
    <font>
      <sz val="20"/>
      <name val="Wingdings"/>
      <charset val="2"/>
    </font>
    <font>
      <sz val="12"/>
      <name val="Calibri"/>
      <family val="2"/>
      <scheme val="minor"/>
    </font>
    <font>
      <b/>
      <sz val="16"/>
      <name val="Times New Roman"/>
      <family val="1"/>
    </font>
    <font>
      <sz val="12"/>
      <name val="Times New Roman"/>
      <family val="1"/>
    </font>
    <font>
      <b/>
      <sz val="20"/>
      <name val="Wingdings"/>
      <charset val="2"/>
    </font>
    <font>
      <b/>
      <sz val="20"/>
      <name val="Times New Roman"/>
      <family val="1"/>
    </font>
    <font>
      <sz val="16"/>
      <name val="Arial"/>
      <family val="2"/>
    </font>
    <font>
      <b/>
      <sz val="10"/>
      <name val="Times New Roman"/>
      <family val="1"/>
    </font>
    <font>
      <sz val="9"/>
      <name val="Times New Roman"/>
      <family val="1"/>
    </font>
    <font>
      <b/>
      <i/>
      <sz val="14"/>
      <name val="Times New Roman"/>
      <family val="1"/>
    </font>
    <font>
      <sz val="11"/>
      <name val="Wingdings"/>
      <charset val="2"/>
    </font>
    <font>
      <sz val="8"/>
      <name val="Times New Roman"/>
      <family val="1"/>
    </font>
    <font>
      <b/>
      <sz val="8"/>
      <name val="Times New Roman"/>
      <family val="1"/>
    </font>
    <font>
      <b/>
      <sz val="9"/>
      <name val="Times New Roman"/>
      <family val="1"/>
    </font>
    <font>
      <i/>
      <sz val="14"/>
      <name val="Times New Roman"/>
      <family val="1"/>
    </font>
    <font>
      <sz val="18"/>
      <name val="Times New Roman"/>
      <family val="1"/>
    </font>
    <font>
      <b/>
      <i/>
      <sz val="26"/>
      <name val="Times New Roman"/>
      <family val="1"/>
    </font>
    <font>
      <b/>
      <i/>
      <sz val="20"/>
      <name val="Times New Roman"/>
      <family val="1"/>
    </font>
    <font>
      <b/>
      <u/>
      <sz val="12"/>
      <name val="Times New Roman"/>
      <family val="1"/>
    </font>
    <font>
      <i/>
      <sz val="9"/>
      <name val="Times New Roman"/>
      <family val="1"/>
    </font>
    <font>
      <sz val="8"/>
      <name val="Arial"/>
      <family val="2"/>
    </font>
    <font>
      <sz val="11"/>
      <color theme="1"/>
      <name val="Calibri"/>
      <family val="2"/>
      <scheme val="minor"/>
    </font>
    <font>
      <sz val="10"/>
      <name val="Arial"/>
      <family val="2"/>
    </font>
    <font>
      <b/>
      <i/>
      <sz val="16"/>
      <name val="Helv"/>
      <charset val="134"/>
    </font>
    <font>
      <sz val="10"/>
      <color rgb="FF000000"/>
      <name val="Calibri"/>
      <family val="2"/>
    </font>
    <font>
      <b/>
      <i/>
      <u/>
      <sz val="12"/>
      <name val="Times New Roman"/>
      <family val="1"/>
    </font>
    <font>
      <b/>
      <u/>
      <sz val="10"/>
      <name val="Times New Roman"/>
      <family val="1"/>
    </font>
    <font>
      <b/>
      <i/>
      <sz val="12"/>
      <name val="Webdings"/>
      <family val="1"/>
      <charset val="2"/>
    </font>
    <font>
      <b/>
      <sz val="24"/>
      <name val="Times New Roman"/>
      <family val="1"/>
    </font>
    <font>
      <i/>
      <sz val="10"/>
      <name val="Times New Roman"/>
      <family val="1"/>
    </font>
    <font>
      <b/>
      <i/>
      <sz val="16"/>
      <name val="Helv"/>
    </font>
    <font>
      <b/>
      <sz val="12"/>
      <name val="Arial Narrow"/>
      <family val="2"/>
    </font>
    <font>
      <sz val="12"/>
      <name val="Arial Narrow"/>
      <family val="2"/>
    </font>
    <font>
      <i/>
      <sz val="12"/>
      <name val="Arial Narrow"/>
      <family val="2"/>
    </font>
    <font>
      <sz val="12"/>
      <color theme="1"/>
      <name val="Arial Narrow"/>
      <family val="2"/>
    </font>
    <font>
      <sz val="11"/>
      <color theme="1"/>
      <name val="Arial"/>
      <family val="2"/>
    </font>
    <font>
      <sz val="14"/>
      <name val="Times New Roman"/>
      <family val="1"/>
    </font>
    <font>
      <i/>
      <sz val="13"/>
      <name val="Times New Roman"/>
      <family val="1"/>
    </font>
    <font>
      <sz val="12"/>
      <name val="Arial"/>
      <family val="2"/>
    </font>
    <font>
      <b/>
      <sz val="12"/>
      <name val="Wingdings"/>
      <charset val="2"/>
    </font>
    <font>
      <b/>
      <sz val="14"/>
      <name val="Times New Roman"/>
      <family val="1"/>
    </font>
    <font>
      <b/>
      <sz val="12"/>
      <color theme="1"/>
      <name val="Times New Roman"/>
      <family val="1"/>
    </font>
    <font>
      <b/>
      <u/>
      <sz val="12"/>
      <color theme="1"/>
      <name val="Times New Roman"/>
      <family val="1"/>
    </font>
    <font>
      <b/>
      <sz val="10"/>
      <color theme="1"/>
      <name val="Times New Roman"/>
      <family val="1"/>
    </font>
    <font>
      <sz val="12"/>
      <color theme="1"/>
      <name val="Times New Roman"/>
      <family val="1"/>
    </font>
    <font>
      <b/>
      <i/>
      <sz val="12"/>
      <color theme="1"/>
      <name val="Times New Roman"/>
      <family val="1"/>
    </font>
    <font>
      <b/>
      <sz val="11"/>
      <color theme="1"/>
      <name val="Times New Roman"/>
      <family val="1"/>
    </font>
    <font>
      <b/>
      <i/>
      <sz val="13"/>
      <color theme="0"/>
      <name val="Times New Roman"/>
      <family val="1"/>
    </font>
    <font>
      <sz val="13"/>
      <color theme="0"/>
      <name val="Times New Roman"/>
      <family val="1"/>
    </font>
    <font>
      <b/>
      <sz val="13"/>
      <color theme="0"/>
      <name val="Times New Roman"/>
      <family val="1"/>
    </font>
    <font>
      <sz val="12"/>
      <color theme="0"/>
      <name val="Times New Roman"/>
      <family val="1"/>
    </font>
    <font>
      <b/>
      <i/>
      <u/>
      <sz val="13"/>
      <color theme="0"/>
      <name val="Times New Roman"/>
      <family val="1"/>
    </font>
    <font>
      <b/>
      <sz val="12"/>
      <name val="Calibri"/>
      <family val="2"/>
      <scheme val="minor"/>
    </font>
    <font>
      <sz val="12"/>
      <color rgb="FF050505"/>
      <name val="Calibri"/>
      <family val="2"/>
      <scheme val="minor"/>
    </font>
    <font>
      <b/>
      <i/>
      <sz val="9"/>
      <color rgb="FFFF0000"/>
      <name val="Times New Roman"/>
      <family val="1"/>
    </font>
    <font>
      <b/>
      <i/>
      <sz val="12"/>
      <color rgb="FFFF0000"/>
      <name val="Times New Roman"/>
      <family val="1"/>
    </font>
    <font>
      <b/>
      <i/>
      <sz val="11"/>
      <color rgb="FFFF0000"/>
      <name val="Times New Roman"/>
      <family val="1"/>
    </font>
    <font>
      <sz val="8"/>
      <color rgb="FF202124"/>
      <name val="Arial"/>
      <family val="2"/>
    </font>
    <font>
      <b/>
      <sz val="16"/>
      <color theme="0"/>
      <name val="Times New Roman"/>
      <family val="1"/>
    </font>
    <font>
      <b/>
      <i/>
      <sz val="13"/>
      <color rgb="FFFF0000"/>
      <name val="Times New Roman"/>
      <family val="1"/>
    </font>
    <font>
      <sz val="12"/>
      <color rgb="FF050505"/>
      <name val="Times New Roman"/>
      <family val="1"/>
    </font>
    <font>
      <b/>
      <i/>
      <sz val="10"/>
      <color rgb="FFFF0000"/>
      <name val="Times New Roman"/>
      <family val="1"/>
    </font>
    <font>
      <sz val="10"/>
      <color theme="0"/>
      <name val="Wingdings"/>
      <charset val="2"/>
    </font>
    <font>
      <b/>
      <i/>
      <sz val="10"/>
      <name val="Calibri"/>
      <family val="2"/>
      <scheme val="minor"/>
    </font>
    <font>
      <sz val="10"/>
      <name val="Calibri"/>
      <family val="2"/>
      <scheme val="minor"/>
    </font>
    <font>
      <b/>
      <sz val="1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indexed="22"/>
        <bgColor indexed="64"/>
      </patternFill>
    </fill>
    <fill>
      <patternFill patternType="solid">
        <fgColor indexed="26"/>
        <bgColor indexed="64"/>
      </patternFill>
    </fill>
    <fill>
      <patternFill patternType="solid">
        <fgColor theme="0"/>
        <bgColor theme="0"/>
      </patternFill>
    </fill>
    <fill>
      <patternFill patternType="solid">
        <fgColor rgb="FFFFCC66"/>
        <bgColor indexed="64"/>
      </patternFill>
    </fill>
    <fill>
      <patternFill patternType="solid">
        <fgColor rgb="FFFFCC66"/>
        <bgColor theme="0"/>
      </patternFill>
    </fill>
  </fills>
  <borders count="333">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top/>
      <bottom style="thin">
        <color auto="1"/>
      </bottom>
      <diagonal/>
    </border>
    <border>
      <left/>
      <right/>
      <top style="thin">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medium">
        <color auto="1"/>
      </left>
      <right/>
      <top style="thin">
        <color auto="1"/>
      </top>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right/>
      <top style="medium">
        <color auto="1"/>
      </top>
      <bottom style="medium">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medium">
        <color auto="1"/>
      </bottom>
      <diagonal/>
    </border>
    <border>
      <left style="medium">
        <color auto="1"/>
      </left>
      <right/>
      <top/>
      <bottom style="thin">
        <color auto="1"/>
      </bottom>
      <diagonal/>
    </border>
    <border>
      <left/>
      <right style="double">
        <color auto="1"/>
      </right>
      <top style="thin">
        <color auto="1"/>
      </top>
      <bottom style="medium">
        <color auto="1"/>
      </bottom>
      <diagonal/>
    </border>
    <border>
      <left style="double">
        <color auto="1"/>
      </left>
      <right/>
      <top style="thin">
        <color auto="1"/>
      </top>
      <bottom style="medium">
        <color auto="1"/>
      </bottom>
      <diagonal/>
    </border>
    <border>
      <left/>
      <right style="double">
        <color auto="1"/>
      </right>
      <top style="medium">
        <color auto="1"/>
      </top>
      <bottom style="thin">
        <color auto="1"/>
      </bottom>
      <diagonal/>
    </border>
    <border>
      <left style="double">
        <color auto="1"/>
      </left>
      <right/>
      <top style="medium">
        <color auto="1"/>
      </top>
      <bottom style="thin">
        <color auto="1"/>
      </bottom>
      <diagonal/>
    </border>
    <border>
      <left/>
      <right style="double">
        <color auto="1"/>
      </right>
      <top style="thin">
        <color auto="1"/>
      </top>
      <bottom style="thin">
        <color auto="1"/>
      </bottom>
      <diagonal/>
    </border>
    <border>
      <left style="double">
        <color auto="1"/>
      </left>
      <right/>
      <top style="thin">
        <color auto="1"/>
      </top>
      <bottom style="thin">
        <color auto="1"/>
      </bottom>
      <diagonal/>
    </border>
    <border>
      <left/>
      <right style="double">
        <color auto="1"/>
      </right>
      <top/>
      <bottom/>
      <diagonal/>
    </border>
    <border>
      <left style="double">
        <color auto="1"/>
      </left>
      <right/>
      <top style="thin">
        <color auto="1"/>
      </top>
      <bottom/>
      <diagonal/>
    </border>
    <border>
      <left/>
      <right style="double">
        <color auto="1"/>
      </right>
      <top/>
      <bottom style="thin">
        <color auto="1"/>
      </bottom>
      <diagonal/>
    </border>
    <border>
      <left style="double">
        <color auto="1"/>
      </left>
      <right/>
      <top/>
      <bottom style="thin">
        <color auto="1"/>
      </bottom>
      <diagonal/>
    </border>
    <border>
      <left/>
      <right style="double">
        <color auto="1"/>
      </right>
      <top style="thin">
        <color auto="1"/>
      </top>
      <bottom/>
      <diagonal/>
    </border>
    <border>
      <left style="double">
        <color auto="1"/>
      </left>
      <right/>
      <top/>
      <bottom/>
      <diagonal/>
    </border>
    <border>
      <left/>
      <right style="double">
        <color auto="1"/>
      </right>
      <top/>
      <bottom style="medium">
        <color auto="1"/>
      </bottom>
      <diagonal/>
    </border>
    <border>
      <left style="double">
        <color auto="1"/>
      </left>
      <right/>
      <top/>
      <bottom style="medium">
        <color auto="1"/>
      </bottom>
      <diagonal/>
    </border>
    <border>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bottom style="medium">
        <color auto="1"/>
      </bottom>
      <diagonal/>
    </border>
    <border>
      <left style="thin">
        <color auto="1"/>
      </left>
      <right style="medium">
        <color auto="1"/>
      </right>
      <top/>
      <bottom style="thin">
        <color auto="1"/>
      </bottom>
      <diagonal/>
    </border>
    <border>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top style="hair">
        <color auto="1"/>
      </top>
      <bottom style="hair">
        <color auto="1"/>
      </bottom>
      <diagonal/>
    </border>
    <border>
      <left/>
      <right/>
      <top style="medium">
        <color auto="1"/>
      </top>
      <bottom style="hair">
        <color auto="1"/>
      </bottom>
      <diagonal/>
    </border>
    <border>
      <left/>
      <right/>
      <top style="hair">
        <color auto="1"/>
      </top>
      <bottom style="hair">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hair">
        <color auto="1"/>
      </bottom>
      <diagonal/>
    </border>
    <border>
      <left style="thin">
        <color auto="1"/>
      </left>
      <right/>
      <top style="hair">
        <color auto="1"/>
      </top>
      <bottom style="hair">
        <color auto="1"/>
      </bottom>
      <diagonal/>
    </border>
    <border>
      <left/>
      <right style="medium">
        <color auto="1"/>
      </right>
      <top style="hair">
        <color auto="1"/>
      </top>
      <bottom style="medium">
        <color auto="1"/>
      </bottom>
      <diagonal/>
    </border>
    <border>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hair">
        <color auto="1"/>
      </bottom>
      <diagonal/>
    </border>
    <border>
      <left style="medium">
        <color auto="1"/>
      </left>
      <right/>
      <top style="hair">
        <color auto="1"/>
      </top>
      <bottom/>
      <diagonal/>
    </border>
    <border>
      <left/>
      <right/>
      <top style="hair">
        <color auto="1"/>
      </top>
      <bottom/>
      <diagonal/>
    </border>
    <border>
      <left style="medium">
        <color auto="1"/>
      </left>
      <right/>
      <top/>
      <bottom style="hair">
        <color auto="1"/>
      </bottom>
      <diagonal/>
    </border>
    <border>
      <left/>
      <right/>
      <top/>
      <bottom style="hair">
        <color auto="1"/>
      </bottom>
      <diagonal/>
    </border>
    <border>
      <left/>
      <right style="medium">
        <color auto="1"/>
      </right>
      <top style="hair">
        <color auto="1"/>
      </top>
      <bottom/>
      <diagonal/>
    </border>
    <border>
      <left/>
      <right style="thin">
        <color auto="1"/>
      </right>
      <top style="hair">
        <color auto="1"/>
      </top>
      <bottom/>
      <diagonal/>
    </border>
    <border>
      <left style="thin">
        <color auto="1"/>
      </left>
      <right/>
      <top style="hair">
        <color auto="1"/>
      </top>
      <bottom/>
      <diagonal/>
    </border>
    <border>
      <left/>
      <right style="thin">
        <color auto="1"/>
      </right>
      <top/>
      <bottom style="hair">
        <color auto="1"/>
      </bottom>
      <diagonal/>
    </border>
    <border>
      <left style="thin">
        <color auto="1"/>
      </left>
      <right/>
      <top/>
      <bottom style="hair">
        <color auto="1"/>
      </bottom>
      <diagonal/>
    </border>
    <border>
      <left/>
      <right style="medium">
        <color auto="1"/>
      </right>
      <top/>
      <bottom style="hair">
        <color auto="1"/>
      </bottom>
      <diagonal/>
    </border>
    <border>
      <left style="medium">
        <color auto="1"/>
      </left>
      <right/>
      <top style="medium">
        <color auto="1"/>
      </top>
      <bottom style="hair">
        <color auto="1"/>
      </bottom>
      <diagonal/>
    </border>
    <border>
      <left/>
      <right style="medium">
        <color auto="1"/>
      </right>
      <top style="medium">
        <color auto="1"/>
      </top>
      <bottom style="hair">
        <color auto="1"/>
      </bottom>
      <diagonal/>
    </border>
    <border>
      <left/>
      <right style="double">
        <color auto="1"/>
      </right>
      <top style="medium">
        <color auto="1"/>
      </top>
      <bottom style="medium">
        <color auto="1"/>
      </bottom>
      <diagonal/>
    </border>
    <border>
      <left style="double">
        <color auto="1"/>
      </left>
      <right/>
      <top style="medium">
        <color auto="1"/>
      </top>
      <bottom style="medium">
        <color auto="1"/>
      </bottom>
      <diagonal/>
    </border>
    <border>
      <left/>
      <right style="double">
        <color auto="1"/>
      </right>
      <top/>
      <bottom style="hair">
        <color auto="1"/>
      </bottom>
      <diagonal/>
    </border>
    <border>
      <left style="double">
        <color auto="1"/>
      </left>
      <right/>
      <top style="medium">
        <color auto="1"/>
      </top>
      <bottom style="hair">
        <color auto="1"/>
      </bottom>
      <diagonal/>
    </border>
    <border>
      <left/>
      <right style="double">
        <color auto="1"/>
      </right>
      <top style="hair">
        <color auto="1"/>
      </top>
      <bottom style="hair">
        <color auto="1"/>
      </bottom>
      <diagonal/>
    </border>
    <border>
      <left style="double">
        <color auto="1"/>
      </left>
      <right/>
      <top style="hair">
        <color auto="1"/>
      </top>
      <bottom style="hair">
        <color auto="1"/>
      </bottom>
      <diagonal/>
    </border>
    <border>
      <left/>
      <right style="double">
        <color auto="1"/>
      </right>
      <top style="hair">
        <color auto="1"/>
      </top>
      <bottom/>
      <diagonal/>
    </border>
    <border>
      <left/>
      <right style="double">
        <color auto="1"/>
      </right>
      <top style="hair">
        <color auto="1"/>
      </top>
      <bottom style="medium">
        <color auto="1"/>
      </bottom>
      <diagonal/>
    </border>
    <border>
      <left style="double">
        <color auto="1"/>
      </left>
      <right/>
      <top style="hair">
        <color auto="1"/>
      </top>
      <bottom style="medium">
        <color auto="1"/>
      </bottom>
      <diagonal/>
    </border>
    <border>
      <left/>
      <right style="thin">
        <color auto="1"/>
      </right>
      <top style="medium">
        <color auto="1"/>
      </top>
      <bottom style="hair">
        <color auto="1"/>
      </bottom>
      <diagonal/>
    </border>
    <border>
      <left style="thin">
        <color auto="1"/>
      </left>
      <right/>
      <top style="medium">
        <color auto="1"/>
      </top>
      <bottom style="hair">
        <color auto="1"/>
      </bottom>
      <diagonal/>
    </border>
    <border>
      <left/>
      <right style="double">
        <color auto="1"/>
      </right>
      <top style="medium">
        <color auto="1"/>
      </top>
      <bottom/>
      <diagonal/>
    </border>
    <border>
      <left style="double">
        <color auto="1"/>
      </left>
      <right/>
      <top style="medium">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double">
        <color auto="1"/>
      </right>
      <top style="medium">
        <color auto="1"/>
      </top>
      <bottom/>
      <diagonal/>
    </border>
    <border>
      <left/>
      <right style="thin">
        <color auto="1"/>
      </right>
      <top style="medium">
        <color auto="1"/>
      </top>
      <bottom/>
      <diagonal/>
    </border>
    <border>
      <left style="thin">
        <color auto="1"/>
      </left>
      <right style="double">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double">
        <color auto="1"/>
      </bottom>
      <diagonal/>
    </border>
    <border>
      <left style="medium">
        <color auto="1"/>
      </left>
      <right/>
      <top style="double">
        <color auto="1"/>
      </top>
      <bottom style="medium">
        <color auto="1"/>
      </bottom>
      <diagonal/>
    </border>
    <border>
      <left/>
      <right/>
      <top style="double">
        <color auto="1"/>
      </top>
      <bottom style="medium">
        <color auto="1"/>
      </bottom>
      <diagonal/>
    </border>
    <border>
      <left/>
      <right style="medium">
        <color auto="1"/>
      </right>
      <top style="thin">
        <color auto="1"/>
      </top>
      <bottom style="double">
        <color auto="1"/>
      </bottom>
      <diagonal/>
    </border>
    <border>
      <left style="medium">
        <color auto="1"/>
      </left>
      <right/>
      <top style="thin">
        <color auto="1"/>
      </top>
      <bottom style="double">
        <color auto="1"/>
      </bottom>
      <diagonal/>
    </border>
    <border>
      <left/>
      <right style="medium">
        <color auto="1"/>
      </right>
      <top style="double">
        <color auto="1"/>
      </top>
      <bottom style="medium">
        <color auto="1"/>
      </bottom>
      <diagonal/>
    </border>
    <border>
      <left style="thin">
        <color auto="1"/>
      </left>
      <right/>
      <top/>
      <bottom style="thin">
        <color auto="1"/>
      </bottom>
      <diagonal/>
    </border>
    <border>
      <left/>
      <right style="thin">
        <color auto="1"/>
      </right>
      <top style="thin">
        <color auto="1"/>
      </top>
      <bottom style="double">
        <color auto="1"/>
      </bottom>
      <diagonal/>
    </border>
    <border>
      <left style="thin">
        <color auto="1"/>
      </left>
      <right/>
      <top style="thin">
        <color auto="1"/>
      </top>
      <bottom style="double">
        <color auto="1"/>
      </bottom>
      <diagonal/>
    </border>
    <border>
      <left/>
      <right style="thin">
        <color auto="1"/>
      </right>
      <top style="double">
        <color auto="1"/>
      </top>
      <bottom style="medium">
        <color auto="1"/>
      </bottom>
      <diagonal/>
    </border>
    <border>
      <left style="thin">
        <color auto="1"/>
      </left>
      <right/>
      <top style="double">
        <color auto="1"/>
      </top>
      <bottom style="medium">
        <color auto="1"/>
      </bottom>
      <diagonal/>
    </border>
    <border>
      <left/>
      <right style="double">
        <color auto="1"/>
      </right>
      <top style="thin">
        <color auto="1"/>
      </top>
      <bottom style="double">
        <color auto="1"/>
      </bottom>
      <diagonal/>
    </border>
    <border>
      <left style="double">
        <color auto="1"/>
      </left>
      <right/>
      <top style="thin">
        <color auto="1"/>
      </top>
      <bottom style="double">
        <color auto="1"/>
      </bottom>
      <diagonal/>
    </border>
    <border>
      <left/>
      <right style="double">
        <color auto="1"/>
      </right>
      <top style="double">
        <color auto="1"/>
      </top>
      <bottom style="medium">
        <color auto="1"/>
      </bottom>
      <diagonal/>
    </border>
    <border>
      <left style="double">
        <color auto="1"/>
      </left>
      <right/>
      <top style="double">
        <color auto="1"/>
      </top>
      <bottom style="medium">
        <color auto="1"/>
      </bottom>
      <diagonal/>
    </border>
    <border>
      <left style="thin">
        <color auto="1"/>
      </left>
      <right/>
      <top style="medium">
        <color auto="1"/>
      </top>
      <bottom/>
      <diagonal/>
    </border>
    <border>
      <left/>
      <right style="medium">
        <color auto="1"/>
      </right>
      <top style="hair">
        <color auto="1"/>
      </top>
      <bottom style="double">
        <color auto="1"/>
      </bottom>
      <diagonal/>
    </border>
    <border>
      <left style="medium">
        <color auto="1"/>
      </left>
      <right/>
      <top style="hair">
        <color auto="1"/>
      </top>
      <bottom style="double">
        <color auto="1"/>
      </bottom>
      <diagonal/>
    </border>
    <border>
      <left/>
      <right/>
      <top style="hair">
        <color auto="1"/>
      </top>
      <bottom style="double">
        <color auto="1"/>
      </bottom>
      <diagonal/>
    </border>
    <border>
      <left/>
      <right style="thin">
        <color auto="1"/>
      </right>
      <top style="hair">
        <color auto="1"/>
      </top>
      <bottom style="double">
        <color auto="1"/>
      </bottom>
      <diagonal/>
    </border>
    <border>
      <left style="thin">
        <color auto="1"/>
      </left>
      <right/>
      <top style="hair">
        <color auto="1"/>
      </top>
      <bottom style="double">
        <color auto="1"/>
      </bottom>
      <diagonal/>
    </border>
    <border>
      <left style="double">
        <color auto="1"/>
      </left>
      <right/>
      <top/>
      <bottom style="hair">
        <color auto="1"/>
      </bottom>
      <diagonal/>
    </border>
    <border>
      <left style="double">
        <color auto="1"/>
      </left>
      <right/>
      <top style="hair">
        <color auto="1"/>
      </top>
      <bottom/>
      <diagonal/>
    </border>
    <border>
      <left/>
      <right style="double">
        <color auto="1"/>
      </right>
      <top style="hair">
        <color auto="1"/>
      </top>
      <bottom style="double">
        <color auto="1"/>
      </bottom>
      <diagonal/>
    </border>
    <border>
      <left style="double">
        <color auto="1"/>
      </left>
      <right/>
      <top style="hair">
        <color auto="1"/>
      </top>
      <bottom style="double">
        <color auto="1"/>
      </bottom>
      <diagonal/>
    </border>
    <border>
      <left style="medium">
        <color auto="1"/>
      </left>
      <right/>
      <top style="thin">
        <color auto="1"/>
      </top>
      <bottom style="hair">
        <color auto="1"/>
      </bottom>
      <diagonal/>
    </border>
    <border>
      <left/>
      <right/>
      <top style="thin">
        <color auto="1"/>
      </top>
      <bottom style="hair">
        <color auto="1"/>
      </bottom>
      <diagonal/>
    </border>
    <border>
      <left/>
      <right style="double">
        <color auto="1"/>
      </right>
      <top style="medium">
        <color auto="1"/>
      </top>
      <bottom style="hair">
        <color auto="1"/>
      </bottom>
      <diagonal/>
    </border>
    <border>
      <left/>
      <right style="medium">
        <color auto="1"/>
      </right>
      <top style="hair">
        <color auto="1"/>
      </top>
      <bottom style="thin">
        <color auto="1"/>
      </bottom>
      <diagonal/>
    </border>
    <border>
      <left style="medium">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top style="hair">
        <color auto="1"/>
      </top>
      <bottom style="thin">
        <color auto="1"/>
      </bottom>
      <diagonal/>
    </border>
    <border>
      <left/>
      <right style="double">
        <color auto="1"/>
      </right>
      <top style="hair">
        <color auto="1"/>
      </top>
      <bottom style="thin">
        <color auto="1"/>
      </bottom>
      <diagonal/>
    </border>
    <border>
      <left style="double">
        <color auto="1"/>
      </left>
      <right/>
      <top style="hair">
        <color auto="1"/>
      </top>
      <bottom style="thin">
        <color auto="1"/>
      </bottom>
      <diagonal/>
    </border>
    <border>
      <left/>
      <right style="medium">
        <color auto="1"/>
      </right>
      <top style="thin">
        <color auto="1"/>
      </top>
      <bottom style="hair">
        <color auto="1"/>
      </bottom>
      <diagonal/>
    </border>
    <border>
      <left/>
      <right style="thin">
        <color auto="1"/>
      </right>
      <top style="thin">
        <color auto="1"/>
      </top>
      <bottom style="hair">
        <color auto="1"/>
      </bottom>
      <diagonal/>
    </border>
    <border>
      <left style="thin">
        <color auto="1"/>
      </left>
      <right/>
      <top style="thin">
        <color auto="1"/>
      </top>
      <bottom style="hair">
        <color auto="1"/>
      </bottom>
      <diagonal/>
    </border>
    <border>
      <left/>
      <right style="double">
        <color auto="1"/>
      </right>
      <top style="thin">
        <color auto="1"/>
      </top>
      <bottom style="hair">
        <color auto="1"/>
      </bottom>
      <diagonal/>
    </border>
    <border>
      <left style="double">
        <color auto="1"/>
      </left>
      <right/>
      <top style="thin">
        <color auto="1"/>
      </top>
      <bottom style="hair">
        <color auto="1"/>
      </bottom>
      <diagonal/>
    </border>
    <border>
      <left/>
      <right style="medium">
        <color auto="1"/>
      </right>
      <top/>
      <bottom style="double">
        <color auto="1"/>
      </bottom>
      <diagonal/>
    </border>
    <border>
      <left/>
      <right style="dashed">
        <color auto="1"/>
      </right>
      <top style="thin">
        <color auto="1"/>
      </top>
      <bottom/>
      <diagonal/>
    </border>
    <border>
      <left style="dashed">
        <color auto="1"/>
      </left>
      <right/>
      <top style="thin">
        <color auto="1"/>
      </top>
      <bottom/>
      <diagonal/>
    </border>
    <border>
      <left/>
      <right style="dashed">
        <color auto="1"/>
      </right>
      <top/>
      <bottom/>
      <diagonal/>
    </border>
    <border>
      <left style="dashed">
        <color auto="1"/>
      </left>
      <right/>
      <top/>
      <bottom/>
      <diagonal/>
    </border>
    <border>
      <left/>
      <right style="dashed">
        <color auto="1"/>
      </right>
      <top/>
      <bottom style="medium">
        <color auto="1"/>
      </bottom>
      <diagonal/>
    </border>
    <border>
      <left style="dashed">
        <color auto="1"/>
      </left>
      <right/>
      <top/>
      <bottom style="medium">
        <color auto="1"/>
      </bottom>
      <diagonal/>
    </border>
    <border>
      <left/>
      <right/>
      <top/>
      <bottom style="double">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medium">
        <color auto="1"/>
      </left>
      <right style="thin">
        <color auto="1"/>
      </right>
      <top style="hair">
        <color auto="1"/>
      </top>
      <bottom style="hair">
        <color auto="1"/>
      </bottom>
      <diagonal/>
    </border>
    <border>
      <left style="medium">
        <color auto="1"/>
      </left>
      <right style="thin">
        <color auto="1"/>
      </right>
      <top style="hair">
        <color auto="1"/>
      </top>
      <bottom style="medium">
        <color auto="1"/>
      </bottom>
      <diagonal/>
    </border>
    <border>
      <left/>
      <right style="thin">
        <color auto="1"/>
      </right>
      <top style="medium">
        <color auto="1"/>
      </top>
      <bottom style="double">
        <color auto="1"/>
      </bottom>
      <diagonal/>
    </border>
    <border>
      <left style="double">
        <color auto="1"/>
      </left>
      <right/>
      <top style="double">
        <color auto="1"/>
      </top>
      <bottom/>
      <diagonal/>
    </border>
    <border>
      <left/>
      <right/>
      <top style="double">
        <color auto="1"/>
      </top>
      <bottom/>
      <diagonal/>
    </border>
    <border>
      <left style="double">
        <color auto="1"/>
      </left>
      <right/>
      <top/>
      <bottom style="double">
        <color auto="1"/>
      </bottom>
      <diagonal/>
    </border>
    <border>
      <left/>
      <right style="double">
        <color auto="1"/>
      </right>
      <top style="double">
        <color auto="1"/>
      </top>
      <bottom/>
      <diagonal/>
    </border>
    <border>
      <left/>
      <right style="double">
        <color auto="1"/>
      </right>
      <top/>
      <bottom style="double">
        <color auto="1"/>
      </bottom>
      <diagonal/>
    </border>
    <border>
      <left style="thin">
        <color auto="1"/>
      </left>
      <right style="medium">
        <color auto="1"/>
      </right>
      <top style="hair">
        <color auto="1"/>
      </top>
      <bottom style="hair">
        <color auto="1"/>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double">
        <color rgb="FF000000"/>
      </top>
      <bottom style="medium">
        <color rgb="FF000000"/>
      </bottom>
      <diagonal/>
    </border>
    <border>
      <left/>
      <right/>
      <top style="double">
        <color rgb="FF000000"/>
      </top>
      <bottom style="medium">
        <color rgb="FF000000"/>
      </bottom>
      <diagonal/>
    </border>
    <border>
      <left/>
      <right style="medium">
        <color rgb="FF000000"/>
      </right>
      <top style="double">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auto="1"/>
      </left>
      <right style="medium">
        <color auto="1"/>
      </right>
      <top style="medium">
        <color auto="1"/>
      </top>
      <bottom style="double">
        <color indexed="64"/>
      </bottom>
      <diagonal/>
    </border>
    <border>
      <left style="medium">
        <color auto="1"/>
      </left>
      <right style="thin">
        <color auto="1"/>
      </right>
      <top/>
      <bottom style="hair">
        <color auto="1"/>
      </bottom>
      <diagonal/>
    </border>
    <border>
      <left style="thin">
        <color auto="1"/>
      </left>
      <right style="medium">
        <color auto="1"/>
      </right>
      <top/>
      <bottom style="hair">
        <color auto="1"/>
      </bottom>
      <diagonal/>
    </border>
    <border>
      <left style="medium">
        <color auto="1"/>
      </left>
      <right style="thin">
        <color auto="1"/>
      </right>
      <top style="medium">
        <color auto="1"/>
      </top>
      <bottom style="double">
        <color indexed="64"/>
      </bottom>
      <diagonal/>
    </border>
    <border>
      <left style="thin">
        <color auto="1"/>
      </left>
      <right style="thin">
        <color auto="1"/>
      </right>
      <top style="medium">
        <color auto="1"/>
      </top>
      <bottom style="double">
        <color indexed="64"/>
      </bottom>
      <diagonal/>
    </border>
    <border>
      <left style="thin">
        <color auto="1"/>
      </left>
      <right style="medium">
        <color auto="1"/>
      </right>
      <top style="medium">
        <color auto="1"/>
      </top>
      <bottom style="double">
        <color indexed="64"/>
      </bottom>
      <diagonal/>
    </border>
    <border>
      <left style="medium">
        <color auto="1"/>
      </left>
      <right style="medium">
        <color auto="1"/>
      </right>
      <top/>
      <bottom style="hair">
        <color auto="1"/>
      </bottom>
      <diagonal/>
    </border>
    <border>
      <left style="medium">
        <color auto="1"/>
      </left>
      <right style="medium">
        <color auto="1"/>
      </right>
      <top style="hair">
        <color auto="1"/>
      </top>
      <bottom style="medium">
        <color auto="1"/>
      </bottom>
      <diagonal/>
    </border>
    <border>
      <left style="medium">
        <color auto="1"/>
      </left>
      <right/>
      <top/>
      <bottom style="double">
        <color auto="1"/>
      </bottom>
      <diagonal/>
    </border>
    <border>
      <left style="medium">
        <color auto="1"/>
      </left>
      <right/>
      <top style="double">
        <color auto="1"/>
      </top>
      <bottom/>
      <diagonal/>
    </border>
    <border>
      <left/>
      <right style="medium">
        <color auto="1"/>
      </right>
      <top style="double">
        <color auto="1"/>
      </top>
      <bottom/>
      <diagonal/>
    </border>
    <border>
      <left style="thin">
        <color auto="1"/>
      </left>
      <right style="thin">
        <color auto="1"/>
      </right>
      <top style="medium">
        <color auto="1"/>
      </top>
      <bottom style="hair">
        <color auto="1"/>
      </bottom>
      <diagonal/>
    </border>
    <border>
      <left style="thin">
        <color auto="1"/>
      </left>
      <right style="thin">
        <color auto="1"/>
      </right>
      <top style="hair">
        <color auto="1"/>
      </top>
      <bottom style="double">
        <color auto="1"/>
      </bottom>
      <diagonal/>
    </border>
    <border>
      <left/>
      <right style="thin">
        <color rgb="FF000000"/>
      </right>
      <top style="medium">
        <color rgb="FF000000"/>
      </top>
      <bottom/>
      <diagonal/>
    </border>
    <border>
      <left style="thin">
        <color rgb="FF000000"/>
      </left>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double">
        <color auto="1"/>
      </left>
      <right style="thin">
        <color auto="1"/>
      </right>
      <top style="thin">
        <color auto="1"/>
      </top>
      <bottom style="thin">
        <color auto="1"/>
      </bottom>
      <diagonal/>
    </border>
    <border>
      <left style="double">
        <color indexed="64"/>
      </left>
      <right style="thin">
        <color indexed="64"/>
      </right>
      <top style="medium">
        <color indexed="64"/>
      </top>
      <bottom style="thin">
        <color indexed="64"/>
      </bottom>
      <diagonal/>
    </border>
    <border>
      <left style="double">
        <color indexed="64"/>
      </left>
      <right style="thin">
        <color auto="1"/>
      </right>
      <top style="thin">
        <color auto="1"/>
      </top>
      <bottom style="medium">
        <color auto="1"/>
      </bottom>
      <diagonal/>
    </border>
    <border>
      <left style="medium">
        <color indexed="64"/>
      </left>
      <right/>
      <top style="medium">
        <color rgb="FF000000"/>
      </top>
      <bottom/>
      <diagonal/>
    </border>
    <border>
      <left/>
      <right style="thin">
        <color indexed="64"/>
      </right>
      <top style="medium">
        <color rgb="FF000000"/>
      </top>
      <bottom/>
      <diagonal/>
    </border>
    <border>
      <left style="thin">
        <color indexed="64"/>
      </left>
      <right/>
      <top style="medium">
        <color rgb="FF000000"/>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medium">
        <color indexed="64"/>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style="medium">
        <color indexed="64"/>
      </top>
      <bottom style="thin">
        <color indexed="64"/>
      </bottom>
      <diagonal/>
    </border>
    <border>
      <left/>
      <right style="thick">
        <color indexed="64"/>
      </right>
      <top style="medium">
        <color indexed="64"/>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right style="medium">
        <color indexed="64"/>
      </right>
      <top style="thin">
        <color indexed="64"/>
      </top>
      <bottom style="thick">
        <color indexed="64"/>
      </bottom>
      <diagonal/>
    </border>
    <border>
      <left/>
      <right style="thick">
        <color indexed="64"/>
      </right>
      <top style="thin">
        <color indexed="64"/>
      </top>
      <bottom style="thick">
        <color indexed="64"/>
      </bottom>
      <diagonal/>
    </border>
    <border>
      <left style="thick">
        <color indexed="64"/>
      </left>
      <right/>
      <top/>
      <bottom style="thick">
        <color indexed="64"/>
      </bottom>
      <diagonal/>
    </border>
    <border>
      <left/>
      <right/>
      <top/>
      <bottom style="thick">
        <color indexed="64"/>
      </bottom>
      <diagonal/>
    </border>
    <border>
      <left/>
      <right style="thin">
        <color indexed="64"/>
      </right>
      <top/>
      <bottom style="thick">
        <color indexed="64"/>
      </bottom>
      <diagonal/>
    </border>
    <border>
      <left/>
      <right style="thick">
        <color indexed="64"/>
      </right>
      <top/>
      <bottom style="thick">
        <color indexed="64"/>
      </bottom>
      <diagonal/>
    </border>
    <border>
      <left style="medium">
        <color indexed="64"/>
      </left>
      <right/>
      <top style="thick">
        <color indexed="64"/>
      </top>
      <bottom/>
      <diagonal/>
    </border>
    <border>
      <left/>
      <right style="medium">
        <color indexed="64"/>
      </right>
      <top style="thick">
        <color indexed="64"/>
      </top>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n">
        <color indexed="64"/>
      </left>
      <right/>
      <top style="medium">
        <color indexed="64"/>
      </top>
      <bottom style="thick">
        <color indexed="64"/>
      </bottom>
      <diagonal/>
    </border>
    <border>
      <left/>
      <right style="thick">
        <color indexed="64"/>
      </right>
      <top style="medium">
        <color indexed="64"/>
      </top>
      <bottom style="thick">
        <color indexed="64"/>
      </bottom>
      <diagonal/>
    </border>
    <border>
      <left style="thin">
        <color indexed="64"/>
      </left>
      <right/>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
      <left style="medium">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medium">
        <color indexed="64"/>
      </right>
      <top style="thick">
        <color indexed="64"/>
      </top>
      <bottom style="medium">
        <color indexed="64"/>
      </bottom>
      <diagonal/>
    </border>
    <border>
      <left style="medium">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medium">
        <color indexed="64"/>
      </right>
      <top style="thick">
        <color indexed="64"/>
      </top>
      <bottom style="thin">
        <color indexed="64"/>
      </bottom>
      <diagonal/>
    </border>
    <border>
      <left style="thick">
        <color indexed="64"/>
      </left>
      <right/>
      <top/>
      <bottom style="thin">
        <color indexed="64"/>
      </bottom>
      <diagonal/>
    </border>
    <border>
      <left/>
      <right style="thick">
        <color indexed="64"/>
      </right>
      <top/>
      <bottom style="thin">
        <color indexed="64"/>
      </bottom>
      <diagonal/>
    </border>
    <border>
      <left style="thin">
        <color indexed="64"/>
      </left>
      <right style="thick">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n">
        <color indexed="64"/>
      </right>
      <top style="thick">
        <color indexed="64"/>
      </top>
      <bottom/>
      <diagonal/>
    </border>
    <border>
      <left style="thin">
        <color indexed="64"/>
      </left>
      <right/>
      <top style="thick">
        <color indexed="64"/>
      </top>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medium">
        <color indexed="64"/>
      </left>
      <right/>
      <top style="thick">
        <color indexed="64"/>
      </top>
      <bottom style="thin">
        <color indexed="64"/>
      </bottom>
      <diagonal/>
    </border>
    <border>
      <left style="thin">
        <color indexed="64"/>
      </left>
      <right style="thick">
        <color indexed="64"/>
      </right>
      <top/>
      <bottom style="thick">
        <color indexed="64"/>
      </bottom>
      <diagonal/>
    </border>
    <border>
      <left style="thick">
        <color indexed="64"/>
      </left>
      <right/>
      <top/>
      <bottom style="hair">
        <color indexed="64"/>
      </bottom>
      <diagonal/>
    </border>
    <border>
      <left/>
      <right style="thick">
        <color indexed="64"/>
      </right>
      <top/>
      <bottom style="hair">
        <color indexed="64"/>
      </bottom>
      <diagonal/>
    </border>
    <border>
      <left style="thick">
        <color indexed="64"/>
      </left>
      <right/>
      <top style="hair">
        <color indexed="64"/>
      </top>
      <bottom/>
      <diagonal/>
    </border>
    <border>
      <left/>
      <right style="thick">
        <color indexed="64"/>
      </right>
      <top style="hair">
        <color indexed="64"/>
      </top>
      <bottom/>
      <diagonal/>
    </border>
    <border>
      <left style="thick">
        <color indexed="64"/>
      </left>
      <right/>
      <top style="hair">
        <color indexed="64"/>
      </top>
      <bottom style="hair">
        <color indexed="64"/>
      </bottom>
      <diagonal/>
    </border>
    <border>
      <left/>
      <right style="thick">
        <color indexed="64"/>
      </right>
      <top style="hair">
        <color indexed="64"/>
      </top>
      <bottom style="hair">
        <color indexed="64"/>
      </bottom>
      <diagonal/>
    </border>
    <border>
      <left/>
      <right/>
      <top style="double">
        <color auto="1"/>
      </top>
      <bottom style="hair">
        <color auto="1"/>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medium">
        <color indexed="64"/>
      </left>
      <right/>
      <top style="thick">
        <color indexed="64"/>
      </top>
      <bottom style="thick">
        <color indexed="64"/>
      </bottom>
      <diagonal/>
    </border>
    <border>
      <left/>
      <right style="thin">
        <color auto="1"/>
      </right>
      <top/>
      <bottom style="double">
        <color auto="1"/>
      </bottom>
      <diagonal/>
    </border>
    <border>
      <left style="thin">
        <color auto="1"/>
      </left>
      <right/>
      <top/>
      <bottom style="double">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medium">
        <color auto="1"/>
      </left>
      <right style="thin">
        <color auto="1"/>
      </right>
      <top style="double">
        <color auto="1"/>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double">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s>
  <cellStyleXfs count="195">
    <xf numFmtId="0" fontId="0" fillId="0" borderId="0"/>
    <xf numFmtId="0" fontId="49" fillId="0" borderId="0"/>
    <xf numFmtId="0" fontId="31" fillId="0" borderId="0"/>
    <xf numFmtId="0" fontId="49" fillId="0" borderId="0"/>
    <xf numFmtId="43" fontId="31" fillId="0" borderId="0" applyFont="0" applyFill="0" applyBorder="0" applyAlignment="0" applyProtection="0"/>
    <xf numFmtId="0" fontId="49" fillId="0" borderId="0"/>
    <xf numFmtId="0" fontId="49" fillId="0" borderId="0"/>
    <xf numFmtId="167" fontId="31" fillId="0" borderId="0" applyFont="0" applyFill="0" applyBorder="0" applyAlignment="0" applyProtection="0"/>
    <xf numFmtId="0" fontId="49" fillId="0" borderId="0"/>
    <xf numFmtId="0" fontId="31" fillId="0" borderId="0"/>
    <xf numFmtId="0" fontId="49" fillId="0" borderId="0"/>
    <xf numFmtId="0" fontId="49" fillId="0" borderId="0"/>
    <xf numFmtId="0" fontId="49" fillId="0" borderId="0"/>
    <xf numFmtId="38" fontId="48" fillId="4" borderId="0" applyNumberFormat="0" applyBorder="0" applyAlignment="0" applyProtection="0"/>
    <xf numFmtId="0" fontId="49" fillId="0" borderId="0"/>
    <xf numFmtId="0" fontId="49" fillId="0" borderId="0"/>
    <xf numFmtId="167" fontId="31" fillId="0" borderId="0" applyFont="0" applyFill="0" applyBorder="0" applyAlignment="0" applyProtection="0"/>
    <xf numFmtId="44" fontId="50" fillId="0" borderId="0" applyFont="0" applyFill="0" applyBorder="0" applyAlignment="0" applyProtection="0"/>
    <xf numFmtId="168" fontId="51" fillId="0" borderId="0"/>
    <xf numFmtId="10" fontId="48" fillId="5" borderId="58" applyNumberFormat="0" applyBorder="0" applyAlignment="0" applyProtection="0"/>
    <xf numFmtId="0" fontId="31" fillId="0" borderId="0"/>
    <xf numFmtId="0" fontId="49" fillId="0" borderId="0"/>
    <xf numFmtId="0" fontId="49" fillId="0" borderId="0"/>
    <xf numFmtId="0" fontId="49" fillId="0" borderId="0"/>
    <xf numFmtId="0" fontId="49" fillId="0" borderId="0"/>
    <xf numFmtId="0" fontId="49" fillId="0" borderId="0"/>
    <xf numFmtId="0" fontId="49" fillId="0" borderId="0"/>
    <xf numFmtId="0" fontId="3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2" fillId="0" borderId="0"/>
    <xf numFmtId="0" fontId="49" fillId="0" borderId="0"/>
    <xf numFmtId="0" fontId="31" fillId="0" borderId="0"/>
    <xf numFmtId="0" fontId="31" fillId="0" borderId="0"/>
    <xf numFmtId="0" fontId="49" fillId="0" borderId="0"/>
    <xf numFmtId="0" fontId="50" fillId="0" borderId="0"/>
    <xf numFmtId="0" fontId="49" fillId="0" borderId="0"/>
    <xf numFmtId="0" fontId="50" fillId="0" borderId="0"/>
    <xf numFmtId="10" fontId="50"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1" fillId="0" borderId="0"/>
    <xf numFmtId="0" fontId="49" fillId="0" borderId="0"/>
    <xf numFmtId="0" fontId="49" fillId="0" borderId="0"/>
    <xf numFmtId="0" fontId="49" fillId="0" borderId="0"/>
    <xf numFmtId="0" fontId="49" fillId="0" borderId="0"/>
    <xf numFmtId="0" fontId="49" fillId="0" borderId="0"/>
    <xf numFmtId="0" fontId="49" fillId="0" borderId="0"/>
    <xf numFmtId="0" fontId="31" fillId="0" borderId="0"/>
    <xf numFmtId="0" fontId="31" fillId="0" borderId="0"/>
    <xf numFmtId="0" fontId="31" fillId="0" borderId="0"/>
    <xf numFmtId="0" fontId="3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0" fillId="0" borderId="0"/>
    <xf numFmtId="0" fontId="5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166" fontId="50" fillId="0" borderId="0" applyFont="0" applyFill="0" applyBorder="0" applyAlignment="0" applyProtection="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31" fillId="0" borderId="0"/>
    <xf numFmtId="0" fontId="11" fillId="0" borderId="0"/>
    <xf numFmtId="0" fontId="11" fillId="0" borderId="0"/>
    <xf numFmtId="0" fontId="11" fillId="0" borderId="0"/>
    <xf numFmtId="9" fontId="31" fillId="0" borderId="0" applyFont="0" applyFill="0" applyBorder="0" applyAlignment="0" applyProtection="0"/>
    <xf numFmtId="164" fontId="50" fillId="0" borderId="0" applyFont="0" applyFill="0" applyBorder="0" applyAlignment="0" applyProtection="0"/>
    <xf numFmtId="165" fontId="50" fillId="0" borderId="0" applyFont="0" applyFill="0" applyBorder="0" applyAlignment="0" applyProtection="0"/>
    <xf numFmtId="170" fontId="50" fillId="0" borderId="0" applyFont="0" applyFill="0" applyBorder="0" applyAlignment="0" applyProtection="0"/>
    <xf numFmtId="0" fontId="7" fillId="0" borderId="0"/>
    <xf numFmtId="0" fontId="31" fillId="0" borderId="0"/>
    <xf numFmtId="165" fontId="31" fillId="0" borderId="0" applyFont="0" applyFill="0" applyBorder="0" applyAlignment="0" applyProtection="0"/>
    <xf numFmtId="168" fontId="58" fillId="0" borderId="0"/>
    <xf numFmtId="0" fontId="31" fillId="0" borderId="0"/>
    <xf numFmtId="0" fontId="3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4" fillId="0" borderId="0"/>
    <xf numFmtId="0" fontId="63"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4327">
    <xf numFmtId="0" fontId="0" fillId="0" borderId="0" xfId="0"/>
    <xf numFmtId="0" fontId="9" fillId="0" borderId="0" xfId="0" applyFont="1"/>
    <xf numFmtId="0" fontId="10" fillId="0" borderId="0" xfId="0" applyFont="1"/>
    <xf numFmtId="0" fontId="11" fillId="0" borderId="0" xfId="112"/>
    <xf numFmtId="0" fontId="17" fillId="0" borderId="0" xfId="84" applyFont="1"/>
    <xf numFmtId="0" fontId="9" fillId="0" borderId="0" xfId="111" applyFont="1"/>
    <xf numFmtId="0" fontId="12" fillId="0" borderId="0" xfId="109" applyFont="1" applyAlignment="1">
      <alignment vertical="center"/>
    </xf>
    <xf numFmtId="0" fontId="19" fillId="0" borderId="0" xfId="0" applyFont="1"/>
    <xf numFmtId="0" fontId="11" fillId="0" borderId="0" xfId="111" applyAlignment="1">
      <alignment vertical="center"/>
    </xf>
    <xf numFmtId="0" fontId="17" fillId="0" borderId="0" xfId="80" applyFont="1"/>
    <xf numFmtId="0" fontId="36" fillId="0" borderId="0" xfId="0" applyFont="1"/>
    <xf numFmtId="0" fontId="11" fillId="0" borderId="0" xfId="111"/>
    <xf numFmtId="0" fontId="9" fillId="0" borderId="0" xfId="111" applyFont="1" applyAlignment="1">
      <alignment horizontal="justify"/>
    </xf>
    <xf numFmtId="0" fontId="18" fillId="0" borderId="0" xfId="69" applyFont="1" applyAlignment="1">
      <alignment vertical="center" textRotation="180" wrapText="1"/>
    </xf>
    <xf numFmtId="0" fontId="37" fillId="0" borderId="0" xfId="69" applyFont="1" applyAlignment="1">
      <alignment vertical="center" textRotation="180" wrapText="1"/>
    </xf>
    <xf numFmtId="0" fontId="16" fillId="0" borderId="0" xfId="0" applyFont="1" applyAlignment="1">
      <alignment vertical="center"/>
    </xf>
    <xf numFmtId="0" fontId="16" fillId="0" borderId="0" xfId="111" applyFont="1"/>
    <xf numFmtId="0" fontId="18" fillId="0" borderId="0" xfId="0" applyFont="1"/>
    <xf numFmtId="0" fontId="16" fillId="0" borderId="0" xfId="0" applyFont="1"/>
    <xf numFmtId="0" fontId="16" fillId="0" borderId="0" xfId="69" applyFont="1"/>
    <xf numFmtId="0" fontId="14" fillId="0" borderId="0" xfId="0" applyFont="1"/>
    <xf numFmtId="0" fontId="17" fillId="0" borderId="0" xfId="112" applyFont="1" applyAlignment="1">
      <alignment vertical="center"/>
    </xf>
    <xf numFmtId="0" fontId="17" fillId="0" borderId="0" xfId="112" applyFont="1" applyAlignment="1">
      <alignment vertical="top" wrapText="1"/>
    </xf>
    <xf numFmtId="0" fontId="9" fillId="2" borderId="0" xfId="111" applyFont="1" applyFill="1"/>
    <xf numFmtId="0" fontId="17" fillId="0" borderId="0" xfId="112" applyFont="1" applyAlignment="1">
      <alignment wrapText="1"/>
    </xf>
    <xf numFmtId="0" fontId="17" fillId="0" borderId="0" xfId="111" applyFont="1" applyAlignment="1">
      <alignment vertical="top"/>
    </xf>
    <xf numFmtId="0" fontId="9" fillId="0" borderId="0" xfId="68" applyFont="1"/>
    <xf numFmtId="0" fontId="39" fillId="0" borderId="0" xfId="11" applyFont="1"/>
    <xf numFmtId="0" fontId="9" fillId="0" borderId="0" xfId="11" applyFont="1"/>
    <xf numFmtId="0" fontId="27" fillId="0" borderId="0" xfId="11" applyFont="1"/>
    <xf numFmtId="0" fontId="39" fillId="0" borderId="0" xfId="0" applyFont="1"/>
    <xf numFmtId="0" fontId="17" fillId="0" borderId="0" xfId="69" applyFont="1" applyAlignment="1">
      <alignment vertical="center" textRotation="180" wrapText="1"/>
    </xf>
    <xf numFmtId="0" fontId="9" fillId="0" borderId="0" xfId="112" applyFont="1"/>
    <xf numFmtId="0" fontId="9" fillId="0" borderId="0" xfId="0" applyFont="1" applyAlignment="1">
      <alignment vertical="center"/>
    </xf>
    <xf numFmtId="0" fontId="16" fillId="0" borderId="0" xfId="69" applyFont="1" applyAlignment="1">
      <alignment vertical="center"/>
    </xf>
    <xf numFmtId="0" fontId="31" fillId="2" borderId="0" xfId="38" applyFill="1" applyAlignment="1">
      <alignment horizontal="center" vertical="center"/>
    </xf>
    <xf numFmtId="0" fontId="31" fillId="2" borderId="0" xfId="38" applyFill="1" applyAlignment="1">
      <alignment vertical="center"/>
    </xf>
    <xf numFmtId="0" fontId="9" fillId="0" borderId="0" xfId="20" applyFont="1"/>
    <xf numFmtId="0" fontId="17" fillId="0" borderId="0" xfId="111" applyFont="1" applyAlignment="1">
      <alignment vertical="center"/>
    </xf>
    <xf numFmtId="0" fontId="10" fillId="0" borderId="0" xfId="20" applyFont="1"/>
    <xf numFmtId="0" fontId="31" fillId="0" borderId="0" xfId="40" applyFont="1" applyAlignment="1">
      <alignment vertical="center"/>
    </xf>
    <xf numFmtId="0" fontId="31" fillId="0" borderId="0" xfId="40" applyFont="1"/>
    <xf numFmtId="0" fontId="24" fillId="0" borderId="0" xfId="40" applyFont="1" applyAlignment="1">
      <alignment horizontal="right"/>
    </xf>
    <xf numFmtId="0" fontId="12" fillId="0" borderId="0" xfId="40" applyFont="1"/>
    <xf numFmtId="0" fontId="31" fillId="0" borderId="0" xfId="109"/>
    <xf numFmtId="0" fontId="31" fillId="0" borderId="0" xfId="109" applyAlignment="1">
      <alignment vertical="center"/>
    </xf>
    <xf numFmtId="0" fontId="31" fillId="0" borderId="0" xfId="0" applyFont="1"/>
    <xf numFmtId="0" fontId="31" fillId="2" borderId="0" xfId="20" applyFill="1"/>
    <xf numFmtId="0" fontId="31" fillId="2" borderId="0" xfId="0" applyFont="1" applyFill="1"/>
    <xf numFmtId="0" fontId="31" fillId="0" borderId="0" xfId="0" applyFont="1" applyAlignment="1">
      <alignment vertical="center"/>
    </xf>
    <xf numFmtId="0" fontId="31" fillId="2" borderId="0" xfId="0" applyFont="1" applyFill="1" applyAlignment="1">
      <alignment vertical="center"/>
    </xf>
    <xf numFmtId="0" fontId="31" fillId="0" borderId="0" xfId="69"/>
    <xf numFmtId="0" fontId="31" fillId="0" borderId="0" xfId="11" applyFont="1"/>
    <xf numFmtId="0" fontId="31" fillId="0" borderId="0" xfId="11" applyFont="1" applyAlignment="1">
      <alignment vertical="center"/>
    </xf>
    <xf numFmtId="0" fontId="31" fillId="0" borderId="0" xfId="69" applyAlignment="1">
      <alignment vertical="center"/>
    </xf>
    <xf numFmtId="0" fontId="31" fillId="0" borderId="0" xfId="111" applyFont="1"/>
    <xf numFmtId="0" fontId="31" fillId="0" borderId="0" xfId="102" applyFont="1"/>
    <xf numFmtId="0" fontId="9" fillId="0" borderId="0" xfId="69" applyFont="1"/>
    <xf numFmtId="0" fontId="10" fillId="0" borderId="0" xfId="69" applyFont="1"/>
    <xf numFmtId="0" fontId="59" fillId="2" borderId="199" xfId="38" applyFont="1" applyFill="1" applyBorder="1" applyAlignment="1">
      <alignment horizontal="center" vertical="center"/>
    </xf>
    <xf numFmtId="0" fontId="59" fillId="2" borderId="167" xfId="38" applyFont="1" applyFill="1" applyBorder="1" applyAlignment="1">
      <alignment horizontal="center" vertical="center"/>
    </xf>
    <xf numFmtId="0" fontId="59" fillId="2" borderId="200" xfId="38" applyFont="1" applyFill="1" applyBorder="1" applyAlignment="1">
      <alignment horizontal="center" vertical="center" wrapText="1"/>
    </xf>
    <xf numFmtId="0" fontId="59" fillId="2" borderId="201" xfId="38" applyFont="1" applyFill="1" applyBorder="1" applyAlignment="1">
      <alignment horizontal="center" vertical="center"/>
    </xf>
    <xf numFmtId="0" fontId="59" fillId="2" borderId="0" xfId="38" applyFont="1" applyFill="1" applyAlignment="1">
      <alignment horizontal="center" vertical="center"/>
    </xf>
    <xf numFmtId="0" fontId="60" fillId="2" borderId="173" xfId="69" applyFont="1" applyFill="1" applyBorder="1" applyAlignment="1">
      <alignment vertical="center" wrapText="1"/>
    </xf>
    <xf numFmtId="0" fontId="60" fillId="2" borderId="165" xfId="38" applyFont="1" applyFill="1" applyBorder="1" applyAlignment="1">
      <alignment horizontal="center" vertical="center" wrapText="1"/>
    </xf>
    <xf numFmtId="0" fontId="60" fillId="2" borderId="173" xfId="38" applyFont="1" applyFill="1" applyBorder="1" applyAlignment="1">
      <alignment vertical="center" wrapText="1"/>
    </xf>
    <xf numFmtId="0" fontId="61" fillId="2" borderId="0" xfId="85" applyFont="1" applyFill="1" applyAlignment="1">
      <alignment vertical="center" wrapText="1"/>
    </xf>
    <xf numFmtId="0" fontId="60" fillId="2" borderId="173" xfId="40" applyFont="1" applyFill="1" applyBorder="1" applyAlignment="1">
      <alignment vertical="center" wrapText="1"/>
    </xf>
    <xf numFmtId="0" fontId="60" fillId="2" borderId="173" xfId="85" applyFont="1" applyFill="1" applyBorder="1" applyAlignment="1">
      <alignment vertical="center" wrapText="1"/>
    </xf>
    <xf numFmtId="0" fontId="60" fillId="0" borderId="173" xfId="85" applyFont="1" applyBorder="1" applyAlignment="1">
      <alignment vertical="center" wrapText="1"/>
    </xf>
    <xf numFmtId="0" fontId="60" fillId="2" borderId="164" xfId="38" quotePrefix="1" applyFont="1" applyFill="1" applyBorder="1" applyAlignment="1">
      <alignment horizontal="center" vertical="center" wrapText="1"/>
    </xf>
    <xf numFmtId="0" fontId="60" fillId="0" borderId="165" xfId="38" applyFont="1" applyBorder="1" applyAlignment="1">
      <alignment horizontal="center" vertical="center" wrapText="1"/>
    </xf>
    <xf numFmtId="0" fontId="60" fillId="0" borderId="173" xfId="38" applyFont="1" applyBorder="1" applyAlignment="1">
      <alignment vertical="center" wrapText="1"/>
    </xf>
    <xf numFmtId="0" fontId="60" fillId="0" borderId="164" xfId="38" quotePrefix="1" applyFont="1" applyBorder="1" applyAlignment="1">
      <alignment horizontal="center" vertical="center" wrapText="1"/>
    </xf>
    <xf numFmtId="0" fontId="60" fillId="0" borderId="175" xfId="38" applyFont="1" applyBorder="1" applyAlignment="1">
      <alignment vertical="center" wrapText="1"/>
    </xf>
    <xf numFmtId="0" fontId="59" fillId="2" borderId="196" xfId="38" applyFont="1" applyFill="1" applyBorder="1" applyAlignment="1">
      <alignment horizontal="center" vertical="center"/>
    </xf>
    <xf numFmtId="0" fontId="60" fillId="2" borderId="202" xfId="38" applyFont="1" applyFill="1" applyBorder="1" applyAlignment="1">
      <alignment horizontal="center" vertical="center" wrapText="1"/>
    </xf>
    <xf numFmtId="0" fontId="62" fillId="2" borderId="197" xfId="38" applyFont="1" applyFill="1" applyBorder="1" applyAlignment="1">
      <alignment horizontal="center" vertical="center" wrapText="1"/>
    </xf>
    <xf numFmtId="0" fontId="62" fillId="2" borderId="87" xfId="38" applyFont="1" applyFill="1" applyBorder="1" applyAlignment="1">
      <alignment horizontal="center" vertical="center" wrapText="1"/>
    </xf>
    <xf numFmtId="0" fontId="62" fillId="2" borderId="163" xfId="38" applyFont="1" applyFill="1" applyBorder="1" applyAlignment="1">
      <alignment horizontal="center" vertical="center" wrapText="1"/>
    </xf>
    <xf numFmtId="0" fontId="62" fillId="2" borderId="198" xfId="38" applyFont="1" applyFill="1" applyBorder="1" applyAlignment="1">
      <alignment vertical="center" wrapText="1"/>
    </xf>
    <xf numFmtId="0" fontId="62" fillId="2" borderId="0" xfId="38" applyFont="1" applyFill="1" applyAlignment="1">
      <alignment vertical="center" wrapText="1"/>
    </xf>
    <xf numFmtId="0" fontId="62" fillId="2" borderId="165" xfId="38" applyFont="1" applyFill="1" applyBorder="1" applyAlignment="1">
      <alignment horizontal="center" vertical="center" wrapText="1"/>
    </xf>
    <xf numFmtId="0" fontId="62" fillId="2" borderId="79" xfId="38" applyFont="1" applyFill="1" applyBorder="1" applyAlignment="1">
      <alignment horizontal="center" vertical="center" wrapText="1"/>
    </xf>
    <xf numFmtId="0" fontId="62" fillId="2" borderId="164" xfId="38" applyFont="1" applyFill="1" applyBorder="1" applyAlignment="1">
      <alignment horizontal="center" vertical="center" wrapText="1"/>
    </xf>
    <xf numFmtId="0" fontId="62" fillId="2" borderId="173" xfId="69" applyFont="1" applyFill="1" applyBorder="1" applyAlignment="1">
      <alignment vertical="center" wrapText="1"/>
    </xf>
    <xf numFmtId="0" fontId="62" fillId="0" borderId="165" xfId="38" applyFont="1" applyBorder="1" applyAlignment="1">
      <alignment horizontal="center" vertical="center" wrapText="1"/>
    </xf>
    <xf numFmtId="0" fontId="62" fillId="0" borderId="79" xfId="38" applyFont="1" applyBorder="1" applyAlignment="1">
      <alignment horizontal="center" vertical="center" wrapText="1"/>
    </xf>
    <xf numFmtId="0" fontId="62" fillId="0" borderId="164" xfId="38" applyFont="1" applyBorder="1" applyAlignment="1">
      <alignment horizontal="center" vertical="center" wrapText="1"/>
    </xf>
    <xf numFmtId="0" fontId="62" fillId="0" borderId="173" xfId="85" applyFont="1" applyBorder="1" applyAlignment="1">
      <alignment vertical="center" wrapText="1"/>
    </xf>
    <xf numFmtId="0" fontId="62" fillId="0" borderId="0" xfId="38" applyFont="1" applyAlignment="1">
      <alignment vertical="center" wrapText="1"/>
    </xf>
    <xf numFmtId="0" fontId="62" fillId="0" borderId="173" xfId="38" applyFont="1" applyBorder="1" applyAlignment="1">
      <alignment horizontal="left" vertical="center" wrapText="1"/>
    </xf>
    <xf numFmtId="0" fontId="62" fillId="2" borderId="173" xfId="85" applyFont="1" applyFill="1" applyBorder="1" applyAlignment="1">
      <alignment vertical="center" wrapText="1"/>
    </xf>
    <xf numFmtId="0" fontId="62" fillId="2" borderId="173" xfId="38" applyFont="1" applyFill="1" applyBorder="1" applyAlignment="1">
      <alignment horizontal="left" vertical="center" wrapText="1"/>
    </xf>
    <xf numFmtId="0" fontId="62" fillId="2" borderId="0" xfId="40" applyFont="1" applyFill="1" applyAlignment="1">
      <alignment vertical="center" wrapText="1"/>
    </xf>
    <xf numFmtId="0" fontId="62" fillId="2" borderId="0" xfId="40" applyFont="1" applyFill="1" applyAlignment="1">
      <alignment horizontal="right" vertical="center" wrapText="1"/>
    </xf>
    <xf numFmtId="0" fontId="62" fillId="0" borderId="173" xfId="69" applyFont="1" applyBorder="1" applyAlignment="1">
      <alignment vertical="center" wrapText="1"/>
    </xf>
    <xf numFmtId="0" fontId="62" fillId="0" borderId="173" xfId="38" applyFont="1" applyBorder="1" applyAlignment="1">
      <alignment vertical="center" wrapText="1"/>
    </xf>
    <xf numFmtId="0" fontId="62" fillId="0" borderId="166" xfId="38" applyFont="1" applyBorder="1" applyAlignment="1">
      <alignment horizontal="center" vertical="center" wrapText="1"/>
    </xf>
    <xf numFmtId="0" fontId="62" fillId="0" borderId="174" xfId="38" applyFont="1" applyBorder="1" applyAlignment="1">
      <alignment horizontal="center" vertical="center" wrapText="1"/>
    </xf>
    <xf numFmtId="0" fontId="9" fillId="0" borderId="0" xfId="40" applyFont="1" applyAlignment="1">
      <alignment vertical="center"/>
    </xf>
    <xf numFmtId="0" fontId="9" fillId="0" borderId="0" xfId="40" applyFont="1"/>
    <xf numFmtId="0" fontId="36" fillId="0" borderId="0" xfId="20" applyFont="1"/>
    <xf numFmtId="0" fontId="10" fillId="0" borderId="0" xfId="0" applyFont="1" applyAlignment="1">
      <alignment vertical="top"/>
    </xf>
    <xf numFmtId="0" fontId="36" fillId="0" borderId="0" xfId="0" applyFont="1" applyAlignment="1">
      <alignment vertical="top"/>
    </xf>
    <xf numFmtId="0" fontId="20" fillId="0" borderId="0" xfId="111" applyFont="1" applyAlignment="1">
      <alignment horizontal="justify" vertical="center"/>
    </xf>
    <xf numFmtId="0" fontId="20" fillId="0" borderId="0" xfId="111" applyFont="1" applyAlignment="1">
      <alignment horizontal="justify" vertical="top"/>
    </xf>
    <xf numFmtId="0" fontId="22" fillId="0" borderId="0" xfId="111" applyFont="1" applyAlignment="1">
      <alignment horizontal="justify"/>
    </xf>
    <xf numFmtId="0" fontId="31" fillId="0" borderId="0" xfId="92" applyFont="1"/>
    <xf numFmtId="0" fontId="24" fillId="0" borderId="0" xfId="40" applyFont="1" applyAlignment="1">
      <alignment vertical="center"/>
    </xf>
    <xf numFmtId="0" fontId="31" fillId="0" borderId="0" xfId="97" applyFont="1"/>
    <xf numFmtId="0" fontId="17" fillId="0" borderId="0" xfId="85" applyFont="1"/>
    <xf numFmtId="0" fontId="31" fillId="0" borderId="0" xfId="40" applyFont="1" applyAlignment="1">
      <alignment vertical="center" wrapText="1"/>
    </xf>
    <xf numFmtId="0" fontId="31" fillId="0" borderId="0" xfId="97" applyFont="1" applyAlignment="1">
      <alignment vertical="center"/>
    </xf>
    <xf numFmtId="0" fontId="16" fillId="0" borderId="0" xfId="97" applyFont="1"/>
    <xf numFmtId="0" fontId="16" fillId="0" borderId="0" xfId="40" applyFont="1" applyAlignment="1">
      <alignment vertical="center" wrapText="1"/>
    </xf>
    <xf numFmtId="0" fontId="14" fillId="0" borderId="0" xfId="40" applyFont="1"/>
    <xf numFmtId="0" fontId="62" fillId="0" borderId="164" xfId="38" quotePrefix="1" applyFont="1" applyBorder="1" applyAlignment="1">
      <alignment horizontal="center" vertical="center" wrapText="1"/>
    </xf>
    <xf numFmtId="0" fontId="27" fillId="0" borderId="0" xfId="111" applyFont="1" applyAlignment="1">
      <alignment horizontal="justify" vertical="center"/>
    </xf>
    <xf numFmtId="0" fontId="36" fillId="0" borderId="0" xfId="69" applyFont="1"/>
    <xf numFmtId="0" fontId="18" fillId="0" borderId="0" xfId="112" applyFont="1" applyAlignment="1">
      <alignment vertical="top"/>
    </xf>
    <xf numFmtId="0" fontId="20" fillId="0" borderId="0" xfId="112" applyFont="1" applyAlignment="1">
      <alignment vertical="top"/>
    </xf>
    <xf numFmtId="0" fontId="19" fillId="0" borderId="0" xfId="69" applyFont="1"/>
    <xf numFmtId="0" fontId="19" fillId="0" borderId="0" xfId="20" applyFont="1"/>
    <xf numFmtId="0" fontId="12" fillId="0" borderId="0" xfId="20" applyFont="1"/>
    <xf numFmtId="0" fontId="31" fillId="0" borderId="0" xfId="175" applyFont="1"/>
    <xf numFmtId="0" fontId="62" fillId="0" borderId="173" xfId="40" applyFont="1" applyBorder="1" applyAlignment="1">
      <alignment vertical="center" wrapText="1"/>
    </xf>
    <xf numFmtId="0" fontId="62" fillId="0" borderId="0" xfId="40" applyFont="1" applyAlignment="1">
      <alignment vertical="center" wrapText="1"/>
    </xf>
    <xf numFmtId="0" fontId="61" fillId="0" borderId="0" xfId="85" applyFont="1" applyAlignment="1">
      <alignment vertical="center" wrapText="1"/>
    </xf>
    <xf numFmtId="0" fontId="62" fillId="0" borderId="0" xfId="40" applyFont="1" applyAlignment="1">
      <alignment horizontal="right" vertical="center" wrapText="1"/>
    </xf>
    <xf numFmtId="0" fontId="60" fillId="0" borderId="173" xfId="69" applyFont="1" applyBorder="1" applyAlignment="1">
      <alignment horizontal="left" vertical="center" wrapText="1"/>
    </xf>
    <xf numFmtId="0" fontId="62" fillId="0" borderId="0" xfId="69" applyFont="1" applyAlignment="1">
      <alignment vertical="center" wrapText="1"/>
    </xf>
    <xf numFmtId="0" fontId="60" fillId="2" borderId="203" xfId="38" applyFont="1" applyFill="1" applyBorder="1" applyAlignment="1">
      <alignment horizontal="center" vertical="center" wrapText="1"/>
    </xf>
    <xf numFmtId="0" fontId="9" fillId="2" borderId="0" xfId="112" applyFont="1" applyFill="1"/>
    <xf numFmtId="0" fontId="16" fillId="0" borderId="0" xfId="40" applyFont="1"/>
    <xf numFmtId="0" fontId="10" fillId="0" borderId="0" xfId="68" applyFont="1"/>
    <xf numFmtId="0" fontId="31" fillId="2" borderId="0" xfId="179" applyFont="1" applyFill="1" applyAlignment="1">
      <alignment vertical="center"/>
    </xf>
    <xf numFmtId="0" fontId="66" fillId="2" borderId="0" xfId="179" applyFont="1" applyFill="1" applyAlignment="1">
      <alignment vertical="center"/>
    </xf>
    <xf numFmtId="0" fontId="27" fillId="0" borderId="0" xfId="111" applyFont="1" applyAlignment="1">
      <alignment horizontal="justify" vertical="top"/>
    </xf>
    <xf numFmtId="0" fontId="31" fillId="0" borderId="0" xfId="111" applyFont="1" applyAlignment="1">
      <alignment vertical="top"/>
    </xf>
    <xf numFmtId="0" fontId="17" fillId="0" borderId="0" xfId="69" applyFont="1" applyAlignment="1">
      <alignment vertical="top" textRotation="180" wrapText="1"/>
    </xf>
    <xf numFmtId="0" fontId="26" fillId="2" borderId="0" xfId="180" applyFont="1" applyFill="1"/>
    <xf numFmtId="0" fontId="17" fillId="0" borderId="0" xfId="112" applyFont="1" applyAlignment="1">
      <alignment vertical="top"/>
    </xf>
    <xf numFmtId="0" fontId="22" fillId="0" borderId="0" xfId="40" applyFont="1"/>
    <xf numFmtId="0" fontId="9" fillId="0" borderId="0" xfId="68" applyFont="1" applyAlignment="1">
      <alignment vertical="center"/>
    </xf>
    <xf numFmtId="0" fontId="9" fillId="6" borderId="0" xfId="68" applyFont="1" applyFill="1" applyAlignment="1">
      <alignment vertical="center"/>
    </xf>
    <xf numFmtId="0" fontId="19" fillId="0" borderId="0" xfId="68" applyFont="1" applyAlignment="1">
      <alignment wrapText="1"/>
    </xf>
    <xf numFmtId="0" fontId="64" fillId="0" borderId="0" xfId="68" applyFont="1"/>
    <xf numFmtId="0" fontId="8" fillId="0" borderId="0" xfId="68" applyFont="1"/>
    <xf numFmtId="0" fontId="8" fillId="0" borderId="0" xfId="68" applyFont="1" applyAlignment="1">
      <alignment vertical="top"/>
    </xf>
    <xf numFmtId="0" fontId="12" fillId="2" borderId="0" xfId="185" applyFont="1" applyFill="1" applyAlignment="1">
      <alignment horizontal="center" vertical="center"/>
    </xf>
    <xf numFmtId="0" fontId="31" fillId="2" borderId="0" xfId="185" applyFont="1" applyFill="1" applyAlignment="1">
      <alignment vertical="center" wrapText="1"/>
    </xf>
    <xf numFmtId="0" fontId="31" fillId="2" borderId="0" xfId="185" applyFont="1" applyFill="1" applyAlignment="1">
      <alignment vertical="center"/>
    </xf>
    <xf numFmtId="0" fontId="8" fillId="2" borderId="0" xfId="186" applyFont="1" applyFill="1" applyAlignment="1">
      <alignment vertical="center"/>
    </xf>
    <xf numFmtId="0" fontId="12" fillId="2" borderId="0" xfId="20" applyFont="1" applyFill="1" applyAlignment="1">
      <alignment vertical="center"/>
    </xf>
    <xf numFmtId="0" fontId="67" fillId="2" borderId="0" xfId="20" applyFont="1" applyFill="1" applyAlignment="1">
      <alignment vertical="center"/>
    </xf>
    <xf numFmtId="0" fontId="15" fillId="2" borderId="0" xfId="20" applyFont="1" applyFill="1" applyAlignment="1">
      <alignment vertical="center"/>
    </xf>
    <xf numFmtId="0" fontId="24" fillId="2" borderId="0" xfId="40" applyFont="1" applyFill="1" applyAlignment="1">
      <alignment horizontal="center" vertical="center"/>
    </xf>
    <xf numFmtId="0" fontId="31" fillId="2" borderId="0" xfId="186" applyFont="1" applyFill="1" applyAlignment="1">
      <alignment vertical="center"/>
    </xf>
    <xf numFmtId="0" fontId="12" fillId="2" borderId="0" xfId="186" applyFont="1" applyFill="1" applyAlignment="1">
      <alignment horizontal="center" vertical="center"/>
    </xf>
    <xf numFmtId="0" fontId="18" fillId="0" borderId="0" xfId="68" applyFont="1"/>
    <xf numFmtId="0" fontId="9" fillId="0" borderId="0" xfId="68" applyFont="1" applyAlignment="1">
      <alignment vertical="top"/>
    </xf>
    <xf numFmtId="0" fontId="18" fillId="0" borderId="0" xfId="111" applyFont="1" applyAlignment="1">
      <alignment horizontal="justify" vertical="top"/>
    </xf>
    <xf numFmtId="0" fontId="31" fillId="0" borderId="0" xfId="20"/>
    <xf numFmtId="0" fontId="11" fillId="0" borderId="0" xfId="112" applyAlignment="1">
      <alignment vertical="center"/>
    </xf>
    <xf numFmtId="0" fontId="31" fillId="0" borderId="0" xfId="68" applyAlignment="1">
      <alignment vertical="center"/>
    </xf>
    <xf numFmtId="0" fontId="31" fillId="0" borderId="0" xfId="68" applyAlignment="1">
      <alignment vertical="top" wrapText="1"/>
    </xf>
    <xf numFmtId="0" fontId="31" fillId="0" borderId="0" xfId="84"/>
    <xf numFmtId="0" fontId="64" fillId="0" borderId="0" xfId="109" applyFont="1"/>
    <xf numFmtId="0" fontId="31" fillId="0" borderId="0" xfId="85"/>
    <xf numFmtId="0" fontId="31" fillId="2" borderId="0" xfId="20" applyFill="1" applyAlignment="1">
      <alignment vertical="center"/>
    </xf>
    <xf numFmtId="0" fontId="28" fillId="0" borderId="0" xfId="40" applyFont="1" applyAlignment="1">
      <alignment horizontal="center" vertical="center"/>
    </xf>
    <xf numFmtId="0" fontId="31" fillId="0" borderId="0" xfId="20" quotePrefix="1" applyAlignment="1">
      <alignment horizontal="center"/>
    </xf>
    <xf numFmtId="0" fontId="31" fillId="2" borderId="0" xfId="186" applyFont="1" applyFill="1" applyAlignment="1">
      <alignment vertical="center" wrapText="1"/>
    </xf>
    <xf numFmtId="0" fontId="31" fillId="2" borderId="0" xfId="188" applyFont="1" applyFill="1" applyAlignment="1">
      <alignment vertical="center"/>
    </xf>
    <xf numFmtId="0" fontId="8" fillId="2" borderId="0" xfId="188" applyFont="1" applyFill="1" applyAlignment="1">
      <alignment vertical="center"/>
    </xf>
    <xf numFmtId="0" fontId="31" fillId="2" borderId="0" xfId="189" applyFont="1" applyFill="1" applyAlignment="1">
      <alignment vertical="center"/>
    </xf>
    <xf numFmtId="0" fontId="11" fillId="2" borderId="0" xfId="188" applyFont="1" applyFill="1" applyAlignment="1">
      <alignment vertical="center"/>
    </xf>
    <xf numFmtId="0" fontId="8" fillId="2" borderId="0" xfId="188" applyFont="1" applyFill="1"/>
    <xf numFmtId="0" fontId="16" fillId="2" borderId="0" xfId="189" applyFont="1" applyFill="1" applyAlignment="1">
      <alignment vertical="center"/>
    </xf>
    <xf numFmtId="0" fontId="66" fillId="2" borderId="0" xfId="188" applyFont="1" applyFill="1" applyAlignment="1">
      <alignment vertical="center"/>
    </xf>
    <xf numFmtId="0" fontId="66" fillId="2" borderId="0" xfId="188" applyFont="1" applyFill="1" applyAlignment="1">
      <alignment vertical="top"/>
    </xf>
    <xf numFmtId="0" fontId="16" fillId="2" borderId="0" xfId="189" applyFont="1" applyFill="1" applyAlignment="1">
      <alignment vertical="top"/>
    </xf>
    <xf numFmtId="0" fontId="31" fillId="2" borderId="0" xfId="191" applyFont="1" applyFill="1" applyAlignment="1">
      <alignment vertical="center"/>
    </xf>
    <xf numFmtId="0" fontId="8" fillId="2" borderId="0" xfId="191" applyFont="1" applyFill="1" applyAlignment="1">
      <alignment vertical="center"/>
    </xf>
    <xf numFmtId="0" fontId="31" fillId="2" borderId="0" xfId="193" applyFont="1" applyFill="1" applyAlignment="1">
      <alignment vertical="center"/>
    </xf>
    <xf numFmtId="0" fontId="31" fillId="2" borderId="0" xfId="185" applyFont="1" applyFill="1" applyAlignment="1">
      <alignment horizontal="center" vertical="center"/>
    </xf>
    <xf numFmtId="0" fontId="31" fillId="2" borderId="0" xfId="185" quotePrefix="1" applyFont="1" applyFill="1" applyAlignment="1">
      <alignment horizontal="right" vertical="center"/>
    </xf>
    <xf numFmtId="0" fontId="31" fillId="2" borderId="0" xfId="187" applyFont="1" applyFill="1" applyAlignment="1">
      <alignment vertical="center"/>
    </xf>
    <xf numFmtId="0" fontId="31" fillId="2" borderId="0" xfId="186" quotePrefix="1" applyFont="1" applyFill="1" applyAlignment="1">
      <alignment horizontal="right" vertical="top"/>
    </xf>
    <xf numFmtId="0" fontId="12" fillId="2" borderId="0" xfId="186" applyFont="1" applyFill="1" applyAlignment="1">
      <alignment horizontal="justify" vertical="center" wrapText="1"/>
    </xf>
    <xf numFmtId="0" fontId="12" fillId="2" borderId="0" xfId="186" applyFont="1" applyFill="1" applyAlignment="1">
      <alignment vertical="center"/>
    </xf>
    <xf numFmtId="0" fontId="31" fillId="2" borderId="0" xfId="186" applyFont="1" applyFill="1" applyAlignment="1">
      <alignment vertical="top" wrapText="1"/>
    </xf>
    <xf numFmtId="0" fontId="31" fillId="2" borderId="0" xfId="68" applyFill="1" applyAlignment="1">
      <alignment wrapText="1"/>
    </xf>
    <xf numFmtId="0" fontId="31" fillId="2" borderId="0" xfId="68" applyFill="1"/>
    <xf numFmtId="0" fontId="12" fillId="2" borderId="0" xfId="68" applyFont="1" applyFill="1" applyAlignment="1">
      <alignment vertical="center"/>
    </xf>
    <xf numFmtId="0" fontId="12" fillId="2" borderId="0" xfId="68" applyFont="1" applyFill="1" applyAlignment="1">
      <alignment vertical="center" wrapText="1"/>
    </xf>
    <xf numFmtId="0" fontId="75" fillId="3" borderId="310" xfId="40" applyFont="1" applyFill="1" applyBorder="1" applyAlignment="1">
      <alignment vertical="center"/>
    </xf>
    <xf numFmtId="0" fontId="75" fillId="3" borderId="83" xfId="40" applyFont="1" applyFill="1" applyBorder="1" applyAlignment="1">
      <alignment vertical="center"/>
    </xf>
    <xf numFmtId="0" fontId="76" fillId="3" borderId="83" xfId="40" applyFont="1" applyFill="1" applyBorder="1" applyAlignment="1">
      <alignment vertical="center"/>
    </xf>
    <xf numFmtId="0" fontId="76" fillId="3" borderId="89" xfId="40" applyFont="1" applyFill="1" applyBorder="1" applyAlignment="1">
      <alignment vertical="center"/>
    </xf>
    <xf numFmtId="0" fontId="75" fillId="3" borderId="314" xfId="40" applyFont="1" applyFill="1" applyBorder="1" applyAlignment="1">
      <alignment vertical="center"/>
    </xf>
    <xf numFmtId="0" fontId="75" fillId="3" borderId="71" xfId="40" applyFont="1" applyFill="1" applyBorder="1" applyAlignment="1">
      <alignment vertical="center"/>
    </xf>
    <xf numFmtId="0" fontId="76" fillId="3" borderId="71" xfId="40" applyFont="1" applyFill="1" applyBorder="1" applyAlignment="1">
      <alignment vertical="center"/>
    </xf>
    <xf numFmtId="0" fontId="76" fillId="3" borderId="74" xfId="40" applyFont="1" applyFill="1" applyBorder="1" applyAlignment="1">
      <alignment vertical="center"/>
    </xf>
    <xf numFmtId="0" fontId="77" fillId="3" borderId="242" xfId="40" quotePrefix="1" applyFont="1" applyFill="1" applyBorder="1" applyAlignment="1">
      <alignment horizontal="right" vertical="center"/>
    </xf>
    <xf numFmtId="0" fontId="78" fillId="3" borderId="289" xfId="40" applyFont="1" applyFill="1" applyBorder="1" applyAlignment="1">
      <alignment vertical="center"/>
    </xf>
    <xf numFmtId="0" fontId="77" fillId="3" borderId="6" xfId="40" quotePrefix="1" applyFont="1" applyFill="1" applyBorder="1" applyAlignment="1">
      <alignment horizontal="right" vertical="center"/>
    </xf>
    <xf numFmtId="0" fontId="77" fillId="3" borderId="0" xfId="40" quotePrefix="1" applyFont="1" applyFill="1" applyAlignment="1">
      <alignment horizontal="right" vertical="center"/>
    </xf>
    <xf numFmtId="0" fontId="77" fillId="3" borderId="0" xfId="40" quotePrefix="1" applyFont="1" applyFill="1" applyAlignment="1">
      <alignment vertical="center"/>
    </xf>
    <xf numFmtId="0" fontId="78" fillId="3" borderId="0" xfId="40" applyFont="1" applyFill="1" applyAlignment="1">
      <alignment vertical="center"/>
    </xf>
    <xf numFmtId="0" fontId="79" fillId="3" borderId="0" xfId="40" applyFont="1" applyFill="1" applyAlignment="1">
      <alignment vertical="center"/>
    </xf>
    <xf numFmtId="0" fontId="77" fillId="3" borderId="312" xfId="40" quotePrefix="1" applyFont="1" applyFill="1" applyBorder="1" applyAlignment="1">
      <alignment horizontal="right" vertical="center"/>
    </xf>
    <xf numFmtId="0" fontId="78" fillId="3" borderId="310" xfId="40" applyFont="1" applyFill="1" applyBorder="1" applyAlignment="1">
      <alignment vertical="center"/>
    </xf>
    <xf numFmtId="0" fontId="77" fillId="3" borderId="83" xfId="40" quotePrefix="1" applyFont="1" applyFill="1" applyBorder="1" applyAlignment="1">
      <alignment horizontal="right" vertical="center"/>
    </xf>
    <xf numFmtId="0" fontId="62" fillId="0" borderId="174" xfId="38" quotePrefix="1" applyFont="1" applyBorder="1" applyAlignment="1">
      <alignment horizontal="center" vertical="center" wrapText="1"/>
    </xf>
    <xf numFmtId="0" fontId="31" fillId="0" borderId="0" xfId="109" applyAlignment="1">
      <alignment vertical="top"/>
    </xf>
    <xf numFmtId="0" fontId="80" fillId="0" borderId="58" xfId="0" applyFont="1" applyBorder="1" applyAlignment="1">
      <alignment horizontal="center"/>
    </xf>
    <xf numFmtId="0" fontId="29" fillId="0" borderId="58" xfId="0" applyFont="1" applyBorder="1"/>
    <xf numFmtId="0" fontId="29" fillId="0" borderId="0" xfId="0" applyFont="1"/>
    <xf numFmtId="169" fontId="12" fillId="0" borderId="0" xfId="4" applyNumberFormat="1" applyFont="1" applyFill="1" applyBorder="1" applyAlignment="1"/>
    <xf numFmtId="0" fontId="31" fillId="7" borderId="0" xfId="0" applyFont="1" applyFill="1"/>
    <xf numFmtId="0" fontId="17" fillId="7" borderId="0" xfId="80" applyFont="1" applyFill="1"/>
    <xf numFmtId="0" fontId="31" fillId="7" borderId="0" xfId="0" applyFont="1" applyFill="1" applyAlignment="1">
      <alignment vertical="center"/>
    </xf>
    <xf numFmtId="0" fontId="19" fillId="7" borderId="0" xfId="80" applyFont="1" applyFill="1"/>
    <xf numFmtId="0" fontId="19" fillId="7" borderId="0" xfId="80" applyFont="1" applyFill="1" applyAlignment="1">
      <alignment horizontal="center"/>
    </xf>
    <xf numFmtId="0" fontId="17" fillId="7" borderId="0" xfId="111" applyFont="1" applyFill="1" applyAlignment="1">
      <alignment vertical="center"/>
    </xf>
    <xf numFmtId="0" fontId="10" fillId="7" borderId="0" xfId="80" applyFont="1" applyFill="1"/>
    <xf numFmtId="0" fontId="13" fillId="7" borderId="0" xfId="69" applyFont="1" applyFill="1" applyAlignment="1">
      <alignment vertical="top"/>
    </xf>
    <xf numFmtId="0" fontId="16" fillId="7" borderId="0" xfId="69" applyFont="1" applyFill="1" applyAlignment="1">
      <alignment vertical="center"/>
    </xf>
    <xf numFmtId="0" fontId="16" fillId="7" borderId="69" xfId="69" applyFont="1" applyFill="1" applyBorder="1" applyAlignment="1">
      <alignment horizontal="left" vertical="center"/>
    </xf>
    <xf numFmtId="0" fontId="16" fillId="7" borderId="71" xfId="69" applyFont="1" applyFill="1" applyBorder="1" applyAlignment="1">
      <alignment horizontal="left" vertical="center"/>
    </xf>
    <xf numFmtId="0" fontId="16" fillId="7" borderId="71" xfId="69" applyFont="1" applyFill="1" applyBorder="1" applyAlignment="1">
      <alignment vertical="center"/>
    </xf>
    <xf numFmtId="0" fontId="16" fillId="7" borderId="72" xfId="69" applyFont="1" applyFill="1" applyBorder="1" applyAlignment="1">
      <alignment horizontal="left" vertical="center"/>
    </xf>
    <xf numFmtId="0" fontId="16" fillId="7" borderId="73" xfId="69" applyFont="1" applyFill="1" applyBorder="1" applyAlignment="1">
      <alignment horizontal="left" vertical="center"/>
    </xf>
    <xf numFmtId="0" fontId="16" fillId="7" borderId="73" xfId="69" applyFont="1" applyFill="1" applyBorder="1" applyAlignment="1">
      <alignment vertical="center"/>
    </xf>
    <xf numFmtId="0" fontId="35" fillId="7" borderId="0" xfId="112" applyFont="1" applyFill="1"/>
    <xf numFmtId="0" fontId="31" fillId="7" borderId="0" xfId="69" applyFill="1"/>
    <xf numFmtId="0" fontId="17" fillId="7" borderId="0" xfId="112" applyFont="1" applyFill="1" applyAlignment="1">
      <alignment vertical="center"/>
    </xf>
    <xf numFmtId="0" fontId="11" fillId="7" borderId="0" xfId="112" applyFill="1"/>
    <xf numFmtId="0" fontId="9" fillId="7" borderId="0" xfId="69" applyFont="1" applyFill="1"/>
    <xf numFmtId="0" fontId="17" fillId="7" borderId="0" xfId="80" applyFont="1" applyFill="1" applyAlignment="1">
      <alignment vertical="center"/>
    </xf>
    <xf numFmtId="0" fontId="31" fillId="7" borderId="0" xfId="69" applyFill="1" applyAlignment="1">
      <alignment horizontal="center"/>
    </xf>
    <xf numFmtId="0" fontId="19" fillId="7" borderId="0" xfId="69" applyFont="1" applyFill="1"/>
    <xf numFmtId="0" fontId="18" fillId="7" borderId="0" xfId="80" applyFont="1" applyFill="1" applyAlignment="1">
      <alignment horizontal="center"/>
    </xf>
    <xf numFmtId="0" fontId="78" fillId="2" borderId="0" xfId="2" applyFont="1" applyFill="1" applyAlignment="1" applyProtection="1">
      <alignment vertical="center"/>
      <protection locked="0"/>
    </xf>
    <xf numFmtId="0" fontId="19" fillId="7" borderId="0" xfId="80" applyFont="1" applyFill="1" applyAlignment="1">
      <alignment horizontal="center" vertical="top"/>
    </xf>
    <xf numFmtId="0" fontId="16" fillId="7" borderId="74" xfId="69" applyFont="1" applyFill="1" applyBorder="1" applyAlignment="1">
      <alignment vertical="center"/>
    </xf>
    <xf numFmtId="0" fontId="16" fillId="7" borderId="71" xfId="69" applyFont="1" applyFill="1" applyBorder="1" applyAlignment="1">
      <alignment vertical="center" wrapText="1"/>
    </xf>
    <xf numFmtId="0" fontId="16" fillId="7" borderId="74" xfId="69" applyFont="1" applyFill="1" applyBorder="1" applyAlignment="1">
      <alignment vertical="center" wrapText="1"/>
    </xf>
    <xf numFmtId="0" fontId="16" fillId="7" borderId="81" xfId="69" applyFont="1" applyFill="1" applyBorder="1" applyAlignment="1">
      <alignment vertical="center"/>
    </xf>
    <xf numFmtId="0" fontId="16" fillId="7" borderId="81" xfId="69" applyFont="1" applyFill="1" applyBorder="1" applyAlignment="1">
      <alignment horizontal="justify" vertical="center" wrapText="1"/>
    </xf>
    <xf numFmtId="0" fontId="16" fillId="7" borderId="84" xfId="69" applyFont="1" applyFill="1" applyBorder="1" applyAlignment="1">
      <alignment vertical="center" wrapText="1"/>
    </xf>
    <xf numFmtId="0" fontId="16" fillId="7" borderId="81" xfId="69" applyFont="1" applyFill="1" applyBorder="1" applyAlignment="1">
      <alignment vertical="center" wrapText="1"/>
    </xf>
    <xf numFmtId="0" fontId="16" fillId="7" borderId="81" xfId="69" applyFont="1" applyFill="1" applyBorder="1" applyAlignment="1">
      <alignment horizontal="left" vertical="center"/>
    </xf>
    <xf numFmtId="0" fontId="16" fillId="7" borderId="69" xfId="69" applyFont="1" applyFill="1" applyBorder="1" applyAlignment="1">
      <alignment vertical="center"/>
    </xf>
    <xf numFmtId="0" fontId="16" fillId="7" borderId="80" xfId="69" applyFont="1" applyFill="1" applyBorder="1" applyAlignment="1">
      <alignment horizontal="left" vertical="center"/>
    </xf>
    <xf numFmtId="0" fontId="16" fillId="7" borderId="76" xfId="69" applyFont="1" applyFill="1" applyBorder="1" applyAlignment="1">
      <alignment vertical="center"/>
    </xf>
    <xf numFmtId="0" fontId="12" fillId="7" borderId="0" xfId="69" applyFont="1" applyFill="1"/>
    <xf numFmtId="0" fontId="31" fillId="7" borderId="0" xfId="20" applyFill="1"/>
    <xf numFmtId="0" fontId="12" fillId="7" borderId="0" xfId="20" applyFont="1" applyFill="1"/>
    <xf numFmtId="0" fontId="16" fillId="7" borderId="0" xfId="111" applyFont="1" applyFill="1"/>
    <xf numFmtId="0" fontId="9" fillId="7" borderId="0" xfId="20" applyFont="1" applyFill="1"/>
    <xf numFmtId="0" fontId="16" fillId="7" borderId="0" xfId="20" applyFont="1" applyFill="1"/>
    <xf numFmtId="0" fontId="31" fillId="7" borderId="0" xfId="111" applyFont="1" applyFill="1" applyAlignment="1">
      <alignment vertical="center" wrapText="1"/>
    </xf>
    <xf numFmtId="0" fontId="17" fillId="7" borderId="2" xfId="111" applyFont="1" applyFill="1" applyBorder="1" applyAlignment="1">
      <alignment vertical="center" wrapText="1"/>
    </xf>
    <xf numFmtId="0" fontId="31" fillId="7" borderId="0" xfId="111" applyFont="1" applyFill="1"/>
    <xf numFmtId="0" fontId="31" fillId="7" borderId="0" xfId="111" applyFont="1" applyFill="1" applyAlignment="1">
      <alignment vertical="center"/>
    </xf>
    <xf numFmtId="0" fontId="12" fillId="7" borderId="0" xfId="111" applyFont="1" applyFill="1" applyAlignment="1">
      <alignment horizontal="right" vertical="top"/>
    </xf>
    <xf numFmtId="0" fontId="17" fillId="7" borderId="0" xfId="111" applyFont="1" applyFill="1" applyAlignment="1">
      <alignment horizontal="right" vertical="top"/>
    </xf>
    <xf numFmtId="0" fontId="17" fillId="7" borderId="0" xfId="111" applyFont="1" applyFill="1"/>
    <xf numFmtId="0" fontId="18" fillId="7" borderId="0" xfId="111" applyFont="1" applyFill="1" applyAlignment="1">
      <alignment vertical="center"/>
    </xf>
    <xf numFmtId="0" fontId="9" fillId="7" borderId="0" xfId="111" applyFont="1" applyFill="1"/>
    <xf numFmtId="0" fontId="14" fillId="7" borderId="0" xfId="112" applyFont="1" applyFill="1" applyAlignment="1">
      <alignment vertical="center"/>
    </xf>
    <xf numFmtId="0" fontId="12" fillId="7" borderId="0" xfId="69" applyFont="1" applyFill="1" applyAlignment="1">
      <alignment vertical="center"/>
    </xf>
    <xf numFmtId="0" fontId="14" fillId="7" borderId="0" xfId="80" applyFont="1" applyFill="1" applyAlignment="1">
      <alignment horizontal="center"/>
    </xf>
    <xf numFmtId="0" fontId="16" fillId="7" borderId="0" xfId="20" applyFont="1" applyFill="1" applyAlignment="1">
      <alignment vertical="center"/>
    </xf>
    <xf numFmtId="0" fontId="31" fillId="7" borderId="0" xfId="111" applyFont="1" applyFill="1" applyAlignment="1">
      <alignment vertical="top" wrapText="1"/>
    </xf>
    <xf numFmtId="0" fontId="17" fillId="7" borderId="0" xfId="0" applyFont="1" applyFill="1" applyAlignment="1">
      <alignment vertical="top"/>
    </xf>
    <xf numFmtId="0" fontId="10" fillId="7" borderId="0" xfId="20" applyFont="1" applyFill="1"/>
    <xf numFmtId="0" fontId="10" fillId="7" borderId="0" xfId="80" applyFont="1" applyFill="1" applyAlignment="1">
      <alignment horizontal="center"/>
    </xf>
    <xf numFmtId="0" fontId="36" fillId="7" borderId="0" xfId="20" applyFont="1" applyFill="1"/>
    <xf numFmtId="0" fontId="12" fillId="7" borderId="0" xfId="0" applyFont="1" applyFill="1" applyAlignment="1">
      <alignment vertical="center"/>
    </xf>
    <xf numFmtId="0" fontId="39" fillId="7" borderId="0" xfId="0" applyFont="1" applyFill="1"/>
    <xf numFmtId="0" fontId="31" fillId="7" borderId="82" xfId="0" applyFont="1" applyFill="1" applyBorder="1" applyAlignment="1">
      <alignment vertical="center"/>
    </xf>
    <xf numFmtId="0" fontId="31" fillId="7" borderId="83" xfId="0" applyFont="1" applyFill="1" applyBorder="1" applyAlignment="1">
      <alignment vertical="center"/>
    </xf>
    <xf numFmtId="0" fontId="31" fillId="7" borderId="89" xfId="0" applyFont="1" applyFill="1" applyBorder="1" applyAlignment="1">
      <alignment vertical="center"/>
    </xf>
    <xf numFmtId="0" fontId="31" fillId="7" borderId="69" xfId="0" applyFont="1" applyFill="1" applyBorder="1" applyAlignment="1">
      <alignment vertical="center"/>
    </xf>
    <xf numFmtId="0" fontId="31" fillId="7" borderId="71" xfId="0" applyFont="1" applyFill="1" applyBorder="1" applyAlignment="1">
      <alignment vertical="center"/>
    </xf>
    <xf numFmtId="0" fontId="31" fillId="7" borderId="74" xfId="0" applyFont="1" applyFill="1" applyBorder="1" applyAlignment="1">
      <alignment vertical="center"/>
    </xf>
    <xf numFmtId="0" fontId="31" fillId="7" borderId="142" xfId="0" applyFont="1" applyFill="1" applyBorder="1" applyAlignment="1">
      <alignment vertical="center"/>
    </xf>
    <xf numFmtId="0" fontId="31" fillId="7" borderId="143" xfId="0" applyFont="1" applyFill="1" applyBorder="1" applyAlignment="1">
      <alignment vertical="center"/>
    </xf>
    <xf numFmtId="0" fontId="31" fillId="7" borderId="141" xfId="0" applyFont="1" applyFill="1" applyBorder="1" applyAlignment="1">
      <alignment vertical="center"/>
    </xf>
    <xf numFmtId="0" fontId="31" fillId="7" borderId="15" xfId="0" applyFont="1" applyFill="1" applyBorder="1" applyAlignment="1">
      <alignment vertical="center"/>
    </xf>
    <xf numFmtId="0" fontId="31" fillId="7" borderId="16" xfId="0" applyFont="1" applyFill="1" applyBorder="1" applyAlignment="1">
      <alignment vertical="center"/>
    </xf>
    <xf numFmtId="0" fontId="31" fillId="7" borderId="19" xfId="0" applyFont="1" applyFill="1" applyBorder="1" applyAlignment="1">
      <alignment vertical="center"/>
    </xf>
    <xf numFmtId="0" fontId="43" fillId="7" borderId="3" xfId="0" applyFont="1" applyFill="1" applyBorder="1" applyAlignment="1">
      <alignment horizontal="center" vertical="center"/>
    </xf>
    <xf numFmtId="0" fontId="31" fillId="7" borderId="11" xfId="0" applyFont="1" applyFill="1" applyBorder="1" applyAlignment="1">
      <alignment vertical="center"/>
    </xf>
    <xf numFmtId="0" fontId="43" fillId="7" borderId="82" xfId="0" applyFont="1" applyFill="1" applyBorder="1" applyAlignment="1">
      <alignment horizontal="center" vertical="center"/>
    </xf>
    <xf numFmtId="0" fontId="43" fillId="7" borderId="80" xfId="0" applyFont="1" applyFill="1" applyBorder="1" applyAlignment="1">
      <alignment horizontal="center" vertical="center"/>
    </xf>
    <xf numFmtId="0" fontId="31" fillId="7" borderId="84" xfId="0" applyFont="1" applyFill="1" applyBorder="1" applyAlignment="1">
      <alignment vertical="center"/>
    </xf>
    <xf numFmtId="0" fontId="14" fillId="7" borderId="0" xfId="111" applyFont="1" applyFill="1" applyAlignment="1">
      <alignment vertical="center"/>
    </xf>
    <xf numFmtId="0" fontId="16" fillId="7" borderId="0" xfId="69" applyFont="1" applyFill="1"/>
    <xf numFmtId="0" fontId="27" fillId="7" borderId="0" xfId="0" applyFont="1" applyFill="1"/>
    <xf numFmtId="0" fontId="44" fillId="7" borderId="0" xfId="0" applyFont="1" applyFill="1" applyAlignment="1">
      <alignment vertical="center"/>
    </xf>
    <xf numFmtId="0" fontId="19" fillId="7" borderId="0" xfId="0" applyFont="1" applyFill="1" applyAlignment="1">
      <alignment horizontal="centerContinuous"/>
    </xf>
    <xf numFmtId="0" fontId="31" fillId="7" borderId="0" xfId="0" applyFont="1" applyFill="1" applyAlignment="1">
      <alignment horizontal="centerContinuous"/>
    </xf>
    <xf numFmtId="0" fontId="27" fillId="7" borderId="0" xfId="0" applyFont="1" applyFill="1" applyAlignment="1">
      <alignment horizontal="centerContinuous"/>
    </xf>
    <xf numFmtId="0" fontId="12" fillId="7" borderId="0" xfId="0" applyFont="1" applyFill="1"/>
    <xf numFmtId="0" fontId="35" fillId="7" borderId="0" xfId="0" applyFont="1" applyFill="1"/>
    <xf numFmtId="0" fontId="18" fillId="7" borderId="0" xfId="0" applyFont="1" applyFill="1"/>
    <xf numFmtId="0" fontId="12" fillId="7" borderId="0" xfId="0" applyFont="1" applyFill="1" applyAlignment="1">
      <alignment horizontal="centerContinuous"/>
    </xf>
    <xf numFmtId="0" fontId="37" fillId="7" borderId="0" xfId="0" applyFont="1" applyFill="1"/>
    <xf numFmtId="0" fontId="27" fillId="7" borderId="168" xfId="0" applyFont="1" applyFill="1" applyBorder="1"/>
    <xf numFmtId="0" fontId="27" fillId="7" borderId="49" xfId="0" applyFont="1" applyFill="1" applyBorder="1"/>
    <xf numFmtId="0" fontId="31" fillId="7" borderId="44" xfId="0" applyFont="1" applyFill="1" applyBorder="1" applyAlignment="1">
      <alignment vertical="top" wrapText="1" shrinkToFit="1"/>
    </xf>
    <xf numFmtId="0" fontId="27" fillId="7" borderId="170" xfId="0" applyFont="1" applyFill="1" applyBorder="1"/>
    <xf numFmtId="0" fontId="17" fillId="7" borderId="172" xfId="0" applyFont="1" applyFill="1" applyBorder="1" applyAlignment="1">
      <alignment vertical="top" wrapText="1" shrinkToFit="1"/>
    </xf>
    <xf numFmtId="0" fontId="17" fillId="7" borderId="0" xfId="80" applyFont="1" applyFill="1" applyAlignment="1">
      <alignment horizontal="right"/>
    </xf>
    <xf numFmtId="0" fontId="27" fillId="7" borderId="0" xfId="80" applyFont="1" applyFill="1"/>
    <xf numFmtId="0" fontId="10" fillId="7" borderId="0" xfId="80" applyFont="1" applyFill="1" applyAlignment="1">
      <alignment horizontal="center" vertical="top"/>
    </xf>
    <xf numFmtId="0" fontId="10" fillId="7" borderId="0" xfId="80" applyFont="1" applyFill="1" applyAlignment="1">
      <alignment vertical="top"/>
    </xf>
    <xf numFmtId="0" fontId="17" fillId="7" borderId="0" xfId="2" applyFont="1" applyFill="1"/>
    <xf numFmtId="0" fontId="31" fillId="7" borderId="0" xfId="2" applyFill="1"/>
    <xf numFmtId="0" fontId="10" fillId="7" borderId="0" xfId="0" applyFont="1" applyFill="1"/>
    <xf numFmtId="0" fontId="82" fillId="7" borderId="0" xfId="80" applyFont="1" applyFill="1" applyAlignment="1">
      <alignment horizontal="left" vertical="top"/>
    </xf>
    <xf numFmtId="0" fontId="47" fillId="7" borderId="0" xfId="80" applyFont="1" applyFill="1" applyAlignment="1">
      <alignment horizontal="centerContinuous"/>
    </xf>
    <xf numFmtId="0" fontId="12" fillId="7" borderId="0" xfId="2" applyFont="1" applyFill="1" applyAlignment="1">
      <alignment vertical="center"/>
    </xf>
    <xf numFmtId="0" fontId="31" fillId="7" borderId="0" xfId="2" applyFill="1" applyAlignment="1">
      <alignment vertical="center"/>
    </xf>
    <xf numFmtId="0" fontId="31" fillId="7" borderId="0" xfId="2" applyFill="1" applyAlignment="1">
      <alignment horizontal="center"/>
    </xf>
    <xf numFmtId="0" fontId="9" fillId="7" borderId="0" xfId="0" applyFont="1" applyFill="1"/>
    <xf numFmtId="0" fontId="18" fillId="7" borderId="0" xfId="80" applyFont="1" applyFill="1"/>
    <xf numFmtId="0" fontId="18" fillId="7" borderId="0" xfId="110" applyFont="1" applyFill="1"/>
    <xf numFmtId="0" fontId="19" fillId="7" borderId="0" xfId="0" applyFont="1" applyFill="1"/>
    <xf numFmtId="0" fontId="13" fillId="7" borderId="0" xfId="0" applyFont="1" applyFill="1"/>
    <xf numFmtId="0" fontId="16" fillId="7" borderId="0" xfId="0" applyFont="1" applyFill="1"/>
    <xf numFmtId="0" fontId="16" fillId="7" borderId="0" xfId="0" applyFont="1" applyFill="1" applyAlignment="1">
      <alignment vertical="center"/>
    </xf>
    <xf numFmtId="0" fontId="13" fillId="7" borderId="15" xfId="0" applyFont="1" applyFill="1" applyBorder="1" applyAlignment="1">
      <alignment vertical="center"/>
    </xf>
    <xf numFmtId="0" fontId="13" fillId="7" borderId="14" xfId="0" applyFont="1" applyFill="1" applyBorder="1" applyAlignment="1">
      <alignment vertical="center"/>
    </xf>
    <xf numFmtId="0" fontId="13" fillId="7" borderId="18" xfId="0" applyFont="1" applyFill="1" applyBorder="1" applyAlignment="1">
      <alignment vertical="center"/>
    </xf>
    <xf numFmtId="0" fontId="16" fillId="7" borderId="15" xfId="0" applyFont="1" applyFill="1" applyBorder="1" applyAlignment="1">
      <alignment vertical="center"/>
    </xf>
    <xf numFmtId="0" fontId="16" fillId="7" borderId="16" xfId="0" applyFont="1" applyFill="1" applyBorder="1" applyAlignment="1">
      <alignment vertical="center" wrapText="1"/>
    </xf>
    <xf numFmtId="0" fontId="16" fillId="7" borderId="16" xfId="0" applyFont="1" applyFill="1" applyBorder="1" applyAlignment="1">
      <alignment vertical="center"/>
    </xf>
    <xf numFmtId="0" fontId="16" fillId="7" borderId="19" xfId="0" applyFont="1" applyFill="1" applyBorder="1" applyAlignment="1">
      <alignment vertical="center" wrapText="1"/>
    </xf>
    <xf numFmtId="0" fontId="16" fillId="7" borderId="113" xfId="0" applyFont="1" applyFill="1" applyBorder="1" applyAlignment="1">
      <alignment vertical="center" wrapText="1"/>
    </xf>
    <xf numFmtId="0" fontId="12" fillId="7" borderId="0" xfId="0" applyFont="1" applyFill="1" applyAlignment="1">
      <alignment vertical="center" wrapText="1"/>
    </xf>
    <xf numFmtId="0" fontId="9" fillId="7" borderId="0" xfId="112" applyFont="1" applyFill="1"/>
    <xf numFmtId="0" fontId="18" fillId="7" borderId="0" xfId="111" quotePrefix="1" applyFont="1" applyFill="1" applyAlignment="1">
      <alignment horizontal="right" vertical="top"/>
    </xf>
    <xf numFmtId="0" fontId="18" fillId="7" borderId="0" xfId="0" applyFont="1" applyFill="1" applyAlignment="1">
      <alignment wrapText="1"/>
    </xf>
    <xf numFmtId="0" fontId="18" fillId="7" borderId="0" xfId="0" applyFont="1" applyFill="1" applyAlignment="1">
      <alignment horizontal="left" wrapText="1"/>
    </xf>
    <xf numFmtId="0" fontId="9" fillId="7" borderId="0" xfId="0" applyFont="1" applyFill="1" applyAlignment="1">
      <alignment horizontal="justify" vertical="top" wrapText="1"/>
    </xf>
    <xf numFmtId="0" fontId="13" fillId="7" borderId="0" xfId="37" applyFont="1" applyFill="1" applyAlignment="1">
      <alignment vertical="center"/>
    </xf>
    <xf numFmtId="0" fontId="16" fillId="7" borderId="0" xfId="117" applyFont="1" applyFill="1" applyAlignment="1">
      <alignment vertical="center"/>
    </xf>
    <xf numFmtId="0" fontId="13" fillId="7" borderId="0" xfId="0" applyFont="1" applyFill="1" applyAlignment="1">
      <alignment vertical="center"/>
    </xf>
    <xf numFmtId="0" fontId="22" fillId="7" borderId="0" xfId="0" applyFont="1" applyFill="1" applyAlignment="1">
      <alignment vertical="center"/>
    </xf>
    <xf numFmtId="0" fontId="17" fillId="7" borderId="0" xfId="117" applyFont="1" applyFill="1" applyAlignment="1">
      <alignment wrapText="1"/>
    </xf>
    <xf numFmtId="0" fontId="14" fillId="7" borderId="0" xfId="117" applyFont="1" applyFill="1" applyAlignment="1">
      <alignment vertical="top" wrapText="1"/>
    </xf>
    <xf numFmtId="0" fontId="19" fillId="7" borderId="0" xfId="80" applyFont="1" applyFill="1" applyAlignment="1">
      <alignment vertical="top"/>
    </xf>
    <xf numFmtId="0" fontId="16" fillId="7" borderId="3" xfId="117" applyFont="1" applyFill="1" applyBorder="1" applyAlignment="1">
      <alignment vertical="center"/>
    </xf>
    <xf numFmtId="0" fontId="9" fillId="7" borderId="0" xfId="0" applyFont="1" applyFill="1" applyAlignment="1">
      <alignment horizontal="center"/>
    </xf>
    <xf numFmtId="0" fontId="11" fillId="7" borderId="0" xfId="0" applyFont="1" applyFill="1"/>
    <xf numFmtId="0" fontId="83" fillId="7" borderId="0" xfId="0" applyFont="1" applyFill="1" applyAlignment="1">
      <alignment horizontal="left" vertical="center" wrapText="1"/>
    </xf>
    <xf numFmtId="0" fontId="31" fillId="7" borderId="90" xfId="0" applyFont="1" applyFill="1" applyBorder="1" applyAlignment="1">
      <alignment vertical="center"/>
    </xf>
    <xf numFmtId="0" fontId="31" fillId="7" borderId="70" xfId="0" applyFont="1" applyFill="1" applyBorder="1" applyAlignment="1">
      <alignment horizontal="left" vertical="center"/>
    </xf>
    <xf numFmtId="0" fontId="31" fillId="7" borderId="70" xfId="0" applyFont="1" applyFill="1" applyBorder="1" applyAlignment="1">
      <alignment vertical="center"/>
    </xf>
    <xf numFmtId="0" fontId="31" fillId="7" borderId="91" xfId="0" applyFont="1" applyFill="1" applyBorder="1" applyAlignment="1">
      <alignment vertical="center"/>
    </xf>
    <xf numFmtId="0" fontId="31" fillId="7" borderId="71" xfId="0" applyFont="1" applyFill="1" applyBorder="1" applyAlignment="1">
      <alignment horizontal="left" vertical="center"/>
    </xf>
    <xf numFmtId="0" fontId="31" fillId="7" borderId="143" xfId="0" applyFont="1" applyFill="1" applyBorder="1" applyAlignment="1">
      <alignment horizontal="left" vertical="center"/>
    </xf>
    <xf numFmtId="0" fontId="31" fillId="7" borderId="138" xfId="0" applyFont="1" applyFill="1" applyBorder="1" applyAlignment="1">
      <alignment vertical="center"/>
    </xf>
    <xf numFmtId="0" fontId="31" fillId="7" borderId="139" xfId="0" applyFont="1" applyFill="1" applyBorder="1" applyAlignment="1">
      <alignment horizontal="left" vertical="center"/>
    </xf>
    <xf numFmtId="0" fontId="31" fillId="7" borderId="139" xfId="0" applyFont="1" applyFill="1" applyBorder="1" applyAlignment="1">
      <alignment vertical="center"/>
    </xf>
    <xf numFmtId="0" fontId="31" fillId="7" borderId="148" xfId="0" applyFont="1" applyFill="1" applyBorder="1" applyAlignment="1">
      <alignment vertical="center"/>
    </xf>
    <xf numFmtId="0" fontId="31" fillId="7" borderId="3" xfId="0" applyFont="1" applyFill="1" applyBorder="1" applyAlignment="1">
      <alignment horizontal="left" vertical="center" indent="1"/>
    </xf>
    <xf numFmtId="0" fontId="31" fillId="7" borderId="160" xfId="0" applyFont="1" applyFill="1" applyBorder="1" applyAlignment="1">
      <alignment horizontal="left" vertical="center"/>
    </xf>
    <xf numFmtId="0" fontId="18" fillId="7" borderId="0" xfId="111" applyFont="1" applyFill="1" applyAlignment="1">
      <alignment horizontal="right" vertical="top"/>
    </xf>
    <xf numFmtId="0" fontId="18" fillId="7" borderId="0" xfId="111" applyFont="1" applyFill="1" applyAlignment="1">
      <alignment horizontal="justify" vertical="top"/>
    </xf>
    <xf numFmtId="0" fontId="17" fillId="7" borderId="0" xfId="111" applyFont="1" applyFill="1" applyAlignment="1">
      <alignment vertical="top"/>
    </xf>
    <xf numFmtId="0" fontId="9" fillId="7" borderId="0" xfId="111" applyFont="1" applyFill="1" applyAlignment="1">
      <alignment vertical="center"/>
    </xf>
    <xf numFmtId="0" fontId="18" fillId="7" borderId="0" xfId="0" applyFont="1" applyFill="1" applyAlignment="1">
      <alignment vertical="center" textRotation="180" wrapText="1"/>
    </xf>
    <xf numFmtId="0" fontId="18" fillId="7" borderId="0" xfId="111" applyFont="1" applyFill="1" applyAlignment="1">
      <alignment vertical="top"/>
    </xf>
    <xf numFmtId="0" fontId="14" fillId="7" borderId="0" xfId="0" quotePrefix="1" applyFont="1" applyFill="1" applyAlignment="1">
      <alignment horizontal="right"/>
    </xf>
    <xf numFmtId="0" fontId="9" fillId="7" borderId="0" xfId="0" applyFont="1" applyFill="1" applyAlignment="1">
      <alignment vertical="center"/>
    </xf>
    <xf numFmtId="0" fontId="13" fillId="7" borderId="0" xfId="111" applyFont="1" applyFill="1" applyAlignment="1">
      <alignment horizontal="center" vertical="center"/>
    </xf>
    <xf numFmtId="0" fontId="18" fillId="7" borderId="0" xfId="0" applyFont="1" applyFill="1" applyAlignment="1">
      <alignment horizontal="left" vertical="center" shrinkToFit="1"/>
    </xf>
    <xf numFmtId="0" fontId="13" fillId="7" borderId="0" xfId="112" applyFont="1" applyFill="1" applyAlignment="1">
      <alignment horizontal="center" vertical="top"/>
    </xf>
    <xf numFmtId="0" fontId="14" fillId="7" borderId="0" xfId="0" quotePrefix="1" applyFont="1" applyFill="1" applyAlignment="1">
      <alignment horizontal="right" vertical="center"/>
    </xf>
    <xf numFmtId="0" fontId="31" fillId="7" borderId="0" xfId="0" applyFont="1" applyFill="1" applyAlignment="1">
      <alignment horizontal="center"/>
    </xf>
    <xf numFmtId="0" fontId="31" fillId="7" borderId="0" xfId="11" applyFont="1" applyFill="1"/>
    <xf numFmtId="0" fontId="12" fillId="7" borderId="0" xfId="11" applyFont="1" applyFill="1"/>
    <xf numFmtId="0" fontId="39" fillId="7" borderId="0" xfId="11" applyFont="1" applyFill="1"/>
    <xf numFmtId="0" fontId="31" fillId="7" borderId="0" xfId="11" applyFont="1" applyFill="1" applyAlignment="1">
      <alignment vertical="center"/>
    </xf>
    <xf numFmtId="0" fontId="31" fillId="7" borderId="82" xfId="11" applyFont="1" applyFill="1" applyBorder="1" applyAlignment="1">
      <alignment vertical="center"/>
    </xf>
    <xf numFmtId="0" fontId="31" fillId="7" borderId="83" xfId="11" applyFont="1" applyFill="1" applyBorder="1" applyAlignment="1">
      <alignment horizontal="left" vertical="center"/>
    </xf>
    <xf numFmtId="0" fontId="31" fillId="7" borderId="69" xfId="11" applyFont="1" applyFill="1" applyBorder="1" applyAlignment="1">
      <alignment vertical="center"/>
    </xf>
    <xf numFmtId="0" fontId="31" fillId="7" borderId="71" xfId="11" applyFont="1" applyFill="1" applyBorder="1" applyAlignment="1">
      <alignment horizontal="left" vertical="center"/>
    </xf>
    <xf numFmtId="0" fontId="31" fillId="7" borderId="80" xfId="11" applyFont="1" applyFill="1" applyBorder="1" applyAlignment="1">
      <alignment vertical="center"/>
    </xf>
    <xf numFmtId="0" fontId="31" fillId="7" borderId="81" xfId="11" applyFont="1" applyFill="1" applyBorder="1" applyAlignment="1">
      <alignment horizontal="left" vertical="center"/>
    </xf>
    <xf numFmtId="0" fontId="31" fillId="7" borderId="138" xfId="11" applyFont="1" applyFill="1" applyBorder="1" applyAlignment="1">
      <alignment vertical="center"/>
    </xf>
    <xf numFmtId="0" fontId="31" fillId="7" borderId="139" xfId="11" applyFont="1" applyFill="1" applyBorder="1" applyAlignment="1">
      <alignment horizontal="left" vertical="center"/>
    </xf>
    <xf numFmtId="0" fontId="12" fillId="7" borderId="80" xfId="11" applyFont="1" applyFill="1" applyBorder="1" applyAlignment="1">
      <alignment vertical="center"/>
    </xf>
    <xf numFmtId="0" fontId="31" fillId="7" borderId="117" xfId="11" applyFont="1" applyFill="1" applyBorder="1" applyAlignment="1">
      <alignment vertical="center"/>
    </xf>
    <xf numFmtId="0" fontId="31" fillId="7" borderId="113" xfId="11" applyFont="1" applyFill="1" applyBorder="1" applyAlignment="1">
      <alignment horizontal="left" vertical="center"/>
    </xf>
    <xf numFmtId="0" fontId="9" fillId="7" borderId="0" xfId="11" applyFont="1" applyFill="1"/>
    <xf numFmtId="0" fontId="9" fillId="7" borderId="0" xfId="11" applyFont="1" applyFill="1" applyAlignment="1">
      <alignment horizontal="justify"/>
    </xf>
    <xf numFmtId="0" fontId="22" fillId="7" borderId="0" xfId="11" applyFont="1" applyFill="1" applyAlignment="1">
      <alignment horizontal="justify" vertical="top" wrapText="1"/>
    </xf>
    <xf numFmtId="0" fontId="27" fillId="7" borderId="0" xfId="11" applyFont="1" applyFill="1"/>
    <xf numFmtId="0" fontId="17" fillId="7" borderId="0" xfId="11" applyFont="1" applyFill="1"/>
    <xf numFmtId="0" fontId="17" fillId="7" borderId="0" xfId="11" applyFont="1" applyFill="1" applyAlignment="1">
      <alignment horizontal="left"/>
    </xf>
    <xf numFmtId="0" fontId="17" fillId="7" borderId="0" xfId="11" quotePrefix="1" applyFont="1" applyFill="1" applyAlignment="1">
      <alignment horizontal="right"/>
    </xf>
    <xf numFmtId="0" fontId="12" fillId="7" borderId="5" xfId="69" applyFont="1" applyFill="1" applyBorder="1" applyAlignment="1">
      <alignment horizontal="left" vertical="center"/>
    </xf>
    <xf numFmtId="0" fontId="22" fillId="7" borderId="5" xfId="0" applyFont="1" applyFill="1" applyBorder="1" applyAlignment="1">
      <alignment vertical="center"/>
    </xf>
    <xf numFmtId="0" fontId="12" fillId="7" borderId="5" xfId="0" applyFont="1" applyFill="1" applyBorder="1" applyAlignment="1">
      <alignment vertical="center"/>
    </xf>
    <xf numFmtId="0" fontId="13" fillId="7" borderId="0" xfId="0" applyFont="1" applyFill="1" applyAlignment="1">
      <alignment horizontal="center" vertical="center"/>
    </xf>
    <xf numFmtId="0" fontId="22" fillId="7" borderId="0" xfId="0" applyFont="1" applyFill="1" applyAlignment="1">
      <alignment vertical="center" wrapText="1"/>
    </xf>
    <xf numFmtId="0" fontId="9" fillId="7" borderId="82" xfId="0" applyFont="1" applyFill="1" applyBorder="1"/>
    <xf numFmtId="0" fontId="9" fillId="7" borderId="83" xfId="0" applyFont="1" applyFill="1" applyBorder="1"/>
    <xf numFmtId="169" fontId="9" fillId="7" borderId="148" xfId="4" applyNumberFormat="1" applyFont="1" applyFill="1" applyBorder="1" applyAlignment="1"/>
    <xf numFmtId="0" fontId="9" fillId="7" borderId="69" xfId="0" applyFont="1" applyFill="1" applyBorder="1"/>
    <xf numFmtId="0" fontId="9" fillId="7" borderId="71" xfId="0" applyFont="1" applyFill="1" applyBorder="1"/>
    <xf numFmtId="169" fontId="9" fillId="7" borderId="74" xfId="4" applyNumberFormat="1" applyFont="1" applyFill="1" applyBorder="1" applyAlignment="1"/>
    <xf numFmtId="0" fontId="9" fillId="7" borderId="37" xfId="0" applyFont="1" applyFill="1" applyBorder="1"/>
    <xf numFmtId="0" fontId="31" fillId="7" borderId="6" xfId="0" applyFont="1" applyFill="1" applyBorder="1" applyAlignment="1">
      <alignment vertical="center"/>
    </xf>
    <xf numFmtId="0" fontId="9" fillId="7" borderId="6" xfId="0" applyFont="1" applyFill="1" applyBorder="1"/>
    <xf numFmtId="169" fontId="9" fillId="7" borderId="141" xfId="4" applyNumberFormat="1" applyFont="1" applyFill="1" applyBorder="1" applyAlignment="1"/>
    <xf numFmtId="0" fontId="9" fillId="7" borderId="138" xfId="0" applyFont="1" applyFill="1" applyBorder="1"/>
    <xf numFmtId="0" fontId="9" fillId="7" borderId="139" xfId="0" applyFont="1" applyFill="1" applyBorder="1"/>
    <xf numFmtId="0" fontId="9" fillId="7" borderId="3" xfId="0" applyFont="1" applyFill="1" applyBorder="1"/>
    <xf numFmtId="169" fontId="9" fillId="7" borderId="11" xfId="4" applyNumberFormat="1" applyFont="1" applyFill="1" applyBorder="1" applyAlignment="1"/>
    <xf numFmtId="0" fontId="11" fillId="7" borderId="0" xfId="111" applyFill="1" applyAlignment="1">
      <alignment vertical="center"/>
    </xf>
    <xf numFmtId="0" fontId="11" fillId="7" borderId="0" xfId="111" applyFill="1"/>
    <xf numFmtId="0" fontId="35" fillId="7" borderId="0" xfId="111" applyFont="1" applyFill="1" applyAlignment="1">
      <alignment horizontal="center" vertical="top"/>
    </xf>
    <xf numFmtId="0" fontId="19" fillId="7" borderId="0" xfId="111" applyFont="1" applyFill="1" applyAlignment="1">
      <alignment vertical="center"/>
    </xf>
    <xf numFmtId="0" fontId="31" fillId="7" borderId="0" xfId="69" applyFill="1" applyAlignment="1">
      <alignment vertical="center"/>
    </xf>
    <xf numFmtId="0" fontId="31" fillId="7" borderId="0" xfId="109" applyFill="1"/>
    <xf numFmtId="0" fontId="37" fillId="7" borderId="0" xfId="0" applyFont="1" applyFill="1" applyAlignment="1">
      <alignment vertical="center" textRotation="180" wrapText="1"/>
    </xf>
    <xf numFmtId="0" fontId="13" fillId="7" borderId="0" xfId="0" applyFont="1" applyFill="1" applyAlignment="1">
      <alignment vertical="center" wrapText="1"/>
    </xf>
    <xf numFmtId="0" fontId="13" fillId="7" borderId="0" xfId="69" applyFont="1" applyFill="1" applyAlignment="1">
      <alignment horizontal="left"/>
    </xf>
    <xf numFmtId="0" fontId="14" fillId="7" borderId="0" xfId="111" applyFont="1" applyFill="1" applyAlignment="1">
      <alignment horizontal="left" vertical="top" wrapText="1"/>
    </xf>
    <xf numFmtId="0" fontId="13" fillId="7" borderId="0" xfId="69" applyFont="1" applyFill="1" applyAlignment="1">
      <alignment vertical="center" wrapText="1"/>
    </xf>
    <xf numFmtId="0" fontId="13" fillId="7" borderId="5" xfId="0" applyFont="1" applyFill="1" applyBorder="1"/>
    <xf numFmtId="0" fontId="13" fillId="7" borderId="0" xfId="69" applyFont="1" applyFill="1" applyAlignment="1">
      <alignment horizontal="left" vertical="center" wrapText="1"/>
    </xf>
    <xf numFmtId="0" fontId="13" fillId="7" borderId="0" xfId="69" applyFont="1" applyFill="1" applyAlignment="1">
      <alignment vertical="center"/>
    </xf>
    <xf numFmtId="0" fontId="16" fillId="7" borderId="0" xfId="112" applyFont="1" applyFill="1"/>
    <xf numFmtId="0" fontId="13" fillId="7" borderId="0" xfId="0" applyFont="1" applyFill="1" applyAlignment="1">
      <alignment horizontal="center" vertical="center" wrapText="1"/>
    </xf>
    <xf numFmtId="0" fontId="16" fillId="7" borderId="1" xfId="0" applyFont="1" applyFill="1" applyBorder="1" applyAlignment="1">
      <alignment vertical="center"/>
    </xf>
    <xf numFmtId="0" fontId="16" fillId="7" borderId="2" xfId="0" applyFont="1" applyFill="1" applyBorder="1" applyAlignment="1">
      <alignment vertical="center"/>
    </xf>
    <xf numFmtId="169" fontId="16" fillId="7" borderId="0" xfId="4" applyNumberFormat="1" applyFont="1" applyFill="1" applyBorder="1" applyAlignment="1">
      <alignment vertical="center"/>
    </xf>
    <xf numFmtId="0" fontId="16" fillId="7" borderId="1" xfId="69" applyFont="1" applyFill="1" applyBorder="1" applyAlignment="1">
      <alignment horizontal="center" vertical="center"/>
    </xf>
    <xf numFmtId="0" fontId="16" fillId="7" borderId="2" xfId="69" applyFont="1" applyFill="1" applyBorder="1" applyAlignment="1">
      <alignment horizontal="left" vertical="center"/>
    </xf>
    <xf numFmtId="0" fontId="16" fillId="7" borderId="2" xfId="69" applyFont="1" applyFill="1" applyBorder="1" applyAlignment="1">
      <alignment horizontal="center" vertical="center"/>
    </xf>
    <xf numFmtId="0" fontId="16" fillId="7" borderId="10" xfId="69" applyFont="1" applyFill="1" applyBorder="1" applyAlignment="1">
      <alignment horizontal="center" vertical="center"/>
    </xf>
    <xf numFmtId="0" fontId="16" fillId="7" borderId="69" xfId="0" applyFont="1" applyFill="1" applyBorder="1" applyAlignment="1">
      <alignment vertical="center"/>
    </xf>
    <xf numFmtId="0" fontId="16" fillId="7" borderId="71" xfId="0" applyFont="1" applyFill="1" applyBorder="1" applyAlignment="1">
      <alignment vertical="center"/>
    </xf>
    <xf numFmtId="169" fontId="16" fillId="7" borderId="74" xfId="4" applyNumberFormat="1" applyFont="1" applyFill="1" applyBorder="1" applyAlignment="1">
      <alignment vertical="center"/>
    </xf>
    <xf numFmtId="0" fontId="16" fillId="7" borderId="37" xfId="0" applyFont="1" applyFill="1" applyBorder="1" applyAlignment="1">
      <alignment vertical="center"/>
    </xf>
    <xf numFmtId="0" fontId="16" fillId="7" borderId="6" xfId="0" applyFont="1" applyFill="1" applyBorder="1" applyAlignment="1">
      <alignment vertical="center"/>
    </xf>
    <xf numFmtId="169" fontId="16" fillId="7" borderId="141" xfId="4" applyNumberFormat="1" applyFont="1" applyFill="1" applyBorder="1" applyAlignment="1">
      <alignment vertical="center"/>
    </xf>
    <xf numFmtId="0" fontId="16" fillId="7" borderId="82" xfId="0" applyFont="1" applyFill="1" applyBorder="1" applyAlignment="1">
      <alignment vertical="center"/>
    </xf>
    <xf numFmtId="0" fontId="16" fillId="7" borderId="83" xfId="0" applyFont="1" applyFill="1" applyBorder="1" applyAlignment="1">
      <alignment vertical="center"/>
    </xf>
    <xf numFmtId="169" fontId="16" fillId="7" borderId="148" xfId="4" applyNumberFormat="1" applyFont="1" applyFill="1" applyBorder="1" applyAlignment="1">
      <alignment vertical="center"/>
    </xf>
    <xf numFmtId="0" fontId="16" fillId="7" borderId="0" xfId="111" applyFont="1" applyFill="1" applyAlignment="1">
      <alignment vertical="top" wrapText="1"/>
    </xf>
    <xf numFmtId="0" fontId="16" fillId="7" borderId="80" xfId="69" applyFont="1" applyFill="1" applyBorder="1" applyAlignment="1">
      <alignment vertical="center"/>
    </xf>
    <xf numFmtId="0" fontId="16" fillId="7" borderId="84" xfId="69" applyFont="1" applyFill="1" applyBorder="1" applyAlignment="1">
      <alignment vertical="center"/>
    </xf>
    <xf numFmtId="0" fontId="16" fillId="7" borderId="138" xfId="0" applyFont="1" applyFill="1" applyBorder="1" applyAlignment="1">
      <alignment vertical="center"/>
    </xf>
    <xf numFmtId="0" fontId="16" fillId="7" borderId="139" xfId="0" applyFont="1" applyFill="1" applyBorder="1" applyAlignment="1">
      <alignment vertical="center"/>
    </xf>
    <xf numFmtId="0" fontId="14" fillId="7" borderId="0" xfId="111" quotePrefix="1" applyFont="1" applyFill="1" applyAlignment="1">
      <alignment horizontal="right" vertical="top" wrapText="1"/>
    </xf>
    <xf numFmtId="0" fontId="14" fillId="7" borderId="0" xfId="111" applyFont="1" applyFill="1" applyAlignment="1">
      <alignment horizontal="right" vertical="top"/>
    </xf>
    <xf numFmtId="0" fontId="14" fillId="7" borderId="0" xfId="111" quotePrefix="1" applyFont="1" applyFill="1" applyAlignment="1">
      <alignment horizontal="right" vertical="top"/>
    </xf>
    <xf numFmtId="0" fontId="16" fillId="7" borderId="0" xfId="69" applyFont="1" applyFill="1" applyAlignment="1">
      <alignment vertical="top"/>
    </xf>
    <xf numFmtId="169" fontId="16" fillId="7" borderId="153" xfId="4" applyNumberFormat="1" applyFont="1" applyFill="1" applyBorder="1" applyAlignment="1">
      <alignment vertical="center"/>
    </xf>
    <xf numFmtId="0" fontId="14" fillId="7" borderId="0" xfId="111" applyFont="1" applyFill="1"/>
    <xf numFmtId="0" fontId="16" fillId="7" borderId="0" xfId="111" applyFont="1" applyFill="1" applyAlignment="1">
      <alignment horizontal="justify" vertical="top" wrapText="1"/>
    </xf>
    <xf numFmtId="0" fontId="14" fillId="7" borderId="0" xfId="111" applyFont="1" applyFill="1" applyAlignment="1">
      <alignment horizontal="left" vertical="top"/>
    </xf>
    <xf numFmtId="0" fontId="16" fillId="7" borderId="0" xfId="111" applyFont="1" applyFill="1" applyAlignment="1">
      <alignment horizontal="justify" vertical="top"/>
    </xf>
    <xf numFmtId="0" fontId="14" fillId="7" borderId="0" xfId="111" applyFont="1" applyFill="1" applyAlignment="1">
      <alignment horizontal="left" vertical="center"/>
    </xf>
    <xf numFmtId="0" fontId="16" fillId="7" borderId="0" xfId="0" applyFont="1" applyFill="1" applyAlignment="1">
      <alignment vertical="top"/>
    </xf>
    <xf numFmtId="0" fontId="14" fillId="7" borderId="0" xfId="80" applyFont="1" applyFill="1"/>
    <xf numFmtId="0" fontId="31" fillId="0" borderId="0" xfId="165" applyFont="1"/>
    <xf numFmtId="0" fontId="31" fillId="0" borderId="160" xfId="0" applyFont="1" applyBorder="1"/>
    <xf numFmtId="0" fontId="31" fillId="0" borderId="160" xfId="165" applyFont="1" applyBorder="1"/>
    <xf numFmtId="0" fontId="12" fillId="7" borderId="5" xfId="0" applyFont="1" applyFill="1" applyBorder="1"/>
    <xf numFmtId="0" fontId="31" fillId="7" borderId="3" xfId="0" applyFont="1" applyFill="1" applyBorder="1"/>
    <xf numFmtId="0" fontId="17" fillId="7" borderId="0" xfId="69" quotePrefix="1" applyFont="1" applyFill="1" applyAlignment="1">
      <alignment horizontal="right" vertical="top"/>
    </xf>
    <xf numFmtId="0" fontId="17" fillId="7" borderId="0" xfId="112" applyFont="1" applyFill="1" applyAlignment="1">
      <alignment vertical="center" wrapText="1"/>
    </xf>
    <xf numFmtId="0" fontId="17" fillId="7" borderId="0" xfId="112" applyFont="1" applyFill="1" applyAlignment="1">
      <alignment vertical="top" wrapText="1"/>
    </xf>
    <xf numFmtId="0" fontId="12" fillId="7" borderId="3" xfId="0" applyFont="1" applyFill="1" applyBorder="1"/>
    <xf numFmtId="0" fontId="17" fillId="7" borderId="0" xfId="69" quotePrefix="1" applyFont="1" applyFill="1" applyAlignment="1">
      <alignment horizontal="right"/>
    </xf>
    <xf numFmtId="0" fontId="17" fillId="7" borderId="0" xfId="112" applyFont="1" applyFill="1"/>
    <xf numFmtId="0" fontId="17" fillId="7" borderId="0" xfId="112" applyFont="1" applyFill="1" applyAlignment="1">
      <alignment wrapText="1"/>
    </xf>
    <xf numFmtId="0" fontId="17" fillId="7" borderId="0" xfId="111" applyFont="1" applyFill="1" applyAlignment="1">
      <alignment horizontal="center" vertical="top" wrapText="1"/>
    </xf>
    <xf numFmtId="0" fontId="17" fillId="7" borderId="0" xfId="111" applyFont="1" applyFill="1" applyAlignment="1">
      <alignment vertical="top" wrapText="1"/>
    </xf>
    <xf numFmtId="0" fontId="17" fillId="7" borderId="0" xfId="111" applyFont="1" applyFill="1" applyAlignment="1">
      <alignment horizontal="justify" vertical="top" wrapText="1"/>
    </xf>
    <xf numFmtId="0" fontId="22" fillId="7" borderId="0" xfId="0" applyFont="1" applyFill="1" applyAlignment="1">
      <alignment horizontal="center" vertical="top" wrapText="1"/>
    </xf>
    <xf numFmtId="0" fontId="17" fillId="7" borderId="0" xfId="111" applyFont="1" applyFill="1" applyAlignment="1">
      <alignment horizontal="justify" vertical="top"/>
    </xf>
    <xf numFmtId="0" fontId="17" fillId="7" borderId="0" xfId="0" applyFont="1" applyFill="1"/>
    <xf numFmtId="0" fontId="12" fillId="7" borderId="0" xfId="0" applyFont="1" applyFill="1" applyAlignment="1">
      <alignment horizontal="center" vertical="top" wrapText="1"/>
    </xf>
    <xf numFmtId="0" fontId="12" fillId="7" borderId="0" xfId="0" applyFont="1" applyFill="1" applyAlignment="1">
      <alignment horizontal="center" vertical="center" shrinkToFit="1"/>
    </xf>
    <xf numFmtId="0" fontId="12" fillId="7" borderId="0" xfId="0" applyFont="1" applyFill="1" applyAlignment="1">
      <alignment horizontal="center" vertical="center"/>
    </xf>
    <xf numFmtId="0" fontId="12" fillId="7" borderId="90" xfId="0" applyFont="1" applyFill="1" applyBorder="1" applyAlignment="1">
      <alignment horizontal="left" vertical="center" indent="1"/>
    </xf>
    <xf numFmtId="0" fontId="31" fillId="7" borderId="69" xfId="0" applyFont="1" applyFill="1" applyBorder="1" applyAlignment="1">
      <alignment horizontal="left" vertical="center"/>
    </xf>
    <xf numFmtId="0" fontId="31" fillId="7" borderId="71" xfId="0" applyFont="1" applyFill="1" applyBorder="1" applyAlignment="1">
      <alignment horizontal="center" vertical="center"/>
    </xf>
    <xf numFmtId="0" fontId="31" fillId="7" borderId="0" xfId="0" applyFont="1" applyFill="1" applyAlignment="1">
      <alignment horizontal="center" vertical="center"/>
    </xf>
    <xf numFmtId="0" fontId="12" fillId="7" borderId="69" xfId="0" applyFont="1" applyFill="1" applyBorder="1" applyAlignment="1">
      <alignment horizontal="left" vertical="center" indent="1"/>
    </xf>
    <xf numFmtId="0" fontId="31" fillId="7" borderId="74" xfId="0" applyFont="1" applyFill="1" applyBorder="1" applyAlignment="1">
      <alignment horizontal="left" vertical="center"/>
    </xf>
    <xf numFmtId="0" fontId="31" fillId="7" borderId="81" xfId="0" applyFont="1" applyFill="1" applyBorder="1" applyAlignment="1">
      <alignment vertical="center"/>
    </xf>
    <xf numFmtId="0" fontId="31" fillId="7" borderId="81" xfId="0" applyFont="1" applyFill="1" applyBorder="1" applyAlignment="1">
      <alignment horizontal="center" vertical="center"/>
    </xf>
    <xf numFmtId="0" fontId="31" fillId="7" borderId="3" xfId="0" applyFont="1" applyFill="1" applyBorder="1" applyAlignment="1">
      <alignment horizontal="left" vertical="center"/>
    </xf>
    <xf numFmtId="0" fontId="31" fillId="7" borderId="71" xfId="0" applyFont="1" applyFill="1" applyBorder="1" applyAlignment="1">
      <alignment vertical="center" wrapText="1"/>
    </xf>
    <xf numFmtId="0" fontId="31" fillId="7" borderId="74" xfId="0" applyFont="1" applyFill="1" applyBorder="1" applyAlignment="1">
      <alignment vertical="center" wrapText="1"/>
    </xf>
    <xf numFmtId="0" fontId="12" fillId="7" borderId="72" xfId="0" applyFont="1" applyFill="1" applyBorder="1" applyAlignment="1">
      <alignment horizontal="left" vertical="center" indent="1"/>
    </xf>
    <xf numFmtId="0" fontId="12" fillId="7" borderId="73" xfId="0" applyFont="1" applyFill="1" applyBorder="1" applyAlignment="1">
      <alignment vertical="center"/>
    </xf>
    <xf numFmtId="0" fontId="12" fillId="7" borderId="76" xfId="0" applyFont="1" applyFill="1" applyBorder="1" applyAlignment="1">
      <alignment vertical="center"/>
    </xf>
    <xf numFmtId="0" fontId="31" fillId="7" borderId="0" xfId="0" applyFont="1" applyFill="1" applyAlignment="1">
      <alignment horizontal="left"/>
    </xf>
    <xf numFmtId="0" fontId="17" fillId="7" borderId="0" xfId="69" applyFont="1" applyFill="1" applyAlignment="1">
      <alignment horizontal="left" vertical="center" shrinkToFit="1"/>
    </xf>
    <xf numFmtId="0" fontId="13" fillId="7" borderId="0" xfId="0" applyFont="1" applyFill="1" applyAlignment="1">
      <alignment wrapText="1"/>
    </xf>
    <xf numFmtId="0" fontId="16" fillId="7" borderId="90" xfId="0" applyFont="1" applyFill="1" applyBorder="1" applyAlignment="1">
      <alignment horizontal="left" vertical="center" indent="2"/>
    </xf>
    <xf numFmtId="0" fontId="16" fillId="7" borderId="70" xfId="0" applyFont="1" applyFill="1" applyBorder="1" applyAlignment="1">
      <alignment vertical="center"/>
    </xf>
    <xf numFmtId="0" fontId="16" fillId="7" borderId="91" xfId="0" applyFont="1" applyFill="1" applyBorder="1" applyAlignment="1">
      <alignment vertical="center"/>
    </xf>
    <xf numFmtId="0" fontId="16" fillId="7" borderId="0" xfId="0" applyFont="1" applyFill="1" applyAlignment="1">
      <alignment horizontal="center" vertical="center"/>
    </xf>
    <xf numFmtId="0" fontId="16" fillId="7" borderId="90" xfId="0" applyFont="1" applyFill="1" applyBorder="1" applyAlignment="1">
      <alignment horizontal="left" vertical="center" indent="3"/>
    </xf>
    <xf numFmtId="0" fontId="16" fillId="7" borderId="69" xfId="0" applyFont="1" applyFill="1" applyBorder="1" applyAlignment="1">
      <alignment horizontal="left" vertical="center" indent="2"/>
    </xf>
    <xf numFmtId="0" fontId="16" fillId="7" borderId="74" xfId="0" applyFont="1" applyFill="1" applyBorder="1" applyAlignment="1">
      <alignment vertical="center"/>
    </xf>
    <xf numFmtId="0" fontId="16" fillId="7" borderId="69" xfId="0" applyFont="1" applyFill="1" applyBorder="1" applyAlignment="1">
      <alignment horizontal="left" vertical="center" indent="3"/>
    </xf>
    <xf numFmtId="0" fontId="16" fillId="7" borderId="130" xfId="0" applyFont="1" applyFill="1" applyBorder="1" applyAlignment="1">
      <alignment horizontal="left" vertical="center" indent="2"/>
    </xf>
    <xf numFmtId="0" fontId="16" fillId="7" borderId="131" xfId="0" applyFont="1" applyFill="1" applyBorder="1" applyAlignment="1">
      <alignment vertical="center"/>
    </xf>
    <xf numFmtId="0" fontId="16" fillId="7" borderId="129" xfId="0" applyFont="1" applyFill="1" applyBorder="1" applyAlignment="1">
      <alignment vertical="center"/>
    </xf>
    <xf numFmtId="0" fontId="16" fillId="7" borderId="130" xfId="0" applyFont="1" applyFill="1" applyBorder="1" applyAlignment="1">
      <alignment horizontal="left" vertical="center" indent="3"/>
    </xf>
    <xf numFmtId="0" fontId="14" fillId="7" borderId="0" xfId="0" applyFont="1" applyFill="1"/>
    <xf numFmtId="0" fontId="13" fillId="7" borderId="0" xfId="0" applyFont="1" applyFill="1" applyAlignment="1">
      <alignment horizontal="left" vertical="center"/>
    </xf>
    <xf numFmtId="0" fontId="9" fillId="7" borderId="0" xfId="0" applyFont="1" applyFill="1" applyAlignment="1">
      <alignment horizontal="justify" vertical="center"/>
    </xf>
    <xf numFmtId="0" fontId="16" fillId="7" borderId="90" xfId="0" applyFont="1" applyFill="1" applyBorder="1" applyAlignment="1">
      <alignment horizontal="left" vertical="center" indent="1"/>
    </xf>
    <xf numFmtId="0" fontId="16" fillId="7" borderId="83" xfId="0" applyFont="1" applyFill="1" applyBorder="1" applyAlignment="1">
      <alignment horizontal="left" vertical="center" indent="1"/>
    </xf>
    <xf numFmtId="0" fontId="13" fillId="7" borderId="83" xfId="0" applyFont="1" applyFill="1" applyBorder="1" applyAlignment="1">
      <alignment horizontal="left" vertical="center" indent="6"/>
    </xf>
    <xf numFmtId="0" fontId="16" fillId="7" borderId="89" xfId="0" applyFont="1" applyFill="1" applyBorder="1" applyAlignment="1">
      <alignment vertical="center"/>
    </xf>
    <xf numFmtId="0" fontId="18" fillId="7" borderId="0" xfId="112" applyFont="1" applyFill="1" applyAlignment="1">
      <alignment vertical="center" wrapText="1"/>
    </xf>
    <xf numFmtId="0" fontId="16" fillId="7" borderId="69" xfId="0" applyFont="1" applyFill="1" applyBorder="1" applyAlignment="1">
      <alignment horizontal="left" vertical="center" indent="1"/>
    </xf>
    <xf numFmtId="0" fontId="16" fillId="7" borderId="71" xfId="0" applyFont="1" applyFill="1" applyBorder="1" applyAlignment="1">
      <alignment horizontal="left" vertical="center" indent="1"/>
    </xf>
    <xf numFmtId="0" fontId="13" fillId="7" borderId="71" xfId="0" applyFont="1" applyFill="1" applyBorder="1" applyAlignment="1">
      <alignment horizontal="left" vertical="center" indent="6"/>
    </xf>
    <xf numFmtId="0" fontId="16" fillId="7" borderId="71" xfId="0" applyFont="1" applyFill="1" applyBorder="1" applyAlignment="1">
      <alignment horizontal="left" vertical="center"/>
    </xf>
    <xf numFmtId="0" fontId="10" fillId="7" borderId="0" xfId="80" applyFont="1" applyFill="1" applyAlignment="1">
      <alignment horizontal="center" vertical="center"/>
    </xf>
    <xf numFmtId="0" fontId="16" fillId="7" borderId="72" xfId="0" applyFont="1" applyFill="1" applyBorder="1" applyAlignment="1">
      <alignment horizontal="left" vertical="center" indent="1"/>
    </xf>
    <xf numFmtId="0" fontId="16" fillId="7" borderId="73" xfId="0" applyFont="1" applyFill="1" applyBorder="1" applyAlignment="1">
      <alignment horizontal="left" vertical="center" indent="1"/>
    </xf>
    <xf numFmtId="0" fontId="13" fillId="7" borderId="73" xfId="0" applyFont="1" applyFill="1" applyBorder="1" applyAlignment="1">
      <alignment horizontal="left" vertical="center" indent="6"/>
    </xf>
    <xf numFmtId="0" fontId="16" fillId="7" borderId="73" xfId="0" applyFont="1" applyFill="1" applyBorder="1" applyAlignment="1">
      <alignment horizontal="left" vertical="center"/>
    </xf>
    <xf numFmtId="0" fontId="16" fillId="7" borderId="76" xfId="0" applyFont="1" applyFill="1" applyBorder="1" applyAlignment="1">
      <alignment vertical="center"/>
    </xf>
    <xf numFmtId="0" fontId="17" fillId="7" borderId="0" xfId="69" quotePrefix="1" applyFont="1" applyFill="1" applyAlignment="1">
      <alignment horizontal="right" vertical="center"/>
    </xf>
    <xf numFmtId="0" fontId="17" fillId="7" borderId="2" xfId="112" applyFont="1" applyFill="1" applyBorder="1" applyAlignment="1">
      <alignment vertical="center"/>
    </xf>
    <xf numFmtId="0" fontId="17" fillId="7" borderId="0" xfId="112" applyFont="1" applyFill="1" applyAlignment="1">
      <alignment horizontal="justify" vertical="center" wrapText="1"/>
    </xf>
    <xf numFmtId="0" fontId="17" fillId="7" borderId="0" xfId="112" applyFont="1" applyFill="1" applyAlignment="1">
      <alignment horizontal="justify" vertical="top" wrapText="1"/>
    </xf>
    <xf numFmtId="0" fontId="14" fillId="7" borderId="0" xfId="69" quotePrefix="1" applyFont="1" applyFill="1" applyAlignment="1">
      <alignment horizontal="right" vertical="center"/>
    </xf>
    <xf numFmtId="0" fontId="17" fillId="7" borderId="0" xfId="0" applyFont="1" applyFill="1" applyAlignment="1">
      <alignment vertical="center"/>
    </xf>
    <xf numFmtId="0" fontId="16" fillId="7" borderId="3" xfId="0" applyFont="1" applyFill="1" applyBorder="1" applyAlignment="1">
      <alignment horizontal="left" vertical="center" indent="1"/>
    </xf>
    <xf numFmtId="0" fontId="16" fillId="7" borderId="0" xfId="0" applyFont="1" applyFill="1" applyAlignment="1">
      <alignment horizontal="left" vertical="center" indent="1"/>
    </xf>
    <xf numFmtId="0" fontId="13" fillId="7" borderId="0" xfId="0" applyFont="1" applyFill="1" applyAlignment="1">
      <alignment horizontal="left" vertical="center" indent="6"/>
    </xf>
    <xf numFmtId="0" fontId="16" fillId="7" borderId="11" xfId="0" applyFont="1" applyFill="1" applyBorder="1" applyAlignment="1">
      <alignment vertical="center"/>
    </xf>
    <xf numFmtId="0" fontId="16" fillId="7" borderId="130" xfId="0" applyFont="1" applyFill="1" applyBorder="1" applyAlignment="1">
      <alignment horizontal="left" vertical="center" indent="1"/>
    </xf>
    <xf numFmtId="0" fontId="16" fillId="7" borderId="131" xfId="0" applyFont="1" applyFill="1" applyBorder="1" applyAlignment="1">
      <alignment horizontal="left" vertical="center" indent="1"/>
    </xf>
    <xf numFmtId="0" fontId="13" fillId="7" borderId="131" xfId="0" applyFont="1" applyFill="1" applyBorder="1" applyAlignment="1">
      <alignment horizontal="left" vertical="center" indent="6"/>
    </xf>
    <xf numFmtId="0" fontId="31" fillId="7" borderId="0" xfId="69" applyFill="1" applyAlignment="1">
      <alignment horizontal="right" vertical="center"/>
    </xf>
    <xf numFmtId="0" fontId="36" fillId="7" borderId="0" xfId="0" applyFont="1" applyFill="1"/>
    <xf numFmtId="0" fontId="16" fillId="7" borderId="3" xfId="0" applyFont="1" applyFill="1" applyBorder="1" applyAlignment="1">
      <alignment vertical="center"/>
    </xf>
    <xf numFmtId="0" fontId="14" fillId="7" borderId="90" xfId="0" applyFont="1" applyFill="1" applyBorder="1" applyAlignment="1">
      <alignment horizontal="left" vertical="center" indent="1"/>
    </xf>
    <xf numFmtId="0" fontId="16" fillId="7" borderId="70" xfId="0" applyFont="1" applyFill="1" applyBorder="1" applyAlignment="1">
      <alignment horizontal="left" vertical="center"/>
    </xf>
    <xf numFmtId="0" fontId="16" fillId="7" borderId="69" xfId="0" applyFont="1" applyFill="1" applyBorder="1" applyAlignment="1">
      <alignment horizontal="left" vertical="center"/>
    </xf>
    <xf numFmtId="0" fontId="13" fillId="7" borderId="0" xfId="112" applyFont="1" applyFill="1" applyAlignment="1">
      <alignment vertical="center"/>
    </xf>
    <xf numFmtId="0" fontId="16" fillId="7" borderId="80" xfId="0" applyFont="1" applyFill="1" applyBorder="1" applyAlignment="1">
      <alignment horizontal="left" vertical="center"/>
    </xf>
    <xf numFmtId="0" fontId="16" fillId="7" borderId="81" xfId="0" applyFont="1" applyFill="1" applyBorder="1" applyAlignment="1">
      <alignment horizontal="left" vertical="center" indent="1"/>
    </xf>
    <xf numFmtId="0" fontId="16" fillId="7" borderId="81" xfId="0" applyFont="1" applyFill="1" applyBorder="1" applyAlignment="1">
      <alignment horizontal="left" vertical="center"/>
    </xf>
    <xf numFmtId="0" fontId="16" fillId="7" borderId="84" xfId="0" applyFont="1" applyFill="1" applyBorder="1" applyAlignment="1">
      <alignment vertical="center"/>
    </xf>
    <xf numFmtId="0" fontId="14" fillId="7" borderId="69" xfId="0" applyFont="1" applyFill="1" applyBorder="1" applyAlignment="1">
      <alignment horizontal="left" vertical="center" indent="1"/>
    </xf>
    <xf numFmtId="0" fontId="14" fillId="7" borderId="72" xfId="0" applyFont="1" applyFill="1" applyBorder="1" applyAlignment="1">
      <alignment horizontal="left" vertical="center"/>
    </xf>
    <xf numFmtId="0" fontId="16" fillId="7" borderId="0" xfId="69" applyFont="1" applyFill="1" applyAlignment="1">
      <alignment horizontal="right" vertical="center"/>
    </xf>
    <xf numFmtId="0" fontId="17" fillId="7" borderId="0" xfId="0" quotePrefix="1" applyFont="1" applyFill="1" applyAlignment="1">
      <alignment horizontal="right" vertical="center"/>
    </xf>
    <xf numFmtId="0" fontId="14" fillId="7" borderId="0" xfId="0" applyFont="1" applyFill="1" applyAlignment="1">
      <alignment horizontal="right" vertical="center"/>
    </xf>
    <xf numFmtId="0" fontId="14" fillId="7" borderId="71" xfId="0" applyFont="1" applyFill="1" applyBorder="1" applyAlignment="1">
      <alignment vertical="center"/>
    </xf>
    <xf numFmtId="0" fontId="14" fillId="7" borderId="74" xfId="0" applyFont="1" applyFill="1" applyBorder="1" applyAlignment="1">
      <alignment vertical="center"/>
    </xf>
    <xf numFmtId="0" fontId="14" fillId="7" borderId="80" xfId="0" applyFont="1" applyFill="1" applyBorder="1" applyAlignment="1">
      <alignment horizontal="left" vertical="center"/>
    </xf>
    <xf numFmtId="0" fontId="16" fillId="7" borderId="72" xfId="0" applyFont="1" applyFill="1" applyBorder="1" applyAlignment="1">
      <alignment horizontal="left" vertical="center"/>
    </xf>
    <xf numFmtId="0" fontId="16" fillId="7" borderId="73" xfId="0" applyFont="1" applyFill="1" applyBorder="1" applyAlignment="1">
      <alignment vertical="center"/>
    </xf>
    <xf numFmtId="0" fontId="9" fillId="7" borderId="0" xfId="40" applyFont="1" applyFill="1" applyAlignment="1">
      <alignment vertical="center"/>
    </xf>
    <xf numFmtId="0" fontId="12" fillId="7" borderId="0" xfId="85" applyFont="1" applyFill="1" applyAlignment="1">
      <alignment vertical="center"/>
    </xf>
    <xf numFmtId="0" fontId="31" fillId="7" borderId="0" xfId="40" applyFont="1" applyFill="1" applyAlignment="1">
      <alignment vertical="center"/>
    </xf>
    <xf numFmtId="0" fontId="17" fillId="7" borderId="0" xfId="40" applyFont="1" applyFill="1" applyAlignment="1">
      <alignment vertical="center"/>
    </xf>
    <xf numFmtId="0" fontId="12" fillId="7" borderId="1" xfId="40" applyFont="1" applyFill="1" applyBorder="1" applyAlignment="1">
      <alignment vertical="center"/>
    </xf>
    <xf numFmtId="0" fontId="12" fillId="7" borderId="2" xfId="40" applyFont="1" applyFill="1" applyBorder="1" applyAlignment="1">
      <alignment vertical="center"/>
    </xf>
    <xf numFmtId="0" fontId="31" fillId="7" borderId="2" xfId="40" applyFont="1" applyFill="1" applyBorder="1" applyAlignment="1">
      <alignment vertical="center"/>
    </xf>
    <xf numFmtId="0" fontId="31" fillId="7" borderId="10" xfId="40" applyFont="1" applyFill="1" applyBorder="1" applyAlignment="1">
      <alignment vertical="center"/>
    </xf>
    <xf numFmtId="0" fontId="31" fillId="7" borderId="3" xfId="40" applyFont="1" applyFill="1" applyBorder="1" applyAlignment="1">
      <alignment vertical="center"/>
    </xf>
    <xf numFmtId="0" fontId="31" fillId="7" borderId="0" xfId="40" quotePrefix="1" applyFont="1" applyFill="1" applyAlignment="1">
      <alignment horizontal="right" vertical="center"/>
    </xf>
    <xf numFmtId="0" fontId="31" fillId="7" borderId="0" xfId="172" applyFont="1" applyFill="1" applyAlignment="1">
      <alignment vertical="center"/>
    </xf>
    <xf numFmtId="0" fontId="31" fillId="7" borderId="0" xfId="109" applyFill="1" applyAlignment="1">
      <alignment vertical="center"/>
    </xf>
    <xf numFmtId="0" fontId="31" fillId="7" borderId="11" xfId="40" applyFont="1" applyFill="1" applyBorder="1" applyAlignment="1">
      <alignment vertical="center"/>
    </xf>
    <xf numFmtId="0" fontId="31" fillId="7" borderId="0" xfId="40" applyFont="1" applyFill="1"/>
    <xf numFmtId="0" fontId="31" fillId="7" borderId="4" xfId="40" applyFont="1" applyFill="1" applyBorder="1" applyAlignment="1">
      <alignment vertical="center"/>
    </xf>
    <xf numFmtId="0" fontId="12" fillId="7" borderId="5" xfId="40" applyFont="1" applyFill="1" applyBorder="1" applyAlignment="1">
      <alignment vertical="center"/>
    </xf>
    <xf numFmtId="0" fontId="31" fillId="7" borderId="5" xfId="40" applyFont="1" applyFill="1" applyBorder="1" applyAlignment="1">
      <alignment vertical="center"/>
    </xf>
    <xf numFmtId="0" fontId="31" fillId="7" borderId="12" xfId="40" applyFont="1" applyFill="1" applyBorder="1" applyAlignment="1">
      <alignment vertical="center"/>
    </xf>
    <xf numFmtId="0" fontId="12" fillId="7" borderId="0" xfId="20" applyFont="1" applyFill="1" applyAlignment="1">
      <alignment vertical="top" wrapText="1"/>
    </xf>
    <xf numFmtId="0" fontId="9" fillId="7" borderId="0" xfId="40" applyFont="1" applyFill="1"/>
    <xf numFmtId="0" fontId="18" fillId="7" borderId="0" xfId="111" quotePrefix="1" applyFont="1" applyFill="1" applyAlignment="1">
      <alignment horizontal="right"/>
    </xf>
    <xf numFmtId="0" fontId="18" fillId="7" borderId="0" xfId="111" applyFont="1" applyFill="1" applyAlignment="1">
      <alignment horizontal="justify"/>
    </xf>
    <xf numFmtId="0" fontId="31" fillId="7" borderId="1" xfId="40" applyFont="1" applyFill="1" applyBorder="1" applyAlignment="1">
      <alignment vertical="center"/>
    </xf>
    <xf numFmtId="0" fontId="31" fillId="7" borderId="3" xfId="20" applyFill="1" applyBorder="1"/>
    <xf numFmtId="0" fontId="12" fillId="7" borderId="0" xfId="40" applyFont="1" applyFill="1" applyAlignment="1">
      <alignment vertical="center"/>
    </xf>
    <xf numFmtId="0" fontId="31" fillId="7" borderId="11" xfId="20" applyFill="1" applyBorder="1"/>
    <xf numFmtId="0" fontId="31" fillId="7" borderId="4" xfId="20" applyFill="1" applyBorder="1"/>
    <xf numFmtId="0" fontId="31" fillId="7" borderId="5" xfId="20" applyFill="1" applyBorder="1"/>
    <xf numFmtId="0" fontId="31" fillId="7" borderId="12" xfId="20" applyFill="1" applyBorder="1"/>
    <xf numFmtId="0" fontId="31" fillId="7" borderId="0" xfId="20" applyFill="1" applyAlignment="1">
      <alignment horizontal="center"/>
    </xf>
    <xf numFmtId="0" fontId="24" fillId="0" borderId="0" xfId="40" applyFont="1" applyAlignment="1" applyProtection="1">
      <alignment horizontal="right" vertical="center"/>
      <protection locked="0"/>
    </xf>
    <xf numFmtId="0" fontId="12" fillId="7" borderId="0" xfId="85" applyFont="1" applyFill="1"/>
    <xf numFmtId="0" fontId="12" fillId="7" borderId="0" xfId="85" applyFont="1" applyFill="1" applyAlignment="1">
      <alignment wrapText="1"/>
    </xf>
    <xf numFmtId="0" fontId="17" fillId="7" borderId="0" xfId="85" applyFont="1" applyFill="1"/>
    <xf numFmtId="0" fontId="31" fillId="7" borderId="1" xfId="85" applyFill="1" applyBorder="1" applyAlignment="1">
      <alignment vertical="center"/>
    </xf>
    <xf numFmtId="0" fontId="31" fillId="7" borderId="2" xfId="85" applyFill="1" applyBorder="1" applyAlignment="1">
      <alignment vertical="center" wrapText="1"/>
    </xf>
    <xf numFmtId="0" fontId="31" fillId="7" borderId="2" xfId="40" applyFont="1" applyFill="1" applyBorder="1" applyAlignment="1">
      <alignment horizontal="right" vertical="center"/>
    </xf>
    <xf numFmtId="0" fontId="31" fillId="7" borderId="2" xfId="40" applyFont="1" applyFill="1" applyBorder="1" applyAlignment="1">
      <alignment horizontal="left" vertical="center" wrapText="1"/>
    </xf>
    <xf numFmtId="0" fontId="31" fillId="7" borderId="10" xfId="40" applyFont="1" applyFill="1" applyBorder="1" applyAlignment="1">
      <alignment horizontal="right" vertical="center"/>
    </xf>
    <xf numFmtId="0" fontId="12" fillId="7" borderId="0" xfId="109" applyFont="1" applyFill="1" applyAlignment="1">
      <alignment vertical="center"/>
    </xf>
    <xf numFmtId="0" fontId="31" fillId="7" borderId="3" xfId="85" applyFill="1" applyBorder="1" applyAlignment="1">
      <alignment horizontal="left" vertical="center"/>
    </xf>
    <xf numFmtId="0" fontId="31" fillId="7" borderId="0" xfId="109" quotePrefix="1" applyFill="1" applyAlignment="1">
      <alignment horizontal="right" vertical="center"/>
    </xf>
    <xf numFmtId="0" fontId="31" fillId="7" borderId="0" xfId="85" applyFill="1" applyAlignment="1">
      <alignment vertical="center"/>
    </xf>
    <xf numFmtId="0" fontId="31" fillId="7" borderId="0" xfId="85" applyFill="1" applyAlignment="1">
      <alignment vertical="center" wrapText="1"/>
    </xf>
    <xf numFmtId="0" fontId="31" fillId="7" borderId="0" xfId="40" applyFont="1" applyFill="1" applyAlignment="1">
      <alignment horizontal="right" vertical="center"/>
    </xf>
    <xf numFmtId="0" fontId="24" fillId="7" borderId="0" xfId="40" applyFont="1" applyFill="1" applyAlignment="1">
      <alignment horizontal="right" vertical="center"/>
    </xf>
    <xf numFmtId="0" fontId="21" fillId="7" borderId="0" xfId="40" applyFont="1" applyFill="1" applyAlignment="1">
      <alignment horizontal="right" vertical="center"/>
    </xf>
    <xf numFmtId="0" fontId="31" fillId="7" borderId="11" xfId="40" applyFont="1" applyFill="1" applyBorder="1" applyAlignment="1">
      <alignment horizontal="right" vertical="center"/>
    </xf>
    <xf numFmtId="0" fontId="31" fillId="7" borderId="3" xfId="109" applyFill="1" applyBorder="1" applyAlignment="1">
      <alignment vertical="center"/>
    </xf>
    <xf numFmtId="0" fontId="31" fillId="7" borderId="0" xfId="109" applyFill="1" applyAlignment="1">
      <alignment horizontal="right" vertical="center"/>
    </xf>
    <xf numFmtId="0" fontId="31" fillId="7" borderId="0" xfId="109" quotePrefix="1" applyFill="1" applyAlignment="1">
      <alignment vertical="center"/>
    </xf>
    <xf numFmtId="0" fontId="31" fillId="7" borderId="0" xfId="109" applyFill="1" applyAlignment="1">
      <alignment horizontal="left" vertical="center"/>
    </xf>
    <xf numFmtId="0" fontId="31" fillId="7" borderId="11" xfId="109" applyFill="1" applyBorder="1" applyAlignment="1">
      <alignment vertical="center"/>
    </xf>
    <xf numFmtId="0" fontId="31" fillId="7" borderId="0" xfId="85" applyFill="1" applyAlignment="1">
      <alignment horizontal="left" vertical="center"/>
    </xf>
    <xf numFmtId="0" fontId="31" fillId="7" borderId="0" xfId="85" applyFill="1" applyAlignment="1">
      <alignment horizontal="left" vertical="center" wrapText="1"/>
    </xf>
    <xf numFmtId="0" fontId="31" fillId="7" borderId="0" xfId="40" applyFont="1" applyFill="1" applyAlignment="1">
      <alignment horizontal="left" vertical="center" wrapText="1"/>
    </xf>
    <xf numFmtId="0" fontId="31" fillId="7" borderId="3" xfId="85" applyFill="1" applyBorder="1" applyAlignment="1">
      <alignment vertical="center" wrapText="1"/>
    </xf>
    <xf numFmtId="0" fontId="31" fillId="7" borderId="0" xfId="42" applyFont="1" applyFill="1" applyAlignment="1">
      <alignment horizontal="left" vertical="center"/>
    </xf>
    <xf numFmtId="0" fontId="31" fillId="7" borderId="0" xfId="109" quotePrefix="1" applyFill="1" applyAlignment="1">
      <alignment horizontal="right" vertical="top"/>
    </xf>
    <xf numFmtId="0" fontId="31" fillId="7" borderId="3" xfId="85" applyFill="1" applyBorder="1" applyAlignment="1">
      <alignment vertical="top" wrapText="1"/>
    </xf>
    <xf numFmtId="0" fontId="31" fillId="7" borderId="0" xfId="85" applyFill="1" applyAlignment="1">
      <alignment vertical="top" wrapText="1"/>
    </xf>
    <xf numFmtId="0" fontId="31" fillId="7" borderId="4" xfId="85" applyFill="1" applyBorder="1" applyAlignment="1">
      <alignment vertical="top" wrapText="1"/>
    </xf>
    <xf numFmtId="0" fontId="31" fillId="7" borderId="5" xfId="85" applyFill="1" applyBorder="1" applyAlignment="1">
      <alignment vertical="top" wrapText="1"/>
    </xf>
    <xf numFmtId="0" fontId="31" fillId="7" borderId="5" xfId="40" applyFont="1" applyFill="1" applyBorder="1" applyAlignment="1">
      <alignment horizontal="right" vertical="center"/>
    </xf>
    <xf numFmtId="0" fontId="31" fillId="7" borderId="0" xfId="40" applyFont="1" applyFill="1" applyAlignment="1">
      <alignment horizontal="left" vertical="center" indent="4"/>
    </xf>
    <xf numFmtId="0" fontId="31" fillId="7" borderId="0" xfId="40" applyFont="1" applyFill="1" applyAlignment="1">
      <alignment vertical="center" wrapText="1"/>
    </xf>
    <xf numFmtId="0" fontId="31" fillId="7" borderId="4" xfId="109" applyFill="1" applyBorder="1"/>
    <xf numFmtId="0" fontId="17" fillId="7" borderId="0" xfId="40" applyFont="1" applyFill="1" applyAlignment="1">
      <alignment vertical="top"/>
    </xf>
    <xf numFmtId="0" fontId="31" fillId="7" borderId="1" xfId="109" applyFill="1" applyBorder="1"/>
    <xf numFmtId="0" fontId="29" fillId="7" borderId="2" xfId="109" applyFont="1" applyFill="1" applyBorder="1"/>
    <xf numFmtId="0" fontId="31" fillId="7" borderId="2" xfId="109" applyFill="1" applyBorder="1"/>
    <xf numFmtId="0" fontId="31" fillId="7" borderId="10" xfId="109" applyFill="1" applyBorder="1"/>
    <xf numFmtId="0" fontId="31" fillId="7" borderId="3" xfId="85" applyFill="1" applyBorder="1" applyAlignment="1">
      <alignment horizontal="left" vertical="center" indent="1"/>
    </xf>
    <xf numFmtId="0" fontId="31" fillId="7" borderId="0" xfId="85" applyFill="1" applyAlignment="1">
      <alignment horizontal="left" vertical="center" indent="1"/>
    </xf>
    <xf numFmtId="0" fontId="25" fillId="7" borderId="0" xfId="40" applyFont="1" applyFill="1" applyAlignment="1">
      <alignment horizontal="right" vertical="center"/>
    </xf>
    <xf numFmtId="0" fontId="25" fillId="7" borderId="11" xfId="40" applyFont="1" applyFill="1" applyBorder="1" applyAlignment="1">
      <alignment horizontal="right" vertical="center"/>
    </xf>
    <xf numFmtId="0" fontId="57" fillId="7" borderId="3" xfId="85" applyFont="1" applyFill="1" applyBorder="1" applyAlignment="1">
      <alignment horizontal="left" vertical="top" indent="1"/>
    </xf>
    <xf numFmtId="0" fontId="57" fillId="7" borderId="0" xfId="85" applyFont="1" applyFill="1" applyAlignment="1">
      <alignment horizontal="left" vertical="top" indent="1"/>
    </xf>
    <xf numFmtId="0" fontId="21" fillId="7" borderId="0" xfId="109" applyFont="1" applyFill="1"/>
    <xf numFmtId="0" fontId="31" fillId="7" borderId="5" xfId="109" applyFill="1" applyBorder="1"/>
    <xf numFmtId="0" fontId="31" fillId="7" borderId="12" xfId="109" applyFill="1" applyBorder="1"/>
    <xf numFmtId="0" fontId="31" fillId="7" borderId="0" xfId="102" applyFont="1" applyFill="1"/>
    <xf numFmtId="0" fontId="83" fillId="7" borderId="0" xfId="40" applyFont="1" applyFill="1" applyAlignment="1">
      <alignment vertical="center"/>
    </xf>
    <xf numFmtId="0" fontId="78" fillId="0" borderId="0" xfId="0" applyFont="1" applyProtection="1">
      <protection locked="0"/>
    </xf>
    <xf numFmtId="0" fontId="17" fillId="7" borderId="0" xfId="80" applyFont="1" applyFill="1" applyAlignment="1">
      <alignment horizontal="center"/>
    </xf>
    <xf numFmtId="0" fontId="17" fillId="7" borderId="0" xfId="68" applyFont="1" applyFill="1" applyAlignment="1">
      <alignment vertical="center"/>
    </xf>
    <xf numFmtId="0" fontId="31" fillId="7" borderId="0" xfId="69" applyFill="1" applyAlignment="1">
      <alignment wrapText="1"/>
    </xf>
    <xf numFmtId="0" fontId="31" fillId="7" borderId="90" xfId="20" applyFill="1" applyBorder="1" applyAlignment="1">
      <alignment vertical="center"/>
    </xf>
    <xf numFmtId="0" fontId="31" fillId="7" borderId="70" xfId="20" applyFill="1" applyBorder="1" applyAlignment="1">
      <alignment vertical="center"/>
    </xf>
    <xf numFmtId="0" fontId="31" fillId="7" borderId="91" xfId="20" applyFill="1" applyBorder="1" applyAlignment="1">
      <alignment vertical="center"/>
    </xf>
    <xf numFmtId="0" fontId="31" fillId="7" borderId="130" xfId="20" applyFill="1" applyBorder="1" applyAlignment="1">
      <alignment vertical="center"/>
    </xf>
    <xf numFmtId="0" fontId="31" fillId="7" borderId="131" xfId="20" applyFill="1" applyBorder="1" applyAlignment="1">
      <alignment vertical="center"/>
    </xf>
    <xf numFmtId="0" fontId="31" fillId="7" borderId="129" xfId="20" applyFill="1" applyBorder="1" applyAlignment="1">
      <alignment vertical="center"/>
    </xf>
    <xf numFmtId="0" fontId="12" fillId="7" borderId="114" xfId="20" applyFont="1" applyFill="1" applyBorder="1" applyAlignment="1">
      <alignment vertical="center"/>
    </xf>
    <xf numFmtId="0" fontId="12" fillId="7" borderId="115" xfId="20" applyFont="1" applyFill="1" applyBorder="1" applyAlignment="1">
      <alignment vertical="center"/>
    </xf>
    <xf numFmtId="0" fontId="12" fillId="7" borderId="118" xfId="20" applyFont="1" applyFill="1" applyBorder="1" applyAlignment="1">
      <alignment vertical="center"/>
    </xf>
    <xf numFmtId="0" fontId="12" fillId="7" borderId="3" xfId="20" applyFont="1" applyFill="1" applyBorder="1"/>
    <xf numFmtId="0" fontId="17" fillId="7" borderId="0" xfId="112" applyFont="1" applyFill="1" applyAlignment="1">
      <alignment vertical="top"/>
    </xf>
    <xf numFmtId="0" fontId="9" fillId="7" borderId="0" xfId="40" applyFont="1" applyFill="1" applyAlignment="1">
      <alignment horizontal="right"/>
    </xf>
    <xf numFmtId="0" fontId="18" fillId="7" borderId="0" xfId="112" quotePrefix="1" applyFont="1" applyFill="1" applyAlignment="1">
      <alignment horizontal="right" vertical="top"/>
    </xf>
    <xf numFmtId="0" fontId="18" fillId="7" borderId="0" xfId="112" applyFont="1" applyFill="1" applyAlignment="1">
      <alignment vertical="top"/>
    </xf>
    <xf numFmtId="0" fontId="9" fillId="7" borderId="0" xfId="112" applyFont="1" applyFill="1" applyAlignment="1">
      <alignment horizontal="left" vertical="top"/>
    </xf>
    <xf numFmtId="0" fontId="18" fillId="7" borderId="0" xfId="112" applyFont="1" applyFill="1" applyAlignment="1">
      <alignment horizontal="left" vertical="top" wrapText="1"/>
    </xf>
    <xf numFmtId="0" fontId="12" fillId="7" borderId="0" xfId="84" applyFont="1" applyFill="1"/>
    <xf numFmtId="0" fontId="12" fillId="7" borderId="0" xfId="84" applyFont="1" applyFill="1" applyAlignment="1">
      <alignment wrapText="1"/>
    </xf>
    <xf numFmtId="0" fontId="24" fillId="7" borderId="2" xfId="40" applyFont="1" applyFill="1" applyBorder="1" applyAlignment="1">
      <alignment horizontal="right" vertical="center"/>
    </xf>
    <xf numFmtId="0" fontId="31" fillId="7" borderId="1" xfId="40" applyFont="1" applyFill="1" applyBorder="1"/>
    <xf numFmtId="0" fontId="22" fillId="7" borderId="2" xfId="40" applyFont="1" applyFill="1" applyBorder="1" applyAlignment="1">
      <alignment vertical="center" wrapText="1"/>
    </xf>
    <xf numFmtId="0" fontId="31" fillId="7" borderId="2" xfId="40" applyFont="1" applyFill="1" applyBorder="1"/>
    <xf numFmtId="0" fontId="31" fillId="7" borderId="10" xfId="40" applyFont="1" applyFill="1" applyBorder="1"/>
    <xf numFmtId="0" fontId="31" fillId="7" borderId="3" xfId="40" applyFont="1" applyFill="1" applyBorder="1"/>
    <xf numFmtId="0" fontId="31" fillId="7" borderId="11" xfId="40" applyFont="1" applyFill="1" applyBorder="1"/>
    <xf numFmtId="0" fontId="31" fillId="7" borderId="4" xfId="40" applyFont="1" applyFill="1" applyBorder="1"/>
    <xf numFmtId="0" fontId="22" fillId="7" borderId="5" xfId="40" applyFont="1" applyFill="1" applyBorder="1" applyAlignment="1">
      <alignment vertical="center" wrapText="1"/>
    </xf>
    <xf numFmtId="0" fontId="31" fillId="7" borderId="5" xfId="40" applyFont="1" applyFill="1" applyBorder="1"/>
    <xf numFmtId="0" fontId="31" fillId="7" borderId="12" xfId="40" applyFont="1" applyFill="1" applyBorder="1"/>
    <xf numFmtId="0" fontId="18" fillId="7" borderId="11" xfId="112" applyFont="1" applyFill="1" applyBorder="1" applyAlignment="1">
      <alignment vertical="top"/>
    </xf>
    <xf numFmtId="0" fontId="18" fillId="7" borderId="3" xfId="112" quotePrefix="1" applyFont="1" applyFill="1" applyBorder="1" applyAlignment="1">
      <alignment horizontal="right" vertical="top"/>
    </xf>
    <xf numFmtId="0" fontId="31" fillId="7" borderId="11" xfId="40" applyFont="1" applyFill="1" applyBorder="1" applyAlignment="1">
      <alignment vertical="center" wrapText="1"/>
    </xf>
    <xf numFmtId="0" fontId="23" fillId="7" borderId="1" xfId="40" applyFont="1" applyFill="1" applyBorder="1" applyAlignment="1">
      <alignment vertical="center"/>
    </xf>
    <xf numFmtId="0" fontId="23" fillId="7" borderId="3" xfId="40" applyFont="1" applyFill="1" applyBorder="1" applyAlignment="1">
      <alignment vertical="center"/>
    </xf>
    <xf numFmtId="0" fontId="31" fillId="7" borderId="0" xfId="40" applyFont="1" applyFill="1" applyAlignment="1">
      <alignment horizontal="justify" vertical="center" wrapText="1"/>
    </xf>
    <xf numFmtId="0" fontId="31" fillId="7" borderId="11" xfId="40" applyFont="1" applyFill="1" applyBorder="1" applyAlignment="1">
      <alignment horizontal="left" vertical="center" wrapText="1"/>
    </xf>
    <xf numFmtId="0" fontId="23" fillId="7" borderId="11" xfId="40" applyFont="1" applyFill="1" applyBorder="1" applyAlignment="1">
      <alignment horizontal="right" vertical="center"/>
    </xf>
    <xf numFmtId="0" fontId="31" fillId="7" borderId="0" xfId="40" applyFont="1" applyFill="1" applyAlignment="1">
      <alignment horizontal="justify" vertical="center"/>
    </xf>
    <xf numFmtId="0" fontId="9" fillId="7" borderId="11" xfId="40" applyFont="1" applyFill="1" applyBorder="1"/>
    <xf numFmtId="0" fontId="23" fillId="7" borderId="0" xfId="40" applyFont="1" applyFill="1" applyAlignment="1">
      <alignment vertical="center"/>
    </xf>
    <xf numFmtId="0" fontId="31" fillId="7" borderId="0" xfId="40" applyFont="1" applyFill="1" applyAlignment="1">
      <alignment horizontal="center" vertical="center"/>
    </xf>
    <xf numFmtId="0" fontId="9" fillId="7" borderId="4" xfId="40" applyFont="1" applyFill="1" applyBorder="1"/>
    <xf numFmtId="0" fontId="9" fillId="7" borderId="5" xfId="40" applyFont="1" applyFill="1" applyBorder="1"/>
    <xf numFmtId="0" fontId="9" fillId="7" borderId="12" xfId="40" applyFont="1" applyFill="1" applyBorder="1"/>
    <xf numFmtId="0" fontId="31" fillId="7" borderId="0" xfId="20" applyFill="1" applyAlignment="1">
      <alignment wrapText="1"/>
    </xf>
    <xf numFmtId="0" fontId="31" fillId="7" borderId="82" xfId="40" applyFont="1" applyFill="1" applyBorder="1" applyAlignment="1">
      <alignment horizontal="left" vertical="center" indent="3"/>
    </xf>
    <xf numFmtId="0" fontId="31" fillId="7" borderId="83" xfId="40" applyFont="1" applyFill="1" applyBorder="1" applyAlignment="1">
      <alignment horizontal="left" vertical="center" indent="3"/>
    </xf>
    <xf numFmtId="0" fontId="31" fillId="7" borderId="89" xfId="40" applyFont="1" applyFill="1" applyBorder="1" applyAlignment="1">
      <alignment horizontal="left" vertical="center"/>
    </xf>
    <xf numFmtId="0" fontId="31" fillId="7" borderId="69" xfId="40" applyFont="1" applyFill="1" applyBorder="1" applyAlignment="1">
      <alignment horizontal="left" vertical="center" indent="3"/>
    </xf>
    <xf numFmtId="0" fontId="31" fillId="7" borderId="71" xfId="40" applyFont="1" applyFill="1" applyBorder="1" applyAlignment="1">
      <alignment horizontal="left" vertical="center" indent="3"/>
    </xf>
    <xf numFmtId="0" fontId="31" fillId="7" borderId="74" xfId="40" applyFont="1" applyFill="1" applyBorder="1" applyAlignment="1">
      <alignment horizontal="left" vertical="center"/>
    </xf>
    <xf numFmtId="0" fontId="31" fillId="7" borderId="80" xfId="40" applyFont="1" applyFill="1" applyBorder="1" applyAlignment="1">
      <alignment horizontal="left" vertical="center" indent="3"/>
    </xf>
    <xf numFmtId="0" fontId="31" fillId="7" borderId="0" xfId="40" applyFont="1" applyFill="1" applyAlignment="1">
      <alignment horizontal="left" vertical="center" indent="3"/>
    </xf>
    <xf numFmtId="0" fontId="31" fillId="7" borderId="11" xfId="40" applyFont="1" applyFill="1" applyBorder="1" applyAlignment="1">
      <alignment horizontal="left" vertical="center"/>
    </xf>
    <xf numFmtId="0" fontId="31" fillId="7" borderId="81" xfId="40" applyFont="1" applyFill="1" applyBorder="1" applyAlignment="1">
      <alignment horizontal="left" vertical="center" indent="3"/>
    </xf>
    <xf numFmtId="0" fontId="31" fillId="7" borderId="129" xfId="40" applyFont="1" applyFill="1" applyBorder="1" applyAlignment="1">
      <alignment horizontal="left" vertical="center"/>
    </xf>
    <xf numFmtId="0" fontId="12" fillId="7" borderId="114" xfId="40" applyFont="1" applyFill="1" applyBorder="1" applyAlignment="1">
      <alignment vertical="center"/>
    </xf>
    <xf numFmtId="0" fontId="12" fillId="7" borderId="115" xfId="40" applyFont="1" applyFill="1" applyBorder="1" applyAlignment="1">
      <alignment vertical="center"/>
    </xf>
    <xf numFmtId="0" fontId="12" fillId="7" borderId="118" xfId="40" applyFont="1" applyFill="1" applyBorder="1" applyAlignment="1">
      <alignment vertical="center"/>
    </xf>
    <xf numFmtId="0" fontId="12" fillId="7" borderId="0" xfId="20" applyFont="1" applyFill="1" applyAlignment="1">
      <alignment vertical="center" wrapText="1"/>
    </xf>
    <xf numFmtId="0" fontId="12" fillId="7" borderId="0" xfId="20" applyFont="1" applyFill="1" applyAlignment="1">
      <alignment horizontal="center" vertical="center" wrapText="1"/>
    </xf>
    <xf numFmtId="0" fontId="12" fillId="7" borderId="0" xfId="20" applyFont="1" applyFill="1" applyAlignment="1">
      <alignment vertical="center" wrapText="1" shrinkToFit="1"/>
    </xf>
    <xf numFmtId="0" fontId="11" fillId="7" borderId="0" xfId="112" applyFill="1" applyAlignment="1">
      <alignment vertical="center"/>
    </xf>
    <xf numFmtId="0" fontId="31" fillId="7" borderId="82" xfId="40" applyFont="1" applyFill="1" applyBorder="1" applyAlignment="1">
      <alignment horizontal="left" vertical="center" indent="4"/>
    </xf>
    <xf numFmtId="0" fontId="31" fillId="7" borderId="69" xfId="40" applyFont="1" applyFill="1" applyBorder="1" applyAlignment="1">
      <alignment horizontal="left" vertical="center" indent="4"/>
    </xf>
    <xf numFmtId="0" fontId="31" fillId="7" borderId="3" xfId="40" applyFont="1" applyFill="1" applyBorder="1" applyAlignment="1">
      <alignment horizontal="left" vertical="center" indent="4"/>
    </xf>
    <xf numFmtId="0" fontId="31" fillId="7" borderId="83" xfId="40" applyFont="1" applyFill="1" applyBorder="1" applyAlignment="1">
      <alignment horizontal="left" vertical="center" indent="6"/>
    </xf>
    <xf numFmtId="0" fontId="31" fillId="7" borderId="71" xfId="40" applyFont="1" applyFill="1" applyBorder="1" applyAlignment="1">
      <alignment horizontal="left" vertical="center" indent="6"/>
    </xf>
    <xf numFmtId="0" fontId="31" fillId="7" borderId="80" xfId="40" applyFont="1" applyFill="1" applyBorder="1" applyAlignment="1">
      <alignment horizontal="left" vertical="center" indent="4"/>
    </xf>
    <xf numFmtId="0" fontId="31" fillId="7" borderId="81" xfId="40" applyFont="1" applyFill="1" applyBorder="1" applyAlignment="1">
      <alignment horizontal="left" vertical="center" indent="6"/>
    </xf>
    <xf numFmtId="0" fontId="9" fillId="7" borderId="0" xfId="112" quotePrefix="1" applyFont="1" applyFill="1"/>
    <xf numFmtId="0" fontId="18" fillId="7" borderId="0" xfId="112" quotePrefix="1" applyFont="1" applyFill="1" applyAlignment="1">
      <alignment horizontal="right" wrapText="1"/>
    </xf>
    <xf numFmtId="0" fontId="22" fillId="7" borderId="0" xfId="112" applyFont="1" applyFill="1" applyAlignment="1">
      <alignment wrapText="1"/>
    </xf>
    <xf numFmtId="0" fontId="18" fillId="7" borderId="0" xfId="112" applyFont="1" applyFill="1" applyAlignment="1">
      <alignment wrapText="1"/>
    </xf>
    <xf numFmtId="0" fontId="9" fillId="7" borderId="0" xfId="112" applyFont="1" applyFill="1" applyAlignment="1">
      <alignment wrapText="1"/>
    </xf>
    <xf numFmtId="0" fontId="12" fillId="7" borderId="0" xfId="20" applyFont="1" applyFill="1" applyAlignment="1">
      <alignment wrapText="1"/>
    </xf>
    <xf numFmtId="0" fontId="31" fillId="7" borderId="1" xfId="20" applyFill="1" applyBorder="1"/>
    <xf numFmtId="0" fontId="31" fillId="7" borderId="2" xfId="20" applyFill="1" applyBorder="1"/>
    <xf numFmtId="0" fontId="9" fillId="7" borderId="2" xfId="40" applyFont="1" applyFill="1" applyBorder="1" applyAlignment="1">
      <alignment vertical="center"/>
    </xf>
    <xf numFmtId="0" fontId="12" fillId="7" borderId="2" xfId="20" applyFont="1" applyFill="1" applyBorder="1" applyAlignment="1">
      <alignment wrapText="1"/>
    </xf>
    <xf numFmtId="0" fontId="9" fillId="7" borderId="2" xfId="40" applyFont="1" applyFill="1" applyBorder="1"/>
    <xf numFmtId="0" fontId="9" fillId="7" borderId="10" xfId="40" applyFont="1" applyFill="1" applyBorder="1"/>
    <xf numFmtId="0" fontId="31" fillId="7" borderId="3" xfId="20" applyFill="1" applyBorder="1" applyAlignment="1">
      <alignment horizontal="left"/>
    </xf>
    <xf numFmtId="0" fontId="31" fillId="7" borderId="0" xfId="20" applyFill="1" applyAlignment="1">
      <alignment horizontal="left"/>
    </xf>
    <xf numFmtId="0" fontId="31" fillId="7" borderId="0" xfId="20" quotePrefix="1" applyFill="1" applyAlignment="1">
      <alignment horizontal="right"/>
    </xf>
    <xf numFmtId="0" fontId="31" fillId="7" borderId="0" xfId="42" applyFont="1" applyFill="1" applyAlignment="1">
      <alignment horizontal="right"/>
    </xf>
    <xf numFmtId="0" fontId="31" fillId="7" borderId="0" xfId="42" applyFont="1" applyFill="1" applyAlignment="1">
      <alignment horizontal="left"/>
    </xf>
    <xf numFmtId="0" fontId="31" fillId="7" borderId="3" xfId="20" applyFill="1" applyBorder="1" applyAlignment="1">
      <alignment horizontal="left" vertical="center"/>
    </xf>
    <xf numFmtId="0" fontId="31" fillId="7" borderId="0" xfId="20" applyFill="1" applyAlignment="1">
      <alignment horizontal="left" vertical="center"/>
    </xf>
    <xf numFmtId="0" fontId="31" fillId="7" borderId="0" xfId="40" applyFont="1" applyFill="1" applyAlignment="1">
      <alignment horizontal="left" vertical="center"/>
    </xf>
    <xf numFmtId="0" fontId="31" fillId="7" borderId="0" xfId="42" applyFont="1" applyFill="1" applyAlignment="1">
      <alignment vertical="center"/>
    </xf>
    <xf numFmtId="0" fontId="38" fillId="7" borderId="0" xfId="42" applyFont="1" applyFill="1" applyAlignment="1">
      <alignment vertical="center"/>
    </xf>
    <xf numFmtId="0" fontId="9" fillId="7" borderId="3" xfId="42" applyFont="1" applyFill="1" applyBorder="1"/>
    <xf numFmtId="0" fontId="9" fillId="7" borderId="0" xfId="42" applyFont="1" applyFill="1"/>
    <xf numFmtId="0" fontId="31" fillId="7" borderId="0" xfId="42" applyFont="1" applyFill="1"/>
    <xf numFmtId="0" fontId="38" fillId="7" borderId="0" xfId="42" applyFont="1" applyFill="1" applyAlignment="1">
      <alignment horizontal="left"/>
    </xf>
    <xf numFmtId="0" fontId="9" fillId="7" borderId="0" xfId="42" applyFont="1" applyFill="1" applyAlignment="1">
      <alignment horizontal="left"/>
    </xf>
    <xf numFmtId="0" fontId="38" fillId="7" borderId="0" xfId="42" applyFont="1" applyFill="1" applyAlignment="1">
      <alignment vertical="top"/>
    </xf>
    <xf numFmtId="0" fontId="38" fillId="7" borderId="0" xfId="42" applyFont="1" applyFill="1"/>
    <xf numFmtId="0" fontId="38" fillId="7" borderId="0" xfId="42" applyFont="1" applyFill="1" applyAlignment="1" applyProtection="1">
      <alignment vertical="top"/>
      <protection locked="0"/>
    </xf>
    <xf numFmtId="0" fontId="84" fillId="7" borderId="0" xfId="40" applyFont="1" applyFill="1"/>
    <xf numFmtId="0" fontId="38" fillId="7" borderId="0" xfId="42" applyFont="1" applyFill="1" applyAlignment="1">
      <alignment horizontal="right"/>
    </xf>
    <xf numFmtId="0" fontId="9" fillId="7" borderId="0" xfId="42" applyFont="1" applyFill="1" applyAlignment="1">
      <alignment horizontal="right"/>
    </xf>
    <xf numFmtId="0" fontId="22" fillId="7" borderId="0" xfId="112" applyFont="1" applyFill="1" applyAlignment="1">
      <alignment horizontal="left" indent="2"/>
    </xf>
    <xf numFmtId="0" fontId="12" fillId="7" borderId="0" xfId="20" applyFont="1" applyFill="1" applyAlignment="1">
      <alignment vertical="center"/>
    </xf>
    <xf numFmtId="0" fontId="12" fillId="7" borderId="0" xfId="20" applyFont="1" applyFill="1" applyAlignment="1">
      <alignment horizontal="left" vertical="center"/>
    </xf>
    <xf numFmtId="0" fontId="18" fillId="7" borderId="0" xfId="40" applyFont="1" applyFill="1"/>
    <xf numFmtId="0" fontId="22" fillId="7" borderId="0" xfId="112" quotePrefix="1" applyFont="1" applyFill="1" applyAlignment="1">
      <alignment horizontal="justify" wrapText="1"/>
    </xf>
    <xf numFmtId="0" fontId="11" fillId="7" borderId="0" xfId="20" applyFont="1" applyFill="1"/>
    <xf numFmtId="0" fontId="22" fillId="7" borderId="0" xfId="40" applyFont="1" applyFill="1"/>
    <xf numFmtId="0" fontId="35" fillId="7" borderId="36" xfId="40" applyFont="1" applyFill="1" applyBorder="1" applyAlignment="1">
      <alignment vertical="top" wrapText="1"/>
    </xf>
    <xf numFmtId="0" fontId="35" fillId="7" borderId="5" xfId="40" applyFont="1" applyFill="1" applyBorder="1" applyAlignment="1">
      <alignment vertical="top" wrapText="1"/>
    </xf>
    <xf numFmtId="0" fontId="35" fillId="7" borderId="29" xfId="40" applyFont="1" applyFill="1" applyBorder="1" applyAlignment="1">
      <alignment vertical="top" wrapText="1"/>
    </xf>
    <xf numFmtId="0" fontId="9" fillId="7" borderId="108" xfId="40" applyFont="1" applyFill="1" applyBorder="1" applyAlignment="1">
      <alignment vertical="center"/>
    </xf>
    <xf numFmtId="0" fontId="9" fillId="7" borderId="28" xfId="40" applyFont="1" applyFill="1" applyBorder="1" applyAlignment="1">
      <alignment vertical="center"/>
    </xf>
    <xf numFmtId="0" fontId="9" fillId="7" borderId="81" xfId="40" applyFont="1" applyFill="1" applyBorder="1" applyAlignment="1">
      <alignment vertical="center"/>
    </xf>
    <xf numFmtId="0" fontId="9" fillId="7" borderId="85" xfId="40" applyFont="1" applyFill="1" applyBorder="1" applyAlignment="1">
      <alignment vertical="center"/>
    </xf>
    <xf numFmtId="0" fontId="9" fillId="7" borderId="83" xfId="40" applyFont="1" applyFill="1" applyBorder="1" applyAlignment="1">
      <alignment vertical="center"/>
    </xf>
    <xf numFmtId="0" fontId="9" fillId="7" borderId="87" xfId="40" applyFont="1" applyFill="1" applyBorder="1" applyAlignment="1">
      <alignment vertical="center"/>
    </xf>
    <xf numFmtId="0" fontId="9" fillId="7" borderId="5" xfId="40" applyFont="1" applyFill="1" applyBorder="1" applyAlignment="1">
      <alignment vertical="center"/>
    </xf>
    <xf numFmtId="0" fontId="9" fillId="7" borderId="29" xfId="40" applyFont="1" applyFill="1" applyBorder="1" applyAlignment="1">
      <alignment vertical="center"/>
    </xf>
    <xf numFmtId="0" fontId="18" fillId="7" borderId="0" xfId="112" applyFont="1" applyFill="1"/>
    <xf numFmtId="0" fontId="22" fillId="7" borderId="0" xfId="112" applyFont="1" applyFill="1"/>
    <xf numFmtId="0" fontId="23" fillId="0" borderId="128" xfId="42" applyFont="1" applyBorder="1" applyAlignment="1" applyProtection="1">
      <alignment vertical="center"/>
      <protection locked="0"/>
    </xf>
    <xf numFmtId="0" fontId="23" fillId="0" borderId="35" xfId="42" applyFont="1" applyBorder="1" applyAlignment="1" applyProtection="1">
      <alignment vertical="center"/>
      <protection locked="0"/>
    </xf>
    <xf numFmtId="0" fontId="23" fillId="0" borderId="86" xfId="42" applyFont="1" applyBorder="1" applyAlignment="1" applyProtection="1">
      <alignment vertical="center"/>
      <protection locked="0"/>
    </xf>
    <xf numFmtId="0" fontId="23" fillId="0" borderId="88" xfId="42" applyFont="1" applyBorder="1" applyAlignment="1" applyProtection="1">
      <alignment vertical="center"/>
      <protection locked="0"/>
    </xf>
    <xf numFmtId="0" fontId="23" fillId="0" borderId="36" xfId="42" applyFont="1" applyBorder="1" applyAlignment="1" applyProtection="1">
      <alignment vertical="center"/>
      <protection locked="0"/>
    </xf>
    <xf numFmtId="0" fontId="23" fillId="0" borderId="2" xfId="42" applyFont="1" applyBorder="1" applyAlignment="1" applyProtection="1">
      <alignment vertical="center"/>
      <protection locked="0"/>
    </xf>
    <xf numFmtId="0" fontId="23" fillId="0" borderId="0" xfId="42" applyFont="1" applyAlignment="1" applyProtection="1">
      <alignment vertical="center"/>
      <protection locked="0"/>
    </xf>
    <xf numFmtId="0" fontId="23" fillId="0" borderId="81" xfId="42" applyFont="1" applyBorder="1" applyAlignment="1" applyProtection="1">
      <alignment vertical="center"/>
      <protection locked="0"/>
    </xf>
    <xf numFmtId="0" fontId="8" fillId="7" borderId="0" xfId="191" applyFont="1" applyFill="1" applyAlignment="1">
      <alignment vertical="center"/>
    </xf>
    <xf numFmtId="0" fontId="31" fillId="7" borderId="0" xfId="191" applyFont="1" applyFill="1" applyAlignment="1">
      <alignment vertical="center"/>
    </xf>
    <xf numFmtId="0" fontId="18" fillId="7" borderId="0" xfId="111" quotePrefix="1" applyFont="1" applyFill="1" applyAlignment="1">
      <alignment vertical="top"/>
    </xf>
    <xf numFmtId="0" fontId="20" fillId="7" borderId="0" xfId="111" applyFont="1" applyFill="1" applyAlignment="1">
      <alignment horizontal="justify" vertical="center"/>
    </xf>
    <xf numFmtId="0" fontId="31" fillId="7" borderId="0" xfId="193" applyFont="1" applyFill="1" applyAlignment="1">
      <alignment vertical="center"/>
    </xf>
    <xf numFmtId="0" fontId="17" fillId="7" borderId="0" xfId="193" quotePrefix="1" applyFont="1" applyFill="1" applyAlignment="1">
      <alignment horizontal="right" vertical="top"/>
    </xf>
    <xf numFmtId="0" fontId="31" fillId="7" borderId="0" xfId="179" applyFont="1" applyFill="1" applyAlignment="1">
      <alignment vertical="center"/>
    </xf>
    <xf numFmtId="0" fontId="66" fillId="7" borderId="0" xfId="179" applyFont="1" applyFill="1" applyAlignment="1">
      <alignment vertical="center"/>
    </xf>
    <xf numFmtId="0" fontId="17" fillId="7" borderId="0" xfId="111" quotePrefix="1" applyFont="1" applyFill="1" applyAlignment="1">
      <alignment vertical="top"/>
    </xf>
    <xf numFmtId="0" fontId="27" fillId="7" borderId="0" xfId="111" applyFont="1" applyFill="1" applyAlignment="1">
      <alignment horizontal="justify" vertical="center"/>
    </xf>
    <xf numFmtId="0" fontId="31" fillId="7" borderId="0" xfId="111" applyFont="1" applyFill="1" applyAlignment="1">
      <alignment vertical="top"/>
    </xf>
    <xf numFmtId="0" fontId="12" fillId="7" borderId="0" xfId="111" applyFont="1" applyFill="1" applyAlignment="1">
      <alignment vertical="top"/>
    </xf>
    <xf numFmtId="0" fontId="27" fillId="7" borderId="0" xfId="111" applyFont="1" applyFill="1" applyAlignment="1">
      <alignment horizontal="justify" vertical="top"/>
    </xf>
    <xf numFmtId="0" fontId="17" fillId="7" borderId="0" xfId="40" quotePrefix="1" applyFont="1" applyFill="1" applyAlignment="1">
      <alignment horizontal="right" vertical="top" wrapText="1"/>
    </xf>
    <xf numFmtId="0" fontId="17" fillId="7" borderId="0" xfId="40" quotePrefix="1" applyFont="1" applyFill="1" applyAlignment="1">
      <alignment horizontal="center" vertical="top"/>
    </xf>
    <xf numFmtId="0" fontId="18" fillId="7" borderId="0" xfId="112" applyFont="1" applyFill="1" applyAlignment="1">
      <alignment horizontal="justify" vertical="top"/>
    </xf>
    <xf numFmtId="0" fontId="18" fillId="7" borderId="0" xfId="112" applyFont="1" applyFill="1" applyAlignment="1">
      <alignment horizontal="left" vertical="top"/>
    </xf>
    <xf numFmtId="0" fontId="9" fillId="7" borderId="0" xfId="68" applyFont="1" applyFill="1" applyAlignment="1">
      <alignment vertical="center"/>
    </xf>
    <xf numFmtId="0" fontId="18" fillId="7" borderId="0" xfId="68" applyFont="1" applyFill="1"/>
    <xf numFmtId="0" fontId="9" fillId="7" borderId="0" xfId="68" applyFont="1" applyFill="1"/>
    <xf numFmtId="0" fontId="9" fillId="8" borderId="0" xfId="68" applyFont="1" applyFill="1" applyAlignment="1">
      <alignment vertical="center"/>
    </xf>
    <xf numFmtId="0" fontId="18" fillId="8" borderId="0" xfId="68" quotePrefix="1" applyFont="1" applyFill="1" applyAlignment="1">
      <alignment horizontal="right" vertical="center" wrapText="1"/>
    </xf>
    <xf numFmtId="0" fontId="31" fillId="7" borderId="0" xfId="68" applyFill="1" applyAlignment="1">
      <alignment vertical="center"/>
    </xf>
    <xf numFmtId="0" fontId="9" fillId="7" borderId="0" xfId="68" applyFont="1" applyFill="1" applyAlignment="1">
      <alignment horizontal="right" vertical="center"/>
    </xf>
    <xf numFmtId="0" fontId="18" fillId="8" borderId="0" xfId="68" applyFont="1" applyFill="1" applyAlignment="1">
      <alignment horizontal="right" vertical="center" wrapText="1"/>
    </xf>
    <xf numFmtId="0" fontId="9" fillId="7" borderId="0" xfId="20" applyFont="1" applyFill="1" applyAlignment="1">
      <alignment horizontal="center"/>
    </xf>
    <xf numFmtId="0" fontId="31" fillId="7" borderId="0" xfId="68" applyFill="1" applyAlignment="1">
      <alignment vertical="top" wrapText="1"/>
    </xf>
    <xf numFmtId="0" fontId="19" fillId="7" borderId="0" xfId="68" applyFont="1" applyFill="1" applyAlignment="1">
      <alignment wrapText="1"/>
    </xf>
    <xf numFmtId="0" fontId="35" fillId="7" borderId="36" xfId="68" applyFont="1" applyFill="1" applyBorder="1" applyAlignment="1">
      <alignment vertical="center" wrapText="1"/>
    </xf>
    <xf numFmtId="0" fontId="35" fillId="7" borderId="5" xfId="68" applyFont="1" applyFill="1" applyBorder="1" applyAlignment="1">
      <alignment vertical="center" wrapText="1"/>
    </xf>
    <xf numFmtId="0" fontId="35" fillId="7" borderId="29" xfId="68" applyFont="1" applyFill="1" applyBorder="1" applyAlignment="1">
      <alignment vertical="center" wrapText="1"/>
    </xf>
    <xf numFmtId="0" fontId="9" fillId="8" borderId="0" xfId="68" applyFont="1" applyFill="1" applyAlignment="1">
      <alignment horizontal="right"/>
    </xf>
    <xf numFmtId="0" fontId="18" fillId="7" borderId="0" xfId="68" quotePrefix="1" applyFont="1" applyFill="1" applyAlignment="1">
      <alignment horizontal="right"/>
    </xf>
    <xf numFmtId="0" fontId="9" fillId="7" borderId="0" xfId="68" applyFont="1" applyFill="1" applyAlignment="1">
      <alignment horizontal="right"/>
    </xf>
    <xf numFmtId="0" fontId="18" fillId="7" borderId="0" xfId="68" applyFont="1" applyFill="1" applyAlignment="1">
      <alignment horizontal="right"/>
    </xf>
    <xf numFmtId="0" fontId="22" fillId="7" borderId="0" xfId="68" applyFont="1" applyFill="1" applyAlignment="1">
      <alignment horizontal="left" wrapText="1"/>
    </xf>
    <xf numFmtId="0" fontId="64" fillId="7" borderId="0" xfId="68" applyFont="1" applyFill="1"/>
    <xf numFmtId="0" fontId="18" fillId="7" borderId="0" xfId="68" applyFont="1" applyFill="1" applyAlignment="1">
      <alignment vertical="center"/>
    </xf>
    <xf numFmtId="0" fontId="18" fillId="7" borderId="0" xfId="68" quotePrefix="1" applyFont="1" applyFill="1" applyAlignment="1">
      <alignment vertical="center"/>
    </xf>
    <xf numFmtId="0" fontId="11" fillId="7" borderId="0" xfId="68" applyFont="1" applyFill="1"/>
    <xf numFmtId="0" fontId="14" fillId="7" borderId="0" xfId="68" applyFont="1" applyFill="1" applyAlignment="1">
      <alignment vertical="center"/>
    </xf>
    <xf numFmtId="0" fontId="10" fillId="7" borderId="0" xfId="68" applyFont="1" applyFill="1"/>
    <xf numFmtId="0" fontId="18" fillId="7" borderId="0" xfId="68" quotePrefix="1" applyFont="1" applyFill="1" applyAlignment="1">
      <alignment horizontal="right" wrapText="1"/>
    </xf>
    <xf numFmtId="0" fontId="18" fillId="7" borderId="0" xfId="68" applyFont="1" applyFill="1" applyAlignment="1">
      <alignment horizontal="right" wrapText="1"/>
    </xf>
    <xf numFmtId="0" fontId="18" fillId="7" borderId="0" xfId="68" applyFont="1" applyFill="1" applyAlignment="1">
      <alignment horizontal="right" vertical="top"/>
    </xf>
    <xf numFmtId="0" fontId="9" fillId="7" borderId="0" xfId="68" applyFont="1" applyFill="1" applyAlignment="1">
      <alignment vertical="top"/>
    </xf>
    <xf numFmtId="0" fontId="18" fillId="7" borderId="0" xfId="68" quotePrefix="1" applyFont="1" applyFill="1" applyAlignment="1">
      <alignment horizontal="right" vertical="top"/>
    </xf>
    <xf numFmtId="0" fontId="18" fillId="8" borderId="0" xfId="68" applyFont="1" applyFill="1"/>
    <xf numFmtId="0" fontId="18" fillId="7" borderId="0" xfId="68" quotePrefix="1" applyFont="1" applyFill="1" applyAlignment="1">
      <alignment horizontal="left" vertical="top"/>
    </xf>
    <xf numFmtId="0" fontId="8" fillId="7" borderId="0" xfId="68" applyFont="1" applyFill="1" applyAlignment="1">
      <alignment vertical="top"/>
    </xf>
    <xf numFmtId="0" fontId="12" fillId="7" borderId="0" xfId="0" applyFont="1" applyFill="1" applyAlignment="1">
      <alignment horizontal="left"/>
    </xf>
    <xf numFmtId="0" fontId="12" fillId="7" borderId="0" xfId="0" applyFont="1" applyFill="1" applyAlignment="1">
      <alignment wrapText="1"/>
    </xf>
    <xf numFmtId="0" fontId="12" fillId="7" borderId="0" xfId="0" applyFont="1" applyFill="1" applyAlignment="1">
      <alignment horizontal="justify" vertical="center"/>
    </xf>
    <xf numFmtId="0" fontId="12" fillId="7" borderId="1" xfId="0" applyFont="1" applyFill="1" applyBorder="1"/>
    <xf numFmtId="0" fontId="31" fillId="7" borderId="2" xfId="0" applyFont="1" applyFill="1" applyBorder="1"/>
    <xf numFmtId="0" fontId="12" fillId="7" borderId="2" xfId="0" applyFont="1" applyFill="1" applyBorder="1" applyAlignment="1">
      <alignment vertical="center"/>
    </xf>
    <xf numFmtId="0" fontId="12" fillId="7" borderId="10" xfId="0" applyFont="1" applyFill="1" applyBorder="1"/>
    <xf numFmtId="0" fontId="31" fillId="7" borderId="0" xfId="0" quotePrefix="1" applyFont="1" applyFill="1" applyAlignment="1">
      <alignment horizontal="right" vertical="center"/>
    </xf>
    <xf numFmtId="0" fontId="12" fillId="7" borderId="11" xfId="0" applyFont="1" applyFill="1" applyBorder="1"/>
    <xf numFmtId="0" fontId="12" fillId="7" borderId="0" xfId="0" applyFont="1" applyFill="1" applyAlignment="1">
      <alignment vertical="top" wrapText="1"/>
    </xf>
    <xf numFmtId="0" fontId="83" fillId="7" borderId="0" xfId="0" applyFont="1" applyFill="1"/>
    <xf numFmtId="0" fontId="31" fillId="7" borderId="11" xfId="0" applyFont="1" applyFill="1" applyBorder="1"/>
    <xf numFmtId="0" fontId="31" fillId="7" borderId="0" xfId="0" quotePrefix="1" applyFont="1" applyFill="1" applyAlignment="1">
      <alignment horizontal="right"/>
    </xf>
    <xf numFmtId="0" fontId="24" fillId="7" borderId="0" xfId="40" applyFont="1" applyFill="1" applyAlignment="1">
      <alignment horizontal="right"/>
    </xf>
    <xf numFmtId="0" fontId="31" fillId="7" borderId="0" xfId="0" applyFont="1" applyFill="1" applyAlignment="1">
      <alignment horizontal="right"/>
    </xf>
    <xf numFmtId="0" fontId="31" fillId="7" borderId="4" xfId="0" applyFont="1" applyFill="1" applyBorder="1"/>
    <xf numFmtId="0" fontId="31" fillId="7" borderId="5" xfId="0" applyFont="1" applyFill="1" applyBorder="1"/>
    <xf numFmtId="0" fontId="12" fillId="7" borderId="5" xfId="0" applyFont="1" applyFill="1" applyBorder="1" applyAlignment="1">
      <alignment vertical="top" wrapText="1"/>
    </xf>
    <xf numFmtId="0" fontId="24" fillId="7" borderId="5" xfId="40" applyFont="1" applyFill="1" applyBorder="1" applyAlignment="1">
      <alignment horizontal="right" vertical="center"/>
    </xf>
    <xf numFmtId="0" fontId="18" fillId="7" borderId="0" xfId="111" applyFont="1" applyFill="1" applyAlignment="1">
      <alignment horizontal="left" vertical="top" wrapText="1"/>
    </xf>
    <xf numFmtId="0" fontId="18" fillId="7" borderId="0" xfId="111" quotePrefix="1" applyFont="1" applyFill="1" applyAlignment="1">
      <alignment horizontal="right" vertical="center"/>
    </xf>
    <xf numFmtId="0" fontId="18" fillId="7" borderId="0" xfId="111" applyFont="1" applyFill="1" applyAlignment="1">
      <alignment horizontal="justify" vertical="center"/>
    </xf>
    <xf numFmtId="0" fontId="10" fillId="7" borderId="0" xfId="0" applyFont="1" applyFill="1" applyAlignment="1">
      <alignment vertical="top"/>
    </xf>
    <xf numFmtId="0" fontId="31" fillId="7" borderId="0" xfId="0" applyFont="1" applyFill="1" applyAlignment="1">
      <alignment vertical="top"/>
    </xf>
    <xf numFmtId="0" fontId="36" fillId="7" borderId="0" xfId="0" applyFont="1" applyFill="1" applyAlignment="1">
      <alignment vertical="top"/>
    </xf>
    <xf numFmtId="0" fontId="24" fillId="0" borderId="0" xfId="40" applyFont="1" applyAlignment="1" applyProtection="1">
      <alignment horizontal="right"/>
      <protection locked="0"/>
    </xf>
    <xf numFmtId="0" fontId="83" fillId="7" borderId="0" xfId="40" applyFont="1" applyFill="1" applyAlignment="1">
      <alignment horizontal="left" vertical="center"/>
    </xf>
    <xf numFmtId="0" fontId="31" fillId="7" borderId="0" xfId="111" applyFont="1" applyFill="1" applyAlignment="1">
      <alignment horizontal="left"/>
    </xf>
    <xf numFmtId="0" fontId="12" fillId="7" borderId="0" xfId="69" applyFont="1" applyFill="1" applyAlignment="1">
      <alignment wrapText="1"/>
    </xf>
    <xf numFmtId="0" fontId="12" fillId="7" borderId="2" xfId="69" applyFont="1" applyFill="1" applyBorder="1"/>
    <xf numFmtId="0" fontId="12" fillId="7" borderId="2" xfId="69" applyFont="1" applyFill="1" applyBorder="1" applyAlignment="1">
      <alignment wrapText="1"/>
    </xf>
    <xf numFmtId="0" fontId="9" fillId="7" borderId="3" xfId="40" applyFont="1" applyFill="1" applyBorder="1" applyAlignment="1">
      <alignment vertical="center"/>
    </xf>
    <xf numFmtId="0" fontId="22" fillId="7" borderId="0" xfId="40" applyFont="1" applyFill="1" applyAlignment="1">
      <alignment vertical="center"/>
    </xf>
    <xf numFmtId="0" fontId="22" fillId="7" borderId="0" xfId="40" applyFont="1" applyFill="1" applyAlignment="1">
      <alignment vertical="center" wrapText="1"/>
    </xf>
    <xf numFmtId="0" fontId="31" fillId="7" borderId="0" xfId="69" applyFill="1" applyAlignment="1">
      <alignment horizontal="left" vertical="center"/>
    </xf>
    <xf numFmtId="0" fontId="12" fillId="7" borderId="0" xfId="69" applyFont="1" applyFill="1" applyAlignment="1">
      <alignment vertical="center" wrapText="1"/>
    </xf>
    <xf numFmtId="0" fontId="9" fillId="7" borderId="0" xfId="40" applyFont="1" applyFill="1" applyAlignment="1">
      <alignment vertical="top"/>
    </xf>
    <xf numFmtId="0" fontId="22" fillId="7" borderId="0" xfId="40" applyFont="1" applyFill="1" applyAlignment="1">
      <alignment vertical="top"/>
    </xf>
    <xf numFmtId="0" fontId="22" fillId="7" borderId="0" xfId="40" applyFont="1" applyFill="1" applyAlignment="1">
      <alignment vertical="top" wrapText="1"/>
    </xf>
    <xf numFmtId="0" fontId="23" fillId="7" borderId="0" xfId="40" applyFont="1" applyFill="1" applyAlignment="1">
      <alignment horizontal="right" vertical="top"/>
    </xf>
    <xf numFmtId="0" fontId="23" fillId="7" borderId="0" xfId="40" applyFont="1" applyFill="1" applyAlignment="1">
      <alignment horizontal="right" vertical="center"/>
    </xf>
    <xf numFmtId="0" fontId="22" fillId="7" borderId="0" xfId="69" applyFont="1" applyFill="1" applyAlignment="1">
      <alignment vertical="center"/>
    </xf>
    <xf numFmtId="0" fontId="9" fillId="7" borderId="0" xfId="40" applyFont="1" applyFill="1" applyAlignment="1">
      <alignment vertical="center" wrapText="1"/>
    </xf>
    <xf numFmtId="0" fontId="31" fillId="7" borderId="0" xfId="69" applyFill="1" applyAlignment="1">
      <alignment vertical="center" wrapText="1"/>
    </xf>
    <xf numFmtId="0" fontId="9" fillId="7" borderId="0" xfId="40" applyFont="1" applyFill="1" applyAlignment="1">
      <alignment horizontal="left" vertical="center"/>
    </xf>
    <xf numFmtId="0" fontId="23" fillId="7" borderId="37" xfId="40" applyFont="1" applyFill="1" applyBorder="1" applyAlignment="1">
      <alignment horizontal="right" vertical="center"/>
    </xf>
    <xf numFmtId="0" fontId="31" fillId="7" borderId="6" xfId="40" applyFont="1" applyFill="1" applyBorder="1" applyAlignment="1">
      <alignment vertical="center"/>
    </xf>
    <xf numFmtId="0" fontId="31" fillId="7" borderId="6" xfId="69" applyFill="1" applyBorder="1" applyAlignment="1">
      <alignment vertical="center"/>
    </xf>
    <xf numFmtId="0" fontId="9" fillId="7" borderId="6" xfId="40" applyFont="1" applyFill="1" applyBorder="1" applyAlignment="1">
      <alignment vertical="center"/>
    </xf>
    <xf numFmtId="0" fontId="9" fillId="7" borderId="0" xfId="40" applyFont="1" applyFill="1" applyAlignment="1">
      <alignment horizontal="left" vertical="center" indent="1"/>
    </xf>
    <xf numFmtId="0" fontId="31" fillId="7" borderId="16" xfId="40" applyFont="1" applyFill="1" applyBorder="1" applyAlignment="1">
      <alignment vertical="center"/>
    </xf>
    <xf numFmtId="0" fontId="12" fillId="7" borderId="16" xfId="69" applyFont="1" applyFill="1" applyBorder="1" applyAlignment="1">
      <alignment horizontal="left" vertical="center"/>
    </xf>
    <xf numFmtId="0" fontId="31" fillId="7" borderId="16" xfId="69" applyFill="1" applyBorder="1" applyAlignment="1">
      <alignment vertical="center"/>
    </xf>
    <xf numFmtId="0" fontId="9" fillId="7" borderId="11" xfId="40" applyFont="1" applyFill="1" applyBorder="1" applyAlignment="1">
      <alignment vertical="center"/>
    </xf>
    <xf numFmtId="0" fontId="22" fillId="7" borderId="16" xfId="69" applyFont="1" applyFill="1" applyBorder="1" applyAlignment="1">
      <alignment vertical="center"/>
    </xf>
    <xf numFmtId="0" fontId="9" fillId="7" borderId="16" xfId="40" applyFont="1" applyFill="1" applyBorder="1" applyAlignment="1">
      <alignment vertical="center"/>
    </xf>
    <xf numFmtId="0" fontId="9" fillId="7" borderId="0" xfId="69" applyFont="1" applyFill="1" applyAlignment="1">
      <alignment vertical="center" wrapText="1"/>
    </xf>
    <xf numFmtId="0" fontId="31" fillId="7" borderId="7" xfId="40" applyFont="1" applyFill="1" applyBorder="1" applyAlignment="1">
      <alignment vertical="center"/>
    </xf>
    <xf numFmtId="0" fontId="31" fillId="7" borderId="7" xfId="40" applyFont="1" applyFill="1" applyBorder="1" applyAlignment="1">
      <alignment vertical="center" wrapText="1"/>
    </xf>
    <xf numFmtId="0" fontId="23" fillId="7" borderId="3" xfId="40" applyFont="1" applyFill="1" applyBorder="1" applyAlignment="1">
      <alignment horizontal="right" vertical="center"/>
    </xf>
    <xf numFmtId="0" fontId="23" fillId="7" borderId="4" xfId="40" applyFont="1" applyFill="1" applyBorder="1" applyAlignment="1">
      <alignment horizontal="right" vertical="center"/>
    </xf>
    <xf numFmtId="0" fontId="31" fillId="7" borderId="5" xfId="40" applyFont="1" applyFill="1" applyBorder="1" applyAlignment="1">
      <alignment horizontal="center" vertical="center"/>
    </xf>
    <xf numFmtId="0" fontId="31" fillId="7" borderId="12" xfId="40" applyFont="1" applyFill="1" applyBorder="1" applyAlignment="1">
      <alignment vertical="center" wrapText="1"/>
    </xf>
    <xf numFmtId="0" fontId="31" fillId="7" borderId="5" xfId="69" applyFill="1" applyBorder="1" applyAlignment="1">
      <alignment vertical="center"/>
    </xf>
    <xf numFmtId="0" fontId="31" fillId="7" borderId="12" xfId="69" applyFill="1" applyBorder="1" applyAlignment="1">
      <alignment vertical="center" wrapText="1"/>
    </xf>
    <xf numFmtId="0" fontId="9" fillId="7" borderId="0" xfId="40" applyFont="1" applyFill="1" applyAlignment="1">
      <alignment horizontal="center" vertical="center"/>
    </xf>
    <xf numFmtId="0" fontId="22" fillId="7" borderId="4" xfId="69" applyFont="1" applyFill="1" applyBorder="1" applyAlignment="1">
      <alignment vertical="center"/>
    </xf>
    <xf numFmtId="0" fontId="22" fillId="7" borderId="5" xfId="69" applyFont="1" applyFill="1" applyBorder="1" applyAlignment="1">
      <alignment vertical="center"/>
    </xf>
    <xf numFmtId="0" fontId="31" fillId="7" borderId="5" xfId="69" applyFill="1" applyBorder="1" applyAlignment="1">
      <alignment vertical="center" wrapText="1"/>
    </xf>
    <xf numFmtId="0" fontId="11" fillId="7" borderId="0" xfId="112" applyFill="1" applyAlignment="1">
      <alignment horizontal="justify"/>
    </xf>
    <xf numFmtId="0" fontId="11" fillId="7" borderId="0" xfId="112" applyFill="1" applyAlignment="1">
      <alignment vertical="center" wrapText="1"/>
    </xf>
    <xf numFmtId="0" fontId="18" fillId="7" borderId="0" xfId="112" quotePrefix="1" applyFont="1" applyFill="1" applyAlignment="1">
      <alignment vertical="top"/>
    </xf>
    <xf numFmtId="0" fontId="22" fillId="7" borderId="0" xfId="112" applyFont="1" applyFill="1" applyAlignment="1">
      <alignment vertical="top"/>
    </xf>
    <xf numFmtId="0" fontId="18" fillId="7" borderId="0" xfId="112" applyFont="1" applyFill="1" applyAlignment="1">
      <alignment horizontal="right" vertical="top"/>
    </xf>
    <xf numFmtId="0" fontId="20" fillId="7" borderId="0" xfId="112" applyFont="1" applyFill="1" applyAlignment="1">
      <alignment vertical="top"/>
    </xf>
    <xf numFmtId="0" fontId="18" fillId="7" borderId="0" xfId="112" applyFont="1" applyFill="1" applyAlignment="1">
      <alignment horizontal="justify" vertical="top" wrapText="1"/>
    </xf>
    <xf numFmtId="0" fontId="18" fillId="7" borderId="0" xfId="112" quotePrefix="1" applyFont="1" applyFill="1"/>
    <xf numFmtId="0" fontId="20" fillId="7" borderId="0" xfId="112" applyFont="1" applyFill="1" applyAlignment="1">
      <alignment horizontal="justify" vertical="center"/>
    </xf>
    <xf numFmtId="0" fontId="10" fillId="7" borderId="0" xfId="69" applyFont="1" applyFill="1"/>
    <xf numFmtId="0" fontId="36" fillId="7" borderId="0" xfId="69" applyFont="1" applyFill="1"/>
    <xf numFmtId="0" fontId="9" fillId="7" borderId="0" xfId="40" applyFont="1" applyFill="1" applyAlignment="1" applyProtection="1">
      <alignment vertical="center"/>
      <protection locked="0"/>
    </xf>
    <xf numFmtId="0" fontId="23" fillId="0" borderId="0" xfId="40" applyFont="1" applyAlignment="1" applyProtection="1">
      <alignment horizontal="right" vertical="top"/>
      <protection locked="0"/>
    </xf>
    <xf numFmtId="0" fontId="23" fillId="0" borderId="0" xfId="40" applyFont="1" applyAlignment="1" applyProtection="1">
      <alignment horizontal="right" vertical="center"/>
      <protection locked="0"/>
    </xf>
    <xf numFmtId="0" fontId="23" fillId="0" borderId="0" xfId="40" applyFont="1" applyAlignment="1" applyProtection="1">
      <alignment horizontal="center" vertical="center"/>
      <protection locked="0"/>
    </xf>
    <xf numFmtId="0" fontId="23" fillId="0" borderId="37" xfId="40" applyFont="1" applyBorder="1" applyAlignment="1" applyProtection="1">
      <alignment horizontal="right" vertical="center"/>
      <protection locked="0"/>
    </xf>
    <xf numFmtId="0" fontId="23" fillId="0" borderId="15" xfId="40" applyFont="1" applyBorder="1" applyAlignment="1" applyProtection="1">
      <alignment horizontal="right" vertical="center"/>
      <protection locked="0"/>
    </xf>
    <xf numFmtId="0" fontId="23" fillId="0" borderId="17" xfId="40" applyFont="1" applyBorder="1" applyAlignment="1" applyProtection="1">
      <alignment horizontal="right" vertical="top"/>
      <protection locked="0"/>
    </xf>
    <xf numFmtId="0" fontId="23" fillId="0" borderId="17" xfId="40" applyFont="1" applyBorder="1" applyAlignment="1" applyProtection="1">
      <alignment horizontal="right" vertical="center"/>
      <protection locked="0"/>
    </xf>
    <xf numFmtId="0" fontId="23" fillId="0" borderId="0" xfId="40" applyFont="1" applyAlignment="1" applyProtection="1">
      <alignment horizontal="right"/>
      <protection locked="0"/>
    </xf>
    <xf numFmtId="0" fontId="20" fillId="7" borderId="0" xfId="111" applyFont="1" applyFill="1" applyAlignment="1">
      <alignment horizontal="justify" vertical="top"/>
    </xf>
    <xf numFmtId="0" fontId="22" fillId="7" borderId="0" xfId="111" applyFont="1" applyFill="1" applyAlignment="1">
      <alignment vertical="top"/>
    </xf>
    <xf numFmtId="0" fontId="22" fillId="7" borderId="0" xfId="111" applyFont="1" applyFill="1" applyAlignment="1">
      <alignment horizontal="justify"/>
    </xf>
    <xf numFmtId="0" fontId="9" fillId="7" borderId="0" xfId="111" applyFont="1" applyFill="1" applyAlignment="1">
      <alignment horizontal="justify" vertical="center"/>
    </xf>
    <xf numFmtId="0" fontId="31" fillId="7" borderId="0" xfId="84" applyFill="1"/>
    <xf numFmtId="0" fontId="31" fillId="7" borderId="0" xfId="92" applyFont="1" applyFill="1"/>
    <xf numFmtId="0" fontId="31" fillId="7" borderId="0" xfId="103" applyFont="1" applyFill="1"/>
    <xf numFmtId="0" fontId="12" fillId="7" borderId="1" xfId="69" applyFont="1" applyFill="1" applyBorder="1"/>
    <xf numFmtId="0" fontId="31" fillId="7" borderId="3" xfId="92" applyFont="1" applyFill="1" applyBorder="1"/>
    <xf numFmtId="0" fontId="12" fillId="7" borderId="0" xfId="69" applyFont="1" applyFill="1" applyAlignment="1">
      <alignment horizontal="left"/>
    </xf>
    <xf numFmtId="0" fontId="17" fillId="7" borderId="0" xfId="40" applyFont="1" applyFill="1" applyAlignment="1">
      <alignment horizontal="right"/>
    </xf>
    <xf numFmtId="0" fontId="12" fillId="7" borderId="0" xfId="69" applyFont="1" applyFill="1" applyAlignment="1">
      <alignment horizontal="right"/>
    </xf>
    <xf numFmtId="0" fontId="17" fillId="7" borderId="0" xfId="69" quotePrefix="1" applyFont="1" applyFill="1" applyAlignment="1">
      <alignment horizontal="left" vertical="center" indent="1"/>
    </xf>
    <xf numFmtId="0" fontId="12" fillId="7" borderId="0" xfId="69" applyFont="1" applyFill="1" applyAlignment="1">
      <alignment horizontal="left" vertical="center" indent="1"/>
    </xf>
    <xf numFmtId="0" fontId="12" fillId="7" borderId="0" xfId="92" applyFont="1" applyFill="1" applyAlignment="1">
      <alignment horizontal="right"/>
    </xf>
    <xf numFmtId="0" fontId="83" fillId="7" borderId="0" xfId="109" applyFont="1" applyFill="1"/>
    <xf numFmtId="0" fontId="31" fillId="7" borderId="2" xfId="92" applyFont="1" applyFill="1" applyBorder="1"/>
    <xf numFmtId="0" fontId="12" fillId="7" borderId="2" xfId="69" applyFont="1" applyFill="1" applyBorder="1" applyAlignment="1">
      <alignment horizontal="left" vertical="center" indent="1"/>
    </xf>
    <xf numFmtId="0" fontId="31" fillId="7" borderId="2" xfId="42" applyFont="1" applyFill="1" applyBorder="1" applyAlignment="1">
      <alignment horizontal="left" vertical="center"/>
    </xf>
    <xf numFmtId="0" fontId="17" fillId="7" borderId="0" xfId="0" quotePrefix="1" applyFont="1" applyFill="1" applyAlignment="1">
      <alignment horizontal="right"/>
    </xf>
    <xf numFmtId="0" fontId="31" fillId="7" borderId="13" xfId="40" applyFont="1" applyFill="1" applyBorder="1" applyAlignment="1">
      <alignment vertical="center"/>
    </xf>
    <xf numFmtId="0" fontId="31" fillId="7" borderId="14" xfId="40" applyFont="1" applyFill="1" applyBorder="1" applyAlignment="1">
      <alignment vertical="center"/>
    </xf>
    <xf numFmtId="0" fontId="31" fillId="7" borderId="18" xfId="40" applyFont="1" applyFill="1" applyBorder="1" applyAlignment="1">
      <alignment vertical="center"/>
    </xf>
    <xf numFmtId="0" fontId="12" fillId="7" borderId="0" xfId="40" applyFont="1" applyFill="1"/>
    <xf numFmtId="0" fontId="17" fillId="7" borderId="13" xfId="40" applyFont="1" applyFill="1" applyBorder="1" applyAlignment="1">
      <alignment horizontal="left" vertical="center" indent="1"/>
    </xf>
    <xf numFmtId="0" fontId="12" fillId="7" borderId="14" xfId="40" applyFont="1" applyFill="1" applyBorder="1" applyAlignment="1">
      <alignment vertical="center"/>
    </xf>
    <xf numFmtId="0" fontId="31" fillId="7" borderId="37" xfId="40" applyFont="1" applyFill="1" applyBorder="1" applyAlignment="1">
      <alignment horizontal="left" vertical="center" indent="3"/>
    </xf>
    <xf numFmtId="0" fontId="31" fillId="7" borderId="6" xfId="40" applyFont="1" applyFill="1" applyBorder="1" applyAlignment="1">
      <alignment vertical="center" wrapText="1"/>
    </xf>
    <xf numFmtId="0" fontId="31" fillId="7" borderId="15" xfId="40" applyFont="1" applyFill="1" applyBorder="1" applyAlignment="1">
      <alignment horizontal="left" vertical="center" indent="3"/>
    </xf>
    <xf numFmtId="0" fontId="31" fillId="7" borderId="3" xfId="40" applyFont="1" applyFill="1" applyBorder="1" applyAlignment="1">
      <alignment horizontal="left" vertical="center" indent="3"/>
    </xf>
    <xf numFmtId="0" fontId="31" fillId="7" borderId="113" xfId="40" applyFont="1" applyFill="1" applyBorder="1" applyAlignment="1">
      <alignment vertical="center"/>
    </xf>
    <xf numFmtId="0" fontId="31" fillId="7" borderId="113" xfId="40" applyFont="1" applyFill="1" applyBorder="1" applyAlignment="1">
      <alignment vertical="center" wrapText="1"/>
    </xf>
    <xf numFmtId="0" fontId="17" fillId="7" borderId="14" xfId="40" applyFont="1" applyFill="1" applyBorder="1" applyAlignment="1">
      <alignment vertical="center"/>
    </xf>
    <xf numFmtId="0" fontId="17" fillId="7" borderId="18" xfId="40" applyFont="1" applyFill="1" applyBorder="1" applyAlignment="1">
      <alignment vertical="center"/>
    </xf>
    <xf numFmtId="0" fontId="22" fillId="7" borderId="0" xfId="111" quotePrefix="1" applyFont="1" applyFill="1"/>
    <xf numFmtId="0" fontId="22" fillId="7" borderId="0" xfId="111" applyFont="1" applyFill="1"/>
    <xf numFmtId="0" fontId="18" fillId="7" borderId="0" xfId="111" applyFont="1" applyFill="1" applyAlignment="1">
      <alignment horizontal="right"/>
    </xf>
    <xf numFmtId="0" fontId="22" fillId="7" borderId="0" xfId="111" applyFont="1" applyFill="1" applyAlignment="1">
      <alignment horizontal="justify" wrapText="1"/>
    </xf>
    <xf numFmtId="0" fontId="19" fillId="7" borderId="0" xfId="20" applyFont="1" applyFill="1"/>
    <xf numFmtId="0" fontId="17" fillId="7" borderId="0" xfId="84" applyFont="1" applyFill="1"/>
    <xf numFmtId="0" fontId="31" fillId="0" borderId="169" xfId="0" applyFont="1" applyBorder="1"/>
    <xf numFmtId="0" fontId="31" fillId="7" borderId="2" xfId="40" applyFont="1" applyFill="1" applyBorder="1" applyAlignment="1">
      <alignment horizontal="center" vertical="center"/>
    </xf>
    <xf numFmtId="0" fontId="34" fillId="7" borderId="0" xfId="40" applyFont="1" applyFill="1" applyAlignment="1">
      <alignment horizontal="right" vertical="center"/>
    </xf>
    <xf numFmtId="0" fontId="34" fillId="7" borderId="0" xfId="40" applyFont="1" applyFill="1" applyAlignment="1">
      <alignment horizontal="left" vertical="center"/>
    </xf>
    <xf numFmtId="0" fontId="31" fillId="7" borderId="5" xfId="40" applyFont="1" applyFill="1" applyBorder="1" applyAlignment="1">
      <alignment vertical="center" wrapText="1"/>
    </xf>
    <xf numFmtId="0" fontId="12" fillId="7" borderId="0" xfId="40" applyFont="1" applyFill="1" applyAlignment="1">
      <alignment horizontal="left" vertical="center" wrapText="1"/>
    </xf>
    <xf numFmtId="0" fontId="32" fillId="7" borderId="0" xfId="40" applyFont="1" applyFill="1" applyAlignment="1">
      <alignment horizontal="center" vertical="center"/>
    </xf>
    <xf numFmtId="0" fontId="12" fillId="7" borderId="2" xfId="85" applyFont="1" applyFill="1" applyBorder="1" applyAlignment="1">
      <alignment vertical="center"/>
    </xf>
    <xf numFmtId="0" fontId="12" fillId="7" borderId="2" xfId="85" applyFont="1" applyFill="1" applyBorder="1" applyAlignment="1">
      <alignment vertical="center" wrapText="1"/>
    </xf>
    <xf numFmtId="0" fontId="30" fillId="7" borderId="2" xfId="40" applyFont="1" applyFill="1" applyBorder="1" applyAlignment="1">
      <alignment horizontal="left" vertical="center" wrapText="1"/>
    </xf>
    <xf numFmtId="0" fontId="24" fillId="7" borderId="10" xfId="40" applyFont="1" applyFill="1" applyBorder="1" applyAlignment="1">
      <alignment horizontal="right" vertical="center"/>
    </xf>
    <xf numFmtId="0" fontId="31" fillId="7" borderId="3" xfId="109" applyFill="1" applyBorder="1"/>
    <xf numFmtId="0" fontId="31" fillId="7" borderId="0" xfId="85" applyFill="1" applyAlignment="1">
      <alignment horizontal="left"/>
    </xf>
    <xf numFmtId="0" fontId="31" fillId="7" borderId="0" xfId="85" applyFill="1" applyAlignment="1">
      <alignment wrapText="1"/>
    </xf>
    <xf numFmtId="0" fontId="24" fillId="7" borderId="11" xfId="40" applyFont="1" applyFill="1" applyBorder="1" applyAlignment="1">
      <alignment horizontal="right"/>
    </xf>
    <xf numFmtId="0" fontId="31" fillId="7" borderId="4" xfId="85" applyFill="1" applyBorder="1" applyAlignment="1">
      <alignment horizontal="left" indent="1"/>
    </xf>
    <xf numFmtId="0" fontId="31" fillId="7" borderId="5" xfId="85" applyFill="1" applyBorder="1" applyAlignment="1">
      <alignment vertical="center"/>
    </xf>
    <xf numFmtId="0" fontId="31" fillId="7" borderId="5" xfId="109" applyFill="1" applyBorder="1" applyAlignment="1">
      <alignment vertical="center"/>
    </xf>
    <xf numFmtId="0" fontId="31" fillId="7" borderId="12" xfId="109" applyFill="1" applyBorder="1" applyAlignment="1">
      <alignment vertical="center"/>
    </xf>
    <xf numFmtId="0" fontId="21" fillId="7" borderId="0" xfId="40" applyFont="1" applyFill="1" applyAlignment="1">
      <alignment horizontal="left" vertical="center" wrapText="1"/>
    </xf>
    <xf numFmtId="0" fontId="31" fillId="7" borderId="11" xfId="109" applyFill="1" applyBorder="1"/>
    <xf numFmtId="0" fontId="31" fillId="7" borderId="0" xfId="85" applyFill="1" applyAlignment="1">
      <alignment horizontal="left" wrapText="1"/>
    </xf>
    <xf numFmtId="0" fontId="21" fillId="7" borderId="0" xfId="40" applyFont="1" applyFill="1" applyAlignment="1">
      <alignment horizontal="left" wrapText="1"/>
    </xf>
    <xf numFmtId="0" fontId="24" fillId="7" borderId="5" xfId="40" applyFont="1" applyFill="1" applyBorder="1" applyAlignment="1">
      <alignment vertical="center"/>
    </xf>
    <xf numFmtId="0" fontId="18" fillId="7" borderId="0" xfId="80" applyFont="1" applyFill="1" applyAlignment="1">
      <alignment wrapText="1"/>
    </xf>
    <xf numFmtId="0" fontId="12" fillId="7" borderId="0" xfId="109" applyFont="1" applyFill="1"/>
    <xf numFmtId="0" fontId="12" fillId="7" borderId="1" xfId="109" applyFont="1" applyFill="1" applyBorder="1"/>
    <xf numFmtId="0" fontId="12" fillId="7" borderId="2" xfId="109" applyFont="1" applyFill="1" applyBorder="1"/>
    <xf numFmtId="0" fontId="31" fillId="7" borderId="3" xfId="109" applyFill="1" applyBorder="1" applyAlignment="1">
      <alignment horizontal="left" vertical="center" indent="2"/>
    </xf>
    <xf numFmtId="0" fontId="31" fillId="7" borderId="0" xfId="109" applyFill="1" applyAlignment="1">
      <alignment horizontal="left" vertical="center" indent="2"/>
    </xf>
    <xf numFmtId="0" fontId="31" fillId="7" borderId="0" xfId="109" applyFill="1" applyAlignment="1">
      <alignment vertical="center" wrapText="1"/>
    </xf>
    <xf numFmtId="0" fontId="31" fillId="7" borderId="0" xfId="109" applyFill="1" applyAlignment="1">
      <alignment wrapText="1"/>
    </xf>
    <xf numFmtId="0" fontId="31" fillId="7" borderId="3" xfId="109" applyFill="1" applyBorder="1" applyAlignment="1">
      <alignment horizontal="left" vertical="center"/>
    </xf>
    <xf numFmtId="0" fontId="25" fillId="7" borderId="0" xfId="40" applyFont="1" applyFill="1" applyAlignment="1">
      <alignment horizontal="center" vertical="center"/>
    </xf>
    <xf numFmtId="0" fontId="29" fillId="7" borderId="0" xfId="109" applyFont="1" applyFill="1"/>
    <xf numFmtId="0" fontId="31" fillId="7" borderId="0" xfId="109" applyFill="1" applyAlignment="1">
      <alignment horizontal="left" vertical="center" wrapText="1"/>
    </xf>
    <xf numFmtId="0" fontId="12" fillId="7" borderId="5" xfId="109" applyFont="1" applyFill="1" applyBorder="1" applyAlignment="1">
      <alignment horizontal="left" vertical="center"/>
    </xf>
    <xf numFmtId="0" fontId="12" fillId="7" borderId="5" xfId="109" applyFont="1" applyFill="1" applyBorder="1" applyAlignment="1">
      <alignment horizontal="left" vertical="center" wrapText="1"/>
    </xf>
    <xf numFmtId="0" fontId="25" fillId="7" borderId="5" xfId="40" applyFont="1" applyFill="1" applyBorder="1" applyAlignment="1">
      <alignment horizontal="center" vertical="center"/>
    </xf>
    <xf numFmtId="0" fontId="25" fillId="7" borderId="5" xfId="40" applyFont="1" applyFill="1" applyBorder="1" applyAlignment="1">
      <alignment horizontal="right" vertical="center"/>
    </xf>
    <xf numFmtId="16" fontId="31" fillId="7" borderId="0" xfId="109" applyNumberFormat="1" applyFill="1"/>
    <xf numFmtId="0" fontId="31" fillId="0" borderId="0" xfId="0" quotePrefix="1" applyFont="1"/>
    <xf numFmtId="0" fontId="31" fillId="0" borderId="160" xfId="0" quotePrefix="1" applyFont="1" applyBorder="1"/>
    <xf numFmtId="1" fontId="18" fillId="7" borderId="0" xfId="112" quotePrefix="1" applyNumberFormat="1" applyFont="1" applyFill="1" applyAlignment="1">
      <alignment horizontal="right" vertical="top"/>
    </xf>
    <xf numFmtId="0" fontId="18" fillId="7" borderId="0" xfId="111" applyFont="1" applyFill="1" applyAlignment="1">
      <alignment vertical="top" wrapText="1"/>
    </xf>
    <xf numFmtId="0" fontId="18" fillId="7" borderId="0" xfId="111" applyFont="1" applyFill="1" applyAlignment="1">
      <alignment vertical="center" wrapText="1"/>
    </xf>
    <xf numFmtId="0" fontId="64" fillId="7" borderId="0" xfId="109" applyFont="1" applyFill="1"/>
    <xf numFmtId="0" fontId="13" fillId="7" borderId="0" xfId="85" applyFont="1" applyFill="1"/>
    <xf numFmtId="0" fontId="68" fillId="7" borderId="0" xfId="85" applyFont="1" applyFill="1"/>
    <xf numFmtId="0" fontId="68" fillId="7" borderId="0" xfId="85" applyFont="1" applyFill="1" applyAlignment="1">
      <alignment wrapText="1"/>
    </xf>
    <xf numFmtId="0" fontId="17" fillId="7" borderId="0" xfId="85" applyFont="1" applyFill="1" applyAlignment="1">
      <alignment horizontal="left"/>
    </xf>
    <xf numFmtId="0" fontId="12" fillId="7" borderId="0" xfId="85" applyFont="1" applyFill="1" applyAlignment="1">
      <alignment horizontal="center" vertical="center" wrapText="1"/>
    </xf>
    <xf numFmtId="0" fontId="12" fillId="7" borderId="0" xfId="40" applyFont="1" applyFill="1" applyAlignment="1">
      <alignment horizontal="center" vertical="center" wrapText="1"/>
    </xf>
    <xf numFmtId="0" fontId="17" fillId="7" borderId="0" xfId="20" applyFont="1" applyFill="1" applyAlignment="1">
      <alignment vertical="center"/>
    </xf>
    <xf numFmtId="0" fontId="31" fillId="7" borderId="176" xfId="20" applyFill="1" applyBorder="1"/>
    <xf numFmtId="0" fontId="31" fillId="7" borderId="177" xfId="20" applyFill="1" applyBorder="1"/>
    <xf numFmtId="0" fontId="12" fillId="7" borderId="177" xfId="20" applyFont="1" applyFill="1" applyBorder="1" applyAlignment="1">
      <alignment vertical="center"/>
    </xf>
    <xf numFmtId="0" fontId="24" fillId="7" borderId="177" xfId="20" applyFont="1" applyFill="1" applyBorder="1" applyAlignment="1">
      <alignment horizontal="right" vertical="center"/>
    </xf>
    <xf numFmtId="0" fontId="31" fillId="7" borderId="177" xfId="20" applyFill="1" applyBorder="1" applyAlignment="1">
      <alignment vertical="center"/>
    </xf>
    <xf numFmtId="0" fontId="30" fillId="7" borderId="177" xfId="20" applyFont="1" applyFill="1" applyBorder="1" applyAlignment="1">
      <alignment horizontal="left" vertical="center"/>
    </xf>
    <xf numFmtId="0" fontId="31" fillId="7" borderId="178" xfId="20" applyFill="1" applyBorder="1"/>
    <xf numFmtId="0" fontId="31" fillId="7" borderId="179" xfId="20" applyFill="1" applyBorder="1"/>
    <xf numFmtId="0" fontId="31" fillId="7" borderId="0" xfId="20" applyFill="1" applyAlignment="1">
      <alignment horizontal="right"/>
    </xf>
    <xf numFmtId="0" fontId="24" fillId="7" borderId="0" xfId="20" applyFont="1" applyFill="1" applyAlignment="1">
      <alignment horizontal="right"/>
    </xf>
    <xf numFmtId="0" fontId="21" fillId="7" borderId="0" xfId="20" applyFont="1" applyFill="1" applyAlignment="1">
      <alignment horizontal="left"/>
    </xf>
    <xf numFmtId="0" fontId="31" fillId="7" borderId="180" xfId="20" applyFill="1" applyBorder="1"/>
    <xf numFmtId="0" fontId="12" fillId="7" borderId="0" xfId="20" applyFont="1" applyFill="1" applyAlignment="1">
      <alignment horizontal="left"/>
    </xf>
    <xf numFmtId="0" fontId="12" fillId="7" borderId="179" xfId="20" applyFont="1" applyFill="1" applyBorder="1" applyAlignment="1">
      <alignment vertical="center"/>
    </xf>
    <xf numFmtId="0" fontId="31" fillId="7" borderId="179" xfId="20" applyFill="1" applyBorder="1" applyAlignment="1">
      <alignment vertical="center"/>
    </xf>
    <xf numFmtId="0" fontId="31" fillId="7" borderId="0" xfId="20" applyFill="1" applyAlignment="1">
      <alignment vertical="center"/>
    </xf>
    <xf numFmtId="0" fontId="31" fillId="7" borderId="0" xfId="20" quotePrefix="1" applyFill="1" applyAlignment="1">
      <alignment horizontal="right" vertical="top"/>
    </xf>
    <xf numFmtId="0" fontId="31" fillId="7" borderId="0" xfId="109" quotePrefix="1" applyFill="1" applyAlignment="1">
      <alignment horizontal="right"/>
    </xf>
    <xf numFmtId="0" fontId="12" fillId="7" borderId="0" xfId="85" applyFont="1" applyFill="1" applyAlignment="1">
      <alignment horizontal="left"/>
    </xf>
    <xf numFmtId="0" fontId="12" fillId="7" borderId="3" xfId="85" applyFont="1" applyFill="1" applyBorder="1" applyAlignment="1">
      <alignment vertical="center" wrapText="1"/>
    </xf>
    <xf numFmtId="0" fontId="21" fillId="7" borderId="11" xfId="40" applyFont="1" applyFill="1" applyBorder="1" applyAlignment="1">
      <alignment horizontal="right"/>
    </xf>
    <xf numFmtId="0" fontId="31" fillId="7" borderId="13" xfId="85" applyFill="1" applyBorder="1" applyAlignment="1">
      <alignment vertical="center"/>
    </xf>
    <xf numFmtId="0" fontId="31" fillId="7" borderId="14" xfId="85" applyFill="1" applyBorder="1" applyAlignment="1">
      <alignment vertical="center"/>
    </xf>
    <xf numFmtId="0" fontId="31" fillId="7" borderId="18" xfId="85" applyFill="1" applyBorder="1" applyAlignment="1">
      <alignment vertical="center"/>
    </xf>
    <xf numFmtId="0" fontId="31" fillId="7" borderId="17" xfId="85" applyFill="1" applyBorder="1" applyAlignment="1">
      <alignment vertical="center"/>
    </xf>
    <xf numFmtId="0" fontId="31" fillId="7" borderId="7" xfId="85" applyFill="1" applyBorder="1" applyAlignment="1">
      <alignment vertical="center"/>
    </xf>
    <xf numFmtId="0" fontId="31" fillId="7" borderId="20" xfId="85" applyFill="1" applyBorder="1" applyAlignment="1">
      <alignment vertical="center"/>
    </xf>
    <xf numFmtId="0" fontId="31" fillId="7" borderId="3" xfId="85" applyFill="1" applyBorder="1" applyAlignment="1">
      <alignment vertical="center"/>
    </xf>
    <xf numFmtId="0" fontId="12" fillId="7" borderId="114" xfId="85" applyFont="1" applyFill="1" applyBorder="1" applyAlignment="1">
      <alignment vertical="center"/>
    </xf>
    <xf numFmtId="0" fontId="12" fillId="7" borderId="115" xfId="85" applyFont="1" applyFill="1" applyBorder="1" applyAlignment="1">
      <alignment vertical="center"/>
    </xf>
    <xf numFmtId="0" fontId="12" fillId="7" borderId="118" xfId="85" applyFont="1" applyFill="1" applyBorder="1" applyAlignment="1">
      <alignment vertical="center"/>
    </xf>
    <xf numFmtId="0" fontId="31" fillId="7" borderId="193" xfId="20" applyFill="1" applyBorder="1"/>
    <xf numFmtId="0" fontId="31" fillId="7" borderId="194" xfId="20" applyFill="1" applyBorder="1"/>
    <xf numFmtId="0" fontId="31" fillId="7" borderId="194" xfId="20" applyFill="1" applyBorder="1" applyAlignment="1">
      <alignment vertical="top"/>
    </xf>
    <xf numFmtId="0" fontId="24" fillId="7" borderId="194" xfId="20" applyFont="1" applyFill="1" applyBorder="1" applyAlignment="1">
      <alignment vertical="center"/>
    </xf>
    <xf numFmtId="0" fontId="31" fillId="7" borderId="194" xfId="20" applyFill="1" applyBorder="1" applyAlignment="1">
      <alignment vertical="center"/>
    </xf>
    <xf numFmtId="0" fontId="24" fillId="7" borderId="194" xfId="20" applyFont="1" applyFill="1" applyBorder="1" applyAlignment="1">
      <alignment horizontal="right" vertical="center"/>
    </xf>
    <xf numFmtId="0" fontId="31" fillId="7" borderId="195" xfId="20" applyFill="1" applyBorder="1"/>
    <xf numFmtId="0" fontId="9" fillId="7" borderId="6" xfId="20" applyFont="1" applyFill="1" applyBorder="1"/>
    <xf numFmtId="0" fontId="24" fillId="0" borderId="0" xfId="20" applyFont="1" applyAlignment="1" applyProtection="1">
      <alignment horizontal="right"/>
      <protection locked="0"/>
    </xf>
    <xf numFmtId="0" fontId="24" fillId="0" borderId="0" xfId="20" applyFont="1" applyAlignment="1" applyProtection="1">
      <alignment horizontal="right" vertical="center"/>
      <protection locked="0"/>
    </xf>
    <xf numFmtId="0" fontId="12" fillId="7" borderId="11" xfId="85" applyFont="1" applyFill="1" applyBorder="1" applyAlignment="1">
      <alignment vertical="center" wrapText="1"/>
    </xf>
    <xf numFmtId="0" fontId="12" fillId="7" borderId="0" xfId="85" applyFont="1" applyFill="1" applyAlignment="1">
      <alignment vertical="center" wrapText="1"/>
    </xf>
    <xf numFmtId="0" fontId="21" fillId="7" borderId="0" xfId="40" applyFont="1" applyFill="1" applyAlignment="1">
      <alignment horizontal="right"/>
    </xf>
    <xf numFmtId="0" fontId="31" fillId="7" borderId="0" xfId="85" applyFill="1" applyAlignment="1">
      <alignment horizontal="center" vertical="center" wrapText="1"/>
    </xf>
    <xf numFmtId="0" fontId="31" fillId="7" borderId="11" xfId="85" applyFill="1" applyBorder="1" applyAlignment="1">
      <alignment vertical="center" wrapText="1"/>
    </xf>
    <xf numFmtId="0" fontId="31" fillId="7" borderId="0" xfId="85" applyFill="1" applyAlignment="1">
      <alignment horizontal="center" vertical="center"/>
    </xf>
    <xf numFmtId="0" fontId="31" fillId="7" borderId="11" xfId="85" applyFill="1" applyBorder="1" applyAlignment="1">
      <alignment vertical="center"/>
    </xf>
    <xf numFmtId="0" fontId="33" fillId="7" borderId="0" xfId="40" applyFont="1" applyFill="1" applyAlignment="1">
      <alignment horizontal="center" vertical="center"/>
    </xf>
    <xf numFmtId="1" fontId="18" fillId="7" borderId="0" xfId="112" quotePrefix="1" applyNumberFormat="1" applyFont="1" applyFill="1" applyAlignment="1">
      <alignment horizontal="right" vertical="center"/>
    </xf>
    <xf numFmtId="0" fontId="12" fillId="7" borderId="0" xfId="109" applyFont="1" applyFill="1" applyAlignment="1">
      <alignment vertical="center" wrapText="1"/>
    </xf>
    <xf numFmtId="0" fontId="31" fillId="7" borderId="15" xfId="85" applyFill="1" applyBorder="1" applyAlignment="1">
      <alignment vertical="center"/>
    </xf>
    <xf numFmtId="0" fontId="31" fillId="7" borderId="16" xfId="85" applyFill="1" applyBorder="1" applyAlignment="1">
      <alignment vertical="center"/>
    </xf>
    <xf numFmtId="0" fontId="31" fillId="7" borderId="19" xfId="85" applyFill="1" applyBorder="1" applyAlignment="1">
      <alignment vertical="center"/>
    </xf>
    <xf numFmtId="0" fontId="31" fillId="7" borderId="0" xfId="175" applyFont="1" applyFill="1"/>
    <xf numFmtId="0" fontId="31" fillId="7" borderId="0" xfId="109" applyFill="1" applyAlignment="1">
      <alignment horizontal="right"/>
    </xf>
    <xf numFmtId="0" fontId="24" fillId="7" borderId="11" xfId="40" applyFont="1" applyFill="1" applyBorder="1" applyAlignment="1">
      <alignment horizontal="right" vertical="center"/>
    </xf>
    <xf numFmtId="0" fontId="24" fillId="7" borderId="0" xfId="40" applyFont="1" applyFill="1" applyAlignment="1">
      <alignment vertical="center"/>
    </xf>
    <xf numFmtId="0" fontId="31" fillId="7" borderId="11" xfId="175" applyFont="1" applyFill="1" applyBorder="1"/>
    <xf numFmtId="0" fontId="31" fillId="7" borderId="3" xfId="175" applyFont="1" applyFill="1" applyBorder="1"/>
    <xf numFmtId="0" fontId="31" fillId="7" borderId="0" xfId="109" applyFill="1" applyAlignment="1">
      <alignment horizontal="center" vertical="center"/>
    </xf>
    <xf numFmtId="0" fontId="17" fillId="7" borderId="0" xfId="175" applyFont="1" applyFill="1" applyAlignment="1">
      <alignment vertical="center"/>
    </xf>
    <xf numFmtId="0" fontId="12" fillId="7" borderId="0" xfId="175" applyFont="1" applyFill="1" applyAlignment="1">
      <alignment vertical="center" wrapText="1"/>
    </xf>
    <xf numFmtId="0" fontId="24" fillId="0" borderId="0" xfId="40" applyFont="1" applyAlignment="1" applyProtection="1">
      <alignment vertical="center"/>
      <protection locked="0"/>
    </xf>
    <xf numFmtId="0" fontId="12" fillId="7" borderId="3" xfId="85" applyFont="1" applyFill="1" applyBorder="1" applyAlignment="1">
      <alignment vertical="center"/>
    </xf>
    <xf numFmtId="0" fontId="31" fillId="7" borderId="13" xfId="85" applyFill="1" applyBorder="1" applyAlignment="1">
      <alignment vertical="center" wrapText="1"/>
    </xf>
    <xf numFmtId="0" fontId="31" fillId="7" borderId="14" xfId="85" applyFill="1" applyBorder="1" applyAlignment="1">
      <alignment vertical="center" wrapText="1"/>
    </xf>
    <xf numFmtId="0" fontId="31" fillId="7" borderId="18" xfId="85" applyFill="1" applyBorder="1" applyAlignment="1">
      <alignment vertical="center" wrapText="1"/>
    </xf>
    <xf numFmtId="0" fontId="31" fillId="7" borderId="0" xfId="109" quotePrefix="1" applyFill="1"/>
    <xf numFmtId="0" fontId="31" fillId="7" borderId="0" xfId="85" quotePrefix="1" applyFill="1" applyAlignment="1">
      <alignment horizontal="right"/>
    </xf>
    <xf numFmtId="0" fontId="31" fillId="7" borderId="0" xfId="85" applyFill="1"/>
    <xf numFmtId="0" fontId="12" fillId="7" borderId="1" xfId="85" applyFont="1" applyFill="1" applyBorder="1" applyAlignment="1">
      <alignment vertical="center"/>
    </xf>
    <xf numFmtId="0" fontId="9" fillId="7" borderId="3" xfId="40" applyFont="1" applyFill="1" applyBorder="1"/>
    <xf numFmtId="0" fontId="31" fillId="7" borderId="0" xfId="85" applyFill="1" applyAlignment="1">
      <alignment horizontal="left" vertical="center" indent="2"/>
    </xf>
    <xf numFmtId="0" fontId="31" fillId="7" borderId="0" xfId="40" applyFont="1" applyFill="1" applyAlignment="1">
      <alignment wrapText="1"/>
    </xf>
    <xf numFmtId="0" fontId="26" fillId="7" borderId="2" xfId="109" applyFont="1" applyFill="1" applyBorder="1"/>
    <xf numFmtId="0" fontId="9" fillId="7" borderId="2" xfId="109" applyFont="1" applyFill="1" applyBorder="1"/>
    <xf numFmtId="0" fontId="21" fillId="7" borderId="2" xfId="40" applyFont="1" applyFill="1" applyBorder="1" applyAlignment="1">
      <alignment horizontal="right" vertical="center"/>
    </xf>
    <xf numFmtId="0" fontId="9" fillId="7" borderId="0" xfId="109" applyFont="1" applyFill="1"/>
    <xf numFmtId="0" fontId="26" fillId="7" borderId="3" xfId="109" applyFont="1" applyFill="1" applyBorder="1"/>
    <xf numFmtId="0" fontId="26" fillId="7" borderId="0" xfId="109" applyFont="1" applyFill="1"/>
    <xf numFmtId="0" fontId="31" fillId="7" borderId="0" xfId="109" applyFill="1" applyAlignment="1">
      <alignment horizontal="left"/>
    </xf>
    <xf numFmtId="0" fontId="31" fillId="7" borderId="1" xfId="85" applyFill="1" applyBorder="1" applyAlignment="1">
      <alignment vertical="center" wrapText="1"/>
    </xf>
    <xf numFmtId="0" fontId="31" fillId="7" borderId="10" xfId="85" applyFill="1" applyBorder="1" applyAlignment="1">
      <alignment vertical="center" wrapText="1"/>
    </xf>
    <xf numFmtId="0" fontId="31" fillId="7" borderId="2" xfId="85" applyFill="1" applyBorder="1" applyAlignment="1">
      <alignment wrapText="1"/>
    </xf>
    <xf numFmtId="0" fontId="31" fillId="7" borderId="2" xfId="40" applyFont="1" applyFill="1" applyBorder="1" applyAlignment="1">
      <alignment vertical="top"/>
    </xf>
    <xf numFmtId="0" fontId="31" fillId="7" borderId="2" xfId="109" applyFill="1" applyBorder="1" applyAlignment="1">
      <alignment vertical="top"/>
    </xf>
    <xf numFmtId="0" fontId="24" fillId="7" borderId="10" xfId="40" applyFont="1" applyFill="1" applyBorder="1" applyAlignment="1">
      <alignment horizontal="right"/>
    </xf>
    <xf numFmtId="0" fontId="31" fillId="7" borderId="37" xfId="85" applyFill="1" applyBorder="1" applyAlignment="1">
      <alignment vertical="center" wrapText="1"/>
    </xf>
    <xf numFmtId="0" fontId="24" fillId="7" borderId="6" xfId="40" applyFont="1" applyFill="1" applyBorder="1" applyAlignment="1">
      <alignment horizontal="right" vertical="center"/>
    </xf>
    <xf numFmtId="0" fontId="31" fillId="7" borderId="6" xfId="109" applyFill="1" applyBorder="1"/>
    <xf numFmtId="0" fontId="31" fillId="7" borderId="6" xfId="85" applyFill="1" applyBorder="1" applyAlignment="1">
      <alignment vertical="center" wrapText="1"/>
    </xf>
    <xf numFmtId="0" fontId="31" fillId="7" borderId="52" xfId="85" applyFill="1" applyBorder="1" applyAlignment="1">
      <alignment vertical="center" wrapText="1"/>
    </xf>
    <xf numFmtId="0" fontId="31" fillId="7" borderId="6" xfId="85" applyFill="1" applyBorder="1" applyAlignment="1">
      <alignment wrapText="1"/>
    </xf>
    <xf numFmtId="0" fontId="31" fillId="7" borderId="6" xfId="40" applyFont="1" applyFill="1" applyBorder="1"/>
    <xf numFmtId="0" fontId="31" fillId="7" borderId="6" xfId="40" applyFont="1" applyFill="1" applyBorder="1" applyAlignment="1">
      <alignment vertical="top"/>
    </xf>
    <xf numFmtId="0" fontId="31" fillId="7" borderId="6" xfId="109" applyFill="1" applyBorder="1" applyAlignment="1">
      <alignment vertical="top"/>
    </xf>
    <xf numFmtId="0" fontId="12" fillId="7" borderId="6" xfId="40" applyFont="1" applyFill="1" applyBorder="1" applyAlignment="1">
      <alignment vertical="center"/>
    </xf>
    <xf numFmtId="0" fontId="24" fillId="7" borderId="52" xfId="40" applyFont="1" applyFill="1" applyBorder="1" applyAlignment="1">
      <alignment horizontal="right"/>
    </xf>
    <xf numFmtId="0" fontId="31" fillId="7" borderId="0" xfId="40" applyFont="1" applyFill="1" applyAlignment="1">
      <alignment vertical="top"/>
    </xf>
    <xf numFmtId="0" fontId="31" fillId="7" borderId="0" xfId="109" applyFill="1" applyAlignment="1">
      <alignment vertical="top"/>
    </xf>
    <xf numFmtId="0" fontId="31" fillId="7" borderId="3" xfId="85" applyFill="1" applyBorder="1"/>
    <xf numFmtId="0" fontId="31" fillId="7" borderId="4" xfId="85" applyFill="1" applyBorder="1" applyAlignment="1">
      <alignment vertical="center"/>
    </xf>
    <xf numFmtId="0" fontId="31" fillId="7" borderId="5" xfId="85" applyFill="1" applyBorder="1" applyAlignment="1">
      <alignment wrapText="1"/>
    </xf>
    <xf numFmtId="0" fontId="31" fillId="7" borderId="5" xfId="85" applyFill="1" applyBorder="1" applyAlignment="1">
      <alignment vertical="center" wrapText="1"/>
    </xf>
    <xf numFmtId="0" fontId="31" fillId="7" borderId="5" xfId="40" applyFont="1" applyFill="1" applyBorder="1" applyAlignment="1">
      <alignment vertical="top"/>
    </xf>
    <xf numFmtId="0" fontId="31" fillId="7" borderId="5" xfId="109" applyFill="1" applyBorder="1" applyAlignment="1">
      <alignment vertical="top"/>
    </xf>
    <xf numFmtId="0" fontId="24" fillId="7" borderId="12" xfId="40" applyFont="1" applyFill="1" applyBorder="1" applyAlignment="1">
      <alignment horizontal="right"/>
    </xf>
    <xf numFmtId="0" fontId="9" fillId="7" borderId="5" xfId="109" applyFont="1" applyFill="1" applyBorder="1"/>
    <xf numFmtId="0" fontId="24" fillId="0" borderId="2" xfId="40" applyFont="1" applyBorder="1" applyAlignment="1" applyProtection="1">
      <alignment horizontal="right" vertical="center"/>
      <protection locked="0"/>
    </xf>
    <xf numFmtId="0" fontId="84" fillId="7" borderId="5" xfId="109" applyFont="1" applyFill="1" applyBorder="1" applyAlignment="1">
      <alignment horizontal="left" vertical="center"/>
    </xf>
    <xf numFmtId="0" fontId="12" fillId="7" borderId="3" xfId="85" applyFont="1" applyFill="1" applyBorder="1" applyAlignment="1">
      <alignment horizontal="left"/>
    </xf>
    <xf numFmtId="0" fontId="12" fillId="7" borderId="3" xfId="85" applyFont="1" applyFill="1" applyBorder="1" applyAlignment="1">
      <alignment horizontal="left" vertical="center" indent="1"/>
    </xf>
    <xf numFmtId="0" fontId="12" fillId="7" borderId="3" xfId="85" applyFont="1" applyFill="1" applyBorder="1" applyAlignment="1">
      <alignment vertical="top" wrapText="1"/>
    </xf>
    <xf numFmtId="0" fontId="16" fillId="7" borderId="0" xfId="40" applyFont="1" applyFill="1" applyAlignment="1">
      <alignment vertical="center"/>
    </xf>
    <xf numFmtId="0" fontId="12" fillId="7" borderId="0" xfId="111" applyFont="1" applyFill="1"/>
    <xf numFmtId="0" fontId="12" fillId="7" borderId="0" xfId="111" quotePrefix="1" applyFont="1" applyFill="1" applyAlignment="1">
      <alignment horizontal="center"/>
    </xf>
    <xf numFmtId="0" fontId="17" fillId="7" borderId="0" xfId="111" applyFont="1" applyFill="1" applyAlignment="1">
      <alignment horizontal="left"/>
    </xf>
    <xf numFmtId="0" fontId="12" fillId="7" borderId="1" xfId="111" applyFont="1" applyFill="1" applyBorder="1"/>
    <xf numFmtId="0" fontId="17" fillId="7" borderId="2" xfId="111" applyFont="1" applyFill="1" applyBorder="1" applyAlignment="1">
      <alignment horizontal="left"/>
    </xf>
    <xf numFmtId="0" fontId="31" fillId="7" borderId="2" xfId="111" applyFont="1" applyFill="1" applyBorder="1"/>
    <xf numFmtId="0" fontId="31" fillId="7" borderId="3" xfId="111" applyFont="1" applyFill="1" applyBorder="1"/>
    <xf numFmtId="0" fontId="27" fillId="7" borderId="0" xfId="111" applyFont="1" applyFill="1" applyAlignment="1">
      <alignment horizontal="left"/>
    </xf>
    <xf numFmtId="0" fontId="31" fillId="7" borderId="3" xfId="109" applyFill="1" applyBorder="1" applyAlignment="1">
      <alignment horizontal="left"/>
    </xf>
    <xf numFmtId="0" fontId="31" fillId="7" borderId="3" xfId="109" applyFill="1" applyBorder="1" applyAlignment="1">
      <alignment vertical="center" wrapText="1"/>
    </xf>
    <xf numFmtId="0" fontId="12" fillId="7" borderId="3" xfId="109" applyFont="1" applyFill="1" applyBorder="1"/>
    <xf numFmtId="0" fontId="26" fillId="7" borderId="4" xfId="109" applyFont="1" applyFill="1" applyBorder="1"/>
    <xf numFmtId="0" fontId="83" fillId="7" borderId="0" xfId="20" applyFont="1" applyFill="1" applyAlignment="1">
      <alignment vertical="top"/>
    </xf>
    <xf numFmtId="0" fontId="31" fillId="0" borderId="5" xfId="0" applyFont="1" applyBorder="1"/>
    <xf numFmtId="0" fontId="31" fillId="7" borderId="14" xfId="85" applyFill="1" applyBorder="1" applyAlignment="1">
      <alignment horizontal="left" vertical="center" indent="1"/>
    </xf>
    <xf numFmtId="0" fontId="31" fillId="7" borderId="113" xfId="85" applyFill="1" applyBorder="1" applyAlignment="1">
      <alignment horizontal="left" vertical="center" indent="1"/>
    </xf>
    <xf numFmtId="0" fontId="17" fillId="7" borderId="0" xfId="109" quotePrefix="1" applyFont="1" applyFill="1" applyAlignment="1">
      <alignment horizontal="right"/>
    </xf>
    <xf numFmtId="0" fontId="17" fillId="7" borderId="0" xfId="109" applyFont="1" applyFill="1" applyAlignment="1">
      <alignment vertical="center"/>
    </xf>
    <xf numFmtId="0" fontId="77" fillId="3" borderId="0" xfId="40" applyFont="1" applyFill="1" applyAlignment="1">
      <alignment vertical="center"/>
    </xf>
    <xf numFmtId="0" fontId="24" fillId="7" borderId="3" xfId="40" applyFont="1" applyFill="1" applyBorder="1" applyAlignment="1">
      <alignment horizontal="right" vertical="center"/>
    </xf>
    <xf numFmtId="0" fontId="24" fillId="7" borderId="3" xfId="40" applyFont="1" applyFill="1" applyBorder="1" applyAlignment="1">
      <alignment horizontal="right"/>
    </xf>
    <xf numFmtId="0" fontId="22" fillId="7" borderId="3" xfId="85" applyFont="1" applyFill="1" applyBorder="1" applyAlignment="1">
      <alignment vertical="center" wrapText="1"/>
    </xf>
    <xf numFmtId="0" fontId="22" fillId="7" borderId="0" xfId="85" applyFont="1" applyFill="1" applyAlignment="1">
      <alignment vertical="center" wrapText="1"/>
    </xf>
    <xf numFmtId="0" fontId="17" fillId="7" borderId="0" xfId="109" quotePrefix="1" applyFont="1" applyFill="1" applyAlignment="1">
      <alignment horizontal="right" vertical="top"/>
    </xf>
    <xf numFmtId="0" fontId="17" fillId="7" borderId="0" xfId="109" applyFont="1" applyFill="1" applyAlignment="1">
      <alignment vertical="top" wrapText="1"/>
    </xf>
    <xf numFmtId="0" fontId="31" fillId="7" borderId="0" xfId="97" applyFont="1" applyFill="1"/>
    <xf numFmtId="0" fontId="17" fillId="7" borderId="0" xfId="97" applyFont="1" applyFill="1"/>
    <xf numFmtId="0" fontId="9" fillId="7" borderId="5" xfId="97" applyFont="1" applyFill="1" applyBorder="1" applyAlignment="1">
      <alignment vertical="center"/>
    </xf>
    <xf numFmtId="0" fontId="9" fillId="7" borderId="69" xfId="40" quotePrefix="1" applyFont="1" applyFill="1" applyBorder="1" applyAlignment="1">
      <alignment horizontal="right" vertical="center"/>
    </xf>
    <xf numFmtId="0" fontId="9" fillId="7" borderId="71" xfId="40" applyFont="1" applyFill="1" applyBorder="1" applyAlignment="1">
      <alignment vertical="center"/>
    </xf>
    <xf numFmtId="0" fontId="9" fillId="7" borderId="96" xfId="40" applyFont="1" applyFill="1" applyBorder="1" applyAlignment="1">
      <alignment vertical="center"/>
    </xf>
    <xf numFmtId="0" fontId="28" fillId="7" borderId="70" xfId="40" applyFont="1" applyFill="1" applyBorder="1" applyAlignment="1">
      <alignment vertical="center"/>
    </xf>
    <xf numFmtId="0" fontId="28" fillId="7" borderId="101" xfId="40" applyFont="1" applyFill="1" applyBorder="1" applyAlignment="1">
      <alignment vertical="center"/>
    </xf>
    <xf numFmtId="0" fontId="28" fillId="7" borderId="102" xfId="40" applyFont="1" applyFill="1" applyBorder="1" applyAlignment="1">
      <alignment vertical="center"/>
    </xf>
    <xf numFmtId="0" fontId="28" fillId="7" borderId="91" xfId="40" applyFont="1" applyFill="1" applyBorder="1" applyAlignment="1">
      <alignment vertical="center"/>
    </xf>
    <xf numFmtId="0" fontId="28" fillId="7" borderId="0" xfId="40" applyFont="1" applyFill="1" applyAlignment="1">
      <alignment vertical="center"/>
    </xf>
    <xf numFmtId="0" fontId="28" fillId="7" borderId="71" xfId="40" applyFont="1" applyFill="1" applyBorder="1" applyAlignment="1">
      <alignment vertical="center"/>
    </xf>
    <xf numFmtId="0" fontId="28" fillId="7" borderId="79" xfId="40" applyFont="1" applyFill="1" applyBorder="1" applyAlignment="1">
      <alignment vertical="center"/>
    </xf>
    <xf numFmtId="0" fontId="28" fillId="7" borderId="75" xfId="40" applyFont="1" applyFill="1" applyBorder="1" applyAlignment="1">
      <alignment vertical="center"/>
    </xf>
    <xf numFmtId="0" fontId="28" fillId="7" borderId="74" xfId="40" applyFont="1" applyFill="1" applyBorder="1" applyAlignment="1">
      <alignment vertical="center"/>
    </xf>
    <xf numFmtId="0" fontId="31" fillId="7" borderId="96" xfId="70" applyFill="1" applyBorder="1" applyAlignment="1">
      <alignment vertical="center"/>
    </xf>
    <xf numFmtId="0" fontId="31" fillId="7" borderId="98" xfId="70" applyFill="1" applyBorder="1" applyAlignment="1">
      <alignment vertical="center"/>
    </xf>
    <xf numFmtId="0" fontId="9" fillId="7" borderId="72" xfId="40" quotePrefix="1" applyFont="1" applyFill="1" applyBorder="1" applyAlignment="1">
      <alignment horizontal="right" vertical="center"/>
    </xf>
    <xf numFmtId="0" fontId="9" fillId="7" borderId="73" xfId="40" applyFont="1" applyFill="1" applyBorder="1" applyAlignment="1">
      <alignment vertical="center"/>
    </xf>
    <xf numFmtId="0" fontId="31" fillId="7" borderId="99" xfId="70" applyFill="1" applyBorder="1" applyAlignment="1">
      <alignment vertical="center"/>
    </xf>
    <xf numFmtId="0" fontId="28" fillId="7" borderId="73" xfId="40" applyFont="1" applyFill="1" applyBorder="1" applyAlignment="1">
      <alignment vertical="center"/>
    </xf>
    <xf numFmtId="0" fontId="28" fillId="7" borderId="77" xfId="40" applyFont="1" applyFill="1" applyBorder="1" applyAlignment="1">
      <alignment vertical="center"/>
    </xf>
    <xf numFmtId="0" fontId="28" fillId="7" borderId="78" xfId="40" applyFont="1" applyFill="1" applyBorder="1" applyAlignment="1">
      <alignment vertical="center"/>
    </xf>
    <xf numFmtId="0" fontId="28" fillId="7" borderId="76" xfId="40" applyFont="1" applyFill="1" applyBorder="1" applyAlignment="1">
      <alignment vertical="center"/>
    </xf>
    <xf numFmtId="0" fontId="31" fillId="7" borderId="0" xfId="97" applyFont="1" applyFill="1" applyAlignment="1">
      <alignment vertical="center"/>
    </xf>
    <xf numFmtId="0" fontId="17" fillId="7" borderId="0" xfId="69" applyFont="1" applyFill="1" applyAlignment="1">
      <alignment horizontal="justify" vertical="center" wrapText="1"/>
    </xf>
    <xf numFmtId="0" fontId="31" fillId="7" borderId="0" xfId="69" applyFill="1" applyAlignment="1">
      <alignment horizontal="justify" vertical="center" wrapText="1"/>
    </xf>
    <xf numFmtId="0" fontId="12" fillId="7" borderId="0" xfId="109" applyFont="1" applyFill="1" applyAlignment="1">
      <alignment wrapText="1"/>
    </xf>
    <xf numFmtId="0" fontId="28" fillId="0" borderId="70" xfId="40" applyFont="1" applyBorder="1" applyAlignment="1" applyProtection="1">
      <alignment horizontal="center" vertical="center"/>
      <protection locked="0"/>
    </xf>
    <xf numFmtId="0" fontId="28" fillId="0" borderId="71" xfId="40" applyFont="1" applyBorder="1" applyAlignment="1" applyProtection="1">
      <alignment horizontal="center" vertical="center"/>
      <protection locked="0"/>
    </xf>
    <xf numFmtId="0" fontId="28" fillId="0" borderId="73" xfId="40" applyFont="1" applyBorder="1" applyAlignment="1" applyProtection="1">
      <alignment horizontal="center" vertical="center"/>
      <protection locked="0"/>
    </xf>
    <xf numFmtId="0" fontId="16" fillId="7" borderId="0" xfId="97" applyFont="1" applyFill="1"/>
    <xf numFmtId="0" fontId="13" fillId="7" borderId="0" xfId="85" applyFont="1" applyFill="1" applyAlignment="1">
      <alignment vertical="center"/>
    </xf>
    <xf numFmtId="0" fontId="14" fillId="7" borderId="0" xfId="97" applyFont="1" applyFill="1"/>
    <xf numFmtId="0" fontId="14" fillId="7" borderId="0" xfId="85" applyFont="1" applyFill="1"/>
    <xf numFmtId="0" fontId="16" fillId="7" borderId="0" xfId="97" applyFont="1" applyFill="1" applyAlignment="1">
      <alignment vertical="center"/>
    </xf>
    <xf numFmtId="0" fontId="16" fillId="7" borderId="0" xfId="40" applyFont="1" applyFill="1" applyAlignment="1">
      <alignment vertical="center" wrapText="1"/>
    </xf>
    <xf numFmtId="0" fontId="16" fillId="7" borderId="82" xfId="40" quotePrefix="1" applyFont="1" applyFill="1" applyBorder="1" applyAlignment="1">
      <alignment horizontal="right" vertical="center"/>
    </xf>
    <xf numFmtId="0" fontId="16" fillId="7" borderId="83" xfId="40" applyFont="1" applyFill="1" applyBorder="1" applyAlignment="1">
      <alignment vertical="center"/>
    </xf>
    <xf numFmtId="0" fontId="16" fillId="7" borderId="94" xfId="40" applyFont="1" applyFill="1" applyBorder="1" applyAlignment="1">
      <alignment vertical="center"/>
    </xf>
    <xf numFmtId="0" fontId="16" fillId="7" borderId="69" xfId="40" quotePrefix="1" applyFont="1" applyFill="1" applyBorder="1" applyAlignment="1">
      <alignment horizontal="right" vertical="center"/>
    </xf>
    <xf numFmtId="0" fontId="16" fillId="7" borderId="71" xfId="40" applyFont="1" applyFill="1" applyBorder="1" applyAlignment="1">
      <alignment vertical="center"/>
    </xf>
    <xf numFmtId="0" fontId="16" fillId="7" borderId="96" xfId="40" applyFont="1" applyFill="1" applyBorder="1" applyAlignment="1">
      <alignment vertical="center"/>
    </xf>
    <xf numFmtId="0" fontId="16" fillId="7" borderId="96" xfId="70" applyFont="1" applyFill="1" applyBorder="1" applyAlignment="1">
      <alignment vertical="center"/>
    </xf>
    <xf numFmtId="0" fontId="16" fillId="7" borderId="81" xfId="40" applyFont="1" applyFill="1" applyBorder="1" applyAlignment="1">
      <alignment vertical="center"/>
    </xf>
    <xf numFmtId="0" fontId="16" fillId="7" borderId="98" xfId="70" applyFont="1" applyFill="1" applyBorder="1" applyAlignment="1">
      <alignment vertical="center"/>
    </xf>
    <xf numFmtId="0" fontId="16" fillId="7" borderId="80" xfId="40" quotePrefix="1" applyFont="1" applyFill="1" applyBorder="1" applyAlignment="1">
      <alignment horizontal="right" vertical="center"/>
    </xf>
    <xf numFmtId="0" fontId="16" fillId="7" borderId="72" xfId="40" quotePrefix="1" applyFont="1" applyFill="1" applyBorder="1" applyAlignment="1">
      <alignment horizontal="right" vertical="center"/>
    </xf>
    <xf numFmtId="0" fontId="16" fillId="7" borderId="73" xfId="40" applyFont="1" applyFill="1" applyBorder="1" applyAlignment="1">
      <alignment vertical="center"/>
    </xf>
    <xf numFmtId="0" fontId="16" fillId="7" borderId="99" xfId="70" applyFont="1" applyFill="1" applyBorder="1" applyAlignment="1">
      <alignment vertical="center"/>
    </xf>
    <xf numFmtId="0" fontId="17" fillId="7" borderId="0" xfId="69" quotePrefix="1" applyFont="1" applyFill="1" applyAlignment="1">
      <alignment horizontal="right" wrapText="1"/>
    </xf>
    <xf numFmtId="0" fontId="31" fillId="7" borderId="0" xfId="69" applyFill="1" applyAlignment="1">
      <alignment horizontal="justify" wrapText="1"/>
    </xf>
    <xf numFmtId="0" fontId="17" fillId="7" borderId="0" xfId="69" applyFont="1" applyFill="1" applyAlignment="1">
      <alignment horizontal="left" wrapText="1"/>
    </xf>
    <xf numFmtId="0" fontId="14" fillId="7" borderId="0" xfId="85" applyFont="1" applyFill="1" applyAlignment="1">
      <alignment vertical="center"/>
    </xf>
    <xf numFmtId="0" fontId="17" fillId="7" borderId="0" xfId="85" applyFont="1" applyFill="1" applyAlignment="1">
      <alignment vertical="center"/>
    </xf>
    <xf numFmtId="0" fontId="13" fillId="7" borderId="0" xfId="84" applyFont="1" applyFill="1"/>
    <xf numFmtId="0" fontId="14" fillId="7" borderId="0" xfId="40" applyFont="1" applyFill="1"/>
    <xf numFmtId="0" fontId="16" fillId="7" borderId="312" xfId="40" applyFont="1" applyFill="1" applyBorder="1" applyAlignment="1">
      <alignment vertical="center"/>
    </xf>
    <xf numFmtId="0" fontId="16" fillId="7" borderId="250" xfId="40" applyFont="1" applyFill="1" applyBorder="1" applyAlignment="1">
      <alignment vertical="center"/>
    </xf>
    <xf numFmtId="0" fontId="16" fillId="7" borderId="242" xfId="40" applyFont="1" applyFill="1" applyBorder="1" applyAlignment="1">
      <alignment vertical="center"/>
    </xf>
    <xf numFmtId="0" fontId="16" fillId="7" borderId="242" xfId="40" applyFont="1" applyFill="1" applyBorder="1"/>
    <xf numFmtId="0" fontId="16" fillId="7" borderId="11" xfId="20" applyFont="1" applyFill="1" applyBorder="1" applyAlignment="1">
      <alignment wrapText="1"/>
    </xf>
    <xf numFmtId="0" fontId="16" fillId="7" borderId="256" xfId="40" applyFont="1" applyFill="1" applyBorder="1"/>
    <xf numFmtId="0" fontId="16" fillId="7" borderId="271" xfId="20" applyFont="1" applyFill="1" applyBorder="1" applyAlignment="1">
      <alignment wrapText="1"/>
    </xf>
    <xf numFmtId="0" fontId="16" fillId="7" borderId="0" xfId="40" applyFont="1" applyFill="1"/>
    <xf numFmtId="0" fontId="16" fillId="7" borderId="0" xfId="40" applyFont="1" applyFill="1" applyAlignment="1">
      <alignment horizontal="justify" vertical="center" wrapText="1"/>
    </xf>
    <xf numFmtId="0" fontId="16" fillId="7" borderId="0" xfId="40" applyFont="1" applyFill="1" applyAlignment="1">
      <alignment horizontal="center" vertical="center"/>
    </xf>
    <xf numFmtId="0" fontId="13" fillId="7" borderId="0" xfId="84" applyFont="1" applyFill="1" applyAlignment="1">
      <alignment wrapText="1"/>
    </xf>
    <xf numFmtId="0" fontId="16" fillId="7" borderId="16" xfId="40" applyFont="1" applyFill="1" applyBorder="1" applyAlignment="1">
      <alignment vertical="center"/>
    </xf>
    <xf numFmtId="0" fontId="16" fillId="7" borderId="19" xfId="40" applyFont="1" applyFill="1" applyBorder="1" applyAlignment="1">
      <alignment vertical="center"/>
    </xf>
    <xf numFmtId="0" fontId="16" fillId="7" borderId="304" xfId="40" applyFont="1" applyFill="1" applyBorder="1" applyAlignment="1">
      <alignment vertical="center"/>
    </xf>
    <xf numFmtId="0" fontId="16" fillId="7" borderId="7" xfId="40" applyFont="1" applyFill="1" applyBorder="1" applyAlignment="1">
      <alignment vertical="center"/>
    </xf>
    <xf numFmtId="0" fontId="16" fillId="7" borderId="20" xfId="40" applyFont="1" applyFill="1" applyBorder="1" applyAlignment="1">
      <alignment vertical="center"/>
    </xf>
    <xf numFmtId="0" fontId="16" fillId="7" borderId="11" xfId="40" applyFont="1" applyFill="1" applyBorder="1" applyAlignment="1">
      <alignment vertical="center"/>
    </xf>
    <xf numFmtId="0" fontId="16" fillId="7" borderId="289" xfId="40" applyFont="1" applyFill="1" applyBorder="1" applyAlignment="1">
      <alignment vertical="center"/>
    </xf>
    <xf numFmtId="0" fontId="16" fillId="7" borderId="6" xfId="40" applyFont="1" applyFill="1" applyBorder="1" applyAlignment="1">
      <alignment vertical="center"/>
    </xf>
    <xf numFmtId="0" fontId="16" fillId="7" borderId="52" xfId="40" applyFont="1" applyFill="1" applyBorder="1" applyAlignment="1">
      <alignment vertical="center"/>
    </xf>
    <xf numFmtId="0" fontId="16" fillId="7" borderId="256" xfId="40" applyFont="1" applyFill="1" applyBorder="1" applyAlignment="1">
      <alignment vertical="center"/>
    </xf>
    <xf numFmtId="0" fontId="16" fillId="7" borderId="257" xfId="40" applyFont="1" applyFill="1" applyBorder="1" applyAlignment="1">
      <alignment vertical="center"/>
    </xf>
    <xf numFmtId="0" fontId="16" fillId="7" borderId="271" xfId="40" applyFont="1" applyFill="1" applyBorder="1" applyAlignment="1">
      <alignment vertical="center"/>
    </xf>
    <xf numFmtId="0" fontId="16" fillId="7" borderId="0" xfId="40" applyFont="1" applyFill="1" applyAlignment="1">
      <alignment horizontal="justify" vertical="center"/>
    </xf>
    <xf numFmtId="0" fontId="26" fillId="7" borderId="0" xfId="180" applyFont="1" applyFill="1"/>
    <xf numFmtId="0" fontId="17" fillId="7" borderId="0" xfId="180" quotePrefix="1" applyFont="1" applyFill="1" applyAlignment="1">
      <alignment horizontal="right" vertical="top"/>
    </xf>
    <xf numFmtId="0" fontId="13" fillId="7" borderId="0" xfId="85" applyFont="1" applyFill="1" applyAlignment="1">
      <alignment wrapText="1"/>
    </xf>
    <xf numFmtId="0" fontId="17" fillId="7" borderId="0" xfId="40" applyFont="1" applyFill="1"/>
    <xf numFmtId="0" fontId="16" fillId="7" borderId="69" xfId="40" applyFont="1" applyFill="1" applyBorder="1" applyAlignment="1">
      <alignment vertical="center"/>
    </xf>
    <xf numFmtId="0" fontId="16" fillId="7" borderId="74" xfId="68" applyFont="1" applyFill="1" applyBorder="1" applyAlignment="1">
      <alignment vertical="center"/>
    </xf>
    <xf numFmtId="0" fontId="16" fillId="7" borderId="74" xfId="40" applyFont="1" applyFill="1" applyBorder="1" applyAlignment="1">
      <alignment vertical="center"/>
    </xf>
    <xf numFmtId="0" fontId="16" fillId="7" borderId="72" xfId="40" applyFont="1" applyFill="1" applyBorder="1" applyAlignment="1">
      <alignment vertical="center"/>
    </xf>
    <xf numFmtId="0" fontId="16" fillId="7" borderId="76" xfId="40" applyFont="1" applyFill="1" applyBorder="1" applyAlignment="1">
      <alignment vertical="center"/>
    </xf>
    <xf numFmtId="0" fontId="31" fillId="7" borderId="0" xfId="68" applyFill="1"/>
    <xf numFmtId="0" fontId="8" fillId="7" borderId="0" xfId="188" applyFont="1" applyFill="1" applyAlignment="1">
      <alignment vertical="center"/>
    </xf>
    <xf numFmtId="0" fontId="31" fillId="7" borderId="0" xfId="188" applyFont="1" applyFill="1" applyAlignment="1">
      <alignment vertical="center"/>
    </xf>
    <xf numFmtId="0" fontId="13" fillId="7" borderId="0" xfId="188" applyFont="1" applyFill="1" applyAlignment="1">
      <alignment vertical="center"/>
    </xf>
    <xf numFmtId="0" fontId="14" fillId="7" borderId="0" xfId="188" applyFont="1" applyFill="1" applyAlignment="1">
      <alignment vertical="center"/>
    </xf>
    <xf numFmtId="0" fontId="12" fillId="7" borderId="239" xfId="188" quotePrefix="1" applyFont="1" applyFill="1" applyBorder="1" applyAlignment="1">
      <alignment horizontal="right" vertical="center"/>
    </xf>
    <xf numFmtId="0" fontId="12" fillId="7" borderId="240" xfId="188" applyFont="1" applyFill="1" applyBorder="1" applyAlignment="1">
      <alignment vertical="center" wrapText="1"/>
    </xf>
    <xf numFmtId="0" fontId="12" fillId="7" borderId="241" xfId="188" applyFont="1" applyFill="1" applyBorder="1" applyAlignment="1">
      <alignment vertical="center" wrapText="1"/>
    </xf>
    <xf numFmtId="0" fontId="8" fillId="7" borderId="242" xfId="188" applyFont="1" applyFill="1" applyBorder="1" applyAlignment="1">
      <alignment vertical="center"/>
    </xf>
    <xf numFmtId="0" fontId="31" fillId="7" borderId="0" xfId="188" quotePrefix="1" applyFont="1" applyFill="1" applyAlignment="1">
      <alignment horizontal="right" vertical="center"/>
    </xf>
    <xf numFmtId="0" fontId="31" fillId="7" borderId="0" xfId="188" applyFont="1" applyFill="1" applyAlignment="1">
      <alignment vertical="center" wrapText="1"/>
    </xf>
    <xf numFmtId="0" fontId="31" fillId="7" borderId="243" xfId="188" applyFont="1" applyFill="1" applyBorder="1" applyAlignment="1">
      <alignment vertical="center" wrapText="1"/>
    </xf>
    <xf numFmtId="0" fontId="12" fillId="7" borderId="242" xfId="188" applyFont="1" applyFill="1" applyBorder="1" applyAlignment="1">
      <alignment vertical="center"/>
    </xf>
    <xf numFmtId="0" fontId="12" fillId="7" borderId="0" xfId="188" applyFont="1" applyFill="1" applyAlignment="1">
      <alignment vertical="center"/>
    </xf>
    <xf numFmtId="0" fontId="31" fillId="7" borderId="244" xfId="188" applyFont="1" applyFill="1" applyBorder="1" applyAlignment="1">
      <alignment vertical="center"/>
    </xf>
    <xf numFmtId="0" fontId="12" fillId="7" borderId="0" xfId="188" applyFont="1" applyFill="1" applyAlignment="1">
      <alignment horizontal="center" vertical="center" wrapText="1"/>
    </xf>
    <xf numFmtId="0" fontId="12" fillId="7" borderId="243" xfId="188" applyFont="1" applyFill="1" applyBorder="1" applyAlignment="1">
      <alignment vertical="center" wrapText="1"/>
    </xf>
    <xf numFmtId="0" fontId="17" fillId="7" borderId="242" xfId="188" applyFont="1" applyFill="1" applyBorder="1" applyAlignment="1">
      <alignment vertical="center"/>
    </xf>
    <xf numFmtId="0" fontId="17" fillId="7" borderId="0" xfId="188" applyFont="1" applyFill="1" applyAlignment="1">
      <alignment vertical="center"/>
    </xf>
    <xf numFmtId="0" fontId="17" fillId="7" borderId="243" xfId="188" applyFont="1" applyFill="1" applyBorder="1" applyAlignment="1">
      <alignment vertical="center"/>
    </xf>
    <xf numFmtId="0" fontId="31" fillId="7" borderId="14" xfId="188" applyFont="1" applyFill="1" applyBorder="1" applyAlignment="1">
      <alignment vertical="center"/>
    </xf>
    <xf numFmtId="0" fontId="31" fillId="7" borderId="18" xfId="188" applyFont="1" applyFill="1" applyBorder="1" applyAlignment="1">
      <alignment vertical="center"/>
    </xf>
    <xf numFmtId="0" fontId="31" fillId="7" borderId="249" xfId="188" applyFont="1" applyFill="1" applyBorder="1" applyAlignment="1">
      <alignment vertical="center"/>
    </xf>
    <xf numFmtId="0" fontId="31" fillId="7" borderId="243" xfId="188" applyFont="1" applyFill="1" applyBorder="1" applyAlignment="1">
      <alignment vertical="center"/>
    </xf>
    <xf numFmtId="0" fontId="31" fillId="7" borderId="16" xfId="188" applyFont="1" applyFill="1" applyBorder="1" applyAlignment="1">
      <alignment vertical="center"/>
    </xf>
    <xf numFmtId="0" fontId="31" fillId="7" borderId="19" xfId="188" applyFont="1" applyFill="1" applyBorder="1" applyAlignment="1">
      <alignment vertical="center"/>
    </xf>
    <xf numFmtId="0" fontId="31" fillId="7" borderId="251" xfId="188" applyFont="1" applyFill="1" applyBorder="1" applyAlignment="1">
      <alignment vertical="center"/>
    </xf>
    <xf numFmtId="0" fontId="31" fillId="7" borderId="253" xfId="188" applyFont="1" applyFill="1" applyBorder="1" applyAlignment="1">
      <alignment vertical="center"/>
    </xf>
    <xf numFmtId="0" fontId="31" fillId="7" borderId="254" xfId="188" applyFont="1" applyFill="1" applyBorder="1" applyAlignment="1">
      <alignment vertical="center"/>
    </xf>
    <xf numFmtId="0" fontId="0" fillId="7" borderId="253" xfId="188" applyFont="1" applyFill="1" applyBorder="1" applyAlignment="1">
      <alignment vertical="center"/>
    </xf>
    <xf numFmtId="0" fontId="31" fillId="7" borderId="255" xfId="188" applyFont="1" applyFill="1" applyBorder="1" applyAlignment="1">
      <alignment vertical="center"/>
    </xf>
    <xf numFmtId="0" fontId="8" fillId="7" borderId="243" xfId="188" applyFont="1" applyFill="1" applyBorder="1" applyAlignment="1">
      <alignment vertical="center"/>
    </xf>
    <xf numFmtId="0" fontId="31" fillId="7" borderId="25" xfId="188" applyFont="1" applyFill="1" applyBorder="1" applyAlignment="1">
      <alignment vertical="center"/>
    </xf>
    <xf numFmtId="0" fontId="31" fillId="7" borderId="26" xfId="188" applyFont="1" applyFill="1" applyBorder="1" applyAlignment="1">
      <alignment vertical="center"/>
    </xf>
    <xf numFmtId="0" fontId="0" fillId="7" borderId="16" xfId="188" applyFont="1" applyFill="1" applyBorder="1" applyAlignment="1">
      <alignment vertical="center"/>
    </xf>
    <xf numFmtId="0" fontId="85" fillId="7" borderId="0" xfId="0" applyFont="1" applyFill="1"/>
    <xf numFmtId="0" fontId="31" fillId="7" borderId="257" xfId="188" applyFont="1" applyFill="1" applyBorder="1" applyAlignment="1">
      <alignment vertical="center"/>
    </xf>
    <xf numFmtId="0" fontId="31" fillId="7" borderId="258" xfId="188" applyFont="1" applyFill="1" applyBorder="1" applyAlignment="1">
      <alignment vertical="center"/>
    </xf>
    <xf numFmtId="0" fontId="0" fillId="7" borderId="257" xfId="188" applyFont="1" applyFill="1" applyBorder="1" applyAlignment="1">
      <alignment vertical="center"/>
    </xf>
    <xf numFmtId="0" fontId="31" fillId="7" borderId="259" xfId="188" applyFont="1" applyFill="1" applyBorder="1" applyAlignment="1">
      <alignment vertical="center"/>
    </xf>
    <xf numFmtId="0" fontId="0" fillId="7" borderId="0" xfId="188" quotePrefix="1" applyFont="1" applyFill="1" applyAlignment="1">
      <alignment horizontal="right" vertical="top"/>
    </xf>
    <xf numFmtId="0" fontId="0" fillId="7" borderId="0" xfId="188" applyFont="1" applyFill="1" applyAlignment="1">
      <alignment horizontal="justify" vertical="top" wrapText="1"/>
    </xf>
    <xf numFmtId="0" fontId="12" fillId="7" borderId="242" xfId="188" quotePrefix="1" applyFont="1" applyFill="1" applyBorder="1" applyAlignment="1">
      <alignment horizontal="right" vertical="center"/>
    </xf>
    <xf numFmtId="0" fontId="12" fillId="7" borderId="0" xfId="188" applyFont="1" applyFill="1" applyAlignment="1">
      <alignment horizontal="justify" vertical="center" wrapText="1"/>
    </xf>
    <xf numFmtId="0" fontId="12" fillId="7" borderId="243" xfId="188" applyFont="1" applyFill="1" applyBorder="1" applyAlignment="1">
      <alignment horizontal="justify" vertical="center" wrapText="1"/>
    </xf>
    <xf numFmtId="0" fontId="72" fillId="7" borderId="0" xfId="68" applyFont="1" applyFill="1" applyAlignment="1">
      <alignment horizontal="center" wrapText="1"/>
    </xf>
    <xf numFmtId="0" fontId="72" fillId="7" borderId="240" xfId="68" applyFont="1" applyFill="1" applyBorder="1" applyAlignment="1">
      <alignment horizontal="center"/>
    </xf>
    <xf numFmtId="0" fontId="72" fillId="7" borderId="240" xfId="68" applyFont="1" applyFill="1" applyBorder="1" applyAlignment="1">
      <alignment horizontal="center" wrapText="1"/>
    </xf>
    <xf numFmtId="0" fontId="0" fillId="7" borderId="0" xfId="188" applyFont="1" applyFill="1" applyAlignment="1">
      <alignment vertical="top" wrapText="1"/>
    </xf>
    <xf numFmtId="0" fontId="12" fillId="7" borderId="256" xfId="188" applyFont="1" applyFill="1" applyBorder="1" applyAlignment="1">
      <alignment horizontal="center" vertical="center"/>
    </xf>
    <xf numFmtId="0" fontId="24" fillId="7" borderId="257" xfId="40" applyFont="1" applyFill="1" applyBorder="1" applyAlignment="1">
      <alignment horizontal="center" vertical="center"/>
    </xf>
    <xf numFmtId="0" fontId="31" fillId="7" borderId="257" xfId="188" applyFont="1" applyFill="1" applyBorder="1" applyAlignment="1">
      <alignment vertical="center" wrapText="1"/>
    </xf>
    <xf numFmtId="0" fontId="8" fillId="7" borderId="257" xfId="188" applyFont="1" applyFill="1" applyBorder="1" applyAlignment="1">
      <alignment vertical="center"/>
    </xf>
    <xf numFmtId="0" fontId="8" fillId="7" borderId="259" xfId="188" applyFont="1" applyFill="1" applyBorder="1" applyAlignment="1">
      <alignment vertical="center"/>
    </xf>
    <xf numFmtId="0" fontId="15" fillId="0" borderId="248" xfId="40" applyFont="1" applyBorder="1" applyAlignment="1" applyProtection="1">
      <alignment horizontal="center" vertical="center"/>
      <protection locked="0"/>
    </xf>
    <xf numFmtId="0" fontId="24" fillId="0" borderId="250" xfId="40" applyFont="1" applyBorder="1" applyAlignment="1" applyProtection="1">
      <alignment horizontal="center" vertical="center"/>
      <protection locked="0"/>
    </xf>
    <xf numFmtId="0" fontId="24" fillId="0" borderId="252" xfId="40" applyFont="1" applyBorder="1" applyAlignment="1" applyProtection="1">
      <alignment horizontal="center" vertical="center"/>
      <protection locked="0"/>
    </xf>
    <xf numFmtId="0" fontId="24" fillId="0" borderId="256" xfId="40" applyFont="1" applyBorder="1" applyAlignment="1" applyProtection="1">
      <alignment horizontal="center" vertical="center"/>
      <protection locked="0"/>
    </xf>
    <xf numFmtId="0" fontId="31" fillId="7" borderId="0" xfId="189" applyFont="1" applyFill="1" applyAlignment="1">
      <alignment vertical="center"/>
    </xf>
    <xf numFmtId="0" fontId="31" fillId="7" borderId="242" xfId="189" applyFont="1" applyFill="1" applyBorder="1" applyAlignment="1">
      <alignment horizontal="center" vertical="center"/>
    </xf>
    <xf numFmtId="0" fontId="24" fillId="7" borderId="0" xfId="40" applyFont="1" applyFill="1" applyAlignment="1">
      <alignment horizontal="center" vertical="center"/>
    </xf>
    <xf numFmtId="0" fontId="31" fillId="7" borderId="0" xfId="190" applyFont="1" applyFill="1" applyAlignment="1">
      <alignment vertical="center"/>
    </xf>
    <xf numFmtId="0" fontId="31" fillId="7" borderId="243" xfId="190" applyFont="1" applyFill="1" applyBorder="1" applyAlignment="1">
      <alignment vertical="center"/>
    </xf>
    <xf numFmtId="0" fontId="0" fillId="7" borderId="0" xfId="188" applyFont="1" applyFill="1" applyAlignment="1">
      <alignment vertical="center"/>
    </xf>
    <xf numFmtId="0" fontId="0" fillId="7" borderId="0" xfId="188" applyFont="1" applyFill="1" applyAlignment="1">
      <alignment vertical="top"/>
    </xf>
    <xf numFmtId="0" fontId="0" fillId="7" borderId="0" xfId="188" quotePrefix="1" applyFont="1" applyFill="1" applyAlignment="1">
      <alignment horizontal="right" vertical="center"/>
    </xf>
    <xf numFmtId="0" fontId="12" fillId="7" borderId="0" xfId="188" applyFont="1" applyFill="1" applyAlignment="1">
      <alignment vertical="center" wrapText="1"/>
    </xf>
    <xf numFmtId="0" fontId="0" fillId="7" borderId="0" xfId="190" applyFont="1" applyFill="1" applyAlignment="1">
      <alignment horizontal="justify" vertical="center"/>
    </xf>
    <xf numFmtId="0" fontId="11" fillId="7" borderId="0" xfId="188" applyFont="1" applyFill="1" applyAlignment="1">
      <alignment vertical="center"/>
    </xf>
    <xf numFmtId="0" fontId="35" fillId="7" borderId="242" xfId="188" applyFont="1" applyFill="1" applyBorder="1" applyAlignment="1">
      <alignment vertical="center"/>
    </xf>
    <xf numFmtId="0" fontId="35" fillId="7" borderId="0" xfId="188" applyFont="1" applyFill="1" applyAlignment="1">
      <alignment vertical="center"/>
    </xf>
    <xf numFmtId="0" fontId="11" fillId="7" borderId="243" xfId="188" applyFont="1" applyFill="1" applyBorder="1" applyAlignment="1">
      <alignment vertical="center"/>
    </xf>
    <xf numFmtId="0" fontId="69" fillId="7" borderId="0" xfId="68" applyFont="1" applyFill="1" applyAlignment="1">
      <alignment vertical="center" wrapText="1"/>
    </xf>
    <xf numFmtId="0" fontId="69" fillId="7" borderId="0" xfId="68" applyFont="1" applyFill="1" applyAlignment="1">
      <alignment vertical="center"/>
    </xf>
    <xf numFmtId="0" fontId="72" fillId="7" borderId="0" xfId="68" applyFont="1" applyFill="1" applyAlignment="1">
      <alignment wrapText="1"/>
    </xf>
    <xf numFmtId="0" fontId="72" fillId="7" borderId="0" xfId="68" applyFont="1" applyFill="1"/>
    <xf numFmtId="0" fontId="0" fillId="7" borderId="0" xfId="188" applyFont="1" applyFill="1" applyAlignment="1">
      <alignment vertical="center" wrapText="1"/>
    </xf>
    <xf numFmtId="0" fontId="24" fillId="7" borderId="0" xfId="40" applyFont="1" applyFill="1" applyAlignment="1">
      <alignment vertical="top"/>
    </xf>
    <xf numFmtId="0" fontId="12" fillId="7" borderId="0" xfId="188" applyFont="1" applyFill="1" applyAlignment="1">
      <alignment horizontal="center" vertical="center"/>
    </xf>
    <xf numFmtId="0" fontId="24" fillId="0" borderId="0" xfId="40" applyFont="1" applyAlignment="1" applyProtection="1">
      <alignment horizontal="center" vertical="center"/>
      <protection locked="0"/>
    </xf>
    <xf numFmtId="0" fontId="24" fillId="7" borderId="0" xfId="40" applyFont="1" applyFill="1" applyAlignment="1">
      <alignment horizontal="center" vertical="top"/>
    </xf>
    <xf numFmtId="0" fontId="69" fillId="7" borderId="0" xfId="68" applyFont="1" applyFill="1" applyAlignment="1">
      <alignment horizontal="center" vertical="center" wrapText="1"/>
    </xf>
    <xf numFmtId="0" fontId="8" fillId="7" borderId="0" xfId="188" applyFont="1" applyFill="1"/>
    <xf numFmtId="0" fontId="18" fillId="7" borderId="0" xfId="40" quotePrefix="1" applyFont="1" applyFill="1" applyAlignment="1">
      <alignment horizontal="right" vertical="top" wrapText="1"/>
    </xf>
    <xf numFmtId="0" fontId="20" fillId="7" borderId="0" xfId="188" applyFont="1" applyFill="1" applyAlignment="1">
      <alignment vertical="top" wrapText="1"/>
    </xf>
    <xf numFmtId="0" fontId="18" fillId="7" borderId="0" xfId="188" applyFont="1" applyFill="1" applyAlignment="1">
      <alignment horizontal="justify" vertical="top" wrapText="1"/>
    </xf>
    <xf numFmtId="0" fontId="16" fillId="7" borderId="0" xfId="189" applyFont="1" applyFill="1" applyAlignment="1">
      <alignment vertical="center"/>
    </xf>
    <xf numFmtId="0" fontId="84" fillId="7" borderId="0" xfId="40" applyFont="1" applyFill="1" applyAlignment="1">
      <alignment horizontal="left" vertical="center"/>
    </xf>
    <xf numFmtId="0" fontId="0" fillId="7" borderId="0" xfId="188" applyFont="1" applyFill="1" applyAlignment="1" applyProtection="1">
      <alignment horizontal="justify" vertical="top" wrapText="1"/>
      <protection locked="0"/>
    </xf>
    <xf numFmtId="0" fontId="66" fillId="7" borderId="0" xfId="188" applyFont="1" applyFill="1" applyAlignment="1">
      <alignment vertical="center"/>
    </xf>
    <xf numFmtId="0" fontId="66" fillId="7" borderId="0" xfId="188" applyFont="1" applyFill="1" applyAlignment="1">
      <alignment vertical="top"/>
    </xf>
    <xf numFmtId="0" fontId="12" fillId="7" borderId="242" xfId="188" quotePrefix="1" applyFont="1" applyFill="1" applyBorder="1" applyAlignment="1">
      <alignment horizontal="right" vertical="top"/>
    </xf>
    <xf numFmtId="0" fontId="12" fillId="7" borderId="0" xfId="188" applyFont="1" applyFill="1" applyAlignment="1">
      <alignment vertical="top" wrapText="1"/>
    </xf>
    <xf numFmtId="0" fontId="12" fillId="7" borderId="243" xfId="188" applyFont="1" applyFill="1" applyBorder="1" applyAlignment="1">
      <alignment vertical="top" wrapText="1"/>
    </xf>
    <xf numFmtId="0" fontId="16" fillId="7" borderId="242" xfId="189" applyFont="1" applyFill="1" applyBorder="1" applyAlignment="1">
      <alignment vertical="center"/>
    </xf>
    <xf numFmtId="0" fontId="12" fillId="7" borderId="0" xfId="189" applyFont="1" applyFill="1" applyAlignment="1">
      <alignment vertical="center"/>
    </xf>
    <xf numFmtId="0" fontId="13" fillId="7" borderId="0" xfId="189" applyFont="1" applyFill="1" applyAlignment="1">
      <alignment vertical="center" wrapText="1"/>
    </xf>
    <xf numFmtId="0" fontId="13" fillId="7" borderId="0" xfId="189" applyFont="1" applyFill="1" applyAlignment="1">
      <alignment vertical="center"/>
    </xf>
    <xf numFmtId="0" fontId="16" fillId="7" borderId="243" xfId="189" applyFont="1" applyFill="1" applyBorder="1" applyAlignment="1">
      <alignment vertical="center"/>
    </xf>
    <xf numFmtId="0" fontId="15" fillId="7" borderId="0" xfId="40" applyFont="1" applyFill="1" applyAlignment="1">
      <alignment horizontal="center" vertical="center"/>
    </xf>
    <xf numFmtId="0" fontId="0" fillId="7" borderId="0" xfId="189" applyFont="1" applyFill="1" applyAlignment="1">
      <alignment vertical="center"/>
    </xf>
    <xf numFmtId="0" fontId="16" fillId="7" borderId="0" xfId="189" applyFont="1" applyFill="1" applyAlignment="1">
      <alignment vertical="center" wrapText="1"/>
    </xf>
    <xf numFmtId="0" fontId="31" fillId="7" borderId="243" xfId="189" applyFont="1" applyFill="1" applyBorder="1" applyAlignment="1">
      <alignment vertical="center"/>
    </xf>
    <xf numFmtId="0" fontId="31" fillId="7" borderId="243" xfId="40" applyFont="1" applyFill="1" applyBorder="1" applyAlignment="1">
      <alignment vertical="center"/>
    </xf>
    <xf numFmtId="0" fontId="87" fillId="7" borderId="0" xfId="189" applyFont="1" applyFill="1" applyAlignment="1">
      <alignment vertical="center"/>
    </xf>
    <xf numFmtId="0" fontId="16" fillId="7" borderId="0" xfId="189" applyFont="1" applyFill="1" applyAlignment="1">
      <alignment horizontal="center" vertical="center"/>
    </xf>
    <xf numFmtId="0" fontId="15" fillId="7" borderId="0" xfId="40" applyFont="1" applyFill="1" applyAlignment="1">
      <alignment vertical="top"/>
    </xf>
    <xf numFmtId="0" fontId="31" fillId="7" borderId="0" xfId="190" applyFont="1" applyFill="1" applyAlignment="1" applyProtection="1">
      <alignment vertical="center"/>
      <protection locked="0"/>
    </xf>
    <xf numFmtId="0" fontId="15" fillId="0" borderId="0" xfId="40" applyFont="1" applyAlignment="1" applyProtection="1">
      <alignment horizontal="center" vertical="center"/>
      <protection locked="0"/>
    </xf>
    <xf numFmtId="0" fontId="69" fillId="7" borderId="239" xfId="68" applyFont="1" applyFill="1" applyBorder="1" applyAlignment="1">
      <alignment vertical="center" wrapText="1"/>
    </xf>
    <xf numFmtId="0" fontId="16" fillId="7" borderId="0" xfId="189" applyFont="1" applyFill="1" applyAlignment="1">
      <alignment vertical="top"/>
    </xf>
    <xf numFmtId="0" fontId="16" fillId="7" borderId="242" xfId="189" applyFont="1" applyFill="1" applyBorder="1" applyAlignment="1">
      <alignment vertical="top"/>
    </xf>
    <xf numFmtId="0" fontId="16" fillId="7" borderId="0" xfId="189" quotePrefix="1" applyFont="1" applyFill="1" applyAlignment="1">
      <alignment horizontal="right" vertical="top"/>
    </xf>
    <xf numFmtId="0" fontId="16" fillId="7" borderId="0" xfId="189" applyFont="1" applyFill="1" applyAlignment="1">
      <alignment vertical="top" wrapText="1"/>
    </xf>
    <xf numFmtId="0" fontId="16" fillId="7" borderId="243" xfId="189" applyFont="1" applyFill="1" applyBorder="1" applyAlignment="1">
      <alignment vertical="top" wrapText="1"/>
    </xf>
    <xf numFmtId="0" fontId="16" fillId="7" borderId="0" xfId="189" applyFont="1" applyFill="1" applyAlignment="1">
      <alignment horizontal="right" vertical="center"/>
    </xf>
    <xf numFmtId="0" fontId="13" fillId="7" borderId="0" xfId="40" applyFont="1" applyFill="1" applyAlignment="1">
      <alignment horizontal="center" vertical="center"/>
    </xf>
    <xf numFmtId="0" fontId="16" fillId="7" borderId="0" xfId="189" applyFont="1" applyFill="1" applyAlignment="1">
      <alignment horizontal="center" vertical="center" wrapText="1"/>
    </xf>
    <xf numFmtId="0" fontId="13" fillId="7" borderId="0" xfId="189" applyFont="1" applyFill="1" applyAlignment="1">
      <alignment horizontal="center" vertical="center"/>
    </xf>
    <xf numFmtId="0" fontId="16" fillId="7" borderId="243" xfId="189" applyFont="1" applyFill="1" applyBorder="1" applyAlignment="1">
      <alignment horizontal="center" vertical="center" wrapText="1"/>
    </xf>
    <xf numFmtId="0" fontId="0" fillId="7" borderId="0" xfId="190" applyFont="1" applyFill="1" applyAlignment="1">
      <alignment vertical="center" wrapText="1"/>
    </xf>
    <xf numFmtId="0" fontId="17" fillId="7" borderId="0" xfId="193" applyFont="1" applyFill="1" applyAlignment="1">
      <alignment horizontal="justify" vertical="top" wrapText="1"/>
    </xf>
    <xf numFmtId="0" fontId="0" fillId="7" borderId="0" xfId="190" applyFont="1" applyFill="1" applyAlignment="1">
      <alignment vertical="center"/>
    </xf>
    <xf numFmtId="0" fontId="0" fillId="7" borderId="0" xfId="188" applyFont="1" applyFill="1" applyAlignment="1">
      <alignment horizontal="center" vertical="center" wrapText="1"/>
    </xf>
    <xf numFmtId="0" fontId="12" fillId="7" borderId="0" xfId="188" applyFont="1" applyFill="1"/>
    <xf numFmtId="0" fontId="0" fillId="7" borderId="0" xfId="188" applyFont="1" applyFill="1" applyAlignment="1">
      <alignment wrapText="1"/>
    </xf>
    <xf numFmtId="0" fontId="31" fillId="7" borderId="242" xfId="20" applyFill="1" applyBorder="1"/>
    <xf numFmtId="0" fontId="31" fillId="7" borderId="250" xfId="20" quotePrefix="1" applyFill="1" applyBorder="1" applyAlignment="1">
      <alignment horizontal="right" vertical="top" wrapText="1"/>
    </xf>
    <xf numFmtId="0" fontId="31" fillId="7" borderId="252" xfId="20" quotePrefix="1" applyFill="1" applyBorder="1" applyAlignment="1">
      <alignment horizontal="right" vertical="top" wrapText="1"/>
    </xf>
    <xf numFmtId="0" fontId="72" fillId="7" borderId="287" xfId="68" applyFont="1" applyFill="1" applyBorder="1" applyAlignment="1">
      <alignment vertical="center" wrapText="1"/>
    </xf>
    <xf numFmtId="0" fontId="72" fillId="7" borderId="251" xfId="68" applyFont="1" applyFill="1" applyBorder="1" applyAlignment="1">
      <alignment vertical="center" wrapText="1"/>
    </xf>
    <xf numFmtId="0" fontId="72" fillId="7" borderId="243" xfId="68" applyFont="1" applyFill="1" applyBorder="1" applyAlignment="1">
      <alignment vertical="center" wrapText="1"/>
    </xf>
    <xf numFmtId="0" fontId="72" fillId="7" borderId="259" xfId="68" applyFont="1" applyFill="1" applyBorder="1" applyAlignment="1">
      <alignment vertical="center" wrapText="1"/>
    </xf>
    <xf numFmtId="0" fontId="31" fillId="7" borderId="242" xfId="189" applyFont="1" applyFill="1" applyBorder="1" applyAlignment="1">
      <alignment vertical="center"/>
    </xf>
    <xf numFmtId="0" fontId="0" fillId="7" borderId="0" xfId="188" quotePrefix="1" applyFont="1" applyFill="1" applyAlignment="1">
      <alignment horizontal="right"/>
    </xf>
    <xf numFmtId="0" fontId="31" fillId="7" borderId="257" xfId="189" applyFont="1" applyFill="1" applyBorder="1" applyAlignment="1">
      <alignment horizontal="center" vertical="center"/>
    </xf>
    <xf numFmtId="0" fontId="0" fillId="7" borderId="257" xfId="188" quotePrefix="1" applyFont="1" applyFill="1" applyBorder="1" applyAlignment="1">
      <alignment horizontal="right" vertical="top"/>
    </xf>
    <xf numFmtId="0" fontId="0" fillId="7" borderId="257" xfId="188" applyFont="1" applyFill="1" applyBorder="1" applyAlignment="1">
      <alignment vertical="top" wrapText="1"/>
    </xf>
    <xf numFmtId="0" fontId="31" fillId="7" borderId="257" xfId="189" applyFont="1" applyFill="1" applyBorder="1" applyAlignment="1">
      <alignment vertical="center"/>
    </xf>
    <xf numFmtId="0" fontId="31" fillId="7" borderId="289" xfId="20" quotePrefix="1" applyFill="1" applyBorder="1" applyAlignment="1">
      <alignment horizontal="right" vertical="top" wrapText="1"/>
    </xf>
    <xf numFmtId="0" fontId="31" fillId="7" borderId="252" xfId="20" quotePrefix="1" applyFill="1" applyBorder="1" applyAlignment="1">
      <alignment horizontal="right" vertical="center" wrapText="1"/>
    </xf>
    <xf numFmtId="0" fontId="31" fillId="7" borderId="253" xfId="20" quotePrefix="1" applyFill="1" applyBorder="1" applyAlignment="1">
      <alignment horizontal="right" vertical="top" wrapText="1"/>
    </xf>
    <xf numFmtId="0" fontId="31" fillId="7" borderId="0" xfId="20" quotePrefix="1" applyFill="1" applyAlignment="1">
      <alignment horizontal="right" vertical="center" wrapText="1"/>
    </xf>
    <xf numFmtId="0" fontId="31" fillId="7" borderId="0" xfId="20" quotePrefix="1" applyFill="1" applyAlignment="1">
      <alignment horizontal="right" vertical="top" wrapText="1"/>
    </xf>
    <xf numFmtId="0" fontId="31" fillId="7" borderId="0" xfId="20" quotePrefix="1" applyFill="1" applyAlignment="1">
      <alignment vertical="top" wrapText="1"/>
    </xf>
    <xf numFmtId="0" fontId="31" fillId="7" borderId="0" xfId="20" applyFill="1" applyAlignment="1">
      <alignment horizontal="center" vertical="center"/>
    </xf>
    <xf numFmtId="0" fontId="31" fillId="7" borderId="243" xfId="20" applyFill="1" applyBorder="1"/>
    <xf numFmtId="0" fontId="17" fillId="7" borderId="0" xfId="188" quotePrefix="1" applyFont="1" applyFill="1" applyAlignment="1">
      <alignment horizontal="right" vertical="top"/>
    </xf>
    <xf numFmtId="0" fontId="24" fillId="0" borderId="285" xfId="40" applyFont="1" applyBorder="1" applyAlignment="1" applyProtection="1">
      <alignment horizontal="center" vertical="center"/>
      <protection locked="0"/>
    </xf>
    <xf numFmtId="0" fontId="24" fillId="0" borderId="242" xfId="40" applyFont="1" applyBorder="1" applyAlignment="1" applyProtection="1">
      <alignment horizontal="center" vertical="center"/>
      <protection locked="0"/>
    </xf>
    <xf numFmtId="0" fontId="24" fillId="0" borderId="256" xfId="40" applyFont="1" applyBorder="1" applyAlignment="1">
      <alignment horizontal="center" vertical="center"/>
    </xf>
    <xf numFmtId="0" fontId="13" fillId="7" borderId="0" xfId="191" applyFont="1" applyFill="1" applyAlignment="1">
      <alignment vertical="center"/>
    </xf>
    <xf numFmtId="0" fontId="12" fillId="7" borderId="239" xfId="191" quotePrefix="1" applyFont="1" applyFill="1" applyBorder="1" applyAlignment="1">
      <alignment horizontal="right" vertical="center"/>
    </xf>
    <xf numFmtId="0" fontId="8" fillId="7" borderId="240" xfId="191" applyFont="1" applyFill="1" applyBorder="1" applyAlignment="1">
      <alignment vertical="center"/>
    </xf>
    <xf numFmtId="0" fontId="12" fillId="7" borderId="240" xfId="191" applyFont="1" applyFill="1" applyBorder="1" applyAlignment="1">
      <alignment vertical="center" wrapText="1"/>
    </xf>
    <xf numFmtId="0" fontId="8" fillId="7" borderId="241" xfId="191" applyFont="1" applyFill="1" applyBorder="1" applyAlignment="1">
      <alignment vertical="center"/>
    </xf>
    <xf numFmtId="0" fontId="8" fillId="7" borderId="242" xfId="191" applyFont="1" applyFill="1" applyBorder="1" applyAlignment="1">
      <alignment vertical="center"/>
    </xf>
    <xf numFmtId="0" fontId="0" fillId="7" borderId="0" xfId="191" quotePrefix="1" applyFont="1" applyFill="1" applyAlignment="1">
      <alignment horizontal="right" vertical="top"/>
    </xf>
    <xf numFmtId="0" fontId="0" fillId="7" borderId="0" xfId="191" applyFont="1" applyFill="1"/>
    <xf numFmtId="0" fontId="0" fillId="7" borderId="0" xfId="191" applyFont="1" applyFill="1" applyAlignment="1">
      <alignment vertical="top" wrapText="1"/>
    </xf>
    <xf numFmtId="0" fontId="0" fillId="7" borderId="0" xfId="191" applyFont="1" applyFill="1" applyAlignment="1">
      <alignment vertical="center" wrapText="1"/>
    </xf>
    <xf numFmtId="0" fontId="0" fillId="7" borderId="243" xfId="191" applyFont="1" applyFill="1" applyBorder="1" applyAlignment="1">
      <alignment vertical="center" wrapText="1"/>
    </xf>
    <xf numFmtId="0" fontId="12" fillId="7" borderId="0" xfId="191" applyFont="1" applyFill="1" applyAlignment="1">
      <alignment vertical="center" wrapText="1"/>
    </xf>
    <xf numFmtId="0" fontId="0" fillId="7" borderId="243" xfId="191" applyFont="1" applyFill="1" applyBorder="1" applyAlignment="1">
      <alignment vertical="top" wrapText="1"/>
    </xf>
    <xf numFmtId="0" fontId="12" fillId="7" borderId="242" xfId="191" quotePrefix="1" applyFont="1" applyFill="1" applyBorder="1" applyAlignment="1">
      <alignment horizontal="right" vertical="center"/>
    </xf>
    <xf numFmtId="0" fontId="0" fillId="7" borderId="0" xfId="192" applyFont="1" applyFill="1" applyAlignment="1">
      <alignment vertical="center" wrapText="1"/>
    </xf>
    <xf numFmtId="0" fontId="0" fillId="7" borderId="243" xfId="192" applyFont="1" applyFill="1" applyBorder="1" applyAlignment="1">
      <alignment vertical="center" wrapText="1"/>
    </xf>
    <xf numFmtId="0" fontId="31" fillId="7" borderId="304" xfId="20" quotePrefix="1" applyFill="1" applyBorder="1" applyAlignment="1">
      <alignment horizontal="right" vertical="top" wrapText="1"/>
    </xf>
    <xf numFmtId="0" fontId="12" fillId="7" borderId="242" xfId="191" applyFont="1" applyFill="1" applyBorder="1" applyAlignment="1">
      <alignment vertical="center"/>
    </xf>
    <xf numFmtId="0" fontId="31" fillId="7" borderId="242" xfId="20" quotePrefix="1" applyFill="1" applyBorder="1" applyAlignment="1">
      <alignment vertical="top" wrapText="1"/>
    </xf>
    <xf numFmtId="0" fontId="0" fillId="7" borderId="0" xfId="191" quotePrefix="1" applyFont="1" applyFill="1" applyAlignment="1">
      <alignment vertical="top"/>
    </xf>
    <xf numFmtId="0" fontId="31" fillId="7" borderId="7" xfId="20" quotePrefix="1" applyFill="1" applyBorder="1" applyAlignment="1">
      <alignment horizontal="right" vertical="top" wrapText="1"/>
    </xf>
    <xf numFmtId="0" fontId="31" fillId="7" borderId="242" xfId="20" quotePrefix="1" applyFill="1" applyBorder="1" applyAlignment="1">
      <alignment horizontal="right" vertical="top" wrapText="1"/>
    </xf>
    <xf numFmtId="0" fontId="31" fillId="7" borderId="256" xfId="20" quotePrefix="1" applyFill="1" applyBorder="1" applyAlignment="1">
      <alignment horizontal="right" vertical="top" wrapText="1"/>
    </xf>
    <xf numFmtId="0" fontId="31" fillId="7" borderId="257" xfId="20" quotePrefix="1" applyFill="1" applyBorder="1" applyAlignment="1">
      <alignment vertical="top" wrapText="1"/>
    </xf>
    <xf numFmtId="0" fontId="8" fillId="7" borderId="243" xfId="191" applyFont="1" applyFill="1" applyBorder="1" applyAlignment="1">
      <alignment vertical="center"/>
    </xf>
    <xf numFmtId="0" fontId="12" fillId="7" borderId="256" xfId="191" applyFont="1" applyFill="1" applyBorder="1" applyAlignment="1">
      <alignment horizontal="center" vertical="center"/>
    </xf>
    <xf numFmtId="0" fontId="31" fillId="7" borderId="257" xfId="20" applyFill="1" applyBorder="1"/>
    <xf numFmtId="0" fontId="31" fillId="7" borderId="257" xfId="20" quotePrefix="1" applyFill="1" applyBorder="1" applyAlignment="1">
      <alignment horizontal="right" vertical="top" wrapText="1"/>
    </xf>
    <xf numFmtId="0" fontId="31" fillId="7" borderId="257" xfId="20" applyFill="1" applyBorder="1" applyAlignment="1">
      <alignment vertical="center"/>
    </xf>
    <xf numFmtId="0" fontId="8" fillId="7" borderId="257" xfId="191" applyFont="1" applyFill="1" applyBorder="1" applyAlignment="1">
      <alignment vertical="center"/>
    </xf>
    <xf numFmtId="0" fontId="8" fillId="7" borderId="259" xfId="191" applyFont="1" applyFill="1" applyBorder="1" applyAlignment="1">
      <alignment vertical="center"/>
    </xf>
    <xf numFmtId="0" fontId="12" fillId="7" borderId="0" xfId="191" applyFont="1" applyFill="1" applyAlignment="1">
      <alignment horizontal="center" vertical="center"/>
    </xf>
    <xf numFmtId="0" fontId="31" fillId="7" borderId="0" xfId="191" applyFont="1" applyFill="1" applyAlignment="1">
      <alignment vertical="center" wrapText="1"/>
    </xf>
    <xf numFmtId="0" fontId="18" fillId="7" borderId="0" xfId="111" quotePrefix="1" applyFont="1" applyFill="1"/>
    <xf numFmtId="169" fontId="31" fillId="0" borderId="0" xfId="4" applyNumberFormat="1" applyFont="1" applyFill="1" applyBorder="1" applyAlignment="1"/>
    <xf numFmtId="0" fontId="31" fillId="7" borderId="0" xfId="185" applyFont="1" applyFill="1" applyAlignment="1">
      <alignment vertical="center"/>
    </xf>
    <xf numFmtId="0" fontId="12" fillId="7" borderId="0" xfId="185" applyFont="1" applyFill="1" applyAlignment="1">
      <alignment horizontal="center" vertical="center"/>
    </xf>
    <xf numFmtId="0" fontId="31" fillId="7" borderId="0" xfId="185" applyFont="1" applyFill="1" applyAlignment="1">
      <alignment vertical="center" wrapText="1"/>
    </xf>
    <xf numFmtId="0" fontId="8" fillId="7" borderId="0" xfId="186" applyFont="1" applyFill="1" applyAlignment="1">
      <alignment vertical="center"/>
    </xf>
    <xf numFmtId="0" fontId="13" fillId="7" borderId="0" xfId="186" applyFont="1" applyFill="1" applyAlignment="1">
      <alignment vertical="center"/>
    </xf>
    <xf numFmtId="0" fontId="14" fillId="7" borderId="0" xfId="186" applyFont="1" applyFill="1" applyAlignment="1">
      <alignment vertical="center"/>
    </xf>
    <xf numFmtId="0" fontId="14" fillId="7" borderId="1" xfId="186" applyFont="1" applyFill="1" applyBorder="1" applyAlignment="1">
      <alignment vertical="center"/>
    </xf>
    <xf numFmtId="0" fontId="8" fillId="7" borderId="2" xfId="186" applyFont="1" applyFill="1" applyBorder="1" applyAlignment="1">
      <alignment vertical="center"/>
    </xf>
    <xf numFmtId="0" fontId="8" fillId="7" borderId="10" xfId="186" applyFont="1" applyFill="1" applyBorder="1" applyAlignment="1">
      <alignment vertical="center"/>
    </xf>
    <xf numFmtId="0" fontId="8" fillId="7" borderId="3" xfId="186" applyFont="1" applyFill="1" applyBorder="1" applyAlignment="1">
      <alignment vertical="center"/>
    </xf>
    <xf numFmtId="0" fontId="31" fillId="7" borderId="3" xfId="20" applyFill="1" applyBorder="1" applyAlignment="1">
      <alignment vertical="center"/>
    </xf>
    <xf numFmtId="0" fontId="31" fillId="7" borderId="0" xfId="20" applyFill="1" applyAlignment="1">
      <alignment horizontal="right" vertical="center"/>
    </xf>
    <xf numFmtId="0" fontId="12" fillId="7" borderId="11" xfId="20" applyFont="1" applyFill="1" applyBorder="1" applyAlignment="1">
      <alignment vertical="center"/>
    </xf>
    <xf numFmtId="0" fontId="31" fillId="7" borderId="13" xfId="20" applyFill="1" applyBorder="1" applyAlignment="1">
      <alignment vertical="center"/>
    </xf>
    <xf numFmtId="0" fontId="31" fillId="7" borderId="14" xfId="20" applyFill="1" applyBorder="1" applyAlignment="1">
      <alignment vertical="center"/>
    </xf>
    <xf numFmtId="0" fontId="31" fillId="7" borderId="18" xfId="20" applyFill="1" applyBorder="1" applyAlignment="1">
      <alignment vertical="center"/>
    </xf>
    <xf numFmtId="0" fontId="67" fillId="7" borderId="13" xfId="20" applyFont="1" applyFill="1" applyBorder="1" applyAlignment="1">
      <alignment vertical="center"/>
    </xf>
    <xf numFmtId="0" fontId="67" fillId="7" borderId="14" xfId="20" applyFont="1" applyFill="1" applyBorder="1" applyAlignment="1">
      <alignment vertical="center"/>
    </xf>
    <xf numFmtId="0" fontId="67" fillId="7" borderId="32" xfId="20" applyFont="1" applyFill="1" applyBorder="1" applyAlignment="1">
      <alignment vertical="center"/>
    </xf>
    <xf numFmtId="0" fontId="67" fillId="7" borderId="18" xfId="20" applyFont="1" applyFill="1" applyBorder="1" applyAlignment="1">
      <alignment vertical="center"/>
    </xf>
    <xf numFmtId="0" fontId="67" fillId="7" borderId="0" xfId="20" applyFont="1" applyFill="1" applyAlignment="1">
      <alignment vertical="center"/>
    </xf>
    <xf numFmtId="0" fontId="15" fillId="7" borderId="0" xfId="20" applyFont="1" applyFill="1" applyAlignment="1">
      <alignment vertical="center"/>
    </xf>
    <xf numFmtId="0" fontId="67" fillId="7" borderId="11" xfId="20" applyFont="1" applyFill="1" applyBorder="1" applyAlignment="1">
      <alignment vertical="center"/>
    </xf>
    <xf numFmtId="0" fontId="67" fillId="7" borderId="3" xfId="20" applyFont="1" applyFill="1" applyBorder="1" applyAlignment="1">
      <alignment vertical="center"/>
    </xf>
    <xf numFmtId="0" fontId="31" fillId="7" borderId="15" xfId="20" applyFill="1" applyBorder="1" applyAlignment="1">
      <alignment vertical="center"/>
    </xf>
    <xf numFmtId="0" fontId="31" fillId="7" borderId="16" xfId="20" applyFill="1" applyBorder="1" applyAlignment="1">
      <alignment vertical="center"/>
    </xf>
    <xf numFmtId="0" fontId="31" fillId="7" borderId="19" xfId="20" applyFill="1" applyBorder="1" applyAlignment="1">
      <alignment vertical="center"/>
    </xf>
    <xf numFmtId="0" fontId="67" fillId="7" borderId="15" xfId="20" applyFont="1" applyFill="1" applyBorder="1" applyAlignment="1">
      <alignment vertical="center"/>
    </xf>
    <xf numFmtId="0" fontId="67" fillId="7" borderId="16" xfId="20" applyFont="1" applyFill="1" applyBorder="1" applyAlignment="1">
      <alignment vertical="center"/>
    </xf>
    <xf numFmtId="0" fontId="67" fillId="7" borderId="33" xfId="20" applyFont="1" applyFill="1" applyBorder="1" applyAlignment="1">
      <alignment vertical="center"/>
    </xf>
    <xf numFmtId="0" fontId="67" fillId="7" borderId="19" xfId="20" applyFont="1" applyFill="1" applyBorder="1" applyAlignment="1">
      <alignment vertical="center"/>
    </xf>
    <xf numFmtId="0" fontId="31" fillId="7" borderId="4" xfId="20" applyFill="1" applyBorder="1" applyAlignment="1">
      <alignment vertical="center"/>
    </xf>
    <xf numFmtId="0" fontId="31" fillId="7" borderId="23" xfId="20" applyFill="1" applyBorder="1" applyAlignment="1">
      <alignment vertical="center"/>
    </xf>
    <xf numFmtId="0" fontId="31" fillId="7" borderId="31" xfId="20" applyFill="1" applyBorder="1" applyAlignment="1">
      <alignment vertical="center"/>
    </xf>
    <xf numFmtId="0" fontId="67" fillId="7" borderId="22" xfId="20" applyFont="1" applyFill="1" applyBorder="1" applyAlignment="1">
      <alignment vertical="center"/>
    </xf>
    <xf numFmtId="0" fontId="67" fillId="7" borderId="23" xfId="20" applyFont="1" applyFill="1" applyBorder="1" applyAlignment="1">
      <alignment vertical="center"/>
    </xf>
    <xf numFmtId="0" fontId="67" fillId="7" borderId="30" xfId="20" applyFont="1" applyFill="1" applyBorder="1" applyAlignment="1">
      <alignment vertical="center"/>
    </xf>
    <xf numFmtId="0" fontId="67" fillId="7" borderId="31" xfId="20" applyFont="1" applyFill="1" applyBorder="1" applyAlignment="1">
      <alignment vertical="center"/>
    </xf>
    <xf numFmtId="0" fontId="12" fillId="7" borderId="3" xfId="185" applyFont="1" applyFill="1" applyBorder="1" applyAlignment="1">
      <alignment horizontal="center" vertical="center"/>
    </xf>
    <xf numFmtId="0" fontId="12" fillId="7" borderId="0" xfId="185" applyFont="1" applyFill="1" applyAlignment="1">
      <alignment horizontal="right" vertical="center"/>
    </xf>
    <xf numFmtId="0" fontId="31" fillId="7" borderId="11" xfId="185" applyFont="1" applyFill="1" applyBorder="1" applyAlignment="1">
      <alignment vertical="center"/>
    </xf>
    <xf numFmtId="0" fontId="31" fillId="7" borderId="3" xfId="185" applyFont="1" applyFill="1" applyBorder="1" applyAlignment="1">
      <alignment vertical="center"/>
    </xf>
    <xf numFmtId="0" fontId="12" fillId="7" borderId="3" xfId="20" applyFont="1" applyFill="1" applyBorder="1" applyAlignment="1">
      <alignment vertical="center"/>
    </xf>
    <xf numFmtId="0" fontId="31" fillId="7" borderId="3" xfId="185" applyFont="1" applyFill="1" applyBorder="1" applyAlignment="1">
      <alignment horizontal="center" vertical="center"/>
    </xf>
    <xf numFmtId="0" fontId="31" fillId="7" borderId="0" xfId="185" quotePrefix="1" applyFont="1" applyFill="1" applyAlignment="1">
      <alignment horizontal="right" vertical="center"/>
    </xf>
    <xf numFmtId="0" fontId="31" fillId="7" borderId="0" xfId="187" applyFont="1" applyFill="1" applyAlignment="1">
      <alignment vertical="center"/>
    </xf>
    <xf numFmtId="0" fontId="31" fillId="7" borderId="4" xfId="185" applyFont="1" applyFill="1" applyBorder="1" applyAlignment="1">
      <alignment horizontal="center" vertical="center"/>
    </xf>
    <xf numFmtId="0" fontId="31" fillId="7" borderId="5" xfId="185" quotePrefix="1" applyFont="1" applyFill="1" applyBorder="1" applyAlignment="1">
      <alignment horizontal="right" vertical="center"/>
    </xf>
    <xf numFmtId="0" fontId="24" fillId="7" borderId="5" xfId="40" applyFont="1" applyFill="1" applyBorder="1" applyAlignment="1">
      <alignment horizontal="center" vertical="center"/>
    </xf>
    <xf numFmtId="0" fontId="31" fillId="7" borderId="5" xfId="187" applyFont="1" applyFill="1" applyBorder="1" applyAlignment="1">
      <alignment vertical="center"/>
    </xf>
    <xf numFmtId="0" fontId="31" fillId="7" borderId="12" xfId="185" applyFont="1" applyFill="1" applyBorder="1" applyAlignment="1">
      <alignment vertical="center"/>
    </xf>
    <xf numFmtId="0" fontId="14" fillId="7" borderId="239" xfId="191" applyFont="1" applyFill="1" applyBorder="1" applyAlignment="1">
      <alignment vertical="center"/>
    </xf>
    <xf numFmtId="0" fontId="8" fillId="7" borderId="3" xfId="191" applyFont="1" applyFill="1" applyBorder="1" applyAlignment="1">
      <alignment vertical="center"/>
    </xf>
    <xf numFmtId="0" fontId="31" fillId="7" borderId="242" xfId="193" applyFont="1" applyFill="1" applyBorder="1" applyAlignment="1">
      <alignment horizontal="center" vertical="center"/>
    </xf>
    <xf numFmtId="0" fontId="0" fillId="7" borderId="0" xfId="193" quotePrefix="1" applyFont="1" applyFill="1" applyAlignment="1">
      <alignment horizontal="right" vertical="center"/>
    </xf>
    <xf numFmtId="0" fontId="31" fillId="7" borderId="0" xfId="192" applyFont="1" applyFill="1" applyAlignment="1">
      <alignment vertical="center"/>
    </xf>
    <xf numFmtId="0" fontId="0" fillId="7" borderId="3" xfId="191" applyFont="1" applyFill="1" applyBorder="1" applyAlignment="1">
      <alignment vertical="top" wrapText="1"/>
    </xf>
    <xf numFmtId="0" fontId="12" fillId="7" borderId="0" xfId="191" applyFont="1" applyFill="1" applyAlignment="1">
      <alignment horizontal="justify" vertical="center" wrapText="1"/>
    </xf>
    <xf numFmtId="0" fontId="0" fillId="7" borderId="0" xfId="192" applyFont="1" applyFill="1" applyAlignment="1">
      <alignment vertical="center"/>
    </xf>
    <xf numFmtId="0" fontId="12" fillId="7" borderId="0" xfId="191" applyFont="1" applyFill="1" applyAlignment="1">
      <alignment vertical="center"/>
    </xf>
    <xf numFmtId="0" fontId="31" fillId="7" borderId="3" xfId="193" applyFont="1" applyFill="1" applyBorder="1" applyAlignment="1">
      <alignment vertical="center"/>
    </xf>
    <xf numFmtId="0" fontId="31" fillId="7" borderId="242" xfId="193" applyFont="1" applyFill="1" applyBorder="1" applyAlignment="1">
      <alignment vertical="center"/>
    </xf>
    <xf numFmtId="0" fontId="0" fillId="7" borderId="0" xfId="191" quotePrefix="1" applyFont="1" applyFill="1" applyAlignment="1">
      <alignment horizontal="right"/>
    </xf>
    <xf numFmtId="0" fontId="31" fillId="7" borderId="257" xfId="193" applyFont="1" applyFill="1" applyBorder="1" applyAlignment="1">
      <alignment horizontal="center" vertical="center"/>
    </xf>
    <xf numFmtId="0" fontId="0" fillId="7" borderId="257" xfId="191" quotePrefix="1" applyFont="1" applyFill="1" applyBorder="1" applyAlignment="1">
      <alignment horizontal="right" vertical="top"/>
    </xf>
    <xf numFmtId="0" fontId="0" fillId="7" borderId="257" xfId="191" applyFont="1" applyFill="1" applyBorder="1" applyAlignment="1">
      <alignment vertical="top" wrapText="1"/>
    </xf>
    <xf numFmtId="0" fontId="31" fillId="7" borderId="257" xfId="193" applyFont="1" applyFill="1" applyBorder="1" applyAlignment="1">
      <alignment vertical="center"/>
    </xf>
    <xf numFmtId="0" fontId="31" fillId="7" borderId="242" xfId="0" applyFont="1" applyFill="1" applyBorder="1"/>
    <xf numFmtId="0" fontId="0" fillId="7" borderId="289" xfId="0" quotePrefix="1" applyFill="1" applyBorder="1" applyAlignment="1">
      <alignment horizontal="right" vertical="top" wrapText="1"/>
    </xf>
    <xf numFmtId="0" fontId="0" fillId="7" borderId="250" xfId="0" quotePrefix="1" applyFill="1" applyBorder="1" applyAlignment="1">
      <alignment horizontal="right" vertical="top" wrapText="1"/>
    </xf>
    <xf numFmtId="0" fontId="31" fillId="7" borderId="242" xfId="0" applyFont="1" applyFill="1" applyBorder="1" applyAlignment="1">
      <alignment vertical="center"/>
    </xf>
    <xf numFmtId="0" fontId="0" fillId="7" borderId="250" xfId="0" quotePrefix="1" applyFill="1" applyBorder="1" applyAlignment="1">
      <alignment horizontal="right" vertical="center" wrapText="1"/>
    </xf>
    <xf numFmtId="0" fontId="31" fillId="7" borderId="3" xfId="0" applyFont="1" applyFill="1" applyBorder="1" applyAlignment="1">
      <alignment vertical="center"/>
    </xf>
    <xf numFmtId="0" fontId="0" fillId="7" borderId="252" xfId="0" quotePrefix="1" applyFill="1" applyBorder="1" applyAlignment="1">
      <alignment horizontal="right" vertical="center" wrapText="1"/>
    </xf>
    <xf numFmtId="0" fontId="0" fillId="7" borderId="0" xfId="0" quotePrefix="1" applyFill="1" applyAlignment="1">
      <alignment horizontal="right" vertical="center" wrapText="1"/>
    </xf>
    <xf numFmtId="0" fontId="0" fillId="7" borderId="0" xfId="0" quotePrefix="1" applyFill="1" applyAlignment="1">
      <alignment vertical="center" wrapText="1"/>
    </xf>
    <xf numFmtId="0" fontId="31" fillId="7" borderId="3" xfId="191" applyFont="1" applyFill="1" applyBorder="1" applyAlignment="1">
      <alignment vertical="center"/>
    </xf>
    <xf numFmtId="0" fontId="31" fillId="7" borderId="257" xfId="191" applyFont="1" applyFill="1" applyBorder="1" applyAlignment="1">
      <alignment vertical="center"/>
    </xf>
    <xf numFmtId="0" fontId="31" fillId="7" borderId="257" xfId="191" applyFont="1" applyFill="1" applyBorder="1" applyAlignment="1">
      <alignment vertical="center" wrapText="1"/>
    </xf>
    <xf numFmtId="0" fontId="31" fillId="7" borderId="0" xfId="185" applyFont="1" applyFill="1" applyAlignment="1">
      <alignment horizontal="center" vertical="center"/>
    </xf>
    <xf numFmtId="0" fontId="31" fillId="7" borderId="0" xfId="187" applyFont="1" applyFill="1" applyAlignment="1">
      <alignment vertical="center" wrapText="1"/>
    </xf>
    <xf numFmtId="0" fontId="31" fillId="7" borderId="0" xfId="186" quotePrefix="1" applyFont="1" applyFill="1" applyAlignment="1">
      <alignment horizontal="right" vertical="top"/>
    </xf>
    <xf numFmtId="0" fontId="31" fillId="7" borderId="0" xfId="186" applyFont="1" applyFill="1" applyAlignment="1">
      <alignment vertical="top" wrapText="1"/>
    </xf>
    <xf numFmtId="0" fontId="12" fillId="7" borderId="0" xfId="186" applyFont="1" applyFill="1" applyAlignment="1">
      <alignment horizontal="justify" vertical="center" wrapText="1"/>
    </xf>
    <xf numFmtId="0" fontId="12" fillId="7" borderId="0" xfId="186" applyFont="1" applyFill="1" applyAlignment="1">
      <alignment vertical="center"/>
    </xf>
    <xf numFmtId="0" fontId="12" fillId="7" borderId="0" xfId="68" applyFont="1" applyFill="1" applyAlignment="1">
      <alignment vertical="center" wrapText="1"/>
    </xf>
    <xf numFmtId="0" fontId="12" fillId="7" borderId="0" xfId="68" applyFont="1" applyFill="1" applyAlignment="1">
      <alignment vertical="center"/>
    </xf>
    <xf numFmtId="0" fontId="31" fillId="7" borderId="0" xfId="68" applyFill="1" applyAlignment="1">
      <alignment wrapText="1"/>
    </xf>
    <xf numFmtId="0" fontId="31" fillId="7" borderId="0" xfId="186" quotePrefix="1" applyFont="1" applyFill="1" applyAlignment="1">
      <alignment horizontal="right" vertical="center"/>
    </xf>
    <xf numFmtId="0" fontId="31" fillId="7" borderId="0" xfId="186" applyFont="1" applyFill="1" applyAlignment="1">
      <alignment vertical="center" wrapText="1"/>
    </xf>
    <xf numFmtId="0" fontId="31" fillId="7" borderId="0" xfId="186" applyFont="1" applyFill="1" applyAlignment="1">
      <alignment vertical="center"/>
    </xf>
    <xf numFmtId="0" fontId="31" fillId="7" borderId="0" xfId="186" quotePrefix="1" applyFont="1" applyFill="1" applyAlignment="1">
      <alignment horizontal="right"/>
    </xf>
    <xf numFmtId="0" fontId="31" fillId="7" borderId="0" xfId="186" applyFont="1" applyFill="1" applyAlignment="1">
      <alignment wrapText="1"/>
    </xf>
    <xf numFmtId="0" fontId="15" fillId="0" borderId="14" xfId="20" applyFont="1" applyBorder="1" applyAlignment="1" applyProtection="1">
      <alignment vertical="center"/>
      <protection locked="0"/>
    </xf>
    <xf numFmtId="0" fontId="15" fillId="0" borderId="16" xfId="20" applyFont="1" applyBorder="1" applyAlignment="1" applyProtection="1">
      <alignment vertical="center"/>
      <protection locked="0"/>
    </xf>
    <xf numFmtId="0" fontId="15" fillId="0" borderId="23" xfId="20" applyFont="1" applyBorder="1" applyAlignment="1" applyProtection="1">
      <alignment vertical="center"/>
      <protection locked="0"/>
    </xf>
    <xf numFmtId="0" fontId="72" fillId="7" borderId="0" xfId="68" applyFont="1" applyFill="1" applyAlignment="1">
      <alignment horizontal="center"/>
    </xf>
    <xf numFmtId="0" fontId="31" fillId="7" borderId="16" xfId="20" quotePrefix="1" applyFill="1" applyBorder="1" applyAlignment="1">
      <alignment vertical="top" wrapText="1"/>
    </xf>
    <xf numFmtId="0" fontId="0" fillId="7" borderId="0" xfId="191" applyFont="1" applyFill="1" applyAlignment="1">
      <alignment vertical="top"/>
    </xf>
    <xf numFmtId="0" fontId="73" fillId="7" borderId="0" xfId="68" applyFont="1" applyFill="1" applyAlignment="1">
      <alignment vertical="top"/>
    </xf>
    <xf numFmtId="0" fontId="42" fillId="7" borderId="0" xfId="0" applyFont="1" applyFill="1" applyAlignment="1">
      <alignment vertical="center" textRotation="180" wrapText="1"/>
    </xf>
    <xf numFmtId="0" fontId="19" fillId="7" borderId="0" xfId="69" applyFont="1" applyFill="1" applyAlignment="1">
      <alignment vertical="center" textRotation="180" wrapText="1"/>
    </xf>
    <xf numFmtId="0" fontId="17" fillId="7" borderId="0" xfId="69" applyFont="1" applyFill="1" applyAlignment="1">
      <alignment vertical="center" textRotation="180" wrapText="1"/>
    </xf>
    <xf numFmtId="0" fontId="84" fillId="7" borderId="0" xfId="11" applyFont="1" applyFill="1" applyAlignment="1">
      <alignment vertical="center"/>
    </xf>
    <xf numFmtId="0" fontId="84" fillId="7" borderId="0" xfId="0" applyFont="1" applyFill="1"/>
    <xf numFmtId="0" fontId="12" fillId="7" borderId="1" xfId="186" quotePrefix="1" applyFont="1" applyFill="1" applyBorder="1" applyAlignment="1">
      <alignment horizontal="right" vertical="center"/>
    </xf>
    <xf numFmtId="0" fontId="12" fillId="7" borderId="2" xfId="186" applyFont="1" applyFill="1" applyBorder="1" applyAlignment="1">
      <alignment vertical="center" wrapText="1"/>
    </xf>
    <xf numFmtId="0" fontId="12" fillId="7" borderId="10" xfId="186" applyFont="1" applyFill="1" applyBorder="1" applyAlignment="1">
      <alignment vertical="center" wrapText="1"/>
    </xf>
    <xf numFmtId="0" fontId="12" fillId="7" borderId="0" xfId="186" applyFont="1" applyFill="1" applyAlignment="1">
      <alignment vertical="center" wrapText="1"/>
    </xf>
    <xf numFmtId="0" fontId="31" fillId="7" borderId="0" xfId="186" applyFont="1" applyFill="1" applyAlignment="1">
      <alignment vertical="top"/>
    </xf>
    <xf numFmtId="0" fontId="31" fillId="7" borderId="11" xfId="186" applyFont="1" applyFill="1" applyBorder="1" applyAlignment="1">
      <alignment vertical="center" wrapText="1"/>
    </xf>
    <xf numFmtId="0" fontId="12" fillId="7" borderId="3" xfId="186" quotePrefix="1" applyFont="1" applyFill="1" applyBorder="1" applyAlignment="1">
      <alignment horizontal="right" vertical="center"/>
    </xf>
    <xf numFmtId="0" fontId="12" fillId="7" borderId="11" xfId="186" applyFont="1" applyFill="1" applyBorder="1" applyAlignment="1">
      <alignment vertical="center" wrapText="1"/>
    </xf>
    <xf numFmtId="0" fontId="12" fillId="7" borderId="11" xfId="186" applyFont="1" applyFill="1" applyBorder="1" applyAlignment="1">
      <alignment horizontal="justify" vertical="center" wrapText="1"/>
    </xf>
    <xf numFmtId="0" fontId="12" fillId="7" borderId="3" xfId="186" applyFont="1" applyFill="1" applyBorder="1" applyAlignment="1">
      <alignment vertical="center"/>
    </xf>
    <xf numFmtId="0" fontId="31" fillId="7" borderId="11" xfId="186" applyFont="1" applyFill="1" applyBorder="1" applyAlignment="1">
      <alignment vertical="center"/>
    </xf>
    <xf numFmtId="0" fontId="12" fillId="7" borderId="10" xfId="20" applyFont="1" applyFill="1" applyBorder="1" applyAlignment="1">
      <alignment vertical="center"/>
    </xf>
    <xf numFmtId="0" fontId="12" fillId="7" borderId="12" xfId="20" applyFont="1" applyFill="1" applyBorder="1" applyAlignment="1">
      <alignment vertical="center"/>
    </xf>
    <xf numFmtId="0" fontId="31" fillId="7" borderId="13" xfId="20" quotePrefix="1" applyFill="1" applyBorder="1" applyAlignment="1">
      <alignment horizontal="right" vertical="center"/>
    </xf>
    <xf numFmtId="0" fontId="31" fillId="7" borderId="15" xfId="20" quotePrefix="1" applyFill="1" applyBorder="1" applyAlignment="1">
      <alignment horizontal="right" vertical="center"/>
    </xf>
    <xf numFmtId="0" fontId="31" fillId="7" borderId="15" xfId="20" quotePrefix="1" applyFill="1" applyBorder="1" applyAlignment="1">
      <alignment horizontal="right" vertical="top"/>
    </xf>
    <xf numFmtId="0" fontId="31" fillId="7" borderId="19" xfId="20" applyFill="1" applyBorder="1" applyAlignment="1">
      <alignment vertical="center" wrapText="1"/>
    </xf>
    <xf numFmtId="0" fontId="31" fillId="7" borderId="17" xfId="20" quotePrefix="1" applyFill="1" applyBorder="1" applyAlignment="1">
      <alignment horizontal="right" vertical="center"/>
    </xf>
    <xf numFmtId="0" fontId="31" fillId="7" borderId="7" xfId="20" applyFill="1" applyBorder="1" applyAlignment="1">
      <alignment vertical="center"/>
    </xf>
    <xf numFmtId="0" fontId="31" fillId="7" borderId="20" xfId="20" applyFill="1" applyBorder="1" applyAlignment="1">
      <alignment vertical="center"/>
    </xf>
    <xf numFmtId="0" fontId="31" fillId="7" borderId="4" xfId="20" applyFill="1" applyBorder="1" applyAlignment="1">
      <alignment horizontal="right"/>
    </xf>
    <xf numFmtId="0" fontId="31" fillId="7" borderId="12" xfId="20" applyFill="1" applyBorder="1" applyAlignment="1">
      <alignment vertical="center"/>
    </xf>
    <xf numFmtId="0" fontId="12" fillId="7" borderId="4" xfId="186" applyFont="1" applyFill="1" applyBorder="1" applyAlignment="1">
      <alignment horizontal="center" vertical="center"/>
    </xf>
    <xf numFmtId="0" fontId="31" fillId="7" borderId="5" xfId="186" applyFont="1" applyFill="1" applyBorder="1" applyAlignment="1">
      <alignment vertical="center"/>
    </xf>
    <xf numFmtId="0" fontId="31" fillId="7" borderId="5" xfId="186" applyFont="1" applyFill="1" applyBorder="1" applyAlignment="1">
      <alignment vertical="center" wrapText="1"/>
    </xf>
    <xf numFmtId="0" fontId="8" fillId="7" borderId="5" xfId="186" applyFont="1" applyFill="1" applyBorder="1" applyAlignment="1">
      <alignment vertical="center"/>
    </xf>
    <xf numFmtId="0" fontId="8" fillId="7" borderId="12" xfId="186" applyFont="1" applyFill="1" applyBorder="1" applyAlignment="1">
      <alignment vertical="center"/>
    </xf>
    <xf numFmtId="0" fontId="12" fillId="7" borderId="0" xfId="186" applyFont="1" applyFill="1" applyAlignment="1">
      <alignment horizontal="center" vertical="center"/>
    </xf>
    <xf numFmtId="0" fontId="12" fillId="7" borderId="5" xfId="40" applyFont="1" applyFill="1" applyBorder="1" applyAlignment="1">
      <alignment horizontal="center" vertical="center"/>
    </xf>
    <xf numFmtId="0" fontId="12" fillId="7" borderId="241" xfId="191" applyFont="1" applyFill="1" applyBorder="1" applyAlignment="1">
      <alignment vertical="center" wrapText="1"/>
    </xf>
    <xf numFmtId="0" fontId="31" fillId="7" borderId="243" xfId="191" applyFont="1" applyFill="1" applyBorder="1" applyAlignment="1">
      <alignment vertical="center" wrapText="1"/>
    </xf>
    <xf numFmtId="0" fontId="12" fillId="7" borderId="243" xfId="191" applyFont="1" applyFill="1" applyBorder="1" applyAlignment="1">
      <alignment vertical="center" wrapText="1"/>
    </xf>
    <xf numFmtId="0" fontId="12" fillId="7" borderId="280" xfId="20" applyFont="1" applyFill="1" applyBorder="1" applyAlignment="1">
      <alignment vertical="center"/>
    </xf>
    <xf numFmtId="0" fontId="12" fillId="7" borderId="281" xfId="20" applyFont="1" applyFill="1" applyBorder="1" applyAlignment="1">
      <alignment vertical="center"/>
    </xf>
    <xf numFmtId="0" fontId="31" fillId="7" borderId="6" xfId="20" quotePrefix="1" applyFill="1" applyBorder="1" applyAlignment="1">
      <alignment vertical="center" wrapText="1"/>
    </xf>
    <xf numFmtId="0" fontId="31" fillId="7" borderId="16" xfId="20" quotePrefix="1" applyFill="1" applyBorder="1" applyAlignment="1">
      <alignment vertical="center" wrapText="1"/>
    </xf>
    <xf numFmtId="0" fontId="31" fillId="7" borderId="242" xfId="20" quotePrefix="1" applyFill="1" applyBorder="1" applyAlignment="1">
      <alignment horizontal="left" vertical="center" indent="1"/>
    </xf>
    <xf numFmtId="0" fontId="31" fillId="7" borderId="300" xfId="20" applyFill="1" applyBorder="1" applyAlignment="1">
      <alignment horizontal="right"/>
    </xf>
    <xf numFmtId="0" fontId="31" fillId="7" borderId="5" xfId="20" applyFill="1" applyBorder="1" applyAlignment="1">
      <alignment vertical="center"/>
    </xf>
    <xf numFmtId="0" fontId="31" fillId="7" borderId="14" xfId="20" quotePrefix="1" applyFill="1" applyBorder="1" applyAlignment="1">
      <alignment vertical="center" wrapText="1"/>
    </xf>
    <xf numFmtId="0" fontId="31" fillId="7" borderId="256" xfId="20" applyFill="1" applyBorder="1" applyAlignment="1">
      <alignment horizontal="right"/>
    </xf>
    <xf numFmtId="0" fontId="31" fillId="7" borderId="243" xfId="191" applyFont="1" applyFill="1" applyBorder="1" applyAlignment="1">
      <alignment vertical="center"/>
    </xf>
    <xf numFmtId="0" fontId="31" fillId="7" borderId="243" xfId="193" applyFont="1" applyFill="1" applyBorder="1" applyAlignment="1">
      <alignment vertical="center"/>
    </xf>
    <xf numFmtId="0" fontId="12" fillId="7" borderId="242" xfId="20" applyFont="1" applyFill="1" applyBorder="1"/>
    <xf numFmtId="0" fontId="31" fillId="7" borderId="242" xfId="20" applyFill="1" applyBorder="1" applyAlignment="1">
      <alignment vertical="center"/>
    </xf>
    <xf numFmtId="0" fontId="31" fillId="7" borderId="243" xfId="20" applyFill="1" applyBorder="1" applyAlignment="1">
      <alignment vertical="center"/>
    </xf>
    <xf numFmtId="0" fontId="8" fillId="7" borderId="239" xfId="191" applyFont="1" applyFill="1" applyBorder="1" applyAlignment="1">
      <alignment vertical="center"/>
    </xf>
    <xf numFmtId="0" fontId="12" fillId="7" borderId="240" xfId="191" quotePrefix="1" applyFont="1" applyFill="1" applyBorder="1" applyAlignment="1">
      <alignment horizontal="right" vertical="center"/>
    </xf>
    <xf numFmtId="0" fontId="31" fillId="7" borderId="289" xfId="20" quotePrefix="1" applyFill="1" applyBorder="1" applyAlignment="1">
      <alignment horizontal="right" vertical="center" wrapText="1"/>
    </xf>
    <xf numFmtId="0" fontId="31" fillId="7" borderId="6" xfId="20" quotePrefix="1" applyFill="1" applyBorder="1" applyAlignment="1">
      <alignment vertical="center"/>
    </xf>
    <xf numFmtId="0" fontId="31" fillId="7" borderId="250" xfId="20" quotePrefix="1" applyFill="1" applyBorder="1" applyAlignment="1">
      <alignment horizontal="right" vertical="center" wrapText="1"/>
    </xf>
    <xf numFmtId="0" fontId="31" fillId="7" borderId="16" xfId="20" quotePrefix="1" applyFill="1" applyBorder="1" applyAlignment="1">
      <alignment vertical="center"/>
    </xf>
    <xf numFmtId="0" fontId="31" fillId="7" borderId="16" xfId="20" quotePrefix="1" applyFill="1" applyBorder="1" applyAlignment="1">
      <alignment vertical="top"/>
    </xf>
    <xf numFmtId="0" fontId="31" fillId="7" borderId="253" xfId="20" quotePrefix="1" applyFill="1" applyBorder="1" applyAlignment="1">
      <alignment vertical="center"/>
    </xf>
    <xf numFmtId="0" fontId="31" fillId="7" borderId="0" xfId="20" quotePrefix="1" applyFill="1" applyAlignment="1">
      <alignment vertical="center"/>
    </xf>
    <xf numFmtId="0" fontId="0" fillId="7" borderId="0" xfId="192" applyFont="1" applyFill="1" applyAlignment="1">
      <alignment vertical="top" wrapText="1"/>
    </xf>
    <xf numFmtId="0" fontId="0" fillId="7" borderId="242" xfId="192" applyFont="1" applyFill="1" applyBorder="1" applyAlignment="1">
      <alignment vertical="top" wrapText="1"/>
    </xf>
    <xf numFmtId="0" fontId="31" fillId="7" borderId="242" xfId="192" applyFont="1" applyFill="1" applyBorder="1" applyAlignment="1">
      <alignment vertical="center"/>
    </xf>
    <xf numFmtId="0" fontId="0" fillId="7" borderId="242" xfId="191" applyFont="1" applyFill="1" applyBorder="1" applyAlignment="1">
      <alignment vertical="top" wrapText="1"/>
    </xf>
    <xf numFmtId="0" fontId="12" fillId="7" borderId="242" xfId="191" applyFont="1" applyFill="1" applyBorder="1" applyAlignment="1">
      <alignment vertical="center" wrapText="1"/>
    </xf>
    <xf numFmtId="0" fontId="31" fillId="7" borderId="285" xfId="20" quotePrefix="1" applyFill="1" applyBorder="1" applyAlignment="1">
      <alignment horizontal="right" vertical="center"/>
    </xf>
    <xf numFmtId="0" fontId="31" fillId="7" borderId="287" xfId="20" applyFill="1" applyBorder="1" applyAlignment="1">
      <alignment vertical="center"/>
    </xf>
    <xf numFmtId="0" fontId="31" fillId="7" borderId="250" xfId="20" quotePrefix="1" applyFill="1" applyBorder="1" applyAlignment="1">
      <alignment horizontal="right" vertical="center"/>
    </xf>
    <xf numFmtId="0" fontId="31" fillId="7" borderId="251" xfId="20" applyFill="1" applyBorder="1" applyAlignment="1">
      <alignment vertical="center"/>
    </xf>
    <xf numFmtId="0" fontId="31" fillId="7" borderId="250" xfId="20" quotePrefix="1" applyFill="1" applyBorder="1" applyAlignment="1">
      <alignment horizontal="right" vertical="top"/>
    </xf>
    <xf numFmtId="0" fontId="31" fillId="7" borderId="251" xfId="20" applyFill="1" applyBorder="1" applyAlignment="1">
      <alignment vertical="center" wrapText="1"/>
    </xf>
    <xf numFmtId="0" fontId="31" fillId="7" borderId="304" xfId="20" quotePrefix="1" applyFill="1" applyBorder="1" applyAlignment="1">
      <alignment horizontal="right" vertical="center"/>
    </xf>
    <xf numFmtId="0" fontId="31" fillId="7" borderId="305" xfId="20" applyFill="1" applyBorder="1" applyAlignment="1">
      <alignment vertical="center"/>
    </xf>
    <xf numFmtId="0" fontId="31" fillId="7" borderId="242" xfId="20" quotePrefix="1" applyFill="1" applyBorder="1" applyAlignment="1">
      <alignment horizontal="right" vertical="center"/>
    </xf>
    <xf numFmtId="0" fontId="12" fillId="7" borderId="242" xfId="191" applyFont="1" applyFill="1" applyBorder="1" applyAlignment="1">
      <alignment horizontal="center" vertical="center"/>
    </xf>
    <xf numFmtId="0" fontId="31" fillId="7" borderId="256" xfId="191" applyFont="1" applyFill="1" applyBorder="1" applyAlignment="1">
      <alignment vertical="center"/>
    </xf>
    <xf numFmtId="0" fontId="12" fillId="7" borderId="257" xfId="191" applyFont="1" applyFill="1" applyBorder="1" applyAlignment="1">
      <alignment horizontal="center" vertical="center" wrapText="1"/>
    </xf>
    <xf numFmtId="0" fontId="12" fillId="7" borderId="243" xfId="191" applyFont="1" applyFill="1" applyBorder="1" applyAlignment="1">
      <alignment horizontal="justify" vertical="center" wrapText="1"/>
    </xf>
    <xf numFmtId="0" fontId="69" fillId="7" borderId="0" xfId="68" applyFont="1" applyFill="1" applyAlignment="1">
      <alignment horizontal="center" vertical="center"/>
    </xf>
    <xf numFmtId="0" fontId="0" fillId="7" borderId="0" xfId="191" applyFont="1" applyFill="1" applyAlignment="1">
      <alignment horizontal="center" vertical="center" wrapText="1"/>
    </xf>
    <xf numFmtId="0" fontId="0" fillId="7" borderId="0" xfId="191" quotePrefix="1" applyFont="1" applyFill="1" applyAlignment="1">
      <alignment horizontal="right" vertical="center"/>
    </xf>
    <xf numFmtId="0" fontId="31" fillId="7" borderId="243" xfId="192" applyFont="1" applyFill="1" applyBorder="1" applyAlignment="1">
      <alignment vertical="center"/>
    </xf>
    <xf numFmtId="0" fontId="31" fillId="7" borderId="0" xfId="20" applyFill="1" applyAlignment="1">
      <alignment vertical="top" wrapText="1"/>
    </xf>
    <xf numFmtId="0" fontId="31" fillId="7" borderId="243" xfId="20" applyFill="1" applyBorder="1" applyAlignment="1">
      <alignment vertical="top" wrapText="1"/>
    </xf>
    <xf numFmtId="0" fontId="12" fillId="7" borderId="243" xfId="20" applyFont="1" applyFill="1" applyBorder="1" applyAlignment="1">
      <alignment vertical="center"/>
    </xf>
    <xf numFmtId="0" fontId="31" fillId="7" borderId="285" xfId="20" applyFill="1" applyBorder="1" applyAlignment="1">
      <alignment horizontal="left" vertical="center" indent="2"/>
    </xf>
    <xf numFmtId="0" fontId="31" fillId="7" borderId="286" xfId="20" applyFill="1" applyBorder="1" applyAlignment="1">
      <alignment vertical="center"/>
    </xf>
    <xf numFmtId="0" fontId="67" fillId="7" borderId="243" xfId="20" applyFont="1" applyFill="1" applyBorder="1" applyAlignment="1">
      <alignment vertical="center"/>
    </xf>
    <xf numFmtId="0" fontId="31" fillId="7" borderId="250" xfId="20" applyFill="1" applyBorder="1" applyAlignment="1">
      <alignment horizontal="left" vertical="center" indent="2"/>
    </xf>
    <xf numFmtId="0" fontId="31" fillId="7" borderId="256" xfId="20" applyFill="1" applyBorder="1" applyAlignment="1">
      <alignment horizontal="left" vertical="center" indent="2"/>
    </xf>
    <xf numFmtId="0" fontId="31" fillId="7" borderId="253" xfId="20" applyFill="1" applyBorder="1" applyAlignment="1">
      <alignment vertical="center"/>
    </xf>
    <xf numFmtId="0" fontId="31" fillId="7" borderId="255" xfId="20" applyFill="1" applyBorder="1" applyAlignment="1">
      <alignment vertical="center"/>
    </xf>
    <xf numFmtId="0" fontId="31" fillId="7" borderId="242" xfId="193" applyFont="1" applyFill="1" applyBorder="1" applyAlignment="1">
      <alignment vertical="center" wrapText="1"/>
    </xf>
    <xf numFmtId="0" fontId="31" fillId="7" borderId="0" xfId="193" applyFont="1" applyFill="1" applyAlignment="1">
      <alignment vertical="center" wrapText="1"/>
    </xf>
    <xf numFmtId="0" fontId="17" fillId="7" borderId="0" xfId="193" applyFont="1" applyFill="1" applyAlignment="1">
      <alignment vertical="top" wrapText="1"/>
    </xf>
    <xf numFmtId="0" fontId="25" fillId="7" borderId="0" xfId="40" applyFont="1" applyFill="1" applyAlignment="1">
      <alignment horizontal="right"/>
    </xf>
    <xf numFmtId="0" fontId="31" fillId="7" borderId="0" xfId="40" applyFont="1" applyFill="1" applyAlignment="1">
      <alignment horizontal="left" wrapText="1"/>
    </xf>
    <xf numFmtId="0" fontId="25" fillId="7" borderId="11" xfId="40" applyFont="1" applyFill="1" applyBorder="1" applyAlignment="1">
      <alignment horizontal="right"/>
    </xf>
    <xf numFmtId="0" fontId="12" fillId="7" borderId="3" xfId="109" applyFont="1" applyFill="1" applyBorder="1" applyAlignment="1">
      <alignment vertical="center"/>
    </xf>
    <xf numFmtId="0" fontId="12" fillId="7" borderId="11" xfId="109" applyFont="1" applyFill="1" applyBorder="1" applyAlignment="1">
      <alignment vertical="center"/>
    </xf>
    <xf numFmtId="0" fontId="31" fillId="7" borderId="0" xfId="85" applyFill="1" applyAlignment="1">
      <alignment vertical="top"/>
    </xf>
    <xf numFmtId="0" fontId="31" fillId="7" borderId="0" xfId="109" quotePrefix="1" applyFill="1" applyAlignment="1">
      <alignment horizontal="left" vertical="center"/>
    </xf>
    <xf numFmtId="0" fontId="24" fillId="7" borderId="0" xfId="40" applyFont="1" applyFill="1" applyAlignment="1">
      <alignment horizontal="left" vertical="center"/>
    </xf>
    <xf numFmtId="0" fontId="31" fillId="7" borderId="0" xfId="109" quotePrefix="1" applyFill="1" applyAlignment="1">
      <alignment vertical="top"/>
    </xf>
    <xf numFmtId="0" fontId="12" fillId="7" borderId="0" xfId="109" applyFont="1" applyFill="1" applyAlignment="1">
      <alignment horizontal="center" vertical="center"/>
    </xf>
    <xf numFmtId="0" fontId="31" fillId="7" borderId="11" xfId="85" applyFill="1" applyBorder="1" applyAlignment="1">
      <alignment vertical="top"/>
    </xf>
    <xf numFmtId="0" fontId="12" fillId="7" borderId="0" xfId="40" applyFont="1" applyFill="1" applyAlignment="1">
      <alignment vertical="center" wrapText="1"/>
    </xf>
    <xf numFmtId="0" fontId="31" fillId="7" borderId="0" xfId="79" applyFont="1" applyFill="1" applyAlignment="1">
      <alignment vertical="center"/>
    </xf>
    <xf numFmtId="0" fontId="31" fillId="7" borderId="0" xfId="85" applyFill="1" applyAlignment="1">
      <alignment horizontal="justify" vertical="top" wrapText="1"/>
    </xf>
    <xf numFmtId="0" fontId="12" fillId="7" borderId="11" xfId="69" applyFont="1" applyFill="1" applyBorder="1" applyAlignment="1">
      <alignment vertical="center" wrapText="1"/>
    </xf>
    <xf numFmtId="169" fontId="31" fillId="7" borderId="0" xfId="4" applyNumberFormat="1" applyFont="1" applyFill="1" applyBorder="1" applyAlignment="1">
      <alignment vertical="center"/>
    </xf>
    <xf numFmtId="169" fontId="31" fillId="7" borderId="11" xfId="4" applyNumberFormat="1" applyFont="1" applyFill="1" applyBorder="1" applyAlignment="1">
      <alignment vertical="center"/>
    </xf>
    <xf numFmtId="0" fontId="12" fillId="7" borderId="4" xfId="40" applyFont="1" applyFill="1" applyBorder="1" applyAlignment="1">
      <alignment vertical="center"/>
    </xf>
    <xf numFmtId="0" fontId="12" fillId="7" borderId="29" xfId="40" applyFont="1" applyFill="1" applyBorder="1" applyAlignment="1">
      <alignment vertical="center"/>
    </xf>
    <xf numFmtId="0" fontId="12" fillId="7" borderId="36" xfId="40" applyFont="1" applyFill="1" applyBorder="1" applyAlignment="1">
      <alignment vertical="center"/>
    </xf>
    <xf numFmtId="0" fontId="12" fillId="7" borderId="12" xfId="40" applyFont="1" applyFill="1" applyBorder="1" applyAlignment="1">
      <alignment vertical="center"/>
    </xf>
    <xf numFmtId="0" fontId="31" fillId="7" borderId="37" xfId="40" applyFont="1" applyFill="1" applyBorder="1" applyAlignment="1">
      <alignment vertical="center"/>
    </xf>
    <xf numFmtId="0" fontId="31" fillId="7" borderId="52" xfId="40" applyFont="1" applyFill="1" applyBorder="1" applyAlignment="1">
      <alignment vertical="center"/>
    </xf>
    <xf numFmtId="0" fontId="31" fillId="7" borderId="15" xfId="40" applyFont="1" applyFill="1" applyBorder="1" applyAlignment="1">
      <alignment vertical="center"/>
    </xf>
    <xf numFmtId="0" fontId="31" fillId="7" borderId="19" xfId="40" applyFont="1" applyFill="1" applyBorder="1" applyAlignment="1">
      <alignment vertical="center"/>
    </xf>
    <xf numFmtId="0" fontId="28" fillId="7" borderId="0" xfId="40" applyFont="1" applyFill="1" applyAlignment="1">
      <alignment horizontal="center" vertical="center"/>
    </xf>
    <xf numFmtId="0" fontId="31" fillId="7" borderId="22" xfId="40" applyFont="1" applyFill="1" applyBorder="1" applyAlignment="1">
      <alignment vertical="center"/>
    </xf>
    <xf numFmtId="0" fontId="31" fillId="7" borderId="23" xfId="40" applyFont="1" applyFill="1" applyBorder="1" applyAlignment="1">
      <alignment vertical="center"/>
    </xf>
    <xf numFmtId="0" fontId="31" fillId="7" borderId="31" xfId="40" applyFont="1" applyFill="1" applyBorder="1" applyAlignment="1">
      <alignment vertical="center"/>
    </xf>
    <xf numFmtId="0" fontId="0" fillId="7" borderId="0" xfId="194" quotePrefix="1" applyFont="1" applyFill="1" applyAlignment="1">
      <alignment horizontal="right" vertical="top"/>
    </xf>
    <xf numFmtId="0" fontId="28" fillId="7" borderId="11" xfId="40" applyFont="1" applyFill="1" applyBorder="1" applyAlignment="1">
      <alignment horizontal="center" vertical="center"/>
    </xf>
    <xf numFmtId="0" fontId="12" fillId="7" borderId="0" xfId="20" applyFont="1" applyFill="1" applyAlignment="1">
      <alignment horizontal="center" vertical="center"/>
    </xf>
    <xf numFmtId="0" fontId="12" fillId="7" borderId="5" xfId="85" applyFont="1" applyFill="1" applyBorder="1" applyAlignment="1">
      <alignment vertical="center"/>
    </xf>
    <xf numFmtId="0" fontId="12" fillId="7" borderId="5" xfId="109" applyFont="1" applyFill="1" applyBorder="1" applyAlignment="1">
      <alignment vertical="center"/>
    </xf>
    <xf numFmtId="0" fontId="28" fillId="7" borderId="5" xfId="40" applyFont="1" applyFill="1" applyBorder="1" applyAlignment="1">
      <alignment vertical="center"/>
    </xf>
    <xf numFmtId="0" fontId="0" fillId="7" borderId="0" xfId="109" quotePrefix="1" applyFont="1" applyFill="1" applyAlignment="1">
      <alignment vertical="top" wrapText="1"/>
    </xf>
    <xf numFmtId="0" fontId="12" fillId="7" borderId="0" xfId="40" applyFont="1" applyFill="1" applyAlignment="1">
      <alignment horizontal="center" vertical="center"/>
    </xf>
    <xf numFmtId="0" fontId="22" fillId="7" borderId="0" xfId="69" quotePrefix="1" applyFont="1" applyFill="1" applyAlignment="1">
      <alignment vertical="top" wrapText="1"/>
    </xf>
    <xf numFmtId="0" fontId="22" fillId="7" borderId="0" xfId="69" applyFont="1" applyFill="1" applyAlignment="1">
      <alignment vertical="top" wrapText="1"/>
    </xf>
    <xf numFmtId="0" fontId="9" fillId="7" borderId="0" xfId="69" applyFont="1" applyFill="1" applyAlignment="1">
      <alignment vertical="top" wrapText="1"/>
    </xf>
    <xf numFmtId="0" fontId="22" fillId="7" borderId="0" xfId="109" quotePrefix="1" applyFont="1" applyFill="1" applyAlignment="1">
      <alignment vertical="top" wrapText="1"/>
    </xf>
    <xf numFmtId="0" fontId="9" fillId="7" borderId="0" xfId="109" applyFont="1" applyFill="1" applyAlignment="1">
      <alignment vertical="top" wrapText="1"/>
    </xf>
    <xf numFmtId="0" fontId="17" fillId="7" borderId="0" xfId="111" applyFont="1" applyFill="1" applyAlignment="1">
      <alignment horizontal="left" vertical="top" wrapText="1"/>
    </xf>
    <xf numFmtId="0" fontId="9" fillId="7" borderId="0" xfId="37" applyFont="1" applyFill="1"/>
    <xf numFmtId="0" fontId="31" fillId="7" borderId="0" xfId="20" quotePrefix="1" applyFill="1" applyAlignment="1">
      <alignment horizontal="center"/>
    </xf>
    <xf numFmtId="0" fontId="9" fillId="7" borderId="0" xfId="69" applyFont="1" applyFill="1" applyAlignment="1">
      <alignment horizontal="center"/>
    </xf>
    <xf numFmtId="0" fontId="83" fillId="7" borderId="0" xfId="188" applyFont="1" applyFill="1" applyAlignment="1">
      <alignment vertical="center"/>
    </xf>
    <xf numFmtId="0" fontId="23" fillId="0" borderId="2" xfId="40" applyFont="1" applyBorder="1" applyAlignment="1" applyProtection="1">
      <alignment horizontal="right" vertical="center"/>
      <protection locked="0"/>
    </xf>
    <xf numFmtId="0" fontId="23" fillId="0" borderId="5" xfId="40" applyFont="1" applyBorder="1" applyAlignment="1" applyProtection="1">
      <alignment horizontal="right" vertical="center"/>
      <protection locked="0"/>
    </xf>
    <xf numFmtId="0" fontId="23" fillId="0" borderId="2" xfId="40" applyFont="1" applyBorder="1" applyAlignment="1" applyProtection="1">
      <alignment vertical="center"/>
      <protection locked="0"/>
    </xf>
    <xf numFmtId="0" fontId="23" fillId="0" borderId="0" xfId="40" applyFont="1" applyAlignment="1" applyProtection="1">
      <alignment vertical="center"/>
      <protection locked="0"/>
    </xf>
    <xf numFmtId="0" fontId="23" fillId="0" borderId="2" xfId="40" applyFont="1" applyBorder="1" applyAlignment="1" applyProtection="1">
      <alignment horizontal="left" vertical="center"/>
      <protection locked="0"/>
    </xf>
    <xf numFmtId="0" fontId="23" fillId="0" borderId="0" xfId="40" applyFont="1" applyAlignment="1" applyProtection="1">
      <alignment horizontal="left" vertical="center"/>
      <protection locked="0"/>
    </xf>
    <xf numFmtId="0" fontId="23" fillId="0" borderId="0" xfId="42" applyFont="1" applyProtection="1">
      <protection locked="0"/>
    </xf>
    <xf numFmtId="0" fontId="88" fillId="0" borderId="0" xfId="0" applyFont="1"/>
    <xf numFmtId="0" fontId="88" fillId="0" borderId="160" xfId="0" applyFont="1" applyBorder="1"/>
    <xf numFmtId="0" fontId="83" fillId="7" borderId="0" xfId="112" quotePrefix="1" applyFont="1" applyFill="1" applyAlignment="1">
      <alignment horizontal="left" vertical="center"/>
    </xf>
    <xf numFmtId="0" fontId="89" fillId="7" borderId="0" xfId="2" applyFont="1" applyFill="1" applyAlignment="1">
      <alignment horizontal="left" vertical="center"/>
    </xf>
    <xf numFmtId="0" fontId="89" fillId="7" borderId="0" xfId="2" applyFont="1" applyFill="1" applyAlignment="1">
      <alignment horizontal="left" vertical="top"/>
    </xf>
    <xf numFmtId="0" fontId="14" fillId="3" borderId="70" xfId="69" applyFont="1" applyFill="1" applyBorder="1" applyAlignment="1">
      <alignment horizontal="left" vertical="center" indent="1"/>
    </xf>
    <xf numFmtId="0" fontId="14" fillId="3" borderId="91" xfId="69" applyFont="1" applyFill="1" applyBorder="1" applyAlignment="1">
      <alignment horizontal="left" vertical="center" indent="1"/>
    </xf>
    <xf numFmtId="0" fontId="16" fillId="3" borderId="71" xfId="69" applyFont="1" applyFill="1" applyBorder="1" applyAlignment="1">
      <alignment vertical="center"/>
    </xf>
    <xf numFmtId="0" fontId="16" fillId="3" borderId="74" xfId="69" applyFont="1" applyFill="1" applyBorder="1" applyAlignment="1">
      <alignment vertical="center"/>
    </xf>
    <xf numFmtId="0" fontId="16" fillId="3" borderId="69" xfId="69" applyFont="1" applyFill="1" applyBorder="1" applyAlignment="1">
      <alignment vertical="center"/>
    </xf>
    <xf numFmtId="0" fontId="16" fillId="3" borderId="79" xfId="69" applyFont="1" applyFill="1" applyBorder="1" applyAlignment="1">
      <alignment vertical="center"/>
    </xf>
    <xf numFmtId="0" fontId="16" fillId="3" borderId="74" xfId="69" applyFont="1" applyFill="1" applyBorder="1" applyAlignment="1">
      <alignment horizontal="center" vertical="center"/>
    </xf>
    <xf numFmtId="0" fontId="89" fillId="7" borderId="2" xfId="111" applyFont="1" applyFill="1" applyBorder="1" applyAlignment="1">
      <alignment vertical="top"/>
    </xf>
    <xf numFmtId="0" fontId="89" fillId="7" borderId="0" xfId="20" applyFont="1" applyFill="1" applyAlignment="1">
      <alignment vertical="top"/>
    </xf>
    <xf numFmtId="0" fontId="84" fillId="7" borderId="0" xfId="0" applyFont="1" applyFill="1" applyAlignment="1">
      <alignment vertical="center"/>
    </xf>
    <xf numFmtId="3" fontId="12" fillId="7" borderId="0" xfId="0" applyNumberFormat="1" applyFont="1" applyFill="1" applyAlignment="1">
      <alignment horizontal="center" vertical="center"/>
    </xf>
    <xf numFmtId="3" fontId="12" fillId="7" borderId="0" xfId="4" applyNumberFormat="1" applyFont="1" applyFill="1" applyBorder="1" applyAlignment="1">
      <alignment horizontal="center" vertical="center"/>
    </xf>
    <xf numFmtId="3" fontId="89" fillId="7" borderId="0" xfId="0" applyNumberFormat="1" applyFont="1" applyFill="1" applyAlignment="1">
      <alignment horizontal="left" vertical="top"/>
    </xf>
    <xf numFmtId="0" fontId="89" fillId="7" borderId="0" xfId="109" applyFont="1" applyFill="1" applyAlignment="1">
      <alignment horizontal="right" vertical="center"/>
    </xf>
    <xf numFmtId="0" fontId="89" fillId="7" borderId="0" xfId="40" applyFont="1" applyFill="1" applyAlignment="1">
      <alignment horizontal="right" vertical="center"/>
    </xf>
    <xf numFmtId="0" fontId="89" fillId="7" borderId="0" xfId="40" applyFont="1" applyFill="1" applyAlignment="1">
      <alignment vertical="top"/>
    </xf>
    <xf numFmtId="0" fontId="89" fillId="7" borderId="23" xfId="40" applyFont="1" applyFill="1" applyBorder="1" applyAlignment="1">
      <alignment vertical="top"/>
    </xf>
    <xf numFmtId="0" fontId="90" fillId="0" borderId="0" xfId="42" applyFont="1" applyProtection="1">
      <protection locked="0"/>
    </xf>
    <xf numFmtId="0" fontId="89" fillId="7" borderId="0" xfId="42" applyFont="1" applyFill="1" applyAlignment="1">
      <alignment vertical="top"/>
    </xf>
    <xf numFmtId="0" fontId="91" fillId="0" borderId="0" xfId="68" applyFont="1" applyAlignment="1">
      <alignment horizontal="left" vertical="top"/>
    </xf>
    <xf numFmtId="0" fontId="91" fillId="0" borderId="318" xfId="68" applyFont="1" applyBorder="1" applyAlignment="1">
      <alignment horizontal="left" vertical="top"/>
    </xf>
    <xf numFmtId="0" fontId="91" fillId="0" borderId="320" xfId="68" applyFont="1" applyBorder="1" applyAlignment="1">
      <alignment horizontal="left" vertical="top"/>
    </xf>
    <xf numFmtId="0" fontId="91" fillId="0" borderId="321" xfId="68" applyFont="1" applyBorder="1" applyAlignment="1">
      <alignment horizontal="left" vertical="top"/>
    </xf>
    <xf numFmtId="0" fontId="92" fillId="0" borderId="0" xfId="0" applyFont="1"/>
    <xf numFmtId="0" fontId="92" fillId="0" borderId="0" xfId="112" applyFont="1"/>
    <xf numFmtId="0" fontId="92" fillId="0" borderId="0" xfId="68" applyFont="1" applyAlignment="1">
      <alignment vertical="center"/>
    </xf>
    <xf numFmtId="0" fontId="93" fillId="0" borderId="0" xfId="68" applyFont="1" applyAlignment="1">
      <alignment vertical="center"/>
    </xf>
    <xf numFmtId="0" fontId="92" fillId="0" borderId="0" xfId="68" applyFont="1"/>
    <xf numFmtId="0" fontId="91" fillId="0" borderId="0" xfId="68" applyFont="1"/>
    <xf numFmtId="0" fontId="92" fillId="0" borderId="0" xfId="68" applyFont="1" applyAlignment="1">
      <alignment vertical="top"/>
    </xf>
    <xf numFmtId="0" fontId="91" fillId="0" borderId="0" xfId="68" applyFont="1" applyAlignment="1">
      <alignment vertical="top"/>
    </xf>
    <xf numFmtId="0" fontId="92" fillId="0" borderId="317" xfId="68" applyFont="1" applyBorder="1" applyAlignment="1">
      <alignment horizontal="left" vertical="top" wrapText="1"/>
    </xf>
    <xf numFmtId="0" fontId="92" fillId="0" borderId="319" xfId="68" applyFont="1" applyBorder="1" applyAlignment="1">
      <alignment horizontal="left" vertical="top"/>
    </xf>
    <xf numFmtId="0" fontId="92" fillId="0" borderId="0" xfId="0" applyFont="1" applyAlignment="1">
      <alignment vertical="center" wrapText="1"/>
    </xf>
    <xf numFmtId="0" fontId="89" fillId="7" borderId="0" xfId="40" applyFont="1" applyFill="1" applyAlignment="1">
      <alignment horizontal="left" vertical="center"/>
    </xf>
    <xf numFmtId="0" fontId="89" fillId="7" borderId="0" xfId="40" applyFont="1" applyFill="1" applyAlignment="1">
      <alignment horizontal="left"/>
    </xf>
    <xf numFmtId="0" fontId="89" fillId="7" borderId="0" xfId="40" applyFont="1" applyFill="1" applyAlignment="1">
      <alignment vertical="center"/>
    </xf>
    <xf numFmtId="0" fontId="89" fillId="7" borderId="0" xfId="109" applyFont="1" applyFill="1" applyAlignment="1">
      <alignment vertical="top"/>
    </xf>
    <xf numFmtId="0" fontId="89" fillId="7" borderId="5" xfId="85" applyFont="1" applyFill="1" applyBorder="1" applyAlignment="1">
      <alignment vertical="top"/>
    </xf>
    <xf numFmtId="0" fontId="89" fillId="7" borderId="0" xfId="109" applyFont="1" applyFill="1" applyAlignment="1">
      <alignment vertical="center"/>
    </xf>
    <xf numFmtId="0" fontId="89" fillId="7" borderId="5" xfId="40" applyFont="1" applyFill="1" applyBorder="1" applyAlignment="1">
      <alignment horizontal="left" vertical="top"/>
    </xf>
    <xf numFmtId="0" fontId="89" fillId="7" borderId="5" xfId="109" applyFont="1" applyFill="1" applyBorder="1" applyAlignment="1">
      <alignment vertical="top"/>
    </xf>
    <xf numFmtId="0" fontId="89" fillId="7" borderId="23" xfId="20" applyFont="1" applyFill="1" applyBorder="1" applyAlignment="1">
      <alignment vertical="top"/>
    </xf>
    <xf numFmtId="0" fontId="16" fillId="7" borderId="314" xfId="40" applyFont="1" applyFill="1" applyBorder="1" applyAlignment="1">
      <alignment vertical="center"/>
    </xf>
    <xf numFmtId="0" fontId="16" fillId="7" borderId="74" xfId="20" applyFont="1" applyFill="1" applyBorder="1" applyAlignment="1">
      <alignment vertical="center" wrapText="1"/>
    </xf>
    <xf numFmtId="0" fontId="16" fillId="7" borderId="74" xfId="40" applyFont="1" applyFill="1" applyBorder="1" applyAlignment="1">
      <alignment vertical="center" wrapText="1"/>
    </xf>
    <xf numFmtId="0" fontId="16" fillId="7" borderId="314" xfId="111" applyFont="1" applyFill="1" applyBorder="1" applyAlignment="1">
      <alignment vertical="center"/>
    </xf>
    <xf numFmtId="0" fontId="16" fillId="7" borderId="74" xfId="20" applyFont="1" applyFill="1" applyBorder="1" applyAlignment="1">
      <alignment vertical="center"/>
    </xf>
    <xf numFmtId="0" fontId="89" fillId="7" borderId="0" xfId="188" applyFont="1" applyFill="1" applyAlignment="1">
      <alignment vertical="top"/>
    </xf>
    <xf numFmtId="0" fontId="89" fillId="7" borderId="0" xfId="189" applyFont="1" applyFill="1" applyAlignment="1">
      <alignment horizontal="left" vertical="top"/>
    </xf>
    <xf numFmtId="0" fontId="31" fillId="0" borderId="0" xfId="169" applyFont="1"/>
    <xf numFmtId="0" fontId="89" fillId="7" borderId="5" xfId="20" applyFont="1" applyFill="1" applyBorder="1" applyAlignment="1">
      <alignment vertical="top"/>
    </xf>
    <xf numFmtId="0" fontId="89" fillId="7" borderId="257" xfId="20" applyFont="1" applyFill="1" applyBorder="1" applyAlignment="1">
      <alignment vertical="top"/>
    </xf>
    <xf numFmtId="0" fontId="89" fillId="7" borderId="257" xfId="191" applyFont="1" applyFill="1" applyBorder="1" applyAlignment="1">
      <alignment vertical="top"/>
    </xf>
    <xf numFmtId="0" fontId="12" fillId="0" borderId="0" xfId="0" applyFont="1" applyAlignment="1">
      <alignment horizontal="center"/>
    </xf>
    <xf numFmtId="0" fontId="31" fillId="0" borderId="0" xfId="0" applyFont="1" applyAlignment="1">
      <alignment vertical="center" wrapText="1"/>
    </xf>
    <xf numFmtId="0" fontId="72" fillId="0" borderId="0" xfId="0" applyFont="1" applyAlignment="1">
      <alignment vertical="center" wrapText="1"/>
    </xf>
    <xf numFmtId="0" fontId="72" fillId="0" borderId="160" xfId="0" applyFont="1" applyBorder="1" applyAlignment="1">
      <alignment vertical="center" wrapText="1"/>
    </xf>
    <xf numFmtId="0" fontId="31" fillId="0" borderId="83" xfId="0" applyFont="1" applyBorder="1"/>
    <xf numFmtId="0" fontId="31" fillId="0" borderId="131" xfId="0" applyFont="1" applyBorder="1"/>
    <xf numFmtId="172" fontId="31" fillId="0" borderId="0" xfId="0" applyNumberFormat="1" applyFont="1"/>
    <xf numFmtId="171" fontId="31" fillId="0" borderId="0" xfId="0" applyNumberFormat="1" applyFont="1"/>
    <xf numFmtId="0" fontId="31" fillId="0" borderId="316" xfId="0" applyFont="1" applyBorder="1"/>
    <xf numFmtId="0" fontId="31" fillId="0" borderId="71" xfId="0" applyFont="1" applyBorder="1"/>
    <xf numFmtId="0" fontId="31" fillId="0" borderId="169" xfId="0" quotePrefix="1" applyFont="1" applyBorder="1"/>
    <xf numFmtId="0" fontId="31" fillId="0" borderId="0" xfId="168" applyFont="1"/>
    <xf numFmtId="0" fontId="31" fillId="0" borderId="160" xfId="168" applyFont="1" applyBorder="1"/>
    <xf numFmtId="0" fontId="72" fillId="0" borderId="169" xfId="169" applyFont="1" applyBorder="1"/>
    <xf numFmtId="0" fontId="72" fillId="0" borderId="0" xfId="169" applyFont="1"/>
    <xf numFmtId="0" fontId="72" fillId="0" borderId="160" xfId="169" applyFont="1" applyBorder="1"/>
    <xf numFmtId="0" fontId="31" fillId="0" borderId="160" xfId="169" applyFont="1" applyBorder="1"/>
    <xf numFmtId="3" fontId="31" fillId="0" borderId="0" xfId="0" applyNumberFormat="1" applyFont="1"/>
    <xf numFmtId="0" fontId="72" fillId="0" borderId="0" xfId="0" applyFont="1"/>
    <xf numFmtId="0" fontId="72" fillId="0" borderId="160" xfId="0" applyFont="1" applyBorder="1"/>
    <xf numFmtId="0" fontId="31" fillId="0" borderId="6" xfId="0" applyFont="1" applyBorder="1"/>
    <xf numFmtId="0" fontId="81" fillId="0" borderId="58" xfId="0" applyFont="1" applyBorder="1"/>
    <xf numFmtId="2" fontId="31" fillId="0" borderId="0" xfId="0" applyNumberFormat="1" applyFont="1"/>
    <xf numFmtId="2" fontId="31" fillId="0" borderId="160" xfId="0" applyNumberFormat="1" applyFont="1" applyBorder="1"/>
    <xf numFmtId="2" fontId="31" fillId="0" borderId="169" xfId="0" applyNumberFormat="1" applyFont="1" applyBorder="1"/>
    <xf numFmtId="0" fontId="27" fillId="2" borderId="6" xfId="80" applyFont="1" applyFill="1" applyBorder="1" applyAlignment="1" applyProtection="1">
      <alignment horizontal="center"/>
      <protection locked="0"/>
    </xf>
    <xf numFmtId="0" fontId="87" fillId="7" borderId="0" xfId="69" applyFont="1" applyFill="1" applyAlignment="1">
      <alignment vertical="center"/>
    </xf>
    <xf numFmtId="0" fontId="31" fillId="7" borderId="52" xfId="40" applyFont="1" applyFill="1" applyBorder="1" applyAlignment="1">
      <alignment vertical="top" wrapText="1"/>
    </xf>
    <xf numFmtId="0" fontId="89" fillId="7" borderId="6" xfId="69" applyFont="1" applyFill="1" applyBorder="1" applyAlignment="1">
      <alignment vertical="center"/>
    </xf>
    <xf numFmtId="0" fontId="31" fillId="7" borderId="14" xfId="69" applyFill="1" applyBorder="1" applyAlignment="1">
      <alignment vertical="center"/>
    </xf>
    <xf numFmtId="0" fontId="89" fillId="7" borderId="20" xfId="69" applyFont="1" applyFill="1" applyBorder="1" applyAlignment="1">
      <alignment vertical="center"/>
    </xf>
    <xf numFmtId="10" fontId="31" fillId="0" borderId="0" xfId="0" applyNumberFormat="1" applyFont="1"/>
    <xf numFmtId="0" fontId="12" fillId="7" borderId="10" xfId="40" applyFont="1" applyFill="1" applyBorder="1" applyAlignment="1">
      <alignment vertical="center"/>
    </xf>
    <xf numFmtId="0" fontId="12" fillId="7" borderId="69" xfId="40" applyFont="1" applyFill="1" applyBorder="1" applyAlignment="1">
      <alignment vertical="center"/>
    </xf>
    <xf numFmtId="0" fontId="12" fillId="7" borderId="71" xfId="40" applyFont="1" applyFill="1" applyBorder="1" applyAlignment="1">
      <alignment vertical="center"/>
    </xf>
    <xf numFmtId="0" fontId="12" fillId="7" borderId="74" xfId="40" applyFont="1" applyFill="1" applyBorder="1" applyAlignment="1">
      <alignment vertical="center"/>
    </xf>
    <xf numFmtId="171" fontId="9" fillId="7" borderId="0" xfId="42" applyNumberFormat="1" applyFont="1" applyFill="1" applyAlignment="1" applyProtection="1">
      <alignment horizontal="center"/>
      <protection locked="0"/>
    </xf>
    <xf numFmtId="4" fontId="9" fillId="7" borderId="0" xfId="42" applyNumberFormat="1" applyFont="1" applyFill="1" applyAlignment="1" applyProtection="1">
      <alignment horizontal="center"/>
      <protection locked="0"/>
    </xf>
    <xf numFmtId="0" fontId="41" fillId="7" borderId="0" xfId="40" applyFont="1" applyFill="1"/>
    <xf numFmtId="171" fontId="22" fillId="7" borderId="0" xfId="42" applyNumberFormat="1" applyFont="1" applyFill="1" applyAlignment="1" applyProtection="1">
      <alignment horizontal="center"/>
      <protection locked="0"/>
    </xf>
    <xf numFmtId="0" fontId="31" fillId="7" borderId="0" xfId="0" applyFont="1" applyFill="1" applyAlignment="1">
      <alignment horizontal="left" vertical="center"/>
    </xf>
    <xf numFmtId="0" fontId="56" fillId="2" borderId="8" xfId="38" applyFont="1" applyFill="1" applyBorder="1" applyAlignment="1">
      <alignment horizontal="justify" vertical="center"/>
    </xf>
    <xf numFmtId="0" fontId="56" fillId="2" borderId="21" xfId="38" applyFont="1" applyFill="1" applyBorder="1" applyAlignment="1">
      <alignment horizontal="justify" vertical="center"/>
    </xf>
    <xf numFmtId="0" fontId="56" fillId="2" borderId="9" xfId="38" applyFont="1" applyFill="1" applyBorder="1" applyAlignment="1">
      <alignment horizontal="justify" vertical="center"/>
    </xf>
    <xf numFmtId="0" fontId="31" fillId="2" borderId="33" xfId="0" applyFont="1" applyFill="1" applyBorder="1" applyAlignment="1" applyProtection="1">
      <alignment horizontal="center"/>
      <protection locked="0"/>
    </xf>
    <xf numFmtId="0" fontId="31" fillId="2" borderId="16" xfId="0" applyFont="1" applyFill="1" applyBorder="1" applyAlignment="1" applyProtection="1">
      <alignment horizontal="center"/>
      <protection locked="0"/>
    </xf>
    <xf numFmtId="0" fontId="31" fillId="2" borderId="26" xfId="0" applyFont="1" applyFill="1" applyBorder="1" applyAlignment="1" applyProtection="1">
      <alignment horizontal="center"/>
      <protection locked="0"/>
    </xf>
    <xf numFmtId="0" fontId="31" fillId="7" borderId="0" xfId="0" applyFont="1" applyFill="1" applyAlignment="1">
      <alignment horizontal="center"/>
    </xf>
    <xf numFmtId="0" fontId="12" fillId="7" borderId="0" xfId="0" applyFont="1" applyFill="1" applyAlignment="1">
      <alignment horizontal="center"/>
    </xf>
    <xf numFmtId="0" fontId="35" fillId="7" borderId="0" xfId="0" applyFont="1" applyFill="1" applyAlignment="1">
      <alignment horizontal="center"/>
    </xf>
    <xf numFmtId="0" fontId="18" fillId="7" borderId="0" xfId="0" applyFont="1" applyFill="1" applyAlignment="1">
      <alignment horizontal="center"/>
    </xf>
    <xf numFmtId="0" fontId="31" fillId="0" borderId="6" xfId="2" applyBorder="1" applyAlignment="1" applyProtection="1">
      <alignment horizontal="center" vertical="center"/>
      <protection locked="0"/>
    </xf>
    <xf numFmtId="0" fontId="10" fillId="7" borderId="7" xfId="80" applyFont="1" applyFill="1" applyBorder="1" applyAlignment="1">
      <alignment horizontal="center" vertical="top"/>
    </xf>
    <xf numFmtId="0" fontId="27" fillId="0" borderId="6" xfId="80" applyFont="1" applyBorder="1" applyAlignment="1" applyProtection="1">
      <alignment horizontal="center"/>
      <protection locked="0"/>
    </xf>
    <xf numFmtId="0" fontId="27" fillId="2" borderId="6" xfId="80" applyFont="1" applyFill="1" applyBorder="1" applyAlignment="1" applyProtection="1">
      <alignment horizontal="center"/>
      <protection locked="0"/>
    </xf>
    <xf numFmtId="0" fontId="9" fillId="0" borderId="6" xfId="0" applyFont="1" applyBorder="1" applyAlignment="1" applyProtection="1">
      <alignment horizontal="center"/>
      <protection locked="0"/>
    </xf>
    <xf numFmtId="0" fontId="19" fillId="7" borderId="7" xfId="80" applyFont="1" applyFill="1" applyBorder="1" applyAlignment="1">
      <alignment horizontal="center" vertical="top"/>
    </xf>
    <xf numFmtId="0" fontId="9" fillId="0" borderId="0" xfId="0" applyFont="1" applyAlignment="1" applyProtection="1">
      <alignment horizontal="center"/>
      <protection locked="0"/>
    </xf>
    <xf numFmtId="0" fontId="17" fillId="7" borderId="0" xfId="0" applyFont="1" applyFill="1" applyAlignment="1">
      <alignment horizontal="center"/>
    </xf>
    <xf numFmtId="0" fontId="45" fillId="7" borderId="0" xfId="0" applyFont="1" applyFill="1" applyAlignment="1">
      <alignment horizontal="center"/>
    </xf>
    <xf numFmtId="0" fontId="46" fillId="7" borderId="169" xfId="0" applyFont="1" applyFill="1" applyBorder="1" applyAlignment="1">
      <alignment horizontal="center" vertical="center" wrapText="1" shrinkToFit="1"/>
    </xf>
    <xf numFmtId="0" fontId="46" fillId="7" borderId="171" xfId="0" applyFont="1" applyFill="1" applyBorder="1" applyAlignment="1">
      <alignment horizontal="center" vertical="center" wrapText="1" shrinkToFit="1"/>
    </xf>
    <xf numFmtId="0" fontId="31" fillId="7" borderId="0" xfId="0" applyFont="1" applyFill="1" applyAlignment="1">
      <alignment horizontal="justify" vertical="top" wrapText="1" shrinkToFit="1"/>
    </xf>
    <xf numFmtId="0" fontId="17" fillId="7" borderId="160" xfId="0" applyFont="1" applyFill="1" applyBorder="1" applyAlignment="1">
      <alignment horizontal="justify" vertical="top" wrapText="1" shrinkToFit="1"/>
    </xf>
    <xf numFmtId="0" fontId="9" fillId="7" borderId="0" xfId="80" applyFont="1" applyFill="1" applyAlignment="1">
      <alignment horizontal="center"/>
    </xf>
    <xf numFmtId="0" fontId="9" fillId="7" borderId="6" xfId="80" applyFont="1" applyFill="1" applyBorder="1" applyAlignment="1">
      <alignment horizontal="center"/>
    </xf>
    <xf numFmtId="0" fontId="17" fillId="7" borderId="0" xfId="117" applyFont="1" applyFill="1" applyAlignment="1">
      <alignment horizontal="justify" wrapText="1"/>
    </xf>
    <xf numFmtId="0" fontId="31" fillId="0" borderId="6" xfId="0" applyFont="1" applyBorder="1" applyAlignment="1" applyProtection="1">
      <alignment horizontal="center"/>
      <protection locked="0"/>
    </xf>
    <xf numFmtId="0" fontId="12" fillId="7" borderId="205" xfId="117" applyFont="1" applyFill="1" applyBorder="1" applyAlignment="1">
      <alignment horizontal="center" vertical="center"/>
    </xf>
    <xf numFmtId="0" fontId="12" fillId="7" borderId="169" xfId="117" applyFont="1" applyFill="1" applyBorder="1" applyAlignment="1">
      <alignment horizontal="center" vertical="center"/>
    </xf>
    <xf numFmtId="0" fontId="12" fillId="7" borderId="206" xfId="117" applyFont="1" applyFill="1" applyBorder="1" applyAlignment="1">
      <alignment horizontal="center" vertical="center"/>
    </xf>
    <xf numFmtId="0" fontId="12" fillId="7" borderId="4" xfId="117" applyFont="1" applyFill="1" applyBorder="1" applyAlignment="1">
      <alignment horizontal="center" vertical="center"/>
    </xf>
    <xf numFmtId="0" fontId="12" fillId="7" borderId="5" xfId="117" applyFont="1" applyFill="1" applyBorder="1" applyAlignment="1">
      <alignment horizontal="center" vertical="center"/>
    </xf>
    <xf numFmtId="0" fontId="12" fillId="7" borderId="12" xfId="117" applyFont="1" applyFill="1" applyBorder="1" applyAlignment="1">
      <alignment horizontal="center" vertical="center"/>
    </xf>
    <xf numFmtId="0" fontId="14" fillId="7" borderId="0" xfId="0" applyFont="1" applyFill="1" applyAlignment="1">
      <alignment horizontal="left" vertical="center"/>
    </xf>
    <xf numFmtId="0" fontId="12" fillId="7" borderId="8" xfId="117" applyFont="1" applyFill="1" applyBorder="1" applyAlignment="1">
      <alignment horizontal="center" vertical="center"/>
    </xf>
    <xf numFmtId="0" fontId="12" fillId="7" borderId="21" xfId="117" applyFont="1" applyFill="1" applyBorder="1" applyAlignment="1">
      <alignment horizontal="center" vertical="center"/>
    </xf>
    <xf numFmtId="0" fontId="12" fillId="7" borderId="9" xfId="117" applyFont="1" applyFill="1" applyBorder="1" applyAlignment="1">
      <alignment horizontal="center" vertical="center"/>
    </xf>
    <xf numFmtId="3" fontId="31" fillId="0" borderId="90" xfId="117" applyNumberFormat="1" applyFont="1" applyBorder="1" applyAlignment="1" applyProtection="1">
      <alignment horizontal="center" vertical="center"/>
      <protection locked="0"/>
    </xf>
    <xf numFmtId="3" fontId="31" fillId="0" borderId="70" xfId="117" applyNumberFormat="1" applyFont="1" applyBorder="1" applyAlignment="1" applyProtection="1">
      <alignment horizontal="center" vertical="center"/>
      <protection locked="0"/>
    </xf>
    <xf numFmtId="3" fontId="31" fillId="0" borderId="91" xfId="117" applyNumberFormat="1" applyFont="1" applyBorder="1" applyAlignment="1" applyProtection="1">
      <alignment horizontal="center" vertical="center"/>
      <protection locked="0"/>
    </xf>
    <xf numFmtId="0" fontId="31" fillId="7" borderId="80" xfId="117" applyFont="1" applyFill="1" applyBorder="1" applyAlignment="1">
      <alignment horizontal="left" vertical="center"/>
    </xf>
    <xf numFmtId="0" fontId="31" fillId="7" borderId="81" xfId="117" applyFont="1" applyFill="1" applyBorder="1" applyAlignment="1">
      <alignment horizontal="left" vertical="center"/>
    </xf>
    <xf numFmtId="0" fontId="31" fillId="7" borderId="84" xfId="117" applyFont="1" applyFill="1" applyBorder="1" applyAlignment="1">
      <alignment horizontal="left" vertical="center"/>
    </xf>
    <xf numFmtId="0" fontId="31" fillId="7" borderId="204" xfId="117" applyFont="1" applyFill="1" applyBorder="1" applyAlignment="1">
      <alignment horizontal="left" vertical="center"/>
    </xf>
    <xf numFmtId="0" fontId="31" fillId="7" borderId="160" xfId="117" applyFont="1" applyFill="1" applyBorder="1" applyAlignment="1">
      <alignment horizontal="left" vertical="center"/>
    </xf>
    <xf numFmtId="0" fontId="31" fillId="7" borderId="153" xfId="117" applyFont="1" applyFill="1" applyBorder="1" applyAlignment="1">
      <alignment horizontal="left" vertical="center"/>
    </xf>
    <xf numFmtId="0" fontId="31" fillId="7" borderId="90" xfId="117" applyFont="1" applyFill="1" applyBorder="1" applyAlignment="1">
      <alignment horizontal="left" vertical="center"/>
    </xf>
    <xf numFmtId="0" fontId="31" fillId="7" borderId="70" xfId="117" applyFont="1" applyFill="1" applyBorder="1" applyAlignment="1">
      <alignment horizontal="left" vertical="center"/>
    </xf>
    <xf numFmtId="0" fontId="31" fillId="7" borderId="91" xfId="117" applyFont="1" applyFill="1" applyBorder="1" applyAlignment="1">
      <alignment horizontal="left" vertical="center"/>
    </xf>
    <xf numFmtId="3" fontId="31" fillId="0" borderId="80" xfId="117" applyNumberFormat="1" applyFont="1" applyBorder="1" applyAlignment="1" applyProtection="1">
      <alignment horizontal="center" vertical="center"/>
      <protection locked="0"/>
    </xf>
    <xf numFmtId="3" fontId="31" fillId="0" borderId="81" xfId="117" applyNumberFormat="1" applyFont="1" applyBorder="1" applyAlignment="1" applyProtection="1">
      <alignment horizontal="center" vertical="center"/>
      <protection locked="0"/>
    </xf>
    <xf numFmtId="3" fontId="31" fillId="0" borderId="84" xfId="117" applyNumberFormat="1" applyFont="1" applyBorder="1" applyAlignment="1" applyProtection="1">
      <alignment horizontal="center" vertical="center"/>
      <protection locked="0"/>
    </xf>
    <xf numFmtId="3" fontId="31" fillId="0" borderId="204" xfId="117" applyNumberFormat="1" applyFont="1" applyBorder="1" applyAlignment="1" applyProtection="1">
      <alignment horizontal="center" vertical="center"/>
      <protection locked="0"/>
    </xf>
    <xf numFmtId="3" fontId="31" fillId="0" borderId="160" xfId="117" applyNumberFormat="1" applyFont="1" applyBorder="1" applyAlignment="1" applyProtection="1">
      <alignment horizontal="center" vertical="center"/>
      <protection locked="0"/>
    </xf>
    <xf numFmtId="3" fontId="31" fillId="0" borderId="153" xfId="117" applyNumberFormat="1" applyFont="1" applyBorder="1" applyAlignment="1" applyProtection="1">
      <alignment horizontal="center" vertical="center"/>
      <protection locked="0"/>
    </xf>
    <xf numFmtId="3" fontId="12" fillId="7" borderId="205" xfId="117" applyNumberFormat="1" applyFont="1" applyFill="1" applyBorder="1" applyAlignment="1">
      <alignment horizontal="center" vertical="center"/>
    </xf>
    <xf numFmtId="3" fontId="12" fillId="7" borderId="169" xfId="117" applyNumberFormat="1" applyFont="1" applyFill="1" applyBorder="1" applyAlignment="1">
      <alignment horizontal="center" vertical="center"/>
    </xf>
    <xf numFmtId="3" fontId="12" fillId="7" borderId="206" xfId="117" applyNumberFormat="1" applyFont="1" applyFill="1" applyBorder="1" applyAlignment="1">
      <alignment horizontal="center" vertical="center"/>
    </xf>
    <xf numFmtId="3" fontId="12" fillId="7" borderId="4" xfId="117" applyNumberFormat="1" applyFont="1" applyFill="1" applyBorder="1" applyAlignment="1">
      <alignment horizontal="center" vertical="center"/>
    </xf>
    <xf numFmtId="3" fontId="12" fillId="7" borderId="5" xfId="117" applyNumberFormat="1" applyFont="1" applyFill="1" applyBorder="1" applyAlignment="1">
      <alignment horizontal="center" vertical="center"/>
    </xf>
    <xf numFmtId="3" fontId="12" fillId="7" borderId="12" xfId="117" applyNumberFormat="1" applyFont="1" applyFill="1" applyBorder="1" applyAlignment="1">
      <alignment horizontal="center" vertical="center"/>
    </xf>
    <xf numFmtId="3" fontId="13" fillId="7" borderId="115" xfId="0" applyNumberFormat="1" applyFont="1" applyFill="1" applyBorder="1" applyAlignment="1">
      <alignment horizontal="center" vertical="center"/>
    </xf>
    <xf numFmtId="3" fontId="13" fillId="7" borderId="118" xfId="0" applyNumberFormat="1" applyFont="1" applyFill="1" applyBorder="1" applyAlignment="1">
      <alignment horizontal="center" vertical="center"/>
    </xf>
    <xf numFmtId="3" fontId="16" fillId="0" borderId="15" xfId="0" applyNumberFormat="1" applyFont="1" applyBorder="1" applyAlignment="1" applyProtection="1">
      <alignment horizontal="center" vertical="center"/>
      <protection locked="0"/>
    </xf>
    <xf numFmtId="3" fontId="16" fillId="0" borderId="16" xfId="0" applyNumberFormat="1" applyFont="1" applyBorder="1" applyAlignment="1" applyProtection="1">
      <alignment horizontal="center" vertical="center"/>
      <protection locked="0"/>
    </xf>
    <xf numFmtId="3" fontId="16" fillId="0" borderId="26" xfId="0" applyNumberFormat="1" applyFont="1" applyBorder="1" applyAlignment="1" applyProtection="1">
      <alignment horizontal="center" vertical="center"/>
      <protection locked="0"/>
    </xf>
    <xf numFmtId="3" fontId="16" fillId="0" borderId="33" xfId="0" applyNumberFormat="1" applyFont="1" applyBorder="1" applyAlignment="1" applyProtection="1">
      <alignment horizontal="center" vertical="center"/>
      <protection locked="0"/>
    </xf>
    <xf numFmtId="3" fontId="16" fillId="0" borderId="19" xfId="0" applyNumberFormat="1" applyFont="1" applyBorder="1" applyAlignment="1" applyProtection="1">
      <alignment horizontal="center" vertical="center"/>
      <protection locked="0"/>
    </xf>
    <xf numFmtId="3" fontId="16" fillId="0" borderId="42" xfId="0" applyNumberFormat="1" applyFont="1" applyBorder="1" applyAlignment="1" applyProtection="1">
      <alignment horizontal="center" vertical="center"/>
      <protection locked="0"/>
    </xf>
    <xf numFmtId="3" fontId="13" fillId="7" borderId="43" xfId="0" applyNumberFormat="1" applyFont="1" applyFill="1" applyBorder="1" applyAlignment="1">
      <alignment horizontal="center" vertical="center"/>
    </xf>
    <xf numFmtId="3" fontId="13" fillId="7" borderId="16" xfId="0" applyNumberFormat="1" applyFont="1" applyFill="1" applyBorder="1" applyAlignment="1">
      <alignment horizontal="center" vertical="center"/>
    </xf>
    <xf numFmtId="3" fontId="13" fillId="7" borderId="26" xfId="0" applyNumberFormat="1" applyFont="1" applyFill="1" applyBorder="1" applyAlignment="1">
      <alignment horizontal="center" vertical="center"/>
    </xf>
    <xf numFmtId="3" fontId="13" fillId="7" borderId="19" xfId="0" applyNumberFormat="1" applyFont="1" applyFill="1" applyBorder="1" applyAlignment="1">
      <alignment horizontal="center" vertical="center"/>
    </xf>
    <xf numFmtId="3" fontId="13" fillId="7" borderId="127" xfId="0" applyNumberFormat="1" applyFont="1" applyFill="1" applyBorder="1" applyAlignment="1">
      <alignment horizontal="center" vertical="center"/>
    </xf>
    <xf numFmtId="3" fontId="13" fillId="7" borderId="122"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13" fillId="7" borderId="2" xfId="0" applyFont="1" applyFill="1" applyBorder="1" applyAlignment="1">
      <alignment horizontal="center" vertical="center"/>
    </xf>
    <xf numFmtId="0" fontId="13" fillId="7" borderId="10" xfId="0" applyFont="1" applyFill="1" applyBorder="1" applyAlignment="1">
      <alignment horizontal="center" vertical="center"/>
    </xf>
    <xf numFmtId="0" fontId="13" fillId="7" borderId="3" xfId="0" applyFont="1" applyFill="1" applyBorder="1" applyAlignment="1">
      <alignment horizontal="center" vertical="center"/>
    </xf>
    <xf numFmtId="0" fontId="13" fillId="7" borderId="0" xfId="0" applyFont="1" applyFill="1" applyAlignment="1">
      <alignment horizontal="center" vertical="center"/>
    </xf>
    <xf numFmtId="0" fontId="13" fillId="7" borderId="11" xfId="0" applyFont="1" applyFill="1" applyBorder="1" applyAlignment="1">
      <alignment horizontal="center" vertical="center"/>
    </xf>
    <xf numFmtId="0" fontId="13" fillId="7" borderId="4" xfId="0" applyFont="1" applyFill="1" applyBorder="1" applyAlignment="1">
      <alignment horizontal="center" vertical="center"/>
    </xf>
    <xf numFmtId="0" fontId="13" fillId="7" borderId="5" xfId="0" applyFont="1" applyFill="1" applyBorder="1" applyAlignment="1">
      <alignment horizontal="center" vertical="center"/>
    </xf>
    <xf numFmtId="0" fontId="13" fillId="7" borderId="12" xfId="0" applyFont="1" applyFill="1" applyBorder="1" applyAlignment="1">
      <alignment horizontal="center" vertical="center"/>
    </xf>
    <xf numFmtId="0" fontId="13" fillId="7" borderId="37" xfId="0" applyFont="1" applyFill="1" applyBorder="1" applyAlignment="1">
      <alignment horizontal="center" vertical="center"/>
    </xf>
    <xf numFmtId="0" fontId="13" fillId="7" borderId="6" xfId="0" applyFont="1" applyFill="1" applyBorder="1" applyAlignment="1">
      <alignment horizontal="center" vertical="center"/>
    </xf>
    <xf numFmtId="0" fontId="13" fillId="7" borderId="52" xfId="0" applyFont="1" applyFill="1" applyBorder="1" applyAlignment="1">
      <alignment horizontal="center" vertical="center"/>
    </xf>
    <xf numFmtId="0" fontId="13" fillId="7" borderId="103" xfId="0" applyFont="1" applyFill="1" applyBorder="1" applyAlignment="1">
      <alignment horizontal="center" vertical="center"/>
    </xf>
    <xf numFmtId="0" fontId="13" fillId="7" borderId="46" xfId="0" applyFont="1" applyFill="1" applyBorder="1" applyAlignment="1">
      <alignment horizontal="center" vertical="center"/>
    </xf>
    <xf numFmtId="0" fontId="13" fillId="7" borderId="114" xfId="0" applyFont="1" applyFill="1" applyBorder="1" applyAlignment="1">
      <alignment horizontal="center" vertical="center"/>
    </xf>
    <xf numFmtId="0" fontId="13" fillId="7" borderId="115" xfId="0" applyFont="1" applyFill="1" applyBorder="1" applyAlignment="1">
      <alignment horizontal="center" vertical="center"/>
    </xf>
    <xf numFmtId="0" fontId="13" fillId="7" borderId="118" xfId="0" applyFont="1" applyFill="1" applyBorder="1" applyAlignment="1">
      <alignment horizontal="center" vertical="center"/>
    </xf>
    <xf numFmtId="3" fontId="13" fillId="7" borderId="114" xfId="0" applyNumberFormat="1" applyFont="1" applyFill="1" applyBorder="1" applyAlignment="1">
      <alignment horizontal="center" vertical="center"/>
    </xf>
    <xf numFmtId="3" fontId="13" fillId="7" borderId="123" xfId="0" applyNumberFormat="1" applyFont="1" applyFill="1" applyBorder="1" applyAlignment="1">
      <alignment horizontal="center" vertical="center"/>
    </xf>
    <xf numFmtId="3" fontId="13" fillId="7" borderId="126" xfId="0" applyNumberFormat="1" applyFont="1" applyFill="1" applyBorder="1" applyAlignment="1">
      <alignment horizontal="center" vertical="center"/>
    </xf>
    <xf numFmtId="0" fontId="9" fillId="7" borderId="6" xfId="0" applyFont="1" applyFill="1" applyBorder="1" applyAlignment="1">
      <alignment horizontal="center"/>
    </xf>
    <xf numFmtId="0" fontId="13" fillId="7" borderId="2" xfId="0" applyFont="1" applyFill="1" applyBorder="1" applyAlignment="1">
      <alignment horizontal="center" vertical="center" wrapText="1"/>
    </xf>
    <xf numFmtId="0" fontId="13" fillId="7" borderId="10" xfId="0" applyFont="1" applyFill="1" applyBorder="1" applyAlignment="1">
      <alignment horizontal="center" vertical="center" wrapText="1"/>
    </xf>
    <xf numFmtId="0" fontId="13" fillId="7" borderId="6" xfId="0" applyFont="1" applyFill="1" applyBorder="1" applyAlignment="1">
      <alignment horizontal="center" vertical="center" shrinkToFit="1"/>
    </xf>
    <xf numFmtId="0" fontId="13" fillId="7" borderId="52" xfId="0" applyFont="1" applyFill="1" applyBorder="1" applyAlignment="1">
      <alignment horizontal="center" vertical="center" shrinkToFit="1"/>
    </xf>
    <xf numFmtId="0" fontId="13" fillId="7" borderId="22" xfId="0" applyFont="1" applyFill="1" applyBorder="1" applyAlignment="1">
      <alignment horizontal="center" vertical="center"/>
    </xf>
    <xf numFmtId="0" fontId="13" fillId="7" borderId="23" xfId="0" applyFont="1" applyFill="1" applyBorder="1" applyAlignment="1">
      <alignment horizontal="center" vertical="center"/>
    </xf>
    <xf numFmtId="0" fontId="13" fillId="7" borderId="24" xfId="0" applyFont="1" applyFill="1" applyBorder="1" applyAlignment="1">
      <alignment horizontal="center" vertical="center"/>
    </xf>
    <xf numFmtId="0" fontId="13" fillId="7" borderId="50" xfId="0" applyFont="1" applyFill="1" applyBorder="1" applyAlignment="1">
      <alignment horizontal="center" vertical="center"/>
    </xf>
    <xf numFmtId="0" fontId="13" fillId="7" borderId="39" xfId="0" applyFont="1" applyFill="1" applyBorder="1" applyAlignment="1">
      <alignment horizontal="center" vertical="center"/>
    </xf>
    <xf numFmtId="0" fontId="16" fillId="7" borderId="13" xfId="0" applyFont="1" applyFill="1" applyBorder="1" applyAlignment="1">
      <alignment horizontal="center"/>
    </xf>
    <xf numFmtId="0" fontId="16" fillId="7" borderId="14" xfId="0" applyFont="1" applyFill="1" applyBorder="1" applyAlignment="1">
      <alignment horizontal="center"/>
    </xf>
    <xf numFmtId="0" fontId="16" fillId="7" borderId="18" xfId="0" applyFont="1" applyFill="1" applyBorder="1" applyAlignment="1">
      <alignment horizontal="center"/>
    </xf>
    <xf numFmtId="0" fontId="18" fillId="7" borderId="0" xfId="0" applyFont="1" applyFill="1" applyAlignment="1">
      <alignment horizontal="justify" wrapText="1"/>
    </xf>
    <xf numFmtId="0" fontId="9" fillId="7" borderId="0" xfId="0" applyFont="1" applyFill="1" applyAlignment="1">
      <alignment horizontal="justify" vertical="top" wrapText="1"/>
    </xf>
    <xf numFmtId="3" fontId="16" fillId="0" borderId="75" xfId="69" applyNumberFormat="1" applyFont="1" applyBorder="1" applyAlignment="1" applyProtection="1">
      <alignment horizontal="center" vertical="center"/>
      <protection locked="0"/>
    </xf>
    <xf numFmtId="3" fontId="16" fillId="0" borderId="71" xfId="69" applyNumberFormat="1" applyFont="1" applyBorder="1" applyAlignment="1" applyProtection="1">
      <alignment horizontal="center" vertical="center"/>
      <protection locked="0"/>
    </xf>
    <xf numFmtId="3" fontId="16" fillId="0" borderId="74" xfId="69" applyNumberFormat="1" applyFont="1" applyBorder="1" applyAlignment="1" applyProtection="1">
      <alignment horizontal="center" vertical="center"/>
      <protection locked="0"/>
    </xf>
    <xf numFmtId="3" fontId="16" fillId="0" borderId="69" xfId="69" applyNumberFormat="1" applyFont="1" applyBorder="1" applyAlignment="1" applyProtection="1">
      <alignment horizontal="center" vertical="center"/>
      <protection locked="0"/>
    </xf>
    <xf numFmtId="3" fontId="16" fillId="0" borderId="79" xfId="69" applyNumberFormat="1" applyFont="1" applyBorder="1" applyAlignment="1" applyProtection="1">
      <alignment horizontal="center" vertical="center"/>
      <protection locked="0"/>
    </xf>
    <xf numFmtId="0" fontId="13" fillId="7" borderId="23" xfId="69" applyFont="1" applyFill="1" applyBorder="1" applyAlignment="1">
      <alignment horizontal="center" vertical="center"/>
    </xf>
    <xf numFmtId="0" fontId="13" fillId="7" borderId="31" xfId="69" applyFont="1" applyFill="1" applyBorder="1" applyAlignment="1">
      <alignment horizontal="center" vertical="center"/>
    </xf>
    <xf numFmtId="0" fontId="31" fillId="7" borderId="6" xfId="69" applyFill="1" applyBorder="1" applyAlignment="1">
      <alignment horizontal="center"/>
    </xf>
    <xf numFmtId="0" fontId="14" fillId="7" borderId="90" xfId="69" applyFont="1" applyFill="1" applyBorder="1" applyAlignment="1">
      <alignment horizontal="left" vertical="center" indent="1"/>
    </xf>
    <xf numFmtId="0" fontId="14" fillId="7" borderId="70" xfId="69" applyFont="1" applyFill="1" applyBorder="1" applyAlignment="1">
      <alignment horizontal="left" vertical="center" indent="1"/>
    </xf>
    <xf numFmtId="0" fontId="14" fillId="7" borderId="91" xfId="69" applyFont="1" applyFill="1" applyBorder="1" applyAlignment="1">
      <alignment horizontal="left" vertical="center" indent="1"/>
    </xf>
    <xf numFmtId="0" fontId="14" fillId="7" borderId="69" xfId="69" applyFont="1" applyFill="1" applyBorder="1" applyAlignment="1">
      <alignment horizontal="left" vertical="center" indent="1"/>
    </xf>
    <xf numFmtId="0" fontId="14" fillId="7" borderId="71" xfId="69" applyFont="1" applyFill="1" applyBorder="1" applyAlignment="1">
      <alignment horizontal="left" vertical="center" indent="1"/>
    </xf>
    <xf numFmtId="0" fontId="14" fillId="7" borderId="74" xfId="69" applyFont="1" applyFill="1" applyBorder="1" applyAlignment="1">
      <alignment horizontal="left" vertical="center" indent="1"/>
    </xf>
    <xf numFmtId="0" fontId="19" fillId="7" borderId="7" xfId="80" applyFont="1" applyFill="1" applyBorder="1" applyAlignment="1">
      <alignment horizontal="center"/>
    </xf>
    <xf numFmtId="0" fontId="13" fillId="7" borderId="0" xfId="69" applyFont="1" applyFill="1" applyAlignment="1">
      <alignment horizontal="justify" vertical="top" wrapText="1"/>
    </xf>
    <xf numFmtId="0" fontId="13" fillId="7" borderId="1" xfId="69" applyFont="1" applyFill="1" applyBorder="1" applyAlignment="1">
      <alignment horizontal="center" vertical="center"/>
    </xf>
    <xf numFmtId="0" fontId="13" fillId="7" borderId="2" xfId="69" applyFont="1" applyFill="1" applyBorder="1" applyAlignment="1">
      <alignment horizontal="center" vertical="center"/>
    </xf>
    <xf numFmtId="0" fontId="13" fillId="7" borderId="10" xfId="69" applyFont="1" applyFill="1" applyBorder="1" applyAlignment="1">
      <alignment horizontal="center" vertical="center"/>
    </xf>
    <xf numFmtId="0" fontId="13" fillId="7" borderId="3" xfId="69" applyFont="1" applyFill="1" applyBorder="1" applyAlignment="1">
      <alignment horizontal="center" vertical="center"/>
    </xf>
    <xf numFmtId="0" fontId="13" fillId="7" borderId="0" xfId="69" applyFont="1" applyFill="1" applyAlignment="1">
      <alignment horizontal="center" vertical="center"/>
    </xf>
    <xf numFmtId="0" fontId="13" fillId="7" borderId="11" xfId="69" applyFont="1" applyFill="1" applyBorder="1" applyAlignment="1">
      <alignment horizontal="center" vertical="center"/>
    </xf>
    <xf numFmtId="0" fontId="13" fillId="7" borderId="4" xfId="69" applyFont="1" applyFill="1" applyBorder="1" applyAlignment="1">
      <alignment horizontal="center" vertical="center"/>
    </xf>
    <xf numFmtId="0" fontId="13" fillId="7" borderId="5" xfId="69" applyFont="1" applyFill="1" applyBorder="1" applyAlignment="1">
      <alignment horizontal="center" vertical="center"/>
    </xf>
    <xf numFmtId="0" fontId="13" fillId="7" borderId="12" xfId="69" applyFont="1" applyFill="1" applyBorder="1" applyAlignment="1">
      <alignment horizontal="center" vertical="center"/>
    </xf>
    <xf numFmtId="0" fontId="13" fillId="7" borderId="21" xfId="69" applyFont="1" applyFill="1" applyBorder="1" applyAlignment="1">
      <alignment horizontal="center" vertical="center"/>
    </xf>
    <xf numFmtId="0" fontId="13" fillId="7" borderId="9" xfId="69" applyFont="1" applyFill="1" applyBorder="1" applyAlignment="1">
      <alignment horizontal="center" vertical="center"/>
    </xf>
    <xf numFmtId="0" fontId="13" fillId="7" borderId="2" xfId="69" applyFont="1" applyFill="1" applyBorder="1" applyAlignment="1">
      <alignment horizontal="center" vertical="center" wrapText="1" shrinkToFit="1"/>
    </xf>
    <xf numFmtId="0" fontId="13" fillId="7" borderId="2" xfId="69" applyFont="1" applyFill="1" applyBorder="1" applyAlignment="1">
      <alignment horizontal="center" vertical="center" shrinkToFit="1"/>
    </xf>
    <xf numFmtId="0" fontId="13" fillId="7" borderId="10" xfId="69" applyFont="1" applyFill="1" applyBorder="1" applyAlignment="1">
      <alignment horizontal="center" vertical="center" shrinkToFit="1"/>
    </xf>
    <xf numFmtId="0" fontId="13" fillId="7" borderId="6" xfId="69" applyFont="1" applyFill="1" applyBorder="1" applyAlignment="1">
      <alignment horizontal="center" vertical="center" shrinkToFit="1"/>
    </xf>
    <xf numFmtId="0" fontId="13" fillId="7" borderId="52" xfId="69" applyFont="1" applyFill="1" applyBorder="1" applyAlignment="1">
      <alignment horizontal="center" vertical="center" shrinkToFit="1"/>
    </xf>
    <xf numFmtId="0" fontId="13" fillId="7" borderId="22" xfId="69" applyFont="1" applyFill="1" applyBorder="1" applyAlignment="1">
      <alignment horizontal="center" vertical="center"/>
    </xf>
    <xf numFmtId="0" fontId="13" fillId="7" borderId="24" xfId="69" applyFont="1" applyFill="1" applyBorder="1" applyAlignment="1">
      <alignment horizontal="center" vertical="center"/>
    </xf>
    <xf numFmtId="0" fontId="31" fillId="7" borderId="0" xfId="80" applyFont="1" applyFill="1" applyAlignment="1">
      <alignment horizontal="center"/>
    </xf>
    <xf numFmtId="0" fontId="31" fillId="7" borderId="6" xfId="80" applyFont="1" applyFill="1" applyBorder="1" applyAlignment="1">
      <alignment horizontal="center"/>
    </xf>
    <xf numFmtId="3" fontId="16" fillId="0" borderId="72" xfId="69" applyNumberFormat="1" applyFont="1" applyBorder="1" applyAlignment="1" applyProtection="1">
      <alignment horizontal="center" vertical="center"/>
      <protection locked="0"/>
    </xf>
    <xf numFmtId="3" fontId="16" fillId="0" borderId="73" xfId="69" applyNumberFormat="1" applyFont="1" applyBorder="1" applyAlignment="1" applyProtection="1">
      <alignment horizontal="center" vertical="center"/>
      <protection locked="0"/>
    </xf>
    <xf numFmtId="3" fontId="16" fillId="0" borderId="77" xfId="69" applyNumberFormat="1" applyFont="1" applyBorder="1" applyAlignment="1" applyProtection="1">
      <alignment horizontal="center" vertical="center"/>
      <protection locked="0"/>
    </xf>
    <xf numFmtId="3" fontId="16" fillId="0" borderId="78" xfId="69" applyNumberFormat="1" applyFont="1" applyBorder="1" applyAlignment="1" applyProtection="1">
      <alignment horizontal="center" vertical="center"/>
      <protection locked="0"/>
    </xf>
    <xf numFmtId="3" fontId="16" fillId="0" borderId="76" xfId="69" applyNumberFormat="1" applyFont="1" applyBorder="1" applyAlignment="1" applyProtection="1">
      <alignment horizontal="center" vertical="center"/>
      <protection locked="0"/>
    </xf>
    <xf numFmtId="0" fontId="16" fillId="7" borderId="71" xfId="69" applyFont="1" applyFill="1" applyBorder="1" applyAlignment="1">
      <alignment horizontal="left" vertical="center" wrapText="1"/>
    </xf>
    <xf numFmtId="0" fontId="16" fillId="7" borderId="74" xfId="69" applyFont="1" applyFill="1" applyBorder="1" applyAlignment="1">
      <alignment horizontal="left" vertical="center" wrapText="1"/>
    </xf>
    <xf numFmtId="0" fontId="16" fillId="7" borderId="71" xfId="69" applyFont="1" applyFill="1" applyBorder="1" applyAlignment="1">
      <alignment horizontal="justify" vertical="center" wrapText="1"/>
    </xf>
    <xf numFmtId="0" fontId="16" fillId="7" borderId="74" xfId="69" applyFont="1" applyFill="1" applyBorder="1" applyAlignment="1">
      <alignment horizontal="justify" vertical="center" wrapText="1"/>
    </xf>
    <xf numFmtId="0" fontId="31" fillId="7" borderId="0" xfId="111" applyFont="1" applyFill="1" applyAlignment="1">
      <alignment horizontal="left"/>
    </xf>
    <xf numFmtId="0" fontId="13" fillId="7" borderId="8" xfId="20" applyFont="1" applyFill="1" applyBorder="1" applyAlignment="1">
      <alignment horizontal="center" vertical="center"/>
    </xf>
    <xf numFmtId="0" fontId="13" fillId="7" borderId="21" xfId="20" applyFont="1" applyFill="1" applyBorder="1" applyAlignment="1">
      <alignment horizontal="center" vertical="center"/>
    </xf>
    <xf numFmtId="0" fontId="13" fillId="7" borderId="9" xfId="20" applyFont="1" applyFill="1" applyBorder="1" applyAlignment="1">
      <alignment horizontal="center" vertical="center"/>
    </xf>
    <xf numFmtId="0" fontId="13" fillId="7" borderId="13" xfId="20" applyFont="1" applyFill="1" applyBorder="1" applyAlignment="1">
      <alignment horizontal="center" vertical="center" wrapText="1"/>
    </xf>
    <xf numFmtId="0" fontId="13" fillId="7" borderId="14" xfId="20" applyFont="1" applyFill="1" applyBorder="1" applyAlignment="1">
      <alignment horizontal="center" vertical="center" wrapText="1"/>
    </xf>
    <xf numFmtId="0" fontId="13" fillId="7" borderId="25" xfId="20" applyFont="1" applyFill="1" applyBorder="1" applyAlignment="1">
      <alignment horizontal="center" vertical="center" wrapText="1"/>
    </xf>
    <xf numFmtId="0" fontId="13" fillId="7" borderId="128" xfId="20" applyFont="1" applyFill="1" applyBorder="1" applyAlignment="1">
      <alignment horizontal="center" vertical="center" wrapText="1"/>
    </xf>
    <xf numFmtId="0" fontId="13" fillId="7" borderId="2" xfId="20" applyFont="1" applyFill="1" applyBorder="1" applyAlignment="1">
      <alignment horizontal="center" vertical="center" wrapText="1"/>
    </xf>
    <xf numFmtId="0" fontId="13" fillId="7" borderId="108" xfId="20" applyFont="1" applyFill="1" applyBorder="1" applyAlignment="1">
      <alignment horizontal="center" vertical="center" wrapText="1"/>
    </xf>
    <xf numFmtId="0" fontId="13" fillId="7" borderId="36" xfId="20" applyFont="1" applyFill="1" applyBorder="1" applyAlignment="1">
      <alignment horizontal="center" vertical="center" wrapText="1"/>
    </xf>
    <xf numFmtId="0" fontId="13" fillId="7" borderId="5" xfId="20" applyFont="1" applyFill="1" applyBorder="1" applyAlignment="1">
      <alignment horizontal="center" vertical="center" wrapText="1"/>
    </xf>
    <xf numFmtId="0" fontId="13" fillId="7" borderId="29" xfId="20" applyFont="1" applyFill="1" applyBorder="1" applyAlignment="1">
      <alignment horizontal="center" vertical="center" wrapText="1"/>
    </xf>
    <xf numFmtId="0" fontId="13" fillId="7" borderId="103" xfId="20" applyFont="1" applyFill="1" applyBorder="1" applyAlignment="1">
      <alignment horizontal="center" vertical="center" wrapText="1"/>
    </xf>
    <xf numFmtId="0" fontId="13" fillId="7" borderId="50" xfId="20" applyFont="1" applyFill="1" applyBorder="1" applyAlignment="1">
      <alignment horizontal="center" vertical="center" wrapText="1"/>
    </xf>
    <xf numFmtId="0" fontId="13" fillId="7" borderId="104" xfId="20" applyFont="1" applyFill="1" applyBorder="1" applyAlignment="1">
      <alignment horizontal="center" vertical="center" wrapText="1"/>
    </xf>
    <xf numFmtId="0" fontId="13" fillId="7" borderId="10" xfId="20" applyFont="1" applyFill="1" applyBorder="1" applyAlignment="1">
      <alignment horizontal="center" vertical="center" wrapText="1"/>
    </xf>
    <xf numFmtId="0" fontId="13" fillId="7" borderId="51" xfId="20" applyFont="1" applyFill="1" applyBorder="1" applyAlignment="1">
      <alignment horizontal="center" vertical="center" wrapText="1"/>
    </xf>
    <xf numFmtId="0" fontId="13" fillId="7" borderId="12" xfId="20" applyFont="1" applyFill="1" applyBorder="1" applyAlignment="1">
      <alignment horizontal="center" vertical="center" wrapText="1"/>
    </xf>
    <xf numFmtId="0" fontId="31" fillId="0" borderId="6" xfId="20" applyBorder="1" applyAlignment="1" applyProtection="1">
      <alignment horizontal="center"/>
      <protection locked="0"/>
    </xf>
    <xf numFmtId="0" fontId="13" fillId="7" borderId="22" xfId="20" applyFont="1" applyFill="1" applyBorder="1" applyAlignment="1">
      <alignment horizontal="center" vertical="center"/>
    </xf>
    <xf numFmtId="0" fontId="13" fillId="7" borderId="23" xfId="20" applyFont="1" applyFill="1" applyBorder="1" applyAlignment="1">
      <alignment horizontal="center" vertical="center"/>
    </xf>
    <xf numFmtId="0" fontId="13" fillId="7" borderId="24" xfId="20" applyFont="1" applyFill="1" applyBorder="1" applyAlignment="1">
      <alignment horizontal="center" vertical="center"/>
    </xf>
    <xf numFmtId="0" fontId="31" fillId="0" borderId="1" xfId="20" applyBorder="1" applyAlignment="1" applyProtection="1">
      <alignment horizontal="center" vertical="center"/>
      <protection locked="0"/>
    </xf>
    <xf numFmtId="0" fontId="31" fillId="0" borderId="2" xfId="20" applyBorder="1" applyAlignment="1" applyProtection="1">
      <alignment horizontal="center" vertical="center"/>
      <protection locked="0"/>
    </xf>
    <xf numFmtId="0" fontId="31" fillId="0" borderId="108" xfId="20" applyBorder="1" applyAlignment="1" applyProtection="1">
      <alignment horizontal="center" vertical="center"/>
      <protection locked="0"/>
    </xf>
    <xf numFmtId="0" fontId="31" fillId="0" borderId="4" xfId="20" applyBorder="1" applyAlignment="1" applyProtection="1">
      <alignment horizontal="center" vertical="center"/>
      <protection locked="0"/>
    </xf>
    <xf numFmtId="0" fontId="31" fillId="0" borderId="5" xfId="20" applyBorder="1" applyAlignment="1" applyProtection="1">
      <alignment horizontal="center" vertical="center"/>
      <protection locked="0"/>
    </xf>
    <xf numFmtId="0" fontId="31" fillId="0" borderId="29" xfId="20" applyBorder="1" applyAlignment="1" applyProtection="1">
      <alignment horizontal="center" vertical="center"/>
      <protection locked="0"/>
    </xf>
    <xf numFmtId="0" fontId="31" fillId="0" borderId="128" xfId="20" applyBorder="1" applyAlignment="1" applyProtection="1">
      <alignment horizontal="center" vertical="center" wrapText="1"/>
      <protection locked="0"/>
    </xf>
    <xf numFmtId="0" fontId="31" fillId="0" borderId="2" xfId="20" applyBorder="1" applyAlignment="1" applyProtection="1">
      <alignment horizontal="center" vertical="center" wrapText="1"/>
      <protection locked="0"/>
    </xf>
    <xf numFmtId="0" fontId="31" fillId="0" borderId="108" xfId="20" applyBorder="1" applyAlignment="1" applyProtection="1">
      <alignment horizontal="center" vertical="center" wrapText="1"/>
      <protection locked="0"/>
    </xf>
    <xf numFmtId="0" fontId="31" fillId="0" borderId="36" xfId="20" applyBorder="1" applyAlignment="1" applyProtection="1">
      <alignment horizontal="center" vertical="center" wrapText="1"/>
      <protection locked="0"/>
    </xf>
    <xf numFmtId="0" fontId="31" fillId="0" borderId="5" xfId="20" applyBorder="1" applyAlignment="1" applyProtection="1">
      <alignment horizontal="center" vertical="center" wrapText="1"/>
      <protection locked="0"/>
    </xf>
    <xf numFmtId="0" fontId="31" fillId="0" borderId="29" xfId="20" applyBorder="1" applyAlignment="1" applyProtection="1">
      <alignment horizontal="center" vertical="center" wrapText="1"/>
      <protection locked="0"/>
    </xf>
    <xf numFmtId="0" fontId="31" fillId="0" borderId="103" xfId="20" applyBorder="1" applyAlignment="1" applyProtection="1">
      <alignment horizontal="center" vertical="center" wrapText="1"/>
      <protection locked="0"/>
    </xf>
    <xf numFmtId="0" fontId="31" fillId="0" borderId="50" xfId="20" applyBorder="1" applyAlignment="1" applyProtection="1">
      <alignment horizontal="center" vertical="center" wrapText="1"/>
      <protection locked="0"/>
    </xf>
    <xf numFmtId="0" fontId="12" fillId="7" borderId="104" xfId="20" applyFont="1" applyFill="1" applyBorder="1" applyAlignment="1">
      <alignment horizontal="center" vertical="center" wrapText="1"/>
    </xf>
    <xf numFmtId="0" fontId="12" fillId="7" borderId="2" xfId="20" applyFont="1" applyFill="1" applyBorder="1" applyAlignment="1">
      <alignment horizontal="center" vertical="center" wrapText="1"/>
    </xf>
    <xf numFmtId="0" fontId="12" fillId="7" borderId="10" xfId="20" applyFont="1" applyFill="1" applyBorder="1" applyAlignment="1">
      <alignment horizontal="center" vertical="center" wrapText="1"/>
    </xf>
    <xf numFmtId="0" fontId="12" fillId="7" borderId="51" xfId="20" applyFont="1" applyFill="1" applyBorder="1" applyAlignment="1">
      <alignment horizontal="center" vertical="center" wrapText="1"/>
    </xf>
    <xf numFmtId="0" fontId="12" fillId="7" borderId="5" xfId="20" applyFont="1" applyFill="1" applyBorder="1" applyAlignment="1">
      <alignment horizontal="center" vertical="center" wrapText="1"/>
    </xf>
    <xf numFmtId="0" fontId="12" fillId="7" borderId="12" xfId="20" applyFont="1" applyFill="1" applyBorder="1" applyAlignment="1">
      <alignment horizontal="center" vertical="center" wrapText="1"/>
    </xf>
    <xf numFmtId="0" fontId="17" fillId="7" borderId="0" xfId="111" applyFont="1" applyFill="1" applyAlignment="1">
      <alignment horizontal="justify" vertical="center" wrapText="1"/>
    </xf>
    <xf numFmtId="0" fontId="13" fillId="7" borderId="18" xfId="20" applyFont="1" applyFill="1" applyBorder="1" applyAlignment="1">
      <alignment horizontal="center" vertical="center" wrapText="1"/>
    </xf>
    <xf numFmtId="0" fontId="13" fillId="7" borderId="30" xfId="20" applyFont="1" applyFill="1" applyBorder="1" applyAlignment="1">
      <alignment horizontal="center" vertical="center"/>
    </xf>
    <xf numFmtId="0" fontId="13" fillId="7" borderId="38" xfId="20" applyFont="1" applyFill="1" applyBorder="1" applyAlignment="1">
      <alignment horizontal="center" vertical="center"/>
    </xf>
    <xf numFmtId="0" fontId="13" fillId="7" borderId="39" xfId="20" applyFont="1" applyFill="1" applyBorder="1" applyAlignment="1">
      <alignment horizontal="center" vertical="center"/>
    </xf>
    <xf numFmtId="0" fontId="13" fillId="7" borderId="31" xfId="20" applyFont="1" applyFill="1" applyBorder="1" applyAlignment="1">
      <alignment horizontal="center" vertical="center"/>
    </xf>
    <xf numFmtId="0" fontId="31" fillId="7" borderId="0" xfId="111" applyFont="1" applyFill="1" applyAlignment="1">
      <alignment horizontal="left" vertical="top" wrapText="1"/>
    </xf>
    <xf numFmtId="0" fontId="31" fillId="7" borderId="6" xfId="20" applyFill="1" applyBorder="1" applyAlignment="1">
      <alignment horizontal="center"/>
    </xf>
    <xf numFmtId="0" fontId="31" fillId="0" borderId="128" xfId="20" applyBorder="1" applyAlignment="1" applyProtection="1">
      <alignment horizontal="center" vertical="center"/>
      <protection locked="0"/>
    </xf>
    <xf numFmtId="0" fontId="31" fillId="0" borderId="103" xfId="20" applyBorder="1" applyAlignment="1" applyProtection="1">
      <alignment horizontal="center" vertical="center"/>
      <protection locked="0"/>
    </xf>
    <xf numFmtId="0" fontId="31" fillId="0" borderId="36" xfId="20" applyBorder="1" applyAlignment="1" applyProtection="1">
      <alignment horizontal="center" vertical="center"/>
      <protection locked="0"/>
    </xf>
    <xf numFmtId="0" fontId="31" fillId="0" borderId="50" xfId="20" applyBorder="1" applyAlignment="1" applyProtection="1">
      <alignment horizontal="center" vertical="center"/>
      <protection locked="0"/>
    </xf>
    <xf numFmtId="0" fontId="12" fillId="7" borderId="104" xfId="20" applyFont="1" applyFill="1" applyBorder="1" applyAlignment="1">
      <alignment horizontal="center" vertical="center"/>
    </xf>
    <xf numFmtId="0" fontId="12" fillId="7" borderId="2" xfId="20" applyFont="1" applyFill="1" applyBorder="1" applyAlignment="1">
      <alignment horizontal="center" vertical="center"/>
    </xf>
    <xf numFmtId="0" fontId="12" fillId="7" borderId="10" xfId="20" applyFont="1" applyFill="1" applyBorder="1" applyAlignment="1">
      <alignment horizontal="center" vertical="center"/>
    </xf>
    <xf numFmtId="0" fontId="12" fillId="7" borderId="51" xfId="20" applyFont="1" applyFill="1" applyBorder="1" applyAlignment="1">
      <alignment horizontal="center" vertical="center"/>
    </xf>
    <xf numFmtId="0" fontId="12" fillId="7" borderId="5" xfId="20" applyFont="1" applyFill="1" applyBorder="1" applyAlignment="1">
      <alignment horizontal="center" vertical="center"/>
    </xf>
    <xf numFmtId="0" fontId="12" fillId="7" borderId="12" xfId="20" applyFont="1" applyFill="1" applyBorder="1" applyAlignment="1">
      <alignment horizontal="center" vertical="center"/>
    </xf>
    <xf numFmtId="0" fontId="31" fillId="7" borderId="6" xfId="0" applyFont="1" applyFill="1" applyBorder="1" applyAlignment="1">
      <alignment horizontal="center"/>
    </xf>
    <xf numFmtId="3" fontId="12" fillId="7" borderId="43" xfId="4" applyNumberFormat="1" applyFont="1" applyFill="1" applyBorder="1" applyAlignment="1">
      <alignment horizontal="center" vertical="center"/>
    </xf>
    <xf numFmtId="3" fontId="12" fillId="7" borderId="16" xfId="4" applyNumberFormat="1" applyFont="1" applyFill="1" applyBorder="1" applyAlignment="1">
      <alignment horizontal="center" vertical="center"/>
    </xf>
    <xf numFmtId="3" fontId="12" fillId="7" borderId="19" xfId="4" applyNumberFormat="1" applyFont="1" applyFill="1" applyBorder="1" applyAlignment="1">
      <alignment horizontal="center" vertical="center"/>
    </xf>
    <xf numFmtId="3" fontId="31" fillId="0" borderId="3" xfId="4" applyNumberFormat="1" applyFont="1" applyFill="1" applyBorder="1" applyAlignment="1" applyProtection="1">
      <alignment horizontal="center" vertical="center"/>
      <protection locked="0"/>
    </xf>
    <xf numFmtId="3" fontId="31" fillId="0" borderId="0" xfId="4" applyNumberFormat="1" applyFont="1" applyFill="1" applyBorder="1" applyAlignment="1" applyProtection="1">
      <alignment horizontal="center" vertical="center"/>
      <protection locked="0"/>
    </xf>
    <xf numFmtId="3" fontId="31" fillId="0" borderId="11" xfId="4" applyNumberFormat="1" applyFont="1" applyFill="1" applyBorder="1" applyAlignment="1" applyProtection="1">
      <alignment horizontal="center" vertical="center"/>
      <protection locked="0"/>
    </xf>
    <xf numFmtId="3" fontId="31" fillId="0" borderId="28" xfId="4" applyNumberFormat="1" applyFont="1" applyFill="1" applyBorder="1" applyAlignment="1" applyProtection="1">
      <alignment horizontal="center" vertical="center"/>
      <protection locked="0"/>
    </xf>
    <xf numFmtId="3" fontId="31" fillId="0" borderId="35" xfId="4" applyNumberFormat="1" applyFont="1" applyFill="1" applyBorder="1" applyAlignment="1" applyProtection="1">
      <alignment horizontal="center" vertical="center"/>
      <protection locked="0"/>
    </xf>
    <xf numFmtId="3" fontId="31" fillId="0" borderId="44" xfId="4" applyNumberFormat="1" applyFont="1" applyFill="1" applyBorder="1" applyAlignment="1" applyProtection="1">
      <alignment horizontal="center" vertical="center"/>
      <protection locked="0"/>
    </xf>
    <xf numFmtId="3" fontId="12" fillId="7" borderId="49" xfId="4" applyNumberFormat="1" applyFont="1" applyFill="1" applyBorder="1" applyAlignment="1">
      <alignment horizontal="center" vertical="center"/>
    </xf>
    <xf numFmtId="3" fontId="12" fillId="7" borderId="0" xfId="4" applyNumberFormat="1" applyFont="1" applyFill="1" applyBorder="1" applyAlignment="1">
      <alignment horizontal="center" vertical="center"/>
    </xf>
    <xf numFmtId="3" fontId="12" fillId="7" borderId="28" xfId="4" applyNumberFormat="1" applyFont="1" applyFill="1" applyBorder="1" applyAlignment="1">
      <alignment horizontal="center" vertical="center"/>
    </xf>
    <xf numFmtId="3" fontId="12" fillId="7" borderId="44" xfId="4" applyNumberFormat="1" applyFont="1" applyFill="1" applyBorder="1" applyAlignment="1">
      <alignment horizontal="center" vertical="center"/>
    </xf>
    <xf numFmtId="3" fontId="12" fillId="7" borderId="11" xfId="4" applyNumberFormat="1" applyFont="1" applyFill="1" applyBorder="1" applyAlignment="1">
      <alignment horizontal="center" vertical="center"/>
    </xf>
    <xf numFmtId="3" fontId="12" fillId="7" borderId="204" xfId="4" applyNumberFormat="1" applyFont="1" applyFill="1" applyBorder="1" applyAlignment="1">
      <alignment horizontal="center" vertical="center"/>
    </xf>
    <xf numFmtId="3" fontId="12" fillId="7" borderId="160" xfId="4" applyNumberFormat="1" applyFont="1" applyFill="1" applyBorder="1" applyAlignment="1">
      <alignment horizontal="center" vertical="center"/>
    </xf>
    <xf numFmtId="3" fontId="12" fillId="7" borderId="323" xfId="4" applyNumberFormat="1" applyFont="1" applyFill="1" applyBorder="1" applyAlignment="1">
      <alignment horizontal="center" vertical="center"/>
    </xf>
    <xf numFmtId="3" fontId="12" fillId="7" borderId="172" xfId="4" applyNumberFormat="1" applyFont="1" applyFill="1" applyBorder="1" applyAlignment="1">
      <alignment horizontal="center" vertical="center"/>
    </xf>
    <xf numFmtId="3" fontId="31" fillId="0" borderId="33" xfId="4" applyNumberFormat="1" applyFont="1" applyFill="1" applyBorder="1" applyAlignment="1" applyProtection="1">
      <alignment horizontal="center" vertical="center"/>
      <protection locked="0"/>
    </xf>
    <xf numFmtId="3" fontId="31" fillId="0" borderId="16" xfId="4" applyNumberFormat="1" applyFont="1" applyFill="1" applyBorder="1" applyAlignment="1" applyProtection="1">
      <alignment horizontal="center" vertical="center"/>
      <protection locked="0"/>
    </xf>
    <xf numFmtId="3" fontId="31" fillId="0" borderId="42" xfId="4" applyNumberFormat="1" applyFont="1" applyFill="1" applyBorder="1" applyAlignment="1" applyProtection="1">
      <alignment horizontal="center" vertical="center"/>
      <protection locked="0"/>
    </xf>
    <xf numFmtId="3" fontId="12" fillId="7" borderId="15" xfId="4" applyNumberFormat="1" applyFont="1" applyFill="1" applyBorder="1" applyAlignment="1">
      <alignment horizontal="center" vertical="center"/>
    </xf>
    <xf numFmtId="3" fontId="12" fillId="7" borderId="26" xfId="4" applyNumberFormat="1" applyFont="1" applyFill="1" applyBorder="1" applyAlignment="1">
      <alignment horizontal="center" vertical="center"/>
    </xf>
    <xf numFmtId="3" fontId="12" fillId="7" borderId="42" xfId="4" applyNumberFormat="1" applyFont="1" applyFill="1" applyBorder="1" applyAlignment="1">
      <alignment horizontal="center" vertical="center"/>
    </xf>
    <xf numFmtId="3" fontId="31" fillId="0" borderId="15" xfId="4" applyNumberFormat="1" applyFont="1" applyFill="1" applyBorder="1" applyAlignment="1" applyProtection="1">
      <alignment horizontal="center" vertical="center"/>
      <protection locked="0"/>
    </xf>
    <xf numFmtId="3" fontId="31" fillId="0" borderId="19" xfId="4" applyNumberFormat="1" applyFont="1" applyFill="1" applyBorder="1" applyAlignment="1" applyProtection="1">
      <alignment horizontal="center" vertical="center"/>
      <protection locked="0"/>
    </xf>
    <xf numFmtId="3" fontId="31" fillId="0" borderId="26" xfId="4" applyNumberFormat="1" applyFont="1" applyFill="1" applyBorder="1" applyAlignment="1" applyProtection="1">
      <alignment horizontal="center" vertical="center"/>
      <protection locked="0"/>
    </xf>
    <xf numFmtId="3" fontId="31" fillId="0" borderId="150" xfId="4" applyNumberFormat="1" applyFont="1" applyFill="1" applyBorder="1" applyAlignment="1" applyProtection="1">
      <alignment horizontal="center" vertical="center"/>
      <protection locked="0"/>
    </xf>
    <xf numFmtId="3" fontId="31" fillId="0" borderId="139" xfId="4" applyNumberFormat="1" applyFont="1" applyFill="1" applyBorder="1" applyAlignment="1" applyProtection="1">
      <alignment horizontal="center" vertical="center"/>
      <protection locked="0"/>
    </xf>
    <xf numFmtId="3" fontId="31" fillId="0" borderId="151" xfId="4" applyNumberFormat="1" applyFont="1" applyFill="1" applyBorder="1" applyAlignment="1" applyProtection="1">
      <alignment horizontal="center" vertical="center"/>
      <protection locked="0"/>
    </xf>
    <xf numFmtId="3" fontId="12" fillId="7" borderId="138" xfId="4" applyNumberFormat="1" applyFont="1" applyFill="1" applyBorder="1" applyAlignment="1">
      <alignment horizontal="center" vertical="center"/>
    </xf>
    <xf numFmtId="3" fontId="12" fillId="7" borderId="139" xfId="4" applyNumberFormat="1" applyFont="1" applyFill="1" applyBorder="1" applyAlignment="1">
      <alignment horizontal="center" vertical="center"/>
    </xf>
    <xf numFmtId="3" fontId="12" fillId="7" borderId="149" xfId="4" applyNumberFormat="1" applyFont="1" applyFill="1" applyBorder="1" applyAlignment="1">
      <alignment horizontal="center" vertical="center"/>
    </xf>
    <xf numFmtId="3" fontId="12" fillId="7" borderId="151" xfId="4" applyNumberFormat="1" applyFont="1" applyFill="1" applyBorder="1" applyAlignment="1">
      <alignment horizontal="center" vertical="center"/>
    </xf>
    <xf numFmtId="3" fontId="31" fillId="0" borderId="138" xfId="4" applyNumberFormat="1" applyFont="1" applyFill="1" applyBorder="1" applyAlignment="1" applyProtection="1">
      <alignment horizontal="center" vertical="center"/>
      <protection locked="0"/>
    </xf>
    <xf numFmtId="3" fontId="31" fillId="0" borderId="148" xfId="4" applyNumberFormat="1" applyFont="1" applyFill="1" applyBorder="1" applyAlignment="1" applyProtection="1">
      <alignment horizontal="center" vertical="center"/>
      <protection locked="0"/>
    </xf>
    <xf numFmtId="3" fontId="31" fillId="0" borderId="149" xfId="4" applyNumberFormat="1" applyFont="1" applyFill="1" applyBorder="1" applyAlignment="1" applyProtection="1">
      <alignment horizontal="center" vertical="center"/>
      <protection locked="0"/>
    </xf>
    <xf numFmtId="3" fontId="12" fillId="7" borderId="3" xfId="4" applyNumberFormat="1" applyFont="1" applyFill="1" applyBorder="1" applyAlignment="1">
      <alignment horizontal="center" vertical="center"/>
    </xf>
    <xf numFmtId="3" fontId="12" fillId="7" borderId="97" xfId="4" applyNumberFormat="1" applyFont="1" applyFill="1" applyBorder="1" applyAlignment="1">
      <alignment horizontal="center" vertical="center"/>
    </xf>
    <xf numFmtId="3" fontId="12" fillId="7" borderId="71" xfId="4" applyNumberFormat="1" applyFont="1" applyFill="1" applyBorder="1" applyAlignment="1">
      <alignment horizontal="center" vertical="center"/>
    </xf>
    <xf numFmtId="3" fontId="12" fillId="7" borderId="96" xfId="4" applyNumberFormat="1" applyFont="1" applyFill="1" applyBorder="1" applyAlignment="1">
      <alignment horizontal="center" vertical="center"/>
    </xf>
    <xf numFmtId="3" fontId="12" fillId="7" borderId="74" xfId="4" applyNumberFormat="1" applyFont="1" applyFill="1" applyBorder="1" applyAlignment="1">
      <alignment horizontal="center" vertical="center"/>
    </xf>
    <xf numFmtId="3" fontId="31" fillId="0" borderId="69" xfId="4" applyNumberFormat="1" applyFont="1" applyFill="1" applyBorder="1" applyAlignment="1" applyProtection="1">
      <alignment horizontal="center" vertical="center"/>
      <protection locked="0"/>
    </xf>
    <xf numFmtId="3" fontId="31" fillId="0" borderId="71" xfId="4" applyNumberFormat="1" applyFont="1" applyFill="1" applyBorder="1" applyAlignment="1" applyProtection="1">
      <alignment horizontal="center" vertical="center"/>
      <protection locked="0"/>
    </xf>
    <xf numFmtId="3" fontId="31" fillId="0" borderId="79" xfId="4" applyNumberFormat="1" applyFont="1" applyFill="1" applyBorder="1" applyAlignment="1" applyProtection="1">
      <alignment horizontal="center" vertical="center"/>
      <protection locked="0"/>
    </xf>
    <xf numFmtId="3" fontId="31" fillId="0" borderId="75" xfId="4" applyNumberFormat="1" applyFont="1" applyFill="1" applyBorder="1" applyAlignment="1" applyProtection="1">
      <alignment horizontal="center" vertical="center"/>
      <protection locked="0"/>
    </xf>
    <xf numFmtId="3" fontId="31" fillId="0" borderId="96" xfId="4" applyNumberFormat="1" applyFont="1" applyFill="1" applyBorder="1" applyAlignment="1" applyProtection="1">
      <alignment horizontal="center" vertical="center"/>
      <protection locked="0"/>
    </xf>
    <xf numFmtId="3" fontId="12" fillId="7" borderId="69" xfId="4" applyNumberFormat="1" applyFont="1" applyFill="1" applyBorder="1" applyAlignment="1">
      <alignment horizontal="center" vertical="center"/>
    </xf>
    <xf numFmtId="3" fontId="12" fillId="7" borderId="79" xfId="4" applyNumberFormat="1" applyFont="1" applyFill="1" applyBorder="1" applyAlignment="1">
      <alignment horizontal="center" vertical="center"/>
    </xf>
    <xf numFmtId="3" fontId="12" fillId="7" borderId="143" xfId="4" applyNumberFormat="1" applyFont="1" applyFill="1" applyBorder="1" applyAlignment="1">
      <alignment horizontal="center" vertical="center"/>
    </xf>
    <xf numFmtId="3" fontId="12" fillId="7" borderId="146" xfId="4" applyNumberFormat="1" applyFont="1" applyFill="1" applyBorder="1" applyAlignment="1">
      <alignment horizontal="center" vertical="center"/>
    </xf>
    <xf numFmtId="3" fontId="12" fillId="7" borderId="147" xfId="4" applyNumberFormat="1" applyFont="1" applyFill="1" applyBorder="1" applyAlignment="1">
      <alignment horizontal="center" vertical="center"/>
    </xf>
    <xf numFmtId="3" fontId="12" fillId="7" borderId="141" xfId="4" applyNumberFormat="1" applyFont="1" applyFill="1" applyBorder="1" applyAlignment="1">
      <alignment horizontal="center" vertical="center"/>
    </xf>
    <xf numFmtId="3" fontId="31" fillId="0" borderId="142" xfId="4" applyNumberFormat="1" applyFont="1" applyFill="1" applyBorder="1" applyAlignment="1" applyProtection="1">
      <alignment horizontal="center" vertical="center"/>
      <protection locked="0"/>
    </xf>
    <xf numFmtId="3" fontId="31" fillId="0" borderId="143" xfId="4" applyNumberFormat="1" applyFont="1" applyFill="1" applyBorder="1" applyAlignment="1" applyProtection="1">
      <alignment horizontal="center" vertical="center"/>
      <protection locked="0"/>
    </xf>
    <xf numFmtId="3" fontId="31" fillId="0" borderId="144" xfId="4" applyNumberFormat="1" applyFont="1" applyFill="1" applyBorder="1" applyAlignment="1" applyProtection="1">
      <alignment horizontal="center" vertical="center"/>
      <protection locked="0"/>
    </xf>
    <xf numFmtId="3" fontId="31" fillId="0" borderId="145" xfId="4" applyNumberFormat="1" applyFont="1" applyFill="1" applyBorder="1" applyAlignment="1" applyProtection="1">
      <alignment horizontal="center" vertical="center"/>
      <protection locked="0"/>
    </xf>
    <xf numFmtId="3" fontId="31" fillId="0" borderId="146" xfId="4" applyNumberFormat="1" applyFont="1" applyFill="1" applyBorder="1" applyAlignment="1" applyProtection="1">
      <alignment horizontal="center" vertical="center"/>
      <protection locked="0"/>
    </xf>
    <xf numFmtId="3" fontId="12" fillId="7" borderId="142" xfId="4" applyNumberFormat="1" applyFont="1" applyFill="1" applyBorder="1" applyAlignment="1">
      <alignment horizontal="center" vertical="center"/>
    </xf>
    <xf numFmtId="3" fontId="12" fillId="7" borderId="144" xfId="4" applyNumberFormat="1" applyFont="1" applyFill="1" applyBorder="1" applyAlignment="1">
      <alignment horizontal="center" vertical="center"/>
    </xf>
    <xf numFmtId="3" fontId="31" fillId="0" borderId="74" xfId="4" applyNumberFormat="1" applyFont="1" applyFill="1" applyBorder="1" applyAlignment="1" applyProtection="1">
      <alignment horizontal="center" vertical="center"/>
      <protection locked="0"/>
    </xf>
    <xf numFmtId="3" fontId="31" fillId="0" borderId="141" xfId="4" applyNumberFormat="1" applyFont="1" applyFill="1" applyBorder="1" applyAlignment="1" applyProtection="1">
      <alignment horizontal="center" vertical="center"/>
      <protection locked="0"/>
    </xf>
    <xf numFmtId="3" fontId="12" fillId="7" borderId="152" xfId="4" applyNumberFormat="1" applyFont="1" applyFill="1" applyBorder="1" applyAlignment="1">
      <alignment horizontal="center" vertical="center"/>
    </xf>
    <xf numFmtId="3" fontId="12" fillId="7" borderId="148" xfId="4" applyNumberFormat="1" applyFont="1" applyFill="1" applyBorder="1" applyAlignment="1">
      <alignment horizontal="center" vertical="center"/>
    </xf>
    <xf numFmtId="3" fontId="31" fillId="0" borderId="80" xfId="4" applyNumberFormat="1" applyFont="1" applyFill="1" applyBorder="1" applyAlignment="1" applyProtection="1">
      <alignment horizontal="center" vertical="center"/>
      <protection locked="0"/>
    </xf>
    <xf numFmtId="3" fontId="31" fillId="0" borderId="81" xfId="4" applyNumberFormat="1" applyFont="1" applyFill="1" applyBorder="1" applyAlignment="1" applyProtection="1">
      <alignment horizontal="center" vertical="center"/>
      <protection locked="0"/>
    </xf>
    <xf numFmtId="3" fontId="31" fillId="0" borderId="84" xfId="4" applyNumberFormat="1" applyFont="1" applyFill="1" applyBorder="1" applyAlignment="1" applyProtection="1">
      <alignment horizontal="center" vertical="center"/>
      <protection locked="0"/>
    </xf>
    <xf numFmtId="3" fontId="31" fillId="0" borderId="85" xfId="4" applyNumberFormat="1" applyFont="1" applyFill="1" applyBorder="1" applyAlignment="1" applyProtection="1">
      <alignment horizontal="center" vertical="center"/>
      <protection locked="0"/>
    </xf>
    <xf numFmtId="3" fontId="31" fillId="0" borderId="86" xfId="4" applyNumberFormat="1" applyFont="1" applyFill="1" applyBorder="1" applyAlignment="1" applyProtection="1">
      <alignment horizontal="center" vertical="center"/>
      <protection locked="0"/>
    </xf>
    <xf numFmtId="3" fontId="31" fillId="0" borderId="98" xfId="4" applyNumberFormat="1" applyFont="1" applyFill="1" applyBorder="1" applyAlignment="1" applyProtection="1">
      <alignment horizontal="center" vertical="center"/>
      <protection locked="0"/>
    </xf>
    <xf numFmtId="3" fontId="12" fillId="7" borderId="135" xfId="4" applyNumberFormat="1" applyFont="1" applyFill="1" applyBorder="1" applyAlignment="1">
      <alignment horizontal="center" vertical="center"/>
    </xf>
    <xf numFmtId="3" fontId="12" fillId="7" borderId="81" xfId="4" applyNumberFormat="1" applyFont="1" applyFill="1" applyBorder="1" applyAlignment="1">
      <alignment horizontal="center" vertical="center"/>
    </xf>
    <xf numFmtId="3" fontId="12" fillId="7" borderId="85" xfId="4" applyNumberFormat="1" applyFont="1" applyFill="1" applyBorder="1" applyAlignment="1">
      <alignment horizontal="center" vertical="center"/>
    </xf>
    <xf numFmtId="3" fontId="12" fillId="7" borderId="98" xfId="4" applyNumberFormat="1" applyFont="1" applyFill="1" applyBorder="1" applyAlignment="1">
      <alignment horizontal="center" vertical="center"/>
    </xf>
    <xf numFmtId="3" fontId="12" fillId="7" borderId="84" xfId="4" applyNumberFormat="1" applyFont="1" applyFill="1" applyBorder="1" applyAlignment="1">
      <alignment horizontal="center" vertical="center"/>
    </xf>
    <xf numFmtId="3" fontId="12" fillId="7" borderId="80" xfId="4" applyNumberFormat="1" applyFont="1" applyFill="1" applyBorder="1" applyAlignment="1">
      <alignment horizontal="center" vertical="center"/>
    </xf>
    <xf numFmtId="3" fontId="12" fillId="7" borderId="150" xfId="4" applyNumberFormat="1" applyFont="1" applyFill="1" applyBorder="1" applyAlignment="1">
      <alignment horizontal="center" vertical="center"/>
    </xf>
    <xf numFmtId="3" fontId="12" fillId="7" borderId="145" xfId="4" applyNumberFormat="1" applyFont="1" applyFill="1" applyBorder="1" applyAlignment="1">
      <alignment horizontal="center" vertical="center"/>
    </xf>
    <xf numFmtId="3" fontId="31" fillId="0" borderId="90" xfId="4" applyNumberFormat="1" applyFont="1" applyFill="1" applyBorder="1" applyAlignment="1" applyProtection="1">
      <alignment horizontal="center" vertical="center"/>
      <protection locked="0"/>
    </xf>
    <xf numFmtId="3" fontId="31" fillId="0" borderId="70" xfId="4" applyNumberFormat="1" applyFont="1" applyFill="1" applyBorder="1" applyAlignment="1" applyProtection="1">
      <alignment horizontal="center" vertical="center"/>
      <protection locked="0"/>
    </xf>
    <xf numFmtId="3" fontId="31" fillId="0" borderId="91" xfId="4" applyNumberFormat="1" applyFont="1" applyFill="1" applyBorder="1" applyAlignment="1" applyProtection="1">
      <alignment horizontal="center" vertical="center"/>
      <protection locked="0"/>
    </xf>
    <xf numFmtId="3" fontId="31" fillId="0" borderId="101" xfId="4" applyNumberFormat="1" applyFont="1" applyFill="1" applyBorder="1" applyAlignment="1" applyProtection="1">
      <alignment horizontal="center" vertical="center"/>
      <protection locked="0"/>
    </xf>
    <xf numFmtId="3" fontId="31" fillId="0" borderId="102" xfId="4" applyNumberFormat="1" applyFont="1" applyFill="1" applyBorder="1" applyAlignment="1" applyProtection="1">
      <alignment horizontal="center" vertical="center"/>
      <protection locked="0"/>
    </xf>
    <xf numFmtId="3" fontId="31" fillId="0" borderId="140" xfId="4" applyNumberFormat="1" applyFont="1" applyFill="1" applyBorder="1" applyAlignment="1" applyProtection="1">
      <alignment horizontal="center" vertical="center"/>
      <protection locked="0"/>
    </xf>
    <xf numFmtId="3" fontId="12" fillId="7" borderId="95" xfId="4" applyNumberFormat="1" applyFont="1" applyFill="1" applyBorder="1" applyAlignment="1">
      <alignment horizontal="center" vertical="center"/>
    </xf>
    <xf numFmtId="3" fontId="12" fillId="7" borderId="70" xfId="4" applyNumberFormat="1" applyFont="1" applyFill="1" applyBorder="1" applyAlignment="1">
      <alignment horizontal="center" vertical="center"/>
    </xf>
    <xf numFmtId="3" fontId="12" fillId="7" borderId="101" xfId="4" applyNumberFormat="1" applyFont="1" applyFill="1" applyBorder="1" applyAlignment="1">
      <alignment horizontal="center" vertical="center"/>
    </xf>
    <xf numFmtId="3" fontId="12" fillId="7" borderId="140" xfId="4" applyNumberFormat="1" applyFont="1" applyFill="1" applyBorder="1" applyAlignment="1">
      <alignment horizontal="center" vertical="center"/>
    </xf>
    <xf numFmtId="3" fontId="12" fillId="7" borderId="91" xfId="4" applyNumberFormat="1" applyFont="1" applyFill="1" applyBorder="1" applyAlignment="1">
      <alignment horizontal="center" vertical="center"/>
    </xf>
    <xf numFmtId="0" fontId="22" fillId="7" borderId="45" xfId="69" quotePrefix="1" applyFont="1" applyFill="1" applyBorder="1" applyAlignment="1">
      <alignment horizontal="center" vertical="center" wrapText="1"/>
    </xf>
    <xf numFmtId="0" fontId="22" fillId="7" borderId="7" xfId="69" quotePrefix="1" applyFont="1" applyFill="1" applyBorder="1" applyAlignment="1">
      <alignment horizontal="center" vertical="center"/>
    </xf>
    <xf numFmtId="0" fontId="22" fillId="7" borderId="20" xfId="69" quotePrefix="1" applyFont="1" applyFill="1" applyBorder="1" applyAlignment="1">
      <alignment horizontal="center" vertical="center"/>
    </xf>
    <xf numFmtId="0" fontId="40" fillId="7" borderId="49" xfId="69" quotePrefix="1" applyFont="1" applyFill="1" applyBorder="1" applyAlignment="1">
      <alignment horizontal="center" vertical="center" wrapText="1"/>
    </xf>
    <xf numFmtId="0" fontId="40" fillId="7" borderId="0" xfId="69" quotePrefix="1" applyFont="1" applyFill="1" applyAlignment="1">
      <alignment horizontal="center" vertical="center" wrapText="1"/>
    </xf>
    <xf numFmtId="0" fontId="40" fillId="7" borderId="28" xfId="69" quotePrefix="1" applyFont="1" applyFill="1" applyBorder="1" applyAlignment="1">
      <alignment horizontal="center" vertical="center" wrapText="1"/>
    </xf>
    <xf numFmtId="0" fontId="40" fillId="7" borderId="11" xfId="69" quotePrefix="1" applyFont="1" applyFill="1" applyBorder="1" applyAlignment="1">
      <alignment horizontal="center" vertical="center" wrapText="1"/>
    </xf>
    <xf numFmtId="0" fontId="40" fillId="7" borderId="3" xfId="69" quotePrefix="1" applyFont="1" applyFill="1" applyBorder="1" applyAlignment="1">
      <alignment horizontal="center" vertical="center" wrapText="1"/>
    </xf>
    <xf numFmtId="0" fontId="40" fillId="7" borderId="44" xfId="69" quotePrefix="1" applyFont="1" applyFill="1" applyBorder="1" applyAlignment="1">
      <alignment horizontal="center" vertical="center" wrapText="1"/>
    </xf>
    <xf numFmtId="0" fontId="40" fillId="7" borderId="4" xfId="0" applyFont="1" applyFill="1" applyBorder="1" applyAlignment="1">
      <alignment horizontal="center" vertical="center" wrapText="1"/>
    </xf>
    <xf numFmtId="0" fontId="40" fillId="7" borderId="5" xfId="0" applyFont="1" applyFill="1" applyBorder="1" applyAlignment="1">
      <alignment horizontal="center" vertical="center" wrapText="1"/>
    </xf>
    <xf numFmtId="0" fontId="40" fillId="7" borderId="12" xfId="0" applyFont="1" applyFill="1" applyBorder="1" applyAlignment="1">
      <alignment horizontal="center" vertical="center" wrapText="1"/>
    </xf>
    <xf numFmtId="0" fontId="40" fillId="7" borderId="36" xfId="0" applyFont="1" applyFill="1" applyBorder="1" applyAlignment="1">
      <alignment horizontal="center" vertical="center" wrapText="1"/>
    </xf>
    <xf numFmtId="0" fontId="40" fillId="7" borderId="50" xfId="0" applyFont="1" applyFill="1" applyBorder="1" applyAlignment="1">
      <alignment horizontal="center" vertical="center" wrapText="1"/>
    </xf>
    <xf numFmtId="0" fontId="40" fillId="7" borderId="29" xfId="0" applyFont="1" applyFill="1" applyBorder="1" applyAlignment="1">
      <alignment horizontal="center" vertical="center" wrapText="1"/>
    </xf>
    <xf numFmtId="0" fontId="40" fillId="7" borderId="51" xfId="0" applyFont="1" applyFill="1" applyBorder="1" applyAlignment="1">
      <alignment horizontal="center" vertical="center" wrapText="1"/>
    </xf>
    <xf numFmtId="0" fontId="40" fillId="7" borderId="51" xfId="0" quotePrefix="1" applyFont="1" applyFill="1" applyBorder="1" applyAlignment="1">
      <alignment horizontal="center" vertical="center" wrapText="1"/>
    </xf>
    <xf numFmtId="0" fontId="40" fillId="7" borderId="5" xfId="0" quotePrefix="1" applyFont="1" applyFill="1" applyBorder="1" applyAlignment="1">
      <alignment horizontal="center" vertical="center" wrapText="1"/>
    </xf>
    <xf numFmtId="0" fontId="12" fillId="7" borderId="1" xfId="0" applyFont="1" applyFill="1" applyBorder="1" applyAlignment="1">
      <alignment horizontal="center" vertical="center" wrapText="1"/>
    </xf>
    <xf numFmtId="0" fontId="12" fillId="7" borderId="2" xfId="0" applyFont="1" applyFill="1" applyBorder="1" applyAlignment="1">
      <alignment horizontal="center" vertical="center" wrapText="1"/>
    </xf>
    <xf numFmtId="0" fontId="12" fillId="7" borderId="10" xfId="0" applyFont="1" applyFill="1" applyBorder="1" applyAlignment="1">
      <alignment horizontal="center" vertical="center" wrapText="1"/>
    </xf>
    <xf numFmtId="0" fontId="12" fillId="7" borderId="3" xfId="0" applyFont="1" applyFill="1" applyBorder="1" applyAlignment="1">
      <alignment horizontal="center" vertical="center" wrapText="1"/>
    </xf>
    <xf numFmtId="0" fontId="12" fillId="7" borderId="0" xfId="0" applyFont="1" applyFill="1" applyAlignment="1">
      <alignment horizontal="center" vertical="center" wrapText="1"/>
    </xf>
    <xf numFmtId="0" fontId="12" fillId="7" borderId="11" xfId="0" applyFont="1" applyFill="1" applyBorder="1" applyAlignment="1">
      <alignment horizontal="center" vertical="center" wrapText="1"/>
    </xf>
    <xf numFmtId="0" fontId="12" fillId="7" borderId="8" xfId="0" applyFont="1" applyFill="1" applyBorder="1" applyAlignment="1">
      <alignment horizontal="center" vertical="center"/>
    </xf>
    <xf numFmtId="0" fontId="12" fillId="7" borderId="21" xfId="0" applyFont="1" applyFill="1" applyBorder="1" applyAlignment="1">
      <alignment horizontal="center" vertical="center"/>
    </xf>
    <xf numFmtId="0" fontId="12" fillId="7" borderId="9" xfId="0" applyFont="1" applyFill="1" applyBorder="1" applyAlignment="1">
      <alignment horizontal="center" vertical="center"/>
    </xf>
    <xf numFmtId="0" fontId="35" fillId="7" borderId="1" xfId="0" applyFont="1" applyFill="1" applyBorder="1" applyAlignment="1">
      <alignment horizontal="center" vertical="center" wrapText="1"/>
    </xf>
    <xf numFmtId="0" fontId="35" fillId="7" borderId="2" xfId="0" applyFont="1" applyFill="1" applyBorder="1" applyAlignment="1">
      <alignment horizontal="center" vertical="center" wrapText="1"/>
    </xf>
    <xf numFmtId="0" fontId="35" fillId="7" borderId="10" xfId="0" applyFont="1" applyFill="1" applyBorder="1" applyAlignment="1">
      <alignment horizontal="center" vertical="center" wrapText="1"/>
    </xf>
    <xf numFmtId="0" fontId="35" fillId="7" borderId="3"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11" xfId="0" applyFont="1" applyFill="1" applyBorder="1" applyAlignment="1">
      <alignment horizontal="center" vertical="center" wrapText="1"/>
    </xf>
    <xf numFmtId="0" fontId="22" fillId="7" borderId="8" xfId="0" applyFont="1" applyFill="1" applyBorder="1" applyAlignment="1">
      <alignment horizontal="center" vertical="center"/>
    </xf>
    <xf numFmtId="0" fontId="22" fillId="7" borderId="21" xfId="0" applyFont="1" applyFill="1" applyBorder="1" applyAlignment="1">
      <alignment horizontal="center" vertical="center"/>
    </xf>
    <xf numFmtId="0" fontId="22" fillId="7" borderId="9" xfId="0" applyFont="1" applyFill="1" applyBorder="1" applyAlignment="1">
      <alignment horizontal="center" vertical="center"/>
    </xf>
    <xf numFmtId="0" fontId="22" fillId="7" borderId="2" xfId="0" applyFont="1" applyFill="1" applyBorder="1" applyAlignment="1">
      <alignment horizontal="center" vertical="center" wrapText="1"/>
    </xf>
    <xf numFmtId="0" fontId="22" fillId="7" borderId="10" xfId="0" applyFont="1" applyFill="1" applyBorder="1" applyAlignment="1">
      <alignment horizontal="center" vertical="center" wrapText="1"/>
    </xf>
    <xf numFmtId="0" fontId="22" fillId="7" borderId="0" xfId="0" applyFont="1" applyFill="1" applyAlignment="1">
      <alignment horizontal="center" vertical="center" wrapText="1"/>
    </xf>
    <xf numFmtId="0" fontId="22" fillId="7" borderId="11" xfId="0" applyFont="1" applyFill="1" applyBorder="1" applyAlignment="1">
      <alignment horizontal="center" vertical="center" wrapText="1"/>
    </xf>
    <xf numFmtId="0" fontId="22" fillId="7" borderId="6" xfId="0" applyFont="1" applyFill="1" applyBorder="1" applyAlignment="1">
      <alignment horizontal="center" vertical="center" wrapText="1"/>
    </xf>
    <xf numFmtId="0" fontId="22" fillId="7" borderId="52" xfId="0" applyFont="1" applyFill="1" applyBorder="1" applyAlignment="1">
      <alignment horizontal="center" vertical="center" wrapText="1"/>
    </xf>
    <xf numFmtId="0" fontId="22" fillId="7" borderId="108" xfId="0" applyFont="1" applyFill="1" applyBorder="1" applyAlignment="1">
      <alignment horizontal="center" vertical="center" wrapText="1"/>
    </xf>
    <xf numFmtId="0" fontId="22" fillId="7" borderId="63" xfId="0" applyFont="1" applyFill="1" applyBorder="1" applyAlignment="1">
      <alignment horizontal="center" vertical="center" wrapText="1"/>
    </xf>
    <xf numFmtId="0" fontId="9" fillId="7" borderId="108" xfId="0" applyFont="1" applyFill="1" applyBorder="1" applyAlignment="1">
      <alignment horizontal="center" vertical="center" wrapText="1"/>
    </xf>
    <xf numFmtId="0" fontId="9" fillId="7" borderId="0" xfId="0" applyFont="1" applyFill="1" applyAlignment="1">
      <alignment horizontal="center" vertical="center" wrapText="1"/>
    </xf>
    <xf numFmtId="0" fontId="9" fillId="7" borderId="28" xfId="0" applyFont="1" applyFill="1" applyBorder="1" applyAlignment="1">
      <alignment horizontal="center" vertical="center" wrapText="1"/>
    </xf>
    <xf numFmtId="0" fontId="22" fillId="7" borderId="128" xfId="0" applyFont="1" applyFill="1" applyBorder="1" applyAlignment="1">
      <alignment horizontal="center" vertical="center" wrapText="1"/>
    </xf>
    <xf numFmtId="0" fontId="22" fillId="7" borderId="35" xfId="0" applyFont="1" applyFill="1" applyBorder="1" applyAlignment="1">
      <alignment horizontal="center" vertical="center" wrapText="1"/>
    </xf>
    <xf numFmtId="0" fontId="22" fillId="7" borderId="28" xfId="0" applyFont="1" applyFill="1" applyBorder="1" applyAlignment="1">
      <alignment horizontal="center" vertical="center" wrapText="1"/>
    </xf>
    <xf numFmtId="0" fontId="22" fillId="7" borderId="103" xfId="0" applyFont="1" applyFill="1" applyBorder="1" applyAlignment="1">
      <alignment horizontal="center" vertical="center" wrapText="1"/>
    </xf>
    <xf numFmtId="0" fontId="35" fillId="7" borderId="161" xfId="0" applyFont="1" applyFill="1" applyBorder="1" applyAlignment="1">
      <alignment horizontal="center" vertical="center" wrapText="1"/>
    </xf>
    <xf numFmtId="0" fontId="35" fillId="7" borderId="162" xfId="0" applyFont="1" applyFill="1" applyBorder="1" applyAlignment="1">
      <alignment horizontal="center" vertical="center" wrapText="1"/>
    </xf>
    <xf numFmtId="0" fontId="35" fillId="7" borderId="34"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27" xfId="0" applyFont="1" applyFill="1" applyBorder="1" applyAlignment="1">
      <alignment horizontal="center" vertical="center" wrapText="1"/>
    </xf>
    <xf numFmtId="0" fontId="35" fillId="7" borderId="35" xfId="0" applyFont="1" applyFill="1" applyBorder="1" applyAlignment="1">
      <alignment horizontal="center" vertical="center" wrapText="1"/>
    </xf>
    <xf numFmtId="0" fontId="35" fillId="7" borderId="28" xfId="0" applyFont="1" applyFill="1" applyBorder="1" applyAlignment="1">
      <alignment horizontal="center" vertical="center" wrapText="1"/>
    </xf>
    <xf numFmtId="0" fontId="35" fillId="7" borderId="48" xfId="0" applyFont="1" applyFill="1" applyBorder="1" applyAlignment="1">
      <alignment horizontal="center" vertical="center" wrapText="1"/>
    </xf>
    <xf numFmtId="0" fontId="35" fillId="7" borderId="44" xfId="0" applyFont="1" applyFill="1" applyBorder="1" applyAlignment="1">
      <alignment horizontal="center" vertical="center" wrapText="1"/>
    </xf>
    <xf numFmtId="0" fontId="22" fillId="7" borderId="45" xfId="69" applyFont="1" applyFill="1" applyBorder="1" applyAlignment="1">
      <alignment horizontal="center" vertical="center" wrapText="1"/>
    </xf>
    <xf numFmtId="0" fontId="22" fillId="7" borderId="7" xfId="69" applyFont="1" applyFill="1" applyBorder="1" applyAlignment="1">
      <alignment horizontal="center" vertical="center" wrapText="1"/>
    </xf>
    <xf numFmtId="0" fontId="22" fillId="7" borderId="48" xfId="69" applyFont="1" applyFill="1" applyBorder="1" applyAlignment="1">
      <alignment horizontal="center" vertical="center" wrapText="1"/>
    </xf>
    <xf numFmtId="0" fontId="22" fillId="7" borderId="17" xfId="0" applyFont="1" applyFill="1" applyBorder="1" applyAlignment="1">
      <alignment horizontal="center" vertical="center" wrapText="1"/>
    </xf>
    <xf numFmtId="0" fontId="22" fillId="7" borderId="7" xfId="0" applyFont="1" applyFill="1" applyBorder="1" applyAlignment="1">
      <alignment horizontal="center" vertical="center" wrapText="1"/>
    </xf>
    <xf numFmtId="0" fontId="22" fillId="7" borderId="27" xfId="0" applyFont="1" applyFill="1" applyBorder="1" applyAlignment="1">
      <alignment horizontal="center" vertical="center" wrapText="1"/>
    </xf>
    <xf numFmtId="0" fontId="22" fillId="7" borderId="3" xfId="0" applyFont="1" applyFill="1" applyBorder="1" applyAlignment="1">
      <alignment horizontal="center" vertical="center" wrapText="1"/>
    </xf>
    <xf numFmtId="0" fontId="22" fillId="7" borderId="34" xfId="0" applyFont="1" applyFill="1" applyBorder="1" applyAlignment="1">
      <alignment horizontal="center" vertical="center" wrapText="1"/>
    </xf>
    <xf numFmtId="0" fontId="22" fillId="7" borderId="48" xfId="0" applyFont="1" applyFill="1" applyBorder="1" applyAlignment="1">
      <alignment horizontal="center" vertical="center" wrapText="1"/>
    </xf>
    <xf numFmtId="0" fontId="22" fillId="7" borderId="44" xfId="0" applyFont="1" applyFill="1" applyBorder="1" applyAlignment="1">
      <alignment horizontal="center" vertical="center" wrapText="1"/>
    </xf>
    <xf numFmtId="0" fontId="22" fillId="7" borderId="27" xfId="69" quotePrefix="1" applyFont="1" applyFill="1" applyBorder="1" applyAlignment="1">
      <alignment horizontal="center" vertical="center"/>
    </xf>
    <xf numFmtId="0" fontId="22" fillId="7" borderId="17" xfId="69" quotePrefix="1" applyFont="1" applyFill="1" applyBorder="1" applyAlignment="1">
      <alignment horizontal="center" vertical="center" wrapText="1"/>
    </xf>
    <xf numFmtId="0" fontId="22" fillId="7" borderId="7" xfId="69" quotePrefix="1" applyFont="1" applyFill="1" applyBorder="1" applyAlignment="1">
      <alignment horizontal="center" vertical="center" wrapText="1"/>
    </xf>
    <xf numFmtId="0" fontId="22" fillId="7" borderId="48" xfId="69" quotePrefix="1" applyFont="1" applyFill="1" applyBorder="1" applyAlignment="1">
      <alignment horizontal="center" vertical="center"/>
    </xf>
    <xf numFmtId="3" fontId="12" fillId="7" borderId="114" xfId="4" applyNumberFormat="1" applyFont="1" applyFill="1" applyBorder="1" applyAlignment="1">
      <alignment horizontal="center" vertical="center"/>
    </xf>
    <xf numFmtId="3" fontId="12" fillId="7" borderId="115" xfId="4" applyNumberFormat="1" applyFont="1" applyFill="1" applyBorder="1" applyAlignment="1">
      <alignment horizontal="center" vertical="center"/>
    </xf>
    <xf numFmtId="3" fontId="12" fillId="7" borderId="122" xfId="4" applyNumberFormat="1" applyFont="1" applyFill="1" applyBorder="1" applyAlignment="1">
      <alignment horizontal="center" vertical="center"/>
    </xf>
    <xf numFmtId="3" fontId="12" fillId="7" borderId="123" xfId="4" applyNumberFormat="1" applyFont="1" applyFill="1" applyBorder="1" applyAlignment="1">
      <alignment horizontal="center" vertical="center"/>
    </xf>
    <xf numFmtId="3" fontId="12" fillId="7" borderId="126" xfId="4" applyNumberFormat="1" applyFont="1" applyFill="1" applyBorder="1" applyAlignment="1">
      <alignment horizontal="center" vertical="center"/>
    </xf>
    <xf numFmtId="3" fontId="12" fillId="7" borderId="118" xfId="4" applyNumberFormat="1" applyFont="1" applyFill="1" applyBorder="1" applyAlignment="1">
      <alignment horizontal="center" vertical="center"/>
    </xf>
    <xf numFmtId="0" fontId="12" fillId="7" borderId="114" xfId="0" applyFont="1" applyFill="1" applyBorder="1" applyAlignment="1">
      <alignment horizontal="center" vertical="center" shrinkToFit="1"/>
    </xf>
    <xf numFmtId="0" fontId="12" fillId="7" borderId="115" xfId="0" applyFont="1" applyFill="1" applyBorder="1" applyAlignment="1">
      <alignment horizontal="center" vertical="center" shrinkToFit="1"/>
    </xf>
    <xf numFmtId="0" fontId="12" fillId="7" borderId="118" xfId="0" applyFont="1" applyFill="1" applyBorder="1" applyAlignment="1">
      <alignment horizontal="center" vertical="center" shrinkToFit="1"/>
    </xf>
    <xf numFmtId="3" fontId="12" fillId="7" borderId="127" xfId="4" applyNumberFormat="1" applyFont="1" applyFill="1" applyBorder="1" applyAlignment="1">
      <alignment horizontal="center" vertical="center"/>
    </xf>
    <xf numFmtId="0" fontId="31" fillId="7" borderId="83" xfId="0" applyFont="1" applyFill="1" applyBorder="1" applyAlignment="1">
      <alignment horizontal="justify" vertical="center" wrapText="1"/>
    </xf>
    <xf numFmtId="0" fontId="31" fillId="7" borderId="81" xfId="0" applyFont="1" applyFill="1" applyBorder="1" applyAlignment="1">
      <alignment horizontal="justify" vertical="center" wrapText="1"/>
    </xf>
    <xf numFmtId="3" fontId="12" fillId="7" borderId="90" xfId="4" applyNumberFormat="1" applyFont="1" applyFill="1" applyBorder="1" applyAlignment="1">
      <alignment horizontal="center" vertical="center"/>
    </xf>
    <xf numFmtId="3" fontId="12" fillId="7" borderId="125" xfId="4" applyNumberFormat="1" applyFont="1" applyFill="1" applyBorder="1" applyAlignment="1">
      <alignment horizontal="center" vertical="center"/>
    </xf>
    <xf numFmtId="3" fontId="12" fillId="7" borderId="113" xfId="4" applyNumberFormat="1" applyFont="1" applyFill="1" applyBorder="1" applyAlignment="1">
      <alignment horizontal="center" vertical="center"/>
    </xf>
    <xf numFmtId="3" fontId="12" fillId="7" borderId="116" xfId="4" applyNumberFormat="1" applyFont="1" applyFill="1" applyBorder="1" applyAlignment="1">
      <alignment horizontal="center" vertical="center"/>
    </xf>
    <xf numFmtId="3" fontId="31" fillId="0" borderId="117" xfId="4" applyNumberFormat="1" applyFont="1" applyFill="1" applyBorder="1" applyAlignment="1" applyProtection="1">
      <alignment horizontal="center" vertical="center"/>
      <protection locked="0"/>
    </xf>
    <xf numFmtId="3" fontId="31" fillId="0" borderId="113" xfId="4" applyNumberFormat="1" applyFont="1" applyFill="1" applyBorder="1" applyAlignment="1" applyProtection="1">
      <alignment horizontal="center" vertical="center"/>
      <protection locked="0"/>
    </xf>
    <xf numFmtId="3" fontId="31" fillId="0" borderId="120" xfId="4" applyNumberFormat="1" applyFont="1" applyFill="1" applyBorder="1" applyAlignment="1" applyProtection="1">
      <alignment horizontal="center" vertical="center"/>
      <protection locked="0"/>
    </xf>
    <xf numFmtId="3" fontId="31" fillId="0" borderId="121" xfId="4" applyNumberFormat="1" applyFont="1" applyFill="1" applyBorder="1" applyAlignment="1" applyProtection="1">
      <alignment horizontal="center" vertical="center"/>
      <protection locked="0"/>
    </xf>
    <xf numFmtId="3" fontId="31" fillId="0" borderId="124" xfId="4" applyNumberFormat="1" applyFont="1" applyFill="1" applyBorder="1" applyAlignment="1" applyProtection="1">
      <alignment horizontal="center" vertical="center"/>
      <protection locked="0"/>
    </xf>
    <xf numFmtId="3" fontId="12" fillId="7" borderId="117" xfId="4" applyNumberFormat="1" applyFont="1" applyFill="1" applyBorder="1" applyAlignment="1">
      <alignment horizontal="center" vertical="center"/>
    </xf>
    <xf numFmtId="3" fontId="12" fillId="7" borderId="120" xfId="4" applyNumberFormat="1" applyFont="1" applyFill="1" applyBorder="1" applyAlignment="1">
      <alignment horizontal="center" vertical="center"/>
    </xf>
    <xf numFmtId="3" fontId="12" fillId="7" borderId="75" xfId="4" applyNumberFormat="1" applyFont="1" applyFill="1" applyBorder="1" applyAlignment="1">
      <alignment horizontal="center" vertical="center"/>
    </xf>
    <xf numFmtId="3" fontId="31" fillId="0" borderId="138" xfId="0" applyNumberFormat="1" applyFont="1" applyBorder="1" applyAlignment="1" applyProtection="1">
      <alignment horizontal="center" vertical="center"/>
      <protection locked="0"/>
    </xf>
    <xf numFmtId="3" fontId="31" fillId="0" borderId="139" xfId="0" applyNumberFormat="1" applyFont="1" applyBorder="1" applyAlignment="1" applyProtection="1">
      <alignment horizontal="center" vertical="center"/>
      <protection locked="0"/>
    </xf>
    <xf numFmtId="3" fontId="31" fillId="0" borderId="149" xfId="0" applyNumberFormat="1" applyFont="1" applyBorder="1" applyAlignment="1" applyProtection="1">
      <alignment horizontal="center" vertical="center"/>
      <protection locked="0"/>
    </xf>
    <xf numFmtId="3" fontId="31" fillId="0" borderId="142" xfId="0" applyNumberFormat="1" applyFont="1" applyBorder="1" applyAlignment="1" applyProtection="1">
      <alignment horizontal="center" vertical="center"/>
      <protection locked="0"/>
    </xf>
    <xf numFmtId="3" fontId="31" fillId="0" borderId="143" xfId="0" applyNumberFormat="1" applyFont="1" applyBorder="1" applyAlignment="1" applyProtection="1">
      <alignment horizontal="center" vertical="center"/>
      <protection locked="0"/>
    </xf>
    <xf numFmtId="3" fontId="31" fillId="0" borderId="144" xfId="0" applyNumberFormat="1" applyFont="1" applyBorder="1" applyAlignment="1" applyProtection="1">
      <alignment horizontal="center" vertical="center"/>
      <protection locked="0"/>
    </xf>
    <xf numFmtId="3" fontId="31" fillId="0" borderId="69" xfId="0" applyNumberFormat="1" applyFont="1" applyBorder="1" applyAlignment="1" applyProtection="1">
      <alignment horizontal="center" vertical="center"/>
      <protection locked="0"/>
    </xf>
    <xf numFmtId="3" fontId="31" fillId="0" borderId="71" xfId="0" applyNumberFormat="1" applyFont="1" applyBorder="1" applyAlignment="1" applyProtection="1">
      <alignment horizontal="center" vertical="center"/>
      <protection locked="0"/>
    </xf>
    <xf numFmtId="3" fontId="31" fillId="0" borderId="79" xfId="0" applyNumberFormat="1" applyFont="1" applyBorder="1" applyAlignment="1" applyProtection="1">
      <alignment horizontal="center" vertical="center"/>
      <protection locked="0"/>
    </xf>
    <xf numFmtId="3" fontId="31" fillId="0" borderId="90" xfId="0" applyNumberFormat="1" applyFont="1" applyBorder="1" applyAlignment="1" applyProtection="1">
      <alignment horizontal="center" vertical="center"/>
      <protection locked="0"/>
    </xf>
    <xf numFmtId="3" fontId="31" fillId="0" borderId="70" xfId="0" applyNumberFormat="1" applyFont="1" applyBorder="1" applyAlignment="1" applyProtection="1">
      <alignment horizontal="center" vertical="center"/>
      <protection locked="0"/>
    </xf>
    <xf numFmtId="3" fontId="31" fillId="0" borderId="101" xfId="0" applyNumberFormat="1" applyFont="1" applyBorder="1" applyAlignment="1" applyProtection="1">
      <alignment horizontal="center" vertical="center"/>
      <protection locked="0"/>
    </xf>
    <xf numFmtId="3" fontId="12" fillId="7" borderId="102" xfId="4" applyNumberFormat="1" applyFont="1" applyFill="1" applyBorder="1" applyAlignment="1">
      <alignment horizontal="center" vertical="center"/>
    </xf>
    <xf numFmtId="0" fontId="22" fillId="7" borderId="34" xfId="69" quotePrefix="1" applyFont="1" applyFill="1" applyBorder="1" applyAlignment="1">
      <alignment horizontal="center" vertical="center" wrapText="1"/>
    </xf>
    <xf numFmtId="0" fontId="13" fillId="7" borderId="1" xfId="0" applyFont="1" applyFill="1" applyBorder="1" applyAlignment="1">
      <alignment horizontal="center" vertical="center" wrapText="1"/>
    </xf>
    <xf numFmtId="0" fontId="13" fillId="7" borderId="3" xfId="0" applyFont="1" applyFill="1" applyBorder="1" applyAlignment="1">
      <alignment horizontal="center" vertical="center" wrapText="1"/>
    </xf>
    <xf numFmtId="0" fontId="13" fillId="7" borderId="0" xfId="0" applyFont="1" applyFill="1" applyAlignment="1">
      <alignment horizontal="center" vertical="center" wrapText="1"/>
    </xf>
    <xf numFmtId="0" fontId="13" fillId="7" borderId="11" xfId="0" applyFont="1" applyFill="1" applyBorder="1" applyAlignment="1">
      <alignment horizontal="center" vertical="center" wrapText="1"/>
    </xf>
    <xf numFmtId="0" fontId="13" fillId="7" borderId="8" xfId="0" applyFont="1" applyFill="1" applyBorder="1" applyAlignment="1">
      <alignment horizontal="center" vertical="center"/>
    </xf>
    <xf numFmtId="0" fontId="13" fillId="7" borderId="21" xfId="0" applyFont="1" applyFill="1" applyBorder="1" applyAlignment="1">
      <alignment horizontal="center" vertical="center"/>
    </xf>
    <xf numFmtId="0" fontId="13" fillId="7" borderId="9" xfId="0" applyFont="1" applyFill="1" applyBorder="1" applyAlignment="1">
      <alignment horizontal="center" vertical="center"/>
    </xf>
    <xf numFmtId="0" fontId="22" fillId="7" borderId="161" xfId="0" applyFont="1" applyFill="1" applyBorder="1" applyAlignment="1">
      <alignment horizontal="center" vertical="center" wrapText="1"/>
    </xf>
    <xf numFmtId="0" fontId="22" fillId="7" borderId="162" xfId="0" applyFont="1" applyFill="1" applyBorder="1" applyAlignment="1">
      <alignment horizontal="center" vertical="center" wrapText="1"/>
    </xf>
    <xf numFmtId="0" fontId="40" fillId="7" borderId="35" xfId="69" quotePrefix="1" applyFont="1" applyFill="1" applyBorder="1" applyAlignment="1">
      <alignment horizontal="center" vertical="center" wrapText="1"/>
    </xf>
    <xf numFmtId="0" fontId="18" fillId="7" borderId="0" xfId="111" applyFont="1" applyFill="1" applyAlignment="1">
      <alignment horizontal="justify" vertical="top"/>
    </xf>
    <xf numFmtId="0" fontId="12" fillId="7" borderId="114" xfId="0" applyFont="1" applyFill="1" applyBorder="1" applyAlignment="1">
      <alignment horizontal="center" vertical="center"/>
    </xf>
    <xf numFmtId="0" fontId="12" fillId="7" borderId="115" xfId="0" applyFont="1" applyFill="1" applyBorder="1" applyAlignment="1">
      <alignment horizontal="center" vertical="center"/>
    </xf>
    <xf numFmtId="0" fontId="12" fillId="7" borderId="118" xfId="0" applyFont="1" applyFill="1" applyBorder="1" applyAlignment="1">
      <alignment horizontal="center" vertical="center"/>
    </xf>
    <xf numFmtId="3" fontId="12" fillId="7" borderId="114" xfId="0" applyNumberFormat="1" applyFont="1" applyFill="1" applyBorder="1" applyAlignment="1">
      <alignment horizontal="center" vertical="center"/>
    </xf>
    <xf numFmtId="3" fontId="12" fillId="7" borderId="115" xfId="0" applyNumberFormat="1" applyFont="1" applyFill="1" applyBorder="1" applyAlignment="1">
      <alignment horizontal="center" vertical="center"/>
    </xf>
    <xf numFmtId="3" fontId="12" fillId="7" borderId="118" xfId="0" applyNumberFormat="1" applyFont="1" applyFill="1" applyBorder="1" applyAlignment="1">
      <alignment horizontal="center" vertical="center"/>
    </xf>
    <xf numFmtId="3" fontId="12" fillId="7" borderId="122" xfId="0" applyNumberFormat="1" applyFont="1" applyFill="1" applyBorder="1" applyAlignment="1">
      <alignment horizontal="center" vertical="center"/>
    </xf>
    <xf numFmtId="3" fontId="12" fillId="7" borderId="123" xfId="0" applyNumberFormat="1" applyFont="1" applyFill="1" applyBorder="1" applyAlignment="1">
      <alignment horizontal="center" vertical="center"/>
    </xf>
    <xf numFmtId="3" fontId="12" fillId="7" borderId="124" xfId="4" applyNumberFormat="1" applyFont="1" applyFill="1" applyBorder="1" applyAlignment="1">
      <alignment horizontal="center" vertical="center"/>
    </xf>
    <xf numFmtId="3" fontId="12" fillId="7" borderId="121" xfId="4" applyNumberFormat="1" applyFont="1" applyFill="1" applyBorder="1" applyAlignment="1">
      <alignment horizontal="center" vertical="center"/>
    </xf>
    <xf numFmtId="3" fontId="31" fillId="0" borderId="117" xfId="0" applyNumberFormat="1" applyFont="1" applyBorder="1" applyAlignment="1" applyProtection="1">
      <alignment horizontal="center" vertical="center"/>
      <protection locked="0"/>
    </xf>
    <xf numFmtId="3" fontId="31" fillId="0" borderId="113" xfId="0" applyNumberFormat="1" applyFont="1" applyBorder="1" applyAlignment="1" applyProtection="1">
      <alignment horizontal="center" vertical="center"/>
      <protection locked="0"/>
    </xf>
    <xf numFmtId="3" fontId="31" fillId="0" borderId="120" xfId="0" applyNumberFormat="1" applyFont="1" applyBorder="1" applyAlignment="1" applyProtection="1">
      <alignment horizontal="center" vertical="center"/>
      <protection locked="0"/>
    </xf>
    <xf numFmtId="3" fontId="31" fillId="0" borderId="133" xfId="4" applyNumberFormat="1" applyFont="1" applyFill="1" applyBorder="1" applyAlignment="1" applyProtection="1">
      <alignment horizontal="center" vertical="center"/>
      <protection locked="0"/>
    </xf>
    <xf numFmtId="3" fontId="31" fillId="0" borderId="131" xfId="4" applyNumberFormat="1" applyFont="1" applyFill="1" applyBorder="1" applyAlignment="1" applyProtection="1">
      <alignment horizontal="center" vertical="center"/>
      <protection locked="0"/>
    </xf>
    <xf numFmtId="3" fontId="31" fillId="0" borderId="132" xfId="4" applyNumberFormat="1" applyFont="1" applyFill="1" applyBorder="1" applyAlignment="1" applyProtection="1">
      <alignment horizontal="center" vertical="center"/>
      <protection locked="0"/>
    </xf>
    <xf numFmtId="3" fontId="12" fillId="7" borderId="137" xfId="4" applyNumberFormat="1" applyFont="1" applyFill="1" applyBorder="1" applyAlignment="1">
      <alignment horizontal="center" vertical="center"/>
    </xf>
    <xf numFmtId="3" fontId="12" fillId="7" borderId="131" xfId="4" applyNumberFormat="1" applyFont="1" applyFill="1" applyBorder="1" applyAlignment="1">
      <alignment horizontal="center" vertical="center"/>
    </xf>
    <xf numFmtId="3" fontId="12" fillId="7" borderId="129" xfId="4" applyNumberFormat="1" applyFont="1" applyFill="1" applyBorder="1" applyAlignment="1">
      <alignment horizontal="center" vertical="center"/>
    </xf>
    <xf numFmtId="3" fontId="12" fillId="7" borderId="36" xfId="4" applyNumberFormat="1" applyFont="1" applyFill="1" applyBorder="1" applyAlignment="1">
      <alignment horizontal="center" vertical="center"/>
    </xf>
    <xf numFmtId="3" fontId="12" fillId="7" borderId="5" xfId="4" applyNumberFormat="1" applyFont="1" applyFill="1" applyBorder="1" applyAlignment="1">
      <alignment horizontal="center" vertical="center"/>
    </xf>
    <xf numFmtId="3" fontId="12" fillId="7" borderId="29" xfId="4" applyNumberFormat="1" applyFont="1" applyFill="1" applyBorder="1" applyAlignment="1">
      <alignment horizontal="center" vertical="center"/>
    </xf>
    <xf numFmtId="3" fontId="12" fillId="7" borderId="134" xfId="4" applyNumberFormat="1" applyFont="1" applyFill="1" applyBorder="1" applyAlignment="1">
      <alignment horizontal="center" vertical="center"/>
    </xf>
    <xf numFmtId="3" fontId="12" fillId="7" borderId="83" xfId="4" applyNumberFormat="1" applyFont="1" applyFill="1" applyBorder="1" applyAlignment="1">
      <alignment horizontal="center" vertical="center"/>
    </xf>
    <xf numFmtId="3" fontId="12" fillId="7" borderId="89" xfId="4" applyNumberFormat="1" applyFont="1" applyFill="1" applyBorder="1" applyAlignment="1">
      <alignment horizontal="center" vertical="center"/>
    </xf>
    <xf numFmtId="3" fontId="31" fillId="0" borderId="130" xfId="4" applyNumberFormat="1" applyFont="1" applyFill="1" applyBorder="1" applyAlignment="1" applyProtection="1">
      <alignment horizontal="center" vertical="center"/>
      <protection locked="0"/>
    </xf>
    <xf numFmtId="3" fontId="12" fillId="7" borderId="4" xfId="4" applyNumberFormat="1" applyFont="1" applyFill="1" applyBorder="1" applyAlignment="1">
      <alignment horizontal="center" vertical="center"/>
    </xf>
    <xf numFmtId="0" fontId="12" fillId="7" borderId="104" xfId="0" applyFont="1" applyFill="1" applyBorder="1" applyAlignment="1">
      <alignment horizontal="center" vertical="center" wrapText="1"/>
    </xf>
    <xf numFmtId="0" fontId="12" fillId="7" borderId="49" xfId="0" applyFont="1" applyFill="1" applyBorder="1" applyAlignment="1">
      <alignment horizontal="center" vertical="center" wrapText="1"/>
    </xf>
    <xf numFmtId="0" fontId="41" fillId="7" borderId="49" xfId="0" applyFont="1" applyFill="1" applyBorder="1" applyAlignment="1">
      <alignment horizontal="center" vertical="center" wrapText="1"/>
    </xf>
    <xf numFmtId="0" fontId="12" fillId="7" borderId="0" xfId="0" applyFont="1" applyFill="1" applyAlignment="1">
      <alignment horizontal="center" vertical="center"/>
    </xf>
    <xf numFmtId="0" fontId="12" fillId="7" borderId="11" xfId="0" applyFont="1" applyFill="1" applyBorder="1" applyAlignment="1">
      <alignment horizontal="center" vertical="center"/>
    </xf>
    <xf numFmtId="0" fontId="12" fillId="7" borderId="49" xfId="0" applyFont="1" applyFill="1" applyBorder="1" applyAlignment="1">
      <alignment horizontal="center" vertical="center"/>
    </xf>
    <xf numFmtId="3" fontId="12" fillId="7" borderId="114" xfId="11" applyNumberFormat="1" applyFont="1" applyFill="1" applyBorder="1" applyAlignment="1">
      <alignment horizontal="center" vertical="center"/>
    </xf>
    <xf numFmtId="3" fontId="12" fillId="7" borderId="115" xfId="11" applyNumberFormat="1" applyFont="1" applyFill="1" applyBorder="1" applyAlignment="1">
      <alignment horizontal="center" vertical="center"/>
    </xf>
    <xf numFmtId="3" fontId="12" fillId="7" borderId="118" xfId="11" applyNumberFormat="1" applyFont="1" applyFill="1" applyBorder="1" applyAlignment="1">
      <alignment horizontal="center" vertical="center"/>
    </xf>
    <xf numFmtId="0" fontId="41" fillId="7" borderId="51" xfId="0" applyFont="1" applyFill="1" applyBorder="1" applyAlignment="1">
      <alignment horizontal="center" vertical="center" wrapText="1"/>
    </xf>
    <xf numFmtId="0" fontId="41" fillId="7" borderId="5" xfId="0" applyFont="1" applyFill="1" applyBorder="1" applyAlignment="1">
      <alignment horizontal="center" vertical="center" wrapText="1"/>
    </xf>
    <xf numFmtId="0" fontId="41" fillId="7" borderId="12" xfId="0" applyFont="1" applyFill="1" applyBorder="1" applyAlignment="1">
      <alignment horizontal="center" vertical="center" wrapText="1"/>
    </xf>
    <xf numFmtId="3" fontId="31" fillId="0" borderId="117" xfId="11" applyNumberFormat="1" applyFont="1" applyBorder="1" applyAlignment="1" applyProtection="1">
      <alignment horizontal="center" vertical="center"/>
      <protection locked="0"/>
    </xf>
    <xf numFmtId="3" fontId="31" fillId="0" borderId="113" xfId="11" applyNumberFormat="1" applyFont="1" applyBorder="1" applyAlignment="1" applyProtection="1">
      <alignment horizontal="center" vertical="center"/>
      <protection locked="0"/>
    </xf>
    <xf numFmtId="3" fontId="31" fillId="0" borderId="116" xfId="11" applyNumberFormat="1" applyFont="1" applyBorder="1" applyAlignment="1" applyProtection="1">
      <alignment horizontal="center" vertical="center"/>
      <protection locked="0"/>
    </xf>
    <xf numFmtId="3" fontId="31" fillId="0" borderId="80" xfId="11" applyNumberFormat="1" applyFont="1" applyBorder="1" applyAlignment="1" applyProtection="1">
      <alignment horizontal="center" vertical="center"/>
      <protection locked="0"/>
    </xf>
    <xf numFmtId="3" fontId="31" fillId="0" borderId="81" xfId="11" applyNumberFormat="1" applyFont="1" applyBorder="1" applyAlignment="1" applyProtection="1">
      <alignment horizontal="center" vertical="center"/>
      <protection locked="0"/>
    </xf>
    <xf numFmtId="3" fontId="31" fillId="0" borderId="84" xfId="11" applyNumberFormat="1" applyFont="1" applyBorder="1" applyAlignment="1" applyProtection="1">
      <alignment horizontal="center" vertical="center"/>
      <protection locked="0"/>
    </xf>
    <xf numFmtId="3" fontId="31" fillId="0" borderId="69" xfId="11" applyNumberFormat="1" applyFont="1" applyBorder="1" applyAlignment="1" applyProtection="1">
      <alignment horizontal="center" vertical="center"/>
      <protection locked="0"/>
    </xf>
    <xf numFmtId="3" fontId="31" fillId="0" borderId="71" xfId="11" applyNumberFormat="1" applyFont="1" applyBorder="1" applyAlignment="1" applyProtection="1">
      <alignment horizontal="center" vertical="center"/>
      <protection locked="0"/>
    </xf>
    <xf numFmtId="3" fontId="31" fillId="0" borderId="74" xfId="11" applyNumberFormat="1" applyFont="1" applyBorder="1" applyAlignment="1" applyProtection="1">
      <alignment horizontal="center" vertical="center"/>
      <protection locked="0"/>
    </xf>
    <xf numFmtId="3" fontId="31" fillId="0" borderId="82" xfId="11" applyNumberFormat="1" applyFont="1" applyBorder="1" applyAlignment="1" applyProtection="1">
      <alignment horizontal="center" vertical="center"/>
      <protection locked="0"/>
    </xf>
    <xf numFmtId="3" fontId="31" fillId="0" borderId="83" xfId="11" applyNumberFormat="1" applyFont="1" applyBorder="1" applyAlignment="1" applyProtection="1">
      <alignment horizontal="center" vertical="center"/>
      <protection locked="0"/>
    </xf>
    <xf numFmtId="3" fontId="31" fillId="0" borderId="89" xfId="11" applyNumberFormat="1" applyFont="1" applyBorder="1" applyAlignment="1" applyProtection="1">
      <alignment horizontal="center" vertical="center"/>
      <protection locked="0"/>
    </xf>
    <xf numFmtId="3" fontId="31" fillId="0" borderId="1" xfId="11" applyNumberFormat="1" applyFont="1" applyBorder="1" applyAlignment="1" applyProtection="1">
      <alignment horizontal="center" vertical="center"/>
      <protection locked="0"/>
    </xf>
    <xf numFmtId="3" fontId="31" fillId="0" borderId="2" xfId="11" applyNumberFormat="1" applyFont="1" applyBorder="1" applyAlignment="1" applyProtection="1">
      <alignment horizontal="center" vertical="center"/>
      <protection locked="0"/>
    </xf>
    <xf numFmtId="3" fontId="31" fillId="0" borderId="10" xfId="11" applyNumberFormat="1" applyFont="1" applyBorder="1" applyAlignment="1" applyProtection="1">
      <alignment horizontal="center" vertical="center"/>
      <protection locked="0"/>
    </xf>
    <xf numFmtId="3" fontId="31" fillId="0" borderId="142" xfId="11" applyNumberFormat="1" applyFont="1" applyBorder="1" applyAlignment="1" applyProtection="1">
      <alignment horizontal="center" vertical="center"/>
      <protection locked="0"/>
    </xf>
    <xf numFmtId="3" fontId="31" fillId="0" borderId="143" xfId="11" applyNumberFormat="1" applyFont="1" applyBorder="1" applyAlignment="1" applyProtection="1">
      <alignment horizontal="center" vertical="center"/>
      <protection locked="0"/>
    </xf>
    <xf numFmtId="3" fontId="31" fillId="0" borderId="141" xfId="11" applyNumberFormat="1" applyFont="1" applyBorder="1" applyAlignment="1" applyProtection="1">
      <alignment horizontal="center" vertical="center"/>
      <protection locked="0"/>
    </xf>
    <xf numFmtId="0" fontId="12" fillId="7" borderId="1" xfId="11" applyFont="1" applyFill="1" applyBorder="1" applyAlignment="1">
      <alignment horizontal="center" vertical="center" wrapText="1"/>
    </xf>
    <xf numFmtId="0" fontId="12" fillId="7" borderId="2" xfId="11" applyFont="1" applyFill="1" applyBorder="1" applyAlignment="1">
      <alignment horizontal="center" vertical="center" wrapText="1"/>
    </xf>
    <xf numFmtId="0" fontId="12" fillId="7" borderId="10" xfId="11" applyFont="1" applyFill="1" applyBorder="1" applyAlignment="1">
      <alignment horizontal="center" vertical="center" wrapText="1"/>
    </xf>
    <xf numFmtId="0" fontId="12" fillId="7" borderId="3" xfId="11" applyFont="1" applyFill="1" applyBorder="1" applyAlignment="1">
      <alignment horizontal="center" vertical="center" wrapText="1"/>
    </xf>
    <xf numFmtId="0" fontId="12" fillId="7" borderId="0" xfId="11" applyFont="1" applyFill="1" applyAlignment="1">
      <alignment horizontal="center" vertical="center" wrapText="1"/>
    </xf>
    <xf numFmtId="0" fontId="12" fillId="7" borderId="11" xfId="11" applyFont="1" applyFill="1" applyBorder="1" applyAlignment="1">
      <alignment horizontal="center" vertical="center" wrapText="1"/>
    </xf>
    <xf numFmtId="0" fontId="22" fillId="7" borderId="0" xfId="11" quotePrefix="1" applyFont="1" applyFill="1" applyAlignment="1">
      <alignment horizontal="justify" vertical="top" wrapText="1"/>
    </xf>
    <xf numFmtId="0" fontId="22" fillId="7" borderId="0" xfId="11" applyFont="1" applyFill="1" applyAlignment="1">
      <alignment horizontal="justify" vertical="top" wrapText="1"/>
    </xf>
    <xf numFmtId="0" fontId="12" fillId="7" borderId="114" xfId="11" applyFont="1" applyFill="1" applyBorder="1" applyAlignment="1">
      <alignment horizontal="center" vertical="center"/>
    </xf>
    <xf numFmtId="0" fontId="12" fillId="7" borderId="115" xfId="11" applyFont="1" applyFill="1" applyBorder="1" applyAlignment="1">
      <alignment horizontal="center" vertical="center"/>
    </xf>
    <xf numFmtId="0" fontId="12" fillId="7" borderId="118" xfId="11" applyFont="1" applyFill="1" applyBorder="1" applyAlignment="1">
      <alignment horizontal="center" vertical="center"/>
    </xf>
    <xf numFmtId="0" fontId="22" fillId="7" borderId="2" xfId="11" quotePrefix="1" applyFont="1" applyFill="1" applyBorder="1" applyAlignment="1">
      <alignment horizontal="justify" vertical="top" wrapText="1"/>
    </xf>
    <xf numFmtId="0" fontId="22" fillId="7" borderId="2" xfId="11" applyFont="1" applyFill="1" applyBorder="1" applyAlignment="1">
      <alignment horizontal="justify" vertical="top" wrapText="1"/>
    </xf>
    <xf numFmtId="0" fontId="12" fillId="7" borderId="13" xfId="11" applyFont="1" applyFill="1" applyBorder="1" applyAlignment="1">
      <alignment horizontal="center" vertical="center" wrapText="1"/>
    </xf>
    <xf numFmtId="0" fontId="12" fillId="7" borderId="14" xfId="11" applyFont="1" applyFill="1" applyBorder="1" applyAlignment="1">
      <alignment horizontal="center" vertical="center" wrapText="1"/>
    </xf>
    <xf numFmtId="0" fontId="12" fillId="7" borderId="18" xfId="11" applyFont="1" applyFill="1" applyBorder="1" applyAlignment="1">
      <alignment horizontal="center" vertical="center" wrapText="1"/>
    </xf>
    <xf numFmtId="0" fontId="12" fillId="7" borderId="15" xfId="11" applyFont="1" applyFill="1" applyBorder="1" applyAlignment="1">
      <alignment horizontal="center" vertical="center" wrapText="1"/>
    </xf>
    <xf numFmtId="0" fontId="12" fillId="7" borderId="16" xfId="11" applyFont="1" applyFill="1" applyBorder="1" applyAlignment="1">
      <alignment horizontal="center" vertical="center" wrapText="1"/>
    </xf>
    <xf numFmtId="0" fontId="12" fillId="7" borderId="19" xfId="11" applyFont="1" applyFill="1" applyBorder="1" applyAlignment="1">
      <alignment horizontal="center" vertical="center" wrapText="1"/>
    </xf>
    <xf numFmtId="0" fontId="12" fillId="7" borderId="17" xfId="11" applyFont="1" applyFill="1" applyBorder="1" applyAlignment="1">
      <alignment horizontal="center" vertical="center" wrapText="1"/>
    </xf>
    <xf numFmtId="0" fontId="12" fillId="7" borderId="7" xfId="11" applyFont="1" applyFill="1" applyBorder="1" applyAlignment="1">
      <alignment horizontal="center" vertical="center" wrapText="1"/>
    </xf>
    <xf numFmtId="0" fontId="12" fillId="7" borderId="20" xfId="11" applyFont="1" applyFill="1" applyBorder="1" applyAlignment="1">
      <alignment horizontal="center" vertical="center" wrapText="1"/>
    </xf>
    <xf numFmtId="0" fontId="40" fillId="7" borderId="4" xfId="11" applyFont="1" applyFill="1" applyBorder="1" applyAlignment="1">
      <alignment horizontal="center" vertical="center" wrapText="1"/>
    </xf>
    <xf numFmtId="0" fontId="40" fillId="7" borderId="5" xfId="11" applyFont="1" applyFill="1" applyBorder="1" applyAlignment="1">
      <alignment horizontal="center" vertical="center" wrapText="1"/>
    </xf>
    <xf numFmtId="0" fontId="40" fillId="7" borderId="12" xfId="11" applyFont="1" applyFill="1" applyBorder="1" applyAlignment="1">
      <alignment horizontal="center" vertical="center" wrapText="1"/>
    </xf>
    <xf numFmtId="0" fontId="22" fillId="7" borderId="114" xfId="0" applyFont="1" applyFill="1" applyBorder="1" applyAlignment="1">
      <alignment horizontal="center" vertical="center" shrinkToFit="1"/>
    </xf>
    <xf numFmtId="0" fontId="22" fillId="7" borderId="115" xfId="0" applyFont="1" applyFill="1" applyBorder="1" applyAlignment="1">
      <alignment horizontal="center" vertical="center" shrinkToFit="1"/>
    </xf>
    <xf numFmtId="0" fontId="22" fillId="7" borderId="118" xfId="0" applyFont="1" applyFill="1" applyBorder="1" applyAlignment="1">
      <alignment horizontal="center" vertical="center" shrinkToFit="1"/>
    </xf>
    <xf numFmtId="0" fontId="18" fillId="7" borderId="2" xfId="111" applyFont="1" applyFill="1" applyBorder="1" applyAlignment="1">
      <alignment horizontal="justify" vertical="center" wrapText="1"/>
    </xf>
    <xf numFmtId="0" fontId="41" fillId="7" borderId="4" xfId="0" applyFont="1" applyFill="1" applyBorder="1" applyAlignment="1">
      <alignment horizontal="center" vertical="center" wrapText="1"/>
    </xf>
    <xf numFmtId="0" fontId="41" fillId="7" borderId="4" xfId="0" applyFont="1" applyFill="1" applyBorder="1" applyAlignment="1">
      <alignment horizontal="center" vertical="center"/>
    </xf>
    <xf numFmtId="0" fontId="41" fillId="7" borderId="5" xfId="0" applyFont="1" applyFill="1" applyBorder="1" applyAlignment="1">
      <alignment horizontal="center" vertical="center"/>
    </xf>
    <xf numFmtId="0" fontId="41" fillId="7" borderId="158" xfId="0" applyFont="1" applyFill="1" applyBorder="1" applyAlignment="1">
      <alignment horizontal="center" vertical="center"/>
    </xf>
    <xf numFmtId="0" fontId="41" fillId="7" borderId="159" xfId="0" applyFont="1" applyFill="1" applyBorder="1" applyAlignment="1">
      <alignment horizontal="center" vertical="center" wrapText="1"/>
    </xf>
    <xf numFmtId="0" fontId="41" fillId="7" borderId="29" xfId="0" applyFont="1" applyFill="1" applyBorder="1" applyAlignment="1">
      <alignment horizontal="center" vertical="center" wrapText="1"/>
    </xf>
    <xf numFmtId="0" fontId="41" fillId="7" borderId="36" xfId="0" applyFont="1" applyFill="1" applyBorder="1" applyAlignment="1">
      <alignment horizontal="center" vertical="center" wrapText="1"/>
    </xf>
    <xf numFmtId="0" fontId="41" fillId="7" borderId="158" xfId="0" applyFont="1" applyFill="1" applyBorder="1" applyAlignment="1">
      <alignment horizontal="center" vertical="center" wrapText="1"/>
    </xf>
    <xf numFmtId="0" fontId="22" fillId="7" borderId="1" xfId="0" applyFont="1" applyFill="1" applyBorder="1" applyAlignment="1">
      <alignment horizontal="center" vertical="center" wrapText="1"/>
    </xf>
    <xf numFmtId="0" fontId="12" fillId="7" borderId="108" xfId="0" applyFont="1" applyFill="1" applyBorder="1" applyAlignment="1">
      <alignment horizontal="center" vertical="center" wrapText="1"/>
    </xf>
    <xf numFmtId="0" fontId="12" fillId="7" borderId="37" xfId="0" applyFont="1" applyFill="1" applyBorder="1" applyAlignment="1">
      <alignment horizontal="center" vertical="center" wrapText="1"/>
    </xf>
    <xf numFmtId="0" fontId="12" fillId="7" borderId="6" xfId="0" applyFont="1" applyFill="1" applyBorder="1" applyAlignment="1">
      <alignment horizontal="center" vertical="center" wrapText="1"/>
    </xf>
    <xf numFmtId="0" fontId="12" fillId="7" borderId="63" xfId="0" applyFont="1" applyFill="1" applyBorder="1" applyAlignment="1">
      <alignment horizontal="center" vertical="center" wrapText="1"/>
    </xf>
    <xf numFmtId="0" fontId="12" fillId="7" borderId="128" xfId="0" applyFont="1" applyFill="1" applyBorder="1" applyAlignment="1">
      <alignment horizontal="center" vertical="center" wrapText="1"/>
    </xf>
    <xf numFmtId="0" fontId="12" fillId="7" borderId="119" xfId="0" applyFont="1" applyFill="1" applyBorder="1" applyAlignment="1">
      <alignment horizontal="center" vertical="center" wrapText="1"/>
    </xf>
    <xf numFmtId="0" fontId="12" fillId="7" borderId="103" xfId="0" applyFont="1" applyFill="1" applyBorder="1" applyAlignment="1">
      <alignment horizontal="center" vertical="center" wrapText="1"/>
    </xf>
    <xf numFmtId="0" fontId="12" fillId="7" borderId="35" xfId="0" applyFont="1" applyFill="1" applyBorder="1" applyAlignment="1">
      <alignment horizontal="center" vertical="center" wrapText="1"/>
    </xf>
    <xf numFmtId="0" fontId="12" fillId="7" borderId="44" xfId="0" applyFont="1" applyFill="1" applyBorder="1" applyAlignment="1">
      <alignment horizontal="center" vertical="center" wrapText="1"/>
    </xf>
    <xf numFmtId="0" fontId="35" fillId="7" borderId="17" xfId="0" applyFont="1" applyFill="1" applyBorder="1" applyAlignment="1">
      <alignment horizontal="center" vertical="center" wrapText="1"/>
    </xf>
    <xf numFmtId="0" fontId="35" fillId="7" borderId="154" xfId="0" applyFont="1" applyFill="1" applyBorder="1" applyAlignment="1">
      <alignment horizontal="center" vertical="center" wrapText="1"/>
    </xf>
    <xf numFmtId="0" fontId="35" fillId="7" borderId="156" xfId="0" applyFont="1" applyFill="1" applyBorder="1" applyAlignment="1">
      <alignment horizontal="center" vertical="center" wrapText="1"/>
    </xf>
    <xf numFmtId="0" fontId="35" fillId="7" borderId="155" xfId="0" applyFont="1" applyFill="1" applyBorder="1" applyAlignment="1">
      <alignment horizontal="center" vertical="center" wrapText="1"/>
    </xf>
    <xf numFmtId="0" fontId="35" fillId="7" borderId="157" xfId="0" applyFont="1" applyFill="1" applyBorder="1" applyAlignment="1">
      <alignment horizontal="center" vertical="center" wrapText="1"/>
    </xf>
    <xf numFmtId="0" fontId="16" fillId="7" borderId="0" xfId="111" applyFont="1" applyFill="1" applyAlignment="1">
      <alignment horizontal="left" vertical="top" wrapText="1"/>
    </xf>
    <xf numFmtId="0" fontId="16" fillId="7" borderId="0" xfId="111" applyFont="1" applyFill="1" applyAlignment="1">
      <alignment horizontal="justify" vertical="top" wrapText="1"/>
    </xf>
    <xf numFmtId="0" fontId="16" fillId="7" borderId="2" xfId="111" applyFont="1" applyFill="1" applyBorder="1" applyAlignment="1">
      <alignment horizontal="justify" vertical="top" wrapText="1"/>
    </xf>
    <xf numFmtId="0" fontId="13" fillId="7" borderId="4" xfId="0" applyFont="1" applyFill="1" applyBorder="1" applyAlignment="1">
      <alignment horizontal="center" vertical="center" wrapText="1"/>
    </xf>
    <xf numFmtId="0" fontId="13" fillId="7" borderId="5"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3" fillId="7" borderId="1" xfId="69" applyFont="1" applyFill="1" applyBorder="1" applyAlignment="1">
      <alignment horizontal="center" vertical="center" wrapText="1"/>
    </xf>
    <xf numFmtId="0" fontId="13" fillId="7" borderId="2" xfId="69" applyFont="1" applyFill="1" applyBorder="1" applyAlignment="1">
      <alignment horizontal="center" vertical="center" wrapText="1"/>
    </xf>
    <xf numFmtId="0" fontId="13" fillId="7" borderId="10" xfId="69" applyFont="1" applyFill="1" applyBorder="1" applyAlignment="1">
      <alignment horizontal="center" vertical="center" wrapText="1"/>
    </xf>
    <xf numFmtId="0" fontId="13" fillId="7" borderId="4" xfId="69" applyFont="1" applyFill="1" applyBorder="1" applyAlignment="1">
      <alignment horizontal="center" vertical="center" wrapText="1"/>
    </xf>
    <xf numFmtId="0" fontId="13" fillId="7" borderId="5" xfId="69" applyFont="1" applyFill="1" applyBorder="1" applyAlignment="1">
      <alignment horizontal="center" vertical="center" wrapText="1"/>
    </xf>
    <xf numFmtId="0" fontId="13" fillId="7" borderId="12" xfId="69" applyFont="1" applyFill="1" applyBorder="1" applyAlignment="1">
      <alignment horizontal="center" vertical="center" wrapText="1"/>
    </xf>
    <xf numFmtId="0" fontId="16" fillId="7" borderId="6" xfId="0" applyFont="1" applyFill="1" applyBorder="1" applyAlignment="1">
      <alignment horizontal="center"/>
    </xf>
    <xf numFmtId="0" fontId="16" fillId="7" borderId="0" xfId="80" applyFont="1" applyFill="1" applyAlignment="1">
      <alignment horizontal="center"/>
    </xf>
    <xf numFmtId="0" fontId="16" fillId="7" borderId="6" xfId="80" applyFont="1" applyFill="1" applyBorder="1" applyAlignment="1">
      <alignment horizontal="center"/>
    </xf>
    <xf numFmtId="3" fontId="16" fillId="0" borderId="130" xfId="4" applyNumberFormat="1" applyFont="1" applyFill="1" applyBorder="1" applyAlignment="1" applyProtection="1">
      <alignment horizontal="center" vertical="center"/>
      <protection locked="0"/>
    </xf>
    <xf numFmtId="3" fontId="16" fillId="0" borderId="131" xfId="4" applyNumberFormat="1" applyFont="1" applyFill="1" applyBorder="1" applyAlignment="1" applyProtection="1">
      <alignment horizontal="center" vertical="center"/>
      <protection locked="0"/>
    </xf>
    <xf numFmtId="3" fontId="16" fillId="0" borderId="132" xfId="4" applyNumberFormat="1" applyFont="1" applyFill="1" applyBorder="1" applyAlignment="1" applyProtection="1">
      <alignment horizontal="center" vertical="center"/>
      <protection locked="0"/>
    </xf>
    <xf numFmtId="3" fontId="16" fillId="0" borderId="129" xfId="4" applyNumberFormat="1" applyFont="1" applyFill="1" applyBorder="1" applyAlignment="1" applyProtection="1">
      <alignment horizontal="center" vertical="center"/>
      <protection locked="0"/>
    </xf>
    <xf numFmtId="3" fontId="13" fillId="7" borderId="137" xfId="4" applyNumberFormat="1" applyFont="1" applyFill="1" applyBorder="1" applyAlignment="1">
      <alignment horizontal="center" vertical="center"/>
    </xf>
    <xf numFmtId="3" fontId="13" fillId="7" borderId="131" xfId="4" applyNumberFormat="1" applyFont="1" applyFill="1" applyBorder="1" applyAlignment="1">
      <alignment horizontal="center" vertical="center"/>
    </xf>
    <xf numFmtId="3" fontId="13" fillId="7" borderId="129" xfId="4" applyNumberFormat="1" applyFont="1" applyFill="1" applyBorder="1" applyAlignment="1">
      <alignment horizontal="center" vertical="center"/>
    </xf>
    <xf numFmtId="0" fontId="13" fillId="7" borderId="114" xfId="0" applyFont="1" applyFill="1" applyBorder="1" applyAlignment="1">
      <alignment horizontal="center" vertical="center" shrinkToFit="1"/>
    </xf>
    <xf numFmtId="0" fontId="13" fillId="7" borderId="115" xfId="0" applyFont="1" applyFill="1" applyBorder="1" applyAlignment="1">
      <alignment horizontal="center" vertical="center" shrinkToFit="1"/>
    </xf>
    <xf numFmtId="0" fontId="13" fillId="7" borderId="118" xfId="0" applyFont="1" applyFill="1" applyBorder="1" applyAlignment="1">
      <alignment horizontal="center" vertical="center" shrinkToFit="1"/>
    </xf>
    <xf numFmtId="3" fontId="13" fillId="7" borderId="114" xfId="4" applyNumberFormat="1" applyFont="1" applyFill="1" applyBorder="1" applyAlignment="1">
      <alignment horizontal="center" vertical="center"/>
    </xf>
    <xf numFmtId="3" fontId="13" fillId="7" borderId="115" xfId="4" applyNumberFormat="1" applyFont="1" applyFill="1" applyBorder="1" applyAlignment="1">
      <alignment horizontal="center" vertical="center"/>
    </xf>
    <xf numFmtId="3" fontId="13" fillId="7" borderId="122" xfId="4" applyNumberFormat="1" applyFont="1" applyFill="1" applyBorder="1" applyAlignment="1">
      <alignment horizontal="center" vertical="center"/>
    </xf>
    <xf numFmtId="3" fontId="13" fillId="7" borderId="126" xfId="4" applyNumberFormat="1" applyFont="1" applyFill="1" applyBorder="1" applyAlignment="1">
      <alignment horizontal="center" vertical="center"/>
    </xf>
    <xf numFmtId="3" fontId="13" fillId="7" borderId="127" xfId="4" applyNumberFormat="1" applyFont="1" applyFill="1" applyBorder="1" applyAlignment="1">
      <alignment horizontal="center" vertical="center"/>
    </xf>
    <xf numFmtId="3" fontId="13" fillId="7" borderId="118" xfId="4" applyNumberFormat="1" applyFont="1" applyFill="1" applyBorder="1" applyAlignment="1">
      <alignment horizontal="center" vertical="center"/>
    </xf>
    <xf numFmtId="3" fontId="16" fillId="0" borderId="69" xfId="4" applyNumberFormat="1" applyFont="1" applyFill="1" applyBorder="1" applyAlignment="1" applyProtection="1">
      <alignment horizontal="center" vertical="center"/>
      <protection locked="0"/>
    </xf>
    <xf numFmtId="3" fontId="16" fillId="0" borderId="71" xfId="4" applyNumberFormat="1" applyFont="1" applyFill="1" applyBorder="1" applyAlignment="1" applyProtection="1">
      <alignment horizontal="center" vertical="center"/>
      <protection locked="0"/>
    </xf>
    <xf numFmtId="3" fontId="16" fillId="0" borderId="79" xfId="4" applyNumberFormat="1" applyFont="1" applyFill="1" applyBorder="1" applyAlignment="1" applyProtection="1">
      <alignment horizontal="center" vertical="center"/>
      <protection locked="0"/>
    </xf>
    <xf numFmtId="3" fontId="16" fillId="0" borderId="96" xfId="4" applyNumberFormat="1" applyFont="1" applyFill="1" applyBorder="1" applyAlignment="1" applyProtection="1">
      <alignment horizontal="center" vertical="center"/>
      <protection locked="0"/>
    </xf>
    <xf numFmtId="3" fontId="13" fillId="7" borderId="97" xfId="4" applyNumberFormat="1" applyFont="1" applyFill="1" applyBorder="1" applyAlignment="1">
      <alignment horizontal="center" vertical="center"/>
    </xf>
    <xf numFmtId="3" fontId="13" fillId="7" borderId="71" xfId="4" applyNumberFormat="1" applyFont="1" applyFill="1" applyBorder="1" applyAlignment="1">
      <alignment horizontal="center" vertical="center"/>
    </xf>
    <xf numFmtId="3" fontId="13" fillId="7" borderId="74" xfId="4" applyNumberFormat="1" applyFont="1" applyFill="1" applyBorder="1" applyAlignment="1">
      <alignment horizontal="center" vertical="center"/>
    </xf>
    <xf numFmtId="3" fontId="16" fillId="0" borderId="74" xfId="4" applyNumberFormat="1" applyFont="1" applyFill="1" applyBorder="1" applyAlignment="1" applyProtection="1">
      <alignment horizontal="center" vertical="center"/>
      <protection locked="0"/>
    </xf>
    <xf numFmtId="3" fontId="16" fillId="0" borderId="142" xfId="4" applyNumberFormat="1" applyFont="1" applyFill="1" applyBorder="1" applyAlignment="1" applyProtection="1">
      <alignment horizontal="center" vertical="center"/>
      <protection locked="0"/>
    </xf>
    <xf numFmtId="3" fontId="16" fillId="0" borderId="143" xfId="4" applyNumberFormat="1" applyFont="1" applyFill="1" applyBorder="1" applyAlignment="1" applyProtection="1">
      <alignment horizontal="center" vertical="center"/>
      <protection locked="0"/>
    </xf>
    <xf numFmtId="3" fontId="16" fillId="0" borderId="144" xfId="4" applyNumberFormat="1" applyFont="1" applyFill="1" applyBorder="1" applyAlignment="1" applyProtection="1">
      <alignment horizontal="center" vertical="center"/>
      <protection locked="0"/>
    </xf>
    <xf numFmtId="3" fontId="16" fillId="0" borderId="141" xfId="4" applyNumberFormat="1" applyFont="1" applyFill="1" applyBorder="1" applyAlignment="1" applyProtection="1">
      <alignment horizontal="center" vertical="center"/>
      <protection locked="0"/>
    </xf>
    <xf numFmtId="3" fontId="13" fillId="7" borderId="147" xfId="4" applyNumberFormat="1" applyFont="1" applyFill="1" applyBorder="1" applyAlignment="1">
      <alignment horizontal="center" vertical="center"/>
    </xf>
    <xf numFmtId="3" fontId="13" fillId="7" borderId="143" xfId="4" applyNumberFormat="1" applyFont="1" applyFill="1" applyBorder="1" applyAlignment="1">
      <alignment horizontal="center" vertical="center"/>
    </xf>
    <xf numFmtId="3" fontId="13" fillId="7" borderId="141" xfId="4" applyNumberFormat="1" applyFont="1" applyFill="1" applyBorder="1" applyAlignment="1">
      <alignment horizontal="center" vertical="center"/>
    </xf>
    <xf numFmtId="3" fontId="16" fillId="0" borderId="15" xfId="4" applyNumberFormat="1" applyFont="1" applyFill="1" applyBorder="1" applyAlignment="1" applyProtection="1">
      <alignment horizontal="center" vertical="center"/>
      <protection locked="0"/>
    </xf>
    <xf numFmtId="3" fontId="16" fillId="0" borderId="16" xfId="4" applyNumberFormat="1" applyFont="1" applyFill="1" applyBorder="1" applyAlignment="1" applyProtection="1">
      <alignment horizontal="center" vertical="center"/>
      <protection locked="0"/>
    </xf>
    <xf numFmtId="3" fontId="16" fillId="0" borderId="26" xfId="4" applyNumberFormat="1" applyFont="1" applyFill="1" applyBorder="1" applyAlignment="1" applyProtection="1">
      <alignment horizontal="center" vertical="center"/>
      <protection locked="0"/>
    </xf>
    <xf numFmtId="3" fontId="16" fillId="0" borderId="42" xfId="4" applyNumberFormat="1" applyFont="1" applyFill="1" applyBorder="1" applyAlignment="1" applyProtection="1">
      <alignment horizontal="center" vertical="center"/>
      <protection locked="0"/>
    </xf>
    <xf numFmtId="3" fontId="13" fillId="7" borderId="43" xfId="4" applyNumberFormat="1" applyFont="1" applyFill="1" applyBorder="1" applyAlignment="1">
      <alignment horizontal="center" vertical="center"/>
    </xf>
    <xf numFmtId="3" fontId="13" fillId="7" borderId="16" xfId="4" applyNumberFormat="1" applyFont="1" applyFill="1" applyBorder="1" applyAlignment="1">
      <alignment horizontal="center" vertical="center"/>
    </xf>
    <xf numFmtId="3" fontId="13" fillId="7" borderId="19" xfId="4" applyNumberFormat="1" applyFont="1" applyFill="1" applyBorder="1" applyAlignment="1">
      <alignment horizontal="center" vertical="center"/>
    </xf>
    <xf numFmtId="3" fontId="16" fillId="0" borderId="138" xfId="4" applyNumberFormat="1" applyFont="1" applyFill="1" applyBorder="1" applyAlignment="1" applyProtection="1">
      <alignment horizontal="center" vertical="center"/>
      <protection locked="0"/>
    </xf>
    <xf numFmtId="3" fontId="16" fillId="0" borderId="139" xfId="4" applyNumberFormat="1" applyFont="1" applyFill="1" applyBorder="1" applyAlignment="1" applyProtection="1">
      <alignment horizontal="center" vertical="center"/>
      <protection locked="0"/>
    </xf>
    <xf numFmtId="3" fontId="16" fillId="0" borderId="149" xfId="4" applyNumberFormat="1" applyFont="1" applyFill="1" applyBorder="1" applyAlignment="1" applyProtection="1">
      <alignment horizontal="center" vertical="center"/>
      <protection locked="0"/>
    </xf>
    <xf numFmtId="3" fontId="16" fillId="0" borderId="148" xfId="4" applyNumberFormat="1" applyFont="1" applyFill="1" applyBorder="1" applyAlignment="1" applyProtection="1">
      <alignment horizontal="center" vertical="center"/>
      <protection locked="0"/>
    </xf>
    <xf numFmtId="3" fontId="13" fillId="7" borderId="152" xfId="4" applyNumberFormat="1" applyFont="1" applyFill="1" applyBorder="1" applyAlignment="1">
      <alignment horizontal="center" vertical="center"/>
    </xf>
    <xf numFmtId="3" fontId="13" fillId="7" borderId="139" xfId="4" applyNumberFormat="1" applyFont="1" applyFill="1" applyBorder="1" applyAlignment="1">
      <alignment horizontal="center" vertical="center"/>
    </xf>
    <xf numFmtId="3" fontId="13" fillId="7" borderId="148" xfId="4" applyNumberFormat="1" applyFont="1" applyFill="1" applyBorder="1" applyAlignment="1">
      <alignment horizontal="center" vertical="center"/>
    </xf>
    <xf numFmtId="0" fontId="13" fillId="7" borderId="114" xfId="69" applyFont="1" applyFill="1" applyBorder="1" applyAlignment="1">
      <alignment horizontal="center" vertical="center"/>
    </xf>
    <xf numFmtId="0" fontId="13" fillId="7" borderId="115" xfId="69" applyFont="1" applyFill="1" applyBorder="1" applyAlignment="1">
      <alignment horizontal="center" vertical="center"/>
    </xf>
    <xf numFmtId="0" fontId="13" fillId="7" borderId="118" xfId="69" applyFont="1" applyFill="1" applyBorder="1" applyAlignment="1">
      <alignment horizontal="center" vertical="center"/>
    </xf>
    <xf numFmtId="3" fontId="13" fillId="7" borderId="4" xfId="4" applyNumberFormat="1" applyFont="1" applyFill="1" applyBorder="1" applyAlignment="1">
      <alignment horizontal="center" vertical="center"/>
    </xf>
    <xf numFmtId="3" fontId="13" fillId="7" borderId="5" xfId="4" applyNumberFormat="1" applyFont="1" applyFill="1" applyBorder="1" applyAlignment="1">
      <alignment horizontal="center" vertical="center"/>
    </xf>
    <xf numFmtId="3" fontId="13" fillId="7" borderId="29" xfId="4" applyNumberFormat="1" applyFont="1" applyFill="1" applyBorder="1" applyAlignment="1">
      <alignment horizontal="center" vertical="center"/>
    </xf>
    <xf numFmtId="3" fontId="13" fillId="7" borderId="36" xfId="4" applyNumberFormat="1" applyFont="1" applyFill="1" applyBorder="1" applyAlignment="1">
      <alignment horizontal="center" vertical="center"/>
    </xf>
    <xf numFmtId="3" fontId="13" fillId="7" borderId="50" xfId="4" applyNumberFormat="1" applyFont="1" applyFill="1" applyBorder="1" applyAlignment="1">
      <alignment horizontal="center" vertical="center"/>
    </xf>
    <xf numFmtId="3" fontId="13" fillId="7" borderId="134" xfId="4" applyNumberFormat="1" applyFont="1" applyFill="1" applyBorder="1" applyAlignment="1">
      <alignment horizontal="center" vertical="center"/>
    </xf>
    <xf numFmtId="3" fontId="13" fillId="7" borderId="83" xfId="4" applyNumberFormat="1" applyFont="1" applyFill="1" applyBorder="1" applyAlignment="1">
      <alignment horizontal="center" vertical="center"/>
    </xf>
    <xf numFmtId="3" fontId="13" fillId="7" borderId="89" xfId="4" applyNumberFormat="1" applyFont="1" applyFill="1" applyBorder="1" applyAlignment="1">
      <alignment horizontal="center" vertical="center"/>
    </xf>
    <xf numFmtId="3" fontId="16" fillId="0" borderId="146" xfId="4" applyNumberFormat="1" applyFont="1" applyFill="1" applyBorder="1" applyAlignment="1" applyProtection="1">
      <alignment horizontal="center" vertical="center"/>
      <protection locked="0"/>
    </xf>
    <xf numFmtId="3" fontId="16" fillId="0" borderId="133" xfId="4" applyNumberFormat="1" applyFont="1" applyFill="1" applyBorder="1" applyAlignment="1" applyProtection="1">
      <alignment horizontal="center" vertical="center"/>
      <protection locked="0"/>
    </xf>
    <xf numFmtId="3" fontId="16" fillId="0" borderId="136" xfId="4" applyNumberFormat="1" applyFont="1" applyFill="1" applyBorder="1" applyAlignment="1" applyProtection="1">
      <alignment horizontal="center" vertical="center"/>
      <protection locked="0"/>
    </xf>
    <xf numFmtId="3" fontId="16" fillId="0" borderId="75" xfId="4" applyNumberFormat="1" applyFont="1" applyFill="1" applyBorder="1" applyAlignment="1" applyProtection="1">
      <alignment horizontal="center" vertical="center"/>
      <protection locked="0"/>
    </xf>
    <xf numFmtId="3" fontId="16" fillId="0" borderId="90" xfId="4" applyNumberFormat="1" applyFont="1" applyFill="1" applyBorder="1" applyAlignment="1" applyProtection="1">
      <alignment horizontal="center" vertical="center"/>
      <protection locked="0"/>
    </xf>
    <xf numFmtId="3" fontId="16" fillId="0" borderId="70" xfId="4" applyNumberFormat="1" applyFont="1" applyFill="1" applyBorder="1" applyAlignment="1" applyProtection="1">
      <alignment horizontal="center" vertical="center"/>
      <protection locked="0"/>
    </xf>
    <xf numFmtId="3" fontId="16" fillId="0" borderId="101" xfId="4" applyNumberFormat="1" applyFont="1" applyFill="1" applyBorder="1" applyAlignment="1" applyProtection="1">
      <alignment horizontal="center" vertical="center"/>
      <protection locked="0"/>
    </xf>
    <xf numFmtId="3" fontId="16" fillId="0" borderId="102" xfId="4" applyNumberFormat="1" applyFont="1" applyFill="1" applyBorder="1" applyAlignment="1" applyProtection="1">
      <alignment horizontal="center" vertical="center"/>
      <protection locked="0"/>
    </xf>
    <xf numFmtId="3" fontId="16" fillId="0" borderId="140" xfId="4" applyNumberFormat="1" applyFont="1" applyFill="1" applyBorder="1" applyAlignment="1" applyProtection="1">
      <alignment horizontal="center" vertical="center"/>
      <protection locked="0"/>
    </xf>
    <xf numFmtId="3" fontId="13" fillId="7" borderId="95" xfId="4" applyNumberFormat="1" applyFont="1" applyFill="1" applyBorder="1" applyAlignment="1">
      <alignment horizontal="center" vertical="center"/>
    </xf>
    <xf numFmtId="3" fontId="13" fillId="7" borderId="70" xfId="4" applyNumberFormat="1" applyFont="1" applyFill="1" applyBorder="1" applyAlignment="1">
      <alignment horizontal="center" vertical="center"/>
    </xf>
    <xf numFmtId="3" fontId="13" fillId="7" borderId="91" xfId="4" applyNumberFormat="1" applyFont="1" applyFill="1" applyBorder="1" applyAlignment="1">
      <alignment horizontal="center" vertical="center"/>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0" fontId="13" fillId="7" borderId="24" xfId="0" applyFont="1" applyFill="1" applyBorder="1" applyAlignment="1">
      <alignment horizontal="center" vertical="center" wrapText="1"/>
    </xf>
    <xf numFmtId="0" fontId="13" fillId="7" borderId="30"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39" xfId="0" applyFont="1" applyFill="1" applyBorder="1" applyAlignment="1">
      <alignment horizontal="center" vertical="center" wrapText="1"/>
    </xf>
    <xf numFmtId="0" fontId="13" fillId="7" borderId="31" xfId="0" applyFont="1" applyFill="1" applyBorder="1" applyAlignment="1">
      <alignment horizontal="center" vertical="center" wrapText="1"/>
    </xf>
    <xf numFmtId="0" fontId="13" fillId="7" borderId="13" xfId="0" applyFont="1" applyFill="1" applyBorder="1" applyAlignment="1">
      <alignment horizontal="center" vertical="center" wrapText="1"/>
    </xf>
    <xf numFmtId="0" fontId="13" fillId="7" borderId="14" xfId="0" applyFont="1" applyFill="1" applyBorder="1" applyAlignment="1">
      <alignment horizontal="center" vertical="center" wrapText="1"/>
    </xf>
    <xf numFmtId="0" fontId="13" fillId="7" borderId="18" xfId="0" applyFont="1" applyFill="1" applyBorder="1" applyAlignment="1">
      <alignment horizontal="center" vertical="center" wrapText="1"/>
    </xf>
    <xf numFmtId="0" fontId="13" fillId="7" borderId="29" xfId="0" applyFont="1" applyFill="1" applyBorder="1" applyAlignment="1">
      <alignment horizontal="center" vertical="center" wrapText="1"/>
    </xf>
    <xf numFmtId="0" fontId="13" fillId="7" borderId="36" xfId="0" applyFont="1" applyFill="1" applyBorder="1" applyAlignment="1">
      <alignment horizontal="center" vertical="center" wrapText="1"/>
    </xf>
    <xf numFmtId="0" fontId="13" fillId="7" borderId="50" xfId="0" applyFont="1" applyFill="1" applyBorder="1" applyAlignment="1">
      <alignment horizontal="center" vertical="center" wrapText="1"/>
    </xf>
    <xf numFmtId="3" fontId="12" fillId="7" borderId="75" xfId="0" applyNumberFormat="1" applyFont="1" applyFill="1" applyBorder="1" applyAlignment="1">
      <alignment horizontal="center" vertical="center"/>
    </xf>
    <xf numFmtId="3" fontId="12" fillId="7" borderId="71" xfId="0" applyNumberFormat="1" applyFont="1" applyFill="1" applyBorder="1" applyAlignment="1">
      <alignment horizontal="center" vertical="center"/>
    </xf>
    <xf numFmtId="3" fontId="12" fillId="7" borderId="74" xfId="0" applyNumberFormat="1" applyFont="1" applyFill="1" applyBorder="1" applyAlignment="1">
      <alignment horizontal="center" vertical="center"/>
    </xf>
    <xf numFmtId="3" fontId="31" fillId="0" borderId="72" xfId="0" applyNumberFormat="1" applyFont="1" applyBorder="1" applyAlignment="1" applyProtection="1">
      <alignment horizontal="center" vertical="center"/>
      <protection locked="0"/>
    </xf>
    <xf numFmtId="3" fontId="31" fillId="0" borderId="73" xfId="0" applyNumberFormat="1" applyFont="1" applyBorder="1" applyAlignment="1" applyProtection="1">
      <alignment horizontal="center" vertical="center"/>
      <protection locked="0"/>
    </xf>
    <xf numFmtId="3" fontId="31" fillId="0" borderId="77" xfId="0" applyNumberFormat="1" applyFont="1" applyBorder="1" applyAlignment="1" applyProtection="1">
      <alignment horizontal="center" vertical="center"/>
      <protection locked="0"/>
    </xf>
    <xf numFmtId="3" fontId="31" fillId="0" borderId="78" xfId="0" applyNumberFormat="1" applyFont="1" applyBorder="1" applyAlignment="1" applyProtection="1">
      <alignment horizontal="center" vertical="center"/>
      <protection locked="0"/>
    </xf>
    <xf numFmtId="3" fontId="31" fillId="0" borderId="76" xfId="0" applyNumberFormat="1" applyFont="1" applyBorder="1" applyAlignment="1" applyProtection="1">
      <alignment horizontal="center" vertical="center"/>
      <protection locked="0"/>
    </xf>
    <xf numFmtId="3" fontId="31" fillId="0" borderId="99" xfId="0" applyNumberFormat="1" applyFont="1" applyBorder="1" applyAlignment="1" applyProtection="1">
      <alignment horizontal="center" vertical="center"/>
      <protection locked="0"/>
    </xf>
    <xf numFmtId="3" fontId="12" fillId="7" borderId="100" xfId="0" applyNumberFormat="1" applyFont="1" applyFill="1" applyBorder="1" applyAlignment="1">
      <alignment horizontal="center" vertical="center"/>
    </xf>
    <xf numFmtId="3" fontId="12" fillId="7" borderId="73" xfId="0" applyNumberFormat="1" applyFont="1" applyFill="1" applyBorder="1" applyAlignment="1">
      <alignment horizontal="center" vertical="center"/>
    </xf>
    <xf numFmtId="3" fontId="12" fillId="7" borderId="77" xfId="0" applyNumberFormat="1" applyFont="1" applyFill="1" applyBorder="1" applyAlignment="1">
      <alignment horizontal="center" vertical="center"/>
    </xf>
    <xf numFmtId="3" fontId="12" fillId="7" borderId="78" xfId="0" applyNumberFormat="1" applyFont="1" applyFill="1" applyBorder="1" applyAlignment="1">
      <alignment horizontal="center" vertical="center"/>
    </xf>
    <xf numFmtId="3" fontId="12" fillId="7" borderId="76" xfId="0" applyNumberFormat="1" applyFont="1" applyFill="1" applyBorder="1" applyAlignment="1">
      <alignment horizontal="center" vertical="center"/>
    </xf>
    <xf numFmtId="3" fontId="31" fillId="0" borderId="75" xfId="0" applyNumberFormat="1" applyFont="1" applyBorder="1" applyAlignment="1" applyProtection="1">
      <alignment horizontal="center" vertical="center"/>
      <protection locked="0"/>
    </xf>
    <xf numFmtId="3" fontId="31" fillId="0" borderId="74" xfId="0" applyNumberFormat="1" applyFont="1" applyBorder="1" applyAlignment="1" applyProtection="1">
      <alignment horizontal="center" vertical="center"/>
      <protection locked="0"/>
    </xf>
    <xf numFmtId="3" fontId="31" fillId="0" borderId="96" xfId="0" applyNumberFormat="1" applyFont="1" applyBorder="1" applyAlignment="1" applyProtection="1">
      <alignment horizontal="center" vertical="center"/>
      <protection locked="0"/>
    </xf>
    <xf numFmtId="3" fontId="12" fillId="7" borderId="97" xfId="0" applyNumberFormat="1" applyFont="1" applyFill="1" applyBorder="1" applyAlignment="1">
      <alignment horizontal="center" vertical="center"/>
    </xf>
    <xf numFmtId="3" fontId="12" fillId="7" borderId="79" xfId="0" applyNumberFormat="1" applyFont="1" applyFill="1" applyBorder="1" applyAlignment="1">
      <alignment horizontal="center" vertical="center"/>
    </xf>
    <xf numFmtId="0" fontId="31" fillId="7" borderId="69" xfId="0" applyFont="1" applyFill="1" applyBorder="1" applyAlignment="1">
      <alignment horizontal="center" vertical="center"/>
    </xf>
    <xf numFmtId="0" fontId="31" fillId="7" borderId="71" xfId="0" applyFont="1" applyFill="1" applyBorder="1" applyAlignment="1">
      <alignment horizontal="center" vertical="center"/>
    </xf>
    <xf numFmtId="0" fontId="31" fillId="7" borderId="79" xfId="0" applyFont="1" applyFill="1" applyBorder="1" applyAlignment="1">
      <alignment horizontal="center" vertical="center"/>
    </xf>
    <xf numFmtId="0" fontId="31" fillId="7" borderId="75" xfId="0" applyFont="1" applyFill="1" applyBorder="1" applyAlignment="1">
      <alignment horizontal="center" vertical="center"/>
    </xf>
    <xf numFmtId="0" fontId="31" fillId="7" borderId="74" xfId="0" applyFont="1" applyFill="1" applyBorder="1" applyAlignment="1">
      <alignment horizontal="center" vertical="center"/>
    </xf>
    <xf numFmtId="0" fontId="31" fillId="7" borderId="96" xfId="0" applyFont="1" applyFill="1" applyBorder="1" applyAlignment="1">
      <alignment horizontal="center" vertical="center"/>
    </xf>
    <xf numFmtId="0" fontId="12" fillId="7" borderId="97" xfId="0" applyFont="1" applyFill="1" applyBorder="1" applyAlignment="1">
      <alignment horizontal="center" vertical="center"/>
    </xf>
    <xf numFmtId="0" fontId="12" fillId="7" borderId="71" xfId="0" applyFont="1" applyFill="1" applyBorder="1" applyAlignment="1">
      <alignment horizontal="center" vertical="center"/>
    </xf>
    <xf numFmtId="0" fontId="12" fillId="7" borderId="79" xfId="0" applyFont="1" applyFill="1" applyBorder="1" applyAlignment="1">
      <alignment horizontal="center" vertical="center"/>
    </xf>
    <xf numFmtId="0" fontId="12" fillId="7" borderId="75" xfId="0" applyFont="1" applyFill="1" applyBorder="1" applyAlignment="1">
      <alignment horizontal="center" vertical="center"/>
    </xf>
    <xf numFmtId="0" fontId="12" fillId="7" borderId="74" xfId="0" applyFont="1" applyFill="1" applyBorder="1" applyAlignment="1">
      <alignment horizontal="center" vertical="center"/>
    </xf>
    <xf numFmtId="0" fontId="12" fillId="7" borderId="104" xfId="0" applyFont="1" applyFill="1" applyBorder="1" applyAlignment="1">
      <alignment horizontal="center" vertical="center"/>
    </xf>
    <xf numFmtId="0" fontId="12" fillId="7" borderId="2" xfId="0" applyFont="1" applyFill="1" applyBorder="1" applyAlignment="1">
      <alignment horizontal="center" vertical="center"/>
    </xf>
    <xf numFmtId="0" fontId="12" fillId="7" borderId="108" xfId="0" applyFont="1" applyFill="1" applyBorder="1" applyAlignment="1">
      <alignment horizontal="center" vertical="center"/>
    </xf>
    <xf numFmtId="0" fontId="12" fillId="7" borderId="128" xfId="0" applyFont="1" applyFill="1" applyBorder="1" applyAlignment="1">
      <alignment horizontal="center" vertical="center"/>
    </xf>
    <xf numFmtId="0" fontId="12" fillId="7" borderId="10" xfId="0" applyFont="1" applyFill="1" applyBorder="1" applyAlignment="1">
      <alignment horizontal="center" vertical="center"/>
    </xf>
    <xf numFmtId="3" fontId="12" fillId="7" borderId="127" xfId="0" applyNumberFormat="1" applyFont="1" applyFill="1" applyBorder="1" applyAlignment="1">
      <alignment horizontal="center" vertical="center"/>
    </xf>
    <xf numFmtId="0" fontId="31" fillId="7" borderId="1" xfId="0" applyFont="1" applyFill="1" applyBorder="1" applyAlignment="1">
      <alignment horizontal="center" vertical="center"/>
    </xf>
    <xf numFmtId="0" fontId="31" fillId="7" borderId="2" xfId="0" applyFont="1" applyFill="1" applyBorder="1" applyAlignment="1">
      <alignment horizontal="center" vertical="center"/>
    </xf>
    <xf numFmtId="0" fontId="31" fillId="7" borderId="108" xfId="0" applyFont="1" applyFill="1" applyBorder="1" applyAlignment="1">
      <alignment horizontal="center" vertical="center"/>
    </xf>
    <xf numFmtId="0" fontId="31" fillId="7" borderId="128" xfId="0" applyFont="1" applyFill="1" applyBorder="1" applyAlignment="1">
      <alignment horizontal="center" vertical="center"/>
    </xf>
    <xf numFmtId="0" fontId="31" fillId="7" borderId="10" xfId="0" applyFont="1" applyFill="1" applyBorder="1" applyAlignment="1">
      <alignment horizontal="center" vertical="center"/>
    </xf>
    <xf numFmtId="0" fontId="31" fillId="7" borderId="103"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52" xfId="0" applyFont="1" applyFill="1" applyBorder="1" applyAlignment="1">
      <alignment horizontal="center" vertical="center"/>
    </xf>
    <xf numFmtId="0" fontId="12" fillId="7" borderId="22" xfId="0" applyFont="1" applyFill="1" applyBorder="1" applyAlignment="1">
      <alignment horizontal="center" vertical="center"/>
    </xf>
    <xf numFmtId="0" fontId="12" fillId="7" borderId="23" xfId="0" applyFont="1" applyFill="1" applyBorder="1" applyAlignment="1">
      <alignment horizontal="center" vertical="center"/>
    </xf>
    <xf numFmtId="0" fontId="12" fillId="7" borderId="24" xfId="0" applyFont="1" applyFill="1" applyBorder="1" applyAlignment="1">
      <alignment horizontal="center" vertical="center"/>
    </xf>
    <xf numFmtId="0" fontId="12" fillId="7" borderId="30" xfId="0" applyFont="1" applyFill="1" applyBorder="1" applyAlignment="1">
      <alignment horizontal="center" vertical="center"/>
    </xf>
    <xf numFmtId="0" fontId="12" fillId="7" borderId="31" xfId="0" applyFont="1" applyFill="1" applyBorder="1" applyAlignment="1">
      <alignment horizontal="center" vertical="center"/>
    </xf>
    <xf numFmtId="0" fontId="12" fillId="7" borderId="38" xfId="0" applyFont="1" applyFill="1" applyBorder="1" applyAlignment="1">
      <alignment horizontal="center" vertical="center"/>
    </xf>
    <xf numFmtId="0" fontId="12" fillId="7" borderId="39" xfId="0" applyFont="1" applyFill="1" applyBorder="1" applyAlignment="1">
      <alignment horizontal="center" vertical="center"/>
    </xf>
    <xf numFmtId="3" fontId="31" fillId="0" borderId="130" xfId="0" applyNumberFormat="1" applyFont="1" applyBorder="1" applyAlignment="1" applyProtection="1">
      <alignment horizontal="center" vertical="center"/>
      <protection locked="0"/>
    </xf>
    <xf numFmtId="3" fontId="31" fillId="0" borderId="131" xfId="0" applyNumberFormat="1" applyFont="1" applyBorder="1" applyAlignment="1" applyProtection="1">
      <alignment horizontal="center" vertical="center"/>
      <protection locked="0"/>
    </xf>
    <xf numFmtId="3" fontId="31" fillId="0" borderId="132" xfId="0" applyNumberFormat="1" applyFont="1" applyBorder="1" applyAlignment="1" applyProtection="1">
      <alignment horizontal="center" vertical="center"/>
      <protection locked="0"/>
    </xf>
    <xf numFmtId="3" fontId="31" fillId="0" borderId="133" xfId="0" applyNumberFormat="1" applyFont="1" applyBorder="1" applyAlignment="1" applyProtection="1">
      <alignment horizontal="center" vertical="center"/>
      <protection locked="0"/>
    </xf>
    <xf numFmtId="3" fontId="31" fillId="0" borderId="136" xfId="0" applyNumberFormat="1" applyFont="1" applyBorder="1" applyAlignment="1" applyProtection="1">
      <alignment horizontal="center" vertical="center"/>
      <protection locked="0"/>
    </xf>
    <xf numFmtId="3" fontId="12" fillId="7" borderId="137" xfId="0" applyNumberFormat="1" applyFont="1" applyFill="1" applyBorder="1" applyAlignment="1">
      <alignment horizontal="center" vertical="center"/>
    </xf>
    <xf numFmtId="3" fontId="12" fillId="7" borderId="131" xfId="0" applyNumberFormat="1" applyFont="1" applyFill="1" applyBorder="1" applyAlignment="1">
      <alignment horizontal="center" vertical="center"/>
    </xf>
    <xf numFmtId="3" fontId="12" fillId="7" borderId="129" xfId="0" applyNumberFormat="1" applyFont="1" applyFill="1" applyBorder="1" applyAlignment="1">
      <alignment horizontal="center" vertical="center"/>
    </xf>
    <xf numFmtId="3" fontId="31" fillId="0" borderId="1" xfId="0" applyNumberFormat="1" applyFont="1" applyBorder="1" applyAlignment="1" applyProtection="1">
      <alignment horizontal="center" vertical="center"/>
      <protection locked="0"/>
    </xf>
    <xf numFmtId="3" fontId="31" fillId="0" borderId="2" xfId="0" applyNumberFormat="1" applyFont="1" applyBorder="1" applyAlignment="1" applyProtection="1">
      <alignment horizontal="center" vertical="center"/>
      <protection locked="0"/>
    </xf>
    <xf numFmtId="3" fontId="31" fillId="0" borderId="108" xfId="0" applyNumberFormat="1" applyFont="1" applyBorder="1" applyAlignment="1" applyProtection="1">
      <alignment horizontal="center" vertical="center"/>
      <protection locked="0"/>
    </xf>
    <xf numFmtId="3" fontId="31" fillId="0" borderId="128" xfId="0" applyNumberFormat="1" applyFont="1" applyBorder="1" applyAlignment="1" applyProtection="1">
      <alignment horizontal="center" vertical="center"/>
      <protection locked="0"/>
    </xf>
    <xf numFmtId="3" fontId="31" fillId="0" borderId="103" xfId="0" applyNumberFormat="1" applyFont="1" applyBorder="1" applyAlignment="1" applyProtection="1">
      <alignment horizontal="center" vertical="center"/>
      <protection locked="0"/>
    </xf>
    <xf numFmtId="3" fontId="12" fillId="7" borderId="104" xfId="0" applyNumberFormat="1" applyFont="1" applyFill="1" applyBorder="1" applyAlignment="1">
      <alignment horizontal="center" vertical="center"/>
    </xf>
    <xf numFmtId="3" fontId="12" fillId="7" borderId="2" xfId="0" applyNumberFormat="1" applyFont="1" applyFill="1" applyBorder="1" applyAlignment="1">
      <alignment horizontal="center" vertical="center"/>
    </xf>
    <xf numFmtId="3" fontId="12" fillId="7" borderId="10" xfId="0" applyNumberFormat="1" applyFont="1" applyFill="1" applyBorder="1" applyAlignment="1">
      <alignment horizontal="center" vertical="center"/>
    </xf>
    <xf numFmtId="3" fontId="12" fillId="7" borderId="126" xfId="0" applyNumberFormat="1" applyFont="1" applyFill="1" applyBorder="1" applyAlignment="1">
      <alignment horizontal="center" vertical="center"/>
    </xf>
    <xf numFmtId="0" fontId="17" fillId="7" borderId="0" xfId="112" applyFont="1" applyFill="1" applyAlignment="1">
      <alignment horizontal="justify" vertical="top" wrapText="1"/>
    </xf>
    <xf numFmtId="0" fontId="89" fillId="7" borderId="2" xfId="0" applyFont="1" applyFill="1" applyBorder="1" applyAlignment="1">
      <alignment horizontal="left" vertical="top" wrapText="1"/>
    </xf>
    <xf numFmtId="0" fontId="89" fillId="7" borderId="0" xfId="0" applyFont="1" applyFill="1" applyAlignment="1">
      <alignment horizontal="left" vertical="top" wrapText="1"/>
    </xf>
    <xf numFmtId="0" fontId="17" fillId="7" borderId="0" xfId="111" applyFont="1" applyFill="1" applyAlignment="1">
      <alignment horizontal="left" vertical="top" wrapText="1"/>
    </xf>
    <xf numFmtId="0" fontId="12" fillId="7" borderId="13" xfId="0" applyFont="1" applyFill="1" applyBorder="1" applyAlignment="1">
      <alignment horizontal="center" vertical="center"/>
    </xf>
    <xf numFmtId="0" fontId="12" fillId="7" borderId="14" xfId="0" applyFont="1" applyFill="1" applyBorder="1" applyAlignment="1">
      <alignment horizontal="center" vertical="center"/>
    </xf>
    <xf numFmtId="0" fontId="12" fillId="7" borderId="18" xfId="0" applyFont="1" applyFill="1" applyBorder="1" applyAlignment="1">
      <alignment horizontal="center" vertical="center"/>
    </xf>
    <xf numFmtId="0" fontId="12" fillId="7" borderId="15" xfId="0" applyFont="1" applyFill="1" applyBorder="1" applyAlignment="1">
      <alignment horizontal="center" vertical="center"/>
    </xf>
    <xf numFmtId="0" fontId="12" fillId="7" borderId="16" xfId="0" applyFont="1" applyFill="1" applyBorder="1" applyAlignment="1">
      <alignment horizontal="center" vertical="center"/>
    </xf>
    <xf numFmtId="0" fontId="12" fillId="7" borderId="19"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12" fillId="7" borderId="5" xfId="0" applyFont="1" applyFill="1" applyBorder="1" applyAlignment="1">
      <alignment horizontal="center" vertical="center"/>
    </xf>
    <xf numFmtId="0" fontId="12" fillId="7" borderId="12" xfId="0" applyFont="1" applyFill="1" applyBorder="1" applyAlignment="1">
      <alignment horizontal="center" vertical="center"/>
    </xf>
    <xf numFmtId="0" fontId="31" fillId="7" borderId="90" xfId="0" applyFont="1" applyFill="1" applyBorder="1" applyAlignment="1">
      <alignment horizontal="center" vertical="center"/>
    </xf>
    <xf numFmtId="0" fontId="31" fillId="7" borderId="70" xfId="0" applyFont="1" applyFill="1" applyBorder="1" applyAlignment="1">
      <alignment horizontal="center" vertical="center"/>
    </xf>
    <xf numFmtId="0" fontId="31" fillId="7" borderId="91" xfId="0" applyFont="1" applyFill="1" applyBorder="1" applyAlignment="1">
      <alignment horizontal="center" vertical="center"/>
    </xf>
    <xf numFmtId="0" fontId="31" fillId="7" borderId="130" xfId="0" applyFont="1" applyFill="1" applyBorder="1" applyAlignment="1">
      <alignment horizontal="center" vertical="center"/>
    </xf>
    <xf numFmtId="0" fontId="31" fillId="7" borderId="131" xfId="0" applyFont="1" applyFill="1" applyBorder="1" applyAlignment="1">
      <alignment horizontal="center" vertical="center"/>
    </xf>
    <xf numFmtId="0" fontId="31" fillId="7" borderId="129" xfId="0" applyFont="1" applyFill="1" applyBorder="1" applyAlignment="1">
      <alignment horizontal="center" vertical="center"/>
    </xf>
    <xf numFmtId="0" fontId="19" fillId="7" borderId="0" xfId="80" applyFont="1" applyFill="1" applyAlignment="1">
      <alignment horizontal="center" vertical="top"/>
    </xf>
    <xf numFmtId="0" fontId="31" fillId="7" borderId="71" xfId="0" applyFont="1" applyFill="1" applyBorder="1" applyAlignment="1">
      <alignment horizontal="justify" vertical="center" wrapText="1"/>
    </xf>
    <xf numFmtId="0" fontId="12" fillId="7" borderId="37" xfId="0" applyFont="1" applyFill="1" applyBorder="1" applyAlignment="1">
      <alignment horizontal="center" vertical="center"/>
    </xf>
    <xf numFmtId="0" fontId="12" fillId="7" borderId="103" xfId="0" applyFont="1" applyFill="1" applyBorder="1" applyAlignment="1">
      <alignment horizontal="center" vertical="center"/>
    </xf>
    <xf numFmtId="0" fontId="12" fillId="7" borderId="46" xfId="0" applyFont="1" applyFill="1" applyBorder="1" applyAlignment="1">
      <alignment horizontal="center" vertical="center"/>
    </xf>
    <xf numFmtId="0" fontId="12" fillId="7" borderId="2" xfId="0" applyFont="1" applyFill="1" applyBorder="1" applyAlignment="1">
      <alignment horizontal="center" vertical="center" shrinkToFit="1"/>
    </xf>
    <xf numFmtId="0" fontId="12" fillId="7" borderId="10" xfId="0" applyFont="1" applyFill="1" applyBorder="1" applyAlignment="1">
      <alignment horizontal="center" vertical="center" shrinkToFit="1"/>
    </xf>
    <xf numFmtId="3" fontId="16" fillId="0" borderId="69" xfId="0" applyNumberFormat="1" applyFont="1" applyBorder="1" applyAlignment="1" applyProtection="1">
      <alignment horizontal="center" vertical="center"/>
      <protection locked="0"/>
    </xf>
    <xf numFmtId="3" fontId="16" fillId="0" borderId="71" xfId="0" applyNumberFormat="1" applyFont="1" applyBorder="1" applyAlignment="1" applyProtection="1">
      <alignment horizontal="center" vertical="center"/>
      <protection locked="0"/>
    </xf>
    <xf numFmtId="3" fontId="16" fillId="0" borderId="164" xfId="0" applyNumberFormat="1" applyFont="1" applyBorder="1" applyAlignment="1" applyProtection="1">
      <alignment horizontal="center" vertical="center"/>
      <protection locked="0"/>
    </xf>
    <xf numFmtId="3" fontId="16" fillId="0" borderId="75" xfId="0" applyNumberFormat="1" applyFont="1" applyBorder="1" applyAlignment="1" applyProtection="1">
      <alignment horizontal="center" vertical="center"/>
      <protection locked="0"/>
    </xf>
    <xf numFmtId="3" fontId="16" fillId="0" borderId="74" xfId="0" applyNumberFormat="1" applyFont="1" applyBorder="1" applyAlignment="1" applyProtection="1">
      <alignment horizontal="center" vertical="center"/>
      <protection locked="0"/>
    </xf>
    <xf numFmtId="3" fontId="16" fillId="0" borderId="130" xfId="0" applyNumberFormat="1" applyFont="1" applyBorder="1" applyAlignment="1" applyProtection="1">
      <alignment horizontal="center" vertical="center"/>
      <protection locked="0"/>
    </xf>
    <xf numFmtId="3" fontId="16" fillId="0" borderId="131" xfId="0" applyNumberFormat="1" applyFont="1" applyBorder="1" applyAlignment="1" applyProtection="1">
      <alignment horizontal="center" vertical="center"/>
      <protection locked="0"/>
    </xf>
    <xf numFmtId="3" fontId="16" fillId="0" borderId="208" xfId="0" applyNumberFormat="1" applyFont="1" applyBorder="1" applyAlignment="1" applyProtection="1">
      <alignment horizontal="center" vertical="center"/>
      <protection locked="0"/>
    </xf>
    <xf numFmtId="3" fontId="16" fillId="0" borderId="133" xfId="0" applyNumberFormat="1" applyFont="1" applyBorder="1" applyAlignment="1" applyProtection="1">
      <alignment horizontal="center" vertical="center"/>
      <protection locked="0"/>
    </xf>
    <xf numFmtId="3" fontId="16" fillId="0" borderId="129" xfId="0" applyNumberFormat="1" applyFont="1" applyBorder="1" applyAlignment="1" applyProtection="1">
      <alignment horizontal="center" vertical="center"/>
      <protection locked="0"/>
    </xf>
    <xf numFmtId="3" fontId="16" fillId="0" borderId="90" xfId="0" applyNumberFormat="1" applyFont="1" applyBorder="1" applyAlignment="1" applyProtection="1">
      <alignment horizontal="center" vertical="center"/>
      <protection locked="0"/>
    </xf>
    <xf numFmtId="3" fontId="16" fillId="0" borderId="70" xfId="0" applyNumberFormat="1" applyFont="1" applyBorder="1" applyAlignment="1" applyProtection="1">
      <alignment horizontal="center" vertical="center"/>
      <protection locked="0"/>
    </xf>
    <xf numFmtId="3" fontId="16" fillId="0" borderId="207" xfId="0" applyNumberFormat="1" applyFont="1" applyBorder="1" applyAlignment="1" applyProtection="1">
      <alignment horizontal="center" vertical="center"/>
      <protection locked="0"/>
    </xf>
    <xf numFmtId="3" fontId="16" fillId="0" borderId="102" xfId="0" applyNumberFormat="1" applyFont="1" applyBorder="1" applyAlignment="1" applyProtection="1">
      <alignment horizontal="center" vertical="center"/>
      <protection locked="0"/>
    </xf>
    <xf numFmtId="3" fontId="16" fillId="0" borderId="91" xfId="0" applyNumberFormat="1" applyFont="1" applyBorder="1" applyAlignment="1" applyProtection="1">
      <alignment horizontal="center" vertical="center"/>
      <protection locked="0"/>
    </xf>
    <xf numFmtId="0" fontId="22" fillId="7" borderId="4" xfId="0" applyFont="1" applyFill="1" applyBorder="1" applyAlignment="1">
      <alignment horizontal="center" vertical="center" wrapText="1"/>
    </xf>
    <xf numFmtId="0" fontId="22" fillId="7" borderId="5" xfId="0" applyFont="1" applyFill="1" applyBorder="1" applyAlignment="1">
      <alignment horizontal="center" vertical="center" wrapText="1"/>
    </xf>
    <xf numFmtId="0" fontId="22" fillId="7" borderId="29" xfId="0" applyFont="1" applyFill="1" applyBorder="1" applyAlignment="1">
      <alignment horizontal="center" vertical="center" wrapText="1"/>
    </xf>
    <xf numFmtId="0" fontId="22" fillId="7" borderId="36"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35" fillId="7" borderId="20"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7" borderId="5" xfId="0" applyFont="1" applyFill="1" applyBorder="1" applyAlignment="1">
      <alignment horizontal="center" vertical="center" wrapText="1"/>
    </xf>
    <xf numFmtId="0" fontId="35" fillId="7" borderId="12" xfId="0" applyFont="1" applyFill="1" applyBorder="1" applyAlignment="1">
      <alignment horizontal="center" vertical="center" wrapText="1"/>
    </xf>
    <xf numFmtId="0" fontId="35" fillId="7" borderId="29" xfId="0" applyFont="1" applyFill="1" applyBorder="1" applyAlignment="1">
      <alignment horizontal="center" vertical="center" wrapText="1"/>
    </xf>
    <xf numFmtId="0" fontId="35" fillId="7" borderId="36" xfId="0" applyFont="1" applyFill="1" applyBorder="1" applyAlignment="1">
      <alignment horizontal="center" vertical="center" wrapText="1"/>
    </xf>
    <xf numFmtId="3" fontId="16" fillId="0" borderId="132" xfId="0" applyNumberFormat="1" applyFont="1" applyBorder="1" applyAlignment="1" applyProtection="1">
      <alignment horizontal="center" vertical="center"/>
      <protection locked="0"/>
    </xf>
    <xf numFmtId="0" fontId="13" fillId="7" borderId="15" xfId="0" applyFont="1" applyFill="1" applyBorder="1" applyAlignment="1">
      <alignment horizontal="center" vertical="center" wrapText="1"/>
    </xf>
    <xf numFmtId="0" fontId="13" fillId="7" borderId="16" xfId="0" applyFont="1" applyFill="1" applyBorder="1" applyAlignment="1">
      <alignment horizontal="center" vertical="center" wrapText="1"/>
    </xf>
    <xf numFmtId="0" fontId="13" fillId="7" borderId="19" xfId="0" applyFont="1" applyFill="1" applyBorder="1" applyAlignment="1">
      <alignment horizontal="center" vertical="center" wrapText="1"/>
    </xf>
    <xf numFmtId="3" fontId="16" fillId="0" borderId="72" xfId="0" applyNumberFormat="1" applyFont="1" applyBorder="1" applyAlignment="1" applyProtection="1">
      <alignment horizontal="center" vertical="center"/>
      <protection locked="0"/>
    </xf>
    <xf numFmtId="3" fontId="16" fillId="0" borderId="73" xfId="0" applyNumberFormat="1" applyFont="1" applyBorder="1" applyAlignment="1" applyProtection="1">
      <alignment horizontal="center" vertical="center"/>
      <protection locked="0"/>
    </xf>
    <xf numFmtId="3" fontId="16" fillId="0" borderId="78" xfId="0" applyNumberFormat="1" applyFont="1" applyBorder="1" applyAlignment="1" applyProtection="1">
      <alignment horizontal="center" vertical="center"/>
      <protection locked="0"/>
    </xf>
    <xf numFmtId="3" fontId="16" fillId="0" borderId="76" xfId="0" applyNumberFormat="1" applyFont="1" applyBorder="1" applyAlignment="1" applyProtection="1">
      <alignment horizontal="center" vertical="center"/>
      <protection locked="0"/>
    </xf>
    <xf numFmtId="3" fontId="16" fillId="0" borderId="136" xfId="0" applyNumberFormat="1" applyFont="1" applyBorder="1" applyAlignment="1" applyProtection="1">
      <alignment horizontal="center" vertical="center"/>
      <protection locked="0"/>
    </xf>
    <xf numFmtId="3" fontId="13" fillId="7" borderId="131" xfId="0" applyNumberFormat="1" applyFont="1" applyFill="1" applyBorder="1" applyAlignment="1">
      <alignment horizontal="center" vertical="center"/>
    </xf>
    <xf numFmtId="3" fontId="13" fillId="7" borderId="129" xfId="0" applyNumberFormat="1" applyFont="1" applyFill="1" applyBorder="1" applyAlignment="1">
      <alignment horizontal="center" vertical="center"/>
    </xf>
    <xf numFmtId="3" fontId="13" fillId="7" borderId="4" xfId="0" applyNumberFormat="1" applyFont="1" applyFill="1" applyBorder="1" applyAlignment="1">
      <alignment horizontal="center" vertical="center"/>
    </xf>
    <xf numFmtId="3" fontId="13" fillId="7" borderId="5" xfId="0" applyNumberFormat="1" applyFont="1" applyFill="1" applyBorder="1" applyAlignment="1">
      <alignment horizontal="center" vertical="center"/>
    </xf>
    <xf numFmtId="3" fontId="13" fillId="7" borderId="29" xfId="0" applyNumberFormat="1" applyFont="1" applyFill="1" applyBorder="1" applyAlignment="1">
      <alignment horizontal="center" vertical="center"/>
    </xf>
    <xf numFmtId="3" fontId="13" fillId="7" borderId="36" xfId="0" applyNumberFormat="1" applyFont="1" applyFill="1" applyBorder="1" applyAlignment="1">
      <alignment horizontal="center" vertical="center"/>
    </xf>
    <xf numFmtId="3" fontId="13" fillId="7" borderId="50" xfId="0" applyNumberFormat="1" applyFont="1" applyFill="1" applyBorder="1" applyAlignment="1">
      <alignment horizontal="center" vertical="center"/>
    </xf>
    <xf numFmtId="3" fontId="16" fillId="0" borderId="79" xfId="0" applyNumberFormat="1" applyFont="1" applyBorder="1" applyAlignment="1" applyProtection="1">
      <alignment horizontal="center" vertical="center"/>
      <protection locked="0"/>
    </xf>
    <xf numFmtId="3" fontId="16" fillId="0" borderId="96" xfId="0" applyNumberFormat="1" applyFont="1" applyBorder="1" applyAlignment="1" applyProtection="1">
      <alignment horizontal="center" vertical="center"/>
      <protection locked="0"/>
    </xf>
    <xf numFmtId="3" fontId="13" fillId="7" borderId="71" xfId="0" applyNumberFormat="1" applyFont="1" applyFill="1" applyBorder="1" applyAlignment="1">
      <alignment horizontal="center" vertical="center"/>
    </xf>
    <xf numFmtId="3" fontId="13" fillId="7" borderId="74" xfId="0" applyNumberFormat="1" applyFont="1" applyFill="1" applyBorder="1" applyAlignment="1">
      <alignment horizontal="center" vertical="center"/>
    </xf>
    <xf numFmtId="0" fontId="17" fillId="7" borderId="0" xfId="0" applyFont="1" applyFill="1" applyAlignment="1">
      <alignment horizontal="left" vertical="top" wrapText="1"/>
    </xf>
    <xf numFmtId="0" fontId="13" fillId="7" borderId="13" xfId="0" applyFont="1" applyFill="1" applyBorder="1" applyAlignment="1">
      <alignment horizontal="center" vertical="center"/>
    </xf>
    <xf numFmtId="0" fontId="13" fillId="7" borderId="14" xfId="0" applyFont="1" applyFill="1" applyBorder="1" applyAlignment="1">
      <alignment horizontal="center" vertical="center"/>
    </xf>
    <xf numFmtId="0" fontId="13" fillId="7" borderId="18" xfId="0" applyFont="1" applyFill="1" applyBorder="1" applyAlignment="1">
      <alignment horizontal="center" vertical="center"/>
    </xf>
    <xf numFmtId="0" fontId="13" fillId="7" borderId="30" xfId="0" applyFont="1" applyFill="1" applyBorder="1" applyAlignment="1">
      <alignment horizontal="center" vertical="center"/>
    </xf>
    <xf numFmtId="0" fontId="13" fillId="7" borderId="38" xfId="0" applyFont="1" applyFill="1" applyBorder="1" applyAlignment="1">
      <alignment horizontal="center" vertical="center"/>
    </xf>
    <xf numFmtId="0" fontId="13" fillId="7" borderId="31" xfId="0" applyFont="1" applyFill="1" applyBorder="1" applyAlignment="1">
      <alignment horizontal="center" vertical="center"/>
    </xf>
    <xf numFmtId="3" fontId="16" fillId="0" borderId="101" xfId="0" applyNumberFormat="1" applyFont="1" applyBorder="1" applyAlignment="1" applyProtection="1">
      <alignment horizontal="center" vertical="center"/>
      <protection locked="0"/>
    </xf>
    <xf numFmtId="3" fontId="16" fillId="0" borderId="140" xfId="0" applyNumberFormat="1" applyFont="1" applyBorder="1" applyAlignment="1" applyProtection="1">
      <alignment horizontal="center" vertical="center"/>
      <protection locked="0"/>
    </xf>
    <xf numFmtId="3" fontId="13" fillId="7" borderId="70" xfId="0" applyNumberFormat="1" applyFont="1" applyFill="1" applyBorder="1" applyAlignment="1">
      <alignment horizontal="center" vertical="center"/>
    </xf>
    <xf numFmtId="3" fontId="13" fillId="7" borderId="91" xfId="0" applyNumberFormat="1" applyFont="1" applyFill="1" applyBorder="1" applyAlignment="1">
      <alignment horizontal="center" vertical="center"/>
    </xf>
    <xf numFmtId="0" fontId="16" fillId="3" borderId="90" xfId="0" applyFont="1" applyFill="1" applyBorder="1" applyAlignment="1">
      <alignment horizontal="center" vertical="center"/>
    </xf>
    <xf numFmtId="0" fontId="16" fillId="3" borderId="70" xfId="0" applyFont="1" applyFill="1" applyBorder="1" applyAlignment="1">
      <alignment horizontal="center" vertical="center"/>
    </xf>
    <xf numFmtId="0" fontId="16" fillId="3" borderId="91" xfId="0" applyFont="1" applyFill="1" applyBorder="1" applyAlignment="1">
      <alignment horizontal="center" vertical="center"/>
    </xf>
    <xf numFmtId="3" fontId="16" fillId="3" borderId="69" xfId="0" applyNumberFormat="1" applyFont="1" applyFill="1" applyBorder="1" applyAlignment="1">
      <alignment horizontal="center" vertical="center"/>
    </xf>
    <xf numFmtId="3" fontId="16" fillId="3" borderId="71" xfId="0" applyNumberFormat="1" applyFont="1" applyFill="1" applyBorder="1" applyAlignment="1">
      <alignment horizontal="center" vertical="center"/>
    </xf>
    <xf numFmtId="3" fontId="16" fillId="3" borderId="74" xfId="0" applyNumberFormat="1" applyFont="1" applyFill="1" applyBorder="1" applyAlignment="1">
      <alignment horizontal="center" vertical="center"/>
    </xf>
    <xf numFmtId="3" fontId="16" fillId="0" borderId="99" xfId="0" applyNumberFormat="1" applyFont="1" applyBorder="1" applyAlignment="1" applyProtection="1">
      <alignment horizontal="center" vertical="center"/>
      <protection locked="0"/>
    </xf>
    <xf numFmtId="3" fontId="13" fillId="7" borderId="100" xfId="0" applyNumberFormat="1" applyFont="1" applyFill="1" applyBorder="1" applyAlignment="1">
      <alignment horizontal="center" vertical="center"/>
    </xf>
    <xf numFmtId="3" fontId="13" fillId="7" borderId="73" xfId="0" applyNumberFormat="1" applyFont="1" applyFill="1" applyBorder="1" applyAlignment="1">
      <alignment horizontal="center" vertical="center"/>
    </xf>
    <xf numFmtId="3" fontId="13" fillId="7" borderId="76" xfId="0" applyNumberFormat="1" applyFont="1" applyFill="1" applyBorder="1" applyAlignment="1">
      <alignment horizontal="center" vertical="center"/>
    </xf>
    <xf numFmtId="3" fontId="16" fillId="0" borderId="77" xfId="0" applyNumberFormat="1" applyFont="1" applyBorder="1" applyAlignment="1" applyProtection="1">
      <alignment horizontal="center" vertical="center"/>
      <protection locked="0"/>
    </xf>
    <xf numFmtId="3" fontId="13" fillId="7" borderId="97" xfId="0" applyNumberFormat="1" applyFont="1" applyFill="1" applyBorder="1" applyAlignment="1">
      <alignment horizontal="center" vertical="center"/>
    </xf>
    <xf numFmtId="0" fontId="13" fillId="7" borderId="1" xfId="0" applyFont="1" applyFill="1" applyBorder="1" applyAlignment="1">
      <alignment horizontal="center" vertical="center" wrapText="1" shrinkToFit="1"/>
    </xf>
    <xf numFmtId="0" fontId="13" fillId="7" borderId="2" xfId="0" applyFont="1" applyFill="1" applyBorder="1" applyAlignment="1">
      <alignment horizontal="center" vertical="center" wrapText="1" shrinkToFit="1"/>
    </xf>
    <xf numFmtId="0" fontId="13" fillId="7" borderId="108" xfId="0" applyFont="1" applyFill="1" applyBorder="1" applyAlignment="1">
      <alignment horizontal="center" vertical="center" wrapText="1" shrinkToFit="1"/>
    </xf>
    <xf numFmtId="0" fontId="13" fillId="7" borderId="4" xfId="0" applyFont="1" applyFill="1" applyBorder="1" applyAlignment="1">
      <alignment horizontal="center" vertical="center" wrapText="1" shrinkToFit="1"/>
    </xf>
    <xf numFmtId="0" fontId="13" fillId="7" borderId="5" xfId="0" applyFont="1" applyFill="1" applyBorder="1" applyAlignment="1">
      <alignment horizontal="center" vertical="center" wrapText="1" shrinkToFit="1"/>
    </xf>
    <xf numFmtId="0" fontId="13" fillId="7" borderId="29" xfId="0" applyFont="1" applyFill="1" applyBorder="1" applyAlignment="1">
      <alignment horizontal="center" vertical="center" wrapText="1" shrinkToFit="1"/>
    </xf>
    <xf numFmtId="0" fontId="13" fillId="7" borderId="128" xfId="0" applyFont="1" applyFill="1" applyBorder="1" applyAlignment="1">
      <alignment horizontal="center" vertical="center" wrapText="1" shrinkToFit="1"/>
    </xf>
    <xf numFmtId="0" fontId="13" fillId="7" borderId="36" xfId="0" applyFont="1" applyFill="1" applyBorder="1" applyAlignment="1">
      <alignment horizontal="center" vertical="center" wrapText="1" shrinkToFit="1"/>
    </xf>
    <xf numFmtId="0" fontId="13" fillId="7" borderId="128" xfId="0" applyFont="1" applyFill="1" applyBorder="1" applyAlignment="1">
      <alignment horizontal="center" vertical="center" wrapText="1"/>
    </xf>
    <xf numFmtId="0" fontId="16" fillId="7" borderId="2" xfId="0" applyFont="1" applyFill="1" applyBorder="1" applyAlignment="1">
      <alignment horizontal="center" vertical="center" wrapText="1"/>
    </xf>
    <xf numFmtId="0" fontId="16" fillId="7" borderId="108" xfId="0" applyFont="1" applyFill="1" applyBorder="1" applyAlignment="1">
      <alignment horizontal="center" vertical="center" wrapText="1"/>
    </xf>
    <xf numFmtId="0" fontId="16" fillId="7" borderId="36" xfId="0" applyFont="1" applyFill="1" applyBorder="1" applyAlignment="1">
      <alignment horizontal="center" vertical="center" wrapText="1"/>
    </xf>
    <xf numFmtId="0" fontId="16" fillId="7" borderId="5" xfId="0" applyFont="1" applyFill="1" applyBorder="1" applyAlignment="1">
      <alignment horizontal="center" vertical="center" wrapText="1"/>
    </xf>
    <xf numFmtId="0" fontId="16" fillId="7" borderId="29" xfId="0" applyFont="1" applyFill="1" applyBorder="1" applyAlignment="1">
      <alignment horizontal="center" vertical="center" wrapText="1"/>
    </xf>
    <xf numFmtId="0" fontId="13" fillId="7" borderId="103" xfId="0" applyFont="1" applyFill="1" applyBorder="1" applyAlignment="1">
      <alignment horizontal="center" vertical="center" wrapText="1"/>
    </xf>
    <xf numFmtId="0" fontId="13" fillId="7" borderId="104" xfId="0" applyFont="1" applyFill="1" applyBorder="1" applyAlignment="1">
      <alignment horizontal="center" vertical="center" wrapText="1"/>
    </xf>
    <xf numFmtId="0" fontId="13" fillId="7" borderId="51" xfId="0" applyFont="1" applyFill="1" applyBorder="1" applyAlignment="1">
      <alignment horizontal="center" vertical="center" wrapText="1"/>
    </xf>
    <xf numFmtId="0" fontId="16" fillId="7" borderId="71" xfId="0" applyFont="1" applyFill="1" applyBorder="1" applyAlignment="1">
      <alignment horizontal="left" vertical="center" wrapText="1" indent="1"/>
    </xf>
    <xf numFmtId="0" fontId="31" fillId="7" borderId="0" xfId="40" applyFont="1" applyFill="1" applyAlignment="1">
      <alignment horizontal="center" vertical="center"/>
    </xf>
    <xf numFmtId="3" fontId="31" fillId="0" borderId="7" xfId="40" applyNumberFormat="1" applyFont="1" applyBorder="1" applyAlignment="1" applyProtection="1">
      <alignment horizontal="center" vertical="center"/>
      <protection locked="0"/>
    </xf>
    <xf numFmtId="3" fontId="31" fillId="0" borderId="6" xfId="40" applyNumberFormat="1" applyFont="1" applyBorder="1" applyAlignment="1" applyProtection="1">
      <alignment horizontal="center" vertical="center"/>
      <protection locked="0"/>
    </xf>
    <xf numFmtId="0" fontId="31" fillId="0" borderId="0" xfId="20" applyAlignment="1" applyProtection="1">
      <alignment horizontal="center"/>
      <protection locked="0"/>
    </xf>
    <xf numFmtId="0" fontId="31" fillId="0" borderId="6" xfId="40" applyFont="1" applyBorder="1" applyAlignment="1" applyProtection="1">
      <alignment horizontal="center" vertical="center"/>
      <protection locked="0"/>
    </xf>
    <xf numFmtId="0" fontId="31" fillId="7" borderId="0" xfId="85" applyFill="1" applyAlignment="1">
      <alignment vertical="center" wrapText="1"/>
    </xf>
    <xf numFmtId="0" fontId="31" fillId="7" borderId="0" xfId="85" applyFill="1" applyAlignment="1">
      <alignment vertical="top" wrapText="1"/>
    </xf>
    <xf numFmtId="0" fontId="31" fillId="0" borderId="6" xfId="109" applyBorder="1" applyAlignment="1" applyProtection="1">
      <alignment horizontal="center" vertical="center"/>
      <protection locked="0"/>
    </xf>
    <xf numFmtId="3" fontId="31" fillId="2" borderId="72" xfId="40" applyNumberFormat="1" applyFont="1" applyFill="1" applyBorder="1" applyAlignment="1" applyProtection="1">
      <alignment horizontal="center" vertical="center"/>
      <protection locked="0"/>
    </xf>
    <xf numFmtId="3" fontId="31" fillId="2" borderId="73" xfId="40" applyNumberFormat="1" applyFont="1" applyFill="1" applyBorder="1" applyAlignment="1" applyProtection="1">
      <alignment horizontal="center" vertical="center"/>
      <protection locked="0"/>
    </xf>
    <xf numFmtId="3" fontId="31" fillId="2" borderId="77" xfId="40" applyNumberFormat="1" applyFont="1" applyFill="1" applyBorder="1" applyAlignment="1" applyProtection="1">
      <alignment horizontal="center" vertical="center"/>
      <protection locked="0"/>
    </xf>
    <xf numFmtId="3" fontId="31" fillId="2" borderId="78" xfId="40" applyNumberFormat="1" applyFont="1" applyFill="1" applyBorder="1" applyAlignment="1" applyProtection="1">
      <alignment horizontal="center" vertical="center"/>
      <protection locked="0"/>
    </xf>
    <xf numFmtId="3" fontId="31" fillId="2" borderId="99" xfId="40" applyNumberFormat="1" applyFont="1" applyFill="1" applyBorder="1" applyAlignment="1" applyProtection="1">
      <alignment horizontal="center" vertical="center"/>
      <protection locked="0"/>
    </xf>
    <xf numFmtId="3" fontId="31" fillId="7" borderId="100" xfId="40" applyNumberFormat="1" applyFont="1" applyFill="1" applyBorder="1" applyAlignment="1">
      <alignment horizontal="center" vertical="center"/>
    </xf>
    <xf numFmtId="3" fontId="31" fillId="7" borderId="73" xfId="40" applyNumberFormat="1" applyFont="1" applyFill="1" applyBorder="1" applyAlignment="1">
      <alignment horizontal="center" vertical="center"/>
    </xf>
    <xf numFmtId="3" fontId="31" fillId="7" borderId="76" xfId="40" applyNumberFormat="1" applyFont="1" applyFill="1" applyBorder="1" applyAlignment="1">
      <alignment horizontal="center" vertical="center"/>
    </xf>
    <xf numFmtId="0" fontId="31" fillId="2" borderId="6" xfId="40" applyFont="1" applyFill="1" applyBorder="1" applyAlignment="1" applyProtection="1">
      <alignment horizontal="center" vertical="center"/>
      <protection locked="0"/>
    </xf>
    <xf numFmtId="3" fontId="31" fillId="2" borderId="90" xfId="40" applyNumberFormat="1" applyFont="1" applyFill="1" applyBorder="1" applyAlignment="1" applyProtection="1">
      <alignment horizontal="center" vertical="center"/>
      <protection locked="0"/>
    </xf>
    <xf numFmtId="3" fontId="31" fillId="2" borderId="70" xfId="40" applyNumberFormat="1" applyFont="1" applyFill="1" applyBorder="1" applyAlignment="1" applyProtection="1">
      <alignment horizontal="center" vertical="center"/>
      <protection locked="0"/>
    </xf>
    <xf numFmtId="3" fontId="31" fillId="2" borderId="101" xfId="40" applyNumberFormat="1" applyFont="1" applyFill="1" applyBorder="1" applyAlignment="1" applyProtection="1">
      <alignment horizontal="center" vertical="center"/>
      <protection locked="0"/>
    </xf>
    <xf numFmtId="3" fontId="31" fillId="2" borderId="102" xfId="40" applyNumberFormat="1" applyFont="1" applyFill="1" applyBorder="1" applyAlignment="1" applyProtection="1">
      <alignment horizontal="center" vertical="center"/>
      <protection locked="0"/>
    </xf>
    <xf numFmtId="3" fontId="31" fillId="2" borderId="140" xfId="40" applyNumberFormat="1" applyFont="1" applyFill="1" applyBorder="1" applyAlignment="1" applyProtection="1">
      <alignment horizontal="center" vertical="center"/>
      <protection locked="0"/>
    </xf>
    <xf numFmtId="3" fontId="31" fillId="7" borderId="97" xfId="40" applyNumberFormat="1" applyFont="1" applyFill="1" applyBorder="1" applyAlignment="1">
      <alignment horizontal="center" vertical="center"/>
    </xf>
    <xf numFmtId="3" fontId="31" fillId="7" borderId="71" xfId="40" applyNumberFormat="1" applyFont="1" applyFill="1" applyBorder="1" applyAlignment="1">
      <alignment horizontal="center" vertical="center"/>
    </xf>
    <xf numFmtId="3" fontId="31" fillId="7" borderId="74" xfId="40" applyNumberFormat="1" applyFont="1" applyFill="1" applyBorder="1" applyAlignment="1">
      <alignment horizontal="center" vertical="center"/>
    </xf>
    <xf numFmtId="3" fontId="31" fillId="2" borderId="69" xfId="40" applyNumberFormat="1" applyFont="1" applyFill="1" applyBorder="1" applyAlignment="1" applyProtection="1">
      <alignment horizontal="center" vertical="center"/>
      <protection locked="0"/>
    </xf>
    <xf numFmtId="3" fontId="31" fillId="2" borderId="71" xfId="40" applyNumberFormat="1" applyFont="1" applyFill="1" applyBorder="1" applyAlignment="1" applyProtection="1">
      <alignment horizontal="center" vertical="center"/>
      <protection locked="0"/>
    </xf>
    <xf numFmtId="3" fontId="31" fillId="2" borderId="79" xfId="40" applyNumberFormat="1" applyFont="1" applyFill="1" applyBorder="1" applyAlignment="1" applyProtection="1">
      <alignment horizontal="center" vertical="center"/>
      <protection locked="0"/>
    </xf>
    <xf numFmtId="3" fontId="31" fillId="2" borderId="75" xfId="40" applyNumberFormat="1" applyFont="1" applyFill="1" applyBorder="1" applyAlignment="1" applyProtection="1">
      <alignment horizontal="center" vertical="center"/>
      <protection locked="0"/>
    </xf>
    <xf numFmtId="3" fontId="31" fillId="2" borderId="96" xfId="40" applyNumberFormat="1" applyFont="1" applyFill="1" applyBorder="1" applyAlignment="1" applyProtection="1">
      <alignment horizontal="center" vertical="center"/>
      <protection locked="0"/>
    </xf>
    <xf numFmtId="0" fontId="31" fillId="7" borderId="0" xfId="40" applyFont="1" applyFill="1" applyAlignment="1">
      <alignment horizontal="left" vertical="center" wrapText="1"/>
    </xf>
    <xf numFmtId="0" fontId="18" fillId="7" borderId="0" xfId="112" applyFont="1" applyFill="1" applyAlignment="1">
      <alignment horizontal="left" vertical="top"/>
    </xf>
    <xf numFmtId="0" fontId="12" fillId="7" borderId="0" xfId="40" applyFont="1" applyFill="1" applyAlignment="1">
      <alignment horizontal="left"/>
    </xf>
    <xf numFmtId="0" fontId="31" fillId="7" borderId="0" xfId="40" applyFont="1" applyFill="1" applyAlignment="1">
      <alignment horizontal="left" vertical="center"/>
    </xf>
    <xf numFmtId="0" fontId="12" fillId="7" borderId="0" xfId="40" applyFont="1" applyFill="1" applyAlignment="1">
      <alignment horizontal="left" vertical="top"/>
    </xf>
    <xf numFmtId="0" fontId="67" fillId="7" borderId="0" xfId="40" applyFont="1" applyFill="1" applyAlignment="1">
      <alignment horizontal="left" vertical="top"/>
    </xf>
    <xf numFmtId="0" fontId="31" fillId="2" borderId="6" xfId="20" applyFill="1" applyBorder="1" applyAlignment="1" applyProtection="1">
      <alignment horizontal="center"/>
      <protection locked="0"/>
    </xf>
    <xf numFmtId="0" fontId="18" fillId="7" borderId="0" xfId="112" applyFont="1" applyFill="1" applyAlignment="1">
      <alignment horizontal="justify" vertical="top"/>
    </xf>
    <xf numFmtId="0" fontId="18" fillId="7" borderId="5" xfId="112" applyFont="1" applyFill="1" applyBorder="1" applyAlignment="1">
      <alignment horizontal="justify" vertical="top"/>
    </xf>
    <xf numFmtId="0" fontId="18" fillId="7" borderId="0" xfId="112" applyFont="1" applyFill="1" applyAlignment="1">
      <alignment horizontal="justify" vertical="top" wrapText="1"/>
    </xf>
    <xf numFmtId="0" fontId="83" fillId="7" borderId="3" xfId="40" applyFont="1" applyFill="1" applyBorder="1" applyAlignment="1">
      <alignment vertical="center" wrapText="1"/>
    </xf>
    <xf numFmtId="0" fontId="83" fillId="7" borderId="0" xfId="40" applyFont="1" applyFill="1" applyAlignment="1">
      <alignment vertical="center" wrapText="1"/>
    </xf>
    <xf numFmtId="3" fontId="31" fillId="2" borderId="133" xfId="20" applyNumberFormat="1" applyFill="1" applyBorder="1" applyAlignment="1" applyProtection="1">
      <alignment horizontal="center" vertical="center"/>
      <protection locked="0"/>
    </xf>
    <xf numFmtId="3" fontId="31" fillId="2" borderId="131" xfId="20" applyNumberFormat="1" applyFill="1" applyBorder="1" applyAlignment="1" applyProtection="1">
      <alignment horizontal="center" vertical="center"/>
      <protection locked="0"/>
    </xf>
    <xf numFmtId="3" fontId="31" fillId="2" borderId="132" xfId="20" applyNumberFormat="1" applyFill="1" applyBorder="1" applyAlignment="1" applyProtection="1">
      <alignment horizontal="center" vertical="center"/>
      <protection locked="0"/>
    </xf>
    <xf numFmtId="0" fontId="18" fillId="7" borderId="2" xfId="112" applyFont="1" applyFill="1" applyBorder="1" applyAlignment="1">
      <alignment horizontal="justify" vertical="top" wrapText="1"/>
    </xf>
    <xf numFmtId="0" fontId="31" fillId="7" borderId="2" xfId="40" applyFont="1" applyFill="1" applyBorder="1" applyAlignment="1">
      <alignment horizontal="justify" vertical="center" wrapText="1"/>
    </xf>
    <xf numFmtId="0" fontId="12" fillId="7" borderId="1" xfId="40" applyFont="1" applyFill="1" applyBorder="1" applyAlignment="1">
      <alignment horizontal="center" vertical="center" wrapText="1"/>
    </xf>
    <xf numFmtId="0" fontId="12" fillId="7" borderId="2" xfId="40" applyFont="1" applyFill="1" applyBorder="1" applyAlignment="1">
      <alignment horizontal="center" vertical="center" wrapText="1"/>
    </xf>
    <xf numFmtId="0" fontId="12" fillId="7" borderId="10" xfId="40" applyFont="1" applyFill="1" applyBorder="1" applyAlignment="1">
      <alignment horizontal="center" vertical="center" wrapText="1"/>
    </xf>
    <xf numFmtId="0" fontId="12" fillId="7" borderId="4" xfId="40" applyFont="1" applyFill="1" applyBorder="1" applyAlignment="1">
      <alignment horizontal="center" vertical="center" wrapText="1"/>
    </xf>
    <xf numFmtId="0" fontId="12" fillId="7" borderId="5" xfId="40" applyFont="1" applyFill="1" applyBorder="1" applyAlignment="1">
      <alignment horizontal="center" vertical="center" wrapText="1"/>
    </xf>
    <xf numFmtId="0" fontId="12" fillId="7" borderId="12" xfId="40" applyFont="1" applyFill="1" applyBorder="1" applyAlignment="1">
      <alignment horizontal="center" vertical="center" wrapText="1"/>
    </xf>
    <xf numFmtId="0" fontId="12" fillId="7" borderId="13" xfId="40" applyFont="1" applyFill="1" applyBorder="1" applyAlignment="1">
      <alignment horizontal="center" vertical="center"/>
    </xf>
    <xf numFmtId="0" fontId="12" fillId="7" borderId="14" xfId="40" applyFont="1" applyFill="1" applyBorder="1" applyAlignment="1">
      <alignment horizontal="center" vertical="center"/>
    </xf>
    <xf numFmtId="0" fontId="12" fillId="7" borderId="18" xfId="40" applyFont="1" applyFill="1" applyBorder="1" applyAlignment="1">
      <alignment horizontal="center" vertical="center"/>
    </xf>
    <xf numFmtId="0" fontId="12" fillId="7" borderId="22" xfId="40" applyFont="1" applyFill="1" applyBorder="1" applyAlignment="1">
      <alignment horizontal="center" vertical="center"/>
    </xf>
    <xf numFmtId="0" fontId="12" fillId="7" borderId="23" xfId="40" applyFont="1" applyFill="1" applyBorder="1" applyAlignment="1">
      <alignment horizontal="center" vertical="center"/>
    </xf>
    <xf numFmtId="0" fontId="12" fillId="7" borderId="24" xfId="40" applyFont="1" applyFill="1" applyBorder="1" applyAlignment="1">
      <alignment horizontal="center" vertical="center"/>
    </xf>
    <xf numFmtId="0" fontId="12" fillId="7" borderId="38" xfId="40" applyFont="1" applyFill="1" applyBorder="1" applyAlignment="1">
      <alignment horizontal="center" vertical="center"/>
    </xf>
    <xf numFmtId="0" fontId="12" fillId="7" borderId="39" xfId="2" applyFont="1" applyFill="1" applyBorder="1" applyAlignment="1">
      <alignment horizontal="center" vertical="center" wrapText="1"/>
    </xf>
    <xf numFmtId="0" fontId="12" fillId="7" borderId="23" xfId="2" applyFont="1" applyFill="1" applyBorder="1" applyAlignment="1">
      <alignment horizontal="center" vertical="center" wrapText="1"/>
    </xf>
    <xf numFmtId="0" fontId="12" fillId="7" borderId="31" xfId="2" applyFont="1" applyFill="1" applyBorder="1" applyAlignment="1">
      <alignment horizontal="center" vertical="center" wrapText="1"/>
    </xf>
    <xf numFmtId="0" fontId="18" fillId="7" borderId="0" xfId="112" applyFont="1" applyFill="1" applyAlignment="1">
      <alignment horizontal="left" vertical="top" wrapText="1"/>
    </xf>
    <xf numFmtId="0" fontId="12" fillId="7" borderId="21" xfId="40" applyFont="1" applyFill="1" applyBorder="1" applyAlignment="1">
      <alignment horizontal="left" vertical="center" wrapText="1"/>
    </xf>
    <xf numFmtId="0" fontId="12" fillId="7" borderId="21" xfId="40" applyFont="1" applyFill="1" applyBorder="1" applyAlignment="1">
      <alignment horizontal="left" vertical="center"/>
    </xf>
    <xf numFmtId="3" fontId="12" fillId="7" borderId="123" xfId="20" applyNumberFormat="1" applyFont="1" applyFill="1" applyBorder="1" applyAlignment="1">
      <alignment horizontal="center" vertical="center"/>
    </xf>
    <xf numFmtId="3" fontId="12" fillId="7" borderId="115" xfId="20" applyNumberFormat="1" applyFont="1" applyFill="1" applyBorder="1" applyAlignment="1">
      <alignment horizontal="center" vertical="center"/>
    </xf>
    <xf numFmtId="3" fontId="12" fillId="7" borderId="122" xfId="20" applyNumberFormat="1" applyFont="1" applyFill="1" applyBorder="1" applyAlignment="1">
      <alignment horizontal="center" vertical="center"/>
    </xf>
    <xf numFmtId="3" fontId="31" fillId="2" borderId="136" xfId="20" applyNumberFormat="1" applyFill="1" applyBorder="1" applyAlignment="1" applyProtection="1">
      <alignment horizontal="center" vertical="center"/>
      <protection locked="0"/>
    </xf>
    <xf numFmtId="3" fontId="12" fillId="7" borderId="130" xfId="20" applyNumberFormat="1" applyFont="1" applyFill="1" applyBorder="1" applyAlignment="1">
      <alignment horizontal="center" vertical="center"/>
    </xf>
    <xf numFmtId="3" fontId="12" fillId="7" borderId="131" xfId="20" applyNumberFormat="1" applyFont="1" applyFill="1" applyBorder="1" applyAlignment="1">
      <alignment horizontal="center" vertical="center"/>
    </xf>
    <xf numFmtId="3" fontId="12" fillId="7" borderId="129" xfId="20" applyNumberFormat="1" applyFont="1" applyFill="1" applyBorder="1" applyAlignment="1">
      <alignment horizontal="center" vertical="center"/>
    </xf>
    <xf numFmtId="3" fontId="12" fillId="7" borderId="114" xfId="20" applyNumberFormat="1" applyFont="1" applyFill="1" applyBorder="1" applyAlignment="1">
      <alignment horizontal="center" vertical="center"/>
    </xf>
    <xf numFmtId="3" fontId="12" fillId="7" borderId="126" xfId="20" applyNumberFormat="1" applyFont="1" applyFill="1" applyBorder="1" applyAlignment="1">
      <alignment horizontal="center" vertical="center"/>
    </xf>
    <xf numFmtId="3" fontId="12" fillId="7" borderId="118" xfId="20" applyNumberFormat="1" applyFont="1" applyFill="1" applyBorder="1" applyAlignment="1">
      <alignment horizontal="center" vertical="center"/>
    </xf>
    <xf numFmtId="3" fontId="31" fillId="2" borderId="130" xfId="20" applyNumberFormat="1" applyFill="1" applyBorder="1" applyAlignment="1" applyProtection="1">
      <alignment horizontal="center" vertical="center"/>
      <protection locked="0"/>
    </xf>
    <xf numFmtId="3" fontId="31" fillId="2" borderId="69" xfId="20" applyNumberFormat="1" applyFill="1" applyBorder="1" applyAlignment="1" applyProtection="1">
      <alignment horizontal="center" vertical="center"/>
      <protection locked="0"/>
    </xf>
    <xf numFmtId="3" fontId="31" fillId="2" borderId="71" xfId="20" applyNumberFormat="1" applyFill="1" applyBorder="1" applyAlignment="1" applyProtection="1">
      <alignment horizontal="center" vertical="center"/>
      <protection locked="0"/>
    </xf>
    <xf numFmtId="3" fontId="31" fillId="2" borderId="79" xfId="20" applyNumberFormat="1" applyFill="1" applyBorder="1" applyAlignment="1" applyProtection="1">
      <alignment horizontal="center" vertical="center"/>
      <protection locked="0"/>
    </xf>
    <xf numFmtId="3" fontId="31" fillId="2" borderId="75" xfId="20" applyNumberFormat="1" applyFill="1" applyBorder="1" applyAlignment="1" applyProtection="1">
      <alignment horizontal="center" vertical="center"/>
      <protection locked="0"/>
    </xf>
    <xf numFmtId="3" fontId="31" fillId="2" borderId="96" xfId="20" applyNumberFormat="1" applyFill="1" applyBorder="1" applyAlignment="1" applyProtection="1">
      <alignment horizontal="center" vertical="center"/>
      <protection locked="0"/>
    </xf>
    <xf numFmtId="3" fontId="12" fillId="7" borderId="69" xfId="20" applyNumberFormat="1" applyFont="1" applyFill="1" applyBorder="1" applyAlignment="1">
      <alignment horizontal="center" vertical="center"/>
    </xf>
    <xf numFmtId="3" fontId="12" fillId="7" borderId="71" xfId="20" applyNumberFormat="1" applyFont="1" applyFill="1" applyBorder="1" applyAlignment="1">
      <alignment horizontal="center" vertical="center"/>
    </xf>
    <xf numFmtId="3" fontId="12" fillId="7" borderId="74" xfId="20" applyNumberFormat="1" applyFont="1" applyFill="1" applyBorder="1" applyAlignment="1">
      <alignment horizontal="center" vertical="center"/>
    </xf>
    <xf numFmtId="0" fontId="12" fillId="7" borderId="1" xfId="20" applyFont="1" applyFill="1" applyBorder="1" applyAlignment="1">
      <alignment horizontal="center" vertical="center"/>
    </xf>
    <xf numFmtId="0" fontId="12" fillId="7" borderId="4" xfId="20" applyFont="1" applyFill="1" applyBorder="1" applyAlignment="1">
      <alignment horizontal="center" vertical="center"/>
    </xf>
    <xf numFmtId="0" fontId="12" fillId="7" borderId="13" xfId="20" applyFont="1" applyFill="1" applyBorder="1" applyAlignment="1">
      <alignment horizontal="center" vertical="top" wrapText="1"/>
    </xf>
    <xf numFmtId="0" fontId="12" fillId="7" borderId="14" xfId="20" applyFont="1" applyFill="1" applyBorder="1" applyAlignment="1">
      <alignment horizontal="center" vertical="top" wrapText="1"/>
    </xf>
    <xf numFmtId="0" fontId="12" fillId="7" borderId="18" xfId="20" applyFont="1" applyFill="1" applyBorder="1" applyAlignment="1">
      <alignment horizontal="center" vertical="top" wrapText="1"/>
    </xf>
    <xf numFmtId="0" fontId="12" fillId="7" borderId="13" xfId="20" applyFont="1" applyFill="1" applyBorder="1" applyAlignment="1">
      <alignment horizontal="center" vertical="center" wrapText="1"/>
    </xf>
    <xf numFmtId="0" fontId="12" fillId="7" borderId="14" xfId="20" applyFont="1" applyFill="1" applyBorder="1" applyAlignment="1">
      <alignment horizontal="center" vertical="center" wrapText="1"/>
    </xf>
    <xf numFmtId="0" fontId="12" fillId="7" borderId="18" xfId="20" applyFont="1" applyFill="1" applyBorder="1" applyAlignment="1">
      <alignment horizontal="center" vertical="center" wrapText="1"/>
    </xf>
    <xf numFmtId="0" fontId="12" fillId="7" borderId="22" xfId="20" applyFont="1" applyFill="1" applyBorder="1" applyAlignment="1">
      <alignment horizontal="center" vertical="center"/>
    </xf>
    <xf numFmtId="0" fontId="12" fillId="7" borderId="23" xfId="20" applyFont="1" applyFill="1" applyBorder="1" applyAlignment="1">
      <alignment horizontal="center" vertical="center"/>
    </xf>
    <xf numFmtId="0" fontId="12" fillId="7" borderId="24" xfId="20" applyFont="1" applyFill="1" applyBorder="1" applyAlignment="1">
      <alignment horizontal="center" vertical="center"/>
    </xf>
    <xf numFmtId="0" fontId="12" fillId="7" borderId="30" xfId="20" applyFont="1" applyFill="1" applyBorder="1" applyAlignment="1">
      <alignment horizontal="center" vertical="center"/>
    </xf>
    <xf numFmtId="0" fontId="12" fillId="7" borderId="38" xfId="20" applyFont="1" applyFill="1" applyBorder="1" applyAlignment="1">
      <alignment horizontal="center" vertical="center"/>
    </xf>
    <xf numFmtId="0" fontId="12" fillId="7" borderId="39" xfId="20" applyFont="1" applyFill="1" applyBorder="1" applyAlignment="1">
      <alignment horizontal="center" vertical="center"/>
    </xf>
    <xf numFmtId="0" fontId="12" fillId="7" borderId="31" xfId="20" applyFont="1" applyFill="1" applyBorder="1" applyAlignment="1">
      <alignment horizontal="center" vertical="center"/>
    </xf>
    <xf numFmtId="0" fontId="18" fillId="7" borderId="0" xfId="112" quotePrefix="1" applyFont="1" applyFill="1" applyAlignment="1">
      <alignment horizontal="justify" wrapText="1"/>
    </xf>
    <xf numFmtId="0" fontId="31" fillId="0" borderId="0" xfId="80" applyFont="1" applyAlignment="1" applyProtection="1">
      <alignment horizontal="center"/>
      <protection locked="0"/>
    </xf>
    <xf numFmtId="0" fontId="31" fillId="0" borderId="6" xfId="80" applyFont="1" applyBorder="1" applyAlignment="1" applyProtection="1">
      <alignment horizontal="center"/>
      <protection locked="0"/>
    </xf>
    <xf numFmtId="0" fontId="22" fillId="7" borderId="0" xfId="112" applyFont="1" applyFill="1" applyAlignment="1">
      <alignment horizontal="left" wrapText="1" indent="3"/>
    </xf>
    <xf numFmtId="0" fontId="12" fillId="7" borderId="0" xfId="112" applyFont="1" applyFill="1" applyAlignment="1">
      <alignment horizontal="left" wrapText="1" indent="3"/>
    </xf>
    <xf numFmtId="0" fontId="9" fillId="7" borderId="0" xfId="112" quotePrefix="1" applyFont="1" applyFill="1" applyAlignment="1">
      <alignment horizontal="justify" wrapText="1"/>
    </xf>
    <xf numFmtId="0" fontId="9" fillId="7" borderId="0" xfId="112" applyFont="1" applyFill="1" applyAlignment="1">
      <alignment horizontal="left" wrapText="1" indent="3"/>
    </xf>
    <xf numFmtId="3" fontId="12" fillId="7" borderId="5" xfId="20" applyNumberFormat="1" applyFont="1" applyFill="1" applyBorder="1" applyAlignment="1">
      <alignment horizontal="center" vertical="center"/>
    </xf>
    <xf numFmtId="3" fontId="12" fillId="7" borderId="127" xfId="20" applyNumberFormat="1" applyFont="1" applyFill="1" applyBorder="1" applyAlignment="1">
      <alignment horizontal="center" vertical="center"/>
    </xf>
    <xf numFmtId="0" fontId="18" fillId="7" borderId="0" xfId="112" applyFont="1" applyFill="1" applyAlignment="1">
      <alignment horizontal="left" wrapText="1" indent="3"/>
    </xf>
    <xf numFmtId="3" fontId="31" fillId="0" borderId="204" xfId="20" applyNumberFormat="1" applyBorder="1" applyAlignment="1" applyProtection="1">
      <alignment horizontal="center" vertical="center"/>
      <protection locked="0"/>
    </xf>
    <xf numFmtId="3" fontId="31" fillId="0" borderId="160" xfId="20" applyNumberFormat="1" applyBorder="1" applyAlignment="1" applyProtection="1">
      <alignment horizontal="center" vertical="center"/>
      <protection locked="0"/>
    </xf>
    <xf numFmtId="3" fontId="31" fillId="0" borderId="323" xfId="20" applyNumberFormat="1" applyBorder="1" applyAlignment="1" applyProtection="1">
      <alignment horizontal="center" vertical="center"/>
      <protection locked="0"/>
    </xf>
    <xf numFmtId="3" fontId="31" fillId="0" borderId="324" xfId="20" applyNumberFormat="1" applyBorder="1" applyAlignment="1" applyProtection="1">
      <alignment horizontal="center" vertical="center"/>
      <protection locked="0"/>
    </xf>
    <xf numFmtId="3" fontId="31" fillId="0" borderId="172" xfId="20" applyNumberFormat="1" applyBorder="1" applyAlignment="1" applyProtection="1">
      <alignment horizontal="center" vertical="center"/>
      <protection locked="0"/>
    </xf>
    <xf numFmtId="3" fontId="12" fillId="7" borderId="137" xfId="20" applyNumberFormat="1" applyFont="1" applyFill="1" applyBorder="1" applyAlignment="1">
      <alignment horizontal="center" vertical="center" shrinkToFit="1"/>
    </xf>
    <xf numFmtId="3" fontId="12" fillId="7" borderId="131" xfId="20" applyNumberFormat="1" applyFont="1" applyFill="1" applyBorder="1" applyAlignment="1">
      <alignment horizontal="center" vertical="center" shrinkToFit="1"/>
    </xf>
    <xf numFmtId="3" fontId="12" fillId="7" borderId="129" xfId="20" applyNumberFormat="1" applyFont="1" applyFill="1" applyBorder="1" applyAlignment="1">
      <alignment horizontal="center" vertical="center" shrinkToFit="1"/>
    </xf>
    <xf numFmtId="3" fontId="31" fillId="0" borderId="69" xfId="20" applyNumberFormat="1" applyBorder="1" applyAlignment="1" applyProtection="1">
      <alignment horizontal="center" vertical="center"/>
      <protection locked="0"/>
    </xf>
    <xf numFmtId="3" fontId="31" fillId="0" borderId="71" xfId="20" applyNumberFormat="1" applyBorder="1" applyAlignment="1" applyProtection="1">
      <alignment horizontal="center" vertical="center"/>
      <protection locked="0"/>
    </xf>
    <xf numFmtId="3" fontId="31" fillId="0" borderId="79" xfId="20" applyNumberFormat="1" applyBorder="1" applyAlignment="1" applyProtection="1">
      <alignment horizontal="center" vertical="center"/>
      <protection locked="0"/>
    </xf>
    <xf numFmtId="3" fontId="31" fillId="0" borderId="75" xfId="20" applyNumberFormat="1" applyBorder="1" applyAlignment="1" applyProtection="1">
      <alignment horizontal="center" vertical="center"/>
      <protection locked="0"/>
    </xf>
    <xf numFmtId="3" fontId="31" fillId="0" borderId="96" xfId="20" applyNumberFormat="1" applyBorder="1" applyAlignment="1" applyProtection="1">
      <alignment horizontal="center" vertical="center"/>
      <protection locked="0"/>
    </xf>
    <xf numFmtId="3" fontId="12" fillId="7" borderId="97" xfId="20" applyNumberFormat="1" applyFont="1" applyFill="1" applyBorder="1" applyAlignment="1">
      <alignment horizontal="center" vertical="center"/>
    </xf>
    <xf numFmtId="3" fontId="31" fillId="0" borderId="82" xfId="20" applyNumberFormat="1" applyBorder="1" applyAlignment="1" applyProtection="1">
      <alignment horizontal="center" vertical="center"/>
      <protection locked="0"/>
    </xf>
    <xf numFmtId="3" fontId="31" fillId="0" borderId="83" xfId="20" applyNumberFormat="1" applyBorder="1" applyAlignment="1" applyProtection="1">
      <alignment horizontal="center" vertical="center"/>
      <protection locked="0"/>
    </xf>
    <xf numFmtId="3" fontId="31" fillId="0" borderId="87" xfId="20" applyNumberFormat="1" applyBorder="1" applyAlignment="1" applyProtection="1">
      <alignment horizontal="center" vertical="center"/>
      <protection locked="0"/>
    </xf>
    <xf numFmtId="3" fontId="31" fillId="0" borderId="88" xfId="20" applyNumberFormat="1" applyBorder="1" applyAlignment="1" applyProtection="1">
      <alignment horizontal="center" vertical="center"/>
      <protection locked="0"/>
    </xf>
    <xf numFmtId="3" fontId="31" fillId="0" borderId="94" xfId="20" applyNumberFormat="1" applyBorder="1" applyAlignment="1" applyProtection="1">
      <alignment horizontal="center" vertical="center"/>
      <protection locked="0"/>
    </xf>
    <xf numFmtId="3" fontId="12" fillId="7" borderId="135" xfId="20" applyNumberFormat="1" applyFont="1" applyFill="1" applyBorder="1" applyAlignment="1">
      <alignment horizontal="center" vertical="center" shrinkToFit="1"/>
    </xf>
    <xf numFmtId="3" fontId="12" fillId="7" borderId="81" xfId="20" applyNumberFormat="1" applyFont="1" applyFill="1" applyBorder="1" applyAlignment="1">
      <alignment horizontal="center" vertical="center" shrinkToFit="1"/>
    </xf>
    <xf numFmtId="3" fontId="12" fillId="7" borderId="84" xfId="20" applyNumberFormat="1" applyFont="1" applyFill="1" applyBorder="1" applyAlignment="1">
      <alignment horizontal="center" vertical="center" shrinkToFit="1"/>
    </xf>
    <xf numFmtId="0" fontId="17" fillId="7" borderId="69" xfId="40" applyFont="1" applyFill="1" applyBorder="1" applyAlignment="1">
      <alignment horizontal="left" vertical="center" indent="1"/>
    </xf>
    <xf numFmtId="0" fontId="17" fillId="7" borderId="71" xfId="40" applyFont="1" applyFill="1" applyBorder="1" applyAlignment="1">
      <alignment horizontal="left" vertical="center" indent="1"/>
    </xf>
    <xf numFmtId="0" fontId="17" fillId="7" borderId="74" xfId="40" applyFont="1" applyFill="1" applyBorder="1" applyAlignment="1">
      <alignment horizontal="left" vertical="center" indent="1"/>
    </xf>
    <xf numFmtId="3" fontId="31" fillId="3" borderId="69" xfId="20" applyNumberFormat="1" applyFill="1" applyBorder="1" applyAlignment="1">
      <alignment horizontal="center" vertical="center" wrapText="1"/>
    </xf>
    <xf numFmtId="3" fontId="31" fillId="3" borderId="71" xfId="20" applyNumberFormat="1" applyFill="1" applyBorder="1" applyAlignment="1">
      <alignment horizontal="center" vertical="center" wrapText="1"/>
    </xf>
    <xf numFmtId="3" fontId="31" fillId="3" borderId="74" xfId="20" applyNumberFormat="1" applyFill="1" applyBorder="1" applyAlignment="1">
      <alignment horizontal="center" vertical="center" wrapText="1"/>
    </xf>
    <xf numFmtId="0" fontId="17" fillId="7" borderId="90" xfId="40" applyFont="1" applyFill="1" applyBorder="1" applyAlignment="1">
      <alignment horizontal="left" vertical="center" indent="1"/>
    </xf>
    <xf numFmtId="0" fontId="17" fillId="7" borderId="70" xfId="40" applyFont="1" applyFill="1" applyBorder="1" applyAlignment="1">
      <alignment horizontal="left" vertical="center" indent="1"/>
    </xf>
    <xf numFmtId="0" fontId="17" fillId="7" borderId="91" xfId="40" applyFont="1" applyFill="1" applyBorder="1" applyAlignment="1">
      <alignment horizontal="left" vertical="center" indent="1"/>
    </xf>
    <xf numFmtId="0" fontId="12" fillId="3" borderId="90" xfId="20" applyFont="1" applyFill="1" applyBorder="1" applyAlignment="1">
      <alignment horizontal="center" vertical="center" wrapText="1"/>
    </xf>
    <xf numFmtId="0" fontId="12" fillId="3" borderId="70" xfId="20" applyFont="1" applyFill="1" applyBorder="1" applyAlignment="1">
      <alignment horizontal="center" vertical="center" wrapText="1"/>
    </xf>
    <xf numFmtId="0" fontId="12" fillId="3" borderId="91" xfId="20" applyFont="1" applyFill="1" applyBorder="1" applyAlignment="1">
      <alignment horizontal="center" vertical="center" wrapText="1"/>
    </xf>
    <xf numFmtId="3" fontId="12" fillId="7" borderId="134" xfId="20" applyNumberFormat="1" applyFont="1" applyFill="1" applyBorder="1" applyAlignment="1">
      <alignment horizontal="center" vertical="center"/>
    </xf>
    <xf numFmtId="3" fontId="12" fillId="7" borderId="83" xfId="20" applyNumberFormat="1" applyFont="1" applyFill="1" applyBorder="1" applyAlignment="1">
      <alignment horizontal="center" vertical="center"/>
    </xf>
    <xf numFmtId="3" fontId="12" fillId="7" borderId="89" xfId="20" applyNumberFormat="1" applyFont="1" applyFill="1" applyBorder="1" applyAlignment="1">
      <alignment horizontal="center" vertical="center"/>
    </xf>
    <xf numFmtId="0" fontId="12" fillId="7" borderId="13" xfId="20" applyFont="1" applyFill="1" applyBorder="1" applyAlignment="1">
      <alignment horizontal="center"/>
    </xf>
    <xf numFmtId="0" fontId="12" fillId="7" borderId="14" xfId="20" applyFont="1" applyFill="1" applyBorder="1" applyAlignment="1">
      <alignment horizontal="center"/>
    </xf>
    <xf numFmtId="0" fontId="12" fillId="7" borderId="18" xfId="20" applyFont="1" applyFill="1" applyBorder="1" applyAlignment="1">
      <alignment horizontal="center"/>
    </xf>
    <xf numFmtId="0" fontId="12" fillId="7" borderId="22" xfId="20" applyFont="1" applyFill="1" applyBorder="1" applyAlignment="1">
      <alignment horizontal="center" vertical="center" wrapText="1"/>
    </xf>
    <xf numFmtId="0" fontId="12" fillId="7" borderId="23" xfId="20" applyFont="1" applyFill="1" applyBorder="1" applyAlignment="1">
      <alignment horizontal="center" vertical="center" wrapText="1"/>
    </xf>
    <xf numFmtId="0" fontId="12" fillId="7" borderId="24" xfId="20" applyFont="1" applyFill="1" applyBorder="1" applyAlignment="1">
      <alignment horizontal="center" vertical="center" wrapText="1"/>
    </xf>
    <xf numFmtId="0" fontId="12" fillId="7" borderId="30" xfId="20" applyFont="1" applyFill="1" applyBorder="1" applyAlignment="1">
      <alignment horizontal="center" vertical="center" wrapText="1"/>
    </xf>
    <xf numFmtId="0" fontId="12" fillId="7" borderId="30" xfId="20" applyFont="1" applyFill="1" applyBorder="1" applyAlignment="1">
      <alignment horizontal="center" vertical="center" wrapText="1" shrinkToFit="1"/>
    </xf>
    <xf numFmtId="0" fontId="12" fillId="7" borderId="23" xfId="20" applyFont="1" applyFill="1" applyBorder="1" applyAlignment="1">
      <alignment horizontal="center" vertical="center" wrapText="1" shrinkToFit="1"/>
    </xf>
    <xf numFmtId="0" fontId="12" fillId="7" borderId="24" xfId="20" applyFont="1" applyFill="1" applyBorder="1" applyAlignment="1">
      <alignment horizontal="center" vertical="center" wrapText="1" shrinkToFit="1"/>
    </xf>
    <xf numFmtId="0" fontId="12" fillId="7" borderId="38" xfId="20" applyFont="1" applyFill="1" applyBorder="1" applyAlignment="1">
      <alignment horizontal="center" vertical="center" wrapText="1"/>
    </xf>
    <xf numFmtId="0" fontId="12" fillId="7" borderId="31" xfId="20" applyFont="1" applyFill="1" applyBorder="1" applyAlignment="1">
      <alignment horizontal="center" vertical="center" wrapText="1"/>
    </xf>
    <xf numFmtId="0" fontId="22" fillId="7" borderId="0" xfId="112" applyFont="1" applyFill="1" applyAlignment="1">
      <alignment horizontal="justify" wrapText="1"/>
    </xf>
    <xf numFmtId="3" fontId="12" fillId="7" borderId="123" xfId="20" applyNumberFormat="1" applyFont="1" applyFill="1" applyBorder="1" applyAlignment="1">
      <alignment horizontal="center" vertical="center" shrinkToFit="1"/>
    </xf>
    <xf numFmtId="3" fontId="12" fillId="7" borderId="115" xfId="20" applyNumberFormat="1" applyFont="1" applyFill="1" applyBorder="1" applyAlignment="1">
      <alignment horizontal="center" vertical="center" shrinkToFit="1"/>
    </xf>
    <xf numFmtId="3" fontId="12" fillId="7" borderId="122" xfId="20" applyNumberFormat="1" applyFont="1" applyFill="1" applyBorder="1" applyAlignment="1">
      <alignment horizontal="center" vertical="center" shrinkToFit="1"/>
    </xf>
    <xf numFmtId="3" fontId="12" fillId="7" borderId="126" xfId="20" applyNumberFormat="1" applyFont="1" applyFill="1" applyBorder="1" applyAlignment="1">
      <alignment horizontal="center" vertical="center" shrinkToFit="1"/>
    </xf>
    <xf numFmtId="3" fontId="12" fillId="7" borderId="127" xfId="20" applyNumberFormat="1" applyFont="1" applyFill="1" applyBorder="1" applyAlignment="1">
      <alignment horizontal="center" vertical="center" shrinkToFit="1"/>
    </xf>
    <xf numFmtId="3" fontId="12" fillId="7" borderId="118" xfId="20" applyNumberFormat="1" applyFont="1" applyFill="1" applyBorder="1" applyAlignment="1">
      <alignment horizontal="center" vertical="center" shrinkToFit="1"/>
    </xf>
    <xf numFmtId="3" fontId="12" fillId="7" borderId="134" xfId="20" applyNumberFormat="1" applyFont="1" applyFill="1" applyBorder="1" applyAlignment="1">
      <alignment horizontal="center" vertical="center" shrinkToFit="1"/>
    </xf>
    <xf numFmtId="3" fontId="12" fillId="7" borderId="83" xfId="20" applyNumberFormat="1" applyFont="1" applyFill="1" applyBorder="1" applyAlignment="1">
      <alignment horizontal="center" vertical="center" shrinkToFit="1"/>
    </xf>
    <xf numFmtId="3" fontId="12" fillId="7" borderId="89" xfId="20" applyNumberFormat="1" applyFont="1" applyFill="1" applyBorder="1" applyAlignment="1">
      <alignment horizontal="center" vertical="center" shrinkToFit="1"/>
    </xf>
    <xf numFmtId="3" fontId="31" fillId="3" borderId="69" xfId="20" applyNumberFormat="1" applyFill="1" applyBorder="1" applyAlignment="1">
      <alignment horizontal="center" vertical="center"/>
    </xf>
    <xf numFmtId="3" fontId="31" fillId="3" borderId="71" xfId="20" applyNumberFormat="1" applyFill="1" applyBorder="1" applyAlignment="1">
      <alignment horizontal="center" vertical="center"/>
    </xf>
    <xf numFmtId="3" fontId="31" fillId="3" borderId="74" xfId="20" applyNumberFormat="1" applyFill="1" applyBorder="1" applyAlignment="1">
      <alignment horizontal="center" vertical="center"/>
    </xf>
    <xf numFmtId="3" fontId="31" fillId="2" borderId="82" xfId="20" applyNumberFormat="1" applyFill="1" applyBorder="1" applyAlignment="1" applyProtection="1">
      <alignment horizontal="center" vertical="center"/>
      <protection locked="0"/>
    </xf>
    <xf numFmtId="3" fontId="31" fillId="2" borderId="83" xfId="20" applyNumberFormat="1" applyFill="1" applyBorder="1" applyAlignment="1" applyProtection="1">
      <alignment horizontal="center" vertical="center"/>
      <protection locked="0"/>
    </xf>
    <xf numFmtId="3" fontId="31" fillId="2" borderId="87" xfId="20" applyNumberFormat="1" applyFill="1" applyBorder="1" applyAlignment="1" applyProtection="1">
      <alignment horizontal="center" vertical="center"/>
      <protection locked="0"/>
    </xf>
    <xf numFmtId="3" fontId="31" fillId="2" borderId="88" xfId="20" applyNumberFormat="1" applyFill="1" applyBorder="1" applyAlignment="1" applyProtection="1">
      <alignment horizontal="center" vertical="center"/>
      <protection locked="0"/>
    </xf>
    <xf numFmtId="3" fontId="31" fillId="2" borderId="94" xfId="20" applyNumberFormat="1" applyFill="1" applyBorder="1" applyAlignment="1" applyProtection="1">
      <alignment horizontal="center" vertical="center"/>
      <protection locked="0"/>
    </xf>
    <xf numFmtId="0" fontId="9" fillId="7" borderId="6" xfId="20" applyFont="1" applyFill="1" applyBorder="1" applyAlignment="1">
      <alignment horizontal="center"/>
    </xf>
    <xf numFmtId="0" fontId="14" fillId="7" borderId="0" xfId="112" applyFont="1" applyFill="1" applyAlignment="1">
      <alignment vertical="center"/>
    </xf>
    <xf numFmtId="0" fontId="9" fillId="2" borderId="72" xfId="42" applyFont="1" applyFill="1" applyBorder="1" applyAlignment="1" applyProtection="1">
      <alignment horizontal="center" vertical="center"/>
      <protection locked="0"/>
    </xf>
    <xf numFmtId="0" fontId="9" fillId="2" borderId="73" xfId="42" applyFont="1" applyFill="1" applyBorder="1" applyAlignment="1" applyProtection="1">
      <alignment horizontal="center" vertical="center"/>
      <protection locked="0"/>
    </xf>
    <xf numFmtId="0" fontId="9" fillId="2" borderId="77" xfId="42" applyFont="1" applyFill="1" applyBorder="1" applyAlignment="1" applyProtection="1">
      <alignment horizontal="center" vertical="center"/>
      <protection locked="0"/>
    </xf>
    <xf numFmtId="0" fontId="9" fillId="2" borderId="78" xfId="42" applyFont="1" applyFill="1" applyBorder="1" applyAlignment="1" applyProtection="1">
      <alignment horizontal="center" vertical="center"/>
      <protection locked="0"/>
    </xf>
    <xf numFmtId="4" fontId="9" fillId="2" borderId="78" xfId="40" applyNumberFormat="1" applyFont="1" applyFill="1" applyBorder="1" applyAlignment="1" applyProtection="1">
      <alignment horizontal="center" vertical="center"/>
      <protection locked="0"/>
    </xf>
    <xf numFmtId="4" fontId="9" fillId="2" borderId="73" xfId="40" applyNumberFormat="1" applyFont="1" applyFill="1" applyBorder="1" applyAlignment="1" applyProtection="1">
      <alignment horizontal="center" vertical="center"/>
      <protection locked="0"/>
    </xf>
    <xf numFmtId="4" fontId="9" fillId="2" borderId="77" xfId="40" applyNumberFormat="1" applyFont="1" applyFill="1" applyBorder="1" applyAlignment="1" applyProtection="1">
      <alignment horizontal="center" vertical="center"/>
      <protection locked="0"/>
    </xf>
    <xf numFmtId="0" fontId="9" fillId="2" borderId="78" xfId="40" applyFont="1" applyFill="1" applyBorder="1" applyAlignment="1" applyProtection="1">
      <alignment horizontal="center" vertical="center"/>
      <protection locked="0"/>
    </xf>
    <xf numFmtId="0" fontId="9" fillId="2" borderId="73" xfId="40" applyFont="1" applyFill="1" applyBorder="1" applyAlignment="1" applyProtection="1">
      <alignment horizontal="center" vertical="center"/>
      <protection locked="0"/>
    </xf>
    <xf numFmtId="0" fontId="9" fillId="2" borderId="76" xfId="40" applyFont="1" applyFill="1" applyBorder="1" applyAlignment="1" applyProtection="1">
      <alignment horizontal="center" vertical="center"/>
      <protection locked="0"/>
    </xf>
    <xf numFmtId="0" fontId="22" fillId="7" borderId="0" xfId="112" quotePrefix="1" applyFont="1" applyFill="1" applyAlignment="1">
      <alignment horizontal="justify" wrapText="1"/>
    </xf>
    <xf numFmtId="0" fontId="84" fillId="7" borderId="2" xfId="42" applyFont="1" applyFill="1" applyBorder="1" applyAlignment="1">
      <alignment horizontal="left" vertical="center"/>
    </xf>
    <xf numFmtId="0" fontId="9" fillId="2" borderId="69" xfId="40" applyFont="1" applyFill="1" applyBorder="1" applyAlignment="1" applyProtection="1">
      <alignment horizontal="center" vertical="center"/>
      <protection locked="0"/>
    </xf>
    <xf numFmtId="0" fontId="9" fillId="2" borderId="71" xfId="40" applyFont="1" applyFill="1" applyBorder="1" applyAlignment="1" applyProtection="1">
      <alignment horizontal="center" vertical="center"/>
      <protection locked="0"/>
    </xf>
    <xf numFmtId="0" fontId="9" fillId="2" borderId="79" xfId="40" applyFont="1" applyFill="1" applyBorder="1" applyAlignment="1" applyProtection="1">
      <alignment horizontal="center" vertical="center"/>
      <protection locked="0"/>
    </xf>
    <xf numFmtId="0" fontId="9" fillId="2" borderId="75" xfId="40" applyFont="1" applyFill="1" applyBorder="1" applyAlignment="1" applyProtection="1">
      <alignment horizontal="center" vertical="center"/>
      <protection locked="0"/>
    </xf>
    <xf numFmtId="4" fontId="9" fillId="2" borderId="75" xfId="40" applyNumberFormat="1" applyFont="1" applyFill="1" applyBorder="1" applyAlignment="1" applyProtection="1">
      <alignment horizontal="center" vertical="center"/>
      <protection locked="0"/>
    </xf>
    <xf numFmtId="4" fontId="9" fillId="2" borderId="71" xfId="40" applyNumberFormat="1" applyFont="1" applyFill="1" applyBorder="1" applyAlignment="1" applyProtection="1">
      <alignment horizontal="center" vertical="center"/>
      <protection locked="0"/>
    </xf>
    <xf numFmtId="4" fontId="9" fillId="2" borderId="79" xfId="40" applyNumberFormat="1" applyFont="1" applyFill="1" applyBorder="1" applyAlignment="1" applyProtection="1">
      <alignment horizontal="center" vertical="center"/>
      <protection locked="0"/>
    </xf>
    <xf numFmtId="0" fontId="9" fillId="2" borderId="74" xfId="40" applyFont="1" applyFill="1" applyBorder="1" applyAlignment="1" applyProtection="1">
      <alignment horizontal="center" vertical="center"/>
      <protection locked="0"/>
    </xf>
    <xf numFmtId="0" fontId="9" fillId="2" borderId="90" xfId="40" applyFont="1" applyFill="1" applyBorder="1" applyAlignment="1" applyProtection="1">
      <alignment horizontal="center" vertical="center"/>
      <protection locked="0"/>
    </xf>
    <xf numFmtId="0" fontId="9" fillId="2" borderId="70" xfId="40" applyFont="1" applyFill="1" applyBorder="1" applyAlignment="1" applyProtection="1">
      <alignment horizontal="center" vertical="center"/>
      <protection locked="0"/>
    </xf>
    <xf numFmtId="0" fontId="9" fillId="2" borderId="101" xfId="40" applyFont="1" applyFill="1" applyBorder="1" applyAlignment="1" applyProtection="1">
      <alignment horizontal="center" vertical="center"/>
      <protection locked="0"/>
    </xf>
    <xf numFmtId="0" fontId="9" fillId="2" borderId="102" xfId="40" applyFont="1" applyFill="1" applyBorder="1" applyAlignment="1" applyProtection="1">
      <alignment horizontal="center" vertical="center"/>
      <protection locked="0"/>
    </xf>
    <xf numFmtId="4" fontId="9" fillId="2" borderId="102" xfId="40" applyNumberFormat="1" applyFont="1" applyFill="1" applyBorder="1" applyAlignment="1" applyProtection="1">
      <alignment horizontal="center" vertical="center"/>
      <protection locked="0"/>
    </xf>
    <xf numFmtId="4" fontId="9" fillId="2" borderId="70" xfId="40" applyNumberFormat="1" applyFont="1" applyFill="1" applyBorder="1" applyAlignment="1" applyProtection="1">
      <alignment horizontal="center" vertical="center"/>
      <protection locked="0"/>
    </xf>
    <xf numFmtId="4" fontId="9" fillId="2" borderId="101" xfId="40" applyNumberFormat="1" applyFont="1" applyFill="1" applyBorder="1" applyAlignment="1" applyProtection="1">
      <alignment horizontal="center" vertical="center"/>
      <protection locked="0"/>
    </xf>
    <xf numFmtId="0" fontId="9" fillId="2" borderId="91" xfId="40" applyFont="1" applyFill="1" applyBorder="1" applyAlignment="1" applyProtection="1">
      <alignment horizontal="center" vertical="center"/>
      <protection locked="0"/>
    </xf>
    <xf numFmtId="0" fontId="19" fillId="7" borderId="3" xfId="40" applyFont="1" applyFill="1" applyBorder="1" applyAlignment="1">
      <alignment horizontal="center" vertical="top" wrapText="1"/>
    </xf>
    <xf numFmtId="0" fontId="19" fillId="7" borderId="0" xfId="40" applyFont="1" applyFill="1" applyAlignment="1">
      <alignment horizontal="center" vertical="top" wrapText="1"/>
    </xf>
    <xf numFmtId="0" fontId="19" fillId="7" borderId="28" xfId="40" applyFont="1" applyFill="1" applyBorder="1" applyAlignment="1">
      <alignment horizontal="center" vertical="top" wrapText="1"/>
    </xf>
    <xf numFmtId="0" fontId="19" fillId="7" borderId="4" xfId="40" applyFont="1" applyFill="1" applyBorder="1" applyAlignment="1">
      <alignment horizontal="center" vertical="top" wrapText="1"/>
    </xf>
    <xf numFmtId="0" fontId="19" fillId="7" borderId="5" xfId="40" applyFont="1" applyFill="1" applyBorder="1" applyAlignment="1">
      <alignment horizontal="center" vertical="top" wrapText="1"/>
    </xf>
    <xf numFmtId="0" fontId="19" fillId="7" borderId="29" xfId="40" applyFont="1" applyFill="1" applyBorder="1" applyAlignment="1">
      <alignment horizontal="center" vertical="top" wrapText="1"/>
    </xf>
    <xf numFmtId="0" fontId="19" fillId="7" borderId="35" xfId="40" applyFont="1" applyFill="1" applyBorder="1" applyAlignment="1">
      <alignment horizontal="center" vertical="top" wrapText="1" shrinkToFit="1"/>
    </xf>
    <xf numFmtId="0" fontId="19" fillId="7" borderId="0" xfId="40" applyFont="1" applyFill="1" applyAlignment="1">
      <alignment horizontal="center" vertical="top" wrapText="1" shrinkToFit="1"/>
    </xf>
    <xf numFmtId="0" fontId="19" fillId="7" borderId="28" xfId="40" applyFont="1" applyFill="1" applyBorder="1" applyAlignment="1">
      <alignment horizontal="center" vertical="top" wrapText="1" shrinkToFit="1"/>
    </xf>
    <xf numFmtId="0" fontId="19" fillId="7" borderId="36" xfId="40" applyFont="1" applyFill="1" applyBorder="1" applyAlignment="1">
      <alignment horizontal="center" vertical="top" wrapText="1" shrinkToFit="1"/>
    </xf>
    <xf numFmtId="0" fontId="19" fillId="7" borderId="5" xfId="40" applyFont="1" applyFill="1" applyBorder="1" applyAlignment="1">
      <alignment horizontal="center" vertical="top" wrapText="1" shrinkToFit="1"/>
    </xf>
    <xf numFmtId="0" fontId="19" fillId="7" borderId="29" xfId="40" applyFont="1" applyFill="1" applyBorder="1" applyAlignment="1">
      <alignment horizontal="center" vertical="top" wrapText="1" shrinkToFit="1"/>
    </xf>
    <xf numFmtId="0" fontId="19" fillId="7" borderId="35" xfId="40" applyFont="1" applyFill="1" applyBorder="1" applyAlignment="1">
      <alignment horizontal="center" vertical="center" wrapText="1" shrinkToFit="1"/>
    </xf>
    <xf numFmtId="0" fontId="19" fillId="7" borderId="0" xfId="40" applyFont="1" applyFill="1" applyAlignment="1">
      <alignment horizontal="center" vertical="center" wrapText="1" shrinkToFit="1"/>
    </xf>
    <xf numFmtId="0" fontId="19" fillId="7" borderId="11" xfId="40" applyFont="1" applyFill="1" applyBorder="1" applyAlignment="1">
      <alignment horizontal="center" vertical="center" wrapText="1" shrinkToFit="1"/>
    </xf>
    <xf numFmtId="0" fontId="19" fillId="7" borderId="36" xfId="40" applyFont="1" applyFill="1" applyBorder="1" applyAlignment="1">
      <alignment horizontal="center" vertical="center" wrapText="1" shrinkToFit="1"/>
    </xf>
    <xf numFmtId="0" fontId="19" fillId="7" borderId="5" xfId="40" applyFont="1" applyFill="1" applyBorder="1" applyAlignment="1">
      <alignment horizontal="center" vertical="center" wrapText="1" shrinkToFit="1"/>
    </xf>
    <xf numFmtId="0" fontId="19" fillId="7" borderId="12" xfId="40" applyFont="1" applyFill="1" applyBorder="1" applyAlignment="1">
      <alignment horizontal="center" vertical="center" wrapText="1" shrinkToFit="1"/>
    </xf>
    <xf numFmtId="0" fontId="9" fillId="2" borderId="6" xfId="42" applyFont="1" applyFill="1" applyBorder="1" applyAlignment="1" applyProtection="1">
      <alignment horizontal="center"/>
      <protection locked="0"/>
    </xf>
    <xf numFmtId="14" fontId="9" fillId="2" borderId="6" xfId="42" applyNumberFormat="1" applyFont="1" applyFill="1" applyBorder="1" applyAlignment="1" applyProtection="1">
      <alignment horizontal="center"/>
      <protection locked="0"/>
    </xf>
    <xf numFmtId="4" fontId="9" fillId="2" borderId="6" xfId="42" applyNumberFormat="1" applyFont="1" applyFill="1" applyBorder="1" applyAlignment="1" applyProtection="1">
      <alignment horizontal="center"/>
      <protection locked="0"/>
    </xf>
    <xf numFmtId="171" fontId="9" fillId="2" borderId="6" xfId="42" applyNumberFormat="1" applyFont="1" applyFill="1" applyBorder="1" applyAlignment="1" applyProtection="1">
      <alignment horizontal="center"/>
      <protection locked="0"/>
    </xf>
    <xf numFmtId="0" fontId="12" fillId="7" borderId="108" xfId="40" applyFont="1" applyFill="1" applyBorder="1" applyAlignment="1">
      <alignment horizontal="center" vertical="center" wrapText="1"/>
    </xf>
    <xf numFmtId="0" fontId="12" fillId="7" borderId="128" xfId="40" applyFont="1" applyFill="1" applyBorder="1" applyAlignment="1">
      <alignment horizontal="center" vertical="center" wrapText="1" shrinkToFit="1"/>
    </xf>
    <xf numFmtId="0" fontId="12" fillId="7" borderId="2" xfId="40" applyFont="1" applyFill="1" applyBorder="1" applyAlignment="1">
      <alignment horizontal="center" vertical="center" wrapText="1" shrinkToFit="1"/>
    </xf>
    <xf numFmtId="0" fontId="12" fillId="7" borderId="108" xfId="40" applyFont="1" applyFill="1" applyBorder="1" applyAlignment="1">
      <alignment horizontal="center" vertical="center" wrapText="1" shrinkToFit="1"/>
    </xf>
    <xf numFmtId="0" fontId="12" fillId="7" borderId="128" xfId="40" applyFont="1" applyFill="1" applyBorder="1" applyAlignment="1">
      <alignment horizontal="center" vertical="center" shrinkToFit="1"/>
    </xf>
    <xf numFmtId="0" fontId="12" fillId="7" borderId="2" xfId="40" applyFont="1" applyFill="1" applyBorder="1" applyAlignment="1">
      <alignment horizontal="center" vertical="center" shrinkToFit="1"/>
    </xf>
    <xf numFmtId="0" fontId="12" fillId="7" borderId="108" xfId="40" applyFont="1" applyFill="1" applyBorder="1" applyAlignment="1">
      <alignment horizontal="center" vertical="center" shrinkToFit="1"/>
    </xf>
    <xf numFmtId="0" fontId="12" fillId="7" borderId="10" xfId="40" applyFont="1" applyFill="1" applyBorder="1" applyAlignment="1">
      <alignment horizontal="center" vertical="center" wrapText="1" shrinkToFit="1"/>
    </xf>
    <xf numFmtId="0" fontId="22" fillId="7" borderId="0" xfId="112" applyFont="1" applyFill="1"/>
    <xf numFmtId="0" fontId="18" fillId="7" borderId="0" xfId="112" applyFont="1" applyFill="1"/>
    <xf numFmtId="0" fontId="22" fillId="7" borderId="0" xfId="112" quotePrefix="1" applyFont="1" applyFill="1" applyAlignment="1">
      <alignment wrapText="1"/>
    </xf>
    <xf numFmtId="0" fontId="9" fillId="0" borderId="80" xfId="40" applyFont="1" applyBorder="1" applyAlignment="1" applyProtection="1">
      <alignment horizontal="center" vertical="center"/>
      <protection locked="0"/>
    </xf>
    <xf numFmtId="0" fontId="9" fillId="0" borderId="81" xfId="40" applyFont="1" applyBorder="1" applyAlignment="1" applyProtection="1">
      <alignment horizontal="center" vertical="center"/>
      <protection locked="0"/>
    </xf>
    <xf numFmtId="0" fontId="9" fillId="0" borderId="85" xfId="40" applyFont="1" applyBorder="1" applyAlignment="1" applyProtection="1">
      <alignment horizontal="center" vertical="center"/>
      <protection locked="0"/>
    </xf>
    <xf numFmtId="0" fontId="9" fillId="0" borderId="3" xfId="40" applyFont="1" applyBorder="1" applyAlignment="1" applyProtection="1">
      <alignment horizontal="center" vertical="center"/>
      <protection locked="0"/>
    </xf>
    <xf numFmtId="0" fontId="9" fillId="0" borderId="0" xfId="40" applyFont="1" applyAlignment="1" applyProtection="1">
      <alignment horizontal="center" vertical="center"/>
      <protection locked="0"/>
    </xf>
    <xf numFmtId="0" fontId="9" fillId="0" borderId="28" xfId="40" applyFont="1" applyBorder="1" applyAlignment="1" applyProtection="1">
      <alignment horizontal="center" vertical="center"/>
      <protection locked="0"/>
    </xf>
    <xf numFmtId="0" fontId="9" fillId="0" borderId="4" xfId="40" applyFont="1" applyBorder="1" applyAlignment="1" applyProtection="1">
      <alignment horizontal="center" vertical="center"/>
      <protection locked="0"/>
    </xf>
    <xf numFmtId="0" fontId="9" fillId="0" borderId="5" xfId="40" applyFont="1" applyBorder="1" applyAlignment="1" applyProtection="1">
      <alignment horizontal="center" vertical="center"/>
      <protection locked="0"/>
    </xf>
    <xf numFmtId="0" fontId="9" fillId="0" borderId="29" xfId="40" applyFont="1" applyBorder="1" applyAlignment="1" applyProtection="1">
      <alignment horizontal="center" vertical="center"/>
      <protection locked="0"/>
    </xf>
    <xf numFmtId="0" fontId="9" fillId="0" borderId="86" xfId="40" applyFont="1" applyBorder="1" applyAlignment="1" applyProtection="1">
      <alignment horizontal="center" vertical="center"/>
      <protection locked="0"/>
    </xf>
    <xf numFmtId="0" fontId="9" fillId="0" borderId="35" xfId="40" applyFont="1" applyBorder="1" applyAlignment="1" applyProtection="1">
      <alignment horizontal="center" vertical="center"/>
      <protection locked="0"/>
    </xf>
    <xf numFmtId="0" fontId="9" fillId="0" borderId="36" xfId="40" applyFont="1" applyBorder="1" applyAlignment="1" applyProtection="1">
      <alignment horizontal="center" vertical="center"/>
      <protection locked="0"/>
    </xf>
    <xf numFmtId="4" fontId="9" fillId="0" borderId="86" xfId="40" applyNumberFormat="1" applyFont="1" applyBorder="1" applyAlignment="1" applyProtection="1">
      <alignment horizontal="center" vertical="center"/>
      <protection locked="0"/>
    </xf>
    <xf numFmtId="4" fontId="9" fillId="0" borderId="81" xfId="40" applyNumberFormat="1" applyFont="1" applyBorder="1" applyAlignment="1" applyProtection="1">
      <alignment horizontal="center" vertical="center"/>
      <protection locked="0"/>
    </xf>
    <xf numFmtId="4" fontId="9" fillId="0" borderId="85" xfId="40" applyNumberFormat="1" applyFont="1" applyBorder="1" applyAlignment="1" applyProtection="1">
      <alignment horizontal="center" vertical="center"/>
      <protection locked="0"/>
    </xf>
    <xf numFmtId="4" fontId="9" fillId="0" borderId="35" xfId="40" applyNumberFormat="1" applyFont="1" applyBorder="1" applyAlignment="1" applyProtection="1">
      <alignment horizontal="center" vertical="center"/>
      <protection locked="0"/>
    </xf>
    <xf numFmtId="4" fontId="9" fillId="0" borderId="0" xfId="40" applyNumberFormat="1" applyFont="1" applyAlignment="1" applyProtection="1">
      <alignment horizontal="center" vertical="center"/>
      <protection locked="0"/>
    </xf>
    <xf numFmtId="4" fontId="9" fillId="0" borderId="28" xfId="40" applyNumberFormat="1" applyFont="1" applyBorder="1" applyAlignment="1" applyProtection="1">
      <alignment horizontal="center" vertical="center"/>
      <protection locked="0"/>
    </xf>
    <xf numFmtId="4" fontId="9" fillId="0" borderId="36" xfId="40" applyNumberFormat="1" applyFont="1" applyBorder="1" applyAlignment="1" applyProtection="1">
      <alignment horizontal="center" vertical="center"/>
      <protection locked="0"/>
    </xf>
    <xf numFmtId="4" fontId="9" fillId="0" borderId="5" xfId="40" applyNumberFormat="1" applyFont="1" applyBorder="1" applyAlignment="1" applyProtection="1">
      <alignment horizontal="center" vertical="center"/>
      <protection locked="0"/>
    </xf>
    <xf numFmtId="4" fontId="9" fillId="0" borderId="29" xfId="40" applyNumberFormat="1" applyFont="1" applyBorder="1" applyAlignment="1" applyProtection="1">
      <alignment horizontal="center" vertical="center"/>
      <protection locked="0"/>
    </xf>
    <xf numFmtId="0" fontId="9" fillId="0" borderId="84" xfId="40" applyFont="1" applyBorder="1" applyAlignment="1" applyProtection="1">
      <alignment horizontal="center" vertical="center"/>
      <protection locked="0"/>
    </xf>
    <xf numFmtId="0" fontId="9" fillId="0" borderId="11" xfId="40" applyFont="1" applyBorder="1" applyAlignment="1" applyProtection="1">
      <alignment horizontal="center" vertical="center"/>
      <protection locked="0"/>
    </xf>
    <xf numFmtId="0" fontId="9" fillId="0" borderId="12" xfId="40" applyFont="1" applyBorder="1" applyAlignment="1" applyProtection="1">
      <alignment horizontal="center" vertical="center"/>
      <protection locked="0"/>
    </xf>
    <xf numFmtId="0" fontId="9" fillId="0" borderId="82" xfId="40" applyFont="1" applyBorder="1" applyAlignment="1" applyProtection="1">
      <alignment horizontal="center" vertical="center"/>
      <protection locked="0"/>
    </xf>
    <xf numFmtId="0" fontId="9" fillId="0" borderId="83" xfId="40" applyFont="1" applyBorder="1" applyAlignment="1" applyProtection="1">
      <alignment horizontal="center" vertical="center"/>
      <protection locked="0"/>
    </xf>
    <xf numFmtId="0" fontId="9" fillId="0" borderId="87" xfId="40" applyFont="1" applyBorder="1" applyAlignment="1" applyProtection="1">
      <alignment horizontal="center" vertical="center"/>
      <protection locked="0"/>
    </xf>
    <xf numFmtId="0" fontId="9" fillId="0" borderId="88" xfId="40" applyFont="1" applyBorder="1" applyAlignment="1" applyProtection="1">
      <alignment horizontal="center" vertical="center"/>
      <protection locked="0"/>
    </xf>
    <xf numFmtId="4" fontId="9" fillId="0" borderId="88" xfId="40" applyNumberFormat="1" applyFont="1" applyBorder="1" applyAlignment="1" applyProtection="1">
      <alignment horizontal="center" vertical="center"/>
      <protection locked="0"/>
    </xf>
    <xf numFmtId="4" fontId="9" fillId="0" borderId="83" xfId="40" applyNumberFormat="1" applyFont="1" applyBorder="1" applyAlignment="1" applyProtection="1">
      <alignment horizontal="center" vertical="center"/>
      <protection locked="0"/>
    </xf>
    <xf numFmtId="4" fontId="9" fillId="0" borderId="87" xfId="40" applyNumberFormat="1" applyFont="1" applyBorder="1" applyAlignment="1" applyProtection="1">
      <alignment horizontal="center" vertical="center"/>
      <protection locked="0"/>
    </xf>
    <xf numFmtId="0" fontId="9" fillId="0" borderId="89" xfId="40" applyFont="1" applyBorder="1" applyAlignment="1" applyProtection="1">
      <alignment horizontal="center" vertical="center"/>
      <protection locked="0"/>
    </xf>
    <xf numFmtId="0" fontId="9" fillId="0" borderId="1" xfId="40" applyFont="1" applyBorder="1" applyAlignment="1" applyProtection="1">
      <alignment horizontal="center" vertical="center"/>
      <protection locked="0"/>
    </xf>
    <xf numFmtId="0" fontId="9" fillId="0" borderId="2" xfId="40" applyFont="1" applyBorder="1" applyAlignment="1" applyProtection="1">
      <alignment horizontal="center" vertical="center"/>
      <protection locked="0"/>
    </xf>
    <xf numFmtId="0" fontId="9" fillId="0" borderId="108" xfId="40" applyFont="1" applyBorder="1" applyAlignment="1" applyProtection="1">
      <alignment horizontal="center" vertical="center"/>
      <protection locked="0"/>
    </xf>
    <xf numFmtId="0" fontId="9" fillId="0" borderId="128" xfId="40" applyFont="1" applyBorder="1" applyAlignment="1" applyProtection="1">
      <alignment horizontal="center" vertical="center"/>
      <protection locked="0"/>
    </xf>
    <xf numFmtId="4" fontId="9" fillId="0" borderId="128" xfId="40" applyNumberFormat="1" applyFont="1" applyBorder="1" applyAlignment="1" applyProtection="1">
      <alignment horizontal="center" vertical="center"/>
      <protection locked="0"/>
    </xf>
    <xf numFmtId="4" fontId="9" fillId="0" borderId="2" xfId="40" applyNumberFormat="1" applyFont="1" applyBorder="1" applyAlignment="1" applyProtection="1">
      <alignment horizontal="center" vertical="center"/>
      <protection locked="0"/>
    </xf>
    <xf numFmtId="4" fontId="9" fillId="0" borderId="108" xfId="40" applyNumberFormat="1" applyFont="1" applyBorder="1" applyAlignment="1" applyProtection="1">
      <alignment horizontal="center" vertical="center"/>
      <protection locked="0"/>
    </xf>
    <xf numFmtId="0" fontId="9" fillId="0" borderId="10" xfId="40" applyFont="1" applyBorder="1" applyAlignment="1" applyProtection="1">
      <alignment horizontal="center" vertical="center"/>
      <protection locked="0"/>
    </xf>
    <xf numFmtId="0" fontId="12" fillId="7" borderId="1" xfId="40" applyFont="1" applyFill="1" applyBorder="1" applyAlignment="1">
      <alignment horizontal="center" vertical="center"/>
    </xf>
    <xf numFmtId="0" fontId="12" fillId="7" borderId="2" xfId="40" applyFont="1" applyFill="1" applyBorder="1" applyAlignment="1">
      <alignment horizontal="center" vertical="center"/>
    </xf>
    <xf numFmtId="0" fontId="12" fillId="7" borderId="108" xfId="40" applyFont="1" applyFill="1" applyBorder="1" applyAlignment="1">
      <alignment horizontal="center" vertical="center"/>
    </xf>
    <xf numFmtId="0" fontId="12" fillId="7" borderId="128" xfId="40" applyFont="1" applyFill="1" applyBorder="1" applyAlignment="1">
      <alignment horizontal="center" vertical="center" wrapText="1"/>
    </xf>
    <xf numFmtId="0" fontId="19" fillId="7" borderId="35" xfId="40" applyFont="1" applyFill="1" applyBorder="1" applyAlignment="1">
      <alignment horizontal="center" vertical="top" wrapText="1"/>
    </xf>
    <xf numFmtId="0" fontId="19" fillId="7" borderId="11" xfId="40" applyFont="1" applyFill="1" applyBorder="1" applyAlignment="1">
      <alignment horizontal="center" vertical="top" wrapText="1"/>
    </xf>
    <xf numFmtId="0" fontId="19" fillId="7" borderId="36" xfId="40" applyFont="1" applyFill="1" applyBorder="1" applyAlignment="1">
      <alignment horizontal="center" vertical="top" wrapText="1"/>
    </xf>
    <xf numFmtId="0" fontId="19" fillId="7" borderId="12" xfId="40" applyFont="1" applyFill="1" applyBorder="1" applyAlignment="1">
      <alignment horizontal="center" vertical="top" wrapText="1"/>
    </xf>
    <xf numFmtId="0" fontId="18" fillId="8" borderId="0" xfId="68" applyFont="1" applyFill="1" applyAlignment="1">
      <alignment vertical="center"/>
    </xf>
    <xf numFmtId="0" fontId="18" fillId="8" borderId="177" xfId="68" applyFont="1" applyFill="1" applyBorder="1" applyAlignment="1">
      <alignment vertical="center"/>
    </xf>
    <xf numFmtId="0" fontId="22" fillId="7" borderId="0" xfId="68" applyFont="1" applyFill="1" applyAlignment="1">
      <alignment vertical="center"/>
    </xf>
    <xf numFmtId="0" fontId="9" fillId="0" borderId="220" xfId="68" applyFont="1" applyBorder="1" applyAlignment="1" applyProtection="1">
      <alignment horizontal="center" vertical="center"/>
      <protection locked="0"/>
    </xf>
    <xf numFmtId="0" fontId="9" fillId="0" borderId="221" xfId="68" applyFont="1" applyBorder="1" applyProtection="1">
      <protection locked="0"/>
    </xf>
    <xf numFmtId="0" fontId="9" fillId="0" borderId="222" xfId="68" applyFont="1" applyBorder="1" applyProtection="1">
      <protection locked="0"/>
    </xf>
    <xf numFmtId="0" fontId="9" fillId="0" borderId="221" xfId="68" applyFont="1" applyBorder="1" applyAlignment="1" applyProtection="1">
      <alignment horizontal="center" vertical="center"/>
      <protection locked="0"/>
    </xf>
    <xf numFmtId="4" fontId="9" fillId="0" borderId="223" xfId="68" applyNumberFormat="1" applyFont="1" applyBorder="1" applyAlignment="1" applyProtection="1">
      <alignment horizontal="center" vertical="center"/>
      <protection locked="0"/>
    </xf>
    <xf numFmtId="4" fontId="9" fillId="0" borderId="221" xfId="68" applyNumberFormat="1" applyFont="1" applyBorder="1" applyAlignment="1" applyProtection="1">
      <alignment horizontal="center" vertical="center"/>
      <protection locked="0"/>
    </xf>
    <xf numFmtId="4" fontId="9" fillId="0" borderId="222" xfId="68" applyNumberFormat="1" applyFont="1" applyBorder="1" applyAlignment="1" applyProtection="1">
      <alignment horizontal="center" vertical="center"/>
      <protection locked="0"/>
    </xf>
    <xf numFmtId="0" fontId="9" fillId="0" borderId="223" xfId="68" applyFont="1" applyBorder="1" applyAlignment="1" applyProtection="1">
      <alignment horizontal="center" vertical="center"/>
      <protection locked="0"/>
    </xf>
    <xf numFmtId="0" fontId="9" fillId="0" borderId="224" xfId="68" applyFont="1" applyBorder="1" applyProtection="1">
      <protection locked="0"/>
    </xf>
    <xf numFmtId="0" fontId="9" fillId="0" borderId="225" xfId="68" applyFont="1" applyBorder="1" applyAlignment="1" applyProtection="1">
      <alignment horizontal="center" vertical="center"/>
      <protection locked="0"/>
    </xf>
    <xf numFmtId="0" fontId="9" fillId="0" borderId="226" xfId="68" applyFont="1" applyBorder="1" applyProtection="1">
      <protection locked="0"/>
    </xf>
    <xf numFmtId="0" fontId="9" fillId="0" borderId="227" xfId="68" applyFont="1" applyBorder="1" applyProtection="1">
      <protection locked="0"/>
    </xf>
    <xf numFmtId="0" fontId="9" fillId="0" borderId="226" xfId="68" applyFont="1" applyBorder="1" applyAlignment="1" applyProtection="1">
      <alignment horizontal="center" vertical="center"/>
      <protection locked="0"/>
    </xf>
    <xf numFmtId="4" fontId="9" fillId="0" borderId="228" xfId="68" applyNumberFormat="1" applyFont="1" applyBorder="1" applyAlignment="1" applyProtection="1">
      <alignment horizontal="center" vertical="center"/>
      <protection locked="0"/>
    </xf>
    <xf numFmtId="4" fontId="9" fillId="0" borderId="226" xfId="68" applyNumberFormat="1" applyFont="1" applyBorder="1" applyProtection="1">
      <protection locked="0"/>
    </xf>
    <xf numFmtId="4" fontId="9" fillId="0" borderId="227" xfId="68" applyNumberFormat="1" applyFont="1" applyBorder="1" applyProtection="1">
      <protection locked="0"/>
    </xf>
    <xf numFmtId="0" fontId="9" fillId="0" borderId="228" xfId="68" applyFont="1" applyBorder="1" applyAlignment="1" applyProtection="1">
      <alignment horizontal="center" vertical="center"/>
      <protection locked="0"/>
    </xf>
    <xf numFmtId="0" fontId="9" fillId="0" borderId="229" xfId="68" applyFont="1" applyBorder="1" applyProtection="1">
      <protection locked="0"/>
    </xf>
    <xf numFmtId="4" fontId="9" fillId="0" borderId="221" xfId="68" applyNumberFormat="1" applyFont="1" applyBorder="1" applyProtection="1">
      <protection locked="0"/>
    </xf>
    <xf numFmtId="4" fontId="9" fillId="0" borderId="222" xfId="68" applyNumberFormat="1" applyFont="1" applyBorder="1" applyProtection="1">
      <protection locked="0"/>
    </xf>
    <xf numFmtId="4" fontId="9" fillId="0" borderId="218" xfId="68" applyNumberFormat="1" applyFont="1" applyBorder="1" applyAlignment="1" applyProtection="1">
      <alignment horizontal="center" vertical="center"/>
      <protection locked="0"/>
    </xf>
    <xf numFmtId="4" fontId="9" fillId="0" borderId="216" xfId="68" applyNumberFormat="1" applyFont="1" applyBorder="1" applyProtection="1">
      <protection locked="0"/>
    </xf>
    <xf numFmtId="4" fontId="9" fillId="0" borderId="217" xfId="68" applyNumberFormat="1" applyFont="1" applyBorder="1" applyProtection="1">
      <protection locked="0"/>
    </xf>
    <xf numFmtId="0" fontId="9" fillId="0" borderId="215" xfId="68" applyFont="1" applyBorder="1" applyAlignment="1" applyProtection="1">
      <alignment horizontal="center" vertical="center"/>
      <protection locked="0"/>
    </xf>
    <xf numFmtId="0" fontId="9" fillId="0" borderId="216" xfId="68" applyFont="1" applyBorder="1" applyProtection="1">
      <protection locked="0"/>
    </xf>
    <xf numFmtId="0" fontId="9" fillId="0" borderId="217" xfId="68" applyFont="1" applyBorder="1" applyProtection="1">
      <protection locked="0"/>
    </xf>
    <xf numFmtId="0" fontId="9" fillId="0" borderId="216" xfId="68" applyFont="1" applyBorder="1" applyAlignment="1" applyProtection="1">
      <alignment horizontal="center" vertical="center"/>
      <protection locked="0"/>
    </xf>
    <xf numFmtId="0" fontId="9" fillId="0" borderId="218" xfId="68" applyFont="1" applyBorder="1" applyAlignment="1" applyProtection="1">
      <alignment horizontal="center" vertical="center"/>
      <protection locked="0"/>
    </xf>
    <xf numFmtId="0" fontId="9" fillId="0" borderId="219" xfId="68" applyFont="1" applyBorder="1" applyProtection="1">
      <protection locked="0"/>
    </xf>
    <xf numFmtId="0" fontId="12" fillId="7" borderId="176" xfId="68" applyFont="1" applyFill="1" applyBorder="1" applyAlignment="1">
      <alignment horizontal="center" vertical="center" shrinkToFit="1"/>
    </xf>
    <xf numFmtId="0" fontId="12" fillId="7" borderId="177" xfId="68" applyFont="1" applyFill="1" applyBorder="1" applyAlignment="1">
      <alignment horizontal="center" vertical="center" shrinkToFit="1"/>
    </xf>
    <xf numFmtId="0" fontId="12" fillId="7" borderId="209" xfId="68" applyFont="1" applyFill="1" applyBorder="1" applyAlignment="1">
      <alignment horizontal="center" vertical="center" shrinkToFit="1"/>
    </xf>
    <xf numFmtId="0" fontId="9" fillId="7" borderId="177" xfId="68" applyFont="1" applyFill="1" applyBorder="1"/>
    <xf numFmtId="0" fontId="9" fillId="7" borderId="209" xfId="68" applyFont="1" applyFill="1" applyBorder="1"/>
    <xf numFmtId="0" fontId="12" fillId="7" borderId="210" xfId="68" applyFont="1" applyFill="1" applyBorder="1" applyAlignment="1">
      <alignment horizontal="center" vertical="center" shrinkToFit="1"/>
    </xf>
    <xf numFmtId="0" fontId="9" fillId="7" borderId="178" xfId="68" applyFont="1" applyFill="1" applyBorder="1"/>
    <xf numFmtId="0" fontId="19" fillId="7" borderId="179" xfId="68" applyFont="1" applyFill="1" applyBorder="1" applyAlignment="1">
      <alignment horizontal="center" vertical="top" wrapText="1"/>
    </xf>
    <xf numFmtId="0" fontId="19" fillId="7" borderId="0" xfId="68" applyFont="1" applyFill="1" applyAlignment="1">
      <alignment horizontal="center" vertical="top" wrapText="1"/>
    </xf>
    <xf numFmtId="0" fontId="19" fillId="7" borderId="211" xfId="68" applyFont="1" applyFill="1" applyBorder="1" applyAlignment="1">
      <alignment horizontal="center" vertical="top" wrapText="1"/>
    </xf>
    <xf numFmtId="0" fontId="19" fillId="7" borderId="193" xfId="68" applyFont="1" applyFill="1" applyBorder="1" applyAlignment="1">
      <alignment horizontal="center" vertical="top" wrapText="1"/>
    </xf>
    <xf numFmtId="0" fontId="19" fillId="7" borderId="194" xfId="68" applyFont="1" applyFill="1" applyBorder="1" applyAlignment="1">
      <alignment horizontal="center" vertical="top" wrapText="1"/>
    </xf>
    <xf numFmtId="0" fontId="19" fillId="7" borderId="213" xfId="68" applyFont="1" applyFill="1" applyBorder="1" applyAlignment="1">
      <alignment horizontal="center" vertical="top" wrapText="1"/>
    </xf>
    <xf numFmtId="0" fontId="19" fillId="7" borderId="0" xfId="68" applyFont="1" applyFill="1" applyAlignment="1">
      <alignment horizontal="center" vertical="top" shrinkToFit="1"/>
    </xf>
    <xf numFmtId="0" fontId="18" fillId="7" borderId="0" xfId="68" applyFont="1" applyFill="1"/>
    <xf numFmtId="0" fontId="18" fillId="7" borderId="211" xfId="68" applyFont="1" applyFill="1" applyBorder="1"/>
    <xf numFmtId="0" fontId="18" fillId="7" borderId="194" xfId="68" applyFont="1" applyFill="1" applyBorder="1"/>
    <xf numFmtId="0" fontId="18" fillId="7" borderId="213" xfId="68" applyFont="1" applyFill="1" applyBorder="1"/>
    <xf numFmtId="0" fontId="19" fillId="7" borderId="212" xfId="68" applyFont="1" applyFill="1" applyBorder="1" applyAlignment="1">
      <alignment horizontal="center" vertical="top" shrinkToFit="1"/>
    </xf>
    <xf numFmtId="0" fontId="18" fillId="7" borderId="214" xfId="68" applyFont="1" applyFill="1" applyBorder="1"/>
    <xf numFmtId="0" fontId="19" fillId="7" borderId="212" xfId="68" applyFont="1" applyFill="1" applyBorder="1" applyAlignment="1">
      <alignment horizontal="center" vertical="top" wrapText="1"/>
    </xf>
    <xf numFmtId="0" fontId="18" fillId="7" borderId="0" xfId="68" applyFont="1" applyFill="1" applyAlignment="1">
      <alignment vertical="top"/>
    </xf>
    <xf numFmtId="0" fontId="18" fillId="7" borderId="214" xfId="68" applyFont="1" applyFill="1" applyBorder="1" applyAlignment="1">
      <alignment vertical="top"/>
    </xf>
    <xf numFmtId="0" fontId="18" fillId="7" borderId="194" xfId="68" applyFont="1" applyFill="1" applyBorder="1" applyAlignment="1">
      <alignment vertical="top"/>
    </xf>
    <xf numFmtId="0" fontId="19" fillId="7" borderId="0" xfId="68" applyFont="1" applyFill="1" applyAlignment="1">
      <alignment vertical="top"/>
    </xf>
    <xf numFmtId="0" fontId="19" fillId="7" borderId="180" xfId="68" applyFont="1" applyFill="1" applyBorder="1" applyAlignment="1">
      <alignment vertical="top"/>
    </xf>
    <xf numFmtId="0" fontId="19" fillId="7" borderId="214" xfId="68" applyFont="1" applyFill="1" applyBorder="1" applyAlignment="1">
      <alignment vertical="top"/>
    </xf>
    <xf numFmtId="0" fontId="19" fillId="7" borderId="194" xfId="68" applyFont="1" applyFill="1" applyBorder="1" applyAlignment="1">
      <alignment vertical="top"/>
    </xf>
    <xf numFmtId="0" fontId="19" fillId="7" borderId="195" xfId="68" applyFont="1" applyFill="1" applyBorder="1" applyAlignment="1">
      <alignment vertical="top"/>
    </xf>
    <xf numFmtId="0" fontId="9" fillId="0" borderId="75" xfId="68" applyFont="1" applyBorder="1" applyAlignment="1" applyProtection="1">
      <alignment horizontal="center" vertical="center"/>
      <protection locked="0"/>
    </xf>
    <xf numFmtId="0" fontId="9" fillId="0" borderId="71" xfId="68" applyFont="1" applyBorder="1" applyAlignment="1" applyProtection="1">
      <alignment horizontal="center" vertical="center"/>
      <protection locked="0"/>
    </xf>
    <xf numFmtId="0" fontId="9" fillId="0" borderId="79" xfId="68" applyFont="1" applyBorder="1" applyAlignment="1" applyProtection="1">
      <alignment horizontal="center" vertical="center"/>
      <protection locked="0"/>
    </xf>
    <xf numFmtId="0" fontId="9" fillId="0" borderId="78" xfId="68" applyFont="1" applyBorder="1" applyAlignment="1" applyProtection="1">
      <alignment horizontal="center" vertical="center"/>
      <protection locked="0"/>
    </xf>
    <xf numFmtId="0" fontId="9" fillId="0" borderId="73" xfId="68" applyFont="1" applyBorder="1" applyAlignment="1" applyProtection="1">
      <alignment horizontal="center" vertical="center"/>
      <protection locked="0"/>
    </xf>
    <xf numFmtId="0" fontId="9" fillId="0" borderId="77" xfId="68" applyFont="1" applyBorder="1" applyAlignment="1" applyProtection="1">
      <alignment horizontal="center" vertical="center"/>
      <protection locked="0"/>
    </xf>
    <xf numFmtId="0" fontId="9" fillId="0" borderId="102" xfId="68" applyFont="1" applyBorder="1" applyAlignment="1" applyProtection="1">
      <alignment horizontal="center" vertical="center"/>
      <protection locked="0"/>
    </xf>
    <xf numFmtId="0" fontId="9" fillId="0" borderId="70" xfId="68" applyFont="1" applyBorder="1" applyAlignment="1" applyProtection="1">
      <alignment horizontal="center" vertical="center"/>
      <protection locked="0"/>
    </xf>
    <xf numFmtId="0" fontId="9" fillId="0" borderId="101" xfId="68" applyFont="1" applyBorder="1" applyAlignment="1" applyProtection="1">
      <alignment horizontal="center" vertical="center"/>
      <protection locked="0"/>
    </xf>
    <xf numFmtId="14" fontId="9" fillId="0" borderId="102" xfId="68" applyNumberFormat="1" applyFont="1" applyBorder="1" applyAlignment="1" applyProtection="1">
      <alignment horizontal="center" vertical="center"/>
      <protection locked="0"/>
    </xf>
    <xf numFmtId="14" fontId="9" fillId="0" borderId="75" xfId="68" applyNumberFormat="1" applyFont="1" applyBorder="1" applyAlignment="1" applyProtection="1">
      <alignment horizontal="center" vertical="center"/>
      <protection locked="0"/>
    </xf>
    <xf numFmtId="14" fontId="9" fillId="0" borderId="78" xfId="68" applyNumberFormat="1" applyFont="1" applyBorder="1" applyAlignment="1" applyProtection="1">
      <alignment horizontal="center" vertical="center"/>
      <protection locked="0"/>
    </xf>
    <xf numFmtId="0" fontId="9" fillId="0" borderId="69" xfId="68" applyFont="1" applyBorder="1" applyAlignment="1" applyProtection="1">
      <alignment horizontal="center" vertical="center"/>
      <protection locked="0"/>
    </xf>
    <xf numFmtId="0" fontId="9" fillId="7" borderId="6" xfId="68" applyFont="1" applyFill="1" applyBorder="1" applyAlignment="1">
      <alignment horizontal="center"/>
    </xf>
    <xf numFmtId="0" fontId="19" fillId="7" borderId="7" xfId="68" applyFont="1" applyFill="1" applyBorder="1" applyAlignment="1">
      <alignment horizontal="center" vertical="top"/>
    </xf>
    <xf numFmtId="0" fontId="18" fillId="8" borderId="0" xfId="68" applyFont="1" applyFill="1"/>
    <xf numFmtId="0" fontId="14" fillId="7" borderId="0" xfId="68" applyFont="1" applyFill="1" applyAlignment="1">
      <alignment vertical="center"/>
    </xf>
    <xf numFmtId="0" fontId="9" fillId="7" borderId="0" xfId="68" applyFont="1" applyFill="1" applyAlignment="1">
      <alignment horizontal="center"/>
    </xf>
    <xf numFmtId="0" fontId="18" fillId="8" borderId="2" xfId="68" applyFont="1" applyFill="1" applyBorder="1"/>
    <xf numFmtId="0" fontId="9" fillId="0" borderId="72" xfId="68" applyFont="1" applyBorder="1" applyAlignment="1" applyProtection="1">
      <alignment horizontal="center" vertical="center"/>
      <protection locked="0"/>
    </xf>
    <xf numFmtId="0" fontId="12" fillId="7" borderId="238" xfId="68" applyFont="1" applyFill="1" applyBorder="1" applyAlignment="1">
      <alignment horizontal="center" vertical="center" wrapText="1"/>
    </xf>
    <xf numFmtId="0" fontId="12" fillId="7" borderId="177" xfId="68" applyFont="1" applyFill="1" applyBorder="1" applyAlignment="1">
      <alignment horizontal="center" vertical="center" wrapText="1"/>
    </xf>
    <xf numFmtId="0" fontId="12" fillId="7" borderId="237" xfId="68" applyFont="1" applyFill="1" applyBorder="1" applyAlignment="1">
      <alignment horizontal="center" vertical="center" wrapText="1"/>
    </xf>
    <xf numFmtId="0" fontId="12" fillId="7" borderId="32" xfId="68" applyFont="1" applyFill="1" applyBorder="1" applyAlignment="1">
      <alignment horizontal="center" vertical="center" wrapText="1"/>
    </xf>
    <xf numFmtId="0" fontId="12" fillId="7" borderId="14" xfId="68" applyFont="1" applyFill="1" applyBorder="1" applyAlignment="1">
      <alignment horizontal="center" vertical="center" wrapText="1"/>
    </xf>
    <xf numFmtId="0" fontId="12" fillId="7" borderId="25" xfId="68" applyFont="1" applyFill="1" applyBorder="1" applyAlignment="1">
      <alignment horizontal="center" vertical="center" wrapText="1"/>
    </xf>
    <xf numFmtId="0" fontId="19" fillId="7" borderId="4" xfId="68" applyFont="1" applyFill="1" applyBorder="1" applyAlignment="1">
      <alignment horizontal="center" vertical="top" wrapText="1"/>
    </xf>
    <xf numFmtId="0" fontId="19" fillId="7" borderId="5" xfId="68" applyFont="1" applyFill="1" applyBorder="1" applyAlignment="1">
      <alignment horizontal="center" vertical="top" wrapText="1"/>
    </xf>
    <xf numFmtId="0" fontId="19" fillId="7" borderId="29" xfId="68" applyFont="1" applyFill="1" applyBorder="1" applyAlignment="1">
      <alignment horizontal="center" vertical="top" wrapText="1"/>
    </xf>
    <xf numFmtId="0" fontId="19" fillId="7" borderId="36" xfId="68" applyFont="1" applyFill="1" applyBorder="1" applyAlignment="1">
      <alignment horizontal="center" vertical="top" wrapText="1"/>
    </xf>
    <xf numFmtId="0" fontId="19" fillId="7" borderId="36" xfId="68" applyFont="1" applyFill="1" applyBorder="1" applyAlignment="1">
      <alignment horizontal="center" vertical="top"/>
    </xf>
    <xf numFmtId="0" fontId="19" fillId="7" borderId="5" xfId="68" applyFont="1" applyFill="1" applyBorder="1" applyAlignment="1">
      <alignment horizontal="center" vertical="top"/>
    </xf>
    <xf numFmtId="0" fontId="19" fillId="7" borderId="29" xfId="68" applyFont="1" applyFill="1" applyBorder="1" applyAlignment="1">
      <alignment horizontal="center" vertical="top"/>
    </xf>
    <xf numFmtId="0" fontId="19" fillId="7" borderId="30" xfId="68" applyFont="1" applyFill="1" applyBorder="1" applyAlignment="1">
      <alignment horizontal="center" vertical="center" wrapText="1"/>
    </xf>
    <xf numFmtId="0" fontId="19" fillId="7" borderId="23" xfId="68" applyFont="1" applyFill="1" applyBorder="1" applyAlignment="1">
      <alignment horizontal="center" vertical="center" wrapText="1"/>
    </xf>
    <xf numFmtId="0" fontId="19" fillId="7" borderId="24" xfId="68" applyFont="1" applyFill="1" applyBorder="1" applyAlignment="1">
      <alignment horizontal="center" vertical="center" wrapText="1"/>
    </xf>
    <xf numFmtId="0" fontId="19" fillId="7" borderId="36" xfId="68" applyFont="1" applyFill="1" applyBorder="1" applyAlignment="1">
      <alignment horizontal="center" vertical="center" wrapText="1"/>
    </xf>
    <xf numFmtId="0" fontId="19" fillId="7" borderId="5" xfId="68" applyFont="1" applyFill="1" applyBorder="1" applyAlignment="1">
      <alignment horizontal="center" vertical="center" wrapText="1"/>
    </xf>
    <xf numFmtId="0" fontId="19" fillId="7" borderId="29" xfId="68" applyFont="1" applyFill="1" applyBorder="1" applyAlignment="1">
      <alignment horizontal="center" vertical="center" wrapText="1"/>
    </xf>
    <xf numFmtId="0" fontId="12" fillId="7" borderId="236" xfId="68" applyFont="1" applyFill="1" applyBorder="1" applyAlignment="1">
      <alignment horizontal="center" vertical="center" wrapText="1"/>
    </xf>
    <xf numFmtId="0" fontId="9" fillId="0" borderId="90" xfId="68" applyFont="1" applyBorder="1" applyAlignment="1" applyProtection="1">
      <alignment horizontal="center" vertical="center"/>
      <protection locked="0"/>
    </xf>
    <xf numFmtId="0" fontId="18" fillId="7" borderId="177" xfId="68" quotePrefix="1" applyFont="1" applyFill="1" applyBorder="1"/>
    <xf numFmtId="0" fontId="9" fillId="7" borderId="0" xfId="68" applyFont="1" applyFill="1" applyAlignment="1">
      <alignment vertical="top"/>
    </xf>
    <xf numFmtId="0" fontId="19" fillId="7" borderId="211" xfId="68" applyFont="1" applyFill="1" applyBorder="1" applyAlignment="1">
      <alignment vertical="top"/>
    </xf>
    <xf numFmtId="0" fontId="19" fillId="7" borderId="213" xfId="68" applyFont="1" applyFill="1" applyBorder="1" applyAlignment="1">
      <alignment vertical="top"/>
    </xf>
    <xf numFmtId="0" fontId="18" fillId="7" borderId="0" xfId="111" applyFont="1" applyFill="1" applyAlignment="1">
      <alignment horizontal="justify" vertical="top" wrapText="1"/>
    </xf>
    <xf numFmtId="0" fontId="18" fillId="7" borderId="0" xfId="111" applyFont="1" applyFill="1" applyAlignment="1">
      <alignment horizontal="justify" vertical="center"/>
    </xf>
    <xf numFmtId="0" fontId="18" fillId="7" borderId="2" xfId="111" applyFont="1" applyFill="1" applyBorder="1" applyAlignment="1">
      <alignment horizontal="justify" vertical="top" wrapText="1"/>
    </xf>
    <xf numFmtId="0" fontId="18" fillId="7" borderId="2" xfId="111" quotePrefix="1" applyFont="1" applyFill="1" applyBorder="1" applyAlignment="1">
      <alignment horizontal="right" vertical="top"/>
    </xf>
    <xf numFmtId="0" fontId="18" fillId="7" borderId="0" xfId="111" quotePrefix="1" applyFont="1" applyFill="1" applyAlignment="1">
      <alignment horizontal="right" vertical="top"/>
    </xf>
    <xf numFmtId="4" fontId="31" fillId="0" borderId="6" xfId="40" applyNumberFormat="1" applyFont="1" applyBorder="1" applyAlignment="1" applyProtection="1">
      <alignment horizontal="center" vertical="center"/>
      <protection locked="0"/>
    </xf>
    <xf numFmtId="4" fontId="31" fillId="0" borderId="69" xfId="0" applyNumberFormat="1" applyFont="1" applyBorder="1" applyAlignment="1" applyProtection="1">
      <alignment horizontal="center" vertical="center"/>
      <protection locked="0"/>
    </xf>
    <xf numFmtId="4" fontId="31" fillId="0" borderId="71" xfId="0" applyNumberFormat="1" applyFont="1" applyBorder="1" applyAlignment="1" applyProtection="1">
      <alignment horizontal="center" vertical="center"/>
      <protection locked="0"/>
    </xf>
    <xf numFmtId="4" fontId="31" fillId="0" borderId="74" xfId="0" applyNumberFormat="1" applyFont="1" applyBorder="1" applyAlignment="1" applyProtection="1">
      <alignment horizontal="center" vertical="center"/>
      <protection locked="0"/>
    </xf>
    <xf numFmtId="0" fontId="31" fillId="7" borderId="72" xfId="0" applyFont="1" applyFill="1" applyBorder="1" applyAlignment="1">
      <alignment horizontal="center" vertical="center"/>
    </xf>
    <xf numFmtId="0" fontId="31" fillId="7" borderId="73" xfId="0" applyFont="1" applyFill="1" applyBorder="1" applyAlignment="1">
      <alignment horizontal="center" vertical="center"/>
    </xf>
    <xf numFmtId="0" fontId="31" fillId="7" borderId="76" xfId="0" applyFont="1" applyFill="1" applyBorder="1" applyAlignment="1">
      <alignment horizontal="center" vertical="center"/>
    </xf>
    <xf numFmtId="4" fontId="31" fillId="0" borderId="72" xfId="0" applyNumberFormat="1" applyFont="1" applyBorder="1" applyAlignment="1" applyProtection="1">
      <alignment horizontal="center" vertical="center"/>
      <protection locked="0"/>
    </xf>
    <xf numFmtId="4" fontId="31" fillId="0" borderId="73" xfId="0" applyNumberFormat="1" applyFont="1" applyBorder="1" applyAlignment="1" applyProtection="1">
      <alignment horizontal="center" vertical="center"/>
      <protection locked="0"/>
    </xf>
    <xf numFmtId="4" fontId="31" fillId="0" borderId="76" xfId="0" applyNumberFormat="1" applyFont="1" applyBorder="1" applyAlignment="1" applyProtection="1">
      <alignment horizontal="center" vertical="center"/>
      <protection locked="0"/>
    </xf>
    <xf numFmtId="0" fontId="12" fillId="7" borderId="0" xfId="0" applyFont="1" applyFill="1" applyAlignment="1">
      <alignment horizontal="justify"/>
    </xf>
    <xf numFmtId="0" fontId="12" fillId="7" borderId="0" xfId="69" applyFont="1" applyFill="1" applyAlignment="1">
      <alignment horizontal="justify" vertical="center"/>
    </xf>
    <xf numFmtId="0" fontId="12" fillId="7" borderId="110" xfId="0" applyFont="1" applyFill="1" applyBorder="1" applyAlignment="1">
      <alignment horizontal="center" vertical="center"/>
    </xf>
    <xf numFmtId="0" fontId="12" fillId="7" borderId="111" xfId="0" applyFont="1" applyFill="1" applyBorder="1" applyAlignment="1">
      <alignment horizontal="center" vertical="center"/>
    </xf>
    <xf numFmtId="4" fontId="31" fillId="0" borderId="90" xfId="0" applyNumberFormat="1" applyFont="1" applyBorder="1" applyAlignment="1" applyProtection="1">
      <alignment horizontal="center" vertical="center"/>
      <protection locked="0"/>
    </xf>
    <xf numFmtId="4" fontId="31" fillId="0" borderId="70" xfId="0" applyNumberFormat="1" applyFont="1" applyBorder="1" applyAlignment="1" applyProtection="1">
      <alignment horizontal="center" vertical="center"/>
      <protection locked="0"/>
    </xf>
    <xf numFmtId="4" fontId="31" fillId="0" borderId="91" xfId="0" applyNumberFormat="1" applyFont="1" applyBorder="1" applyAlignment="1" applyProtection="1">
      <alignment horizontal="center" vertical="center"/>
      <protection locked="0"/>
    </xf>
    <xf numFmtId="0" fontId="9" fillId="0" borderId="15" xfId="69" applyFont="1" applyBorder="1" applyAlignment="1" applyProtection="1">
      <alignment horizontal="center" vertical="center"/>
      <protection locked="0"/>
    </xf>
    <xf numFmtId="0" fontId="9" fillId="0" borderId="16" xfId="69" applyFont="1" applyBorder="1" applyAlignment="1" applyProtection="1">
      <alignment horizontal="center" vertical="center"/>
      <protection locked="0"/>
    </xf>
    <xf numFmtId="0" fontId="9" fillId="0" borderId="19" xfId="69" applyFont="1" applyBorder="1" applyAlignment="1" applyProtection="1">
      <alignment horizontal="center" vertical="center"/>
      <protection locked="0"/>
    </xf>
    <xf numFmtId="0" fontId="31" fillId="0" borderId="15" xfId="69" applyBorder="1" applyAlignment="1" applyProtection="1">
      <alignment horizontal="center" vertical="center"/>
      <protection locked="0"/>
    </xf>
    <xf numFmtId="0" fontId="31" fillId="0" borderId="16" xfId="69" applyBorder="1" applyAlignment="1" applyProtection="1">
      <alignment horizontal="center" vertical="center"/>
      <protection locked="0"/>
    </xf>
    <xf numFmtId="0" fontId="31" fillId="0" borderId="19" xfId="69" applyBorder="1" applyAlignment="1" applyProtection="1">
      <alignment horizontal="center" vertical="center"/>
      <protection locked="0"/>
    </xf>
    <xf numFmtId="0" fontId="31" fillId="0" borderId="17" xfId="69" applyBorder="1" applyAlignment="1" applyProtection="1">
      <alignment horizontal="center"/>
      <protection locked="0"/>
    </xf>
    <xf numFmtId="0" fontId="31" fillId="0" borderId="7" xfId="69" applyBorder="1" applyAlignment="1" applyProtection="1">
      <alignment horizontal="center"/>
      <protection locked="0"/>
    </xf>
    <xf numFmtId="0" fontId="31" fillId="0" borderId="20" xfId="69" applyBorder="1" applyAlignment="1" applyProtection="1">
      <alignment horizontal="center"/>
      <protection locked="0"/>
    </xf>
    <xf numFmtId="0" fontId="31" fillId="0" borderId="37" xfId="69" applyBorder="1" applyAlignment="1" applyProtection="1">
      <alignment horizontal="center"/>
      <protection locked="0"/>
    </xf>
    <xf numFmtId="0" fontId="31" fillId="0" borderId="6" xfId="69" applyBorder="1" applyAlignment="1" applyProtection="1">
      <alignment horizontal="center"/>
      <protection locked="0"/>
    </xf>
    <xf numFmtId="0" fontId="31" fillId="0" borderId="52" xfId="69" applyBorder="1" applyAlignment="1" applyProtection="1">
      <alignment horizontal="center"/>
      <protection locked="0"/>
    </xf>
    <xf numFmtId="0" fontId="31" fillId="0" borderId="3" xfId="69" applyBorder="1" applyAlignment="1" applyProtection="1">
      <alignment horizontal="center"/>
      <protection locked="0"/>
    </xf>
    <xf numFmtId="0" fontId="31" fillId="0" borderId="0" xfId="69" applyAlignment="1" applyProtection="1">
      <alignment horizontal="center"/>
      <protection locked="0"/>
    </xf>
    <xf numFmtId="0" fontId="31" fillId="0" borderId="11" xfId="69" applyBorder="1" applyAlignment="1" applyProtection="1">
      <alignment horizontal="center"/>
      <protection locked="0"/>
    </xf>
    <xf numFmtId="0" fontId="9" fillId="7" borderId="0" xfId="40" applyFont="1" applyFill="1" applyAlignment="1">
      <alignment horizontal="center" vertical="center"/>
    </xf>
    <xf numFmtId="0" fontId="31" fillId="0" borderId="6" xfId="40" applyFont="1" applyBorder="1" applyAlignment="1" applyProtection="1">
      <alignment horizontal="center"/>
      <protection locked="0"/>
    </xf>
    <xf numFmtId="0" fontId="83" fillId="7" borderId="7" xfId="40" applyFont="1" applyFill="1" applyBorder="1" applyAlignment="1">
      <alignment horizontal="left" vertical="center" wrapText="1"/>
    </xf>
    <xf numFmtId="0" fontId="31" fillId="7" borderId="7" xfId="40" applyFont="1" applyFill="1" applyBorder="1" applyAlignment="1">
      <alignment vertical="top" wrapText="1"/>
    </xf>
    <xf numFmtId="0" fontId="31" fillId="7" borderId="6" xfId="40" applyFont="1" applyFill="1" applyBorder="1" applyAlignment="1">
      <alignment vertical="top" wrapText="1"/>
    </xf>
    <xf numFmtId="0" fontId="22" fillId="7" borderId="8" xfId="40" applyFont="1" applyFill="1" applyBorder="1" applyAlignment="1">
      <alignment horizontal="center" vertical="center"/>
    </xf>
    <xf numFmtId="0" fontId="22" fillId="7" borderId="21" xfId="40" applyFont="1" applyFill="1" applyBorder="1" applyAlignment="1">
      <alignment horizontal="center" vertical="center"/>
    </xf>
    <xf numFmtId="0" fontId="22" fillId="7" borderId="9" xfId="40" applyFont="1" applyFill="1" applyBorder="1" applyAlignment="1">
      <alignment horizontal="center" vertical="center"/>
    </xf>
    <xf numFmtId="0" fontId="12" fillId="7" borderId="1" xfId="69" applyFont="1" applyFill="1" applyBorder="1" applyAlignment="1">
      <alignment horizontal="center" vertical="center" wrapText="1"/>
    </xf>
    <xf numFmtId="0" fontId="31" fillId="7" borderId="2" xfId="69" applyFill="1" applyBorder="1"/>
    <xf numFmtId="0" fontId="31" fillId="7" borderId="10" xfId="69" applyFill="1" applyBorder="1"/>
    <xf numFmtId="0" fontId="31" fillId="0" borderId="13" xfId="69" applyBorder="1" applyAlignment="1" applyProtection="1">
      <alignment horizontal="center" vertical="center"/>
      <protection locked="0"/>
    </xf>
    <xf numFmtId="0" fontId="31" fillId="0" borderId="14" xfId="69" applyBorder="1" applyAlignment="1" applyProtection="1">
      <alignment horizontal="center" vertical="center"/>
      <protection locked="0"/>
    </xf>
    <xf numFmtId="0" fontId="31" fillId="0" borderId="18" xfId="69" applyBorder="1" applyAlignment="1" applyProtection="1">
      <alignment horizontal="center" vertical="center"/>
      <protection locked="0"/>
    </xf>
    <xf numFmtId="0" fontId="12" fillId="7" borderId="0" xfId="92" applyFont="1" applyFill="1" applyAlignment="1">
      <alignment horizontal="right"/>
    </xf>
    <xf numFmtId="0" fontId="17" fillId="7" borderId="0" xfId="69" quotePrefix="1" applyFont="1" applyFill="1" applyAlignment="1">
      <alignment horizontal="center" vertical="center"/>
    </xf>
    <xf numFmtId="0" fontId="9" fillId="0" borderId="6" xfId="20" applyFont="1" applyBorder="1" applyAlignment="1" applyProtection="1">
      <alignment horizontal="center"/>
      <protection locked="0"/>
    </xf>
    <xf numFmtId="0" fontId="22" fillId="7" borderId="0" xfId="111" applyFont="1" applyFill="1" applyAlignment="1">
      <alignment horizontal="justify" wrapText="1"/>
    </xf>
    <xf numFmtId="3" fontId="12" fillId="7" borderId="114" xfId="40" applyNumberFormat="1" applyFont="1" applyFill="1" applyBorder="1" applyAlignment="1">
      <alignment horizontal="center" vertical="center"/>
    </xf>
    <xf numFmtId="3" fontId="12" fillId="7" borderId="115" xfId="40" applyNumberFormat="1" applyFont="1" applyFill="1" applyBorder="1" applyAlignment="1">
      <alignment horizontal="center" vertical="center"/>
    </xf>
    <xf numFmtId="3" fontId="12" fillId="7" borderId="122" xfId="40" applyNumberFormat="1" applyFont="1" applyFill="1" applyBorder="1" applyAlignment="1">
      <alignment horizontal="center" vertical="center"/>
    </xf>
    <xf numFmtId="3" fontId="12" fillId="7" borderId="123" xfId="40" applyNumberFormat="1" applyFont="1" applyFill="1" applyBorder="1" applyAlignment="1">
      <alignment horizontal="center" vertical="center"/>
    </xf>
    <xf numFmtId="3" fontId="12" fillId="7" borderId="118" xfId="40" applyNumberFormat="1" applyFont="1" applyFill="1" applyBorder="1" applyAlignment="1">
      <alignment horizontal="center" vertical="center"/>
    </xf>
    <xf numFmtId="3" fontId="12" fillId="7" borderId="126" xfId="40" applyNumberFormat="1" applyFont="1" applyFill="1" applyBorder="1" applyAlignment="1">
      <alignment horizontal="center" vertical="center"/>
    </xf>
    <xf numFmtId="3" fontId="12" fillId="7" borderId="127" xfId="40" applyNumberFormat="1" applyFont="1" applyFill="1" applyBorder="1" applyAlignment="1">
      <alignment horizontal="center" vertical="center"/>
    </xf>
    <xf numFmtId="3" fontId="31" fillId="0" borderId="17" xfId="40" applyNumberFormat="1" applyFont="1" applyBorder="1" applyAlignment="1" applyProtection="1">
      <alignment horizontal="center" vertical="center"/>
      <protection locked="0"/>
    </xf>
    <xf numFmtId="3" fontId="31" fillId="0" borderId="27" xfId="40" applyNumberFormat="1" applyFont="1" applyBorder="1" applyAlignment="1" applyProtection="1">
      <alignment horizontal="center" vertical="center"/>
      <protection locked="0"/>
    </xf>
    <xf numFmtId="3" fontId="31" fillId="0" borderId="34" xfId="40" applyNumberFormat="1" applyFont="1" applyBorder="1" applyAlignment="1" applyProtection="1">
      <alignment horizontal="center" vertical="center"/>
      <protection locked="0"/>
    </xf>
    <xf numFmtId="3" fontId="31" fillId="0" borderId="20" xfId="40" applyNumberFormat="1" applyFont="1" applyBorder="1" applyAlignment="1" applyProtection="1">
      <alignment horizontal="center" vertical="center"/>
      <protection locked="0"/>
    </xf>
    <xf numFmtId="3" fontId="31" fillId="0" borderId="48" xfId="40" applyNumberFormat="1" applyFont="1" applyBorder="1" applyAlignment="1" applyProtection="1">
      <alignment horizontal="center" vertical="center"/>
      <protection locked="0"/>
    </xf>
    <xf numFmtId="3" fontId="12" fillId="7" borderId="45" xfId="40" applyNumberFormat="1" applyFont="1" applyFill="1" applyBorder="1" applyAlignment="1">
      <alignment horizontal="center" vertical="center"/>
    </xf>
    <xf numFmtId="3" fontId="12" fillId="7" borderId="7" xfId="40" applyNumberFormat="1" applyFont="1" applyFill="1" applyBorder="1" applyAlignment="1">
      <alignment horizontal="center" vertical="center"/>
    </xf>
    <xf numFmtId="3" fontId="12" fillId="7" borderId="27" xfId="40" applyNumberFormat="1" applyFont="1" applyFill="1" applyBorder="1" applyAlignment="1">
      <alignment horizontal="center" vertical="center"/>
    </xf>
    <xf numFmtId="3" fontId="12" fillId="7" borderId="34" xfId="40" applyNumberFormat="1" applyFont="1" applyFill="1" applyBorder="1" applyAlignment="1">
      <alignment horizontal="center" vertical="center"/>
    </xf>
    <xf numFmtId="3" fontId="12" fillId="7" borderId="20" xfId="40" applyNumberFormat="1" applyFont="1" applyFill="1" applyBorder="1" applyAlignment="1">
      <alignment horizontal="center" vertical="center"/>
    </xf>
    <xf numFmtId="3" fontId="31" fillId="0" borderId="15" xfId="40" applyNumberFormat="1" applyFont="1" applyBorder="1" applyAlignment="1" applyProtection="1">
      <alignment horizontal="center" vertical="center"/>
      <protection locked="0"/>
    </xf>
    <xf numFmtId="3" fontId="31" fillId="0" borderId="16" xfId="40" applyNumberFormat="1" applyFont="1" applyBorder="1" applyAlignment="1" applyProtection="1">
      <alignment horizontal="center" vertical="center"/>
      <protection locked="0"/>
    </xf>
    <xf numFmtId="3" fontId="31" fillId="0" borderId="26" xfId="40" applyNumberFormat="1" applyFont="1" applyBorder="1" applyAlignment="1" applyProtection="1">
      <alignment horizontal="center" vertical="center"/>
      <protection locked="0"/>
    </xf>
    <xf numFmtId="3" fontId="31" fillId="0" borderId="33" xfId="40" applyNumberFormat="1" applyFont="1" applyBorder="1" applyAlignment="1" applyProtection="1">
      <alignment horizontal="center" vertical="center"/>
      <protection locked="0"/>
    </xf>
    <xf numFmtId="3" fontId="31" fillId="0" borderId="19" xfId="40" applyNumberFormat="1" applyFont="1" applyBorder="1" applyAlignment="1" applyProtection="1">
      <alignment horizontal="center" vertical="center"/>
      <protection locked="0"/>
    </xf>
    <xf numFmtId="3" fontId="31" fillId="0" borderId="42" xfId="40" applyNumberFormat="1" applyFont="1" applyBorder="1" applyAlignment="1" applyProtection="1">
      <alignment horizontal="center" vertical="center"/>
      <protection locked="0"/>
    </xf>
    <xf numFmtId="3" fontId="12" fillId="7" borderId="43" xfId="40" applyNumberFormat="1" applyFont="1" applyFill="1" applyBorder="1" applyAlignment="1">
      <alignment horizontal="center" vertical="center"/>
    </xf>
    <xf numFmtId="3" fontId="12" fillId="7" borderId="16" xfId="40" applyNumberFormat="1" applyFont="1" applyFill="1" applyBorder="1" applyAlignment="1">
      <alignment horizontal="center" vertical="center"/>
    </xf>
    <xf numFmtId="3" fontId="12" fillId="7" borderId="26" xfId="40" applyNumberFormat="1" applyFont="1" applyFill="1" applyBorder="1" applyAlignment="1">
      <alignment horizontal="center" vertical="center"/>
    </xf>
    <xf numFmtId="3" fontId="12" fillId="7" borderId="33" xfId="40" applyNumberFormat="1" applyFont="1" applyFill="1" applyBorder="1" applyAlignment="1">
      <alignment horizontal="center" vertical="center"/>
    </xf>
    <xf numFmtId="3" fontId="12" fillId="7" borderId="19" xfId="40" applyNumberFormat="1" applyFont="1" applyFill="1" applyBorder="1" applyAlignment="1">
      <alignment horizontal="center" vertical="center"/>
    </xf>
    <xf numFmtId="0" fontId="28" fillId="7" borderId="13" xfId="40" applyFont="1" applyFill="1" applyBorder="1" applyAlignment="1">
      <alignment horizontal="center" vertical="center"/>
    </xf>
    <xf numFmtId="0" fontId="28" fillId="7" borderId="14" xfId="40" applyFont="1" applyFill="1" applyBorder="1" applyAlignment="1">
      <alignment horizontal="center" vertical="center"/>
    </xf>
    <xf numFmtId="0" fontId="28" fillId="7" borderId="18" xfId="40" applyFont="1" applyFill="1" applyBorder="1" applyAlignment="1">
      <alignment horizontal="center" vertical="center"/>
    </xf>
    <xf numFmtId="0" fontId="12" fillId="7" borderId="3" xfId="40" applyFont="1" applyFill="1" applyBorder="1" applyAlignment="1">
      <alignment horizontal="center" vertical="center" wrapText="1"/>
    </xf>
    <xf numFmtId="0" fontId="12" fillId="7" borderId="0" xfId="40" applyFont="1" applyFill="1" applyAlignment="1">
      <alignment horizontal="center" vertical="center" wrapText="1"/>
    </xf>
    <xf numFmtId="0" fontId="12" fillId="7" borderId="11" xfId="40" applyFont="1" applyFill="1" applyBorder="1" applyAlignment="1">
      <alignment horizontal="center" vertical="center" wrapText="1"/>
    </xf>
    <xf numFmtId="0" fontId="12" fillId="7" borderId="10" xfId="40" applyFont="1" applyFill="1" applyBorder="1" applyAlignment="1">
      <alignment horizontal="center" vertical="center"/>
    </xf>
    <xf numFmtId="0" fontId="12" fillId="7" borderId="37" xfId="40" applyFont="1" applyFill="1" applyBorder="1" applyAlignment="1">
      <alignment horizontal="center" vertical="center"/>
    </xf>
    <xf numFmtId="0" fontId="12" fillId="7" borderId="6" xfId="40" applyFont="1" applyFill="1" applyBorder="1" applyAlignment="1">
      <alignment horizontal="center" vertical="center"/>
    </xf>
    <xf numFmtId="0" fontId="12" fillId="7" borderId="52" xfId="40" applyFont="1" applyFill="1" applyBorder="1" applyAlignment="1">
      <alignment horizontal="center" vertical="center"/>
    </xf>
    <xf numFmtId="0" fontId="12" fillId="7" borderId="1" xfId="2" applyFont="1" applyFill="1" applyBorder="1" applyAlignment="1">
      <alignment horizontal="center" vertical="center" wrapText="1" shrinkToFit="1"/>
    </xf>
    <xf numFmtId="0" fontId="12" fillId="7" borderId="2" xfId="2" applyFont="1" applyFill="1" applyBorder="1" applyAlignment="1">
      <alignment horizontal="center" vertical="center" wrapText="1" shrinkToFit="1"/>
    </xf>
    <xf numFmtId="0" fontId="12" fillId="7" borderId="103" xfId="2" applyFont="1" applyFill="1" applyBorder="1" applyAlignment="1">
      <alignment horizontal="center" vertical="center" wrapText="1" shrinkToFit="1"/>
    </xf>
    <xf numFmtId="0" fontId="12" fillId="7" borderId="37" xfId="2" applyFont="1" applyFill="1" applyBorder="1" applyAlignment="1">
      <alignment horizontal="center" vertical="center" wrapText="1" shrinkToFit="1"/>
    </xf>
    <xf numFmtId="0" fontId="12" fillId="7" borderId="6" xfId="2" applyFont="1" applyFill="1" applyBorder="1" applyAlignment="1">
      <alignment horizontal="center" vertical="center" wrapText="1" shrinkToFit="1"/>
    </xf>
    <xf numFmtId="0" fontId="12" fillId="7" borderId="46" xfId="2" applyFont="1" applyFill="1" applyBorder="1" applyAlignment="1">
      <alignment horizontal="center" vertical="center" wrapText="1" shrinkToFit="1"/>
    </xf>
    <xf numFmtId="0" fontId="12" fillId="7" borderId="104" xfId="2" applyFont="1" applyFill="1" applyBorder="1" applyAlignment="1">
      <alignment horizontal="center" vertical="center" wrapText="1"/>
    </xf>
    <xf numFmtId="0" fontId="12" fillId="7" borderId="2" xfId="2" applyFont="1" applyFill="1" applyBorder="1" applyAlignment="1">
      <alignment horizontal="center" vertical="center" wrapText="1"/>
    </xf>
    <xf numFmtId="0" fontId="12" fillId="7" borderId="10" xfId="2" applyFont="1" applyFill="1" applyBorder="1" applyAlignment="1">
      <alignment horizontal="center" vertical="center" wrapText="1"/>
    </xf>
    <xf numFmtId="0" fontId="12" fillId="7" borderId="47" xfId="2" applyFont="1" applyFill="1" applyBorder="1" applyAlignment="1">
      <alignment horizontal="center" vertical="center" wrapText="1"/>
    </xf>
    <xf numFmtId="0" fontId="12" fillId="7" borderId="6" xfId="2" applyFont="1" applyFill="1" applyBorder="1" applyAlignment="1">
      <alignment horizontal="center" vertical="center" wrapText="1"/>
    </xf>
    <xf numFmtId="0" fontId="12" fillId="7" borderId="52" xfId="2" applyFont="1" applyFill="1" applyBorder="1" applyAlignment="1">
      <alignment horizontal="center" vertical="center" wrapText="1"/>
    </xf>
    <xf numFmtId="0" fontId="12" fillId="7" borderId="30" xfId="40" applyFont="1" applyFill="1" applyBorder="1" applyAlignment="1">
      <alignment horizontal="center" vertical="center"/>
    </xf>
    <xf numFmtId="0" fontId="12" fillId="7" borderId="31" xfId="40" applyFont="1" applyFill="1" applyBorder="1" applyAlignment="1">
      <alignment horizontal="center" vertical="center"/>
    </xf>
    <xf numFmtId="0" fontId="12" fillId="7" borderId="39" xfId="40" applyFont="1" applyFill="1" applyBorder="1" applyAlignment="1">
      <alignment horizontal="center" vertical="center"/>
    </xf>
    <xf numFmtId="3" fontId="31" fillId="0" borderId="4" xfId="40" applyNumberFormat="1" applyFont="1" applyBorder="1" applyAlignment="1" applyProtection="1">
      <alignment horizontal="center" vertical="center"/>
      <protection locked="0"/>
    </xf>
    <xf numFmtId="3" fontId="31" fillId="0" borderId="5" xfId="40" applyNumberFormat="1" applyFont="1" applyBorder="1" applyAlignment="1" applyProtection="1">
      <alignment horizontal="center" vertical="center"/>
      <protection locked="0"/>
    </xf>
    <xf numFmtId="3" fontId="31" fillId="0" borderId="29" xfId="40" applyNumberFormat="1" applyFont="1" applyBorder="1" applyAlignment="1" applyProtection="1">
      <alignment horizontal="center" vertical="center"/>
      <protection locked="0"/>
    </xf>
    <xf numFmtId="3" fontId="31" fillId="0" borderId="36" xfId="40" applyNumberFormat="1" applyFont="1" applyBorder="1" applyAlignment="1" applyProtection="1">
      <alignment horizontal="center" vertical="center"/>
      <protection locked="0"/>
    </xf>
    <xf numFmtId="3" fontId="31" fillId="0" borderId="12" xfId="40" applyNumberFormat="1" applyFont="1" applyBorder="1" applyAlignment="1" applyProtection="1">
      <alignment horizontal="center" vertical="center"/>
      <protection locked="0"/>
    </xf>
    <xf numFmtId="3" fontId="31" fillId="0" borderId="50" xfId="40" applyNumberFormat="1" applyFont="1" applyBorder="1" applyAlignment="1" applyProtection="1">
      <alignment horizontal="center" vertical="center"/>
      <protection locked="0"/>
    </xf>
    <xf numFmtId="3" fontId="12" fillId="7" borderId="51" xfId="40" applyNumberFormat="1" applyFont="1" applyFill="1" applyBorder="1" applyAlignment="1">
      <alignment horizontal="center" vertical="center"/>
    </xf>
    <xf numFmtId="3" fontId="12" fillId="7" borderId="5" xfId="40" applyNumberFormat="1" applyFont="1" applyFill="1" applyBorder="1" applyAlignment="1">
      <alignment horizontal="center" vertical="center"/>
    </xf>
    <xf numFmtId="3" fontId="12" fillId="7" borderId="29" xfId="40" applyNumberFormat="1" applyFont="1" applyFill="1" applyBorder="1" applyAlignment="1">
      <alignment horizontal="center" vertical="center"/>
    </xf>
    <xf numFmtId="3" fontId="12" fillId="7" borderId="36" xfId="40" applyNumberFormat="1" applyFont="1" applyFill="1" applyBorder="1" applyAlignment="1">
      <alignment horizontal="center" vertical="center"/>
    </xf>
    <xf numFmtId="3" fontId="12" fillId="7" borderId="12" xfId="40" applyNumberFormat="1" applyFont="1" applyFill="1" applyBorder="1" applyAlignment="1">
      <alignment horizontal="center" vertical="center"/>
    </xf>
    <xf numFmtId="3" fontId="31" fillId="0" borderId="13" xfId="40" applyNumberFormat="1" applyFont="1" applyBorder="1" applyAlignment="1" applyProtection="1">
      <alignment horizontal="center" vertical="center"/>
      <protection locked="0"/>
    </xf>
    <xf numFmtId="3" fontId="31" fillId="0" borderId="14" xfId="40" applyNumberFormat="1" applyFont="1" applyBorder="1" applyAlignment="1" applyProtection="1">
      <alignment horizontal="center" vertical="center"/>
      <protection locked="0"/>
    </xf>
    <xf numFmtId="3" fontId="31" fillId="0" borderId="25" xfId="40" applyNumberFormat="1" applyFont="1" applyBorder="1" applyAlignment="1" applyProtection="1">
      <alignment horizontal="center" vertical="center"/>
      <protection locked="0"/>
    </xf>
    <xf numFmtId="3" fontId="31" fillId="0" borderId="32" xfId="40" applyNumberFormat="1" applyFont="1" applyBorder="1" applyAlignment="1" applyProtection="1">
      <alignment horizontal="center" vertical="center"/>
      <protection locked="0"/>
    </xf>
    <xf numFmtId="3" fontId="31" fillId="0" borderId="18" xfId="40" applyNumberFormat="1" applyFont="1" applyBorder="1" applyAlignment="1" applyProtection="1">
      <alignment horizontal="center" vertical="center"/>
      <protection locked="0"/>
    </xf>
    <xf numFmtId="3" fontId="31" fillId="0" borderId="40" xfId="40" applyNumberFormat="1" applyFont="1" applyBorder="1" applyAlignment="1" applyProtection="1">
      <alignment horizontal="center" vertical="center"/>
      <protection locked="0"/>
    </xf>
    <xf numFmtId="3" fontId="12" fillId="7" borderId="41" xfId="40" applyNumberFormat="1" applyFont="1" applyFill="1" applyBorder="1" applyAlignment="1">
      <alignment horizontal="center" vertical="center"/>
    </xf>
    <xf numFmtId="3" fontId="12" fillId="7" borderId="14" xfId="40" applyNumberFormat="1" applyFont="1" applyFill="1" applyBorder="1" applyAlignment="1">
      <alignment horizontal="center" vertical="center"/>
    </xf>
    <xf numFmtId="3" fontId="12" fillId="7" borderId="25" xfId="40" applyNumberFormat="1" applyFont="1" applyFill="1" applyBorder="1" applyAlignment="1">
      <alignment horizontal="center" vertical="center"/>
    </xf>
    <xf numFmtId="3" fontId="12" fillId="7" borderId="32" xfId="40" applyNumberFormat="1" applyFont="1" applyFill="1" applyBorder="1" applyAlignment="1">
      <alignment horizontal="center" vertical="center"/>
    </xf>
    <xf numFmtId="3" fontId="12" fillId="7" borderId="18" xfId="40" applyNumberFormat="1" applyFont="1" applyFill="1" applyBorder="1" applyAlignment="1">
      <alignment horizontal="center" vertical="center"/>
    </xf>
    <xf numFmtId="0" fontId="12" fillId="7" borderId="3" xfId="40" applyFont="1" applyFill="1" applyBorder="1" applyAlignment="1">
      <alignment horizontal="center" vertical="center"/>
    </xf>
    <xf numFmtId="0" fontId="12" fillId="7" borderId="0" xfId="40" applyFont="1" applyFill="1" applyAlignment="1">
      <alignment horizontal="center" vertical="center"/>
    </xf>
    <xf numFmtId="0" fontId="12" fillId="7" borderId="11" xfId="40" applyFont="1" applyFill="1" applyBorder="1" applyAlignment="1">
      <alignment horizontal="center" vertical="center"/>
    </xf>
    <xf numFmtId="0" fontId="12" fillId="7" borderId="4" xfId="40" applyFont="1" applyFill="1" applyBorder="1" applyAlignment="1">
      <alignment horizontal="center" vertical="center"/>
    </xf>
    <xf numFmtId="0" fontId="12" fillId="7" borderId="5" xfId="40" applyFont="1" applyFill="1" applyBorder="1" applyAlignment="1">
      <alignment horizontal="center" vertical="center"/>
    </xf>
    <xf numFmtId="0" fontId="12" fillId="7" borderId="12" xfId="40" applyFont="1" applyFill="1" applyBorder="1" applyAlignment="1">
      <alignment horizontal="center" vertical="center"/>
    </xf>
    <xf numFmtId="0" fontId="12" fillId="7" borderId="103" xfId="40" applyFont="1" applyFill="1" applyBorder="1" applyAlignment="1">
      <alignment horizontal="center" vertical="center"/>
    </xf>
    <xf numFmtId="0" fontId="12" fillId="7" borderId="46" xfId="40" applyFont="1" applyFill="1" applyBorder="1" applyAlignment="1">
      <alignment horizontal="center" vertical="center"/>
    </xf>
    <xf numFmtId="3" fontId="31" fillId="0" borderId="6" xfId="40" applyNumberFormat="1" applyFont="1" applyBorder="1" applyAlignment="1" applyProtection="1">
      <alignment horizontal="center"/>
      <protection locked="0"/>
    </xf>
    <xf numFmtId="0" fontId="18" fillId="7" borderId="6" xfId="80" applyFont="1" applyFill="1" applyBorder="1" applyAlignment="1">
      <alignment horizontal="center" wrapText="1"/>
    </xf>
    <xf numFmtId="0" fontId="31" fillId="7" borderId="1" xfId="85" applyFill="1" applyBorder="1" applyAlignment="1">
      <alignment horizontal="center" vertical="center" wrapText="1"/>
    </xf>
    <xf numFmtId="0" fontId="31" fillId="7" borderId="2" xfId="85" applyFill="1" applyBorder="1" applyAlignment="1">
      <alignment horizontal="center" vertical="center" wrapText="1"/>
    </xf>
    <xf numFmtId="0" fontId="31" fillId="7" borderId="10" xfId="85" applyFill="1" applyBorder="1" applyAlignment="1">
      <alignment horizontal="center" vertical="center" wrapText="1"/>
    </xf>
    <xf numFmtId="0" fontId="31" fillId="7" borderId="4" xfId="85" applyFill="1" applyBorder="1" applyAlignment="1">
      <alignment horizontal="center" vertical="center" wrapText="1"/>
    </xf>
    <xf numFmtId="0" fontId="31" fillId="7" borderId="5" xfId="85" applyFill="1" applyBorder="1" applyAlignment="1">
      <alignment horizontal="center" vertical="center" wrapText="1"/>
    </xf>
    <xf numFmtId="0" fontId="31" fillId="7" borderId="12" xfId="85" applyFill="1" applyBorder="1" applyAlignment="1">
      <alignment horizontal="center" vertical="center" wrapText="1"/>
    </xf>
    <xf numFmtId="0" fontId="31" fillId="7" borderId="1" xfId="40" applyFont="1" applyFill="1" applyBorder="1" applyAlignment="1">
      <alignment horizontal="center" vertical="center" wrapText="1"/>
    </xf>
    <xf numFmtId="0" fontId="31" fillId="7" borderId="2" xfId="40" applyFont="1" applyFill="1" applyBorder="1" applyAlignment="1">
      <alignment horizontal="center" vertical="center" wrapText="1"/>
    </xf>
    <xf numFmtId="0" fontId="31" fillId="7" borderId="10" xfId="40" applyFont="1" applyFill="1" applyBorder="1" applyAlignment="1">
      <alignment horizontal="center" vertical="center" wrapText="1"/>
    </xf>
    <xf numFmtId="0" fontId="31" fillId="7" borderId="4" xfId="40" applyFont="1" applyFill="1" applyBorder="1" applyAlignment="1">
      <alignment horizontal="center" vertical="center" wrapText="1"/>
    </xf>
    <xf numFmtId="0" fontId="31" fillId="7" borderId="5" xfId="40" applyFont="1" applyFill="1" applyBorder="1" applyAlignment="1">
      <alignment horizontal="center" vertical="center" wrapText="1"/>
    </xf>
    <xf numFmtId="0" fontId="31" fillId="7" borderId="12" xfId="40" applyFont="1" applyFill="1" applyBorder="1" applyAlignment="1">
      <alignment horizontal="center" vertical="center" wrapText="1"/>
    </xf>
    <xf numFmtId="0" fontId="31" fillId="7" borderId="13" xfId="85" applyFill="1" applyBorder="1" applyAlignment="1">
      <alignment horizontal="left" vertical="center" indent="2"/>
    </xf>
    <xf numFmtId="0" fontId="31" fillId="7" borderId="14" xfId="85" applyFill="1" applyBorder="1" applyAlignment="1">
      <alignment horizontal="left" vertical="center" indent="2"/>
    </xf>
    <xf numFmtId="0" fontId="31" fillId="7" borderId="18" xfId="85" applyFill="1" applyBorder="1" applyAlignment="1">
      <alignment horizontal="left" vertical="center" indent="2"/>
    </xf>
    <xf numFmtId="0" fontId="31" fillId="7" borderId="15" xfId="85" applyFill="1" applyBorder="1" applyAlignment="1">
      <alignment horizontal="left" vertical="center" indent="2"/>
    </xf>
    <xf numFmtId="0" fontId="31" fillId="7" borderId="16" xfId="85" applyFill="1" applyBorder="1" applyAlignment="1">
      <alignment horizontal="left" vertical="center" indent="2"/>
    </xf>
    <xf numFmtId="0" fontId="31" fillId="7" borderId="19" xfId="85" applyFill="1" applyBorder="1" applyAlignment="1">
      <alignment horizontal="left" vertical="center" indent="2"/>
    </xf>
    <xf numFmtId="0" fontId="31" fillId="7" borderId="17" xfId="85" applyFill="1" applyBorder="1" applyAlignment="1">
      <alignment horizontal="left" vertical="center" indent="2"/>
    </xf>
    <xf numFmtId="0" fontId="31" fillId="7" borderId="7" xfId="85" applyFill="1" applyBorder="1" applyAlignment="1">
      <alignment horizontal="left" vertical="center" indent="2"/>
    </xf>
    <xf numFmtId="0" fontId="31" fillId="0" borderId="16" xfId="85" applyBorder="1" applyAlignment="1" applyProtection="1">
      <alignment horizontal="center" vertical="center"/>
      <protection locked="0"/>
    </xf>
    <xf numFmtId="0" fontId="31" fillId="0" borderId="19" xfId="85" applyBorder="1" applyAlignment="1" applyProtection="1">
      <alignment horizontal="center" vertical="center"/>
      <protection locked="0"/>
    </xf>
    <xf numFmtId="0" fontId="89" fillId="7" borderId="4" xfId="40" applyFont="1" applyFill="1" applyBorder="1" applyAlignment="1">
      <alignment horizontal="center" vertical="top"/>
    </xf>
    <xf numFmtId="0" fontId="89" fillId="7" borderId="5" xfId="40" applyFont="1" applyFill="1" applyBorder="1" applyAlignment="1">
      <alignment horizontal="center" vertical="top"/>
    </xf>
    <xf numFmtId="0" fontId="89" fillId="7" borderId="12" xfId="40" applyFont="1" applyFill="1" applyBorder="1" applyAlignment="1">
      <alignment horizontal="center" vertical="top"/>
    </xf>
    <xf numFmtId="0" fontId="31" fillId="0" borderId="6" xfId="42" applyFont="1" applyBorder="1" applyAlignment="1" applyProtection="1">
      <alignment horizontal="center"/>
      <protection locked="0"/>
    </xf>
    <xf numFmtId="0" fontId="31" fillId="7" borderId="15" xfId="40" applyFont="1" applyFill="1" applyBorder="1" applyAlignment="1">
      <alignment horizontal="left" vertical="center" wrapText="1" indent="1"/>
    </xf>
    <xf numFmtId="0" fontId="31" fillId="7" borderId="16" xfId="40" applyFont="1" applyFill="1" applyBorder="1" applyAlignment="1">
      <alignment horizontal="left" vertical="center" wrapText="1" indent="1"/>
    </xf>
    <xf numFmtId="0" fontId="31" fillId="7" borderId="19" xfId="40" applyFont="1" applyFill="1" applyBorder="1" applyAlignment="1">
      <alignment horizontal="left" vertical="center" wrapText="1" indent="1"/>
    </xf>
    <xf numFmtId="0" fontId="31" fillId="7" borderId="22" xfId="40" applyFont="1" applyFill="1" applyBorder="1" applyAlignment="1">
      <alignment horizontal="left" vertical="center" wrapText="1" indent="1"/>
    </xf>
    <xf numFmtId="0" fontId="31" fillId="7" borderId="23" xfId="40" applyFont="1" applyFill="1" applyBorder="1" applyAlignment="1">
      <alignment horizontal="left" vertical="center" wrapText="1" indent="1"/>
    </xf>
    <xf numFmtId="0" fontId="31" fillId="7" borderId="31" xfId="40" applyFont="1" applyFill="1" applyBorder="1" applyAlignment="1">
      <alignment horizontal="left" vertical="center" wrapText="1" indent="1"/>
    </xf>
    <xf numFmtId="3" fontId="31" fillId="0" borderId="22" xfId="40" applyNumberFormat="1" applyFont="1" applyBorder="1" applyAlignment="1" applyProtection="1">
      <alignment horizontal="center" vertical="center"/>
      <protection locked="0"/>
    </xf>
    <xf numFmtId="3" fontId="31" fillId="0" borderId="23" xfId="40" applyNumberFormat="1" applyFont="1" applyBorder="1" applyAlignment="1" applyProtection="1">
      <alignment horizontal="center" vertical="center"/>
      <protection locked="0"/>
    </xf>
    <xf numFmtId="3" fontId="31" fillId="0" borderId="31" xfId="40" applyNumberFormat="1" applyFont="1" applyBorder="1" applyAlignment="1" applyProtection="1">
      <alignment horizontal="center" vertical="center"/>
      <protection locked="0"/>
    </xf>
    <xf numFmtId="3" fontId="31" fillId="0" borderId="38" xfId="40" applyNumberFormat="1" applyFont="1" applyBorder="1" applyAlignment="1" applyProtection="1">
      <alignment horizontal="center" vertical="center"/>
      <protection locked="0"/>
    </xf>
    <xf numFmtId="3" fontId="12" fillId="7" borderId="39" xfId="40" applyNumberFormat="1" applyFont="1" applyFill="1" applyBorder="1" applyAlignment="1">
      <alignment horizontal="center" vertical="center"/>
    </xf>
    <xf numFmtId="3" fontId="12" fillId="7" borderId="23" xfId="40" applyNumberFormat="1" applyFont="1" applyFill="1" applyBorder="1" applyAlignment="1">
      <alignment horizontal="center" vertical="center"/>
    </xf>
    <xf numFmtId="3" fontId="12" fillId="7" borderId="31" xfId="40" applyNumberFormat="1" applyFont="1" applyFill="1" applyBorder="1" applyAlignment="1">
      <alignment horizontal="center" vertical="center"/>
    </xf>
    <xf numFmtId="0" fontId="12" fillId="7" borderId="50" xfId="40" applyFont="1" applyFill="1" applyBorder="1" applyAlignment="1">
      <alignment horizontal="center" vertical="center"/>
    </xf>
    <xf numFmtId="0" fontId="31" fillId="7" borderId="13" xfId="40" applyFont="1" applyFill="1" applyBorder="1" applyAlignment="1">
      <alignment horizontal="left" vertical="center" wrapText="1" indent="1"/>
    </xf>
    <xf numFmtId="0" fontId="31" fillId="7" borderId="14" xfId="40" applyFont="1" applyFill="1" applyBorder="1" applyAlignment="1">
      <alignment horizontal="left" vertical="center" wrapText="1" indent="1"/>
    </xf>
    <xf numFmtId="0" fontId="31" fillId="7" borderId="18" xfId="40" applyFont="1" applyFill="1" applyBorder="1" applyAlignment="1">
      <alignment horizontal="left" vertical="center" wrapText="1" indent="1"/>
    </xf>
    <xf numFmtId="3" fontId="31" fillId="0" borderId="1" xfId="40" applyNumberFormat="1" applyFont="1" applyBorder="1" applyAlignment="1" applyProtection="1">
      <alignment horizontal="center" vertical="center"/>
      <protection locked="0"/>
    </xf>
    <xf numFmtId="3" fontId="31" fillId="0" borderId="2" xfId="40" applyNumberFormat="1" applyFont="1" applyBorder="1" applyAlignment="1" applyProtection="1">
      <alignment horizontal="center" vertical="center"/>
      <protection locked="0"/>
    </xf>
    <xf numFmtId="3" fontId="31" fillId="0" borderId="10" xfId="40" applyNumberFormat="1" applyFont="1" applyBorder="1" applyAlignment="1" applyProtection="1">
      <alignment horizontal="center" vertical="center"/>
      <protection locked="0"/>
    </xf>
    <xf numFmtId="3" fontId="31" fillId="0" borderId="103" xfId="40" applyNumberFormat="1" applyFont="1" applyBorder="1" applyAlignment="1" applyProtection="1">
      <alignment horizontal="center" vertical="center"/>
      <protection locked="0"/>
    </xf>
    <xf numFmtId="3" fontId="12" fillId="7" borderId="104" xfId="40" applyNumberFormat="1" applyFont="1" applyFill="1" applyBorder="1" applyAlignment="1">
      <alignment horizontal="center" vertical="center"/>
    </xf>
    <xf numFmtId="3" fontId="12" fillId="7" borderId="2" xfId="40" applyNumberFormat="1" applyFont="1" applyFill="1" applyBorder="1" applyAlignment="1">
      <alignment horizontal="center" vertical="center"/>
    </xf>
    <xf numFmtId="3" fontId="12" fillId="7" borderId="10" xfId="40" applyNumberFormat="1" applyFont="1" applyFill="1" applyBorder="1" applyAlignment="1">
      <alignment horizontal="center" vertical="center"/>
    </xf>
    <xf numFmtId="3" fontId="12" fillId="7" borderId="68" xfId="40" applyNumberFormat="1" applyFont="1" applyFill="1" applyBorder="1" applyAlignment="1">
      <alignment horizontal="center" vertical="center"/>
    </xf>
    <xf numFmtId="3" fontId="12" fillId="7" borderId="21" xfId="40" applyNumberFormat="1" applyFont="1" applyFill="1" applyBorder="1" applyAlignment="1">
      <alignment horizontal="center" vertical="center"/>
    </xf>
    <xf numFmtId="3" fontId="12" fillId="7" borderId="9" xfId="40" applyNumberFormat="1" applyFont="1" applyFill="1" applyBorder="1" applyAlignment="1">
      <alignment horizontal="center" vertical="center"/>
    </xf>
    <xf numFmtId="0" fontId="12" fillId="7" borderId="112" xfId="40" applyFont="1" applyFill="1" applyBorder="1" applyAlignment="1">
      <alignment horizontal="center" vertical="center"/>
    </xf>
    <xf numFmtId="3" fontId="31" fillId="0" borderId="8" xfId="40" applyNumberFormat="1" applyFont="1" applyBorder="1" applyAlignment="1" applyProtection="1">
      <alignment horizontal="center" vertical="center"/>
      <protection locked="0"/>
    </xf>
    <xf numFmtId="3" fontId="31" fillId="0" borderId="21" xfId="40" applyNumberFormat="1" applyFont="1" applyBorder="1" applyAlignment="1" applyProtection="1">
      <alignment horizontal="center" vertical="center"/>
      <protection locked="0"/>
    </xf>
    <xf numFmtId="3" fontId="31" fillId="0" borderId="67" xfId="40" applyNumberFormat="1" applyFont="1" applyBorder="1" applyAlignment="1" applyProtection="1">
      <alignment horizontal="center" vertical="center"/>
      <protection locked="0"/>
    </xf>
    <xf numFmtId="3" fontId="31" fillId="0" borderId="68" xfId="40" applyNumberFormat="1" applyFont="1" applyBorder="1" applyAlignment="1" applyProtection="1">
      <alignment horizontal="center" vertical="center"/>
      <protection locked="0"/>
    </xf>
    <xf numFmtId="3" fontId="31" fillId="0" borderId="9" xfId="40" applyNumberFormat="1" applyFont="1" applyBorder="1" applyAlignment="1" applyProtection="1">
      <alignment horizontal="center" vertical="center"/>
      <protection locked="0"/>
    </xf>
    <xf numFmtId="3" fontId="31" fillId="0" borderId="92" xfId="40" applyNumberFormat="1" applyFont="1" applyBorder="1" applyAlignment="1" applyProtection="1">
      <alignment horizontal="center" vertical="center"/>
      <protection locked="0"/>
    </xf>
    <xf numFmtId="3" fontId="12" fillId="7" borderId="93" xfId="40" applyNumberFormat="1" applyFont="1" applyFill="1" applyBorder="1" applyAlignment="1">
      <alignment horizontal="center" vertical="center"/>
    </xf>
    <xf numFmtId="3" fontId="12" fillId="7" borderId="67" xfId="40" applyNumberFormat="1" applyFont="1" applyFill="1" applyBorder="1" applyAlignment="1">
      <alignment horizontal="center" vertical="center"/>
    </xf>
    <xf numFmtId="3" fontId="31" fillId="0" borderId="39" xfId="109" applyNumberFormat="1" applyBorder="1" applyAlignment="1" applyProtection="1">
      <alignment horizontal="center" vertical="center"/>
      <protection locked="0"/>
    </xf>
    <xf numFmtId="3" fontId="31" fillId="0" borderId="23" xfId="109" applyNumberFormat="1" applyBorder="1" applyAlignment="1" applyProtection="1">
      <alignment horizontal="center" vertical="center"/>
      <protection locked="0"/>
    </xf>
    <xf numFmtId="3" fontId="31" fillId="0" borderId="31" xfId="109" applyNumberFormat="1" applyBorder="1" applyAlignment="1" applyProtection="1">
      <alignment horizontal="center" vertical="center"/>
      <protection locked="0"/>
    </xf>
    <xf numFmtId="3" fontId="12" fillId="7" borderId="14" xfId="109" applyNumberFormat="1" applyFont="1" applyFill="1" applyBorder="1" applyAlignment="1">
      <alignment horizontal="center" vertical="center"/>
    </xf>
    <xf numFmtId="3" fontId="12" fillId="7" borderId="40" xfId="109" applyNumberFormat="1" applyFont="1" applyFill="1" applyBorder="1" applyAlignment="1">
      <alignment horizontal="center" vertical="center"/>
    </xf>
    <xf numFmtId="0" fontId="18" fillId="7" borderId="0" xfId="111" applyFont="1" applyFill="1" applyAlignment="1">
      <alignment horizontal="justify"/>
    </xf>
    <xf numFmtId="0" fontId="31" fillId="7" borderId="22" xfId="109" applyFill="1" applyBorder="1" applyAlignment="1">
      <alignment horizontal="left" vertical="center" indent="2"/>
    </xf>
    <xf numFmtId="0" fontId="31" fillId="7" borderId="23" xfId="109" applyFill="1" applyBorder="1" applyAlignment="1">
      <alignment horizontal="left" vertical="center" indent="2"/>
    </xf>
    <xf numFmtId="0" fontId="31" fillId="7" borderId="31" xfId="109" applyFill="1" applyBorder="1" applyAlignment="1">
      <alignment horizontal="left" vertical="center" indent="2"/>
    </xf>
    <xf numFmtId="3" fontId="31" fillId="0" borderId="22" xfId="109" applyNumberFormat="1" applyBorder="1" applyAlignment="1" applyProtection="1">
      <alignment horizontal="center" vertical="center"/>
      <protection locked="0"/>
    </xf>
    <xf numFmtId="3" fontId="31" fillId="0" borderId="24" xfId="109" applyNumberFormat="1" applyBorder="1" applyAlignment="1" applyProtection="1">
      <alignment horizontal="center" vertical="center"/>
      <protection locked="0"/>
    </xf>
    <xf numFmtId="3" fontId="31" fillId="0" borderId="30" xfId="109" applyNumberFormat="1" applyBorder="1" applyAlignment="1" applyProtection="1">
      <alignment horizontal="center" vertical="center"/>
      <protection locked="0"/>
    </xf>
    <xf numFmtId="3" fontId="31" fillId="0" borderId="38" xfId="109" applyNumberFormat="1" applyBorder="1" applyAlignment="1" applyProtection="1">
      <alignment horizontal="center" vertical="center"/>
      <protection locked="0"/>
    </xf>
    <xf numFmtId="3" fontId="12" fillId="7" borderId="23" xfId="109" applyNumberFormat="1" applyFont="1" applyFill="1" applyBorder="1" applyAlignment="1">
      <alignment horizontal="center" vertical="center"/>
    </xf>
    <xf numFmtId="3" fontId="12" fillId="7" borderId="38" xfId="109" applyNumberFormat="1" applyFont="1" applyFill="1" applyBorder="1" applyAlignment="1">
      <alignment horizontal="center" vertical="center"/>
    </xf>
    <xf numFmtId="0" fontId="31" fillId="7" borderId="13" xfId="109" applyFill="1" applyBorder="1" applyAlignment="1">
      <alignment horizontal="left" vertical="center" indent="2"/>
    </xf>
    <xf numFmtId="0" fontId="31" fillId="7" borderId="14" xfId="109" applyFill="1" applyBorder="1" applyAlignment="1">
      <alignment horizontal="left" vertical="center" indent="2"/>
    </xf>
    <xf numFmtId="0" fontId="31" fillId="7" borderId="6" xfId="109" applyFill="1" applyBorder="1" applyAlignment="1">
      <alignment horizontal="left" vertical="center" indent="2"/>
    </xf>
    <xf numFmtId="0" fontId="31" fillId="7" borderId="52" xfId="109" applyFill="1" applyBorder="1" applyAlignment="1">
      <alignment horizontal="left" vertical="center" indent="2"/>
    </xf>
    <xf numFmtId="3" fontId="31" fillId="0" borderId="13" xfId="109" applyNumberFormat="1" applyBorder="1" applyAlignment="1" applyProtection="1">
      <alignment horizontal="center" vertical="center"/>
      <protection locked="0"/>
    </xf>
    <xf numFmtId="3" fontId="31" fillId="0" borderId="14" xfId="109" applyNumberFormat="1" applyBorder="1" applyAlignment="1" applyProtection="1">
      <alignment horizontal="center" vertical="center"/>
      <protection locked="0"/>
    </xf>
    <xf numFmtId="3" fontId="31" fillId="0" borderId="25" xfId="109" applyNumberFormat="1" applyBorder="1" applyAlignment="1" applyProtection="1">
      <alignment horizontal="center" vertical="center"/>
      <protection locked="0"/>
    </xf>
    <xf numFmtId="3" fontId="31" fillId="0" borderId="32" xfId="109" applyNumberFormat="1" applyBorder="1" applyAlignment="1" applyProtection="1">
      <alignment horizontal="center" vertical="center"/>
      <protection locked="0"/>
    </xf>
    <xf numFmtId="3" fontId="31" fillId="0" borderId="18" xfId="109" applyNumberFormat="1" applyBorder="1" applyAlignment="1" applyProtection="1">
      <alignment horizontal="center" vertical="center"/>
      <protection locked="0"/>
    </xf>
    <xf numFmtId="3" fontId="31" fillId="0" borderId="40" xfId="109" applyNumberFormat="1" applyBorder="1" applyAlignment="1" applyProtection="1">
      <alignment horizontal="center" vertical="center"/>
      <protection locked="0"/>
    </xf>
    <xf numFmtId="3" fontId="31" fillId="0" borderId="41" xfId="109" applyNumberFormat="1" applyBorder="1" applyAlignment="1" applyProtection="1">
      <alignment horizontal="center" vertical="center"/>
      <protection locked="0"/>
    </xf>
    <xf numFmtId="0" fontId="18" fillId="7" borderId="2" xfId="111" applyFont="1" applyFill="1" applyBorder="1" applyAlignment="1">
      <alignment horizontal="justify"/>
    </xf>
    <xf numFmtId="0" fontId="12" fillId="7" borderId="1" xfId="109" applyFont="1" applyFill="1" applyBorder="1" applyAlignment="1">
      <alignment horizontal="center" vertical="center" wrapText="1"/>
    </xf>
    <xf numFmtId="0" fontId="12" fillId="7" borderId="2" xfId="109" applyFont="1" applyFill="1" applyBorder="1" applyAlignment="1">
      <alignment horizontal="center" vertical="center" wrapText="1"/>
    </xf>
    <xf numFmtId="0" fontId="12" fillId="7" borderId="10" xfId="109" applyFont="1" applyFill="1" applyBorder="1" applyAlignment="1">
      <alignment horizontal="center" vertical="center" wrapText="1"/>
    </xf>
    <xf numFmtId="0" fontId="12" fillId="7" borderId="4" xfId="109" applyFont="1" applyFill="1" applyBorder="1" applyAlignment="1">
      <alignment horizontal="center" vertical="center" wrapText="1"/>
    </xf>
    <xf numFmtId="0" fontId="12" fillId="7" borderId="5" xfId="109" applyFont="1" applyFill="1" applyBorder="1" applyAlignment="1">
      <alignment horizontal="center" vertical="center" wrapText="1"/>
    </xf>
    <xf numFmtId="0" fontId="12" fillId="7" borderId="12" xfId="109" applyFont="1" applyFill="1" applyBorder="1" applyAlignment="1">
      <alignment horizontal="center" vertical="center" wrapText="1"/>
    </xf>
    <xf numFmtId="0" fontId="12" fillId="7" borderId="13" xfId="109" applyFont="1" applyFill="1" applyBorder="1" applyAlignment="1">
      <alignment horizontal="center" vertical="center" wrapText="1"/>
    </xf>
    <xf numFmtId="0" fontId="12" fillId="7" borderId="14" xfId="109" applyFont="1" applyFill="1" applyBorder="1" applyAlignment="1">
      <alignment horizontal="center" vertical="center" wrapText="1"/>
    </xf>
    <xf numFmtId="0" fontId="12" fillId="7" borderId="18" xfId="109" applyFont="1" applyFill="1" applyBorder="1" applyAlignment="1">
      <alignment horizontal="center" vertical="center" wrapText="1"/>
    </xf>
    <xf numFmtId="0" fontId="12" fillId="7" borderId="105" xfId="109" applyFont="1" applyFill="1" applyBorder="1" applyAlignment="1">
      <alignment horizontal="center" vertical="center" wrapText="1"/>
    </xf>
    <xf numFmtId="0" fontId="12" fillId="7" borderId="106" xfId="109" applyFont="1" applyFill="1" applyBorder="1" applyAlignment="1">
      <alignment horizontal="center" vertical="center" wrapText="1"/>
    </xf>
    <xf numFmtId="0" fontId="12" fillId="7" borderId="107" xfId="109" applyFont="1" applyFill="1" applyBorder="1" applyAlignment="1">
      <alignment horizontal="center" vertical="center" wrapText="1"/>
    </xf>
    <xf numFmtId="0" fontId="12" fillId="7" borderId="53" xfId="109" applyFont="1" applyFill="1" applyBorder="1" applyAlignment="1">
      <alignment horizontal="center" vertical="center" wrapText="1"/>
    </xf>
    <xf numFmtId="0" fontId="12" fillId="7" borderId="54" xfId="109" applyFont="1" applyFill="1" applyBorder="1" applyAlignment="1">
      <alignment horizontal="center" vertical="center" wrapText="1"/>
    </xf>
    <xf numFmtId="0" fontId="12" fillId="7" borderId="109" xfId="109" applyFont="1" applyFill="1" applyBorder="1" applyAlignment="1">
      <alignment horizontal="center" vertical="center" wrapText="1"/>
    </xf>
    <xf numFmtId="0" fontId="12" fillId="7" borderId="108" xfId="109" applyFont="1" applyFill="1" applyBorder="1" applyAlignment="1">
      <alignment horizontal="center" vertical="center" wrapText="1"/>
    </xf>
    <xf numFmtId="0" fontId="12" fillId="7" borderId="29" xfId="109" applyFont="1" applyFill="1" applyBorder="1" applyAlignment="1">
      <alignment horizontal="center" vertical="center" wrapText="1"/>
    </xf>
    <xf numFmtId="0" fontId="12" fillId="7" borderId="22" xfId="109" applyFont="1" applyFill="1" applyBorder="1" applyAlignment="1">
      <alignment horizontal="center" vertical="center" wrapText="1"/>
    </xf>
    <xf numFmtId="0" fontId="12" fillId="7" borderId="23" xfId="109" applyFont="1" applyFill="1" applyBorder="1" applyAlignment="1">
      <alignment horizontal="center" vertical="center" wrapText="1"/>
    </xf>
    <xf numFmtId="0" fontId="12" fillId="7" borderId="24" xfId="109" applyFont="1" applyFill="1" applyBorder="1" applyAlignment="1">
      <alignment horizontal="center" vertical="center" wrapText="1"/>
    </xf>
    <xf numFmtId="0" fontId="12" fillId="7" borderId="30" xfId="109" applyFont="1" applyFill="1" applyBorder="1" applyAlignment="1">
      <alignment horizontal="center" vertical="center" wrapText="1"/>
    </xf>
    <xf numFmtId="0" fontId="12" fillId="7" borderId="31" xfId="109" applyFont="1" applyFill="1" applyBorder="1" applyAlignment="1">
      <alignment horizontal="center" vertical="center" wrapText="1"/>
    </xf>
    <xf numFmtId="14" fontId="31" fillId="0" borderId="6" xfId="109" applyNumberFormat="1" applyBorder="1" applyAlignment="1" applyProtection="1">
      <alignment horizontal="center" vertical="center"/>
      <protection locked="0"/>
    </xf>
    <xf numFmtId="0" fontId="31" fillId="0" borderId="6" xfId="109" applyBorder="1" applyAlignment="1" applyProtection="1">
      <alignment horizontal="center"/>
      <protection locked="0"/>
    </xf>
    <xf numFmtId="0" fontId="12" fillId="7" borderId="22" xfId="85" applyFont="1" applyFill="1" applyBorder="1" applyAlignment="1">
      <alignment horizontal="center" vertical="center"/>
    </xf>
    <xf numFmtId="0" fontId="12" fillId="7" borderId="23" xfId="85" applyFont="1" applyFill="1" applyBorder="1" applyAlignment="1">
      <alignment horizontal="center" vertical="center"/>
    </xf>
    <xf numFmtId="0" fontId="12" fillId="7" borderId="31" xfId="85" applyFont="1" applyFill="1" applyBorder="1" applyAlignment="1">
      <alignment horizontal="center" vertical="center"/>
    </xf>
    <xf numFmtId="0" fontId="12" fillId="7" borderId="59" xfId="85" applyFont="1" applyFill="1" applyBorder="1" applyAlignment="1">
      <alignment horizontal="center" vertical="center" wrapText="1"/>
    </xf>
    <xf numFmtId="0" fontId="12" fillId="7" borderId="60" xfId="85" applyFont="1" applyFill="1" applyBorder="1" applyAlignment="1">
      <alignment horizontal="center" vertical="center" wrapText="1"/>
    </xf>
    <xf numFmtId="0" fontId="12" fillId="7" borderId="65" xfId="85" applyFont="1" applyFill="1" applyBorder="1" applyAlignment="1">
      <alignment horizontal="center" vertical="center" wrapText="1"/>
    </xf>
    <xf numFmtId="0" fontId="12" fillId="7" borderId="22" xfId="85" applyFont="1" applyFill="1" applyBorder="1" applyAlignment="1">
      <alignment horizontal="center" vertical="center" wrapText="1"/>
    </xf>
    <xf numFmtId="0" fontId="12" fillId="7" borderId="23" xfId="85" applyFont="1" applyFill="1" applyBorder="1" applyAlignment="1">
      <alignment horizontal="center" vertical="center" wrapText="1"/>
    </xf>
    <xf numFmtId="0" fontId="12" fillId="7" borderId="31" xfId="85" applyFont="1" applyFill="1" applyBorder="1" applyAlignment="1">
      <alignment horizontal="center" vertical="center" wrapText="1"/>
    </xf>
    <xf numFmtId="3" fontId="12" fillId="7" borderId="123" xfId="85" applyNumberFormat="1" applyFont="1" applyFill="1" applyBorder="1" applyAlignment="1">
      <alignment horizontal="center" vertical="center"/>
    </xf>
    <xf numFmtId="3" fontId="12" fillId="7" borderId="122" xfId="85" applyNumberFormat="1" applyFont="1" applyFill="1" applyBorder="1" applyAlignment="1">
      <alignment horizontal="center" vertical="center"/>
    </xf>
    <xf numFmtId="3" fontId="31" fillId="0" borderId="230" xfId="85" applyNumberFormat="1" applyBorder="1" applyAlignment="1" applyProtection="1">
      <alignment horizontal="center" vertical="center"/>
      <protection locked="0"/>
    </xf>
    <xf numFmtId="3" fontId="31" fillId="0" borderId="231" xfId="85" applyNumberFormat="1" applyBorder="1" applyAlignment="1" applyProtection="1">
      <alignment horizontal="center" vertical="center"/>
      <protection locked="0"/>
    </xf>
    <xf numFmtId="3" fontId="12" fillId="7" borderId="115" xfId="85" applyNumberFormat="1" applyFont="1" applyFill="1" applyBorder="1" applyAlignment="1">
      <alignment horizontal="center" vertical="center"/>
    </xf>
    <xf numFmtId="3" fontId="12" fillId="7" borderId="328" xfId="85" applyNumberFormat="1" applyFont="1" applyFill="1" applyBorder="1" applyAlignment="1">
      <alignment horizontal="center" vertical="center"/>
    </xf>
    <xf numFmtId="3" fontId="12" fillId="7" borderId="329" xfId="85" applyNumberFormat="1" applyFont="1" applyFill="1" applyBorder="1" applyAlignment="1">
      <alignment horizontal="center" vertical="center"/>
    </xf>
    <xf numFmtId="3" fontId="12" fillId="7" borderId="330" xfId="85" applyNumberFormat="1" applyFont="1" applyFill="1" applyBorder="1" applyAlignment="1">
      <alignment horizontal="center" vertical="center"/>
    </xf>
    <xf numFmtId="3" fontId="12" fillId="7" borderId="118" xfId="85" applyNumberFormat="1" applyFont="1" applyFill="1" applyBorder="1" applyAlignment="1">
      <alignment horizontal="center" vertical="center"/>
    </xf>
    <xf numFmtId="0" fontId="12" fillId="7" borderId="114" xfId="85" applyFont="1" applyFill="1" applyBorder="1" applyAlignment="1">
      <alignment horizontal="center" vertical="center" wrapText="1"/>
    </xf>
    <xf numFmtId="0" fontId="12" fillId="7" borderId="115" xfId="85" applyFont="1" applyFill="1" applyBorder="1" applyAlignment="1">
      <alignment horizontal="center" vertical="center" wrapText="1"/>
    </xf>
    <xf numFmtId="0" fontId="12" fillId="7" borderId="118" xfId="85" applyFont="1" applyFill="1" applyBorder="1" applyAlignment="1">
      <alignment horizontal="center" vertical="center" wrapText="1"/>
    </xf>
    <xf numFmtId="3" fontId="12" fillId="7" borderId="114" xfId="85" applyNumberFormat="1" applyFont="1" applyFill="1" applyBorder="1" applyAlignment="1">
      <alignment horizontal="center" vertical="center"/>
    </xf>
    <xf numFmtId="3" fontId="31" fillId="0" borderId="121" xfId="85" applyNumberFormat="1" applyBorder="1" applyAlignment="1" applyProtection="1">
      <alignment horizontal="center" vertical="center"/>
      <protection locked="0"/>
    </xf>
    <xf numFmtId="3" fontId="31" fillId="0" borderId="120" xfId="85" applyNumberFormat="1" applyBorder="1" applyAlignment="1" applyProtection="1">
      <alignment horizontal="center" vertical="center"/>
      <protection locked="0"/>
    </xf>
    <xf numFmtId="0" fontId="12" fillId="7" borderId="59" xfId="85" applyFont="1" applyFill="1" applyBorder="1" applyAlignment="1">
      <alignment horizontal="center" vertical="center"/>
    </xf>
    <xf numFmtId="0" fontId="12" fillId="7" borderId="60" xfId="85" applyFont="1" applyFill="1" applyBorder="1" applyAlignment="1">
      <alignment horizontal="center" vertical="center"/>
    </xf>
    <xf numFmtId="0" fontId="12" fillId="7" borderId="65" xfId="85" applyFont="1" applyFill="1" applyBorder="1" applyAlignment="1">
      <alignment horizontal="center" vertical="center"/>
    </xf>
    <xf numFmtId="3" fontId="31" fillId="0" borderId="113" xfId="85" applyNumberFormat="1" applyBorder="1" applyAlignment="1" applyProtection="1">
      <alignment horizontal="center" vertical="center"/>
      <protection locked="0"/>
    </xf>
    <xf numFmtId="3" fontId="31" fillId="0" borderId="116" xfId="85" applyNumberFormat="1" applyBorder="1" applyAlignment="1" applyProtection="1">
      <alignment horizontal="center" vertical="center"/>
      <protection locked="0"/>
    </xf>
    <xf numFmtId="3" fontId="31" fillId="0" borderId="325" xfId="85" applyNumberFormat="1" applyBorder="1" applyAlignment="1" applyProtection="1">
      <alignment horizontal="center" vertical="center"/>
      <protection locked="0"/>
    </xf>
    <xf numFmtId="3" fontId="31" fillId="0" borderId="326" xfId="85" applyNumberFormat="1" applyBorder="1" applyAlignment="1" applyProtection="1">
      <alignment horizontal="center" vertical="center"/>
      <protection locked="0"/>
    </xf>
    <xf numFmtId="0" fontId="12" fillId="7" borderId="66" xfId="85" applyFont="1" applyFill="1" applyBorder="1" applyAlignment="1">
      <alignment horizontal="center" vertical="center"/>
    </xf>
    <xf numFmtId="0" fontId="12" fillId="7" borderId="53" xfId="85" applyFont="1" applyFill="1" applyBorder="1" applyAlignment="1">
      <alignment horizontal="center" vertical="center"/>
    </xf>
    <xf numFmtId="0" fontId="12" fillId="7" borderId="54" xfId="85" applyFont="1" applyFill="1" applyBorder="1" applyAlignment="1">
      <alignment horizontal="center" vertical="center"/>
    </xf>
    <xf numFmtId="0" fontId="12" fillId="7" borderId="61" xfId="85" applyFont="1" applyFill="1" applyBorder="1" applyAlignment="1">
      <alignment horizontal="center" vertical="center"/>
    </xf>
    <xf numFmtId="0" fontId="12" fillId="7" borderId="36" xfId="85" applyFont="1" applyFill="1" applyBorder="1" applyAlignment="1">
      <alignment horizontal="center" vertical="center"/>
    </xf>
    <xf numFmtId="0" fontId="12" fillId="7" borderId="29" xfId="85" applyFont="1" applyFill="1" applyBorder="1" applyAlignment="1">
      <alignment horizontal="center" vertical="center"/>
    </xf>
    <xf numFmtId="0" fontId="12" fillId="7" borderId="5" xfId="85" applyFont="1" applyFill="1" applyBorder="1" applyAlignment="1">
      <alignment horizontal="center" vertical="center"/>
    </xf>
    <xf numFmtId="0" fontId="12" fillId="7" borderId="12" xfId="85" applyFont="1" applyFill="1" applyBorder="1" applyAlignment="1">
      <alignment horizontal="center" vertical="center"/>
    </xf>
    <xf numFmtId="0" fontId="12" fillId="7" borderId="4" xfId="85" applyFont="1" applyFill="1" applyBorder="1" applyAlignment="1">
      <alignment horizontal="center" vertical="center"/>
    </xf>
    <xf numFmtId="3" fontId="31" fillId="0" borderId="232" xfId="85" applyNumberFormat="1" applyBorder="1" applyAlignment="1" applyProtection="1">
      <alignment horizontal="center" vertical="center"/>
      <protection locked="0"/>
    </xf>
    <xf numFmtId="3" fontId="31" fillId="0" borderId="327" xfId="85" applyNumberFormat="1" applyBorder="1" applyAlignment="1" applyProtection="1">
      <alignment horizontal="center" vertical="center"/>
      <protection locked="0"/>
    </xf>
    <xf numFmtId="0" fontId="12" fillId="7" borderId="332" xfId="85" applyFont="1" applyFill="1" applyBorder="1" applyAlignment="1">
      <alignment horizontal="center" vertical="center"/>
    </xf>
    <xf numFmtId="0" fontId="31" fillId="7" borderId="117" xfId="85" applyFill="1" applyBorder="1" applyAlignment="1">
      <alignment horizontal="left" vertical="center" wrapText="1" indent="1"/>
    </xf>
    <xf numFmtId="0" fontId="31" fillId="7" borderId="113" xfId="85" applyFill="1" applyBorder="1" applyAlignment="1">
      <alignment horizontal="left" vertical="center" wrapText="1" indent="1"/>
    </xf>
    <xf numFmtId="0" fontId="31" fillId="7" borderId="116" xfId="85" applyFill="1" applyBorder="1" applyAlignment="1">
      <alignment horizontal="left" vertical="center" wrapText="1" indent="1"/>
    </xf>
    <xf numFmtId="3" fontId="31" fillId="0" borderId="117" xfId="85" applyNumberFormat="1" applyBorder="1" applyAlignment="1" applyProtection="1">
      <alignment horizontal="center" vertical="center"/>
      <protection locked="0"/>
    </xf>
    <xf numFmtId="3" fontId="31" fillId="0" borderId="32" xfId="85" applyNumberFormat="1" applyBorder="1" applyAlignment="1" applyProtection="1">
      <alignment horizontal="center" vertical="center"/>
      <protection locked="0"/>
    </xf>
    <xf numFmtId="3" fontId="31" fillId="0" borderId="25" xfId="85" applyNumberFormat="1" applyBorder="1" applyAlignment="1" applyProtection="1">
      <alignment horizontal="center" vertical="center"/>
      <protection locked="0"/>
    </xf>
    <xf numFmtId="3" fontId="31" fillId="0" borderId="18" xfId="85" applyNumberFormat="1" applyBorder="1" applyAlignment="1" applyProtection="1">
      <alignment horizontal="center" vertical="center"/>
      <protection locked="0"/>
    </xf>
    <xf numFmtId="0" fontId="31" fillId="7" borderId="13" xfId="85" applyFill="1" applyBorder="1" applyAlignment="1">
      <alignment horizontal="left" vertical="center" wrapText="1" indent="1"/>
    </xf>
    <xf numFmtId="0" fontId="31" fillId="7" borderId="14" xfId="85" applyFill="1" applyBorder="1" applyAlignment="1">
      <alignment horizontal="left" vertical="center" wrapText="1" indent="1"/>
    </xf>
    <xf numFmtId="0" fontId="31" fillId="7" borderId="18" xfId="85" applyFill="1" applyBorder="1" applyAlignment="1">
      <alignment horizontal="left" vertical="center" wrapText="1" indent="1"/>
    </xf>
    <xf numFmtId="3" fontId="31" fillId="0" borderId="13" xfId="85" applyNumberFormat="1" applyBorder="1" applyAlignment="1" applyProtection="1">
      <alignment horizontal="center" vertical="center"/>
      <protection locked="0"/>
    </xf>
    <xf numFmtId="0" fontId="12" fillId="7" borderId="331" xfId="85" applyFont="1" applyFill="1" applyBorder="1" applyAlignment="1">
      <alignment horizontal="center" vertical="center"/>
    </xf>
    <xf numFmtId="0" fontId="31" fillId="7" borderId="15" xfId="40" applyFont="1" applyFill="1" applyBorder="1" applyAlignment="1">
      <alignment horizontal="left" vertical="center" wrapText="1"/>
    </xf>
    <xf numFmtId="0" fontId="31" fillId="7" borderId="16" xfId="40" applyFont="1" applyFill="1" applyBorder="1" applyAlignment="1">
      <alignment horizontal="left" vertical="center" wrapText="1"/>
    </xf>
    <xf numFmtId="0" fontId="31" fillId="7" borderId="19" xfId="40" applyFont="1" applyFill="1" applyBorder="1" applyAlignment="1">
      <alignment horizontal="left" vertical="center" wrapText="1"/>
    </xf>
    <xf numFmtId="0" fontId="31" fillId="7" borderId="22" xfId="40" applyFont="1" applyFill="1" applyBorder="1" applyAlignment="1">
      <alignment horizontal="left" vertical="center" wrapText="1"/>
    </xf>
    <xf numFmtId="0" fontId="31" fillId="7" borderId="23" xfId="40" applyFont="1" applyFill="1" applyBorder="1" applyAlignment="1">
      <alignment horizontal="left" vertical="center" wrapText="1"/>
    </xf>
    <xf numFmtId="0" fontId="31" fillId="7" borderId="31" xfId="40" applyFont="1" applyFill="1" applyBorder="1" applyAlignment="1">
      <alignment horizontal="left" vertical="center" wrapText="1"/>
    </xf>
    <xf numFmtId="0" fontId="12" fillId="7" borderId="1" xfId="85" applyFont="1" applyFill="1" applyBorder="1" applyAlignment="1">
      <alignment horizontal="center" vertical="center" wrapText="1"/>
    </xf>
    <xf numFmtId="0" fontId="12" fillId="7" borderId="2" xfId="85" applyFont="1" applyFill="1" applyBorder="1" applyAlignment="1">
      <alignment horizontal="center" vertical="center" wrapText="1"/>
    </xf>
    <xf numFmtId="0" fontId="12" fillId="7" borderId="10" xfId="85" applyFont="1" applyFill="1" applyBorder="1" applyAlignment="1">
      <alignment horizontal="center" vertical="center" wrapText="1"/>
    </xf>
    <xf numFmtId="0" fontId="12" fillId="7" borderId="3" xfId="85" applyFont="1" applyFill="1" applyBorder="1" applyAlignment="1">
      <alignment horizontal="center" vertical="center" wrapText="1"/>
    </xf>
    <xf numFmtId="0" fontId="12" fillId="7" borderId="0" xfId="85" applyFont="1" applyFill="1" applyAlignment="1">
      <alignment horizontal="center" vertical="center" wrapText="1"/>
    </xf>
    <xf numFmtId="0" fontId="12" fillId="7" borderId="11" xfId="85" applyFont="1" applyFill="1" applyBorder="1" applyAlignment="1">
      <alignment horizontal="center" vertical="center" wrapText="1"/>
    </xf>
    <xf numFmtId="0" fontId="12" fillId="7" borderId="4" xfId="85" applyFont="1" applyFill="1" applyBorder="1" applyAlignment="1">
      <alignment horizontal="center" vertical="center" wrapText="1"/>
    </xf>
    <xf numFmtId="0" fontId="12" fillId="7" borderId="5" xfId="85" applyFont="1" applyFill="1" applyBorder="1" applyAlignment="1">
      <alignment horizontal="center" vertical="center" wrapText="1"/>
    </xf>
    <xf numFmtId="0" fontId="12" fillId="7" borderId="12" xfId="85" applyFont="1" applyFill="1" applyBorder="1" applyAlignment="1">
      <alignment horizontal="center" vertical="center" wrapText="1"/>
    </xf>
    <xf numFmtId="0" fontId="12" fillId="7" borderId="13" xfId="85" applyFont="1" applyFill="1" applyBorder="1" applyAlignment="1">
      <alignment horizontal="center" vertical="center" wrapText="1"/>
    </xf>
    <xf numFmtId="0" fontId="12" fillId="7" borderId="14" xfId="85" applyFont="1" applyFill="1" applyBorder="1" applyAlignment="1">
      <alignment horizontal="center" vertical="center" wrapText="1"/>
    </xf>
    <xf numFmtId="0" fontId="12" fillId="7" borderId="18" xfId="85" applyFont="1" applyFill="1" applyBorder="1" applyAlignment="1">
      <alignment horizontal="center" vertical="center" wrapText="1"/>
    </xf>
    <xf numFmtId="0" fontId="12" fillId="7" borderId="15" xfId="85" applyFont="1" applyFill="1" applyBorder="1" applyAlignment="1">
      <alignment horizontal="center" vertical="center"/>
    </xf>
    <xf numFmtId="0" fontId="12" fillId="7" borderId="16" xfId="85" applyFont="1" applyFill="1" applyBorder="1" applyAlignment="1">
      <alignment horizontal="center" vertical="center"/>
    </xf>
    <xf numFmtId="0" fontId="12" fillId="7" borderId="19" xfId="85" applyFont="1" applyFill="1" applyBorder="1" applyAlignment="1">
      <alignment horizontal="center" vertical="center"/>
    </xf>
    <xf numFmtId="0" fontId="31" fillId="7" borderId="13" xfId="40" applyFont="1" applyFill="1" applyBorder="1" applyAlignment="1">
      <alignment horizontal="left" vertical="center" wrapText="1"/>
    </xf>
    <xf numFmtId="0" fontId="31" fillId="7" borderId="14" xfId="40" applyFont="1" applyFill="1" applyBorder="1" applyAlignment="1">
      <alignment horizontal="left" vertical="center" wrapText="1"/>
    </xf>
    <xf numFmtId="0" fontId="31" fillId="7" borderId="18" xfId="40" applyFont="1" applyFill="1" applyBorder="1" applyAlignment="1">
      <alignment horizontal="left" vertical="center" wrapText="1"/>
    </xf>
    <xf numFmtId="0" fontId="12" fillId="7" borderId="4" xfId="2" applyFont="1" applyFill="1" applyBorder="1" applyAlignment="1">
      <alignment horizontal="center" vertical="center" wrapText="1" shrinkToFit="1"/>
    </xf>
    <xf numFmtId="0" fontId="12" fillId="7" borderId="5" xfId="2" applyFont="1" applyFill="1" applyBorder="1" applyAlignment="1">
      <alignment horizontal="center" vertical="center" wrapText="1" shrinkToFit="1"/>
    </xf>
    <xf numFmtId="0" fontId="12" fillId="7" borderId="50" xfId="2" applyFont="1" applyFill="1" applyBorder="1" applyAlignment="1">
      <alignment horizontal="center" vertical="center" wrapText="1" shrinkToFit="1"/>
    </xf>
    <xf numFmtId="0" fontId="12" fillId="7" borderId="51" xfId="2" applyFont="1" applyFill="1" applyBorder="1" applyAlignment="1">
      <alignment horizontal="center" vertical="center" wrapText="1"/>
    </xf>
    <xf numFmtId="0" fontId="12" fillId="7" borderId="5" xfId="2" applyFont="1" applyFill="1" applyBorder="1" applyAlignment="1">
      <alignment horizontal="center" vertical="center" wrapText="1"/>
    </xf>
    <xf numFmtId="0" fontId="12" fillId="7" borderId="12" xfId="2" applyFont="1" applyFill="1" applyBorder="1" applyAlignment="1">
      <alignment horizontal="center" vertical="center" wrapText="1"/>
    </xf>
    <xf numFmtId="0" fontId="31" fillId="7" borderId="15" xfId="40" applyFont="1" applyFill="1" applyBorder="1" applyAlignment="1">
      <alignment horizontal="left" vertical="center" wrapText="1" indent="5"/>
    </xf>
    <xf numFmtId="0" fontId="31" fillId="7" borderId="16" xfId="40" applyFont="1" applyFill="1" applyBorder="1" applyAlignment="1">
      <alignment horizontal="left" vertical="center" wrapText="1" indent="5"/>
    </xf>
    <xf numFmtId="0" fontId="31" fillId="7" borderId="19" xfId="40" applyFont="1" applyFill="1" applyBorder="1" applyAlignment="1">
      <alignment horizontal="left" vertical="center" wrapText="1" indent="5"/>
    </xf>
    <xf numFmtId="0" fontId="31" fillId="7" borderId="15" xfId="40" applyFont="1" applyFill="1" applyBorder="1" applyAlignment="1">
      <alignment horizontal="center" vertical="center"/>
    </xf>
    <xf numFmtId="0" fontId="31" fillId="7" borderId="16" xfId="40" applyFont="1" applyFill="1" applyBorder="1" applyAlignment="1">
      <alignment horizontal="center" vertical="center"/>
    </xf>
    <xf numFmtId="0" fontId="31" fillId="7" borderId="19" xfId="40" applyFont="1" applyFill="1" applyBorder="1" applyAlignment="1">
      <alignment horizontal="center" vertical="center"/>
    </xf>
    <xf numFmtId="3" fontId="31" fillId="0" borderId="14" xfId="85" applyNumberFormat="1" applyBorder="1" applyAlignment="1" applyProtection="1">
      <alignment horizontal="center" vertical="center"/>
      <protection locked="0"/>
    </xf>
    <xf numFmtId="3" fontId="31" fillId="0" borderId="17" xfId="85" applyNumberFormat="1" applyBorder="1" applyAlignment="1" applyProtection="1">
      <alignment horizontal="center" vertical="center"/>
      <protection locked="0"/>
    </xf>
    <xf numFmtId="3" fontId="31" fillId="0" borderId="7" xfId="85" applyNumberFormat="1" applyBorder="1" applyAlignment="1" applyProtection="1">
      <alignment horizontal="center" vertical="center"/>
      <protection locked="0"/>
    </xf>
    <xf numFmtId="3" fontId="31" fillId="0" borderId="20" xfId="85" applyNumberFormat="1" applyBorder="1" applyAlignment="1" applyProtection="1">
      <alignment horizontal="center" vertical="center"/>
      <protection locked="0"/>
    </xf>
    <xf numFmtId="3" fontId="31" fillId="0" borderId="13" xfId="85" applyNumberFormat="1" applyBorder="1" applyAlignment="1" applyProtection="1">
      <alignment horizontal="center" vertical="center" wrapText="1"/>
      <protection locked="0"/>
    </xf>
    <xf numFmtId="3" fontId="31" fillId="0" borderId="14" xfId="85" applyNumberFormat="1" applyBorder="1" applyAlignment="1" applyProtection="1">
      <alignment horizontal="center" vertical="center" wrapText="1"/>
      <protection locked="0"/>
    </xf>
    <xf numFmtId="3" fontId="31" fillId="0" borderId="18" xfId="85" applyNumberFormat="1" applyBorder="1" applyAlignment="1" applyProtection="1">
      <alignment horizontal="center" vertical="center" wrapText="1"/>
      <protection locked="0"/>
    </xf>
    <xf numFmtId="0" fontId="31" fillId="7" borderId="0" xfId="85" applyFill="1" applyAlignment="1">
      <alignment horizontal="justify" wrapText="1"/>
    </xf>
    <xf numFmtId="0" fontId="12" fillId="7" borderId="8" xfId="85" applyFont="1" applyFill="1" applyBorder="1" applyAlignment="1">
      <alignment horizontal="center" vertical="center"/>
    </xf>
    <xf numFmtId="0" fontId="12" fillId="7" borderId="21" xfId="85" applyFont="1" applyFill="1" applyBorder="1" applyAlignment="1">
      <alignment horizontal="center" vertical="center"/>
    </xf>
    <xf numFmtId="0" fontId="12" fillId="7" borderId="9" xfId="85" applyFont="1" applyFill="1" applyBorder="1" applyAlignment="1">
      <alignment horizontal="center" vertical="center"/>
    </xf>
    <xf numFmtId="0" fontId="12" fillId="7" borderId="8" xfId="85" applyFont="1" applyFill="1" applyBorder="1" applyAlignment="1">
      <alignment horizontal="center" vertical="center" wrapText="1"/>
    </xf>
    <xf numFmtId="0" fontId="12" fillId="7" borderId="21" xfId="85" applyFont="1" applyFill="1" applyBorder="1" applyAlignment="1">
      <alignment horizontal="center" vertical="center" wrapText="1"/>
    </xf>
    <xf numFmtId="0" fontId="12" fillId="7" borderId="9" xfId="85" applyFont="1" applyFill="1" applyBorder="1" applyAlignment="1">
      <alignment horizontal="center" vertical="center" wrapText="1"/>
    </xf>
    <xf numFmtId="0" fontId="12" fillId="7" borderId="190" xfId="20" applyFont="1" applyFill="1" applyBorder="1" applyAlignment="1">
      <alignment horizontal="center" vertical="center"/>
    </xf>
    <xf numFmtId="0" fontId="12" fillId="7" borderId="191" xfId="20" applyFont="1" applyFill="1" applyBorder="1" applyAlignment="1">
      <alignment horizontal="center" vertical="center"/>
    </xf>
    <xf numFmtId="0" fontId="12" fillId="7" borderId="192" xfId="20" applyFont="1" applyFill="1" applyBorder="1" applyAlignment="1">
      <alignment horizontal="center" vertical="center"/>
    </xf>
    <xf numFmtId="3" fontId="12" fillId="7" borderId="190" xfId="20" applyNumberFormat="1" applyFont="1" applyFill="1" applyBorder="1" applyAlignment="1">
      <alignment horizontal="center" vertical="center"/>
    </xf>
    <xf numFmtId="3" fontId="12" fillId="7" borderId="191" xfId="20" applyNumberFormat="1" applyFont="1" applyFill="1" applyBorder="1" applyAlignment="1">
      <alignment horizontal="center" vertical="center"/>
    </xf>
    <xf numFmtId="3" fontId="12" fillId="7" borderId="192" xfId="20" applyNumberFormat="1" applyFont="1" applyFill="1" applyBorder="1" applyAlignment="1">
      <alignment horizontal="center" vertical="center"/>
    </xf>
    <xf numFmtId="0" fontId="31" fillId="7" borderId="0" xfId="20" applyFill="1" applyAlignment="1">
      <alignment horizontal="justify"/>
    </xf>
    <xf numFmtId="0" fontId="12" fillId="7" borderId="181" xfId="20" applyFont="1" applyFill="1" applyBorder="1" applyAlignment="1">
      <alignment horizontal="center" vertical="center"/>
    </xf>
    <xf numFmtId="0" fontId="12" fillId="7" borderId="182" xfId="20" applyFont="1" applyFill="1" applyBorder="1" applyAlignment="1">
      <alignment horizontal="center" vertical="center"/>
    </xf>
    <xf numFmtId="0" fontId="12" fillId="7" borderId="183" xfId="20" applyFont="1" applyFill="1" applyBorder="1" applyAlignment="1">
      <alignment horizontal="center" vertical="center"/>
    </xf>
    <xf numFmtId="0" fontId="31" fillId="7" borderId="184" xfId="20" applyFill="1" applyBorder="1" applyAlignment="1">
      <alignment horizontal="center" vertical="center"/>
    </xf>
    <xf numFmtId="0" fontId="31" fillId="7" borderId="185" xfId="20" applyFill="1" applyBorder="1" applyAlignment="1">
      <alignment horizontal="center" vertical="center"/>
    </xf>
    <xf numFmtId="0" fontId="31" fillId="7" borderId="186" xfId="20" applyFill="1" applyBorder="1" applyAlignment="1">
      <alignment horizontal="center" vertical="center"/>
    </xf>
    <xf numFmtId="3" fontId="31" fillId="0" borderId="184" xfId="20" applyNumberFormat="1" applyBorder="1" applyAlignment="1" applyProtection="1">
      <alignment horizontal="center" vertical="center"/>
      <protection locked="0"/>
    </xf>
    <xf numFmtId="3" fontId="31" fillId="0" borderId="185" xfId="20" applyNumberFormat="1" applyBorder="1" applyAlignment="1" applyProtection="1">
      <alignment horizontal="center" vertical="center"/>
      <protection locked="0"/>
    </xf>
    <xf numFmtId="3" fontId="31" fillId="0" borderId="186" xfId="20" applyNumberFormat="1" applyBorder="1" applyAlignment="1" applyProtection="1">
      <alignment horizontal="center" vertical="center"/>
      <protection locked="0"/>
    </xf>
    <xf numFmtId="0" fontId="31" fillId="7" borderId="187" xfId="20" applyFill="1" applyBorder="1" applyAlignment="1">
      <alignment horizontal="center" vertical="center"/>
    </xf>
    <xf numFmtId="0" fontId="31" fillId="7" borderId="188" xfId="20" applyFill="1" applyBorder="1" applyAlignment="1">
      <alignment horizontal="center" vertical="center"/>
    </xf>
    <xf numFmtId="0" fontId="31" fillId="7" borderId="189" xfId="20" applyFill="1" applyBorder="1" applyAlignment="1">
      <alignment horizontal="center" vertical="center"/>
    </xf>
    <xf numFmtId="3" fontId="31" fillId="0" borderId="187" xfId="20" applyNumberFormat="1" applyBorder="1" applyAlignment="1" applyProtection="1">
      <alignment horizontal="center" vertical="center"/>
      <protection locked="0"/>
    </xf>
    <xf numFmtId="3" fontId="31" fillId="0" borderId="188" xfId="20" applyNumberFormat="1" applyBorder="1" applyAlignment="1" applyProtection="1">
      <alignment horizontal="center" vertical="center"/>
      <protection locked="0"/>
    </xf>
    <xf numFmtId="3" fontId="31" fillId="0" borderId="189" xfId="20" applyNumberFormat="1" applyBorder="1" applyAlignment="1" applyProtection="1">
      <alignment horizontal="center" vertical="center"/>
      <protection locked="0"/>
    </xf>
    <xf numFmtId="0" fontId="17" fillId="7" borderId="0" xfId="109" applyFont="1" applyFill="1" applyAlignment="1">
      <alignment horizontal="justify" vertical="center" wrapText="1"/>
    </xf>
    <xf numFmtId="0" fontId="17" fillId="7" borderId="0" xfId="109" applyFont="1" applyFill="1" applyAlignment="1">
      <alignment horizontal="justify" vertical="top" wrapText="1"/>
    </xf>
    <xf numFmtId="0" fontId="31" fillId="7" borderId="117" xfId="85" applyFill="1" applyBorder="1" applyAlignment="1">
      <alignment horizontal="left" vertical="center" indent="1"/>
    </xf>
    <xf numFmtId="0" fontId="31" fillId="7" borderId="113" xfId="85" applyFill="1" applyBorder="1" applyAlignment="1">
      <alignment horizontal="left" vertical="center" indent="1"/>
    </xf>
    <xf numFmtId="0" fontId="31" fillId="7" borderId="116" xfId="85" applyFill="1" applyBorder="1" applyAlignment="1">
      <alignment horizontal="left" vertical="center" indent="1"/>
    </xf>
    <xf numFmtId="3" fontId="12" fillId="7" borderId="4" xfId="85" applyNumberFormat="1" applyFont="1" applyFill="1" applyBorder="1" applyAlignment="1">
      <alignment horizontal="center" vertical="center"/>
    </xf>
    <xf numFmtId="3" fontId="12" fillId="7" borderId="5" xfId="85" applyNumberFormat="1" applyFont="1" applyFill="1" applyBorder="1" applyAlignment="1">
      <alignment horizontal="center" vertical="center"/>
    </xf>
    <xf numFmtId="3" fontId="12" fillId="7" borderId="12" xfId="85" applyNumberFormat="1" applyFont="1" applyFill="1" applyBorder="1" applyAlignment="1">
      <alignment horizontal="center" vertical="center"/>
    </xf>
    <xf numFmtId="0" fontId="31" fillId="7" borderId="15" xfId="85" applyFill="1" applyBorder="1" applyAlignment="1">
      <alignment horizontal="left" vertical="center" indent="1"/>
    </xf>
    <xf numFmtId="0" fontId="31" fillId="7" borderId="16" xfId="85" applyFill="1" applyBorder="1" applyAlignment="1">
      <alignment horizontal="left" vertical="center" indent="1"/>
    </xf>
    <xf numFmtId="0" fontId="31" fillId="7" borderId="19" xfId="85" applyFill="1" applyBorder="1" applyAlignment="1">
      <alignment horizontal="left" vertical="center" indent="1"/>
    </xf>
    <xf numFmtId="3" fontId="31" fillId="0" borderId="15" xfId="85" applyNumberFormat="1" applyBorder="1" applyAlignment="1" applyProtection="1">
      <alignment horizontal="center" vertical="center"/>
      <protection locked="0"/>
    </xf>
    <xf numFmtId="3" fontId="31" fillId="0" borderId="16" xfId="85" applyNumberFormat="1" applyBorder="1" applyAlignment="1" applyProtection="1">
      <alignment horizontal="center" vertical="center"/>
      <protection locked="0"/>
    </xf>
    <xf numFmtId="3" fontId="31" fillId="0" borderId="19" xfId="85" applyNumberFormat="1" applyBorder="1" applyAlignment="1" applyProtection="1">
      <alignment horizontal="center" vertical="center"/>
      <protection locked="0"/>
    </xf>
    <xf numFmtId="0" fontId="12" fillId="7" borderId="1" xfId="85" applyFont="1" applyFill="1" applyBorder="1" applyAlignment="1">
      <alignment horizontal="center" vertical="center"/>
    </xf>
    <xf numFmtId="0" fontId="12" fillId="7" borderId="2" xfId="85" applyFont="1" applyFill="1" applyBorder="1" applyAlignment="1">
      <alignment horizontal="center" vertical="center"/>
    </xf>
    <xf numFmtId="0" fontId="12" fillId="7" borderId="10" xfId="85" applyFont="1" applyFill="1" applyBorder="1" applyAlignment="1">
      <alignment horizontal="center" vertical="center"/>
    </xf>
    <xf numFmtId="0" fontId="12" fillId="7" borderId="3" xfId="85" applyFont="1" applyFill="1" applyBorder="1" applyAlignment="1">
      <alignment horizontal="center" vertical="center"/>
    </xf>
    <xf numFmtId="0" fontId="12" fillId="7" borderId="0" xfId="85" applyFont="1" applyFill="1" applyAlignment="1">
      <alignment horizontal="center" vertical="center"/>
    </xf>
    <xf numFmtId="0" fontId="12" fillId="7" borderId="11" xfId="85" applyFont="1" applyFill="1" applyBorder="1" applyAlignment="1">
      <alignment horizontal="center" vertical="center"/>
    </xf>
    <xf numFmtId="0" fontId="12" fillId="7" borderId="13" xfId="85" applyFont="1" applyFill="1" applyBorder="1" applyAlignment="1">
      <alignment horizontal="center" vertical="center"/>
    </xf>
    <xf numFmtId="0" fontId="12" fillId="7" borderId="14" xfId="85" applyFont="1" applyFill="1" applyBorder="1" applyAlignment="1">
      <alignment horizontal="center" vertical="center"/>
    </xf>
    <xf numFmtId="0" fontId="12" fillId="7" borderId="18" xfId="85" applyFont="1" applyFill="1" applyBorder="1" applyAlignment="1">
      <alignment horizontal="center" vertical="center"/>
    </xf>
    <xf numFmtId="0" fontId="12" fillId="7" borderId="17" xfId="85" applyFont="1" applyFill="1" applyBorder="1" applyAlignment="1">
      <alignment horizontal="center" vertical="center"/>
    </xf>
    <xf numFmtId="0" fontId="12" fillId="7" borderId="7" xfId="85" applyFont="1" applyFill="1" applyBorder="1" applyAlignment="1">
      <alignment horizontal="center" vertical="center"/>
    </xf>
    <xf numFmtId="0" fontId="12" fillId="7" borderId="20" xfId="85" applyFont="1" applyFill="1" applyBorder="1" applyAlignment="1">
      <alignment horizontal="center" vertical="center"/>
    </xf>
    <xf numFmtId="0" fontId="12" fillId="7" borderId="114" xfId="85" applyFont="1" applyFill="1" applyBorder="1" applyAlignment="1">
      <alignment horizontal="center" vertical="center"/>
    </xf>
    <xf numFmtId="0" fontId="12" fillId="7" borderId="115" xfId="85" applyFont="1" applyFill="1" applyBorder="1" applyAlignment="1">
      <alignment horizontal="center" vertical="center"/>
    </xf>
    <xf numFmtId="0" fontId="12" fillId="7" borderId="118" xfId="85" applyFont="1" applyFill="1" applyBorder="1" applyAlignment="1">
      <alignment horizontal="center" vertical="center"/>
    </xf>
    <xf numFmtId="0" fontId="31" fillId="7" borderId="13" xfId="85" applyFill="1" applyBorder="1" applyAlignment="1">
      <alignment horizontal="center" vertical="center" wrapText="1"/>
    </xf>
    <xf numFmtId="0" fontId="31" fillId="7" borderId="14" xfId="85" applyFill="1" applyBorder="1" applyAlignment="1">
      <alignment horizontal="center" vertical="center" wrapText="1"/>
    </xf>
    <xf numFmtId="0" fontId="31" fillId="7" borderId="18" xfId="85" applyFill="1" applyBorder="1" applyAlignment="1">
      <alignment horizontal="center" vertical="center" wrapText="1"/>
    </xf>
    <xf numFmtId="0" fontId="31" fillId="7" borderId="17" xfId="85" applyFill="1" applyBorder="1" applyAlignment="1">
      <alignment horizontal="center" vertical="center" wrapText="1"/>
    </xf>
    <xf numFmtId="0" fontId="31" fillId="7" borderId="7" xfId="85" applyFill="1" applyBorder="1" applyAlignment="1">
      <alignment horizontal="center" vertical="center" wrapText="1"/>
    </xf>
    <xf numFmtId="0" fontId="31" fillId="7" borderId="20" xfId="85" applyFill="1" applyBorder="1" applyAlignment="1">
      <alignment horizontal="center" vertical="center" wrapText="1"/>
    </xf>
    <xf numFmtId="0" fontId="12" fillId="7" borderId="17" xfId="85" applyFont="1" applyFill="1" applyBorder="1" applyAlignment="1">
      <alignment horizontal="center" vertical="center" wrapText="1"/>
    </xf>
    <xf numFmtId="0" fontId="12" fillId="7" borderId="7" xfId="85" applyFont="1" applyFill="1" applyBorder="1" applyAlignment="1">
      <alignment horizontal="center" vertical="center" wrapText="1"/>
    </xf>
    <xf numFmtId="0" fontId="12" fillId="7" borderId="20" xfId="85" applyFont="1" applyFill="1" applyBorder="1" applyAlignment="1">
      <alignment horizontal="center" vertical="center" wrapText="1"/>
    </xf>
    <xf numFmtId="0" fontId="31" fillId="7" borderId="0" xfId="85" applyFill="1" applyAlignment="1">
      <alignment wrapText="1"/>
    </xf>
    <xf numFmtId="0" fontId="31" fillId="0" borderId="6" xfId="42" applyFont="1" applyBorder="1" applyAlignment="1" applyProtection="1">
      <alignment horizontal="center" vertical="center"/>
      <protection locked="0"/>
    </xf>
    <xf numFmtId="0" fontId="12" fillId="7" borderId="2" xfId="109" applyFont="1" applyFill="1" applyBorder="1" applyAlignment="1">
      <alignment vertical="center" wrapText="1"/>
    </xf>
    <xf numFmtId="0" fontId="12" fillId="7" borderId="0" xfId="109" applyFont="1" applyFill="1" applyAlignment="1">
      <alignment vertical="center" wrapText="1"/>
    </xf>
    <xf numFmtId="14" fontId="31" fillId="0" borderId="14" xfId="40" applyNumberFormat="1" applyFont="1" applyBorder="1" applyAlignment="1" applyProtection="1">
      <alignment horizontal="center" vertical="center"/>
      <protection locked="0"/>
    </xf>
    <xf numFmtId="0" fontId="31" fillId="0" borderId="14" xfId="40" applyFont="1" applyBorder="1" applyAlignment="1" applyProtection="1">
      <alignment horizontal="center" vertical="center"/>
      <protection locked="0"/>
    </xf>
    <xf numFmtId="14" fontId="31" fillId="0" borderId="16" xfId="40" applyNumberFormat="1" applyFont="1" applyBorder="1" applyAlignment="1" applyProtection="1">
      <alignment horizontal="center" vertical="center"/>
      <protection locked="0"/>
    </xf>
    <xf numFmtId="0" fontId="31" fillId="0" borderId="16" xfId="40" applyFont="1" applyBorder="1" applyAlignment="1" applyProtection="1">
      <alignment horizontal="center" vertical="center"/>
      <protection locked="0"/>
    </xf>
    <xf numFmtId="14" fontId="31" fillId="0" borderId="6" xfId="40" applyNumberFormat="1" applyFont="1" applyBorder="1" applyAlignment="1" applyProtection="1">
      <alignment horizontal="center" vertical="center"/>
      <protection locked="0"/>
    </xf>
    <xf numFmtId="0" fontId="12" fillId="7" borderId="8" xfId="85" applyFont="1" applyFill="1" applyBorder="1" applyAlignment="1">
      <alignment horizontal="center" vertical="top"/>
    </xf>
    <xf numFmtId="0" fontId="12" fillId="7" borderId="21" xfId="85" applyFont="1" applyFill="1" applyBorder="1" applyAlignment="1">
      <alignment horizontal="center" vertical="top"/>
    </xf>
    <xf numFmtId="0" fontId="12" fillId="7" borderId="9" xfId="85" applyFont="1" applyFill="1" applyBorder="1" applyAlignment="1">
      <alignment horizontal="center" vertical="top"/>
    </xf>
    <xf numFmtId="4" fontId="9" fillId="0" borderId="6" xfId="42" applyNumberFormat="1" applyFont="1" applyBorder="1" applyAlignment="1" applyProtection="1">
      <alignment horizontal="center"/>
      <protection locked="0"/>
    </xf>
    <xf numFmtId="0" fontId="9" fillId="0" borderId="6" xfId="42" applyFont="1" applyBorder="1" applyAlignment="1" applyProtection="1">
      <alignment horizontal="center" vertical="center"/>
      <protection locked="0"/>
    </xf>
    <xf numFmtId="0" fontId="9" fillId="0" borderId="6" xfId="42" applyFont="1" applyBorder="1" applyAlignment="1" applyProtection="1">
      <alignment horizontal="center"/>
      <protection locked="0"/>
    </xf>
    <xf numFmtId="0" fontId="18" fillId="7" borderId="0" xfId="80" applyFont="1" applyFill="1" applyAlignment="1">
      <alignment horizontal="center"/>
    </xf>
    <xf numFmtId="0" fontId="18" fillId="7" borderId="6" xfId="80" applyFont="1" applyFill="1" applyBorder="1" applyAlignment="1">
      <alignment horizontal="center"/>
    </xf>
    <xf numFmtId="3" fontId="12" fillId="7" borderId="126" xfId="85" applyNumberFormat="1" applyFont="1" applyFill="1" applyBorder="1" applyAlignment="1">
      <alignment horizontal="center" vertical="center"/>
    </xf>
    <xf numFmtId="0" fontId="17" fillId="7" borderId="0" xfId="109" applyFont="1" applyFill="1" applyAlignment="1">
      <alignment vertical="center"/>
    </xf>
    <xf numFmtId="3" fontId="31" fillId="0" borderId="48" xfId="85" applyNumberFormat="1" applyBorder="1" applyAlignment="1" applyProtection="1">
      <alignment horizontal="center" vertical="center"/>
      <protection locked="0"/>
    </xf>
    <xf numFmtId="3" fontId="31" fillId="7" borderId="7" xfId="85" applyNumberFormat="1" applyFill="1" applyBorder="1" applyAlignment="1">
      <alignment horizontal="center" vertical="center"/>
    </xf>
    <xf numFmtId="3" fontId="31" fillId="7" borderId="20" xfId="85" applyNumberFormat="1" applyFill="1" applyBorder="1" applyAlignment="1">
      <alignment horizontal="center" vertical="center"/>
    </xf>
    <xf numFmtId="3" fontId="31" fillId="0" borderId="40" xfId="85" applyNumberFormat="1" applyBorder="1" applyAlignment="1" applyProtection="1">
      <alignment horizontal="center" vertical="center"/>
      <protection locked="0"/>
    </xf>
    <xf numFmtId="3" fontId="31" fillId="7" borderId="14" xfId="85" applyNumberFormat="1" applyFill="1" applyBorder="1" applyAlignment="1">
      <alignment horizontal="center" vertical="center"/>
    </xf>
    <xf numFmtId="3" fontId="31" fillId="7" borderId="18" xfId="85" applyNumberFormat="1" applyFill="1" applyBorder="1" applyAlignment="1">
      <alignment horizontal="center" vertical="center"/>
    </xf>
    <xf numFmtId="0" fontId="12" fillId="7" borderId="92" xfId="85" applyFont="1" applyFill="1" applyBorder="1" applyAlignment="1">
      <alignment horizontal="center" vertical="center" wrapText="1"/>
    </xf>
    <xf numFmtId="0" fontId="12" fillId="7" borderId="93" xfId="85" applyFont="1" applyFill="1" applyBorder="1" applyAlignment="1">
      <alignment horizontal="center" vertical="center" wrapText="1"/>
    </xf>
    <xf numFmtId="3" fontId="31" fillId="0" borderId="42" xfId="85" applyNumberFormat="1" applyBorder="1" applyAlignment="1" applyProtection="1">
      <alignment horizontal="center" vertical="center"/>
      <protection locked="0"/>
    </xf>
    <xf numFmtId="3" fontId="31" fillId="7" borderId="16" xfId="85" applyNumberFormat="1" applyFill="1" applyBorder="1" applyAlignment="1">
      <alignment horizontal="center" vertical="center"/>
    </xf>
    <xf numFmtId="3" fontId="31" fillId="7" borderId="19" xfId="85" applyNumberFormat="1" applyFill="1" applyBorder="1" applyAlignment="1">
      <alignment horizontal="center" vertical="center"/>
    </xf>
    <xf numFmtId="0" fontId="22" fillId="7" borderId="22" xfId="85" applyFont="1" applyFill="1" applyBorder="1" applyAlignment="1">
      <alignment horizontal="center" vertical="center" wrapText="1"/>
    </xf>
    <xf numFmtId="0" fontId="22" fillId="7" borderId="23" xfId="85" applyFont="1" applyFill="1" applyBorder="1" applyAlignment="1">
      <alignment horizontal="center" vertical="center" wrapText="1"/>
    </xf>
    <xf numFmtId="0" fontId="22" fillId="7" borderId="31" xfId="85" applyFont="1" applyFill="1" applyBorder="1" applyAlignment="1">
      <alignment horizontal="center" vertical="center" wrapText="1"/>
    </xf>
    <xf numFmtId="0" fontId="22" fillId="7" borderId="38" xfId="85" applyFont="1" applyFill="1" applyBorder="1" applyAlignment="1">
      <alignment horizontal="center" vertical="center" wrapText="1"/>
    </xf>
    <xf numFmtId="0" fontId="17" fillId="7" borderId="0" xfId="109" applyFont="1" applyFill="1" applyAlignment="1">
      <alignment horizontal="justify" vertical="center"/>
    </xf>
    <xf numFmtId="3" fontId="12" fillId="7" borderId="16" xfId="85" applyNumberFormat="1" applyFont="1" applyFill="1" applyBorder="1" applyAlignment="1">
      <alignment horizontal="center" vertical="center"/>
    </xf>
    <xf numFmtId="3" fontId="12" fillId="7" borderId="19" xfId="85" applyNumberFormat="1" applyFont="1" applyFill="1" applyBorder="1" applyAlignment="1">
      <alignment horizontal="center" vertical="center"/>
    </xf>
    <xf numFmtId="0" fontId="31" fillId="7" borderId="17" xfId="85" applyFill="1" applyBorder="1" applyAlignment="1">
      <alignment vertical="center"/>
    </xf>
    <xf numFmtId="0" fontId="31" fillId="7" borderId="7" xfId="85" applyFill="1" applyBorder="1" applyAlignment="1">
      <alignment vertical="center"/>
    </xf>
    <xf numFmtId="0" fontId="31" fillId="7" borderId="20" xfId="85" applyFill="1" applyBorder="1" applyAlignment="1">
      <alignment vertical="center"/>
    </xf>
    <xf numFmtId="3" fontId="12" fillId="7" borderId="7" xfId="85" applyNumberFormat="1" applyFont="1" applyFill="1" applyBorder="1" applyAlignment="1">
      <alignment horizontal="center" vertical="center"/>
    </xf>
    <xf numFmtId="3" fontId="12" fillId="7" borderId="20" xfId="85" applyNumberFormat="1" applyFont="1" applyFill="1" applyBorder="1" applyAlignment="1">
      <alignment horizontal="center" vertical="center"/>
    </xf>
    <xf numFmtId="0" fontId="31" fillId="7" borderId="15" xfId="85" applyFill="1" applyBorder="1" applyAlignment="1">
      <alignment vertical="center"/>
    </xf>
    <xf numFmtId="0" fontId="31" fillId="7" borderId="16" xfId="85" applyFill="1" applyBorder="1" applyAlignment="1">
      <alignment vertical="center"/>
    </xf>
    <xf numFmtId="0" fontId="31" fillId="7" borderId="19" xfId="85" applyFill="1" applyBorder="1" applyAlignment="1">
      <alignment vertical="center"/>
    </xf>
    <xf numFmtId="0" fontId="31" fillId="7" borderId="13" xfId="85" applyFill="1" applyBorder="1" applyAlignment="1">
      <alignment vertical="center" wrapText="1"/>
    </xf>
    <xf numFmtId="0" fontId="31" fillId="7" borderId="14" xfId="85" applyFill="1" applyBorder="1" applyAlignment="1">
      <alignment vertical="center" wrapText="1"/>
    </xf>
    <xf numFmtId="0" fontId="31" fillId="7" borderId="18" xfId="85" applyFill="1" applyBorder="1" applyAlignment="1">
      <alignment vertical="center" wrapText="1"/>
    </xf>
    <xf numFmtId="3" fontId="12" fillId="7" borderId="14" xfId="85" applyNumberFormat="1" applyFont="1" applyFill="1" applyBorder="1" applyAlignment="1">
      <alignment horizontal="center" vertical="center"/>
    </xf>
    <xf numFmtId="3" fontId="12" fillId="7" borderId="18" xfId="85" applyNumberFormat="1" applyFont="1" applyFill="1" applyBorder="1" applyAlignment="1">
      <alignment horizontal="center" vertical="center"/>
    </xf>
    <xf numFmtId="0" fontId="17" fillId="7" borderId="0" xfId="69" applyFont="1" applyFill="1" applyAlignment="1">
      <alignment horizontal="justify" vertical="center" wrapText="1"/>
    </xf>
    <xf numFmtId="0" fontId="12" fillId="7" borderId="93" xfId="40" applyFont="1" applyFill="1" applyBorder="1" applyAlignment="1">
      <alignment horizontal="center" vertical="center" wrapText="1"/>
    </xf>
    <xf numFmtId="0" fontId="12" fillId="7" borderId="21" xfId="40" applyFont="1" applyFill="1" applyBorder="1" applyAlignment="1">
      <alignment horizontal="center" vertical="center" wrapText="1"/>
    </xf>
    <xf numFmtId="0" fontId="12" fillId="7" borderId="67" xfId="40" applyFont="1" applyFill="1" applyBorder="1" applyAlignment="1">
      <alignment horizontal="center" vertical="center" wrapText="1"/>
    </xf>
    <xf numFmtId="0" fontId="12" fillId="7" borderId="68" xfId="40" applyFont="1" applyFill="1" applyBorder="1" applyAlignment="1">
      <alignment horizontal="center" vertical="center" wrapText="1"/>
    </xf>
    <xf numFmtId="0" fontId="12" fillId="7" borderId="9" xfId="40" applyFont="1" applyFill="1" applyBorder="1" applyAlignment="1">
      <alignment horizontal="center" vertical="center" wrapText="1"/>
    </xf>
    <xf numFmtId="0" fontId="9" fillId="7" borderId="72" xfId="40" quotePrefix="1" applyFont="1" applyFill="1" applyBorder="1" applyAlignment="1">
      <alignment horizontal="center" vertical="center"/>
    </xf>
    <xf numFmtId="0" fontId="9" fillId="7" borderId="73" xfId="40" quotePrefix="1" applyFont="1" applyFill="1" applyBorder="1" applyAlignment="1">
      <alignment horizontal="center" vertical="center"/>
    </xf>
    <xf numFmtId="0" fontId="9" fillId="7" borderId="76" xfId="40" quotePrefix="1" applyFont="1" applyFill="1" applyBorder="1" applyAlignment="1">
      <alignment horizontal="center" vertical="center"/>
    </xf>
    <xf numFmtId="0" fontId="17" fillId="7" borderId="2" xfId="69" applyFont="1" applyFill="1" applyBorder="1" applyAlignment="1">
      <alignment horizontal="justify" vertical="center" wrapText="1"/>
    </xf>
    <xf numFmtId="0" fontId="12" fillId="7" borderId="8" xfId="40" applyFont="1" applyFill="1" applyBorder="1" applyAlignment="1">
      <alignment horizontal="center" vertical="center" wrapText="1"/>
    </xf>
    <xf numFmtId="0" fontId="12" fillId="7" borderId="92" xfId="40" applyFont="1" applyFill="1" applyBorder="1" applyAlignment="1">
      <alignment horizontal="center" vertical="center" wrapText="1"/>
    </xf>
    <xf numFmtId="0" fontId="31" fillId="7" borderId="2" xfId="69" applyFill="1" applyBorder="1" applyAlignment="1">
      <alignment horizontal="justify" wrapText="1"/>
    </xf>
    <xf numFmtId="0" fontId="31" fillId="7" borderId="0" xfId="69" applyFill="1" applyAlignment="1">
      <alignment horizontal="justify" wrapText="1"/>
    </xf>
    <xf numFmtId="3" fontId="31" fillId="0" borderId="97" xfId="40" applyNumberFormat="1" applyFont="1" applyBorder="1" applyAlignment="1" applyProtection="1">
      <alignment horizontal="center" vertical="center"/>
      <protection locked="0"/>
    </xf>
    <xf numFmtId="3" fontId="31" fillId="0" borderId="71" xfId="40" applyNumberFormat="1" applyFont="1" applyBorder="1" applyAlignment="1" applyProtection="1">
      <alignment horizontal="center" vertical="center"/>
      <protection locked="0"/>
    </xf>
    <xf numFmtId="3" fontId="31" fillId="0" borderId="79" xfId="40" applyNumberFormat="1" applyFont="1" applyBorder="1" applyAlignment="1" applyProtection="1">
      <alignment horizontal="center" vertical="center"/>
      <protection locked="0"/>
    </xf>
    <xf numFmtId="3" fontId="31" fillId="0" borderId="75" xfId="40" applyNumberFormat="1" applyFont="1" applyBorder="1" applyAlignment="1" applyProtection="1">
      <alignment horizontal="center" vertical="center"/>
      <protection locked="0"/>
    </xf>
    <xf numFmtId="3" fontId="31" fillId="0" borderId="74" xfId="40" applyNumberFormat="1" applyFont="1" applyBorder="1" applyAlignment="1" applyProtection="1">
      <alignment horizontal="center" vertical="center"/>
      <protection locked="0"/>
    </xf>
    <xf numFmtId="3" fontId="31" fillId="0" borderId="100" xfId="40" applyNumberFormat="1" applyFont="1" applyBorder="1" applyAlignment="1" applyProtection="1">
      <alignment horizontal="center" vertical="center"/>
      <protection locked="0"/>
    </xf>
    <xf numFmtId="3" fontId="31" fillId="0" borderId="73" xfId="40" applyNumberFormat="1" applyFont="1" applyBorder="1" applyAlignment="1" applyProtection="1">
      <alignment horizontal="center" vertical="center"/>
      <protection locked="0"/>
    </xf>
    <xf numFmtId="3" fontId="31" fillId="0" borderId="77" xfId="40" applyNumberFormat="1" applyFont="1" applyBorder="1" applyAlignment="1" applyProtection="1">
      <alignment horizontal="center" vertical="center"/>
      <protection locked="0"/>
    </xf>
    <xf numFmtId="3" fontId="31" fillId="0" borderId="78" xfId="40" applyNumberFormat="1" applyFont="1" applyBorder="1" applyAlignment="1" applyProtection="1">
      <alignment horizontal="center" vertical="center"/>
      <protection locked="0"/>
    </xf>
    <xf numFmtId="3" fontId="31" fillId="0" borderId="76" xfId="40" applyNumberFormat="1" applyFont="1" applyBorder="1" applyAlignment="1" applyProtection="1">
      <alignment horizontal="center" vertical="center"/>
      <protection locked="0"/>
    </xf>
    <xf numFmtId="0" fontId="13" fillId="7" borderId="8" xfId="40" applyFont="1" applyFill="1" applyBorder="1" applyAlignment="1">
      <alignment horizontal="center" vertical="center" wrapText="1"/>
    </xf>
    <xf numFmtId="0" fontId="13" fillId="7" borderId="21" xfId="40" applyFont="1" applyFill="1" applyBorder="1" applyAlignment="1">
      <alignment horizontal="center" vertical="center" wrapText="1"/>
    </xf>
    <xf numFmtId="0" fontId="13" fillId="7" borderId="92" xfId="40" applyFont="1" applyFill="1" applyBorder="1" applyAlignment="1">
      <alignment horizontal="center" vertical="center" wrapText="1"/>
    </xf>
    <xf numFmtId="0" fontId="13" fillId="7" borderId="93" xfId="40" applyFont="1" applyFill="1" applyBorder="1" applyAlignment="1">
      <alignment horizontal="center" vertical="center" wrapText="1"/>
    </xf>
    <xf numFmtId="0" fontId="13" fillId="7" borderId="67" xfId="40" applyFont="1" applyFill="1" applyBorder="1" applyAlignment="1">
      <alignment horizontal="center" vertical="center" wrapText="1"/>
    </xf>
    <xf numFmtId="0" fontId="13" fillId="7" borderId="68" xfId="40" applyFont="1" applyFill="1" applyBorder="1" applyAlignment="1">
      <alignment horizontal="center" vertical="center" wrapText="1"/>
    </xf>
    <xf numFmtId="0" fontId="13" fillId="7" borderId="9" xfId="40" applyFont="1" applyFill="1" applyBorder="1" applyAlignment="1">
      <alignment horizontal="center" vertical="center" wrapText="1"/>
    </xf>
    <xf numFmtId="3" fontId="31" fillId="0" borderId="95" xfId="40" applyNumberFormat="1" applyFont="1" applyBorder="1" applyAlignment="1" applyProtection="1">
      <alignment horizontal="center" vertical="center"/>
      <protection locked="0"/>
    </xf>
    <xf numFmtId="3" fontId="31" fillId="0" borderId="70" xfId="40" applyNumberFormat="1" applyFont="1" applyBorder="1" applyAlignment="1" applyProtection="1">
      <alignment horizontal="center" vertical="center"/>
      <protection locked="0"/>
    </xf>
    <xf numFmtId="3" fontId="31" fillId="0" borderId="101" xfId="40" applyNumberFormat="1" applyFont="1" applyBorder="1" applyAlignment="1" applyProtection="1">
      <alignment horizontal="center" vertical="center"/>
      <protection locked="0"/>
    </xf>
    <xf numFmtId="3" fontId="31" fillId="0" borderId="102" xfId="40" applyNumberFormat="1" applyFont="1" applyBorder="1" applyAlignment="1" applyProtection="1">
      <alignment horizontal="center" vertical="center"/>
      <protection locked="0"/>
    </xf>
    <xf numFmtId="3" fontId="31" fillId="0" borderId="91" xfId="40" applyNumberFormat="1" applyFont="1" applyBorder="1" applyAlignment="1" applyProtection="1">
      <alignment horizontal="center" vertical="center"/>
      <protection locked="0"/>
    </xf>
    <xf numFmtId="0" fontId="16" fillId="7" borderId="269" xfId="40" applyFont="1" applyFill="1" applyBorder="1" applyAlignment="1">
      <alignment horizontal="center" vertical="center"/>
    </xf>
    <xf numFmtId="0" fontId="16" fillId="7" borderId="271" xfId="40" applyFont="1" applyFill="1" applyBorder="1" applyAlignment="1">
      <alignment horizontal="center" vertical="center"/>
    </xf>
    <xf numFmtId="0" fontId="16" fillId="7" borderId="257" xfId="40" applyFont="1" applyFill="1" applyBorder="1" applyAlignment="1">
      <alignment horizontal="center" vertical="center"/>
    </xf>
    <xf numFmtId="0" fontId="16" fillId="7" borderId="258" xfId="40" applyFont="1" applyFill="1" applyBorder="1" applyAlignment="1">
      <alignment horizontal="center" vertical="center"/>
    </xf>
    <xf numFmtId="0" fontId="16" fillId="7" borderId="259" xfId="40" applyFont="1" applyFill="1" applyBorder="1" applyAlignment="1">
      <alignment horizontal="center" vertical="center"/>
    </xf>
    <xf numFmtId="0" fontId="16" fillId="7" borderId="257" xfId="40" applyFont="1" applyFill="1" applyBorder="1" applyAlignment="1">
      <alignment horizontal="justify" vertical="center" wrapText="1"/>
    </xf>
    <xf numFmtId="0" fontId="16" fillId="7" borderId="270" xfId="40" applyFont="1" applyFill="1" applyBorder="1" applyAlignment="1">
      <alignment horizontal="center" vertical="center"/>
    </xf>
    <xf numFmtId="0" fontId="89" fillId="7" borderId="240" xfId="40" applyFont="1" applyFill="1" applyBorder="1" applyAlignment="1">
      <alignment horizontal="left" vertical="top"/>
    </xf>
    <xf numFmtId="0" fontId="16" fillId="0" borderId="35" xfId="40" applyFont="1" applyBorder="1" applyAlignment="1" applyProtection="1">
      <alignment horizontal="center" vertical="center"/>
      <protection locked="0"/>
    </xf>
    <xf numFmtId="0" fontId="16" fillId="0" borderId="28" xfId="40" applyFont="1" applyBorder="1" applyAlignment="1" applyProtection="1">
      <alignment horizontal="center" vertical="center"/>
      <protection locked="0"/>
    </xf>
    <xf numFmtId="0" fontId="16" fillId="0" borderId="71" xfId="40" applyFont="1" applyBorder="1" applyAlignment="1" applyProtection="1">
      <alignment horizontal="center" vertical="center"/>
      <protection locked="0"/>
    </xf>
    <xf numFmtId="0" fontId="16" fillId="0" borderId="79" xfId="40" applyFont="1" applyBorder="1" applyAlignment="1" applyProtection="1">
      <alignment horizontal="center" vertical="center"/>
      <protection locked="0"/>
    </xf>
    <xf numFmtId="0" fontId="16" fillId="0" borderId="75" xfId="40" applyFont="1" applyBorder="1" applyAlignment="1" applyProtection="1">
      <alignment horizontal="center" vertical="center"/>
      <protection locked="0"/>
    </xf>
    <xf numFmtId="0" fontId="16" fillId="0" borderId="315" xfId="40" applyFont="1" applyBorder="1" applyAlignment="1" applyProtection="1">
      <alignment horizontal="center" vertical="center"/>
      <protection locked="0"/>
    </xf>
    <xf numFmtId="0" fontId="16" fillId="7" borderId="0" xfId="40" applyFont="1" applyFill="1" applyAlignment="1">
      <alignment horizontal="justify" vertical="top" wrapText="1"/>
    </xf>
    <xf numFmtId="0" fontId="16" fillId="0" borderId="3" xfId="40" applyFont="1" applyBorder="1" applyAlignment="1" applyProtection="1">
      <alignment horizontal="center" vertical="center"/>
      <protection locked="0"/>
    </xf>
    <xf numFmtId="0" fontId="16" fillId="0" borderId="243" xfId="40" applyFont="1" applyBorder="1" applyAlignment="1" applyProtection="1">
      <alignment horizontal="center" vertical="center"/>
      <protection locked="0"/>
    </xf>
    <xf numFmtId="0" fontId="16" fillId="0" borderId="6" xfId="40" applyFont="1" applyBorder="1" applyAlignment="1" applyProtection="1">
      <alignment horizontal="center" vertical="center" wrapText="1"/>
      <protection locked="0"/>
    </xf>
    <xf numFmtId="0" fontId="16" fillId="0" borderId="11" xfId="40" applyFont="1" applyBorder="1" applyAlignment="1" applyProtection="1">
      <alignment horizontal="center" vertical="center"/>
      <protection locked="0"/>
    </xf>
    <xf numFmtId="0" fontId="16" fillId="7" borderId="71" xfId="40" applyFont="1" applyFill="1" applyBorder="1" applyAlignment="1">
      <alignment horizontal="justify" vertical="center" wrapText="1"/>
    </xf>
    <xf numFmtId="0" fontId="16" fillId="0" borderId="69" xfId="40" applyFont="1" applyBorder="1" applyAlignment="1" applyProtection="1">
      <alignment horizontal="center" vertical="center"/>
      <protection locked="0"/>
    </xf>
    <xf numFmtId="0" fontId="16" fillId="0" borderId="74" xfId="40" applyFont="1" applyBorder="1" applyAlignment="1" applyProtection="1">
      <alignment horizontal="center" vertical="center"/>
      <protection locked="0"/>
    </xf>
    <xf numFmtId="0" fontId="16" fillId="0" borderId="86" xfId="40" applyFont="1" applyBorder="1" applyAlignment="1" applyProtection="1">
      <alignment horizontal="center" vertical="center"/>
      <protection locked="0"/>
    </xf>
    <xf numFmtId="0" fontId="16" fillId="0" borderId="85" xfId="40" applyFont="1" applyBorder="1" applyAlignment="1" applyProtection="1">
      <alignment horizontal="center" vertical="center"/>
      <protection locked="0"/>
    </xf>
    <xf numFmtId="0" fontId="16" fillId="0" borderId="84" xfId="40" applyFont="1" applyBorder="1" applyAlignment="1" applyProtection="1">
      <alignment horizontal="center" vertical="center"/>
      <protection locked="0"/>
    </xf>
    <xf numFmtId="0" fontId="16" fillId="0" borderId="81" xfId="40" applyFont="1" applyBorder="1" applyAlignment="1" applyProtection="1">
      <alignment horizontal="center" vertical="center"/>
      <protection locked="0"/>
    </xf>
    <xf numFmtId="0" fontId="16" fillId="0" borderId="313" xfId="40" applyFont="1" applyBorder="1" applyAlignment="1" applyProtection="1">
      <alignment horizontal="center" vertical="center"/>
      <protection locked="0"/>
    </xf>
    <xf numFmtId="0" fontId="16" fillId="0" borderId="80" xfId="40" applyFont="1" applyBorder="1" applyAlignment="1" applyProtection="1">
      <alignment horizontal="center" vertical="center"/>
      <protection locked="0"/>
    </xf>
    <xf numFmtId="0" fontId="16" fillId="3" borderId="69" xfId="40" applyFont="1" applyFill="1" applyBorder="1" applyAlignment="1">
      <alignment horizontal="center"/>
    </xf>
    <xf numFmtId="0" fontId="16" fillId="3" borderId="71" xfId="40" applyFont="1" applyFill="1" applyBorder="1" applyAlignment="1">
      <alignment horizontal="center"/>
    </xf>
    <xf numFmtId="0" fontId="16" fillId="3" borderId="315" xfId="40" applyFont="1" applyFill="1" applyBorder="1" applyAlignment="1">
      <alignment horizontal="center"/>
    </xf>
    <xf numFmtId="0" fontId="16" fillId="2" borderId="86" xfId="40" applyFont="1" applyFill="1" applyBorder="1" applyAlignment="1" applyProtection="1">
      <alignment horizontal="center" vertical="center"/>
      <protection locked="0"/>
    </xf>
    <xf numFmtId="0" fontId="16" fillId="2" borderId="85" xfId="40" applyFont="1" applyFill="1" applyBorder="1" applyAlignment="1" applyProtection="1">
      <alignment horizontal="center" vertical="center"/>
      <protection locked="0"/>
    </xf>
    <xf numFmtId="0" fontId="16" fillId="2" borderId="313" xfId="40" applyFont="1" applyFill="1" applyBorder="1" applyAlignment="1" applyProtection="1">
      <alignment horizontal="center" vertical="center"/>
      <protection locked="0"/>
    </xf>
    <xf numFmtId="0" fontId="16" fillId="2" borderId="80" xfId="40" applyFont="1" applyFill="1" applyBorder="1" applyAlignment="1" applyProtection="1">
      <alignment horizontal="center" vertical="center"/>
      <protection locked="0"/>
    </xf>
    <xf numFmtId="0" fontId="16" fillId="2" borderId="81" xfId="40" applyFont="1" applyFill="1" applyBorder="1" applyAlignment="1" applyProtection="1">
      <alignment horizontal="center" vertical="center"/>
      <protection locked="0"/>
    </xf>
    <xf numFmtId="0" fontId="16" fillId="2" borderId="84" xfId="40" applyFont="1" applyFill="1" applyBorder="1" applyAlignment="1" applyProtection="1">
      <alignment horizontal="center" vertical="center"/>
      <protection locked="0"/>
    </xf>
    <xf numFmtId="0" fontId="13" fillId="7" borderId="258" xfId="40" applyFont="1" applyFill="1" applyBorder="1" applyAlignment="1">
      <alignment horizontal="center" vertical="center"/>
    </xf>
    <xf numFmtId="0" fontId="13" fillId="7" borderId="278" xfId="40" applyFont="1" applyFill="1" applyBorder="1" applyAlignment="1">
      <alignment horizontal="center" vertical="center"/>
    </xf>
    <xf numFmtId="0" fontId="13" fillId="7" borderId="309" xfId="40" applyFont="1" applyFill="1" applyBorder="1" applyAlignment="1">
      <alignment horizontal="center" vertical="center"/>
    </xf>
    <xf numFmtId="0" fontId="16" fillId="3" borderId="82" xfId="40" applyFont="1" applyFill="1" applyBorder="1" applyAlignment="1">
      <alignment horizontal="center"/>
    </xf>
    <xf numFmtId="0" fontId="16" fillId="3" borderId="83" xfId="40" applyFont="1" applyFill="1" applyBorder="1" applyAlignment="1">
      <alignment horizontal="center"/>
    </xf>
    <xf numFmtId="0" fontId="16" fillId="3" borderId="311" xfId="40" applyFont="1" applyFill="1" applyBorder="1" applyAlignment="1">
      <alignment horizontal="center"/>
    </xf>
    <xf numFmtId="0" fontId="13" fillId="7" borderId="239" xfId="40" applyFont="1" applyFill="1" applyBorder="1" applyAlignment="1">
      <alignment horizontal="center" vertical="center"/>
    </xf>
    <xf numFmtId="0" fontId="13" fillId="7" borderId="240" xfId="40" applyFont="1" applyFill="1" applyBorder="1" applyAlignment="1">
      <alignment horizontal="center" vertical="center"/>
    </xf>
    <xf numFmtId="0" fontId="13" fillId="7" borderId="261" xfId="40" applyFont="1" applyFill="1" applyBorder="1" applyAlignment="1">
      <alignment horizontal="center" vertical="center"/>
    </xf>
    <xf numFmtId="0" fontId="13" fillId="7" borderId="256" xfId="40" applyFont="1" applyFill="1" applyBorder="1" applyAlignment="1">
      <alignment horizontal="center" vertical="center"/>
    </xf>
    <xf numFmtId="0" fontId="13" fillId="7" borderId="257" xfId="40" applyFont="1" applyFill="1" applyBorder="1" applyAlignment="1">
      <alignment horizontal="center" vertical="center"/>
    </xf>
    <xf numFmtId="0" fontId="13" fillId="7" borderId="271" xfId="40" applyFont="1" applyFill="1" applyBorder="1" applyAlignment="1">
      <alignment horizontal="center" vertical="center"/>
    </xf>
    <xf numFmtId="0" fontId="13" fillId="7" borderId="283" xfId="40" applyFont="1" applyFill="1" applyBorder="1" applyAlignment="1">
      <alignment horizontal="center" vertical="center"/>
    </xf>
    <xf numFmtId="0" fontId="13" fillId="7" borderId="281" xfId="40" applyFont="1" applyFill="1" applyBorder="1" applyAlignment="1">
      <alignment horizontal="center" vertical="center"/>
    </xf>
    <xf numFmtId="0" fontId="13" fillId="7" borderId="282" xfId="40" applyFont="1" applyFill="1" applyBorder="1" applyAlignment="1">
      <alignment horizontal="center" vertical="center"/>
    </xf>
    <xf numFmtId="0" fontId="13" fillId="7" borderId="284" xfId="40" applyFont="1" applyFill="1" applyBorder="1" applyAlignment="1">
      <alignment horizontal="center" vertical="center"/>
    </xf>
    <xf numFmtId="0" fontId="13" fillId="7" borderId="277" xfId="40" applyFont="1" applyFill="1" applyBorder="1" applyAlignment="1">
      <alignment horizontal="center" vertical="center"/>
    </xf>
    <xf numFmtId="0" fontId="13" fillId="7" borderId="279" xfId="40" applyFont="1" applyFill="1" applyBorder="1" applyAlignment="1">
      <alignment horizontal="center" vertical="center"/>
    </xf>
    <xf numFmtId="0" fontId="27" fillId="7" borderId="0" xfId="40" applyFont="1" applyFill="1" applyAlignment="1">
      <alignment horizontal="left" vertical="top" wrapText="1"/>
    </xf>
    <xf numFmtId="0" fontId="16" fillId="0" borderId="269" xfId="40" applyFont="1" applyBorder="1" applyAlignment="1" applyProtection="1">
      <alignment horizontal="center" vertical="center"/>
      <protection locked="0"/>
    </xf>
    <xf numFmtId="0" fontId="16" fillId="0" borderId="258" xfId="40" applyFont="1" applyBorder="1" applyAlignment="1" applyProtection="1">
      <alignment horizontal="center" vertical="center"/>
      <protection locked="0"/>
    </xf>
    <xf numFmtId="0" fontId="16" fillId="0" borderId="259" xfId="40" applyFont="1" applyBorder="1" applyAlignment="1" applyProtection="1">
      <alignment horizontal="center" vertical="center"/>
      <protection locked="0"/>
    </xf>
    <xf numFmtId="0" fontId="16" fillId="0" borderId="271" xfId="40" applyFont="1" applyBorder="1" applyAlignment="1" applyProtection="1">
      <alignment horizontal="center" vertical="center"/>
      <protection locked="0"/>
    </xf>
    <xf numFmtId="0" fontId="16" fillId="0" borderId="257" xfId="40" applyFont="1" applyBorder="1" applyAlignment="1" applyProtection="1">
      <alignment horizontal="center" vertical="center"/>
      <protection locked="0"/>
    </xf>
    <xf numFmtId="0" fontId="16" fillId="0" borderId="16" xfId="40" applyFont="1" applyBorder="1" applyAlignment="1" applyProtection="1">
      <alignment horizontal="center" vertical="center"/>
      <protection locked="0"/>
    </xf>
    <xf numFmtId="0" fontId="16" fillId="0" borderId="26" xfId="40" applyFont="1" applyBorder="1" applyAlignment="1" applyProtection="1">
      <alignment horizontal="center" vertical="center"/>
      <protection locked="0"/>
    </xf>
    <xf numFmtId="0" fontId="16" fillId="0" borderId="33" xfId="40" applyFont="1" applyBorder="1" applyAlignment="1" applyProtection="1">
      <alignment horizontal="center" vertical="center"/>
      <protection locked="0"/>
    </xf>
    <xf numFmtId="0" fontId="16" fillId="0" borderId="251" xfId="40" applyFont="1" applyBorder="1" applyAlignment="1" applyProtection="1">
      <alignment horizontal="center" vertical="center"/>
      <protection locked="0"/>
    </xf>
    <xf numFmtId="0" fontId="16" fillId="7" borderId="257" xfId="40" applyFont="1" applyFill="1" applyBorder="1" applyAlignment="1">
      <alignment horizontal="justify" vertical="center"/>
    </xf>
    <xf numFmtId="0" fontId="16" fillId="0" borderId="270" xfId="40" applyFont="1" applyBorder="1" applyAlignment="1" applyProtection="1">
      <alignment horizontal="center" vertical="center"/>
      <protection locked="0"/>
    </xf>
    <xf numFmtId="0" fontId="16" fillId="7" borderId="16" xfId="40" applyFont="1" applyFill="1" applyBorder="1" applyAlignment="1">
      <alignment horizontal="justify" vertical="center"/>
    </xf>
    <xf numFmtId="0" fontId="16" fillId="0" borderId="15" xfId="40" applyFont="1" applyBorder="1" applyAlignment="1" applyProtection="1">
      <alignment horizontal="center" vertical="center"/>
      <protection locked="0"/>
    </xf>
    <xf numFmtId="0" fontId="16" fillId="0" borderId="19" xfId="40" applyFont="1" applyBorder="1" applyAlignment="1" applyProtection="1">
      <alignment horizontal="center" vertical="center"/>
      <protection locked="0"/>
    </xf>
    <xf numFmtId="0" fontId="77" fillId="3" borderId="81" xfId="40" applyFont="1" applyFill="1" applyBorder="1" applyAlignment="1">
      <alignment vertical="center"/>
    </xf>
    <xf numFmtId="0" fontId="77" fillId="3" borderId="313" xfId="40" applyFont="1" applyFill="1" applyBorder="1" applyAlignment="1">
      <alignment vertical="center"/>
    </xf>
    <xf numFmtId="0" fontId="77" fillId="3" borderId="83" xfId="40" applyFont="1" applyFill="1" applyBorder="1" applyAlignment="1">
      <alignment horizontal="justify" vertical="center"/>
    </xf>
    <xf numFmtId="0" fontId="77" fillId="3" borderId="311" xfId="40" applyFont="1" applyFill="1" applyBorder="1" applyAlignment="1">
      <alignment horizontal="justify" vertical="center"/>
    </xf>
    <xf numFmtId="0" fontId="16" fillId="7" borderId="0" xfId="40" applyFont="1" applyFill="1" applyAlignment="1">
      <alignment horizontal="justify" vertical="center"/>
    </xf>
    <xf numFmtId="0" fontId="16" fillId="0" borderId="0" xfId="40" applyFont="1" applyAlignment="1" applyProtection="1">
      <alignment horizontal="center" vertical="center"/>
      <protection locked="0"/>
    </xf>
    <xf numFmtId="0" fontId="16" fillId="0" borderId="34" xfId="40" applyFont="1" applyBorder="1" applyAlignment="1" applyProtection="1">
      <alignment horizontal="center" vertical="center"/>
      <protection locked="0"/>
    </xf>
    <xf numFmtId="0" fontId="16" fillId="0" borderId="27" xfId="40" applyFont="1" applyBorder="1" applyAlignment="1" applyProtection="1">
      <alignment horizontal="center" vertical="center"/>
      <protection locked="0"/>
    </xf>
    <xf numFmtId="0" fontId="16" fillId="0" borderId="119" xfId="40" applyFont="1" applyBorder="1" applyAlignment="1" applyProtection="1">
      <alignment horizontal="center" vertical="center"/>
      <protection locked="0"/>
    </xf>
    <xf numFmtId="0" fontId="16" fillId="0" borderId="63" xfId="40" applyFont="1" applyBorder="1" applyAlignment="1" applyProtection="1">
      <alignment horizontal="center" vertical="center"/>
      <protection locked="0"/>
    </xf>
    <xf numFmtId="0" fontId="16" fillId="0" borderId="305" xfId="40" applyFont="1" applyBorder="1" applyAlignment="1" applyProtection="1">
      <alignment horizontal="center" vertical="center"/>
      <protection locked="0"/>
    </xf>
    <xf numFmtId="0" fontId="16" fillId="0" borderId="290" xfId="40" applyFont="1" applyBorder="1" applyAlignment="1" applyProtection="1">
      <alignment horizontal="center" vertical="center"/>
      <protection locked="0"/>
    </xf>
    <xf numFmtId="0" fontId="89" fillId="7" borderId="6" xfId="40" applyFont="1" applyFill="1" applyBorder="1" applyAlignment="1">
      <alignment horizontal="justify" vertical="top" wrapText="1"/>
    </xf>
    <xf numFmtId="0" fontId="16" fillId="7" borderId="7" xfId="40" applyFont="1" applyFill="1" applyBorder="1" applyAlignment="1">
      <alignment horizontal="justify" vertical="center" wrapText="1"/>
    </xf>
    <xf numFmtId="0" fontId="16" fillId="0" borderId="17" xfId="40" applyFont="1" applyBorder="1" applyAlignment="1" applyProtection="1">
      <alignment horizontal="center" vertical="center"/>
      <protection locked="0"/>
    </xf>
    <xf numFmtId="0" fontId="16" fillId="0" borderId="37" xfId="40" applyFont="1" applyBorder="1" applyAlignment="1" applyProtection="1">
      <alignment horizontal="center" vertical="center"/>
      <protection locked="0"/>
    </xf>
    <xf numFmtId="0" fontId="16" fillId="0" borderId="20" xfId="40" applyFont="1" applyBorder="1" applyAlignment="1" applyProtection="1">
      <alignment horizontal="center" vertical="center"/>
      <protection locked="0"/>
    </xf>
    <xf numFmtId="0" fontId="16" fillId="0" borderId="52" xfId="40" applyFont="1" applyBorder="1" applyAlignment="1" applyProtection="1">
      <alignment horizontal="center" vertical="center"/>
      <protection locked="0"/>
    </xf>
    <xf numFmtId="0" fontId="16" fillId="7" borderId="16" xfId="40" applyFont="1" applyFill="1" applyBorder="1" applyAlignment="1">
      <alignment horizontal="justify" vertical="center" wrapText="1"/>
    </xf>
    <xf numFmtId="0" fontId="77" fillId="3" borderId="0" xfId="40" applyFont="1" applyFill="1" applyAlignment="1">
      <alignment horizontal="center" vertical="center"/>
    </xf>
    <xf numFmtId="0" fontId="77" fillId="3" borderId="243" xfId="40" applyFont="1" applyFill="1" applyBorder="1" applyAlignment="1">
      <alignment horizontal="center" vertical="center"/>
    </xf>
    <xf numFmtId="0" fontId="77" fillId="3" borderId="0" xfId="40" applyFont="1" applyFill="1" applyAlignment="1">
      <alignment horizontal="justify" vertical="center"/>
    </xf>
    <xf numFmtId="0" fontId="77" fillId="3" borderId="243" xfId="40" applyFont="1" applyFill="1" applyBorder="1" applyAlignment="1">
      <alignment horizontal="justify" vertical="center"/>
    </xf>
    <xf numFmtId="0" fontId="77" fillId="3" borderId="6" xfId="40" applyFont="1" applyFill="1" applyBorder="1" applyAlignment="1">
      <alignment horizontal="justify" vertical="center"/>
    </xf>
    <xf numFmtId="0" fontId="77" fillId="3" borderId="290" xfId="40" applyFont="1" applyFill="1" applyBorder="1" applyAlignment="1">
      <alignment horizontal="justify" vertical="center"/>
    </xf>
    <xf numFmtId="0" fontId="77" fillId="3" borderId="0" xfId="40" applyFont="1" applyFill="1" applyAlignment="1">
      <alignment vertical="center"/>
    </xf>
    <xf numFmtId="0" fontId="77" fillId="3" borderId="243" xfId="40" applyFont="1" applyFill="1" applyBorder="1" applyAlignment="1">
      <alignment vertical="center"/>
    </xf>
    <xf numFmtId="0" fontId="16" fillId="0" borderId="73" xfId="40" applyFont="1" applyBorder="1" applyAlignment="1" applyProtection="1">
      <alignment horizontal="center" vertical="center"/>
      <protection locked="0"/>
    </xf>
    <xf numFmtId="0" fontId="16" fillId="0" borderId="77" xfId="40" applyFont="1" applyBorder="1" applyAlignment="1" applyProtection="1">
      <alignment horizontal="center" vertical="center"/>
      <protection locked="0"/>
    </xf>
    <xf numFmtId="0" fontId="16" fillId="0" borderId="78" xfId="40" applyFont="1" applyBorder="1" applyAlignment="1" applyProtection="1">
      <alignment horizontal="center" vertical="center"/>
      <protection locked="0"/>
    </xf>
    <xf numFmtId="0" fontId="16" fillId="0" borderId="76" xfId="40" applyFont="1" applyBorder="1" applyAlignment="1" applyProtection="1">
      <alignment horizontal="center" vertical="center"/>
      <protection locked="0"/>
    </xf>
    <xf numFmtId="0" fontId="16" fillId="7" borderId="73" xfId="40" applyFont="1" applyFill="1" applyBorder="1" applyAlignment="1">
      <alignment horizontal="justify" vertical="center" wrapText="1"/>
    </xf>
    <xf numFmtId="0" fontId="16" fillId="0" borderId="72" xfId="40" applyFont="1" applyBorder="1" applyAlignment="1" applyProtection="1">
      <alignment horizontal="center" vertical="center"/>
      <protection locked="0"/>
    </xf>
    <xf numFmtId="0" fontId="13" fillId="7" borderId="54" xfId="40" applyFont="1" applyFill="1" applyBorder="1" applyAlignment="1">
      <alignment horizontal="center" vertical="center"/>
    </xf>
    <xf numFmtId="0" fontId="13" fillId="7" borderId="61" xfId="40" applyFont="1" applyFill="1" applyBorder="1" applyAlignment="1">
      <alignment horizontal="center" vertical="center"/>
    </xf>
    <xf numFmtId="0" fontId="16" fillId="7" borderId="70" xfId="40" applyFont="1" applyFill="1" applyBorder="1" applyAlignment="1">
      <alignment horizontal="justify" vertical="center" wrapText="1"/>
    </xf>
    <xf numFmtId="0" fontId="17" fillId="7" borderId="0" xfId="180" applyFont="1" applyFill="1" applyAlignment="1">
      <alignment horizontal="justify" vertical="top" wrapText="1"/>
    </xf>
    <xf numFmtId="0" fontId="27" fillId="7" borderId="0" xfId="180" applyFont="1" applyFill="1" applyAlignment="1">
      <alignment horizontal="justify" vertical="top" wrapText="1"/>
    </xf>
    <xf numFmtId="0" fontId="13" fillId="7" borderId="1" xfId="40" applyFont="1" applyFill="1" applyBorder="1" applyAlignment="1">
      <alignment horizontal="center" vertical="center"/>
    </xf>
    <xf numFmtId="0" fontId="13" fillId="7" borderId="2" xfId="40" applyFont="1" applyFill="1" applyBorder="1" applyAlignment="1">
      <alignment horizontal="center" vertical="center"/>
    </xf>
    <xf numFmtId="0" fontId="13" fillId="7" borderId="10" xfId="40" applyFont="1" applyFill="1" applyBorder="1" applyAlignment="1">
      <alignment horizontal="center" vertical="center"/>
    </xf>
    <xf numFmtId="0" fontId="13" fillId="7" borderId="4" xfId="40" applyFont="1" applyFill="1" applyBorder="1" applyAlignment="1">
      <alignment horizontal="center" vertical="center"/>
    </xf>
    <xf numFmtId="0" fontId="13" fillId="7" borderId="5" xfId="40" applyFont="1" applyFill="1" applyBorder="1" applyAlignment="1">
      <alignment horizontal="center" vertical="center"/>
    </xf>
    <xf numFmtId="0" fontId="13" fillId="7" borderId="12" xfId="40" applyFont="1" applyFill="1" applyBorder="1" applyAlignment="1">
      <alignment horizontal="center" vertical="center"/>
    </xf>
    <xf numFmtId="0" fontId="13" fillId="7" borderId="13" xfId="40" applyFont="1" applyFill="1" applyBorder="1" applyAlignment="1">
      <alignment horizontal="center" vertical="center"/>
    </xf>
    <xf numFmtId="0" fontId="13" fillId="7" borderId="14" xfId="40" applyFont="1" applyFill="1" applyBorder="1" applyAlignment="1">
      <alignment horizontal="center" vertical="center"/>
    </xf>
    <xf numFmtId="0" fontId="13" fillId="7" borderId="18" xfId="40" applyFont="1" applyFill="1" applyBorder="1" applyAlignment="1">
      <alignment horizontal="center" vertical="center"/>
    </xf>
    <xf numFmtId="0" fontId="13" fillId="7" borderId="53" xfId="40" applyFont="1" applyFill="1" applyBorder="1" applyAlignment="1">
      <alignment horizontal="center" vertical="center"/>
    </xf>
    <xf numFmtId="0" fontId="13" fillId="7" borderId="29" xfId="40" applyFont="1" applyFill="1" applyBorder="1" applyAlignment="1">
      <alignment horizontal="center" vertical="center"/>
    </xf>
    <xf numFmtId="3" fontId="72" fillId="0" borderId="257" xfId="68" applyNumberFormat="1" applyFont="1" applyBorder="1" applyAlignment="1" applyProtection="1">
      <alignment horizontal="center" vertical="center"/>
      <protection locked="0"/>
    </xf>
    <xf numFmtId="3" fontId="72" fillId="0" borderId="271" xfId="68" applyNumberFormat="1" applyFont="1" applyBorder="1" applyAlignment="1" applyProtection="1">
      <alignment horizontal="center" vertical="center"/>
      <protection locked="0"/>
    </xf>
    <xf numFmtId="3" fontId="72" fillId="0" borderId="257" xfId="68" applyNumberFormat="1" applyFont="1" applyBorder="1" applyAlignment="1" applyProtection="1">
      <alignment horizontal="center" vertical="center" wrapText="1"/>
      <protection locked="0"/>
    </xf>
    <xf numFmtId="3" fontId="72" fillId="0" borderId="258" xfId="68" applyNumberFormat="1" applyFont="1" applyBorder="1" applyAlignment="1" applyProtection="1">
      <alignment horizontal="center" vertical="center" wrapText="1"/>
      <protection locked="0"/>
    </xf>
    <xf numFmtId="3" fontId="72" fillId="0" borderId="269" xfId="68" applyNumberFormat="1" applyFont="1" applyBorder="1" applyAlignment="1" applyProtection="1">
      <alignment horizontal="center" vertical="center"/>
      <protection locked="0"/>
    </xf>
    <xf numFmtId="3" fontId="72" fillId="0" borderId="259" xfId="68" applyNumberFormat="1" applyFont="1" applyBorder="1" applyAlignment="1" applyProtection="1">
      <alignment horizontal="center" vertical="center"/>
      <protection locked="0"/>
    </xf>
    <xf numFmtId="0" fontId="17" fillId="7" borderId="0" xfId="111" applyFont="1" applyFill="1" applyAlignment="1">
      <alignment horizontal="justify" vertical="center"/>
    </xf>
    <xf numFmtId="0" fontId="73" fillId="7" borderId="0" xfId="68" applyFont="1" applyFill="1" applyAlignment="1">
      <alignment horizontal="justify" vertical="top" wrapText="1"/>
    </xf>
    <xf numFmtId="0" fontId="0" fillId="7" borderId="0" xfId="188" applyFont="1" applyFill="1" applyAlignment="1">
      <alignment vertical="top" wrapText="1"/>
    </xf>
    <xf numFmtId="0" fontId="69" fillId="7" borderId="244" xfId="68" applyFont="1" applyFill="1" applyBorder="1" applyAlignment="1">
      <alignment horizontal="center" vertical="center" wrapText="1"/>
    </xf>
    <xf numFmtId="0" fontId="69" fillId="7" borderId="245" xfId="68" applyFont="1" applyFill="1" applyBorder="1" applyAlignment="1">
      <alignment horizontal="center" vertical="center" wrapText="1"/>
    </xf>
    <xf numFmtId="0" fontId="69" fillId="7" borderId="272" xfId="68" applyFont="1" applyFill="1" applyBorder="1" applyAlignment="1">
      <alignment horizontal="center" vertical="center" wrapText="1"/>
    </xf>
    <xf numFmtId="0" fontId="69" fillId="7" borderId="273" xfId="68" applyFont="1" applyFill="1" applyBorder="1" applyAlignment="1">
      <alignment horizontal="center" vertical="center" wrapText="1"/>
    </xf>
    <xf numFmtId="0" fontId="69" fillId="7" borderId="274" xfId="68" applyFont="1" applyFill="1" applyBorder="1" applyAlignment="1">
      <alignment horizontal="center" vertical="center" wrapText="1"/>
    </xf>
    <xf numFmtId="0" fontId="69" fillId="7" borderId="275" xfId="68" applyFont="1" applyFill="1" applyBorder="1" applyAlignment="1">
      <alignment horizontal="center" vertical="center" wrapText="1"/>
    </xf>
    <xf numFmtId="0" fontId="69" fillId="7" borderId="276" xfId="68" applyFont="1" applyFill="1" applyBorder="1" applyAlignment="1">
      <alignment horizontal="center" vertical="center" wrapText="1"/>
    </xf>
    <xf numFmtId="0" fontId="69" fillId="7" borderId="247" xfId="68" applyFont="1" applyFill="1" applyBorder="1" applyAlignment="1">
      <alignment horizontal="center" vertical="center" wrapText="1"/>
    </xf>
    <xf numFmtId="3" fontId="72" fillId="0" borderId="256" xfId="68" applyNumberFormat="1" applyFont="1" applyBorder="1" applyAlignment="1" applyProtection="1">
      <alignment horizontal="center" vertical="center" wrapText="1"/>
      <protection locked="0"/>
    </xf>
    <xf numFmtId="3" fontId="72" fillId="0" borderId="277" xfId="68" applyNumberFormat="1" applyFont="1" applyBorder="1" applyAlignment="1" applyProtection="1">
      <alignment horizontal="center" vertical="center" wrapText="1"/>
      <protection locked="0"/>
    </xf>
    <xf numFmtId="3" fontId="72" fillId="0" borderId="278" xfId="68" applyNumberFormat="1" applyFont="1" applyBorder="1" applyAlignment="1" applyProtection="1">
      <alignment horizontal="center" vertical="center" wrapText="1"/>
      <protection locked="0"/>
    </xf>
    <xf numFmtId="3" fontId="72" fillId="0" borderId="279" xfId="68" applyNumberFormat="1" applyFont="1" applyBorder="1" applyAlignment="1" applyProtection="1">
      <alignment horizontal="center" vertical="center" wrapText="1"/>
      <protection locked="0"/>
    </xf>
    <xf numFmtId="3" fontId="72" fillId="0" borderId="269" xfId="68" applyNumberFormat="1" applyFont="1" applyBorder="1" applyAlignment="1" applyProtection="1">
      <alignment horizontal="center" vertical="center" wrapText="1"/>
      <protection locked="0"/>
    </xf>
    <xf numFmtId="3" fontId="72" fillId="0" borderId="259" xfId="68" applyNumberFormat="1" applyFont="1" applyBorder="1" applyAlignment="1" applyProtection="1">
      <alignment horizontal="center" vertical="center" wrapText="1"/>
      <protection locked="0"/>
    </xf>
    <xf numFmtId="3" fontId="72" fillId="0" borderId="270" xfId="68" applyNumberFormat="1" applyFont="1" applyBorder="1" applyAlignment="1" applyProtection="1">
      <alignment horizontal="center" vertical="center" wrapText="1"/>
      <protection locked="0"/>
    </xf>
    <xf numFmtId="0" fontId="69" fillId="7" borderId="239" xfId="68" applyFont="1" applyFill="1" applyBorder="1" applyAlignment="1">
      <alignment horizontal="center" vertical="center" wrapText="1"/>
    </xf>
    <xf numFmtId="0" fontId="69" fillId="7" borderId="240" xfId="68" applyFont="1" applyFill="1" applyBorder="1" applyAlignment="1">
      <alignment horizontal="center" vertical="center" wrapText="1"/>
    </xf>
    <xf numFmtId="0" fontId="69" fillId="7" borderId="260" xfId="68" applyFont="1" applyFill="1" applyBorder="1" applyAlignment="1">
      <alignment horizontal="center" vertical="center" wrapText="1"/>
    </xf>
    <xf numFmtId="0" fontId="69" fillId="7" borderId="261" xfId="68" applyFont="1" applyFill="1" applyBorder="1" applyAlignment="1">
      <alignment horizontal="center" vertical="center" wrapText="1"/>
    </xf>
    <xf numFmtId="0" fontId="69" fillId="7" borderId="241" xfId="68" applyFont="1" applyFill="1" applyBorder="1" applyAlignment="1">
      <alignment horizontal="center" vertical="center" wrapText="1"/>
    </xf>
    <xf numFmtId="0" fontId="69" fillId="7" borderId="262" xfId="68" applyFont="1" applyFill="1" applyBorder="1" applyAlignment="1">
      <alignment horizontal="center" vertical="center"/>
    </xf>
    <xf numFmtId="0" fontId="69" fillId="7" borderId="263" xfId="68" applyFont="1" applyFill="1" applyBorder="1" applyAlignment="1">
      <alignment horizontal="center" vertical="center"/>
    </xf>
    <xf numFmtId="0" fontId="69" fillId="7" borderId="264" xfId="68" applyFont="1" applyFill="1" applyBorder="1" applyAlignment="1">
      <alignment horizontal="center" vertical="center"/>
    </xf>
    <xf numFmtId="0" fontId="69" fillId="7" borderId="265" xfId="68" applyFont="1" applyFill="1" applyBorder="1" applyAlignment="1">
      <alignment horizontal="center" vertical="center"/>
    </xf>
    <xf numFmtId="0" fontId="69" fillId="7" borderId="266" xfId="68" applyFont="1" applyFill="1" applyBorder="1" applyAlignment="1">
      <alignment horizontal="center" vertical="center"/>
    </xf>
    <xf numFmtId="0" fontId="69" fillId="7" borderId="267" xfId="68" applyFont="1" applyFill="1" applyBorder="1" applyAlignment="1">
      <alignment horizontal="center" vertical="center"/>
    </xf>
    <xf numFmtId="0" fontId="69" fillId="7" borderId="268" xfId="68" applyFont="1" applyFill="1" applyBorder="1" applyAlignment="1">
      <alignment horizontal="center" vertical="center"/>
    </xf>
    <xf numFmtId="0" fontId="0" fillId="7" borderId="0" xfId="188" applyFont="1" applyFill="1" applyAlignment="1">
      <alignment horizontal="justify" vertical="top" wrapText="1"/>
    </xf>
    <xf numFmtId="0" fontId="0" fillId="7" borderId="0" xfId="188" applyFont="1" applyFill="1" applyAlignment="1">
      <alignment horizontal="justify" vertical="center" wrapText="1"/>
    </xf>
    <xf numFmtId="0" fontId="12" fillId="7" borderId="245" xfId="188" applyFont="1" applyFill="1" applyBorder="1" applyAlignment="1">
      <alignment horizontal="center" vertical="center"/>
    </xf>
    <xf numFmtId="0" fontId="12" fillId="7" borderId="246" xfId="188" applyFont="1" applyFill="1" applyBorder="1" applyAlignment="1">
      <alignment horizontal="center" vertical="center"/>
    </xf>
    <xf numFmtId="0" fontId="12" fillId="7" borderId="245" xfId="188" applyFont="1" applyFill="1" applyBorder="1" applyAlignment="1">
      <alignment horizontal="center" vertical="center" wrapText="1"/>
    </xf>
    <xf numFmtId="0" fontId="12" fillId="7" borderId="247" xfId="188" applyFont="1" applyFill="1" applyBorder="1" applyAlignment="1">
      <alignment horizontal="center" vertical="center" wrapText="1"/>
    </xf>
    <xf numFmtId="0" fontId="0" fillId="7" borderId="16" xfId="188" applyFont="1" applyFill="1" applyBorder="1" applyAlignment="1">
      <alignment horizontal="justify" vertical="center" wrapText="1"/>
    </xf>
    <xf numFmtId="0" fontId="0" fillId="0" borderId="8" xfId="188" applyFont="1" applyBorder="1" applyAlignment="1" applyProtection="1">
      <alignment horizontal="center" vertical="center" wrapText="1"/>
      <protection locked="0"/>
    </xf>
    <xf numFmtId="0" fontId="0" fillId="0" borderId="21" xfId="188" applyFont="1" applyBorder="1" applyAlignment="1" applyProtection="1">
      <alignment horizontal="center" vertical="center" wrapText="1"/>
      <protection locked="0"/>
    </xf>
    <xf numFmtId="0" fontId="0" fillId="0" borderId="9" xfId="188" applyFont="1" applyBorder="1" applyAlignment="1" applyProtection="1">
      <alignment horizontal="center" vertical="center" wrapText="1"/>
      <protection locked="0"/>
    </xf>
    <xf numFmtId="0" fontId="0" fillId="7" borderId="0" xfId="190" applyFont="1" applyFill="1" applyAlignment="1">
      <alignment vertical="center" wrapText="1"/>
    </xf>
    <xf numFmtId="0" fontId="31" fillId="0" borderId="8" xfId="188" applyFont="1" applyBorder="1" applyAlignment="1" applyProtection="1">
      <alignment horizontal="center" vertical="center" wrapText="1"/>
      <protection locked="0"/>
    </xf>
    <xf numFmtId="4" fontId="72" fillId="0" borderId="269" xfId="68" applyNumberFormat="1" applyFont="1" applyBorder="1" applyAlignment="1" applyProtection="1">
      <alignment horizontal="center" vertical="center"/>
      <protection locked="0"/>
    </xf>
    <xf numFmtId="4" fontId="72" fillId="0" borderId="257" xfId="68" applyNumberFormat="1" applyFont="1" applyBorder="1" applyAlignment="1" applyProtection="1">
      <alignment horizontal="center" vertical="center"/>
      <protection locked="0"/>
    </xf>
    <xf numFmtId="4" fontId="72" fillId="0" borderId="258" xfId="68" applyNumberFormat="1" applyFont="1" applyBorder="1" applyAlignment="1" applyProtection="1">
      <alignment horizontal="center" vertical="center"/>
      <protection locked="0"/>
    </xf>
    <xf numFmtId="10" fontId="72" fillId="0" borderId="257" xfId="68" applyNumberFormat="1" applyFont="1" applyBorder="1" applyAlignment="1" applyProtection="1">
      <alignment horizontal="center" vertical="center"/>
      <protection locked="0"/>
    </xf>
    <xf numFmtId="10" fontId="72" fillId="0" borderId="259" xfId="68" applyNumberFormat="1" applyFont="1" applyBorder="1" applyAlignment="1" applyProtection="1">
      <alignment horizontal="center" vertical="center"/>
      <protection locked="0"/>
    </xf>
    <xf numFmtId="0" fontId="72" fillId="0" borderId="256" xfId="68" applyFont="1" applyBorder="1" applyAlignment="1" applyProtection="1">
      <alignment horizontal="center" vertical="center" wrapText="1"/>
      <protection locked="0"/>
    </xf>
    <xf numFmtId="0" fontId="72" fillId="0" borderId="257" xfId="68" applyFont="1" applyBorder="1" applyAlignment="1" applyProtection="1">
      <alignment horizontal="center" vertical="center" wrapText="1"/>
      <protection locked="0"/>
    </xf>
    <xf numFmtId="0" fontId="72" fillId="0" borderId="258" xfId="68" applyFont="1" applyBorder="1" applyAlignment="1" applyProtection="1">
      <alignment horizontal="center" vertical="center" wrapText="1"/>
      <protection locked="0"/>
    </xf>
    <xf numFmtId="0" fontId="72" fillId="0" borderId="269" xfId="68" applyFont="1" applyBorder="1" applyAlignment="1" applyProtection="1">
      <alignment horizontal="center" vertical="center"/>
      <protection locked="0"/>
    </xf>
    <xf numFmtId="0" fontId="72" fillId="0" borderId="257" xfId="68" applyFont="1" applyBorder="1" applyAlignment="1" applyProtection="1">
      <alignment horizontal="center" vertical="center"/>
      <protection locked="0"/>
    </xf>
    <xf numFmtId="0" fontId="72" fillId="0" borderId="271" xfId="68" applyFont="1" applyBorder="1" applyAlignment="1" applyProtection="1">
      <alignment horizontal="center" vertical="center"/>
      <protection locked="0"/>
    </xf>
    <xf numFmtId="0" fontId="72" fillId="0" borderId="259" xfId="68" applyFont="1" applyBorder="1" applyAlignment="1" applyProtection="1">
      <alignment horizontal="center" vertical="center"/>
      <protection locked="0"/>
    </xf>
    <xf numFmtId="0" fontId="74" fillId="7" borderId="263" xfId="68" applyFont="1" applyFill="1" applyBorder="1" applyAlignment="1">
      <alignment horizontal="center" vertical="center" wrapText="1"/>
    </xf>
    <xf numFmtId="0" fontId="74" fillId="7" borderId="264" xfId="68" applyFont="1" applyFill="1" applyBorder="1" applyAlignment="1">
      <alignment horizontal="center" vertical="center" wrapText="1"/>
    </xf>
    <xf numFmtId="0" fontId="74" fillId="7" borderId="267" xfId="68" applyFont="1" applyFill="1" applyBorder="1" applyAlignment="1">
      <alignment horizontal="center" vertical="center" wrapText="1"/>
    </xf>
    <xf numFmtId="0" fontId="71" fillId="7" borderId="267" xfId="68" applyFont="1" applyFill="1" applyBorder="1" applyAlignment="1">
      <alignment horizontal="center" vertical="center" wrapText="1"/>
    </xf>
    <xf numFmtId="0" fontId="71" fillId="7" borderId="263" xfId="68" applyFont="1" applyFill="1" applyBorder="1" applyAlignment="1">
      <alignment horizontal="center" vertical="center" wrapText="1"/>
    </xf>
    <xf numFmtId="0" fontId="71" fillId="7" borderId="268" xfId="68" applyFont="1" applyFill="1" applyBorder="1" applyAlignment="1">
      <alignment horizontal="center" vertical="center" wrapText="1"/>
    </xf>
    <xf numFmtId="10" fontId="72" fillId="0" borderId="269" xfId="68" applyNumberFormat="1" applyFont="1" applyBorder="1" applyAlignment="1" applyProtection="1">
      <alignment horizontal="center" vertical="center" wrapText="1"/>
      <protection locked="0"/>
    </xf>
    <xf numFmtId="10" fontId="72" fillId="0" borderId="257" xfId="68" applyNumberFormat="1" applyFont="1" applyBorder="1" applyAlignment="1" applyProtection="1">
      <alignment horizontal="center" vertical="center" wrapText="1"/>
      <protection locked="0"/>
    </xf>
    <xf numFmtId="10" fontId="72" fillId="0" borderId="271" xfId="68" applyNumberFormat="1" applyFont="1" applyBorder="1" applyAlignment="1" applyProtection="1">
      <alignment horizontal="center" vertical="center" wrapText="1"/>
      <protection locked="0"/>
    </xf>
    <xf numFmtId="3" fontId="72" fillId="0" borderId="270" xfId="68" applyNumberFormat="1" applyFont="1" applyBorder="1" applyAlignment="1" applyProtection="1">
      <alignment horizontal="center" vertical="center"/>
      <protection locked="0"/>
    </xf>
    <xf numFmtId="3" fontId="72" fillId="0" borderId="258" xfId="68" applyNumberFormat="1" applyFont="1" applyBorder="1" applyAlignment="1" applyProtection="1">
      <alignment horizontal="center" vertical="center"/>
      <protection locked="0"/>
    </xf>
    <xf numFmtId="4" fontId="72" fillId="0" borderId="269" xfId="68" applyNumberFormat="1" applyFont="1" applyBorder="1" applyAlignment="1" applyProtection="1">
      <alignment horizontal="center" vertical="center" wrapText="1"/>
      <protection locked="0"/>
    </xf>
    <xf numFmtId="4" fontId="72" fillId="0" borderId="257" xfId="68" applyNumberFormat="1" applyFont="1" applyBorder="1" applyAlignment="1" applyProtection="1">
      <alignment horizontal="center" vertical="center" wrapText="1"/>
      <protection locked="0"/>
    </xf>
    <xf numFmtId="4" fontId="72" fillId="0" borderId="258" xfId="68" applyNumberFormat="1" applyFont="1" applyBorder="1" applyAlignment="1" applyProtection="1">
      <alignment horizontal="center" vertical="center" wrapText="1"/>
      <protection locked="0"/>
    </xf>
    <xf numFmtId="10" fontId="72" fillId="0" borderId="271" xfId="68" applyNumberFormat="1" applyFont="1" applyBorder="1" applyAlignment="1" applyProtection="1">
      <alignment horizontal="center" vertical="center"/>
      <protection locked="0"/>
    </xf>
    <xf numFmtId="0" fontId="74" fillId="7" borderId="262" xfId="68" applyFont="1" applyFill="1" applyBorder="1" applyAlignment="1">
      <alignment horizontal="center" vertical="center" wrapText="1"/>
    </xf>
    <xf numFmtId="0" fontId="71" fillId="7" borderId="266" xfId="68" applyFont="1" applyFill="1" applyBorder="1" applyAlignment="1">
      <alignment horizontal="center" vertical="center" wrapText="1"/>
    </xf>
    <xf numFmtId="0" fontId="74" fillId="7" borderId="265" xfId="68" applyFont="1" applyFill="1" applyBorder="1" applyAlignment="1">
      <alignment horizontal="center" vertical="center" wrapText="1"/>
    </xf>
    <xf numFmtId="0" fontId="0" fillId="7" borderId="0" xfId="190" applyFont="1" applyFill="1" applyAlignment="1">
      <alignment horizontal="justify" vertical="center"/>
    </xf>
    <xf numFmtId="0" fontId="69" fillId="7" borderId="280" xfId="68" applyFont="1" applyFill="1" applyBorder="1" applyAlignment="1">
      <alignment horizontal="center" vertical="center" wrapText="1"/>
    </xf>
    <xf numFmtId="0" fontId="69" fillId="7" borderId="281" xfId="68" applyFont="1" applyFill="1" applyBorder="1" applyAlignment="1">
      <alignment horizontal="center" vertical="center" wrapText="1"/>
    </xf>
    <xf numFmtId="0" fontId="69" fillId="7" borderId="282" xfId="68" applyFont="1" applyFill="1" applyBorder="1" applyAlignment="1">
      <alignment horizontal="center" vertical="center" wrapText="1"/>
    </xf>
    <xf numFmtId="0" fontId="69" fillId="7" borderId="283" xfId="68" applyFont="1" applyFill="1" applyBorder="1" applyAlignment="1">
      <alignment horizontal="center" vertical="center" wrapText="1"/>
    </xf>
    <xf numFmtId="0" fontId="69" fillId="7" borderId="284" xfId="68" applyFont="1" applyFill="1" applyBorder="1" applyAlignment="1">
      <alignment horizontal="center" vertical="center" wrapText="1"/>
    </xf>
    <xf numFmtId="0" fontId="18" fillId="7" borderId="0" xfId="188" applyFont="1" applyFill="1" applyAlignment="1">
      <alignment horizontal="justify" vertical="top" wrapText="1"/>
    </xf>
    <xf numFmtId="0" fontId="72" fillId="7" borderId="0" xfId="68" applyFont="1" applyFill="1" applyAlignment="1">
      <alignment horizontal="center"/>
    </xf>
    <xf numFmtId="3" fontId="0" fillId="0" borderId="8" xfId="188" applyNumberFormat="1" applyFont="1" applyBorder="1" applyAlignment="1" applyProtection="1">
      <alignment horizontal="center" vertical="center" wrapText="1"/>
      <protection locked="0"/>
    </xf>
    <xf numFmtId="3" fontId="0" fillId="0" borderId="21" xfId="188" applyNumberFormat="1" applyFont="1" applyBorder="1" applyAlignment="1" applyProtection="1">
      <alignment horizontal="center" vertical="center" wrapText="1"/>
      <protection locked="0"/>
    </xf>
    <xf numFmtId="3" fontId="0" fillId="0" borderId="9" xfId="188" applyNumberFormat="1" applyFont="1" applyBorder="1" applyAlignment="1" applyProtection="1">
      <alignment horizontal="center" vertical="center" wrapText="1"/>
      <protection locked="0"/>
    </xf>
    <xf numFmtId="0" fontId="69" fillId="7" borderId="256" xfId="68" applyFont="1" applyFill="1" applyBorder="1" applyAlignment="1">
      <alignment horizontal="center" vertical="center" wrapText="1"/>
    </xf>
    <xf numFmtId="0" fontId="69" fillId="7" borderId="257" xfId="68" applyFont="1" applyFill="1" applyBorder="1" applyAlignment="1">
      <alignment horizontal="center" vertical="center" wrapText="1"/>
    </xf>
    <xf numFmtId="0" fontId="69" fillId="7" borderId="259" xfId="68" applyFont="1" applyFill="1" applyBorder="1" applyAlignment="1">
      <alignment horizontal="center" vertical="center" wrapText="1"/>
    </xf>
    <xf numFmtId="0" fontId="69" fillId="7" borderId="246" xfId="68" applyFont="1" applyFill="1" applyBorder="1" applyAlignment="1">
      <alignment horizontal="center" vertical="center" wrapText="1"/>
    </xf>
    <xf numFmtId="0" fontId="69" fillId="7" borderId="0" xfId="68" applyFont="1" applyFill="1" applyAlignment="1">
      <alignment horizontal="center" vertical="center" wrapText="1"/>
    </xf>
    <xf numFmtId="3" fontId="72" fillId="0" borderId="271" xfId="68" applyNumberFormat="1" applyFont="1" applyBorder="1" applyAlignment="1" applyProtection="1">
      <alignment horizontal="center" vertical="center" wrapText="1"/>
      <protection locked="0"/>
    </xf>
    <xf numFmtId="0" fontId="72" fillId="7" borderId="0" xfId="68" applyFont="1" applyFill="1" applyAlignment="1">
      <alignment horizontal="center" wrapText="1"/>
    </xf>
    <xf numFmtId="0" fontId="86" fillId="0" borderId="257" xfId="40" applyFont="1" applyBorder="1" applyAlignment="1" applyProtection="1">
      <alignment horizontal="center" vertical="top"/>
      <protection locked="0"/>
    </xf>
    <xf numFmtId="0" fontId="86" fillId="0" borderId="259" xfId="40" applyFont="1" applyBorder="1" applyAlignment="1" applyProtection="1">
      <alignment horizontal="center" vertical="top"/>
      <protection locked="0"/>
    </xf>
    <xf numFmtId="0" fontId="69" fillId="7" borderId="0" xfId="68" applyFont="1" applyFill="1" applyAlignment="1">
      <alignment horizontal="center" vertical="center" shrinkToFit="1"/>
    </xf>
    <xf numFmtId="0" fontId="69" fillId="7" borderId="3" xfId="68" applyFont="1" applyFill="1" applyBorder="1" applyAlignment="1">
      <alignment horizontal="center" vertical="center" shrinkToFit="1"/>
    </xf>
    <xf numFmtId="0" fontId="69" fillId="7" borderId="11" xfId="68" applyFont="1" applyFill="1" applyBorder="1" applyAlignment="1">
      <alignment horizontal="center" vertical="center" shrinkToFit="1"/>
    </xf>
    <xf numFmtId="0" fontId="86" fillId="0" borderId="270" xfId="40" applyFont="1" applyBorder="1" applyAlignment="1" applyProtection="1">
      <alignment horizontal="center" vertical="top"/>
      <protection locked="0"/>
    </xf>
    <xf numFmtId="0" fontId="86" fillId="0" borderId="271" xfId="40" applyFont="1" applyBorder="1" applyAlignment="1" applyProtection="1">
      <alignment horizontal="center" vertical="top"/>
      <protection locked="0"/>
    </xf>
    <xf numFmtId="0" fontId="69" fillId="7" borderId="242" xfId="68" applyFont="1" applyFill="1" applyBorder="1" applyAlignment="1">
      <alignment horizontal="center" vertical="center" wrapText="1"/>
    </xf>
    <xf numFmtId="0" fontId="69" fillId="7" borderId="243" xfId="68" applyFont="1" applyFill="1" applyBorder="1" applyAlignment="1">
      <alignment horizontal="center" vertical="center" wrapText="1"/>
    </xf>
    <xf numFmtId="0" fontId="69" fillId="7" borderId="240" xfId="68" applyFont="1" applyFill="1" applyBorder="1" applyAlignment="1">
      <alignment horizontal="center" vertical="center" shrinkToFit="1"/>
    </xf>
    <xf numFmtId="0" fontId="69" fillId="7" borderId="260" xfId="68" applyFont="1" applyFill="1" applyBorder="1" applyAlignment="1">
      <alignment horizontal="center" vertical="center" shrinkToFit="1"/>
    </xf>
    <xf numFmtId="0" fontId="69" fillId="7" borderId="261" xfId="68" applyFont="1" applyFill="1" applyBorder="1" applyAlignment="1">
      <alignment horizontal="center" vertical="center" shrinkToFit="1"/>
    </xf>
    <xf numFmtId="0" fontId="69" fillId="7" borderId="241" xfId="68" applyFont="1" applyFill="1" applyBorder="1" applyAlignment="1">
      <alignment horizontal="center" vertical="center" shrinkToFit="1"/>
    </xf>
    <xf numFmtId="0" fontId="86" fillId="0" borderId="0" xfId="40" applyFont="1" applyAlignment="1" applyProtection="1">
      <alignment horizontal="center" vertical="top"/>
      <protection locked="0"/>
    </xf>
    <xf numFmtId="0" fontId="86" fillId="0" borderId="3" xfId="40" applyFont="1" applyBorder="1" applyAlignment="1" applyProtection="1">
      <alignment horizontal="center" vertical="top"/>
      <protection locked="0"/>
    </xf>
    <xf numFmtId="0" fontId="86" fillId="0" borderId="11" xfId="40" applyFont="1" applyBorder="1" applyAlignment="1" applyProtection="1">
      <alignment horizontal="center" vertical="top"/>
      <protection locked="0"/>
    </xf>
    <xf numFmtId="0" fontId="86" fillId="0" borderId="243" xfId="40" applyFont="1" applyBorder="1" applyAlignment="1" applyProtection="1">
      <alignment horizontal="center" vertical="top"/>
      <protection locked="0"/>
    </xf>
    <xf numFmtId="0" fontId="69" fillId="7" borderId="243" xfId="68" applyFont="1" applyFill="1" applyBorder="1" applyAlignment="1">
      <alignment horizontal="center" vertical="center" shrinkToFit="1"/>
    </xf>
    <xf numFmtId="3" fontId="31" fillId="0" borderId="8" xfId="188" applyNumberFormat="1" applyFont="1" applyBorder="1" applyAlignment="1" applyProtection="1">
      <alignment horizontal="center" vertical="center" wrapText="1"/>
      <protection locked="0"/>
    </xf>
    <xf numFmtId="3" fontId="31" fillId="0" borderId="21" xfId="188" applyNumberFormat="1" applyFont="1" applyBorder="1" applyAlignment="1" applyProtection="1">
      <alignment horizontal="center" vertical="center" wrapText="1"/>
      <protection locked="0"/>
    </xf>
    <xf numFmtId="3" fontId="31" fillId="0" borderId="9" xfId="188" applyNumberFormat="1" applyFont="1" applyBorder="1" applyAlignment="1" applyProtection="1">
      <alignment horizontal="center" vertical="center" wrapText="1"/>
      <protection locked="0"/>
    </xf>
    <xf numFmtId="0" fontId="31" fillId="0" borderId="6" xfId="189" applyFont="1" applyBorder="1" applyAlignment="1" applyProtection="1">
      <alignment horizontal="center" vertical="center"/>
      <protection locked="0"/>
    </xf>
    <xf numFmtId="0" fontId="72" fillId="7" borderId="285" xfId="68" applyFont="1" applyFill="1" applyBorder="1" applyAlignment="1">
      <alignment horizontal="left" vertical="center" wrapText="1" indent="1"/>
    </xf>
    <xf numFmtId="0" fontId="72" fillId="7" borderId="286" xfId="68" applyFont="1" applyFill="1" applyBorder="1" applyAlignment="1">
      <alignment horizontal="left" vertical="center" wrapText="1" indent="1"/>
    </xf>
    <xf numFmtId="0" fontId="72" fillId="7" borderId="287" xfId="68" applyFont="1" applyFill="1" applyBorder="1" applyAlignment="1">
      <alignment horizontal="left" vertical="center" wrapText="1" indent="1"/>
    </xf>
    <xf numFmtId="0" fontId="72" fillId="7" borderId="256" xfId="68" applyFont="1" applyFill="1" applyBorder="1" applyAlignment="1">
      <alignment horizontal="left" vertical="center" wrapText="1" indent="1"/>
    </xf>
    <xf numFmtId="0" fontId="72" fillId="7" borderId="257" xfId="68" applyFont="1" applyFill="1" applyBorder="1" applyAlignment="1">
      <alignment horizontal="left" vertical="center" wrapText="1" indent="1"/>
    </xf>
    <xf numFmtId="0" fontId="72" fillId="7" borderId="259" xfId="68" applyFont="1" applyFill="1" applyBorder="1" applyAlignment="1">
      <alignment horizontal="left" vertical="center" wrapText="1" indent="1"/>
    </xf>
    <xf numFmtId="3" fontId="72" fillId="0" borderId="285" xfId="68" applyNumberFormat="1" applyFont="1" applyBorder="1" applyAlignment="1" applyProtection="1">
      <alignment horizontal="center" vertical="center" wrapText="1"/>
      <protection locked="0"/>
    </xf>
    <xf numFmtId="3" fontId="72" fillId="0" borderId="286" xfId="68" applyNumberFormat="1" applyFont="1" applyBorder="1" applyAlignment="1" applyProtection="1">
      <alignment horizontal="center" vertical="center" wrapText="1"/>
      <protection locked="0"/>
    </xf>
    <xf numFmtId="3" fontId="72" fillId="0" borderId="288" xfId="68" applyNumberFormat="1" applyFont="1" applyBorder="1" applyAlignment="1" applyProtection="1">
      <alignment horizontal="center" vertical="center" wrapText="1"/>
      <protection locked="0"/>
    </xf>
    <xf numFmtId="3" fontId="72" fillId="0" borderId="308" xfId="68" applyNumberFormat="1" applyFont="1" applyBorder="1" applyAlignment="1" applyProtection="1">
      <alignment horizontal="center" vertical="center" wrapText="1"/>
      <protection locked="0"/>
    </xf>
    <xf numFmtId="3" fontId="72" fillId="0" borderId="287" xfId="68" applyNumberFormat="1" applyFont="1" applyBorder="1" applyAlignment="1" applyProtection="1">
      <alignment horizontal="center" vertical="center" wrapText="1"/>
      <protection locked="0"/>
    </xf>
    <xf numFmtId="0" fontId="72" fillId="7" borderId="289" xfId="68" applyFont="1" applyFill="1" applyBorder="1" applyAlignment="1">
      <alignment horizontal="left" vertical="center" wrapText="1" indent="2"/>
    </xf>
    <xf numFmtId="0" fontId="72" fillId="7" borderId="6" xfId="68" applyFont="1" applyFill="1" applyBorder="1" applyAlignment="1">
      <alignment horizontal="left" vertical="center" wrapText="1" indent="2"/>
    </xf>
    <xf numFmtId="0" fontId="72" fillId="7" borderId="290" xfId="68" applyFont="1" applyFill="1" applyBorder="1" applyAlignment="1">
      <alignment horizontal="left" vertical="center" wrapText="1" indent="2"/>
    </xf>
    <xf numFmtId="0" fontId="72" fillId="0" borderId="6" xfId="68" applyFont="1" applyBorder="1" applyAlignment="1" applyProtection="1">
      <alignment horizontal="center" vertical="center" wrapText="1"/>
      <protection locked="0"/>
    </xf>
    <xf numFmtId="0" fontId="72" fillId="0" borderId="55" xfId="68" applyFont="1" applyBorder="1" applyAlignment="1" applyProtection="1">
      <alignment horizontal="center" vertical="center" wrapText="1"/>
      <protection locked="0"/>
    </xf>
    <xf numFmtId="0" fontId="72" fillId="0" borderId="56" xfId="68" applyFont="1" applyBorder="1" applyAlignment="1" applyProtection="1">
      <alignment horizontal="center" vertical="center" wrapText="1"/>
      <protection locked="0"/>
    </xf>
    <xf numFmtId="0" fontId="72" fillId="0" borderId="62" xfId="68" applyFont="1" applyBorder="1" applyAlignment="1" applyProtection="1">
      <alignment horizontal="center" vertical="center" wrapText="1"/>
      <protection locked="0"/>
    </xf>
    <xf numFmtId="0" fontId="72" fillId="0" borderId="290" xfId="68" applyFont="1" applyBorder="1" applyAlignment="1" applyProtection="1">
      <alignment horizontal="center" vertical="center" wrapText="1"/>
      <protection locked="0"/>
    </xf>
    <xf numFmtId="0" fontId="72" fillId="7" borderId="256" xfId="68" applyFont="1" applyFill="1" applyBorder="1" applyAlignment="1">
      <alignment horizontal="left" vertical="center" wrapText="1" indent="2"/>
    </xf>
    <xf numFmtId="0" fontId="72" fillId="7" borderId="257" xfId="68" applyFont="1" applyFill="1" applyBorder="1" applyAlignment="1">
      <alignment horizontal="left" vertical="center" wrapText="1" indent="2"/>
    </xf>
    <xf numFmtId="0" fontId="72" fillId="7" borderId="259" xfId="68" applyFont="1" applyFill="1" applyBorder="1" applyAlignment="1">
      <alignment horizontal="left" vertical="center" wrapText="1" indent="2"/>
    </xf>
    <xf numFmtId="0" fontId="72" fillId="0" borderId="277" xfId="68" applyFont="1" applyBorder="1" applyAlignment="1" applyProtection="1">
      <alignment horizontal="center" vertical="center" wrapText="1"/>
      <protection locked="0"/>
    </xf>
    <xf numFmtId="0" fontId="72" fillId="0" borderId="278" xfId="68" applyFont="1" applyBorder="1" applyAlignment="1" applyProtection="1">
      <alignment horizontal="center" vertical="center" wrapText="1"/>
      <protection locked="0"/>
    </xf>
    <xf numFmtId="0" fontId="72" fillId="0" borderId="279" xfId="68" applyFont="1" applyBorder="1" applyAlignment="1" applyProtection="1">
      <alignment horizontal="center" vertical="center" wrapText="1"/>
      <protection locked="0"/>
    </xf>
    <xf numFmtId="0" fontId="72" fillId="0" borderId="259" xfId="68" applyFont="1" applyBorder="1" applyAlignment="1" applyProtection="1">
      <alignment horizontal="center" vertical="center" wrapText="1"/>
      <protection locked="0"/>
    </xf>
    <xf numFmtId="0" fontId="69" fillId="7" borderId="280" xfId="68" applyFont="1" applyFill="1" applyBorder="1" applyAlignment="1">
      <alignment horizontal="left" vertical="center" indent="1"/>
    </xf>
    <xf numFmtId="0" fontId="69" fillId="7" borderId="281" xfId="68" applyFont="1" applyFill="1" applyBorder="1" applyAlignment="1">
      <alignment horizontal="left" vertical="center" indent="1"/>
    </xf>
    <xf numFmtId="0" fontId="69" fillId="7" borderId="284" xfId="68" applyFont="1" applyFill="1" applyBorder="1" applyAlignment="1">
      <alignment horizontal="left" vertical="center" indent="1"/>
    </xf>
    <xf numFmtId="0" fontId="0" fillId="7" borderId="0" xfId="188" applyFont="1" applyFill="1" applyAlignment="1">
      <alignment vertical="center" wrapText="1"/>
    </xf>
    <xf numFmtId="0" fontId="14" fillId="7" borderId="0" xfId="111" applyFont="1" applyFill="1" applyAlignment="1">
      <alignment horizontal="justify" vertical="center"/>
    </xf>
    <xf numFmtId="0" fontId="0" fillId="7" borderId="0" xfId="190" applyFont="1" applyFill="1" applyAlignment="1">
      <alignment horizontal="justify" vertical="center" wrapText="1"/>
    </xf>
    <xf numFmtId="0" fontId="0" fillId="7" borderId="0" xfId="189" applyFont="1" applyFill="1" applyAlignment="1">
      <alignment vertical="center" wrapText="1"/>
    </xf>
    <xf numFmtId="0" fontId="0" fillId="7" borderId="0" xfId="189" applyFont="1" applyFill="1" applyAlignment="1">
      <alignment vertical="top" wrapText="1"/>
    </xf>
    <xf numFmtId="0" fontId="87" fillId="7" borderId="0" xfId="189" applyFont="1" applyFill="1" applyAlignment="1">
      <alignment horizontal="left" vertical="center" wrapText="1"/>
    </xf>
    <xf numFmtId="0" fontId="84" fillId="7" borderId="0" xfId="189" applyFont="1" applyFill="1" applyAlignment="1">
      <alignment horizontal="center" vertical="center" wrapText="1"/>
    </xf>
    <xf numFmtId="0" fontId="9" fillId="7" borderId="0" xfId="80" applyFont="1" applyFill="1" applyAlignment="1">
      <alignment horizontal="center" wrapText="1"/>
    </xf>
    <xf numFmtId="0" fontId="9" fillId="7" borderId="6" xfId="80" applyFont="1" applyFill="1" applyBorder="1" applyAlignment="1">
      <alignment horizontal="center" wrapText="1"/>
    </xf>
    <xf numFmtId="0" fontId="16" fillId="0" borderId="294" xfId="189" applyFont="1" applyBorder="1" applyAlignment="1" applyProtection="1">
      <alignment horizontal="center" vertical="center" wrapText="1"/>
      <protection locked="0"/>
    </xf>
    <xf numFmtId="0" fontId="16" fillId="0" borderId="295" xfId="189" applyFont="1" applyBorder="1" applyAlignment="1" applyProtection="1">
      <alignment horizontal="center" vertical="center" wrapText="1"/>
      <protection locked="0"/>
    </xf>
    <xf numFmtId="0" fontId="16" fillId="0" borderId="296" xfId="189" applyFont="1" applyBorder="1" applyAlignment="1" applyProtection="1">
      <alignment horizontal="center" vertical="center" wrapText="1"/>
      <protection locked="0"/>
    </xf>
    <xf numFmtId="0" fontId="16" fillId="0" borderId="297" xfId="189" applyFont="1" applyBorder="1" applyAlignment="1" applyProtection="1">
      <alignment horizontal="center" vertical="center" wrapText="1"/>
      <protection locked="0"/>
    </xf>
    <xf numFmtId="0" fontId="16" fillId="0" borderId="298" xfId="189" applyFont="1" applyBorder="1" applyAlignment="1" applyProtection="1">
      <alignment horizontal="center" vertical="center" wrapText="1"/>
      <protection locked="0"/>
    </xf>
    <xf numFmtId="0" fontId="16" fillId="0" borderId="26" xfId="189" applyFont="1" applyBorder="1" applyAlignment="1" applyProtection="1">
      <alignment horizontal="center" vertical="center" wrapText="1"/>
      <protection locked="0"/>
    </xf>
    <xf numFmtId="0" fontId="16" fillId="0" borderId="293" xfId="189" applyFont="1" applyBorder="1" applyAlignment="1" applyProtection="1">
      <alignment horizontal="center" vertical="center" wrapText="1"/>
      <protection locked="0"/>
    </xf>
    <xf numFmtId="0" fontId="16" fillId="7" borderId="252" xfId="189" applyFont="1" applyFill="1" applyBorder="1" applyAlignment="1">
      <alignment horizontal="left" vertical="center" indent="2"/>
    </xf>
    <xf numFmtId="0" fontId="16" fillId="7" borderId="253" xfId="189" applyFont="1" applyFill="1" applyBorder="1" applyAlignment="1">
      <alignment horizontal="left" vertical="center" indent="2"/>
    </xf>
    <xf numFmtId="0" fontId="16" fillId="7" borderId="255" xfId="189" applyFont="1" applyFill="1" applyBorder="1" applyAlignment="1">
      <alignment horizontal="left" vertical="center" indent="2"/>
    </xf>
    <xf numFmtId="0" fontId="16" fillId="0" borderId="57" xfId="189" applyFont="1" applyBorder="1" applyAlignment="1" applyProtection="1">
      <alignment horizontal="center" vertical="center" wrapText="1"/>
      <protection locked="0"/>
    </xf>
    <xf numFmtId="0" fontId="16" fillId="0" borderId="64" xfId="189" applyFont="1" applyBorder="1" applyAlignment="1" applyProtection="1">
      <alignment horizontal="center" vertical="center" wrapText="1"/>
      <protection locked="0"/>
    </xf>
    <xf numFmtId="0" fontId="16" fillId="0" borderId="33" xfId="189" applyFont="1" applyBorder="1" applyAlignment="1" applyProtection="1">
      <alignment horizontal="center" vertical="center" wrapText="1"/>
      <protection locked="0"/>
    </xf>
    <xf numFmtId="0" fontId="16" fillId="7" borderId="250" xfId="189" applyFont="1" applyFill="1" applyBorder="1" applyAlignment="1">
      <alignment horizontal="left" vertical="center" indent="2"/>
    </xf>
    <xf numFmtId="0" fontId="16" fillId="7" borderId="16" xfId="189" applyFont="1" applyFill="1" applyBorder="1" applyAlignment="1">
      <alignment horizontal="left" vertical="center" indent="2"/>
    </xf>
    <xf numFmtId="0" fontId="16" fillId="7" borderId="251" xfId="189" applyFont="1" applyFill="1" applyBorder="1" applyAlignment="1">
      <alignment horizontal="left" vertical="center" indent="2"/>
    </xf>
    <xf numFmtId="0" fontId="16" fillId="7" borderId="289" xfId="189" applyFont="1" applyFill="1" applyBorder="1" applyAlignment="1">
      <alignment horizontal="left" vertical="center" indent="2"/>
    </xf>
    <xf numFmtId="0" fontId="16" fillId="7" borderId="6" xfId="189" applyFont="1" applyFill="1" applyBorder="1" applyAlignment="1">
      <alignment horizontal="left" vertical="center" indent="2"/>
    </xf>
    <xf numFmtId="0" fontId="16" fillId="7" borderId="290" xfId="189" applyFont="1" applyFill="1" applyBorder="1" applyAlignment="1">
      <alignment horizontal="left" vertical="center" indent="2"/>
    </xf>
    <xf numFmtId="0" fontId="16" fillId="0" borderId="63" xfId="189" applyFont="1" applyBorder="1" applyAlignment="1" applyProtection="1">
      <alignment horizontal="center" vertical="center" wrapText="1"/>
      <protection locked="0"/>
    </xf>
    <xf numFmtId="0" fontId="16" fillId="0" borderId="119" xfId="189" applyFont="1" applyBorder="1" applyAlignment="1" applyProtection="1">
      <alignment horizontal="center" vertical="center" wrapText="1"/>
      <protection locked="0"/>
    </xf>
    <xf numFmtId="0" fontId="16" fillId="0" borderId="55" xfId="189" applyFont="1" applyBorder="1" applyAlignment="1" applyProtection="1">
      <alignment horizontal="center" vertical="center" wrapText="1"/>
      <protection locked="0"/>
    </xf>
    <xf numFmtId="0" fontId="16" fillId="0" borderId="62" xfId="189" applyFont="1" applyBorder="1" applyAlignment="1" applyProtection="1">
      <alignment horizontal="center" vertical="center" wrapText="1"/>
      <protection locked="0"/>
    </xf>
    <xf numFmtId="0" fontId="16" fillId="0" borderId="292" xfId="189" applyFont="1" applyBorder="1" applyAlignment="1" applyProtection="1">
      <alignment horizontal="center" vertical="center" wrapText="1"/>
      <protection locked="0"/>
    </xf>
    <xf numFmtId="0" fontId="16" fillId="7" borderId="0" xfId="189" applyFont="1" applyFill="1" applyAlignment="1">
      <alignment horizontal="justify" vertical="top" wrapText="1"/>
    </xf>
    <xf numFmtId="0" fontId="13" fillId="7" borderId="244" xfId="189" applyFont="1" applyFill="1" applyBorder="1" applyAlignment="1">
      <alignment horizontal="center" vertical="center" wrapText="1"/>
    </xf>
    <xf numFmtId="0" fontId="13" fillId="7" borderId="245" xfId="189" applyFont="1" applyFill="1" applyBorder="1" applyAlignment="1">
      <alignment horizontal="center" vertical="center" wrapText="1"/>
    </xf>
    <xf numFmtId="0" fontId="13" fillId="7" borderId="247" xfId="189" applyFont="1" applyFill="1" applyBorder="1" applyAlignment="1">
      <alignment horizontal="center" vertical="center" wrapText="1"/>
    </xf>
    <xf numFmtId="0" fontId="13" fillId="7" borderId="275" xfId="40" applyFont="1" applyFill="1" applyBorder="1" applyAlignment="1">
      <alignment horizontal="center" vertical="center"/>
    </xf>
    <xf numFmtId="0" fontId="13" fillId="7" borderId="276" xfId="40" applyFont="1" applyFill="1" applyBorder="1" applyAlignment="1">
      <alignment horizontal="center" vertical="center"/>
    </xf>
    <xf numFmtId="0" fontId="13" fillId="7" borderId="272" xfId="40" applyFont="1" applyFill="1" applyBorder="1" applyAlignment="1">
      <alignment horizontal="center" vertical="center"/>
    </xf>
    <xf numFmtId="0" fontId="13" fillId="7" borderId="274" xfId="40" applyFont="1" applyFill="1" applyBorder="1" applyAlignment="1">
      <alignment horizontal="center" vertical="center"/>
    </xf>
    <xf numFmtId="0" fontId="13" fillId="7" borderId="291" xfId="40" applyFont="1" applyFill="1" applyBorder="1" applyAlignment="1">
      <alignment horizontal="center" vertical="center"/>
    </xf>
    <xf numFmtId="0" fontId="72" fillId="7" borderId="250" xfId="68" applyFont="1" applyFill="1" applyBorder="1" applyAlignment="1">
      <alignment horizontal="left" vertical="center" wrapText="1" indent="1"/>
    </xf>
    <xf numFmtId="0" fontId="72" fillId="7" borderId="16" xfId="68" applyFont="1" applyFill="1" applyBorder="1" applyAlignment="1">
      <alignment horizontal="left" vertical="center" wrapText="1" indent="1"/>
    </xf>
    <xf numFmtId="0" fontId="72" fillId="0" borderId="250" xfId="68" applyFont="1" applyBorder="1" applyAlignment="1" applyProtection="1">
      <alignment horizontal="center" vertical="center" wrapText="1"/>
      <protection locked="0"/>
    </xf>
    <xf numFmtId="0" fontId="72" fillId="0" borderId="16" xfId="68" applyFont="1" applyBorder="1" applyAlignment="1" applyProtection="1">
      <alignment horizontal="center" vertical="center" wrapText="1"/>
      <protection locked="0"/>
    </xf>
    <xf numFmtId="0" fontId="72" fillId="0" borderId="19" xfId="68" applyFont="1" applyBorder="1" applyAlignment="1" applyProtection="1">
      <alignment horizontal="center" vertical="center" wrapText="1"/>
      <protection locked="0"/>
    </xf>
    <xf numFmtId="0" fontId="72" fillId="0" borderId="251" xfId="68" applyFont="1" applyBorder="1" applyAlignment="1" applyProtection="1">
      <alignment horizontal="center" vertical="center" wrapText="1"/>
      <protection locked="0"/>
    </xf>
    <xf numFmtId="0" fontId="72" fillId="0" borderId="271" xfId="68" applyFont="1" applyBorder="1" applyAlignment="1" applyProtection="1">
      <alignment horizontal="center" vertical="center" wrapText="1"/>
      <protection locked="0"/>
    </xf>
    <xf numFmtId="0" fontId="72" fillId="0" borderId="285" xfId="68" applyFont="1" applyBorder="1" applyAlignment="1" applyProtection="1">
      <alignment horizontal="center" vertical="center" wrapText="1"/>
      <protection locked="0"/>
    </xf>
    <xf numFmtId="0" fontId="72" fillId="0" borderId="286" xfId="68" applyFont="1" applyBorder="1" applyAlignment="1" applyProtection="1">
      <alignment horizontal="center" vertical="center" wrapText="1"/>
      <protection locked="0"/>
    </xf>
    <xf numFmtId="0" fontId="72" fillId="0" borderId="288" xfId="68" applyFont="1" applyBorder="1" applyAlignment="1" applyProtection="1">
      <alignment horizontal="center" vertical="center" wrapText="1"/>
      <protection locked="0"/>
    </xf>
    <xf numFmtId="0" fontId="72" fillId="0" borderId="287" xfId="68" applyFont="1" applyBorder="1" applyAlignment="1" applyProtection="1">
      <alignment horizontal="center" vertical="center" wrapText="1"/>
      <protection locked="0"/>
    </xf>
    <xf numFmtId="0" fontId="69" fillId="7" borderId="240" xfId="68" applyFont="1" applyFill="1" applyBorder="1" applyAlignment="1">
      <alignment horizontal="left" vertical="center" wrapText="1"/>
    </xf>
    <xf numFmtId="0" fontId="31" fillId="7" borderId="253" xfId="20" quotePrefix="1" applyFill="1" applyBorder="1" applyAlignment="1">
      <alignment vertical="top" wrapText="1"/>
    </xf>
    <xf numFmtId="0" fontId="31" fillId="7" borderId="255" xfId="20" quotePrefix="1" applyFill="1" applyBorder="1" applyAlignment="1">
      <alignment vertical="top" wrapText="1"/>
    </xf>
    <xf numFmtId="3" fontId="31" fillId="0" borderId="252" xfId="20" applyNumberFormat="1" applyBorder="1" applyAlignment="1" applyProtection="1">
      <alignment horizontal="center" vertical="center"/>
      <protection locked="0"/>
    </xf>
    <xf numFmtId="3" fontId="31" fillId="0" borderId="253" xfId="20" applyNumberFormat="1" applyBorder="1" applyAlignment="1" applyProtection="1">
      <alignment horizontal="center" vertical="center"/>
      <protection locked="0"/>
    </xf>
    <xf numFmtId="3" fontId="31" fillId="0" borderId="294" xfId="20" applyNumberFormat="1" applyBorder="1" applyAlignment="1" applyProtection="1">
      <alignment horizontal="center" vertical="center"/>
      <protection locked="0"/>
    </xf>
    <xf numFmtId="3" fontId="31" fillId="0" borderId="295" xfId="20" applyNumberFormat="1" applyBorder="1" applyAlignment="1" applyProtection="1">
      <alignment horizontal="center" vertical="center"/>
      <protection locked="0"/>
    </xf>
    <xf numFmtId="3" fontId="31" fillId="0" borderId="254" xfId="20" applyNumberFormat="1" applyBorder="1" applyAlignment="1" applyProtection="1">
      <alignment horizontal="center" vertical="center"/>
      <protection locked="0"/>
    </xf>
    <xf numFmtId="3" fontId="31" fillId="0" borderId="299" xfId="20" applyNumberFormat="1" applyBorder="1" applyAlignment="1" applyProtection="1">
      <alignment horizontal="center" vertical="center"/>
      <protection locked="0"/>
    </xf>
    <xf numFmtId="3" fontId="31" fillId="0" borderId="255" xfId="20" applyNumberFormat="1" applyBorder="1" applyAlignment="1" applyProtection="1">
      <alignment horizontal="center" vertical="center"/>
      <protection locked="0"/>
    </xf>
    <xf numFmtId="0" fontId="31" fillId="7" borderId="16" xfId="20" quotePrefix="1" applyFill="1" applyBorder="1" applyAlignment="1">
      <alignment vertical="top" wrapText="1"/>
    </xf>
    <xf numFmtId="0" fontId="31" fillId="7" borderId="251" xfId="20" quotePrefix="1" applyFill="1" applyBorder="1" applyAlignment="1">
      <alignment vertical="top" wrapText="1"/>
    </xf>
    <xf numFmtId="3" fontId="31" fillId="0" borderId="250" xfId="20" applyNumberFormat="1" applyBorder="1" applyAlignment="1" applyProtection="1">
      <alignment horizontal="center" vertical="center"/>
      <protection locked="0"/>
    </xf>
    <xf numFmtId="3" fontId="31" fillId="0" borderId="16" xfId="20" applyNumberFormat="1" applyBorder="1" applyAlignment="1" applyProtection="1">
      <alignment horizontal="center" vertical="center"/>
      <protection locked="0"/>
    </xf>
    <xf numFmtId="3" fontId="31" fillId="0" borderId="26" xfId="20" applyNumberFormat="1" applyBorder="1" applyAlignment="1" applyProtection="1">
      <alignment horizontal="center" vertical="center"/>
      <protection locked="0"/>
    </xf>
    <xf numFmtId="3" fontId="31" fillId="0" borderId="33" xfId="20" applyNumberFormat="1" applyBorder="1" applyAlignment="1" applyProtection="1">
      <alignment horizontal="center" vertical="center"/>
      <protection locked="0"/>
    </xf>
    <xf numFmtId="3" fontId="31" fillId="0" borderId="19" xfId="20" applyNumberFormat="1" applyBorder="1" applyAlignment="1" applyProtection="1">
      <alignment horizontal="center" vertical="center"/>
      <protection locked="0"/>
    </xf>
    <xf numFmtId="3" fontId="31" fillId="0" borderId="15" xfId="20" applyNumberFormat="1" applyBorder="1" applyAlignment="1" applyProtection="1">
      <alignment horizontal="center" vertical="center"/>
      <protection locked="0"/>
    </xf>
    <xf numFmtId="3" fontId="31" fillId="0" borderId="251" xfId="20" applyNumberFormat="1" applyBorder="1" applyAlignment="1" applyProtection="1">
      <alignment horizontal="center" vertical="center"/>
      <protection locked="0"/>
    </xf>
    <xf numFmtId="0" fontId="31" fillId="7" borderId="286" xfId="20" quotePrefix="1" applyFill="1" applyBorder="1" applyAlignment="1">
      <alignment vertical="top" wrapText="1"/>
    </xf>
    <xf numFmtId="0" fontId="31" fillId="7" borderId="287" xfId="20" quotePrefix="1" applyFill="1" applyBorder="1" applyAlignment="1">
      <alignment vertical="top" wrapText="1"/>
    </xf>
    <xf numFmtId="3" fontId="31" fillId="0" borderId="289" xfId="20" applyNumberFormat="1" applyBorder="1" applyAlignment="1" applyProtection="1">
      <alignment horizontal="center" vertical="center"/>
      <protection locked="0"/>
    </xf>
    <xf numFmtId="3" fontId="31" fillId="0" borderId="6" xfId="20" applyNumberFormat="1" applyBorder="1" applyAlignment="1" applyProtection="1">
      <alignment horizontal="center" vertical="center"/>
      <protection locked="0"/>
    </xf>
    <xf numFmtId="3" fontId="31" fillId="0" borderId="63" xfId="20" applyNumberFormat="1" applyBorder="1" applyAlignment="1" applyProtection="1">
      <alignment horizontal="center" vertical="center"/>
      <protection locked="0"/>
    </xf>
    <xf numFmtId="3" fontId="31" fillId="0" borderId="119" xfId="20" applyNumberFormat="1" applyBorder="1" applyAlignment="1" applyProtection="1">
      <alignment horizontal="center" vertical="center"/>
      <protection locked="0"/>
    </xf>
    <xf numFmtId="3" fontId="31" fillId="0" borderId="52" xfId="20" applyNumberFormat="1" applyBorder="1" applyAlignment="1" applyProtection="1">
      <alignment horizontal="center" vertical="center"/>
      <protection locked="0"/>
    </xf>
    <xf numFmtId="3" fontId="31" fillId="0" borderId="37" xfId="20" applyNumberFormat="1" applyBorder="1" applyAlignment="1" applyProtection="1">
      <alignment horizontal="center" vertical="center"/>
      <protection locked="0"/>
    </xf>
    <xf numFmtId="3" fontId="31" fillId="0" borderId="290" xfId="20" applyNumberFormat="1" applyBorder="1" applyAlignment="1" applyProtection="1">
      <alignment horizontal="center" vertical="center"/>
      <protection locked="0"/>
    </xf>
    <xf numFmtId="0" fontId="0" fillId="7" borderId="0" xfId="188" applyFont="1" applyFill="1" applyAlignment="1">
      <alignment wrapText="1"/>
    </xf>
    <xf numFmtId="0" fontId="12" fillId="7" borderId="239" xfId="20" applyFont="1" applyFill="1" applyBorder="1" applyAlignment="1">
      <alignment horizontal="center" vertical="center" wrapText="1"/>
    </xf>
    <xf numFmtId="0" fontId="12" fillId="7" borderId="240" xfId="20" applyFont="1" applyFill="1" applyBorder="1" applyAlignment="1">
      <alignment horizontal="center" vertical="center" wrapText="1"/>
    </xf>
    <xf numFmtId="0" fontId="12" fillId="7" borderId="241" xfId="20" applyFont="1" applyFill="1" applyBorder="1" applyAlignment="1">
      <alignment horizontal="center" vertical="center" wrapText="1"/>
    </xf>
    <xf numFmtId="0" fontId="12" fillId="7" borderId="256" xfId="20" applyFont="1" applyFill="1" applyBorder="1" applyAlignment="1">
      <alignment horizontal="center" vertical="center" wrapText="1"/>
    </xf>
    <xf numFmtId="0" fontId="12" fillId="7" borderId="257" xfId="20" applyFont="1" applyFill="1" applyBorder="1" applyAlignment="1">
      <alignment horizontal="center" vertical="center" wrapText="1"/>
    </xf>
    <xf numFmtId="0" fontId="12" fillId="7" borderId="259" xfId="20" applyFont="1" applyFill="1" applyBorder="1" applyAlignment="1">
      <alignment horizontal="center" vertical="center" wrapText="1"/>
    </xf>
    <xf numFmtId="0" fontId="12" fillId="7" borderId="258" xfId="20" applyFont="1" applyFill="1" applyBorder="1" applyAlignment="1">
      <alignment horizontal="center" vertical="center" wrapText="1"/>
    </xf>
    <xf numFmtId="0" fontId="12" fillId="7" borderId="269" xfId="20" applyFont="1" applyFill="1" applyBorder="1" applyAlignment="1">
      <alignment horizontal="center" vertical="center" wrapText="1"/>
    </xf>
    <xf numFmtId="0" fontId="12" fillId="7" borderId="271" xfId="20" applyFont="1" applyFill="1" applyBorder="1" applyAlignment="1">
      <alignment horizontal="center" vertical="center" wrapText="1"/>
    </xf>
    <xf numFmtId="0" fontId="12" fillId="7" borderId="270" xfId="20" applyFont="1" applyFill="1" applyBorder="1" applyAlignment="1">
      <alignment horizontal="center" vertical="center" wrapText="1"/>
    </xf>
    <xf numFmtId="0" fontId="72" fillId="7" borderId="16" xfId="68" applyFont="1" applyFill="1" applyBorder="1" applyAlignment="1">
      <alignment vertical="center" wrapText="1"/>
    </xf>
    <xf numFmtId="0" fontId="72" fillId="7" borderId="0" xfId="68" applyFont="1" applyFill="1" applyAlignment="1">
      <alignment vertical="center" wrapText="1"/>
    </xf>
    <xf numFmtId="0" fontId="72" fillId="7" borderId="257" xfId="68" applyFont="1" applyFill="1" applyBorder="1" applyAlignment="1">
      <alignment vertical="center" wrapText="1"/>
    </xf>
    <xf numFmtId="0" fontId="72" fillId="0" borderId="0" xfId="68" applyFont="1" applyAlignment="1" applyProtection="1">
      <alignment horizontal="center" vertical="center" wrapText="1"/>
      <protection locked="0"/>
    </xf>
    <xf numFmtId="0" fontId="72" fillId="0" borderId="243" xfId="68" applyFont="1" applyBorder="1" applyAlignment="1" applyProtection="1">
      <alignment horizontal="center" vertical="center" wrapText="1"/>
      <protection locked="0"/>
    </xf>
    <xf numFmtId="0" fontId="72" fillId="7" borderId="286" xfId="68" applyFont="1" applyFill="1" applyBorder="1" applyAlignment="1">
      <alignment vertical="center" wrapText="1"/>
    </xf>
    <xf numFmtId="0" fontId="31" fillId="0" borderId="252" xfId="20" applyBorder="1" applyAlignment="1" applyProtection="1">
      <alignment horizontal="center" vertical="center"/>
      <protection locked="0"/>
    </xf>
    <xf numFmtId="0" fontId="31" fillId="0" borderId="253" xfId="20" applyBorder="1" applyAlignment="1" applyProtection="1">
      <alignment horizontal="center" vertical="center"/>
      <protection locked="0"/>
    </xf>
    <xf numFmtId="0" fontId="31" fillId="0" borderId="294" xfId="20" applyBorder="1" applyAlignment="1" applyProtection="1">
      <alignment horizontal="center" vertical="center"/>
      <protection locked="0"/>
    </xf>
    <xf numFmtId="0" fontId="31" fillId="0" borderId="295" xfId="20" applyBorder="1" applyAlignment="1" applyProtection="1">
      <alignment horizontal="center" vertical="center"/>
      <protection locked="0"/>
    </xf>
    <xf numFmtId="0" fontId="31" fillId="0" borderId="255" xfId="20" applyBorder="1" applyAlignment="1" applyProtection="1">
      <alignment horizontal="center" vertical="center"/>
      <protection locked="0"/>
    </xf>
    <xf numFmtId="0" fontId="31" fillId="0" borderId="250" xfId="20" applyBorder="1" applyAlignment="1" applyProtection="1">
      <alignment horizontal="center" vertical="center"/>
      <protection locked="0"/>
    </xf>
    <xf numFmtId="0" fontId="31" fillId="0" borderId="16" xfId="20" applyBorder="1" applyAlignment="1" applyProtection="1">
      <alignment horizontal="center" vertical="center"/>
      <protection locked="0"/>
    </xf>
    <xf numFmtId="0" fontId="31" fillId="0" borderId="26" xfId="20" applyBorder="1" applyAlignment="1" applyProtection="1">
      <alignment horizontal="center" vertical="center"/>
      <protection locked="0"/>
    </xf>
    <xf numFmtId="0" fontId="31" fillId="0" borderId="33" xfId="20" applyBorder="1" applyAlignment="1" applyProtection="1">
      <alignment horizontal="center" vertical="center"/>
      <protection locked="0"/>
    </xf>
    <xf numFmtId="0" fontId="31" fillId="0" borderId="251" xfId="20" applyBorder="1" applyAlignment="1" applyProtection="1">
      <alignment horizontal="center" vertical="center"/>
      <protection locked="0"/>
    </xf>
    <xf numFmtId="0" fontId="72" fillId="7" borderId="251" xfId="68" applyFont="1" applyFill="1" applyBorder="1" applyAlignment="1">
      <alignment horizontal="left" vertical="center" wrapText="1" indent="1"/>
    </xf>
    <xf numFmtId="14" fontId="72" fillId="0" borderId="16" xfId="68" applyNumberFormat="1" applyFont="1" applyBorder="1" applyAlignment="1" applyProtection="1">
      <alignment horizontal="center" vertical="center" wrapText="1"/>
      <protection locked="0"/>
    </xf>
    <xf numFmtId="14" fontId="72" fillId="0" borderId="251" xfId="68" applyNumberFormat="1" applyFont="1" applyBorder="1" applyAlignment="1" applyProtection="1">
      <alignment horizontal="center" vertical="center" wrapText="1"/>
      <protection locked="0"/>
    </xf>
    <xf numFmtId="0" fontId="72" fillId="7" borderId="242" xfId="68" applyFont="1" applyFill="1" applyBorder="1" applyAlignment="1">
      <alignment horizontal="left" vertical="center" wrapText="1" indent="1"/>
    </xf>
    <xf numFmtId="0" fontId="72" fillId="7" borderId="0" xfId="68" applyFont="1" applyFill="1" applyAlignment="1">
      <alignment horizontal="left" vertical="center" wrapText="1" indent="1"/>
    </xf>
    <xf numFmtId="0" fontId="72" fillId="7" borderId="243" xfId="68" applyFont="1" applyFill="1" applyBorder="1" applyAlignment="1">
      <alignment horizontal="left" vertical="center" wrapText="1" indent="1"/>
    </xf>
    <xf numFmtId="0" fontId="72" fillId="0" borderId="242" xfId="68" applyFont="1" applyBorder="1" applyAlignment="1" applyProtection="1">
      <alignment horizontal="center" vertical="center" wrapText="1"/>
      <protection locked="0"/>
    </xf>
    <xf numFmtId="0" fontId="72" fillId="0" borderId="11" xfId="68" applyFont="1" applyBorder="1" applyAlignment="1" applyProtection="1">
      <alignment horizontal="center" vertical="center" wrapText="1"/>
      <protection locked="0"/>
    </xf>
    <xf numFmtId="14" fontId="72" fillId="0" borderId="0" xfId="68" applyNumberFormat="1" applyFont="1" applyAlignment="1" applyProtection="1">
      <alignment horizontal="center" vertical="center" wrapText="1"/>
      <protection locked="0"/>
    </xf>
    <xf numFmtId="14" fontId="72" fillId="0" borderId="243" xfId="68" applyNumberFormat="1" applyFont="1" applyBorder="1" applyAlignment="1" applyProtection="1">
      <alignment horizontal="center" vertical="center" wrapText="1"/>
      <protection locked="0"/>
    </xf>
    <xf numFmtId="14" fontId="72" fillId="0" borderId="257" xfId="68" applyNumberFormat="1" applyFont="1" applyBorder="1" applyAlignment="1" applyProtection="1">
      <alignment horizontal="center" vertical="center" wrapText="1"/>
      <protection locked="0"/>
    </xf>
    <xf numFmtId="14" fontId="72" fillId="0" borderId="259" xfId="68" applyNumberFormat="1" applyFont="1" applyBorder="1" applyAlignment="1" applyProtection="1">
      <alignment horizontal="center" vertical="center" wrapText="1"/>
      <protection locked="0"/>
    </xf>
    <xf numFmtId="14" fontId="72" fillId="0" borderId="286" xfId="68" applyNumberFormat="1" applyFont="1" applyBorder="1" applyAlignment="1" applyProtection="1">
      <alignment horizontal="center" vertical="center" wrapText="1"/>
      <protection locked="0"/>
    </xf>
    <xf numFmtId="14" fontId="72" fillId="0" borderId="287" xfId="68" applyNumberFormat="1" applyFont="1" applyBorder="1" applyAlignment="1" applyProtection="1">
      <alignment horizontal="center" vertical="center" wrapText="1"/>
      <protection locked="0"/>
    </xf>
    <xf numFmtId="0" fontId="17" fillId="7" borderId="0" xfId="193" applyFont="1" applyFill="1" applyAlignment="1">
      <alignment horizontal="justify" vertical="top" wrapText="1"/>
    </xf>
    <xf numFmtId="0" fontId="31" fillId="0" borderId="34" xfId="20" applyBorder="1" applyAlignment="1" applyProtection="1">
      <alignment horizontal="center" vertical="center"/>
      <protection locked="0"/>
    </xf>
    <xf numFmtId="0" fontId="31" fillId="0" borderId="7" xfId="20" applyBorder="1" applyAlignment="1" applyProtection="1">
      <alignment horizontal="center" vertical="center"/>
      <protection locked="0"/>
    </xf>
    <xf numFmtId="0" fontId="31" fillId="0" borderId="35" xfId="20" applyBorder="1" applyAlignment="1" applyProtection="1">
      <alignment horizontal="center" vertical="center"/>
      <protection locked="0"/>
    </xf>
    <xf numFmtId="0" fontId="31" fillId="0" borderId="0" xfId="20" applyAlignment="1" applyProtection="1">
      <alignment horizontal="center" vertical="center"/>
      <protection locked="0"/>
    </xf>
    <xf numFmtId="0" fontId="31" fillId="0" borderId="269" xfId="20" applyBorder="1" applyAlignment="1" applyProtection="1">
      <alignment horizontal="center" vertical="center"/>
      <protection locked="0"/>
    </xf>
    <xf numFmtId="0" fontId="31" fillId="0" borderId="257" xfId="20" applyBorder="1" applyAlignment="1" applyProtection="1">
      <alignment horizontal="center" vertical="center"/>
      <protection locked="0"/>
    </xf>
    <xf numFmtId="0" fontId="31" fillId="0" borderId="17" xfId="20" applyBorder="1" applyAlignment="1" applyProtection="1">
      <alignment horizontal="center" vertical="center"/>
      <protection locked="0"/>
    </xf>
    <xf numFmtId="0" fontId="31" fillId="0" borderId="27" xfId="20" applyBorder="1" applyAlignment="1" applyProtection="1">
      <alignment horizontal="center" vertical="center"/>
      <protection locked="0"/>
    </xf>
    <xf numFmtId="0" fontId="31" fillId="0" borderId="3" xfId="20" applyBorder="1" applyAlignment="1" applyProtection="1">
      <alignment horizontal="center" vertical="center"/>
      <protection locked="0"/>
    </xf>
    <xf numFmtId="0" fontId="31" fillId="0" borderId="28" xfId="20" applyBorder="1" applyAlignment="1" applyProtection="1">
      <alignment horizontal="center" vertical="center"/>
      <protection locked="0"/>
    </xf>
    <xf numFmtId="0" fontId="31" fillId="0" borderId="270" xfId="20" applyBorder="1" applyAlignment="1" applyProtection="1">
      <alignment horizontal="center" vertical="center"/>
      <protection locked="0"/>
    </xf>
    <xf numFmtId="0" fontId="31" fillId="0" borderId="258" xfId="20" applyBorder="1" applyAlignment="1" applyProtection="1">
      <alignment horizontal="center" vertical="center"/>
      <protection locked="0"/>
    </xf>
    <xf numFmtId="0" fontId="31" fillId="0" borderId="305" xfId="20" applyBorder="1" applyAlignment="1" applyProtection="1">
      <alignment horizontal="center" vertical="center"/>
      <protection locked="0"/>
    </xf>
    <xf numFmtId="0" fontId="31" fillId="0" borderId="243" xfId="20" applyBorder="1" applyAlignment="1" applyProtection="1">
      <alignment horizontal="center" vertical="center"/>
      <protection locked="0"/>
    </xf>
    <xf numFmtId="0" fontId="31" fillId="0" borderId="259" xfId="20" applyBorder="1" applyAlignment="1" applyProtection="1">
      <alignment horizontal="center" vertical="center"/>
      <protection locked="0"/>
    </xf>
    <xf numFmtId="0" fontId="0" fillId="7" borderId="0" xfId="192" applyFont="1" applyFill="1" applyAlignment="1">
      <alignment vertical="center" wrapText="1"/>
    </xf>
    <xf numFmtId="0" fontId="17" fillId="7" borderId="240" xfId="111" applyFont="1" applyFill="1" applyBorder="1" applyAlignment="1">
      <alignment horizontal="center" vertical="top"/>
    </xf>
    <xf numFmtId="0" fontId="17" fillId="7" borderId="0" xfId="111" applyFont="1" applyFill="1" applyAlignment="1">
      <alignment horizontal="center" vertical="top"/>
    </xf>
    <xf numFmtId="0" fontId="17" fillId="7" borderId="240" xfId="20" quotePrefix="1" applyFont="1" applyFill="1" applyBorder="1" applyAlignment="1">
      <alignment horizontal="justify" vertical="top" wrapText="1"/>
    </xf>
    <xf numFmtId="0" fontId="17" fillId="7" borderId="0" xfId="20" quotePrefix="1" applyFont="1" applyFill="1" applyAlignment="1">
      <alignment horizontal="justify" vertical="top" wrapText="1"/>
    </xf>
    <xf numFmtId="0" fontId="31" fillId="0" borderId="303" xfId="20" applyBorder="1" applyAlignment="1" applyProtection="1">
      <alignment horizontal="center" vertical="center" wrapText="1"/>
      <protection locked="0"/>
    </xf>
    <xf numFmtId="0" fontId="31" fillId="0" borderId="240" xfId="20" applyBorder="1" applyAlignment="1" applyProtection="1">
      <alignment horizontal="center" vertical="center" wrapText="1"/>
      <protection locked="0"/>
    </xf>
    <xf numFmtId="0" fontId="31" fillId="0" borderId="241" xfId="20" applyBorder="1" applyAlignment="1" applyProtection="1">
      <alignment horizontal="center" vertical="center" wrapText="1"/>
      <protection locked="0"/>
    </xf>
    <xf numFmtId="0" fontId="31" fillId="0" borderId="35" xfId="20" applyBorder="1" applyAlignment="1" applyProtection="1">
      <alignment horizontal="center" vertical="center" wrapText="1"/>
      <protection locked="0"/>
    </xf>
    <xf numFmtId="0" fontId="31" fillId="0" borderId="0" xfId="20" applyAlignment="1" applyProtection="1">
      <alignment horizontal="center" vertical="center" wrapText="1"/>
      <protection locked="0"/>
    </xf>
    <xf numFmtId="0" fontId="31" fillId="0" borderId="243" xfId="20" applyBorder="1" applyAlignment="1" applyProtection="1">
      <alignment horizontal="center" vertical="center" wrapText="1"/>
      <protection locked="0"/>
    </xf>
    <xf numFmtId="0" fontId="31" fillId="0" borderId="119" xfId="20" applyBorder="1" applyAlignment="1" applyProtection="1">
      <alignment horizontal="center" vertical="center" wrapText="1"/>
      <protection locked="0"/>
    </xf>
    <xf numFmtId="0" fontId="31" fillId="0" borderId="6" xfId="20" applyBorder="1" applyAlignment="1" applyProtection="1">
      <alignment horizontal="center" vertical="center" wrapText="1"/>
      <protection locked="0"/>
    </xf>
    <xf numFmtId="0" fontId="31" fillId="0" borderId="290" xfId="20" applyBorder="1" applyAlignment="1" applyProtection="1">
      <alignment horizontal="center" vertical="center" wrapText="1"/>
      <protection locked="0"/>
    </xf>
    <xf numFmtId="0" fontId="31" fillId="7" borderId="7" xfId="20" quotePrefix="1" applyFill="1" applyBorder="1" applyAlignment="1">
      <alignment vertical="top" wrapText="1"/>
    </xf>
    <xf numFmtId="0" fontId="31" fillId="7" borderId="305" xfId="20" quotePrefix="1" applyFill="1" applyBorder="1" applyAlignment="1">
      <alignment vertical="top" wrapText="1"/>
    </xf>
    <xf numFmtId="0" fontId="31" fillId="7" borderId="0" xfId="20" quotePrefix="1" applyFill="1" applyAlignment="1">
      <alignment vertical="top" wrapText="1"/>
    </xf>
    <xf numFmtId="0" fontId="31" fillId="7" borderId="243" xfId="20" quotePrefix="1" applyFill="1" applyBorder="1" applyAlignment="1">
      <alignment vertical="top" wrapText="1"/>
    </xf>
    <xf numFmtId="0" fontId="31" fillId="7" borderId="6" xfId="20" quotePrefix="1" applyFill="1" applyBorder="1" applyAlignment="1">
      <alignment vertical="top" wrapText="1"/>
    </xf>
    <xf numFmtId="0" fontId="31" fillId="7" borderId="290" xfId="20" quotePrefix="1" applyFill="1" applyBorder="1" applyAlignment="1">
      <alignment vertical="top" wrapText="1"/>
    </xf>
    <xf numFmtId="0" fontId="31" fillId="0" borderId="304" xfId="20" applyBorder="1" applyAlignment="1" applyProtection="1">
      <alignment horizontal="center" vertical="center"/>
      <protection locked="0"/>
    </xf>
    <xf numFmtId="0" fontId="31" fillId="0" borderId="242" xfId="20" applyBorder="1" applyAlignment="1" applyProtection="1">
      <alignment horizontal="center" vertical="center"/>
      <protection locked="0"/>
    </xf>
    <xf numFmtId="0" fontId="31" fillId="0" borderId="289" xfId="20" applyBorder="1" applyAlignment="1" applyProtection="1">
      <alignment horizontal="center" vertical="center"/>
      <protection locked="0"/>
    </xf>
    <xf numFmtId="0" fontId="31" fillId="0" borderId="6" xfId="20" applyBorder="1" applyAlignment="1" applyProtection="1">
      <alignment horizontal="center" vertical="center"/>
      <protection locked="0"/>
    </xf>
    <xf numFmtId="0" fontId="31" fillId="0" borderId="63" xfId="20" applyBorder="1" applyAlignment="1" applyProtection="1">
      <alignment horizontal="center" vertical="center"/>
      <protection locked="0"/>
    </xf>
    <xf numFmtId="0" fontId="31" fillId="0" borderId="20" xfId="20" applyBorder="1" applyAlignment="1" applyProtection="1">
      <alignment horizontal="center" vertical="center"/>
      <protection locked="0"/>
    </xf>
    <xf numFmtId="0" fontId="31" fillId="0" borderId="11" xfId="20" applyBorder="1" applyAlignment="1" applyProtection="1">
      <alignment horizontal="center" vertical="center"/>
      <protection locked="0"/>
    </xf>
    <xf numFmtId="0" fontId="31" fillId="0" borderId="119" xfId="20" applyBorder="1" applyAlignment="1" applyProtection="1">
      <alignment horizontal="center" vertical="center"/>
      <protection locked="0"/>
    </xf>
    <xf numFmtId="0" fontId="31" fillId="0" borderId="52" xfId="20" applyBorder="1" applyAlignment="1" applyProtection="1">
      <alignment horizontal="center" vertical="center"/>
      <protection locked="0"/>
    </xf>
    <xf numFmtId="0" fontId="31" fillId="0" borderId="37" xfId="20" applyBorder="1" applyAlignment="1" applyProtection="1">
      <alignment horizontal="center" vertical="center"/>
      <protection locked="0"/>
    </xf>
    <xf numFmtId="0" fontId="31" fillId="0" borderId="290" xfId="20" applyBorder="1" applyAlignment="1" applyProtection="1">
      <alignment horizontal="center" vertical="center"/>
      <protection locked="0"/>
    </xf>
    <xf numFmtId="0" fontId="31" fillId="7" borderId="257" xfId="20" quotePrefix="1" applyFill="1" applyBorder="1" applyAlignment="1">
      <alignment vertical="top" wrapText="1"/>
    </xf>
    <xf numFmtId="0" fontId="31" fillId="7" borderId="259" xfId="20" quotePrefix="1" applyFill="1" applyBorder="1" applyAlignment="1">
      <alignment vertical="top" wrapText="1"/>
    </xf>
    <xf numFmtId="0" fontId="31" fillId="0" borderId="256" xfId="20" applyBorder="1" applyAlignment="1" applyProtection="1">
      <alignment horizontal="center" vertical="center"/>
      <protection locked="0"/>
    </xf>
    <xf numFmtId="0" fontId="31" fillId="7" borderId="239" xfId="20" quotePrefix="1" applyFill="1" applyBorder="1" applyAlignment="1">
      <alignment horizontal="right" vertical="top" wrapText="1"/>
    </xf>
    <xf numFmtId="0" fontId="31" fillId="7" borderId="242" xfId="20" quotePrefix="1" applyFill="1" applyBorder="1" applyAlignment="1">
      <alignment horizontal="right" vertical="top" wrapText="1"/>
    </xf>
    <xf numFmtId="0" fontId="31" fillId="7" borderId="289" xfId="20" quotePrefix="1" applyFill="1" applyBorder="1" applyAlignment="1">
      <alignment horizontal="right" vertical="top" wrapText="1"/>
    </xf>
    <xf numFmtId="0" fontId="31" fillId="7" borderId="240" xfId="20" quotePrefix="1" applyFill="1" applyBorder="1" applyAlignment="1">
      <alignment vertical="top" wrapText="1"/>
    </xf>
    <xf numFmtId="0" fontId="31" fillId="7" borderId="241" xfId="20" quotePrefix="1" applyFill="1" applyBorder="1" applyAlignment="1">
      <alignment vertical="top" wrapText="1"/>
    </xf>
    <xf numFmtId="0" fontId="31" fillId="0" borderId="239" xfId="20" applyBorder="1" applyAlignment="1" applyProtection="1">
      <alignment horizontal="center" vertical="center" wrapText="1"/>
      <protection locked="0"/>
    </xf>
    <xf numFmtId="0" fontId="31" fillId="0" borderId="302" xfId="20" applyBorder="1" applyAlignment="1" applyProtection="1">
      <alignment horizontal="center" vertical="center" wrapText="1"/>
      <protection locked="0"/>
    </xf>
    <xf numFmtId="0" fontId="31" fillId="0" borderId="242" xfId="20" applyBorder="1" applyAlignment="1" applyProtection="1">
      <alignment horizontal="center" vertical="center" wrapText="1"/>
      <protection locked="0"/>
    </xf>
    <xf numFmtId="0" fontId="31" fillId="0" borderId="28" xfId="20" applyBorder="1" applyAlignment="1" applyProtection="1">
      <alignment horizontal="center" vertical="center" wrapText="1"/>
      <protection locked="0"/>
    </xf>
    <xf numFmtId="0" fontId="31" fillId="0" borderId="289" xfId="20" applyBorder="1" applyAlignment="1" applyProtection="1">
      <alignment horizontal="center" vertical="center" wrapText="1"/>
      <protection locked="0"/>
    </xf>
    <xf numFmtId="0" fontId="31" fillId="0" borderId="63" xfId="20" applyBorder="1" applyAlignment="1" applyProtection="1">
      <alignment horizontal="center" vertical="center" wrapText="1"/>
      <protection locked="0"/>
    </xf>
    <xf numFmtId="0" fontId="31" fillId="0" borderId="261" xfId="20" applyBorder="1" applyAlignment="1" applyProtection="1">
      <alignment horizontal="center" vertical="center" wrapText="1"/>
      <protection locked="0"/>
    </xf>
    <xf numFmtId="0" fontId="31" fillId="0" borderId="11" xfId="20" applyBorder="1" applyAlignment="1" applyProtection="1">
      <alignment horizontal="center" vertical="center" wrapText="1"/>
      <protection locked="0"/>
    </xf>
    <xf numFmtId="0" fontId="31" fillId="0" borderId="52" xfId="20" applyBorder="1" applyAlignment="1" applyProtection="1">
      <alignment horizontal="center" vertical="center" wrapText="1"/>
      <protection locked="0"/>
    </xf>
    <xf numFmtId="0" fontId="31" fillId="0" borderId="260" xfId="20" applyBorder="1" applyAlignment="1" applyProtection="1">
      <alignment horizontal="center" vertical="center" wrapText="1"/>
      <protection locked="0"/>
    </xf>
    <xf numFmtId="0" fontId="31" fillId="0" borderId="3" xfId="20" applyBorder="1" applyAlignment="1" applyProtection="1">
      <alignment horizontal="center" vertical="center" wrapText="1"/>
      <protection locked="0"/>
    </xf>
    <xf numFmtId="0" fontId="31" fillId="0" borderId="37" xfId="20" applyBorder="1" applyAlignment="1" applyProtection="1">
      <alignment horizontal="center" vertical="center" wrapText="1"/>
      <protection locked="0"/>
    </xf>
    <xf numFmtId="0" fontId="0" fillId="7" borderId="0" xfId="191" applyFont="1" applyFill="1" applyAlignment="1">
      <alignment vertical="top"/>
    </xf>
    <xf numFmtId="0" fontId="0" fillId="7" borderId="0" xfId="191" applyFont="1" applyFill="1" applyAlignment="1">
      <alignment vertical="center" wrapText="1"/>
    </xf>
    <xf numFmtId="0" fontId="0" fillId="0" borderId="1" xfId="191" applyFont="1" applyBorder="1" applyAlignment="1" applyProtection="1">
      <alignment horizontal="center" vertical="center" wrapText="1"/>
      <protection locked="0"/>
    </xf>
    <xf numFmtId="0" fontId="0" fillId="0" borderId="2" xfId="191" applyFont="1" applyBorder="1" applyAlignment="1" applyProtection="1">
      <alignment horizontal="center" vertical="center" wrapText="1"/>
      <protection locked="0"/>
    </xf>
    <xf numFmtId="0" fontId="0" fillId="0" borderId="10" xfId="191" applyFont="1" applyBorder="1" applyAlignment="1" applyProtection="1">
      <alignment horizontal="center" vertical="center" wrapText="1"/>
      <protection locked="0"/>
    </xf>
    <xf numFmtId="0" fontId="0" fillId="0" borderId="4" xfId="191" applyFont="1" applyBorder="1" applyAlignment="1" applyProtection="1">
      <alignment horizontal="center" vertical="center" wrapText="1"/>
      <protection locked="0"/>
    </xf>
    <xf numFmtId="0" fontId="0" fillId="0" borderId="5" xfId="191" applyFont="1" applyBorder="1" applyAlignment="1" applyProtection="1">
      <alignment horizontal="center" vertical="center" wrapText="1"/>
      <protection locked="0"/>
    </xf>
    <xf numFmtId="0" fontId="0" fillId="0" borderId="12" xfId="191" applyFont="1" applyBorder="1" applyAlignment="1" applyProtection="1">
      <alignment horizontal="center" vertical="center" wrapText="1"/>
      <protection locked="0"/>
    </xf>
    <xf numFmtId="0" fontId="12" fillId="7" borderId="242" xfId="20" applyFont="1" applyFill="1" applyBorder="1" applyAlignment="1">
      <alignment horizontal="center" vertical="center" wrapText="1"/>
    </xf>
    <xf numFmtId="0" fontId="12" fillId="7" borderId="0" xfId="20" applyFont="1" applyFill="1" applyAlignment="1">
      <alignment horizontal="center" vertical="center" wrapText="1"/>
    </xf>
    <xf numFmtId="0" fontId="12" fillId="7" borderId="243" xfId="20" applyFont="1" applyFill="1" applyBorder="1" applyAlignment="1">
      <alignment horizontal="center" vertical="center" wrapText="1"/>
    </xf>
    <xf numFmtId="0" fontId="69" fillId="7" borderId="11" xfId="68" applyFont="1" applyFill="1" applyBorder="1" applyAlignment="1">
      <alignment horizontal="center" vertical="center" wrapText="1"/>
    </xf>
    <xf numFmtId="0" fontId="69" fillId="7" borderId="300" xfId="68" applyFont="1" applyFill="1" applyBorder="1" applyAlignment="1">
      <alignment horizontal="center" vertical="center" wrapText="1"/>
    </xf>
    <xf numFmtId="0" fontId="69" fillId="7" borderId="5" xfId="68" applyFont="1" applyFill="1" applyBorder="1" applyAlignment="1">
      <alignment horizontal="center" vertical="center" wrapText="1"/>
    </xf>
    <xf numFmtId="0" fontId="69" fillId="7" borderId="12" xfId="68" applyFont="1" applyFill="1" applyBorder="1" applyAlignment="1">
      <alignment horizontal="center" vertical="center" wrapText="1"/>
    </xf>
    <xf numFmtId="0" fontId="69" fillId="7" borderId="3" xfId="68" applyFont="1" applyFill="1" applyBorder="1" applyAlignment="1">
      <alignment horizontal="center" vertical="center" wrapText="1"/>
    </xf>
    <xf numFmtId="0" fontId="69" fillId="7" borderId="4" xfId="68" applyFont="1" applyFill="1" applyBorder="1" applyAlignment="1">
      <alignment horizontal="center" vertical="center" wrapText="1"/>
    </xf>
    <xf numFmtId="0" fontId="69" fillId="7" borderId="301" xfId="68" applyFont="1" applyFill="1" applyBorder="1" applyAlignment="1">
      <alignment horizontal="center" vertical="center" wrapText="1"/>
    </xf>
    <xf numFmtId="0" fontId="12" fillId="7" borderId="262" xfId="20" applyFont="1" applyFill="1" applyBorder="1" applyAlignment="1">
      <alignment horizontal="center" vertical="center" wrapText="1"/>
    </xf>
    <xf numFmtId="0" fontId="12" fillId="7" borderId="263" xfId="20" applyFont="1" applyFill="1" applyBorder="1" applyAlignment="1">
      <alignment horizontal="center" vertical="center" wrapText="1"/>
    </xf>
    <xf numFmtId="0" fontId="12" fillId="7" borderId="264" xfId="20" applyFont="1" applyFill="1" applyBorder="1" applyAlignment="1">
      <alignment horizontal="center" vertical="center" wrapText="1"/>
    </xf>
    <xf numFmtId="0" fontId="12" fillId="7" borderId="267" xfId="20" applyFont="1" applyFill="1" applyBorder="1" applyAlignment="1">
      <alignment horizontal="center" vertical="center" wrapText="1"/>
    </xf>
    <xf numFmtId="0" fontId="12" fillId="7" borderId="266" xfId="20" applyFont="1" applyFill="1" applyBorder="1" applyAlignment="1">
      <alignment horizontal="center" vertical="center" wrapText="1"/>
    </xf>
    <xf numFmtId="0" fontId="12" fillId="7" borderId="265" xfId="20" applyFont="1" applyFill="1" applyBorder="1" applyAlignment="1">
      <alignment horizontal="center" vertical="center" wrapText="1"/>
    </xf>
    <xf numFmtId="0" fontId="12" fillId="7" borderId="268" xfId="20" applyFont="1" applyFill="1" applyBorder="1" applyAlignment="1">
      <alignment horizontal="center" vertical="center" wrapText="1"/>
    </xf>
    <xf numFmtId="0" fontId="73" fillId="7" borderId="0" xfId="68" applyFont="1" applyFill="1" applyAlignment="1">
      <alignment vertical="top"/>
    </xf>
    <xf numFmtId="0" fontId="31" fillId="7" borderId="253" xfId="0" quotePrefix="1" applyFont="1" applyFill="1" applyBorder="1" applyAlignment="1">
      <alignment vertical="center" wrapText="1"/>
    </xf>
    <xf numFmtId="0" fontId="0" fillId="7" borderId="253" xfId="0" quotePrefix="1" applyFill="1" applyBorder="1" applyAlignment="1">
      <alignment vertical="center" wrapText="1"/>
    </xf>
    <xf numFmtId="0" fontId="0" fillId="7" borderId="255" xfId="0" quotePrefix="1" applyFill="1" applyBorder="1" applyAlignment="1">
      <alignment vertical="center" wrapText="1"/>
    </xf>
    <xf numFmtId="3" fontId="31" fillId="0" borderId="252" xfId="0" applyNumberFormat="1" applyFont="1" applyBorder="1" applyAlignment="1" applyProtection="1">
      <alignment horizontal="center" vertical="center"/>
      <protection locked="0"/>
    </xf>
    <xf numFmtId="3" fontId="31" fillId="0" borderId="253" xfId="0" applyNumberFormat="1" applyFont="1" applyBorder="1" applyAlignment="1" applyProtection="1">
      <alignment horizontal="center" vertical="center"/>
      <protection locked="0"/>
    </xf>
    <xf numFmtId="3" fontId="31" fillId="0" borderId="294" xfId="0" applyNumberFormat="1" applyFont="1" applyBorder="1" applyAlignment="1" applyProtection="1">
      <alignment horizontal="center" vertical="center"/>
      <protection locked="0"/>
    </xf>
    <xf numFmtId="3" fontId="31" fillId="0" borderId="295" xfId="0" applyNumberFormat="1" applyFont="1" applyBorder="1" applyAlignment="1" applyProtection="1">
      <alignment horizontal="center" vertical="center"/>
      <protection locked="0"/>
    </xf>
    <xf numFmtId="3" fontId="31" fillId="0" borderId="254" xfId="0" applyNumberFormat="1" applyFont="1" applyBorder="1" applyAlignment="1" applyProtection="1">
      <alignment horizontal="center" vertical="center"/>
      <protection locked="0"/>
    </xf>
    <xf numFmtId="3" fontId="31" fillId="0" borderId="299" xfId="0" applyNumberFormat="1" applyFont="1" applyBorder="1" applyAlignment="1" applyProtection="1">
      <alignment horizontal="center" vertical="center"/>
      <protection locked="0"/>
    </xf>
    <xf numFmtId="3" fontId="31" fillId="0" borderId="255" xfId="0" applyNumberFormat="1" applyFont="1" applyBorder="1" applyAlignment="1" applyProtection="1">
      <alignment horizontal="center" vertical="center"/>
      <protection locked="0"/>
    </xf>
    <xf numFmtId="0" fontId="0" fillId="7" borderId="16" xfId="0" quotePrefix="1" applyFill="1" applyBorder="1" applyAlignment="1">
      <alignment vertical="center" wrapText="1"/>
    </xf>
    <xf numFmtId="0" fontId="0" fillId="7" borderId="251" xfId="0" quotePrefix="1" applyFill="1" applyBorder="1" applyAlignment="1">
      <alignment vertical="center" wrapText="1"/>
    </xf>
    <xf numFmtId="3" fontId="31" fillId="0" borderId="250" xfId="0" applyNumberFormat="1" applyFont="1" applyBorder="1" applyAlignment="1" applyProtection="1">
      <alignment horizontal="center" vertical="center"/>
      <protection locked="0"/>
    </xf>
    <xf numFmtId="3" fontId="31" fillId="0" borderId="16" xfId="0" applyNumberFormat="1" applyFont="1" applyBorder="1" applyAlignment="1" applyProtection="1">
      <alignment horizontal="center" vertical="center"/>
      <protection locked="0"/>
    </xf>
    <xf numFmtId="3" fontId="31" fillId="0" borderId="26" xfId="0" applyNumberFormat="1" applyFont="1" applyBorder="1" applyAlignment="1" applyProtection="1">
      <alignment horizontal="center" vertical="center"/>
      <protection locked="0"/>
    </xf>
    <xf numFmtId="3" fontId="31" fillId="0" borderId="33" xfId="0" applyNumberFormat="1" applyFont="1" applyBorder="1" applyAlignment="1" applyProtection="1">
      <alignment horizontal="center" vertical="center"/>
      <protection locked="0"/>
    </xf>
    <xf numFmtId="3" fontId="31" fillId="0" borderId="19" xfId="0" applyNumberFormat="1" applyFont="1" applyBorder="1" applyAlignment="1" applyProtection="1">
      <alignment horizontal="center" vertical="center"/>
      <protection locked="0"/>
    </xf>
    <xf numFmtId="3" fontId="31" fillId="0" borderId="15" xfId="0" applyNumberFormat="1" applyFont="1" applyBorder="1" applyAlignment="1" applyProtection="1">
      <alignment horizontal="center" vertical="center"/>
      <protection locked="0"/>
    </xf>
    <xf numFmtId="3" fontId="31" fillId="0" borderId="251" xfId="0" applyNumberFormat="1" applyFont="1" applyBorder="1" applyAlignment="1" applyProtection="1">
      <alignment horizontal="center" vertical="center"/>
      <protection locked="0"/>
    </xf>
    <xf numFmtId="0" fontId="0" fillId="7" borderId="16" xfId="0" quotePrefix="1" applyFill="1" applyBorder="1" applyAlignment="1">
      <alignment vertical="top" wrapText="1"/>
    </xf>
    <xf numFmtId="0" fontId="0" fillId="7" borderId="251" xfId="0" quotePrefix="1" applyFill="1" applyBorder="1" applyAlignment="1">
      <alignment vertical="top" wrapText="1"/>
    </xf>
    <xf numFmtId="0" fontId="31" fillId="7" borderId="286" xfId="0" quotePrefix="1" applyFont="1" applyFill="1" applyBorder="1" applyAlignment="1">
      <alignment vertical="top" wrapText="1"/>
    </xf>
    <xf numFmtId="0" fontId="0" fillId="7" borderId="286" xfId="0" quotePrefix="1" applyFill="1" applyBorder="1" applyAlignment="1">
      <alignment vertical="top" wrapText="1"/>
    </xf>
    <xf numFmtId="0" fontId="0" fillId="7" borderId="287" xfId="0" quotePrefix="1" applyFill="1" applyBorder="1" applyAlignment="1">
      <alignment vertical="top" wrapText="1"/>
    </xf>
    <xf numFmtId="3" fontId="31" fillId="0" borderId="289" xfId="0" applyNumberFormat="1" applyFont="1" applyBorder="1" applyAlignment="1" applyProtection="1">
      <alignment horizontal="center" vertical="center"/>
      <protection locked="0"/>
    </xf>
    <xf numFmtId="3" fontId="31" fillId="0" borderId="6" xfId="0" applyNumberFormat="1" applyFont="1" applyBorder="1" applyAlignment="1" applyProtection="1">
      <alignment horizontal="center" vertical="center"/>
      <protection locked="0"/>
    </xf>
    <xf numFmtId="3" fontId="31" fillId="0" borderId="63" xfId="0" applyNumberFormat="1" applyFont="1" applyBorder="1" applyAlignment="1" applyProtection="1">
      <alignment horizontal="center" vertical="center"/>
      <protection locked="0"/>
    </xf>
    <xf numFmtId="3" fontId="31" fillId="0" borderId="119" xfId="0" applyNumberFormat="1" applyFont="1" applyBorder="1" applyAlignment="1" applyProtection="1">
      <alignment horizontal="center" vertical="center"/>
      <protection locked="0"/>
    </xf>
    <xf numFmtId="3" fontId="31" fillId="0" borderId="52" xfId="0" applyNumberFormat="1" applyFont="1" applyBorder="1" applyAlignment="1" applyProtection="1">
      <alignment horizontal="center" vertical="center"/>
      <protection locked="0"/>
    </xf>
    <xf numFmtId="3" fontId="31" fillId="0" borderId="37" xfId="0" applyNumberFormat="1" applyFont="1" applyBorder="1" applyAlignment="1" applyProtection="1">
      <alignment horizontal="center" vertical="center"/>
      <protection locked="0"/>
    </xf>
    <xf numFmtId="3" fontId="31" fillId="0" borderId="290" xfId="0" applyNumberFormat="1" applyFont="1" applyBorder="1" applyAlignment="1" applyProtection="1">
      <alignment horizontal="center" vertical="center"/>
      <protection locked="0"/>
    </xf>
    <xf numFmtId="0" fontId="12" fillId="7" borderId="239" xfId="0" applyFont="1" applyFill="1" applyBorder="1" applyAlignment="1">
      <alignment horizontal="center" vertical="center" wrapText="1"/>
    </xf>
    <xf numFmtId="0" fontId="12" fillId="7" borderId="240" xfId="0" applyFont="1" applyFill="1" applyBorder="1" applyAlignment="1">
      <alignment horizontal="center" vertical="center" wrapText="1"/>
    </xf>
    <xf numFmtId="0" fontId="12" fillId="7" borderId="241" xfId="0" applyFont="1" applyFill="1" applyBorder="1" applyAlignment="1">
      <alignment horizontal="center" vertical="center" wrapText="1"/>
    </xf>
    <xf numFmtId="0" fontId="12" fillId="7" borderId="256" xfId="0" applyFont="1" applyFill="1" applyBorder="1" applyAlignment="1">
      <alignment horizontal="center" vertical="center" wrapText="1"/>
    </xf>
    <xf numFmtId="0" fontId="12" fillId="7" borderId="257" xfId="0" applyFont="1" applyFill="1" applyBorder="1" applyAlignment="1">
      <alignment horizontal="center" vertical="center" wrapText="1"/>
    </xf>
    <xf numFmtId="0" fontId="12" fillId="7" borderId="259" xfId="0" applyFont="1" applyFill="1" applyBorder="1" applyAlignment="1">
      <alignment horizontal="center" vertical="center" wrapText="1"/>
    </xf>
    <xf numFmtId="0" fontId="12" fillId="7" borderId="258" xfId="0" applyFont="1" applyFill="1" applyBorder="1" applyAlignment="1">
      <alignment horizontal="center" vertical="center" wrapText="1"/>
    </xf>
    <xf numFmtId="0" fontId="12" fillId="7" borderId="269" xfId="0" applyFont="1" applyFill="1" applyBorder="1" applyAlignment="1">
      <alignment horizontal="center" vertical="center" wrapText="1"/>
    </xf>
    <xf numFmtId="0" fontId="12" fillId="7" borderId="271" xfId="0" applyFont="1" applyFill="1" applyBorder="1" applyAlignment="1">
      <alignment horizontal="center" vertical="center" wrapText="1"/>
    </xf>
    <xf numFmtId="0" fontId="12" fillId="7" borderId="270" xfId="0" applyFont="1" applyFill="1" applyBorder="1" applyAlignment="1">
      <alignment horizontal="center" vertical="center" wrapText="1"/>
    </xf>
    <xf numFmtId="0" fontId="0" fillId="7" borderId="0" xfId="191" applyFont="1" applyFill="1" applyAlignment="1">
      <alignment wrapText="1"/>
    </xf>
    <xf numFmtId="0" fontId="12" fillId="7" borderId="35" xfId="20" applyFont="1" applyFill="1" applyBorder="1" applyAlignment="1">
      <alignment horizontal="center" vertical="center"/>
    </xf>
    <xf numFmtId="0" fontId="12" fillId="7" borderId="0" xfId="20" applyFont="1" applyFill="1" applyAlignment="1">
      <alignment horizontal="center" vertical="center"/>
    </xf>
    <xf numFmtId="0" fontId="12" fillId="7" borderId="11" xfId="20" applyFont="1" applyFill="1" applyBorder="1" applyAlignment="1">
      <alignment horizontal="center" vertical="center"/>
    </xf>
    <xf numFmtId="0" fontId="12" fillId="7" borderId="3" xfId="20" applyFont="1" applyFill="1" applyBorder="1" applyAlignment="1">
      <alignment horizontal="center" vertical="center"/>
    </xf>
    <xf numFmtId="0" fontId="12" fillId="7" borderId="28" xfId="20" applyFont="1" applyFill="1" applyBorder="1" applyAlignment="1">
      <alignment horizontal="center" vertical="center"/>
    </xf>
    <xf numFmtId="0" fontId="0" fillId="7" borderId="0" xfId="192" applyFont="1" applyFill="1" applyAlignment="1">
      <alignment vertical="center"/>
    </xf>
    <xf numFmtId="0" fontId="31" fillId="0" borderId="13" xfId="20" applyBorder="1" applyAlignment="1" applyProtection="1">
      <alignment horizontal="center" vertical="center"/>
      <protection locked="0"/>
    </xf>
    <xf numFmtId="0" fontId="31" fillId="0" borderId="14" xfId="20" applyBorder="1" applyAlignment="1" applyProtection="1">
      <alignment horizontal="center" vertical="center"/>
      <protection locked="0"/>
    </xf>
    <xf numFmtId="0" fontId="31" fillId="0" borderId="25" xfId="20" applyBorder="1" applyAlignment="1" applyProtection="1">
      <alignment horizontal="center" vertical="center"/>
      <protection locked="0"/>
    </xf>
    <xf numFmtId="0" fontId="31" fillId="0" borderId="32" xfId="20" applyBorder="1" applyAlignment="1" applyProtection="1">
      <alignment horizontal="center" vertical="center"/>
      <protection locked="0"/>
    </xf>
    <xf numFmtId="0" fontId="31" fillId="0" borderId="18" xfId="20" applyBorder="1" applyAlignment="1" applyProtection="1">
      <alignment horizontal="center" vertical="center"/>
      <protection locked="0"/>
    </xf>
    <xf numFmtId="0" fontId="12" fillId="7" borderId="1" xfId="20" applyFont="1" applyFill="1" applyBorder="1" applyAlignment="1">
      <alignment horizontal="center" vertical="center" wrapText="1"/>
    </xf>
    <xf numFmtId="0" fontId="12" fillId="7" borderId="4" xfId="20" applyFont="1" applyFill="1" applyBorder="1" applyAlignment="1">
      <alignment horizontal="center" vertical="center" wrapText="1"/>
    </xf>
    <xf numFmtId="0" fontId="31" fillId="0" borderId="19" xfId="20" applyBorder="1" applyAlignment="1" applyProtection="1">
      <alignment horizontal="center" vertical="center"/>
      <protection locked="0"/>
    </xf>
    <xf numFmtId="0" fontId="31" fillId="0" borderId="15" xfId="20" applyBorder="1" applyAlignment="1" applyProtection="1">
      <alignment horizontal="center" vertical="center"/>
      <protection locked="0"/>
    </xf>
    <xf numFmtId="0" fontId="31" fillId="7" borderId="0" xfId="20" applyFill="1" applyAlignment="1">
      <alignment vertical="top" wrapText="1"/>
    </xf>
    <xf numFmtId="0" fontId="12" fillId="7" borderId="36" xfId="20" applyFont="1" applyFill="1" applyBorder="1" applyAlignment="1">
      <alignment horizontal="center" vertical="center"/>
    </xf>
    <xf numFmtId="0" fontId="31" fillId="0" borderId="22" xfId="20" applyBorder="1" applyAlignment="1" applyProtection="1">
      <alignment horizontal="center" vertical="center"/>
      <protection locked="0"/>
    </xf>
    <xf numFmtId="0" fontId="31" fillId="0" borderId="23" xfId="20" applyBorder="1" applyAlignment="1" applyProtection="1">
      <alignment horizontal="center" vertical="center"/>
      <protection locked="0"/>
    </xf>
    <xf numFmtId="0" fontId="31" fillId="0" borderId="31" xfId="20" applyBorder="1" applyAlignment="1" applyProtection="1">
      <alignment horizontal="center" vertical="center"/>
      <protection locked="0"/>
    </xf>
    <xf numFmtId="0" fontId="12" fillId="7" borderId="13" xfId="20" applyFont="1" applyFill="1" applyBorder="1" applyAlignment="1">
      <alignment horizontal="center" vertical="center"/>
    </xf>
    <xf numFmtId="0" fontId="12" fillId="7" borderId="14" xfId="20" applyFont="1" applyFill="1" applyBorder="1" applyAlignment="1">
      <alignment horizontal="center" vertical="center"/>
    </xf>
    <xf numFmtId="0" fontId="12" fillId="7" borderId="18" xfId="20" applyFont="1" applyFill="1" applyBorder="1" applyAlignment="1">
      <alignment horizontal="center" vertical="center"/>
    </xf>
    <xf numFmtId="0" fontId="0" fillId="7" borderId="0" xfId="191" applyFont="1" applyFill="1" applyAlignment="1">
      <alignment vertical="top" wrapText="1"/>
    </xf>
    <xf numFmtId="0" fontId="12" fillId="7" borderId="29" xfId="20" applyFont="1" applyFill="1" applyBorder="1" applyAlignment="1">
      <alignment horizontal="center" vertical="center"/>
    </xf>
    <xf numFmtId="0" fontId="31" fillId="0" borderId="24" xfId="20" applyBorder="1" applyAlignment="1" applyProtection="1">
      <alignment horizontal="center" vertical="center"/>
      <protection locked="0"/>
    </xf>
    <xf numFmtId="0" fontId="31" fillId="0" borderId="30" xfId="20" applyBorder="1" applyAlignment="1" applyProtection="1">
      <alignment horizontal="center" vertical="center"/>
      <protection locked="0"/>
    </xf>
    <xf numFmtId="0" fontId="31" fillId="0" borderId="12" xfId="20" applyBorder="1" applyAlignment="1" applyProtection="1">
      <alignment horizontal="center" vertical="center"/>
      <protection locked="0"/>
    </xf>
    <xf numFmtId="0" fontId="31" fillId="7" borderId="16" xfId="20" applyFill="1" applyBorder="1" applyAlignment="1">
      <alignment vertical="center" wrapText="1"/>
    </xf>
    <xf numFmtId="0" fontId="31" fillId="7" borderId="16" xfId="20" applyFill="1" applyBorder="1" applyAlignment="1">
      <alignment vertical="center"/>
    </xf>
    <xf numFmtId="0" fontId="12" fillId="7" borderId="2" xfId="20" applyFont="1" applyFill="1" applyBorder="1" applyAlignment="1">
      <alignment vertical="center"/>
    </xf>
    <xf numFmtId="0" fontId="12" fillId="7" borderId="5" xfId="20" applyFont="1" applyFill="1" applyBorder="1" applyAlignment="1">
      <alignment vertical="center"/>
    </xf>
    <xf numFmtId="0" fontId="31" fillId="7" borderId="14" xfId="20" applyFill="1" applyBorder="1" applyAlignment="1">
      <alignment vertical="center"/>
    </xf>
    <xf numFmtId="0" fontId="89" fillId="7" borderId="23" xfId="20" applyFont="1" applyFill="1" applyBorder="1" applyAlignment="1">
      <alignment horizontal="left" vertical="top"/>
    </xf>
    <xf numFmtId="0" fontId="31" fillId="7" borderId="14" xfId="20" applyFill="1" applyBorder="1" applyAlignment="1">
      <alignment vertical="center" wrapText="1"/>
    </xf>
    <xf numFmtId="0" fontId="12" fillId="7" borderId="66" xfId="68" applyFont="1" applyFill="1" applyBorder="1" applyAlignment="1">
      <alignment horizontal="center" vertical="center" wrapText="1"/>
    </xf>
    <xf numFmtId="0" fontId="12" fillId="7" borderId="21" xfId="68" applyFont="1" applyFill="1" applyBorder="1" applyAlignment="1">
      <alignment horizontal="center" vertical="center" wrapText="1"/>
    </xf>
    <xf numFmtId="0" fontId="12" fillId="7" borderId="9" xfId="68" applyFont="1" applyFill="1" applyBorder="1" applyAlignment="1">
      <alignment horizontal="center" vertical="center" wrapText="1"/>
    </xf>
    <xf numFmtId="0" fontId="31" fillId="0" borderId="4" xfId="68" applyBorder="1" applyAlignment="1" applyProtection="1">
      <alignment horizontal="center" vertical="center" wrapText="1"/>
      <protection locked="0"/>
    </xf>
    <xf numFmtId="0" fontId="31" fillId="0" borderId="5" xfId="68" applyBorder="1" applyAlignment="1" applyProtection="1">
      <alignment horizontal="center" vertical="center" wrapText="1"/>
      <protection locked="0"/>
    </xf>
    <xf numFmtId="0" fontId="31" fillId="0" borderId="54" xfId="68" applyBorder="1" applyAlignment="1" applyProtection="1">
      <alignment horizontal="center" vertical="center" wrapText="1"/>
      <protection locked="0"/>
    </xf>
    <xf numFmtId="0" fontId="31" fillId="0" borderId="12" xfId="68" applyBorder="1" applyAlignment="1" applyProtection="1">
      <alignment horizontal="center" vertical="center" wrapText="1"/>
      <protection locked="0"/>
    </xf>
    <xf numFmtId="0" fontId="31" fillId="0" borderId="8" xfId="68" applyBorder="1" applyAlignment="1" applyProtection="1">
      <alignment horizontal="center" vertical="center" wrapText="1"/>
      <protection locked="0"/>
    </xf>
    <xf numFmtId="0" fontId="31" fillId="0" borderId="21" xfId="68" applyBorder="1" applyAlignment="1" applyProtection="1">
      <alignment horizontal="center" vertical="center" wrapText="1"/>
      <protection locked="0"/>
    </xf>
    <xf numFmtId="0" fontId="31" fillId="0" borderId="67" xfId="68" applyBorder="1" applyAlignment="1" applyProtection="1">
      <alignment horizontal="center" vertical="center" wrapText="1"/>
      <protection locked="0"/>
    </xf>
    <xf numFmtId="0" fontId="31" fillId="0" borderId="68" xfId="68" applyBorder="1" applyAlignment="1" applyProtection="1">
      <alignment horizontal="center" vertical="center"/>
      <protection locked="0"/>
    </xf>
    <xf numFmtId="0" fontId="31" fillId="0" borderId="21" xfId="68" applyBorder="1" applyAlignment="1" applyProtection="1">
      <alignment horizontal="center" vertical="center"/>
      <protection locked="0"/>
    </xf>
    <xf numFmtId="0" fontId="31" fillId="0" borderId="67" xfId="68" applyBorder="1" applyAlignment="1" applyProtection="1">
      <alignment horizontal="center" vertical="center"/>
      <protection locked="0"/>
    </xf>
    <xf numFmtId="0" fontId="31" fillId="0" borderId="68" xfId="68" applyBorder="1" applyAlignment="1" applyProtection="1">
      <alignment horizontal="center" vertical="center" wrapText="1"/>
      <protection locked="0"/>
    </xf>
    <xf numFmtId="0" fontId="31" fillId="0" borderId="9" xfId="68" applyBorder="1" applyAlignment="1" applyProtection="1">
      <alignment horizontal="center" vertical="center"/>
      <protection locked="0"/>
    </xf>
    <xf numFmtId="0" fontId="12" fillId="7" borderId="8" xfId="68" applyFont="1" applyFill="1" applyBorder="1" applyAlignment="1">
      <alignment horizontal="center" vertical="center" wrapText="1"/>
    </xf>
    <xf numFmtId="0" fontId="12" fillId="7" borderId="13" xfId="68" applyFont="1" applyFill="1" applyBorder="1" applyAlignment="1">
      <alignment horizontal="center" vertical="center" wrapText="1"/>
    </xf>
    <xf numFmtId="0" fontId="12" fillId="7" borderId="18" xfId="68" applyFont="1" applyFill="1" applyBorder="1" applyAlignment="1">
      <alignment horizontal="center" vertical="center" wrapText="1"/>
    </xf>
    <xf numFmtId="0" fontId="12" fillId="7" borderId="22" xfId="68" applyFont="1" applyFill="1" applyBorder="1" applyAlignment="1">
      <alignment horizontal="center" vertical="center"/>
    </xf>
    <xf numFmtId="0" fontId="12" fillId="7" borderId="23" xfId="68" applyFont="1" applyFill="1" applyBorder="1" applyAlignment="1">
      <alignment horizontal="center" vertical="center"/>
    </xf>
    <xf numFmtId="0" fontId="12" fillId="7" borderId="24" xfId="68" applyFont="1" applyFill="1" applyBorder="1" applyAlignment="1">
      <alignment horizontal="center" vertical="center"/>
    </xf>
    <xf numFmtId="0" fontId="12" fillId="7" borderId="30" xfId="68" applyFont="1" applyFill="1" applyBorder="1" applyAlignment="1">
      <alignment horizontal="center" vertical="center"/>
    </xf>
    <xf numFmtId="0" fontId="12" fillId="7" borderId="31" xfId="68" applyFont="1" applyFill="1" applyBorder="1" applyAlignment="1">
      <alignment horizontal="center" vertical="center"/>
    </xf>
    <xf numFmtId="0" fontId="31" fillId="7" borderId="250" xfId="20" applyFill="1" applyBorder="1" applyAlignment="1">
      <alignment horizontal="left" vertical="center" indent="3"/>
    </xf>
    <xf numFmtId="0" fontId="31" fillId="7" borderId="16" xfId="20" applyFill="1" applyBorder="1" applyAlignment="1">
      <alignment horizontal="left" vertical="center" indent="3"/>
    </xf>
    <xf numFmtId="0" fontId="31" fillId="7" borderId="251" xfId="20" applyFill="1" applyBorder="1" applyAlignment="1">
      <alignment horizontal="left" vertical="center" indent="3"/>
    </xf>
    <xf numFmtId="0" fontId="31" fillId="7" borderId="252" xfId="20" applyFill="1" applyBorder="1" applyAlignment="1">
      <alignment horizontal="left" vertical="center" indent="3"/>
    </xf>
    <xf numFmtId="0" fontId="31" fillId="7" borderId="253" xfId="20" applyFill="1" applyBorder="1" applyAlignment="1">
      <alignment horizontal="left" vertical="center" indent="3"/>
    </xf>
    <xf numFmtId="0" fontId="31" fillId="7" borderId="255" xfId="20" applyFill="1" applyBorder="1" applyAlignment="1">
      <alignment horizontal="left" vertical="center" indent="3"/>
    </xf>
    <xf numFmtId="3" fontId="31" fillId="0" borderId="34" xfId="20" applyNumberFormat="1" applyBorder="1" applyAlignment="1" applyProtection="1">
      <alignment horizontal="center" vertical="center"/>
      <protection locked="0"/>
    </xf>
    <xf numFmtId="3" fontId="31" fillId="0" borderId="7" xfId="20" applyNumberFormat="1" applyBorder="1" applyAlignment="1" applyProtection="1">
      <alignment horizontal="center" vertical="center"/>
      <protection locked="0"/>
    </xf>
    <xf numFmtId="3" fontId="31" fillId="0" borderId="305" xfId="20" applyNumberFormat="1" applyBorder="1" applyAlignment="1" applyProtection="1">
      <alignment horizontal="center" vertical="center"/>
      <protection locked="0"/>
    </xf>
    <xf numFmtId="3" fontId="31" fillId="0" borderId="35" xfId="20" applyNumberFormat="1" applyBorder="1" applyAlignment="1" applyProtection="1">
      <alignment horizontal="center" vertical="center"/>
      <protection locked="0"/>
    </xf>
    <xf numFmtId="3" fontId="31" fillId="0" borderId="0" xfId="20" applyNumberFormat="1" applyAlignment="1" applyProtection="1">
      <alignment horizontal="center" vertical="center"/>
      <protection locked="0"/>
    </xf>
    <xf numFmtId="3" fontId="31" fillId="0" borderId="243" xfId="20" applyNumberFormat="1" applyBorder="1" applyAlignment="1" applyProtection="1">
      <alignment horizontal="center" vertical="center"/>
      <protection locked="0"/>
    </xf>
    <xf numFmtId="3" fontId="31" fillId="0" borderId="269" xfId="20" applyNumberFormat="1" applyBorder="1" applyAlignment="1" applyProtection="1">
      <alignment horizontal="center" vertical="center"/>
      <protection locked="0"/>
    </xf>
    <xf numFmtId="3" fontId="31" fillId="0" borderId="257" xfId="20" applyNumberFormat="1" applyBorder="1" applyAlignment="1" applyProtection="1">
      <alignment horizontal="center" vertical="center"/>
      <protection locked="0"/>
    </xf>
    <xf numFmtId="3" fontId="31" fillId="0" borderId="259" xfId="20" applyNumberFormat="1" applyBorder="1" applyAlignment="1" applyProtection="1">
      <alignment horizontal="center" vertical="center"/>
      <protection locked="0"/>
    </xf>
    <xf numFmtId="0" fontId="31" fillId="7" borderId="285" xfId="20" applyFill="1" applyBorder="1" applyAlignment="1">
      <alignment horizontal="left" vertical="center" indent="3"/>
    </xf>
    <xf numFmtId="0" fontId="31" fillId="7" borderId="286" xfId="20" applyFill="1" applyBorder="1" applyAlignment="1">
      <alignment horizontal="left" vertical="center" indent="3"/>
    </xf>
    <xf numFmtId="0" fontId="31" fillId="7" borderId="287" xfId="20" applyFill="1" applyBorder="1" applyAlignment="1">
      <alignment horizontal="left" vertical="center" indent="3"/>
    </xf>
    <xf numFmtId="0" fontId="31" fillId="0" borderId="286" xfId="20" applyBorder="1" applyAlignment="1" applyProtection="1">
      <alignment horizontal="center" vertical="center"/>
      <protection locked="0"/>
    </xf>
    <xf numFmtId="0" fontId="31" fillId="0" borderId="287" xfId="20" applyBorder="1" applyAlignment="1" applyProtection="1">
      <alignment horizontal="center" vertical="center"/>
      <protection locked="0"/>
    </xf>
    <xf numFmtId="0" fontId="31" fillId="7" borderId="304" xfId="20" quotePrefix="1" applyFill="1" applyBorder="1" applyAlignment="1">
      <alignment horizontal="left" vertical="center" indent="1"/>
    </xf>
    <xf numFmtId="0" fontId="31" fillId="7" borderId="7" xfId="20" quotePrefix="1" applyFill="1" applyBorder="1" applyAlignment="1">
      <alignment horizontal="left" vertical="center" indent="1"/>
    </xf>
    <xf numFmtId="3" fontId="31" fillId="0" borderId="304" xfId="20" applyNumberFormat="1" applyBorder="1" applyAlignment="1" applyProtection="1">
      <alignment horizontal="center" vertical="center"/>
      <protection locked="0"/>
    </xf>
    <xf numFmtId="3" fontId="31" fillId="0" borderId="27" xfId="20" applyNumberFormat="1" applyBorder="1" applyAlignment="1" applyProtection="1">
      <alignment horizontal="center" vertical="center"/>
      <protection locked="0"/>
    </xf>
    <xf numFmtId="3" fontId="31" fillId="0" borderId="242" xfId="20" applyNumberFormat="1" applyBorder="1" applyAlignment="1" applyProtection="1">
      <alignment horizontal="center" vertical="center"/>
      <protection locked="0"/>
    </xf>
    <xf numFmtId="3" fontId="31" fillId="0" borderId="28" xfId="20" applyNumberFormat="1" applyBorder="1" applyAlignment="1" applyProtection="1">
      <alignment horizontal="center" vertical="center"/>
      <protection locked="0"/>
    </xf>
    <xf numFmtId="3" fontId="31" fillId="0" borderId="256" xfId="20" applyNumberFormat="1" applyBorder="1" applyAlignment="1" applyProtection="1">
      <alignment horizontal="center" vertical="center"/>
      <protection locked="0"/>
    </xf>
    <xf numFmtId="3" fontId="31" fillId="0" borderId="258" xfId="20" applyNumberFormat="1" applyBorder="1" applyAlignment="1" applyProtection="1">
      <alignment horizontal="center" vertical="center"/>
      <protection locked="0"/>
    </xf>
    <xf numFmtId="3" fontId="31" fillId="0" borderId="20" xfId="20" applyNumberFormat="1" applyBorder="1" applyAlignment="1" applyProtection="1">
      <alignment horizontal="center" vertical="center"/>
      <protection locked="0"/>
    </xf>
    <xf numFmtId="3" fontId="31" fillId="0" borderId="11" xfId="20" applyNumberFormat="1" applyBorder="1" applyAlignment="1" applyProtection="1">
      <alignment horizontal="center" vertical="center"/>
      <protection locked="0"/>
    </xf>
    <xf numFmtId="3" fontId="31" fillId="0" borderId="271" xfId="20" applyNumberFormat="1" applyBorder="1" applyAlignment="1" applyProtection="1">
      <alignment horizontal="center" vertical="center"/>
      <protection locked="0"/>
    </xf>
    <xf numFmtId="3" fontId="31" fillId="0" borderId="17" xfId="20" applyNumberFormat="1" applyBorder="1" applyAlignment="1" applyProtection="1">
      <alignment horizontal="center" vertical="center"/>
      <protection locked="0"/>
    </xf>
    <xf numFmtId="3" fontId="31" fillId="0" borderId="3" xfId="20" applyNumberFormat="1" applyBorder="1" applyAlignment="1" applyProtection="1">
      <alignment horizontal="center" vertical="center"/>
      <protection locked="0"/>
    </xf>
    <xf numFmtId="3" fontId="31" fillId="0" borderId="270" xfId="20" applyNumberFormat="1" applyBorder="1" applyAlignment="1" applyProtection="1">
      <alignment horizontal="center" vertical="center"/>
      <protection locked="0"/>
    </xf>
    <xf numFmtId="0" fontId="31" fillId="7" borderId="250" xfId="20" quotePrefix="1" applyFill="1" applyBorder="1" applyAlignment="1">
      <alignment horizontal="left" vertical="center" wrapText="1" indent="1"/>
    </xf>
    <xf numFmtId="0" fontId="31" fillId="7" borderId="16" xfId="20" quotePrefix="1" applyFill="1" applyBorder="1" applyAlignment="1">
      <alignment horizontal="left" vertical="center" wrapText="1" indent="1"/>
    </xf>
    <xf numFmtId="3" fontId="12" fillId="7" borderId="280" xfId="20" applyNumberFormat="1" applyFont="1" applyFill="1" applyBorder="1" applyAlignment="1">
      <alignment horizontal="center" vertical="center" wrapText="1"/>
    </xf>
    <xf numFmtId="3" fontId="12" fillId="7" borderId="281" xfId="20" applyNumberFormat="1" applyFont="1" applyFill="1" applyBorder="1" applyAlignment="1">
      <alignment horizontal="center" vertical="center" wrapText="1"/>
    </xf>
    <xf numFmtId="3" fontId="12" fillId="7" borderId="284" xfId="20" applyNumberFormat="1" applyFont="1" applyFill="1" applyBorder="1" applyAlignment="1">
      <alignment horizontal="center" vertical="center" wrapText="1"/>
    </xf>
    <xf numFmtId="0" fontId="31" fillId="7" borderId="248" xfId="20" quotePrefix="1" applyFill="1" applyBorder="1" applyAlignment="1">
      <alignment horizontal="left" vertical="center" wrapText="1" indent="1"/>
    </xf>
    <xf numFmtId="0" fontId="31" fillId="7" borderId="14" xfId="20" quotePrefix="1" applyFill="1" applyBorder="1" applyAlignment="1">
      <alignment horizontal="left" vertical="center" wrapText="1" indent="1"/>
    </xf>
    <xf numFmtId="3" fontId="31" fillId="0" borderId="248" xfId="20" applyNumberFormat="1" applyBorder="1" applyAlignment="1" applyProtection="1">
      <alignment horizontal="center" vertical="center"/>
      <protection locked="0"/>
    </xf>
    <xf numFmtId="3" fontId="31" fillId="0" borderId="14" xfId="20" applyNumberFormat="1" applyBorder="1" applyAlignment="1" applyProtection="1">
      <alignment horizontal="center" vertical="center"/>
      <protection locked="0"/>
    </xf>
    <xf numFmtId="3" fontId="31" fillId="0" borderId="25" xfId="20" applyNumberFormat="1" applyBorder="1" applyAlignment="1" applyProtection="1">
      <alignment horizontal="center" vertical="center"/>
      <protection locked="0"/>
    </xf>
    <xf numFmtId="3" fontId="31" fillId="0" borderId="32" xfId="20" applyNumberFormat="1" applyBorder="1" applyAlignment="1" applyProtection="1">
      <alignment horizontal="center" vertical="center"/>
      <protection locked="0"/>
    </xf>
    <xf numFmtId="3" fontId="31" fillId="0" borderId="18" xfId="20" applyNumberFormat="1" applyBorder="1" applyAlignment="1" applyProtection="1">
      <alignment horizontal="center" vertical="center"/>
      <protection locked="0"/>
    </xf>
    <xf numFmtId="3" fontId="31" fillId="0" borderId="13" xfId="20" applyNumberFormat="1" applyBorder="1" applyAlignment="1" applyProtection="1">
      <alignment horizontal="center" vertical="center"/>
      <protection locked="0"/>
    </xf>
    <xf numFmtId="3" fontId="31" fillId="0" borderId="249" xfId="20" applyNumberFormat="1" applyBorder="1" applyAlignment="1" applyProtection="1">
      <alignment horizontal="center" vertical="center"/>
      <protection locked="0"/>
    </xf>
    <xf numFmtId="3" fontId="31" fillId="0" borderId="300" xfId="20" applyNumberFormat="1" applyBorder="1" applyAlignment="1" applyProtection="1">
      <alignment horizontal="center" vertical="center"/>
      <protection locked="0"/>
    </xf>
    <xf numFmtId="3" fontId="31" fillId="0" borderId="5" xfId="20" applyNumberFormat="1" applyBorder="1" applyAlignment="1" applyProtection="1">
      <alignment horizontal="center" vertical="center"/>
      <protection locked="0"/>
    </xf>
    <xf numFmtId="3" fontId="31" fillId="0" borderId="29" xfId="20" applyNumberFormat="1" applyBorder="1" applyAlignment="1" applyProtection="1">
      <alignment horizontal="center" vertical="center"/>
      <protection locked="0"/>
    </xf>
    <xf numFmtId="3" fontId="31" fillId="0" borderId="36" xfId="20" applyNumberFormat="1" applyBorder="1" applyAlignment="1" applyProtection="1">
      <alignment horizontal="center" vertical="center"/>
      <protection locked="0"/>
    </xf>
    <xf numFmtId="3" fontId="31" fillId="0" borderId="12" xfId="20" applyNumberFormat="1" applyBorder="1" applyAlignment="1" applyProtection="1">
      <alignment horizontal="center" vertical="center"/>
      <protection locked="0"/>
    </xf>
    <xf numFmtId="3" fontId="31" fillId="0" borderId="4" xfId="20" applyNumberFormat="1" applyBorder="1" applyAlignment="1" applyProtection="1">
      <alignment horizontal="center" vertical="center"/>
      <protection locked="0"/>
    </xf>
    <xf numFmtId="3" fontId="31" fillId="0" borderId="301" xfId="20" applyNumberFormat="1" applyBorder="1" applyAlignment="1" applyProtection="1">
      <alignment horizontal="center" vertical="center"/>
      <protection locked="0"/>
    </xf>
    <xf numFmtId="0" fontId="31" fillId="7" borderId="289" xfId="20" quotePrefix="1" applyFill="1" applyBorder="1" applyAlignment="1">
      <alignment horizontal="left" vertical="center" wrapText="1" indent="1"/>
    </xf>
    <xf numFmtId="0" fontId="31" fillId="7" borderId="6" xfId="20" quotePrefix="1" applyFill="1" applyBorder="1" applyAlignment="1">
      <alignment horizontal="left" vertical="center" wrapText="1" indent="1"/>
    </xf>
    <xf numFmtId="0" fontId="12" fillId="7" borderId="280" xfId="20" applyFont="1" applyFill="1" applyBorder="1" applyAlignment="1">
      <alignment horizontal="center" vertical="center" wrapText="1"/>
    </xf>
    <xf numFmtId="0" fontId="12" fillId="7" borderId="281" xfId="20" applyFont="1" applyFill="1" applyBorder="1" applyAlignment="1">
      <alignment horizontal="center" vertical="center" wrapText="1"/>
    </xf>
    <xf numFmtId="0" fontId="12" fillId="7" borderId="284" xfId="20" applyFont="1" applyFill="1" applyBorder="1" applyAlignment="1">
      <alignment horizontal="center" vertical="center" wrapText="1"/>
    </xf>
    <xf numFmtId="0" fontId="31" fillId="7" borderId="7" xfId="20" quotePrefix="1" applyFill="1" applyBorder="1" applyAlignment="1">
      <alignment vertical="center"/>
    </xf>
    <xf numFmtId="0" fontId="31" fillId="0" borderId="7" xfId="191" applyFont="1" applyBorder="1" applyAlignment="1" applyProtection="1">
      <alignment horizontal="center" vertical="center" wrapText="1"/>
      <protection locked="0"/>
    </xf>
    <xf numFmtId="0" fontId="31" fillId="0" borderId="27" xfId="191" applyFont="1" applyBorder="1" applyAlignment="1" applyProtection="1">
      <alignment horizontal="center" vertical="center" wrapText="1"/>
      <protection locked="0"/>
    </xf>
    <xf numFmtId="0" fontId="31" fillId="0" borderId="0" xfId="191" applyFont="1" applyAlignment="1" applyProtection="1">
      <alignment horizontal="center" vertical="center" wrapText="1"/>
      <protection locked="0"/>
    </xf>
    <xf numFmtId="0" fontId="31" fillId="0" borderId="28" xfId="191" applyFont="1" applyBorder="1" applyAlignment="1" applyProtection="1">
      <alignment horizontal="center" vertical="center" wrapText="1"/>
      <protection locked="0"/>
    </xf>
    <xf numFmtId="0" fontId="31" fillId="0" borderId="257" xfId="191" applyFont="1" applyBorder="1" applyAlignment="1" applyProtection="1">
      <alignment horizontal="center" vertical="center" wrapText="1"/>
      <protection locked="0"/>
    </xf>
    <xf numFmtId="0" fontId="31" fillId="0" borderId="258" xfId="191" applyFont="1" applyBorder="1" applyAlignment="1" applyProtection="1">
      <alignment horizontal="center" vertical="center" wrapText="1"/>
      <protection locked="0"/>
    </xf>
    <xf numFmtId="0" fontId="31" fillId="0" borderId="34" xfId="191" applyFont="1" applyBorder="1" applyAlignment="1" applyProtection="1">
      <alignment horizontal="center" vertical="center" wrapText="1"/>
      <protection locked="0"/>
    </xf>
    <xf numFmtId="0" fontId="31" fillId="0" borderId="20" xfId="191" applyFont="1" applyBorder="1" applyAlignment="1" applyProtection="1">
      <alignment horizontal="center" vertical="center" wrapText="1"/>
      <protection locked="0"/>
    </xf>
    <xf numFmtId="0" fontId="31" fillId="0" borderId="35" xfId="191" applyFont="1" applyBorder="1" applyAlignment="1" applyProtection="1">
      <alignment horizontal="center" vertical="center" wrapText="1"/>
      <protection locked="0"/>
    </xf>
    <xf numFmtId="0" fontId="31" fillId="0" borderId="11" xfId="191" applyFont="1" applyBorder="1" applyAlignment="1" applyProtection="1">
      <alignment horizontal="center" vertical="center" wrapText="1"/>
      <protection locked="0"/>
    </xf>
    <xf numFmtId="0" fontId="31" fillId="0" borderId="269" xfId="191" applyFont="1" applyBorder="1" applyAlignment="1" applyProtection="1">
      <alignment horizontal="center" vertical="center" wrapText="1"/>
      <protection locked="0"/>
    </xf>
    <xf numFmtId="0" fontId="31" fillId="0" borderId="271" xfId="191" applyFont="1" applyBorder="1" applyAlignment="1" applyProtection="1">
      <alignment horizontal="center" vertical="center" wrapText="1"/>
      <protection locked="0"/>
    </xf>
    <xf numFmtId="0" fontId="31" fillId="0" borderId="17" xfId="191" applyFont="1" applyBorder="1" applyAlignment="1" applyProtection="1">
      <alignment horizontal="center" vertical="center" wrapText="1"/>
      <protection locked="0"/>
    </xf>
    <xf numFmtId="0" fontId="31" fillId="0" borderId="3" xfId="191" applyFont="1" applyBorder="1" applyAlignment="1" applyProtection="1">
      <alignment horizontal="center" vertical="center" wrapText="1"/>
      <protection locked="0"/>
    </xf>
    <xf numFmtId="0" fontId="31" fillId="0" borderId="270" xfId="191" applyFont="1" applyBorder="1" applyAlignment="1" applyProtection="1">
      <alignment horizontal="center" vertical="center" wrapText="1"/>
      <protection locked="0"/>
    </xf>
    <xf numFmtId="0" fontId="31" fillId="0" borderId="305" xfId="191" applyFont="1" applyBorder="1" applyAlignment="1" applyProtection="1">
      <alignment horizontal="center" vertical="center" wrapText="1"/>
      <protection locked="0"/>
    </xf>
    <xf numFmtId="0" fontId="31" fillId="0" borderId="243" xfId="191" applyFont="1" applyBorder="1" applyAlignment="1" applyProtection="1">
      <alignment horizontal="center" vertical="center" wrapText="1"/>
      <protection locked="0"/>
    </xf>
    <xf numFmtId="0" fontId="31" fillId="0" borderId="259" xfId="191" applyFont="1" applyBorder="1" applyAlignment="1" applyProtection="1">
      <alignment horizontal="center" vertical="center" wrapText="1"/>
      <protection locked="0"/>
    </xf>
    <xf numFmtId="0" fontId="31" fillId="7" borderId="16" xfId="20" applyFill="1" applyBorder="1" applyAlignment="1">
      <alignment horizontal="justify" vertical="center"/>
    </xf>
    <xf numFmtId="0" fontId="31" fillId="7" borderId="16" xfId="20" applyFill="1" applyBorder="1" applyAlignment="1">
      <alignment horizontal="justify" vertical="center" wrapText="1"/>
    </xf>
    <xf numFmtId="0" fontId="31" fillId="7" borderId="286" xfId="20" applyFill="1" applyBorder="1" applyAlignment="1">
      <alignment horizontal="justify" vertical="center" wrapText="1"/>
    </xf>
    <xf numFmtId="0" fontId="31" fillId="0" borderId="306" xfId="20" applyBorder="1" applyAlignment="1" applyProtection="1">
      <alignment horizontal="center" vertical="center"/>
      <protection locked="0"/>
    </xf>
    <xf numFmtId="0" fontId="31" fillId="0" borderId="307" xfId="20" applyBorder="1" applyAlignment="1" applyProtection="1">
      <alignment horizontal="center" vertical="center"/>
      <protection locked="0"/>
    </xf>
    <xf numFmtId="0" fontId="31" fillId="0" borderId="288" xfId="20" applyBorder="1" applyAlignment="1" applyProtection="1">
      <alignment horizontal="center" vertical="center"/>
      <protection locked="0"/>
    </xf>
    <xf numFmtId="0" fontId="31" fillId="0" borderId="308" xfId="20" applyBorder="1" applyAlignment="1" applyProtection="1">
      <alignment horizontal="center" vertical="center"/>
      <protection locked="0"/>
    </xf>
    <xf numFmtId="0" fontId="12" fillId="7" borderId="239" xfId="20" applyFont="1" applyFill="1" applyBorder="1" applyAlignment="1">
      <alignment horizontal="center" vertical="center"/>
    </xf>
    <xf numFmtId="0" fontId="12" fillId="7" borderId="240" xfId="20" applyFont="1" applyFill="1" applyBorder="1" applyAlignment="1">
      <alignment horizontal="center" vertical="center"/>
    </xf>
    <xf numFmtId="0" fontId="12" fillId="7" borderId="241" xfId="20" applyFont="1" applyFill="1" applyBorder="1" applyAlignment="1">
      <alignment horizontal="center" vertical="center"/>
    </xf>
    <xf numFmtId="0" fontId="12" fillId="7" borderId="242" xfId="20" applyFont="1" applyFill="1" applyBorder="1" applyAlignment="1">
      <alignment horizontal="center" vertical="center"/>
    </xf>
    <xf numFmtId="0" fontId="12" fillId="7" borderId="243" xfId="20" applyFont="1" applyFill="1" applyBorder="1" applyAlignment="1">
      <alignment horizontal="center" vertical="center"/>
    </xf>
    <xf numFmtId="0" fontId="12" fillId="7" borderId="261" xfId="20" applyFont="1" applyFill="1" applyBorder="1" applyAlignment="1">
      <alignment horizontal="center" vertical="center"/>
    </xf>
    <xf numFmtId="0" fontId="12" fillId="7" borderId="300" xfId="20" applyFont="1" applyFill="1" applyBorder="1" applyAlignment="1">
      <alignment horizontal="center" vertical="center"/>
    </xf>
    <xf numFmtId="0" fontId="12" fillId="7" borderId="260" xfId="20" applyFont="1" applyFill="1" applyBorder="1" applyAlignment="1">
      <alignment horizontal="center" vertical="center" wrapText="1"/>
    </xf>
    <xf numFmtId="0" fontId="12" fillId="7" borderId="301" xfId="20" applyFont="1" applyFill="1" applyBorder="1" applyAlignment="1">
      <alignment horizontal="center" vertical="center" wrapText="1"/>
    </xf>
    <xf numFmtId="0" fontId="12" fillId="7" borderId="28" xfId="20" applyFont="1" applyFill="1" applyBorder="1" applyAlignment="1">
      <alignment horizontal="center" vertical="center" wrapText="1"/>
    </xf>
    <xf numFmtId="0" fontId="12" fillId="7" borderId="35" xfId="20" applyFont="1" applyFill="1" applyBorder="1" applyAlignment="1">
      <alignment horizontal="center" vertical="center" wrapText="1"/>
    </xf>
    <xf numFmtId="0" fontId="12" fillId="7" borderId="11" xfId="20" applyFont="1" applyFill="1" applyBorder="1" applyAlignment="1">
      <alignment horizontal="center" vertical="center" wrapText="1"/>
    </xf>
    <xf numFmtId="0" fontId="12" fillId="7" borderId="3" xfId="20" applyFont="1" applyFill="1" applyBorder="1" applyAlignment="1">
      <alignment horizontal="center" vertical="center" wrapText="1"/>
    </xf>
    <xf numFmtId="3" fontId="31" fillId="0" borderId="286" xfId="20" applyNumberFormat="1" applyBorder="1" applyAlignment="1" applyProtection="1">
      <alignment horizontal="center" vertical="center"/>
      <protection locked="0"/>
    </xf>
    <xf numFmtId="3" fontId="31" fillId="0" borderId="287" xfId="20" applyNumberFormat="1" applyBorder="1" applyAlignment="1" applyProtection="1">
      <alignment horizontal="center" vertical="center"/>
      <protection locked="0"/>
    </xf>
    <xf numFmtId="0" fontId="31" fillId="7" borderId="253" xfId="20" quotePrefix="1" applyFill="1" applyBorder="1" applyAlignment="1">
      <alignment vertical="center"/>
    </xf>
    <xf numFmtId="0" fontId="31" fillId="7" borderId="16" xfId="20" quotePrefix="1" applyFill="1" applyBorder="1" applyAlignment="1">
      <alignment vertical="center"/>
    </xf>
    <xf numFmtId="0" fontId="31" fillId="7" borderId="286" xfId="20" quotePrefix="1" applyFill="1" applyBorder="1" applyAlignment="1">
      <alignment vertical="center"/>
    </xf>
    <xf numFmtId="0" fontId="72" fillId="0" borderId="276" xfId="68" applyFont="1" applyBorder="1" applyAlignment="1" applyProtection="1">
      <alignment horizontal="center" vertical="center"/>
      <protection locked="0"/>
    </xf>
    <xf numFmtId="0" fontId="72" fillId="0" borderId="245" xfId="68" applyFont="1" applyBorder="1" applyAlignment="1" applyProtection="1">
      <alignment horizontal="center" vertical="center"/>
      <protection locked="0"/>
    </xf>
    <xf numFmtId="0" fontId="72" fillId="0" borderId="247" xfId="68" applyFont="1" applyBorder="1" applyAlignment="1" applyProtection="1">
      <alignment horizontal="center" vertical="center"/>
      <protection locked="0"/>
    </xf>
    <xf numFmtId="0" fontId="72" fillId="0" borderId="244" xfId="68" applyFont="1" applyBorder="1" applyAlignment="1" applyProtection="1">
      <alignment horizontal="center" vertical="center" wrapText="1"/>
      <protection locked="0"/>
    </xf>
    <xf numFmtId="0" fontId="72" fillId="0" borderId="245" xfId="68" applyFont="1" applyBorder="1" applyAlignment="1" applyProtection="1">
      <alignment horizontal="center" vertical="center" wrapText="1"/>
      <protection locked="0"/>
    </xf>
    <xf numFmtId="0" fontId="72" fillId="0" borderId="275" xfId="68" applyFont="1" applyBorder="1" applyAlignment="1" applyProtection="1">
      <alignment horizontal="center" vertical="center" wrapText="1"/>
      <protection locked="0"/>
    </xf>
    <xf numFmtId="0" fontId="72" fillId="0" borderId="246" xfId="68" applyFont="1" applyBorder="1" applyAlignment="1" applyProtection="1">
      <alignment horizontal="center" vertical="center"/>
      <protection locked="0"/>
    </xf>
    <xf numFmtId="0" fontId="72" fillId="0" borderId="322" xfId="68" applyFont="1" applyBorder="1" applyAlignment="1" applyProtection="1">
      <alignment horizontal="center" vertical="center" wrapText="1"/>
      <protection locked="0"/>
    </xf>
    <xf numFmtId="0" fontId="31" fillId="0" borderId="254" xfId="20" applyBorder="1" applyAlignment="1" applyProtection="1">
      <alignment horizontal="center" vertical="center"/>
      <protection locked="0"/>
    </xf>
    <xf numFmtId="0" fontId="31" fillId="0" borderId="299" xfId="20" applyBorder="1" applyAlignment="1" applyProtection="1">
      <alignment horizontal="center" vertical="center"/>
      <protection locked="0"/>
    </xf>
    <xf numFmtId="3" fontId="31" fillId="0" borderId="8" xfId="109" applyNumberFormat="1" applyBorder="1" applyAlignment="1" applyProtection="1">
      <alignment horizontal="center" vertical="center"/>
      <protection locked="0"/>
    </xf>
    <xf numFmtId="3" fontId="31" fillId="0" borderId="21" xfId="109" applyNumberFormat="1" applyBorder="1" applyAlignment="1" applyProtection="1">
      <alignment horizontal="center" vertical="center"/>
      <protection locked="0"/>
    </xf>
    <xf numFmtId="3" fontId="31" fillId="0" borderId="67" xfId="109" applyNumberFormat="1" applyBorder="1" applyAlignment="1" applyProtection="1">
      <alignment horizontal="center" vertical="center"/>
      <protection locked="0"/>
    </xf>
    <xf numFmtId="3" fontId="31" fillId="0" borderId="68" xfId="109" applyNumberFormat="1" applyBorder="1" applyAlignment="1" applyProtection="1">
      <alignment horizontal="center" vertical="center"/>
      <protection locked="0"/>
    </xf>
    <xf numFmtId="3" fontId="31" fillId="0" borderId="92" xfId="109" applyNumberFormat="1" applyBorder="1" applyAlignment="1" applyProtection="1">
      <alignment horizontal="center" vertical="center"/>
      <protection locked="0"/>
    </xf>
    <xf numFmtId="3" fontId="12" fillId="7" borderId="93" xfId="109" applyNumberFormat="1" applyFont="1" applyFill="1" applyBorder="1" applyAlignment="1">
      <alignment horizontal="center" vertical="center"/>
    </xf>
    <xf numFmtId="3" fontId="12" fillId="7" borderId="21" xfId="109" applyNumberFormat="1" applyFont="1" applyFill="1" applyBorder="1" applyAlignment="1">
      <alignment horizontal="center" vertical="center"/>
    </xf>
    <xf numFmtId="3" fontId="12" fillId="7" borderId="67" xfId="109" applyNumberFormat="1" applyFont="1" applyFill="1" applyBorder="1" applyAlignment="1">
      <alignment horizontal="center" vertical="center"/>
    </xf>
    <xf numFmtId="3" fontId="12" fillId="7" borderId="68" xfId="109" applyNumberFormat="1" applyFont="1" applyFill="1" applyBorder="1" applyAlignment="1">
      <alignment horizontal="center" vertical="center"/>
    </xf>
    <xf numFmtId="3" fontId="12" fillId="7" borderId="9" xfId="109" applyNumberFormat="1" applyFont="1" applyFill="1" applyBorder="1" applyAlignment="1">
      <alignment horizontal="center" vertical="center"/>
    </xf>
    <xf numFmtId="3" fontId="31" fillId="0" borderId="8" xfId="4" applyNumberFormat="1" applyFont="1" applyFill="1" applyBorder="1" applyAlignment="1" applyProtection="1">
      <alignment horizontal="center" vertical="center"/>
      <protection locked="0"/>
    </xf>
    <xf numFmtId="3" fontId="31" fillId="0" borderId="21" xfId="4" applyNumberFormat="1" applyFont="1" applyFill="1" applyBorder="1" applyAlignment="1" applyProtection="1">
      <alignment horizontal="center" vertical="center"/>
      <protection locked="0"/>
    </xf>
    <xf numFmtId="3" fontId="31" fillId="0" borderId="67" xfId="4" applyNumberFormat="1" applyFont="1" applyFill="1" applyBorder="1" applyAlignment="1" applyProtection="1">
      <alignment horizontal="center" vertical="center"/>
      <protection locked="0"/>
    </xf>
    <xf numFmtId="3" fontId="31" fillId="0" borderId="68" xfId="4" applyNumberFormat="1" applyFont="1" applyFill="1" applyBorder="1" applyAlignment="1" applyProtection="1">
      <alignment horizontal="center" vertical="center"/>
      <protection locked="0"/>
    </xf>
    <xf numFmtId="3" fontId="31" fillId="0" borderId="92" xfId="4" applyNumberFormat="1" applyFont="1" applyFill="1" applyBorder="1" applyAlignment="1" applyProtection="1">
      <alignment horizontal="center" vertical="center"/>
      <protection locked="0"/>
    </xf>
    <xf numFmtId="3" fontId="31" fillId="0" borderId="4" xfId="109" applyNumberFormat="1" applyBorder="1" applyAlignment="1" applyProtection="1">
      <alignment horizontal="center" vertical="center"/>
      <protection locked="0"/>
    </xf>
    <xf numFmtId="3" fontId="31" fillId="0" borderId="5" xfId="109" applyNumberFormat="1" applyBorder="1" applyAlignment="1" applyProtection="1">
      <alignment horizontal="center" vertical="center"/>
      <protection locked="0"/>
    </xf>
    <xf numFmtId="3" fontId="31" fillId="0" borderId="29" xfId="109" applyNumberFormat="1" applyBorder="1" applyAlignment="1" applyProtection="1">
      <alignment horizontal="center" vertical="center"/>
      <protection locked="0"/>
    </xf>
    <xf numFmtId="3" fontId="31" fillId="0" borderId="36" xfId="109" applyNumberFormat="1" applyBorder="1" applyAlignment="1" applyProtection="1">
      <alignment horizontal="center" vertical="center"/>
      <protection locked="0"/>
    </xf>
    <xf numFmtId="3" fontId="31" fillId="0" borderId="12" xfId="109" applyNumberFormat="1" applyBorder="1" applyAlignment="1" applyProtection="1">
      <alignment horizontal="center" vertical="center"/>
      <protection locked="0"/>
    </xf>
    <xf numFmtId="0" fontId="0" fillId="7" borderId="0" xfId="109" quotePrefix="1" applyFont="1" applyFill="1" applyAlignment="1">
      <alignment vertical="top" wrapText="1"/>
    </xf>
    <xf numFmtId="0" fontId="0" fillId="7" borderId="5" xfId="109" quotePrefix="1" applyFont="1" applyFill="1" applyBorder="1" applyAlignment="1">
      <alignment vertical="top" wrapText="1"/>
    </xf>
    <xf numFmtId="0" fontId="24" fillId="0" borderId="0" xfId="40" applyFont="1" applyAlignment="1" applyProtection="1">
      <alignment horizontal="left" vertical="center"/>
      <protection locked="0"/>
    </xf>
    <xf numFmtId="0" fontId="12" fillId="7" borderId="104" xfId="109" applyFont="1" applyFill="1" applyBorder="1" applyAlignment="1">
      <alignment horizontal="center" vertical="center"/>
    </xf>
    <xf numFmtId="0" fontId="12" fillId="7" borderId="2" xfId="109" applyFont="1" applyFill="1" applyBorder="1" applyAlignment="1">
      <alignment horizontal="center" vertical="center"/>
    </xf>
    <xf numFmtId="0" fontId="12" fillId="7" borderId="10" xfId="109" applyFont="1" applyFill="1" applyBorder="1" applyAlignment="1">
      <alignment horizontal="center" vertical="center"/>
    </xf>
    <xf numFmtId="0" fontId="12" fillId="7" borderId="51" xfId="109" applyFont="1" applyFill="1" applyBorder="1" applyAlignment="1">
      <alignment horizontal="center" vertical="center"/>
    </xf>
    <xf numFmtId="0" fontId="12" fillId="7" borderId="5" xfId="109" applyFont="1" applyFill="1" applyBorder="1" applyAlignment="1">
      <alignment horizontal="center" vertical="center"/>
    </xf>
    <xf numFmtId="0" fontId="12" fillId="7" borderId="12" xfId="109" applyFont="1" applyFill="1" applyBorder="1" applyAlignment="1">
      <alignment horizontal="center" vertical="center"/>
    </xf>
    <xf numFmtId="0" fontId="12" fillId="7" borderId="51" xfId="40" applyFont="1" applyFill="1" applyBorder="1" applyAlignment="1">
      <alignment horizontal="center" vertical="center"/>
    </xf>
    <xf numFmtId="0" fontId="67" fillId="7" borderId="29" xfId="40" applyFont="1" applyFill="1" applyBorder="1" applyAlignment="1">
      <alignment horizontal="center" vertical="center"/>
    </xf>
    <xf numFmtId="0" fontId="12" fillId="7" borderId="36" xfId="40" applyFont="1" applyFill="1" applyBorder="1" applyAlignment="1">
      <alignment horizontal="center" vertical="center"/>
    </xf>
    <xf numFmtId="0" fontId="67" fillId="7" borderId="12" xfId="40" applyFont="1" applyFill="1" applyBorder="1" applyAlignment="1">
      <alignment horizontal="center" vertical="center"/>
    </xf>
    <xf numFmtId="3" fontId="12" fillId="7" borderId="47" xfId="40" applyNumberFormat="1" applyFont="1" applyFill="1" applyBorder="1" applyAlignment="1">
      <alignment horizontal="center" vertical="center"/>
    </xf>
    <xf numFmtId="3" fontId="12" fillId="7" borderId="63" xfId="40" applyNumberFormat="1" applyFont="1" applyFill="1" applyBorder="1" applyAlignment="1">
      <alignment horizontal="center" vertical="center"/>
    </xf>
    <xf numFmtId="3" fontId="12" fillId="7" borderId="119" xfId="40" applyNumberFormat="1" applyFont="1" applyFill="1" applyBorder="1" applyAlignment="1">
      <alignment horizontal="center" vertical="center"/>
    </xf>
    <xf numFmtId="3" fontId="12" fillId="7" borderId="52" xfId="40" applyNumberFormat="1" applyFont="1" applyFill="1" applyBorder="1" applyAlignment="1">
      <alignment horizontal="center" vertical="center"/>
    </xf>
    <xf numFmtId="3" fontId="12" fillId="7" borderId="24" xfId="40" applyNumberFormat="1" applyFont="1" applyFill="1" applyBorder="1" applyAlignment="1">
      <alignment horizontal="center" vertical="center"/>
    </xf>
    <xf numFmtId="3" fontId="12" fillId="7" borderId="30" xfId="40" applyNumberFormat="1" applyFont="1" applyFill="1" applyBorder="1" applyAlignment="1">
      <alignment horizontal="center" vertical="center"/>
    </xf>
    <xf numFmtId="0" fontId="9" fillId="7" borderId="6" xfId="37" applyFont="1" applyFill="1" applyBorder="1" applyAlignment="1">
      <alignment horizontal="center"/>
    </xf>
    <xf numFmtId="3" fontId="31" fillId="0" borderId="24" xfId="40" applyNumberFormat="1" applyFont="1" applyBorder="1" applyAlignment="1" applyProtection="1">
      <alignment horizontal="center" vertical="center"/>
      <protection locked="0"/>
    </xf>
    <xf numFmtId="3" fontId="31" fillId="0" borderId="30" xfId="40" applyNumberFormat="1" applyFont="1" applyBorder="1" applyAlignment="1" applyProtection="1">
      <alignment horizontal="center" vertical="center"/>
      <protection locked="0"/>
    </xf>
    <xf numFmtId="0" fontId="12" fillId="7" borderId="0" xfId="109" applyFont="1" applyFill="1" applyAlignment="1">
      <alignment horizontal="left" vertical="top" wrapText="1"/>
    </xf>
    <xf numFmtId="0" fontId="22" fillId="7" borderId="0" xfId="69" applyFont="1" applyFill="1" applyAlignment="1">
      <alignment horizontal="left" vertical="top" wrapText="1"/>
    </xf>
    <xf numFmtId="0" fontId="9" fillId="7" borderId="0" xfId="69" applyFont="1" applyFill="1" applyAlignment="1">
      <alignment horizontal="left" vertical="top" wrapText="1"/>
    </xf>
    <xf numFmtId="3" fontId="12" fillId="7" borderId="51" xfId="4" applyNumberFormat="1" applyFont="1" applyFill="1" applyBorder="1" applyAlignment="1">
      <alignment horizontal="center" vertical="center"/>
    </xf>
    <xf numFmtId="3" fontId="12" fillId="7" borderId="12" xfId="4" applyNumberFormat="1" applyFont="1" applyFill="1" applyBorder="1" applyAlignment="1">
      <alignment horizontal="center" vertical="center"/>
    </xf>
    <xf numFmtId="0" fontId="9" fillId="7" borderId="0" xfId="109" applyFont="1" applyFill="1" applyAlignment="1">
      <alignment horizontal="left" vertical="top" wrapText="1"/>
    </xf>
    <xf numFmtId="0" fontId="12" fillId="7" borderId="235" xfId="109" applyFont="1" applyFill="1" applyBorder="1" applyAlignment="1">
      <alignment horizontal="center" vertical="center"/>
    </xf>
    <xf numFmtId="0" fontId="12" fillId="7" borderId="60" xfId="109" applyFont="1" applyFill="1" applyBorder="1" applyAlignment="1">
      <alignment horizontal="center" vertical="center"/>
    </xf>
    <xf numFmtId="0" fontId="12" fillId="7" borderId="24" xfId="109" applyFont="1" applyFill="1" applyBorder="1" applyAlignment="1">
      <alignment horizontal="center" vertical="center"/>
    </xf>
    <xf numFmtId="0" fontId="12" fillId="7" borderId="65" xfId="109" applyFont="1" applyFill="1" applyBorder="1" applyAlignment="1">
      <alignment horizontal="center" vertical="center"/>
    </xf>
    <xf numFmtId="0" fontId="28" fillId="0" borderId="0" xfId="40" applyFont="1" applyAlignment="1">
      <alignment horizontal="center" vertical="center"/>
    </xf>
    <xf numFmtId="0" fontId="28" fillId="7" borderId="0" xfId="40" applyFont="1" applyFill="1" applyAlignment="1">
      <alignment horizontal="center" vertical="center"/>
    </xf>
    <xf numFmtId="0" fontId="12" fillId="0" borderId="0" xfId="40" applyFont="1" applyAlignment="1">
      <alignment horizontal="center" vertical="center" wrapText="1"/>
    </xf>
    <xf numFmtId="0" fontId="12" fillId="0" borderId="0" xfId="40" applyFont="1" applyAlignment="1">
      <alignment horizontal="center" vertical="center"/>
    </xf>
    <xf numFmtId="0" fontId="12" fillId="7" borderId="93" xfId="69" applyFont="1" applyFill="1" applyBorder="1" applyAlignment="1">
      <alignment horizontal="center" vertical="center" wrapText="1"/>
    </xf>
    <xf numFmtId="0" fontId="12" fillId="7" borderId="21" xfId="69" applyFont="1" applyFill="1" applyBorder="1" applyAlignment="1">
      <alignment horizontal="center" vertical="center" wrapText="1"/>
    </xf>
    <xf numFmtId="0" fontId="12" fillId="7" borderId="9" xfId="69" applyFont="1" applyFill="1" applyBorder="1" applyAlignment="1">
      <alignment horizontal="center" vertical="center" wrapText="1"/>
    </xf>
    <xf numFmtId="0" fontId="12" fillId="7" borderId="8" xfId="69" applyFont="1" applyFill="1" applyBorder="1" applyAlignment="1">
      <alignment horizontal="center" vertical="center"/>
    </xf>
    <xf numFmtId="0" fontId="12" fillId="7" borderId="21" xfId="69" applyFont="1" applyFill="1" applyBorder="1" applyAlignment="1">
      <alignment horizontal="center" vertical="center"/>
    </xf>
    <xf numFmtId="0" fontId="12" fillId="7" borderId="67" xfId="69" applyFont="1" applyFill="1" applyBorder="1" applyAlignment="1">
      <alignment horizontal="center" vertical="center"/>
    </xf>
    <xf numFmtId="0" fontId="12" fillId="7" borderId="68" xfId="69" applyFont="1" applyFill="1" applyBorder="1" applyAlignment="1">
      <alignment horizontal="center" vertical="center" wrapText="1"/>
    </xf>
    <xf numFmtId="0" fontId="12" fillId="7" borderId="39" xfId="85" applyFont="1" applyFill="1" applyBorder="1" applyAlignment="1">
      <alignment horizontal="center" vertical="center"/>
    </xf>
    <xf numFmtId="0" fontId="12" fillId="7" borderId="24" xfId="85" applyFont="1" applyFill="1" applyBorder="1" applyAlignment="1">
      <alignment horizontal="center" vertical="center"/>
    </xf>
    <xf numFmtId="0" fontId="9" fillId="7" borderId="0" xfId="69" applyFont="1" applyFill="1" applyAlignment="1">
      <alignment horizontal="center"/>
    </xf>
    <xf numFmtId="0" fontId="12" fillId="7" borderId="230" xfId="109" applyFont="1" applyFill="1" applyBorder="1" applyAlignment="1">
      <alignment horizontal="center" vertical="center"/>
    </xf>
    <xf numFmtId="0" fontId="12" fillId="7" borderId="231" xfId="109" applyFont="1" applyFill="1" applyBorder="1" applyAlignment="1">
      <alignment horizontal="center" vertical="center"/>
    </xf>
    <xf numFmtId="0" fontId="12" fillId="7" borderId="232" xfId="109" applyFont="1" applyFill="1" applyBorder="1" applyAlignment="1">
      <alignment horizontal="center" vertical="center"/>
    </xf>
    <xf numFmtId="0" fontId="12" fillId="7" borderId="57" xfId="109" applyFont="1" applyFill="1" applyBorder="1" applyAlignment="1">
      <alignment horizontal="center" vertical="center"/>
    </xf>
    <xf numFmtId="0" fontId="12" fillId="7" borderId="58" xfId="109" applyFont="1" applyFill="1" applyBorder="1" applyAlignment="1">
      <alignment horizontal="center" vertical="center"/>
    </xf>
    <xf numFmtId="0" fontId="12" fillId="7" borderId="64" xfId="109" applyFont="1" applyFill="1" applyBorder="1" applyAlignment="1">
      <alignment horizontal="center" vertical="center"/>
    </xf>
    <xf numFmtId="0" fontId="12" fillId="7" borderId="59" xfId="109" applyFont="1" applyFill="1" applyBorder="1" applyAlignment="1">
      <alignment horizontal="center" vertical="center"/>
    </xf>
    <xf numFmtId="0" fontId="12" fillId="7" borderId="30" xfId="109" applyFont="1" applyFill="1" applyBorder="1" applyAlignment="1">
      <alignment horizontal="center" vertical="center"/>
    </xf>
    <xf numFmtId="0" fontId="12" fillId="7" borderId="25" xfId="109" applyFont="1" applyFill="1" applyBorder="1" applyAlignment="1">
      <alignment horizontal="center" vertical="center"/>
    </xf>
    <xf numFmtId="0" fontId="12" fillId="7" borderId="32" xfId="109" applyFont="1" applyFill="1" applyBorder="1" applyAlignment="1">
      <alignment horizontal="center" vertical="center"/>
    </xf>
    <xf numFmtId="0" fontId="12" fillId="7" borderId="26" xfId="109" applyFont="1" applyFill="1" applyBorder="1" applyAlignment="1">
      <alignment horizontal="center" vertical="center"/>
    </xf>
    <xf numFmtId="0" fontId="12" fillId="7" borderId="33" xfId="109" applyFont="1" applyFill="1" applyBorder="1" applyAlignment="1">
      <alignment horizontal="center" vertical="center"/>
    </xf>
    <xf numFmtId="0" fontId="12" fillId="7" borderId="234" xfId="109" applyFont="1" applyFill="1" applyBorder="1" applyAlignment="1">
      <alignment horizontal="center" vertical="center" wrapText="1"/>
    </xf>
    <xf numFmtId="0" fontId="12" fillId="7" borderId="231" xfId="109" applyFont="1" applyFill="1" applyBorder="1" applyAlignment="1">
      <alignment horizontal="center" vertical="center" wrapText="1"/>
    </xf>
    <xf numFmtId="0" fontId="12" fillId="7" borderId="232" xfId="109" applyFont="1" applyFill="1" applyBorder="1" applyAlignment="1">
      <alignment horizontal="center" vertical="center" wrapText="1"/>
    </xf>
    <xf numFmtId="0" fontId="12" fillId="7" borderId="233" xfId="109" applyFont="1" applyFill="1" applyBorder="1" applyAlignment="1">
      <alignment horizontal="center" vertical="center" wrapText="1"/>
    </xf>
    <xf numFmtId="0" fontId="12" fillId="7" borderId="58" xfId="109" applyFont="1" applyFill="1" applyBorder="1" applyAlignment="1">
      <alignment horizontal="center" vertical="center" wrapText="1"/>
    </xf>
    <xf numFmtId="0" fontId="12" fillId="7" borderId="64" xfId="109" applyFont="1" applyFill="1" applyBorder="1" applyAlignment="1">
      <alignment horizontal="center" vertical="center" wrapText="1"/>
    </xf>
    <xf numFmtId="0" fontId="31" fillId="7" borderId="0" xfId="85" applyFill="1" applyAlignment="1">
      <alignment horizontal="justify" vertical="top" wrapText="1"/>
    </xf>
    <xf numFmtId="3" fontId="12" fillId="7" borderId="113" xfId="85" applyNumberFormat="1" applyFont="1" applyFill="1" applyBorder="1" applyAlignment="1">
      <alignment horizontal="center" vertical="center" wrapText="1"/>
    </xf>
    <xf numFmtId="0" fontId="12" fillId="7" borderId="114" xfId="109" applyFont="1" applyFill="1" applyBorder="1" applyAlignment="1">
      <alignment horizontal="center" vertical="center"/>
    </xf>
    <xf numFmtId="0" fontId="12" fillId="7" borderId="115" xfId="109" applyFont="1" applyFill="1" applyBorder="1" applyAlignment="1">
      <alignment horizontal="center" vertical="center"/>
    </xf>
    <xf numFmtId="0" fontId="12" fillId="7" borderId="118" xfId="109" applyFont="1" applyFill="1" applyBorder="1" applyAlignment="1">
      <alignment horizontal="center" vertical="center"/>
    </xf>
    <xf numFmtId="3" fontId="12" fillId="7" borderId="4" xfId="85" applyNumberFormat="1" applyFont="1" applyFill="1" applyBorder="1" applyAlignment="1">
      <alignment horizontal="center" vertical="center" wrapText="1"/>
    </xf>
    <xf numFmtId="3" fontId="12" fillId="7" borderId="5" xfId="85" applyNumberFormat="1" applyFont="1" applyFill="1" applyBorder="1" applyAlignment="1">
      <alignment horizontal="center" vertical="center" wrapText="1"/>
    </xf>
    <xf numFmtId="3" fontId="12" fillId="7" borderId="36" xfId="85" applyNumberFormat="1" applyFont="1" applyFill="1" applyBorder="1" applyAlignment="1">
      <alignment horizontal="center" vertical="center" wrapText="1"/>
    </xf>
    <xf numFmtId="3" fontId="12" fillId="7" borderId="12" xfId="85" applyNumberFormat="1" applyFont="1" applyFill="1" applyBorder="1" applyAlignment="1">
      <alignment horizontal="center" vertical="center" wrapText="1"/>
    </xf>
    <xf numFmtId="3" fontId="12" fillId="7" borderId="29" xfId="85" applyNumberFormat="1" applyFont="1" applyFill="1" applyBorder="1" applyAlignment="1">
      <alignment horizontal="center" vertical="center" wrapText="1"/>
    </xf>
    <xf numFmtId="3" fontId="12" fillId="7" borderId="51" xfId="85" applyNumberFormat="1" applyFont="1" applyFill="1" applyBorder="1" applyAlignment="1">
      <alignment horizontal="center" vertical="center" wrapText="1"/>
    </xf>
    <xf numFmtId="0" fontId="31" fillId="7" borderId="117" xfId="85" applyFill="1" applyBorder="1" applyAlignment="1">
      <alignment horizontal="center" vertical="center" wrapText="1"/>
    </xf>
    <xf numFmtId="0" fontId="31" fillId="7" borderId="113" xfId="85" applyFill="1" applyBorder="1" applyAlignment="1">
      <alignment horizontal="center" vertical="center" wrapText="1"/>
    </xf>
    <xf numFmtId="0" fontId="31" fillId="7" borderId="116" xfId="85" applyFill="1" applyBorder="1" applyAlignment="1">
      <alignment horizontal="center" vertical="center" wrapText="1"/>
    </xf>
    <xf numFmtId="3" fontId="31" fillId="0" borderId="117" xfId="85" applyNumberFormat="1" applyBorder="1" applyAlignment="1" applyProtection="1">
      <alignment horizontal="center" vertical="center" wrapText="1"/>
      <protection locked="0"/>
    </xf>
    <xf numFmtId="3" fontId="31" fillId="0" borderId="113" xfId="85" applyNumberFormat="1" applyBorder="1" applyAlignment="1" applyProtection="1">
      <alignment horizontal="center" vertical="center" wrapText="1"/>
      <protection locked="0"/>
    </xf>
    <xf numFmtId="3" fontId="31" fillId="0" borderId="121" xfId="85" applyNumberFormat="1" applyBorder="1" applyAlignment="1" applyProtection="1">
      <alignment horizontal="center" vertical="center" wrapText="1"/>
      <protection locked="0"/>
    </xf>
    <xf numFmtId="3" fontId="31" fillId="0" borderId="116" xfId="85" applyNumberFormat="1" applyBorder="1" applyAlignment="1" applyProtection="1">
      <alignment horizontal="center" vertical="center" wrapText="1"/>
      <protection locked="0"/>
    </xf>
    <xf numFmtId="3" fontId="31" fillId="0" borderId="120" xfId="85" applyNumberFormat="1" applyBorder="1" applyAlignment="1" applyProtection="1">
      <alignment horizontal="center" vertical="center" wrapText="1"/>
      <protection locked="0"/>
    </xf>
    <xf numFmtId="3" fontId="12" fillId="7" borderId="125" xfId="85" applyNumberFormat="1" applyFont="1" applyFill="1" applyBorder="1" applyAlignment="1">
      <alignment horizontal="center" vertical="center" wrapText="1"/>
    </xf>
    <xf numFmtId="3" fontId="12" fillId="7" borderId="120" xfId="85" applyNumberFormat="1" applyFont="1" applyFill="1" applyBorder="1" applyAlignment="1">
      <alignment horizontal="center" vertical="center" wrapText="1"/>
    </xf>
    <xf numFmtId="0" fontId="24" fillId="0" borderId="0" xfId="40" applyFont="1" applyAlignment="1" applyProtection="1">
      <alignment horizontal="left" vertical="top"/>
      <protection locked="0"/>
    </xf>
    <xf numFmtId="0" fontId="31" fillId="7" borderId="0" xfId="40" applyFont="1" applyFill="1" applyAlignment="1">
      <alignment horizontal="justify" vertical="center" wrapText="1"/>
    </xf>
    <xf numFmtId="0" fontId="31" fillId="7" borderId="11" xfId="40" applyFont="1" applyFill="1" applyBorder="1" applyAlignment="1">
      <alignment horizontal="justify" vertical="center" wrapText="1"/>
    </xf>
    <xf numFmtId="3" fontId="12" fillId="7" borderId="41" xfId="85" applyNumberFormat="1" applyFont="1" applyFill="1" applyBorder="1" applyAlignment="1">
      <alignment horizontal="center" vertical="center" wrapText="1"/>
    </xf>
    <xf numFmtId="3" fontId="12" fillId="7" borderId="14" xfId="85" applyNumberFormat="1" applyFont="1" applyFill="1" applyBorder="1" applyAlignment="1">
      <alignment horizontal="center" vertical="center" wrapText="1"/>
    </xf>
    <xf numFmtId="3" fontId="12" fillId="7" borderId="25" xfId="85" applyNumberFormat="1" applyFont="1" applyFill="1" applyBorder="1" applyAlignment="1">
      <alignment horizontal="center" vertical="center" wrapText="1"/>
    </xf>
    <xf numFmtId="0" fontId="12" fillId="7" borderId="3" xfId="109" applyFont="1" applyFill="1" applyBorder="1" applyAlignment="1">
      <alignment horizontal="center" vertical="center" wrapText="1"/>
    </xf>
    <xf numFmtId="0" fontId="12" fillId="7" borderId="0" xfId="109" applyFont="1" applyFill="1" applyAlignment="1">
      <alignment horizontal="center" vertical="center" wrapText="1"/>
    </xf>
    <xf numFmtId="0" fontId="12" fillId="7" borderId="11" xfId="109" applyFont="1" applyFill="1" applyBorder="1" applyAlignment="1">
      <alignment horizontal="center" vertical="center" wrapText="1"/>
    </xf>
    <xf numFmtId="0" fontId="12" fillId="7" borderId="37" xfId="85" applyFont="1" applyFill="1" applyBorder="1" applyAlignment="1">
      <alignment horizontal="center" vertical="center"/>
    </xf>
    <xf numFmtId="0" fontId="12" fillId="7" borderId="6" xfId="85" applyFont="1" applyFill="1" applyBorder="1" applyAlignment="1">
      <alignment horizontal="center" vertical="center"/>
    </xf>
    <xf numFmtId="0" fontId="12" fillId="7" borderId="52" xfId="85" applyFont="1" applyFill="1" applyBorder="1" applyAlignment="1">
      <alignment horizontal="center" vertical="center"/>
    </xf>
    <xf numFmtId="0" fontId="12" fillId="7" borderId="46" xfId="85" applyFont="1" applyFill="1" applyBorder="1" applyAlignment="1">
      <alignment horizontal="center" vertical="center"/>
    </xf>
    <xf numFmtId="0" fontId="12" fillId="7" borderId="6" xfId="85" applyFont="1" applyFill="1" applyBorder="1" applyAlignment="1">
      <alignment horizontal="center" vertical="center" wrapText="1"/>
    </xf>
    <xf numFmtId="3" fontId="31" fillId="0" borderId="32" xfId="85" applyNumberFormat="1" applyBorder="1" applyAlignment="1" applyProtection="1">
      <alignment horizontal="center" vertical="center" wrapText="1"/>
      <protection locked="0"/>
    </xf>
    <xf numFmtId="3" fontId="31" fillId="0" borderId="25" xfId="85" applyNumberFormat="1" applyBorder="1" applyAlignment="1" applyProtection="1">
      <alignment horizontal="center" vertical="center" wrapText="1"/>
      <protection locked="0"/>
    </xf>
  </cellXfs>
  <cellStyles count="195">
    <cellStyle name="Comma" xfId="4" builtinId="3"/>
    <cellStyle name="Comma 2" xfId="119" xr:uid="{3C639393-FB25-4B02-AAD4-59DA74304348}"/>
    <cellStyle name="Currency 2" xfId="16" xr:uid="{00000000-0005-0000-0000-000001000000}"/>
    <cellStyle name="Currency 2 2" xfId="7" xr:uid="{00000000-0005-0000-0000-000002000000}"/>
    <cellStyle name="Currency 3" xfId="17" xr:uid="{00000000-0005-0000-0000-000003000000}"/>
    <cellStyle name="Grey" xfId="13" xr:uid="{00000000-0005-0000-0000-000004000000}"/>
    <cellStyle name="Input [yellow]" xfId="19" xr:uid="{00000000-0005-0000-0000-000005000000}"/>
    <cellStyle name="Normal" xfId="0" builtinId="0"/>
    <cellStyle name="Normal - Style1" xfId="18" xr:uid="{00000000-0005-0000-0000-000007000000}"/>
    <cellStyle name="Normal - Style1 2" xfId="120" xr:uid="{6515F50D-E2BD-4B56-B5B6-783395E6C626}"/>
    <cellStyle name="Normal 10" xfId="20" xr:uid="{00000000-0005-0000-0000-000008000000}"/>
    <cellStyle name="Normal 10 2" xfId="10" xr:uid="{00000000-0005-0000-0000-000009000000}"/>
    <cellStyle name="Normal 10 2 10" xfId="126" xr:uid="{7897B00F-7CCC-407E-A67D-EC17E4EC2489}"/>
    <cellStyle name="Normal 10 2 11" xfId="172" xr:uid="{63926E7C-2003-4B84-B2E7-F2524C47834B}"/>
    <cellStyle name="Normal 10 2 2" xfId="21" xr:uid="{00000000-0005-0000-0000-00000A000000}"/>
    <cellStyle name="Normal 10 2 2 2" xfId="12" xr:uid="{00000000-0005-0000-0000-00000B000000}"/>
    <cellStyle name="Normal 10 2 2 2 2" xfId="22" xr:uid="{00000000-0005-0000-0000-00000C000000}"/>
    <cellStyle name="Normal 10 2 2 2 2 2" xfId="14" xr:uid="{00000000-0005-0000-0000-00000D000000}"/>
    <cellStyle name="Normal 10 2 2 2 2 3" xfId="151" xr:uid="{8391F123-3BE1-46FA-A8BA-485D8EF7A572}"/>
    <cellStyle name="Normal 10 2 2 2 3" xfId="23" xr:uid="{00000000-0005-0000-0000-00000E000000}"/>
    <cellStyle name="Normal 10 2 2 2 4" xfId="131" xr:uid="{6A170987-8E18-463A-9AD6-0F8C4EE34F2D}"/>
    <cellStyle name="Normal 10 2 2 3" xfId="3" xr:uid="{00000000-0005-0000-0000-00000F000000}"/>
    <cellStyle name="Normal 10 2 2 4" xfId="127" xr:uid="{351537E5-AC62-44A1-8EB0-50A3A7000E0B}"/>
    <cellStyle name="Normal 10 2 3" xfId="8" xr:uid="{00000000-0005-0000-0000-000010000000}"/>
    <cellStyle name="Normal 10 2 3 2" xfId="5" xr:uid="{00000000-0005-0000-0000-000011000000}"/>
    <cellStyle name="Normal 10 2 3 3" xfId="132" xr:uid="{C6A7E7E2-FE17-4EA5-B78A-4CD07438C889}"/>
    <cellStyle name="Normal 10 2 4" xfId="24" xr:uid="{00000000-0005-0000-0000-000012000000}"/>
    <cellStyle name="Normal 10 2 4 2" xfId="25" xr:uid="{00000000-0005-0000-0000-000013000000}"/>
    <cellStyle name="Normal 10 2 4 3" xfId="26" xr:uid="{00000000-0005-0000-0000-000014000000}"/>
    <cellStyle name="Normal 10 2 4 4" xfId="133" xr:uid="{B3FD0277-5162-4B65-9F67-2F7827502C15}"/>
    <cellStyle name="Normal 10 2 5" xfId="1" xr:uid="{00000000-0005-0000-0000-000015000000}"/>
    <cellStyle name="Normal 10 2 5 2" xfId="28" xr:uid="{00000000-0005-0000-0000-000016000000}"/>
    <cellStyle name="Normal 10 2 5 3" xfId="134" xr:uid="{3D89AF8B-35E9-4ED9-8B26-D6B5F98FE165}"/>
    <cellStyle name="Normal 10 2 6" xfId="29" xr:uid="{00000000-0005-0000-0000-000017000000}"/>
    <cellStyle name="Normal 10 2 6 2" xfId="143" xr:uid="{EF2C41FB-5E11-4003-B2DE-89765A6D43D3}"/>
    <cellStyle name="Normal 10 2 7" xfId="30" xr:uid="{00000000-0005-0000-0000-000018000000}"/>
    <cellStyle name="Normal 10 2 7 2" xfId="31" xr:uid="{00000000-0005-0000-0000-000019000000}"/>
    <cellStyle name="Normal 10 2 7 2 2" xfId="152" xr:uid="{6B8FCB3F-0A79-4AD6-B4CC-7E3FD3E506BD}"/>
    <cellStyle name="Normal 10 2 7 3" xfId="145" xr:uid="{23EB39F6-51D1-4198-8B31-EE4744F69B74}"/>
    <cellStyle name="Normal 10 2 8" xfId="32" xr:uid="{00000000-0005-0000-0000-00001A000000}"/>
    <cellStyle name="Normal 10 2 9" xfId="33" xr:uid="{00000000-0005-0000-0000-00001B000000}"/>
    <cellStyle name="Normal 10 3" xfId="34" xr:uid="{00000000-0005-0000-0000-00001C000000}"/>
    <cellStyle name="Normal 10 3 2" xfId="194" xr:uid="{F7B0D45D-32CC-4C03-A2C8-0EDE752D36C9}"/>
    <cellStyle name="Normal 10 4" xfId="124" xr:uid="{0794C224-4ED8-42FE-ADEA-CC61EC9248BE}"/>
    <cellStyle name="Normal 11" xfId="35" xr:uid="{00000000-0005-0000-0000-00001D000000}"/>
    <cellStyle name="Normal 12" xfId="36" xr:uid="{00000000-0005-0000-0000-00001E000000}"/>
    <cellStyle name="Normal 12 2" xfId="37" xr:uid="{00000000-0005-0000-0000-00001F000000}"/>
    <cellStyle name="Normal 12 2 2" xfId="38" xr:uid="{00000000-0005-0000-0000-000020000000}"/>
    <cellStyle name="Normal 12 3" xfId="11" xr:uid="{00000000-0005-0000-0000-000021000000}"/>
    <cellStyle name="Normal 13" xfId="39" xr:uid="{00000000-0005-0000-0000-000022000000}"/>
    <cellStyle name="Normal 13 2" xfId="41" xr:uid="{00000000-0005-0000-0000-000023000000}"/>
    <cellStyle name="Normal 13 2 2" xfId="140" xr:uid="{687CC010-D74D-4785-8BF4-6D0E34522531}"/>
    <cellStyle name="Normal 13 3" xfId="44" xr:uid="{00000000-0005-0000-0000-000024000000}"/>
    <cellStyle name="Normal 13 4" xfId="138" xr:uid="{95687A72-FE34-4157-A22C-ECCAE5821E97}"/>
    <cellStyle name="Normal 14" xfId="45" xr:uid="{00000000-0005-0000-0000-000025000000}"/>
    <cellStyle name="Normal 14 2" xfId="46" xr:uid="{00000000-0005-0000-0000-000026000000}"/>
    <cellStyle name="Normal 14 2 2" xfId="117" xr:uid="{E2DBAC2E-CCA0-46EE-859F-71A9235F0080}"/>
    <cellStyle name="Normal 14 2 2 2" xfId="166" xr:uid="{6DB60BB9-8E15-43BB-8BA0-063F400B129D}"/>
    <cellStyle name="Normal 14 2 3" xfId="142" xr:uid="{8D41066F-B9A4-4903-A779-066029949DE8}"/>
    <cellStyle name="Normal 14 3" xfId="47" xr:uid="{00000000-0005-0000-0000-000027000000}"/>
    <cellStyle name="Normal 14 3 2" xfId="48" xr:uid="{00000000-0005-0000-0000-000028000000}"/>
    <cellStyle name="Normal 14 3 3" xfId="157" xr:uid="{E0805C3B-53EC-46E9-A5F2-F05CF12B16E1}"/>
    <cellStyle name="Normal 14 4" xfId="49" xr:uid="{00000000-0005-0000-0000-000029000000}"/>
    <cellStyle name="Normal 14 4 2" xfId="170" xr:uid="{82973BA8-FD9B-4862-9E41-3A19C9FFCBA7}"/>
    <cellStyle name="Normal 14 5" xfId="141" xr:uid="{B1D7ED4C-816D-4866-A2C2-89D67634E0ED}"/>
    <cellStyle name="Normal 15" xfId="50" xr:uid="{00000000-0005-0000-0000-00002A000000}"/>
    <cellStyle name="Normal 15 2" xfId="52" xr:uid="{00000000-0005-0000-0000-00002B000000}"/>
    <cellStyle name="Normal 15 2 2" xfId="158" xr:uid="{2330820E-1689-4C85-AA40-7923F3F83156}"/>
    <cellStyle name="Normal 15 3" xfId="54" xr:uid="{00000000-0005-0000-0000-00002C000000}"/>
    <cellStyle name="Normal 15 4" xfId="148" xr:uid="{FE5B6CC7-C971-4765-9AE7-FC7D2E44A64D}"/>
    <cellStyle name="Normal 16" xfId="56" xr:uid="{00000000-0005-0000-0000-00002D000000}"/>
    <cellStyle name="Normal 16 2" xfId="57" xr:uid="{00000000-0005-0000-0000-00002E000000}"/>
    <cellStyle name="Normal 16 2 2" xfId="15" xr:uid="{00000000-0005-0000-0000-00002F000000}"/>
    <cellStyle name="Normal 16 2 2 2" xfId="161" xr:uid="{BC12A753-74B9-41E3-9753-1BE6E4893FF3}"/>
    <cellStyle name="Normal 16 2 3" xfId="58" xr:uid="{00000000-0005-0000-0000-000030000000}"/>
    <cellStyle name="Normal 16 2 3 2" xfId="181" xr:uid="{C3FBDA55-1E90-4EFC-8B7A-9355CDA77FCA}"/>
    <cellStyle name="Normal 16 2 4" xfId="153" xr:uid="{15CC0964-5A48-4BB9-894F-53AE823A914E}"/>
    <cellStyle name="Normal 16 2 5" xfId="176" xr:uid="{27CE0336-E725-4656-8369-B46F801BF5F5}"/>
    <cellStyle name="Normal 16 2 6" xfId="180" xr:uid="{19EE3DB6-40B6-4E8B-AFBA-10A9DB42031A}"/>
    <cellStyle name="Normal 16 3" xfId="59" xr:uid="{00000000-0005-0000-0000-000031000000}"/>
    <cellStyle name="Normal 16 4" xfId="60" xr:uid="{00000000-0005-0000-0000-000032000000}"/>
    <cellStyle name="Normal 16 5" xfId="149" xr:uid="{46F20C8B-1E13-4DB3-B3E4-3DC63FFE5239}"/>
    <cellStyle name="Normal 16 6" xfId="179" xr:uid="{BA35E325-B57A-4C4B-889D-791B241D9D0D}"/>
    <cellStyle name="Normal 17" xfId="61" xr:uid="{00000000-0005-0000-0000-000033000000}"/>
    <cellStyle name="Normal 18" xfId="62" xr:uid="{00000000-0005-0000-0000-000034000000}"/>
    <cellStyle name="Normal 18 2" xfId="63" xr:uid="{00000000-0005-0000-0000-000035000000}"/>
    <cellStyle name="Normal 18 2 2" xfId="162" xr:uid="{65F37DBD-7B77-4F0C-8D7C-FCD09A3FA474}"/>
    <cellStyle name="Normal 18 2 3" xfId="182" xr:uid="{75A33909-F5B9-4A24-BFAC-DC700E04CB5E}"/>
    <cellStyle name="Normal 18 3" xfId="64" xr:uid="{00000000-0005-0000-0000-000036000000}"/>
    <cellStyle name="Normal 18 3 2" xfId="183" xr:uid="{6415DA5D-2FA0-4BB0-AC63-1CCE106159E4}"/>
    <cellStyle name="Normal 18 3 3" xfId="191" xr:uid="{CD50BA45-63D1-4EC8-B05D-8B4CF7713962}"/>
    <cellStyle name="Normal 18 4" xfId="154" xr:uid="{F3F10E1A-9802-42EA-AF7A-3A16B6F5EE5A}"/>
    <cellStyle name="Normal 18 5" xfId="177" xr:uid="{E39E2403-D594-4B4F-A13B-918443665EF7}"/>
    <cellStyle name="Normal 18 6" xfId="186" xr:uid="{355837E0-DC26-48F5-9451-9CE9488D908B}"/>
    <cellStyle name="Normal 18 7" xfId="188" xr:uid="{0516B05B-EFDF-4950-9C63-F0A94788AE97}"/>
    <cellStyle name="Normal 19" xfId="65" xr:uid="{00000000-0005-0000-0000-000037000000}"/>
    <cellStyle name="Normal 19 2" xfId="66" xr:uid="{00000000-0005-0000-0000-000038000000}"/>
    <cellStyle name="Normal 19 2 2" xfId="163" xr:uid="{76CBFDD7-FCE8-4C80-9F15-9512A461BADD}"/>
    <cellStyle name="Normal 19 2 3" xfId="193" xr:uid="{F345422C-84C2-448F-B82E-79B8306BF739}"/>
    <cellStyle name="Normal 19 3" xfId="67" xr:uid="{00000000-0005-0000-0000-000039000000}"/>
    <cellStyle name="Normal 19 3 2" xfId="184" xr:uid="{622894C0-9751-4657-A01E-055A96CA0431}"/>
    <cellStyle name="Normal 19 4" xfId="155" xr:uid="{0F76B0DB-3A84-4249-8C0E-52850639915A}"/>
    <cellStyle name="Normal 19 5" xfId="178" xr:uid="{00EB43BA-9364-45C4-BAB2-E0C895B52A04}"/>
    <cellStyle name="Normal 19 6" xfId="185" xr:uid="{DD17B150-7723-45BA-8D55-741B82F52D19}"/>
    <cellStyle name="Normal 19 7" xfId="189" xr:uid="{776932B9-50DF-41AF-93CA-3093FBD9E74E}"/>
    <cellStyle name="Normal 2" xfId="68" xr:uid="{00000000-0005-0000-0000-00003A000000}"/>
    <cellStyle name="Normal 2 2" xfId="69" xr:uid="{00000000-0005-0000-0000-00003B000000}"/>
    <cellStyle name="Normal 2 3" xfId="70" xr:uid="{00000000-0005-0000-0000-00003C000000}"/>
    <cellStyle name="Normal 2 3 2" xfId="71" xr:uid="{00000000-0005-0000-0000-00003D000000}"/>
    <cellStyle name="Normal 2 4" xfId="72" xr:uid="{00000000-0005-0000-0000-00003E000000}"/>
    <cellStyle name="Normal 2 4 2" xfId="73" xr:uid="{00000000-0005-0000-0000-00003F000000}"/>
    <cellStyle name="Normal 2 4 2 2" xfId="74" xr:uid="{00000000-0005-0000-0000-000040000000}"/>
    <cellStyle name="Normal 2 4 2 3" xfId="136" xr:uid="{21FE82DE-3A9A-46CE-983A-949648BEC578}"/>
    <cellStyle name="Normal 2 4 3" xfId="75" xr:uid="{00000000-0005-0000-0000-000041000000}"/>
    <cellStyle name="Normal 2 4 3 2" xfId="76" xr:uid="{00000000-0005-0000-0000-000042000000}"/>
    <cellStyle name="Normal 2 4 3 2 2" xfId="150" xr:uid="{2E84E739-7756-44E6-B1F2-C2E0E56B033C}"/>
    <cellStyle name="Normal 2 4 3 3" xfId="77" xr:uid="{00000000-0005-0000-0000-000043000000}"/>
    <cellStyle name="Normal 2 4 3 4" xfId="144" xr:uid="{E8E93016-2A01-41C1-9512-F121A3A5B7B1}"/>
    <cellStyle name="Normal 2 4 4" xfId="6" xr:uid="{00000000-0005-0000-0000-000044000000}"/>
    <cellStyle name="Normal 2 4 4 2" xfId="159" xr:uid="{5FE233D4-6D50-48BE-BE22-51EE892DFAD9}"/>
    <cellStyle name="Normal 2 4 5" xfId="78" xr:uid="{00000000-0005-0000-0000-000045000000}"/>
    <cellStyle name="Normal 2 4 6" xfId="129" xr:uid="{21E257BE-D0B5-4C70-8463-314653977707}"/>
    <cellStyle name="Normal 2 5" xfId="174" xr:uid="{D31BCD96-B2FC-4912-8646-7D184A7F03FA}"/>
    <cellStyle name="Normal 20" xfId="51" xr:uid="{00000000-0005-0000-0000-000046000000}"/>
    <cellStyle name="Normal 20 2" xfId="53" xr:uid="{00000000-0005-0000-0000-000047000000}"/>
    <cellStyle name="Normal 20 2 2" xfId="164" xr:uid="{B0DA2F30-816B-4F89-8F13-53C44EADD0FD}"/>
    <cellStyle name="Normal 20 2 3" xfId="192" xr:uid="{DE5CAC68-ED1D-4FEC-8BF2-6052EC976282}"/>
    <cellStyle name="Normal 20 3" xfId="55" xr:uid="{00000000-0005-0000-0000-000048000000}"/>
    <cellStyle name="Normal 20 4" xfId="156" xr:uid="{EC4E511C-5E89-4584-BB73-4EE2CA3F3783}"/>
    <cellStyle name="Normal 20 5" xfId="187" xr:uid="{37EBDBF0-35DB-4AF7-99E9-1284AEF14DE8}"/>
    <cellStyle name="Normal 20 6" xfId="190" xr:uid="{91644A1C-25FC-4D34-81DF-3FC8E2CCF4D6}"/>
    <cellStyle name="Normal 21" xfId="165" xr:uid="{820CC8B9-8310-4659-AA92-66C8FC07D27A}"/>
    <cellStyle name="Normal 21 2" xfId="167" xr:uid="{5538FFBE-BEC1-466E-9601-2CB622574677}"/>
    <cellStyle name="Normal 22" xfId="168" xr:uid="{4DED771C-E5AA-4814-8604-362BC842BDB0}"/>
    <cellStyle name="Normal 23" xfId="169" xr:uid="{2D244BA6-7F6E-4789-AB4A-ADF61CFA592C}"/>
    <cellStyle name="Normal 24" xfId="118" xr:uid="{9359FB7B-BD49-483C-AB1D-7ACBC95FBA03}"/>
    <cellStyle name="Normal 25" xfId="121" xr:uid="{2E0AD619-067D-4FE2-889B-AB55A2819EF2}"/>
    <cellStyle name="Normal 26" xfId="122" xr:uid="{870ECD68-0209-4E51-A780-75B9C918B9BC}"/>
    <cellStyle name="Normal 27" xfId="173" xr:uid="{6E7057C9-003A-48A2-B259-D62AE47DF224}"/>
    <cellStyle name="Normal 3" xfId="79" xr:uid="{00000000-0005-0000-0000-000049000000}"/>
    <cellStyle name="Normal 4" xfId="81" xr:uid="{00000000-0005-0000-0000-00004A000000}"/>
    <cellStyle name="Normal 4 2" xfId="82" xr:uid="{00000000-0005-0000-0000-00004B000000}"/>
    <cellStyle name="Normal 5" xfId="83" xr:uid="{00000000-0005-0000-0000-00004C000000}"/>
    <cellStyle name="Normal 5 2" xfId="84" xr:uid="{00000000-0005-0000-0000-00004D000000}"/>
    <cellStyle name="Normal 5 2 2" xfId="85" xr:uid="{00000000-0005-0000-0000-00004E000000}"/>
    <cellStyle name="Normal 5 3" xfId="9" xr:uid="{00000000-0005-0000-0000-00004F000000}"/>
    <cellStyle name="Normal 6" xfId="86" xr:uid="{00000000-0005-0000-0000-000050000000}"/>
    <cellStyle name="Normal 6 2" xfId="2" xr:uid="{00000000-0005-0000-0000-000051000000}"/>
    <cellStyle name="Normal 7" xfId="87" xr:uid="{00000000-0005-0000-0000-000052000000}"/>
    <cellStyle name="Normal 8" xfId="88" xr:uid="{00000000-0005-0000-0000-000053000000}"/>
    <cellStyle name="Normal 8 2" xfId="27" xr:uid="{00000000-0005-0000-0000-000054000000}"/>
    <cellStyle name="Normal 9" xfId="89" xr:uid="{00000000-0005-0000-0000-000055000000}"/>
    <cellStyle name="Normal 9 2" xfId="90" xr:uid="{00000000-0005-0000-0000-000056000000}"/>
    <cellStyle name="Normal 9 2 2" xfId="91" xr:uid="{00000000-0005-0000-0000-000057000000}"/>
    <cellStyle name="Normal 9 2 2 2" xfId="92" xr:uid="{00000000-0005-0000-0000-000058000000}"/>
    <cellStyle name="Normal 9 2 2 2 2" xfId="93" xr:uid="{00000000-0005-0000-0000-000059000000}"/>
    <cellStyle name="Normal 9 2 2 2 2 2" xfId="94" xr:uid="{00000000-0005-0000-0000-00005A000000}"/>
    <cellStyle name="Normal 9 2 2 2 2 2 2" xfId="146" xr:uid="{E3CDC86D-43EF-4645-8695-25EA0D55250D}"/>
    <cellStyle name="Normal 9 2 2 2 2 3" xfId="95" xr:uid="{00000000-0005-0000-0000-00005B000000}"/>
    <cellStyle name="Normal 9 2 2 2 2 4" xfId="137" xr:uid="{09A19ABE-0966-41F2-8C48-BF8F744A6885}"/>
    <cellStyle name="Normal 9 2 2 2 3" xfId="96" xr:uid="{00000000-0005-0000-0000-00005C000000}"/>
    <cellStyle name="Normal 9 2 2 2 3 2" xfId="97" xr:uid="{00000000-0005-0000-0000-00005D000000}"/>
    <cellStyle name="Normal 9 2 2 2 3 2 2" xfId="98" xr:uid="{00000000-0005-0000-0000-00005E000000}"/>
    <cellStyle name="Normal 9 2 2 2 3 2 2 2" xfId="99" xr:uid="{00000000-0005-0000-0000-00005F000000}"/>
    <cellStyle name="Normal 9 2 2 2 3 2 2 3" xfId="160" xr:uid="{E13917BC-DF30-4962-BFF1-A10606B77DAC}"/>
    <cellStyle name="Normal 9 2 2 2 3 2 3" xfId="100" xr:uid="{00000000-0005-0000-0000-000060000000}"/>
    <cellStyle name="Normal 9 2 2 2 3 2 4" xfId="102" xr:uid="{00000000-0005-0000-0000-000061000000}"/>
    <cellStyle name="Normal 9 2 2 2 3 2 5" xfId="147" xr:uid="{C020DDF9-5E31-4C0D-B6AC-20BFAB7D61C5}"/>
    <cellStyle name="Normal 9 2 2 2 3 3" xfId="139" xr:uid="{770244EF-CB68-466F-9597-3F2708D9019B}"/>
    <cellStyle name="Normal 9 2 2 2 4" xfId="103" xr:uid="{00000000-0005-0000-0000-000062000000}"/>
    <cellStyle name="Normal 9 2 2 2 4 2" xfId="171" xr:uid="{B9BACCEC-4EFC-49F7-9877-BA8944D99A2C}"/>
    <cellStyle name="Normal 9 2 2 2 5" xfId="104" xr:uid="{00000000-0005-0000-0000-000063000000}"/>
    <cellStyle name="Normal 9 2 2 2 6" xfId="130" xr:uid="{6DECB2C1-CB59-4F86-8680-85A3918EFA1F}"/>
    <cellStyle name="Normal 9 2 2 3" xfId="105" xr:uid="{00000000-0005-0000-0000-000064000000}"/>
    <cellStyle name="Normal 9 2 2 4" xfId="128" xr:uid="{E6C36604-0220-4AE4-A4F6-125FD8B31B0D}"/>
    <cellStyle name="Normal 9 2 3" xfId="106" xr:uid="{00000000-0005-0000-0000-000065000000}"/>
    <cellStyle name="Normal 9 2 3 2" xfId="107" xr:uid="{00000000-0005-0000-0000-000066000000}"/>
    <cellStyle name="Normal 9 2 3 3" xfId="135" xr:uid="{635C2A99-8E42-4C3A-91B7-9DD369F1F609}"/>
    <cellStyle name="Normal 9 2 4" xfId="108" xr:uid="{00000000-0005-0000-0000-000067000000}"/>
    <cellStyle name="Normal 9 2 5" xfId="125" xr:uid="{A11EE167-16C3-4C30-AF62-D7BB83409D42}"/>
    <cellStyle name="Normal 9 3" xfId="109" xr:uid="{00000000-0005-0000-0000-000068000000}"/>
    <cellStyle name="Normal 9 4" xfId="123" xr:uid="{4BCCABD6-E8DC-4529-9D89-550C096E3218}"/>
    <cellStyle name="Normal 9 5" xfId="175" xr:uid="{5E32109C-E3A2-4453-A5F0-E0D53ECABBA5}"/>
    <cellStyle name="Normal_GESP" xfId="110" xr:uid="{00000000-0005-0000-0000-000069000000}"/>
    <cellStyle name="Normal_GESP-revised" xfId="111" xr:uid="{00000000-0005-0000-0000-00006A000000}"/>
    <cellStyle name="Normal_GESP-revised 2" xfId="112" xr:uid="{00000000-0005-0000-0000-00006B000000}"/>
    <cellStyle name="Normal_ICTSurvey 2010" xfId="40" xr:uid="{00000000-0005-0000-0000-00006C000000}"/>
    <cellStyle name="Normal_ICTSurvey 2010 2" xfId="42" xr:uid="{00000000-0005-0000-0000-00006D000000}"/>
    <cellStyle name="Normal_UNIFIED PROFILES" xfId="80" xr:uid="{00000000-0005-0000-0000-00006E000000}"/>
    <cellStyle name="Percent [2]" xfId="43" xr:uid="{00000000-0005-0000-0000-00006F000000}"/>
    <cellStyle name="Percent 2" xfId="113" xr:uid="{00000000-0005-0000-0000-000070000000}"/>
    <cellStyle name="Tusental (0)_pldt" xfId="114" xr:uid="{00000000-0005-0000-0000-000071000000}"/>
    <cellStyle name="Tusental_pldt" xfId="115" xr:uid="{00000000-0005-0000-0000-000072000000}"/>
    <cellStyle name="Valuta (0)_pldt" xfId="116" xr:uid="{00000000-0005-0000-0000-000073000000}"/>
    <cellStyle name="Valuta_pldt" xfId="101" xr:uid="{00000000-0005-0000-0000-000074000000}"/>
  </cellStyles>
  <dxfs count="85">
    <dxf>
      <font>
        <color rgb="FFFF0000"/>
      </font>
    </dxf>
    <dxf>
      <font>
        <color theme="1"/>
      </font>
    </dxf>
    <dxf>
      <font>
        <color theme="1"/>
      </font>
    </dxf>
    <dxf>
      <font>
        <color theme="1"/>
      </font>
    </dxf>
    <dxf>
      <font>
        <color theme="1"/>
      </font>
    </dxf>
    <dxf>
      <font>
        <color rgb="FFFF0000"/>
      </font>
    </dxf>
    <dxf>
      <font>
        <color theme="1"/>
      </font>
    </dxf>
    <dxf>
      <font>
        <color rgb="FFFF0000"/>
      </font>
    </dxf>
    <dxf>
      <font>
        <color theme="1"/>
      </font>
    </dxf>
    <dxf>
      <font>
        <color rgb="FFFF0000"/>
      </font>
    </dxf>
    <dxf>
      <font>
        <color theme="1"/>
      </font>
    </dxf>
    <dxf>
      <font>
        <color theme="1"/>
      </font>
    </dxf>
    <dxf>
      <font>
        <color theme="1"/>
      </font>
    </dxf>
    <dxf>
      <font>
        <b val="0"/>
        <i val="0"/>
        <color rgb="FFFF0000"/>
      </font>
    </dxf>
    <dxf>
      <font>
        <color theme="1"/>
      </font>
    </dxf>
    <dxf>
      <font>
        <color rgb="FFFF0000"/>
      </font>
    </dxf>
    <dxf>
      <font>
        <color rgb="FFFF0000"/>
      </font>
    </dxf>
    <dxf>
      <font>
        <b/>
        <i val="0"/>
        <color rgb="FFFF0000"/>
      </font>
    </dxf>
    <dxf>
      <font>
        <b/>
        <i val="0"/>
        <color rgb="FFFF0000"/>
      </font>
    </dxf>
    <dxf>
      <font>
        <color rgb="FFFF0000"/>
      </font>
    </dxf>
    <dxf>
      <font>
        <color theme="1"/>
      </font>
    </dxf>
    <dxf>
      <font>
        <color theme="1"/>
      </font>
    </dxf>
    <dxf>
      <font>
        <color theme="1"/>
      </font>
    </dxf>
    <dxf>
      <font>
        <color theme="1"/>
      </font>
    </dxf>
    <dxf>
      <font>
        <color theme="1"/>
      </font>
    </dxf>
    <dxf>
      <font>
        <color theme="1"/>
      </font>
    </dxf>
    <dxf>
      <font>
        <color rgb="FFFF0000"/>
      </font>
    </dxf>
    <dxf>
      <font>
        <color theme="1"/>
      </font>
    </dxf>
    <dxf>
      <font>
        <color theme="1"/>
      </font>
    </dxf>
    <dxf>
      <font>
        <color theme="1"/>
      </font>
    </dxf>
    <dxf>
      <font>
        <color theme="1"/>
      </font>
    </dxf>
    <dxf>
      <font>
        <color theme="1"/>
      </font>
    </dxf>
    <dxf>
      <font>
        <color theme="1"/>
      </font>
    </dxf>
    <dxf>
      <font>
        <color theme="1"/>
      </font>
    </dxf>
    <dxf>
      <font>
        <color rgb="FFFF0000"/>
      </font>
    </dxf>
    <dxf>
      <font>
        <color theme="1"/>
      </font>
    </dxf>
    <dxf>
      <font>
        <color theme="1"/>
      </font>
    </dxf>
    <dxf>
      <font>
        <color theme="1"/>
      </font>
    </dxf>
    <dxf>
      <font>
        <color theme="1"/>
      </font>
    </dxf>
    <dxf>
      <font>
        <color theme="1"/>
      </font>
    </dxf>
    <dxf>
      <font>
        <color rgb="FFFF0000"/>
      </font>
    </dxf>
    <dxf>
      <font>
        <color theme="1"/>
      </font>
    </dxf>
    <dxf>
      <font>
        <color theme="1"/>
      </font>
    </dxf>
    <dxf>
      <font>
        <color theme="1"/>
      </font>
    </dxf>
    <dxf>
      <font>
        <color theme="1"/>
      </font>
    </dxf>
    <dxf>
      <font>
        <color theme="1"/>
      </font>
    </dxf>
    <dxf>
      <font>
        <color rgb="FFFF0000"/>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b val="0"/>
        <i val="0"/>
        <color auto="1"/>
      </font>
    </dxf>
    <dxf>
      <font>
        <strike val="0"/>
        <color rgb="FFFF0000"/>
      </font>
    </dxf>
    <dxf>
      <font>
        <strike val="0"/>
        <color theme="1"/>
      </font>
    </dxf>
    <dxf>
      <font>
        <color rgb="FFFF0000"/>
      </font>
    </dxf>
    <dxf>
      <font>
        <b val="0"/>
        <i val="0"/>
        <strike val="0"/>
        <color theme="1"/>
      </font>
    </dxf>
    <dxf>
      <font>
        <color rgb="FFFF0000"/>
      </font>
    </dxf>
    <dxf>
      <font>
        <color theme="1"/>
      </font>
    </dxf>
    <dxf>
      <font>
        <color theme="1"/>
      </font>
    </dxf>
    <dxf>
      <font>
        <color theme="1"/>
      </font>
    </dxf>
    <dxf>
      <font>
        <color rgb="FFFF0000"/>
      </font>
    </dxf>
    <dxf>
      <font>
        <color theme="1"/>
      </font>
    </dxf>
    <dxf>
      <font>
        <color theme="1"/>
      </font>
    </dxf>
    <dxf>
      <font>
        <color rgb="FFFF0000"/>
      </font>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colors>
    <mruColors>
      <color rgb="FFFFCC6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revisionHeaders" Target="revisions/revisionHeader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74" Type="http://schemas.openxmlformats.org/officeDocument/2006/relationships/usernames" Target="revisions/userNam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s>
</file>

<file path=xl/ctrlProps/ctrlProp1.xml><?xml version="1.0" encoding="utf-8"?>
<formControlPr xmlns="http://schemas.microsoft.com/office/spreadsheetml/2009/9/main" objectType="CheckBox" fmlaLink="SchInfo!$C$30" lockText="1" noThreeD="1"/>
</file>

<file path=xl/ctrlProps/ctrlProp2.xml><?xml version="1.0" encoding="utf-8"?>
<formControlPr xmlns="http://schemas.microsoft.com/office/spreadsheetml/2009/9/main" objectType="CheckBox" fmlaLink="$C$31" lockText="1" noThreeD="1"/>
</file>

<file path=xl/ctrlProps/ctrlProp3.xml><?xml version="1.0" encoding="utf-8"?>
<formControlPr xmlns="http://schemas.microsoft.com/office/spreadsheetml/2009/9/main" objectType="CheckBox" checked="Checked" fmlaLink="$C$32" lockText="1" noThreeD="1"/>
</file>

<file path=xl/ctrlProps/ctrlProp4.xml><?xml version="1.0" encoding="utf-8"?>
<formControlPr xmlns="http://schemas.microsoft.com/office/spreadsheetml/2009/9/main" objectType="CheckBox" checked="Checked" fmlaLink="$Q$5" lockText="1" noThreeD="1"/>
</file>

<file path=xl/ctrlProps/ctrlProp5.xml><?xml version="1.0" encoding="utf-8"?>
<formControlPr xmlns="http://schemas.microsoft.com/office/spreadsheetml/2009/9/main" objectType="CheckBox" checked="Checked" fmlaLink="$Q$16"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fmlaLink="$Z$5" lockText="1" noThreeD="1"/>
</file>

<file path=xl/ctrlProps/ctrlProp9.xml><?xml version="1.0" encoding="utf-8"?>
<formControlPr xmlns="http://schemas.microsoft.com/office/spreadsheetml/2009/9/main" objectType="CheckBox" checked="Checked" fmlaLink="$Z$6" lockText="1" noThreeD="1"/>
</file>

<file path=xl/ctrlProps/ctrlProp10.xml><?xml version="1.0" encoding="utf-8"?>
<formControlPr xmlns="http://schemas.microsoft.com/office/spreadsheetml/2009/9/main" objectType="CheckBox" fmlaLink="$G$9" lockText="1" noThreeD="1"/>
</file>

<file path=xl/ctrlProps/ctrlProp11.xml><?xml version="1.0" encoding="utf-8"?>
<formControlPr xmlns="http://schemas.microsoft.com/office/spreadsheetml/2009/9/main" objectType="CheckBox" fmlaLink="P9" lockText="1" noThreeD="1"/>
</file>

<file path=xl/ctrlProps/ctrlProp12.xml><?xml version="1.0" encoding="utf-8"?>
<formControlPr xmlns="http://schemas.microsoft.com/office/spreadsheetml/2009/9/main" objectType="CheckBox" checked="Checked" fmlaLink="$Z$9" lockText="1" noThreeD="1"/>
</file>

<file path=xl/ctrlProps/ctrlProp13.xml><?xml version="1.0" encoding="utf-8"?>
<formControlPr xmlns="http://schemas.microsoft.com/office/spreadsheetml/2009/9/main" objectType="CheckBox" fmlaLink="G10" lockText="1" noThreeD="1"/>
</file>

<file path=xl/ctrlProps/ctrlProp14.xml><?xml version="1.0" encoding="utf-8"?>
<formControlPr xmlns="http://schemas.microsoft.com/office/spreadsheetml/2009/9/main" objectType="CheckBox" fmlaLink="$P$10" lockText="1" noThreeD="1"/>
</file>

<file path=xl/ctrlProps/ctrlProp15.xml><?xml version="1.0" encoding="utf-8"?>
<formControlPr xmlns="http://schemas.microsoft.com/office/spreadsheetml/2009/9/main" objectType="CheckBox" fmlaLink="$G$12" lockText="1" noThreeD="1"/>
</file>

<file path=xl/ctrlProps/ctrlProp16.xml><?xml version="1.0" encoding="utf-8"?>
<formControlPr xmlns="http://schemas.microsoft.com/office/spreadsheetml/2009/9/main" objectType="CheckBox" fmlaLink="$P$12" lockText="1" noThreeD="1"/>
</file>

<file path=xl/ctrlProps/ctrlProp17.xml><?xml version="1.0" encoding="utf-8"?>
<formControlPr xmlns="http://schemas.microsoft.com/office/spreadsheetml/2009/9/main" objectType="CheckBox" fmlaLink="$Z$12" lockText="1" noThreeD="1"/>
</file>

<file path=xl/ctrlProps/ctrlProp18.xml><?xml version="1.0" encoding="utf-8"?>
<formControlPr xmlns="http://schemas.microsoft.com/office/spreadsheetml/2009/9/main" objectType="CheckBox" fmlaLink="$G$13" lockText="1" noThreeD="1"/>
</file>

<file path=xl/ctrlProps/ctrlProp19.xml><?xml version="1.0" encoding="utf-8"?>
<formControlPr xmlns="http://schemas.microsoft.com/office/spreadsheetml/2009/9/main" objectType="CheckBox" checked="Checked" fmlaLink="P13" lockText="1" noThreeD="1"/>
</file>

<file path=xl/ctrlProps/ctrlProp20.xml><?xml version="1.0" encoding="utf-8"?>
<formControlPr xmlns="http://schemas.microsoft.com/office/spreadsheetml/2009/9/main" objectType="CheckBox" fmlaLink="Z14" lockText="1" noThreeD="1"/>
</file>

<file path=xl/ctrlProps/ctrlProp21.xml><?xml version="1.0" encoding="utf-8"?>
<formControlPr xmlns="http://schemas.microsoft.com/office/spreadsheetml/2009/9/main" objectType="CheckBox" fmlaLink="Z15" lockText="1" noThreeD="1"/>
</file>

<file path=xl/ctrlProps/ctrlProp22.xml><?xml version="1.0" encoding="utf-8"?>
<formControlPr xmlns="http://schemas.microsoft.com/office/spreadsheetml/2009/9/main" objectType="CheckBox" checked="Checked" fmlaLink="Z16" lockText="1" noThreeD="1"/>
</file>

<file path=xl/ctrlProps/ctrlProp23.xml><?xml version="1.0" encoding="utf-8"?>
<formControlPr xmlns="http://schemas.microsoft.com/office/spreadsheetml/2009/9/main" objectType="CheckBox" fmlaLink="Z18" lockText="1" noThreeD="1"/>
</file>

<file path=xl/ctrlProps/ctrlProp24.xml><?xml version="1.0" encoding="utf-8"?>
<formControlPr xmlns="http://schemas.microsoft.com/office/spreadsheetml/2009/9/main" objectType="CheckBox" fmlaLink="Z19" lockText="1" noThreeD="1"/>
</file>

<file path=xl/ctrlProps/ctrlProp25.xml><?xml version="1.0" encoding="utf-8"?>
<formControlPr xmlns="http://schemas.microsoft.com/office/spreadsheetml/2009/9/main" objectType="CheckBox" fmlaLink="Z21" lockText="1" noThreeD="1"/>
</file>

<file path=xl/ctrlProps/ctrlProp26.xml><?xml version="1.0" encoding="utf-8"?>
<formControlPr xmlns="http://schemas.microsoft.com/office/spreadsheetml/2009/9/main" objectType="CheckBox" fmlaLink="Z17"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checked="Checked" lockText="1" noThreeD="1"/>
</file>

<file path=xl/ctrlProps/ctrlProp30.xml><?xml version="1.0" encoding="utf-8"?>
<formControlPr xmlns="http://schemas.microsoft.com/office/spreadsheetml/2009/9/main" objectType="CheckBox" checked="Checked"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checked="Checked" lockText="1" noThreeD="1"/>
</file>

<file path=xl/ctrlProps/ctrlProp33.xml><?xml version="1.0" encoding="utf-8"?>
<formControlPr xmlns="http://schemas.microsoft.com/office/spreadsheetml/2009/9/main" objectType="CheckBox" checked="Checked" lockText="1" noThreeD="1"/>
</file>

<file path=xl/ctrlProps/ctrlProp34.xml><?xml version="1.0" encoding="utf-8"?>
<formControlPr xmlns="http://schemas.microsoft.com/office/spreadsheetml/2009/9/main" objectType="CheckBox" checked="Checked" lockText="1" noThreeD="1"/>
</file>

<file path=xl/ctrlProps/ctrlProp35.xml><?xml version="1.0" encoding="utf-8"?>
<formControlPr xmlns="http://schemas.microsoft.com/office/spreadsheetml/2009/9/main" objectType="CheckBox" checked="Checked" lockText="1" noThreeD="1"/>
</file>

<file path=xl/ctrlProps/ctrlProp36.xml><?xml version="1.0" encoding="utf-8"?>
<formControlPr xmlns="http://schemas.microsoft.com/office/spreadsheetml/2009/9/main" objectType="CheckBox" checked="Checked" fmlaLink="$AD$28" lockText="1" noThreeD="1"/>
</file>

<file path=xl/ctrlProps/ctrlProp37.xml><?xml version="1.0" encoding="utf-8"?>
<formControlPr xmlns="http://schemas.microsoft.com/office/spreadsheetml/2009/9/main" objectType="CheckBox" fmlaLink="$AD$29" lockText="1" noThreeD="1"/>
</file>

<file path=xl/ctrlProps/ctrlProp38.xml><?xml version="1.0" encoding="utf-8"?>
<formControlPr xmlns="http://schemas.microsoft.com/office/spreadsheetml/2009/9/main" objectType="CheckBox" checked="Checked" fmlaLink="$AD$30" lockText="1" noThreeD="1"/>
</file>

<file path=xl/ctrlProps/ctrlProp39.xml><?xml version="1.0" encoding="utf-8"?>
<formControlPr xmlns="http://schemas.microsoft.com/office/spreadsheetml/2009/9/main" objectType="CheckBox" checked="Checked" fmlaLink="$AD$31" lockText="1" noThreeD="1"/>
</file>

<file path=xl/ctrlProps/ctrlProp40.xml><?xml version="1.0" encoding="utf-8"?>
<formControlPr xmlns="http://schemas.microsoft.com/office/spreadsheetml/2009/9/main" objectType="CheckBox" checked="Checked" fmlaLink="$AD$32" lockText="1" noThreeD="1"/>
</file>

<file path=xl/ctrlProps/ctrlProp41.xml><?xml version="1.0" encoding="utf-8"?>
<formControlPr xmlns="http://schemas.microsoft.com/office/spreadsheetml/2009/9/main" objectType="CheckBox" checked="Checked" fmlaLink="$AD$33" lockText="1" noThreeD="1"/>
</file>

<file path=xl/ctrlProps/ctrlProp42.xml><?xml version="1.0" encoding="utf-8"?>
<formControlPr xmlns="http://schemas.microsoft.com/office/spreadsheetml/2009/9/main" objectType="CheckBox" checked="Checked" fmlaLink="$AD$34" lockText="1" noThreeD="1"/>
</file>

<file path=xl/ctrlProps/ctrlProp43.xml><?xml version="1.0" encoding="utf-8"?>
<formControlPr xmlns="http://schemas.microsoft.com/office/spreadsheetml/2009/9/main" objectType="CheckBox" checked="Checked" fmlaLink="$AD$35" lockText="1" noThreeD="1"/>
</file>

<file path=xl/ctrlProps/ctrlProp44.xml><?xml version="1.0" encoding="utf-8"?>
<formControlPr xmlns="http://schemas.microsoft.com/office/spreadsheetml/2009/9/main" objectType="CheckBox" checked="Checked" fmlaLink="$Z$41" lockText="1" noThreeD="1"/>
</file>

<file path=xl/ctrlProps/ctrlProp45.xml><?xml version="1.0" encoding="utf-8"?>
<formControlPr xmlns="http://schemas.microsoft.com/office/spreadsheetml/2009/9/main" objectType="CheckBox" checked="Checked" fmlaLink="$Z$44" lockText="1" noThreeD="1"/>
</file>

<file path=xl/ctrlProps/ctrlProp46.xml><?xml version="1.0" encoding="utf-8"?>
<formControlPr xmlns="http://schemas.microsoft.com/office/spreadsheetml/2009/9/main" objectType="CheckBox" checked="Checked" fmlaLink="$Z$46" lockText="1" noThreeD="1"/>
</file>

<file path=xl/ctrlProps/ctrlProp47.xml><?xml version="1.0" encoding="utf-8"?>
<formControlPr xmlns="http://schemas.microsoft.com/office/spreadsheetml/2009/9/main" objectType="CheckBox" checked="Checked" fmlaLink="$Z$47" lockText="1" noThreeD="1"/>
</file>

<file path=xl/ctrlProps/ctrlProp48.xml><?xml version="1.0" encoding="utf-8"?>
<formControlPr xmlns="http://schemas.microsoft.com/office/spreadsheetml/2009/9/main" objectType="CheckBox" checked="Checked" fmlaLink="$Z$48"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checked="Checked"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fmlaLink="$AH$22" noThreeD="1"/>
</file>

<file path=xl/ctrlProps/ctrlProp63.xml><?xml version="1.0" encoding="utf-8"?>
<formControlPr xmlns="http://schemas.microsoft.com/office/spreadsheetml/2009/9/main" objectType="CheckBox" fmlaLink="$AQ$22" lockText="1" noThreeD="1"/>
</file>

<file path=xl/ctrlProps/ctrlProp64.xml><?xml version="1.0" encoding="utf-8"?>
<formControlPr xmlns="http://schemas.microsoft.com/office/spreadsheetml/2009/9/main" objectType="CheckBox" fmlaLink="$AH$23" lockText="1" noThreeD="1"/>
</file>

<file path=xl/ctrlProps/ctrlProp65.xml><?xml version="1.0" encoding="utf-8"?>
<formControlPr xmlns="http://schemas.microsoft.com/office/spreadsheetml/2009/9/main" objectType="CheckBox" checked="Checked" fmlaLink="$AQ$23" lockText="1" noThreeD="1"/>
</file>

<file path=xl/ctrlProps/ctrlProp66.xml><?xml version="1.0" encoding="utf-8"?>
<formControlPr xmlns="http://schemas.microsoft.com/office/spreadsheetml/2009/9/main" objectType="CheckBox" fmlaLink="$AH$28" lockText="1" noThreeD="1"/>
</file>

<file path=xl/ctrlProps/ctrlProp67.xml><?xml version="1.0" encoding="utf-8"?>
<formControlPr xmlns="http://schemas.microsoft.com/office/spreadsheetml/2009/9/main" objectType="CheckBox" fmlaLink="$AH$29" lockText="1" noThreeD="1"/>
</file>

<file path=xl/ctrlProps/ctrlProp68.xml><?xml version="1.0" encoding="utf-8"?>
<formControlPr xmlns="http://schemas.microsoft.com/office/spreadsheetml/2009/9/main" objectType="CheckBox" fmlaLink="$AH$30" lockText="1" noThreeD="1"/>
</file>

<file path=xl/ctrlProps/ctrlProp69.xml><?xml version="1.0" encoding="utf-8"?>
<formControlPr xmlns="http://schemas.microsoft.com/office/spreadsheetml/2009/9/main" objectType="CheckBox" fmlaLink="$AH$32" lockText="1" noThreeD="1"/>
</file>

<file path=xl/ctrlProps/ctrlProp70.xml><?xml version="1.0" encoding="utf-8"?>
<formControlPr xmlns="http://schemas.microsoft.com/office/spreadsheetml/2009/9/main" objectType="CheckBox" fmlaLink="$AP$28" lockText="1" noThreeD="1"/>
</file>

<file path=xl/ctrlProps/ctrlProp71.xml><?xml version="1.0" encoding="utf-8"?>
<formControlPr xmlns="http://schemas.microsoft.com/office/spreadsheetml/2009/9/main" objectType="CheckBox" fmlaLink="$AP$29" lockText="1" noThreeD="1"/>
</file>

<file path=xl/ctrlProps/ctrlProp72.xml><?xml version="1.0" encoding="utf-8"?>
<formControlPr xmlns="http://schemas.microsoft.com/office/spreadsheetml/2009/9/main" objectType="CheckBox" fmlaLink="$AP$30" lockText="1" noThreeD="1"/>
</file>

<file path=xl/ctrlProps/ctrlProp73.xml><?xml version="1.0" encoding="utf-8"?>
<formControlPr xmlns="http://schemas.microsoft.com/office/spreadsheetml/2009/9/main" objectType="CheckBox" checked="Checked" fmlaLink="$U$5" lockText="1" noThreeD="1"/>
</file>

<file path=xl/ctrlProps/ctrlProp74.xml><?xml version="1.0" encoding="utf-8"?>
<formControlPr xmlns="http://schemas.microsoft.com/office/spreadsheetml/2009/9/main" objectType="CheckBox" fmlaLink="$H$7" lockText="1" noThreeD="1"/>
</file>

<file path=xl/ctrlProps/ctrlProp75.xml><?xml version="1.0" encoding="utf-8"?>
<formControlPr xmlns="http://schemas.microsoft.com/office/spreadsheetml/2009/9/main" objectType="CheckBox" fmlaLink="$H$8" lockText="1" noThreeD="1"/>
</file>

<file path=xl/ctrlProps/ctrlProp76.xml><?xml version="1.0" encoding="utf-8"?>
<formControlPr xmlns="http://schemas.microsoft.com/office/spreadsheetml/2009/9/main" objectType="CheckBox" checked="Checked" fmlaLink="$O$7" lockText="1" noThreeD="1"/>
</file>

<file path=xl/ctrlProps/ctrlProp77.xml><?xml version="1.0" encoding="utf-8"?>
<formControlPr xmlns="http://schemas.microsoft.com/office/spreadsheetml/2009/9/main" objectType="CheckBox" checked="Checked" fmlaLink="$O$8" lockText="1" noThreeD="1"/>
</file>

<file path=xl/ctrlProps/ctrlProp78.xml><?xml version="1.0" encoding="utf-8"?>
<formControlPr xmlns="http://schemas.microsoft.com/office/spreadsheetml/2009/9/main" objectType="CheckBox" checked="Checked" fmlaLink="$U$7" lockText="1" noThreeD="1"/>
</file>

<file path=xl/ctrlProps/ctrlProp79.xml><?xml version="1.0" encoding="utf-8"?>
<formControlPr xmlns="http://schemas.microsoft.com/office/spreadsheetml/2009/9/main" objectType="CheckBox" fmlaLink="$U$8" lockText="1" noThreeD="1"/>
</file>

<file path=xl/ctrlProps/ctrlProp80.xml><?xml version="1.0" encoding="utf-8"?>
<formControlPr xmlns="http://schemas.microsoft.com/office/spreadsheetml/2009/9/main" objectType="CheckBox" fmlaLink="$AA$7" lockText="1" noThreeD="1"/>
</file>

<file path=xl/ctrlProps/ctrlProp81.xml><?xml version="1.0" encoding="utf-8"?>
<formControlPr xmlns="http://schemas.microsoft.com/office/spreadsheetml/2009/9/main" objectType="CheckBox" fmlaLink="$AA$8" lockText="1" noThreeD="1"/>
</file>

<file path=xl/ctrlProps/ctrlProp82.xml><?xml version="1.0" encoding="utf-8"?>
<formControlPr xmlns="http://schemas.microsoft.com/office/spreadsheetml/2009/9/main" objectType="CheckBox" checked="Checked" fmlaLink="$AA$10" lockText="1" noThreeD="1"/>
</file>

<file path=xl/ctrlProps/ctrlProp83.xml><?xml version="1.0" encoding="utf-8"?>
<formControlPr xmlns="http://schemas.microsoft.com/office/spreadsheetml/2009/9/main" objectType="CheckBox" checked="Checked" fmlaLink="$H$12" lockText="1" noThreeD="1"/>
</file>

<file path=xl/ctrlProps/ctrlProp84.xml><?xml version="1.0" encoding="utf-8"?>
<formControlPr xmlns="http://schemas.microsoft.com/office/spreadsheetml/2009/9/main" objectType="CheckBox" checked="Checked" fmlaLink="$H$13"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fmlaLink="$J$7" lockText="1" noThreeD="1"/>
</file>

<file path=xl/ctrlProps/ctrlProp88.xml><?xml version="1.0" encoding="utf-8"?>
<formControlPr xmlns="http://schemas.microsoft.com/office/spreadsheetml/2009/9/main" objectType="CheckBox" fmlaLink="$J$8" lockText="1" noThreeD="1"/>
</file>

<file path=xl/ctrlProps/ctrlProp89.xml><?xml version="1.0" encoding="utf-8"?>
<formControlPr xmlns="http://schemas.microsoft.com/office/spreadsheetml/2009/9/main" objectType="CheckBox" fmlaLink="$J$9" lockText="1" noThreeD="1"/>
</file>

<file path=xl/ctrlProps/ctrlProp90.xml><?xml version="1.0" encoding="utf-8"?>
<formControlPr xmlns="http://schemas.microsoft.com/office/spreadsheetml/2009/9/main" objectType="CheckBox" fmlaLink="$J$10" lockText="1" noThreeD="1"/>
</file>

<file path=xl/ctrlProps/ctrlProp91.xml><?xml version="1.0" encoding="utf-8"?>
<formControlPr xmlns="http://schemas.microsoft.com/office/spreadsheetml/2009/9/main" objectType="CheckBox" fmlaLink="$J$11" lockText="1" noThreeD="1"/>
</file>

<file path=xl/ctrlProps/ctrlProp92.xml><?xml version="1.0" encoding="utf-8"?>
<formControlPr xmlns="http://schemas.microsoft.com/office/spreadsheetml/2009/9/main" objectType="CheckBox" fmlaLink="$J$12" lockText="1" noThreeD="1"/>
</file>

<file path=xl/ctrlProps/ctrlProp93.xml><?xml version="1.0" encoding="utf-8"?>
<formControlPr xmlns="http://schemas.microsoft.com/office/spreadsheetml/2009/9/main" objectType="CheckBox" fmlaLink="$J$13" lockText="1" noThreeD="1"/>
</file>

<file path=xl/ctrlProps/ctrlProp94.xml><?xml version="1.0" encoding="utf-8"?>
<formControlPr xmlns="http://schemas.microsoft.com/office/spreadsheetml/2009/9/main" objectType="CheckBox" fmlaLink="$J$14" lockText="1" noThreeD="1"/>
</file>

<file path=xl/ctrlProps/ctrlProp95.xml><?xml version="1.0" encoding="utf-8"?>
<formControlPr xmlns="http://schemas.microsoft.com/office/spreadsheetml/2009/9/main" objectType="CheckBox" fmlaLink="$J$15" lockText="1" noThreeD="1"/>
</file>

<file path=xl/ctrlProps/ctrlProp96.xml><?xml version="1.0" encoding="utf-8"?>
<formControlPr xmlns="http://schemas.microsoft.com/office/spreadsheetml/2009/9/main" objectType="CheckBox" fmlaLink="$J$16" lockText="1" noThreeD="1"/>
</file>

<file path=xl/ctrlProps/ctrlProp97.xml><?xml version="1.0" encoding="utf-8"?>
<formControlPr xmlns="http://schemas.microsoft.com/office/spreadsheetml/2009/9/main" objectType="CheckBox" fmlaLink="$J$17" lockText="1" noThreeD="1"/>
</file>

<file path=xl/ctrlProps/ctrlProp98.xml><?xml version="1.0" encoding="utf-8"?>
<formControlPr xmlns="http://schemas.microsoft.com/office/spreadsheetml/2009/9/main" objectType="CheckBox" fmlaLink="$J$18" lockText="1" noThreeD="1"/>
</file>

<file path=xl/ctrlProps/ctrlProp99.xml><?xml version="1.0" encoding="utf-8"?>
<formControlPr xmlns="http://schemas.microsoft.com/office/spreadsheetml/2009/9/main" objectType="CheckBox" fmlaLink="$J$19" lockText="1" noThreeD="1"/>
</file>

<file path=xl/ctrlProps/ctrlProp100.xml><?xml version="1.0" encoding="utf-8"?>
<formControlPr xmlns="http://schemas.microsoft.com/office/spreadsheetml/2009/9/main" objectType="CheckBox" fmlaLink="$J$20" lockText="1" noThreeD="1"/>
</file>

<file path=xl/ctrlProps/ctrlProp101.xml><?xml version="1.0" encoding="utf-8"?>
<formControlPr xmlns="http://schemas.microsoft.com/office/spreadsheetml/2009/9/main" objectType="CheckBox" fmlaLink="$J$21" lockText="1" noThreeD="1"/>
</file>

<file path=xl/ctrlProps/ctrlProp102.xml><?xml version="1.0" encoding="utf-8"?>
<formControlPr xmlns="http://schemas.microsoft.com/office/spreadsheetml/2009/9/main" objectType="CheckBox" fmlaLink="$P$7" lockText="1" noThreeD="1"/>
</file>

<file path=xl/ctrlProps/ctrlProp103.xml><?xml version="1.0" encoding="utf-8"?>
<formControlPr xmlns="http://schemas.microsoft.com/office/spreadsheetml/2009/9/main" objectType="CheckBox" fmlaLink="$P$8" lockText="1" noThreeD="1"/>
</file>

<file path=xl/ctrlProps/ctrlProp104.xml><?xml version="1.0" encoding="utf-8"?>
<formControlPr xmlns="http://schemas.microsoft.com/office/spreadsheetml/2009/9/main" objectType="CheckBox" fmlaLink="$P$10" lockText="1" noThreeD="1"/>
</file>

<file path=xl/ctrlProps/ctrlProp105.xml><?xml version="1.0" encoding="utf-8"?>
<formControlPr xmlns="http://schemas.microsoft.com/office/spreadsheetml/2009/9/main" objectType="CheckBox" fmlaLink="$P$11" lockText="1" noThreeD="1"/>
</file>

<file path=xl/ctrlProps/ctrlProp106.xml><?xml version="1.0" encoding="utf-8"?>
<formControlPr xmlns="http://schemas.microsoft.com/office/spreadsheetml/2009/9/main" objectType="CheckBox" fmlaLink="$P$13" lockText="1" noThreeD="1"/>
</file>

<file path=xl/ctrlProps/ctrlProp107.xml><?xml version="1.0" encoding="utf-8"?>
<formControlPr xmlns="http://schemas.microsoft.com/office/spreadsheetml/2009/9/main" objectType="CheckBox" fmlaLink="$P$14" lockText="1" noThreeD="1"/>
</file>

<file path=xl/ctrlProps/ctrlProp108.xml><?xml version="1.0" encoding="utf-8"?>
<formControlPr xmlns="http://schemas.microsoft.com/office/spreadsheetml/2009/9/main" objectType="CheckBox" fmlaLink="$P$16" lockText="1" noThreeD="1"/>
</file>

<file path=xl/ctrlProps/ctrlProp109.xml><?xml version="1.0" encoding="utf-8"?>
<formControlPr xmlns="http://schemas.microsoft.com/office/spreadsheetml/2009/9/main" objectType="CheckBox" fmlaLink="$P$17" lockText="1" noThreeD="1"/>
</file>

<file path=xl/ctrlProps/ctrlProp110.xml><?xml version="1.0" encoding="utf-8"?>
<formControlPr xmlns="http://schemas.microsoft.com/office/spreadsheetml/2009/9/main" objectType="CheckBox" fmlaLink="$P$19" lockText="1" noThreeD="1"/>
</file>

<file path=xl/ctrlProps/ctrlProp111.xml><?xml version="1.0" encoding="utf-8"?>
<formControlPr xmlns="http://schemas.microsoft.com/office/spreadsheetml/2009/9/main" objectType="CheckBox" fmlaLink="$P$20" lockText="1" noThreeD="1"/>
</file>

<file path=xl/ctrlProps/ctrlProp112.xml><?xml version="1.0" encoding="utf-8"?>
<formControlPr xmlns="http://schemas.microsoft.com/office/spreadsheetml/2009/9/main" objectType="CheckBox" checked="Checked" fmlaLink="$AB$6" lockText="1" noThreeD="1"/>
</file>

<file path=xl/ctrlProps/ctrlProp113.xml><?xml version="1.0" encoding="utf-8"?>
<formControlPr xmlns="http://schemas.microsoft.com/office/spreadsheetml/2009/9/main" objectType="CheckBox" fmlaLink="$AB$7" lockText="1" noThreeD="1"/>
</file>

<file path=xl/ctrlProps/ctrlProp114.xml><?xml version="1.0" encoding="utf-8"?>
<formControlPr xmlns="http://schemas.microsoft.com/office/spreadsheetml/2009/9/main" objectType="CheckBox" fmlaLink="$AE$8" lockText="1" noThreeD="1"/>
</file>

<file path=xl/ctrlProps/ctrlProp115.xml><?xml version="1.0" encoding="utf-8"?>
<formControlPr xmlns="http://schemas.microsoft.com/office/spreadsheetml/2009/9/main" objectType="CheckBox" fmlaLink="$AE$9" lockText="1" noThreeD="1"/>
</file>

<file path=xl/ctrlProps/ctrlProp116.xml><?xml version="1.0" encoding="utf-8"?>
<formControlPr xmlns="http://schemas.microsoft.com/office/spreadsheetml/2009/9/main" objectType="CheckBox" fmlaLink="$AE$10" lockText="1" noThreeD="1"/>
</file>

<file path=xl/ctrlProps/ctrlProp117.xml><?xml version="1.0" encoding="utf-8"?>
<formControlPr xmlns="http://schemas.microsoft.com/office/spreadsheetml/2009/9/main" objectType="CheckBox" fmlaLink="$AB$11" lockText="1" noThreeD="1"/>
</file>

<file path=xl/ctrlProps/ctrlProp118.xml><?xml version="1.0" encoding="utf-8"?>
<formControlPr xmlns="http://schemas.microsoft.com/office/spreadsheetml/2009/9/main" objectType="CheckBox" checked="Checked" fmlaLink="$AB$14" lockText="1" noThreeD="1"/>
</file>

<file path=xl/ctrlProps/ctrlProp119.xml><?xml version="1.0" encoding="utf-8"?>
<formControlPr xmlns="http://schemas.microsoft.com/office/spreadsheetml/2009/9/main" objectType="CheckBox" fmlaLink="$AB$15" lockText="1" noThreeD="1"/>
</file>

<file path=xl/ctrlProps/ctrlProp120.xml><?xml version="1.0" encoding="utf-8"?>
<formControlPr xmlns="http://schemas.microsoft.com/office/spreadsheetml/2009/9/main" objectType="CheckBox" fmlaLink="$AB$16" lockText="1" noThreeD="1"/>
</file>

<file path=xl/ctrlProps/ctrlProp121.xml><?xml version="1.0" encoding="utf-8"?>
<formControlPr xmlns="http://schemas.microsoft.com/office/spreadsheetml/2009/9/main" objectType="CheckBox" fmlaLink="$AH$14" lockText="1" noThreeD="1"/>
</file>

<file path=xl/ctrlProps/ctrlProp122.xml><?xml version="1.0" encoding="utf-8"?>
<formControlPr xmlns="http://schemas.microsoft.com/office/spreadsheetml/2009/9/main" objectType="CheckBox" fmlaLink="$AH$15" lockText="1" noThreeD="1"/>
</file>

<file path=xl/ctrlProps/ctrlProp123.xml><?xml version="1.0" encoding="utf-8"?>
<formControlPr xmlns="http://schemas.microsoft.com/office/spreadsheetml/2009/9/main" objectType="CheckBox" fmlaLink="$AH$16" lockText="1" noThreeD="1"/>
</file>

<file path=xl/ctrlProps/ctrlProp124.xml><?xml version="1.0" encoding="utf-8"?>
<formControlPr xmlns="http://schemas.microsoft.com/office/spreadsheetml/2009/9/main" objectType="CheckBox" checked="Checked" fmlaLink="$E$7" lockText="1" noThreeD="1"/>
</file>

<file path=xl/ctrlProps/ctrlProp125.xml><?xml version="1.0" encoding="utf-8"?>
<formControlPr xmlns="http://schemas.microsoft.com/office/spreadsheetml/2009/9/main" objectType="CheckBox" fmlaLink="$E$8" lockText="1" noThreeD="1"/>
</file>

<file path=xl/ctrlProps/ctrlProp126.xml><?xml version="1.0" encoding="utf-8"?>
<formControlPr xmlns="http://schemas.microsoft.com/office/spreadsheetml/2009/9/main" objectType="CheckBox" fmlaLink="$I$7" lockText="1" noThreeD="1"/>
</file>

<file path=xl/ctrlProps/ctrlProp127.xml><?xml version="1.0" encoding="utf-8"?>
<formControlPr xmlns="http://schemas.microsoft.com/office/spreadsheetml/2009/9/main" objectType="CheckBox" fmlaLink="$I$8" lockText="1" noThreeD="1"/>
</file>

<file path=xl/ctrlProps/ctrlProp128.xml><?xml version="1.0" encoding="utf-8"?>
<formControlPr xmlns="http://schemas.microsoft.com/office/spreadsheetml/2009/9/main" objectType="CheckBox" checked="Checked" fmlaLink="$I$9"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checked="Checked" fmlaLink="$E$11" lockText="1" noThreeD="1"/>
</file>

<file path=xl/ctrlProps/ctrlProp131.xml><?xml version="1.0" encoding="utf-8"?>
<formControlPr xmlns="http://schemas.microsoft.com/office/spreadsheetml/2009/9/main" objectType="CheckBox" checked="Checked" fmlaLink="$E$12" lockText="1" noThreeD="1"/>
</file>

<file path=xl/ctrlProps/ctrlProp132.xml><?xml version="1.0" encoding="utf-8"?>
<formControlPr xmlns="http://schemas.microsoft.com/office/spreadsheetml/2009/9/main" objectType="CheckBox" fmlaLink="$E$13" lockText="1" noThreeD="1"/>
</file>

<file path=xl/ctrlProps/ctrlProp133.xml><?xml version="1.0" encoding="utf-8"?>
<formControlPr xmlns="http://schemas.microsoft.com/office/spreadsheetml/2009/9/main" objectType="CheckBox" fmlaLink="$E$14" lockText="1" noThreeD="1"/>
</file>

<file path=xl/ctrlProps/ctrlProp134.xml><?xml version="1.0" encoding="utf-8"?>
<formControlPr xmlns="http://schemas.microsoft.com/office/spreadsheetml/2009/9/main" objectType="CheckBox" fmlaLink="$E$15" lockText="1" noThreeD="1"/>
</file>

<file path=xl/ctrlProps/ctrlProp135.xml><?xml version="1.0" encoding="utf-8"?>
<formControlPr xmlns="http://schemas.microsoft.com/office/spreadsheetml/2009/9/main" objectType="CheckBox" checked="Checked" fmlaLink="$E$16" lockText="1" noThreeD="1"/>
</file>

<file path=xl/ctrlProps/ctrlProp136.xml><?xml version="1.0" encoding="utf-8"?>
<formControlPr xmlns="http://schemas.microsoft.com/office/spreadsheetml/2009/9/main" objectType="CheckBox" fmlaLink="$E$17" lockText="1" noThreeD="1"/>
</file>

<file path=xl/ctrlProps/ctrlProp137.xml><?xml version="1.0" encoding="utf-8"?>
<formControlPr xmlns="http://schemas.microsoft.com/office/spreadsheetml/2009/9/main" objectType="CheckBox" fmlaLink="$E$18" lockText="1" noThreeD="1"/>
</file>

<file path=xl/ctrlProps/ctrlProp138.xml><?xml version="1.0" encoding="utf-8"?>
<formControlPr xmlns="http://schemas.microsoft.com/office/spreadsheetml/2009/9/main" objectType="CheckBox" fmlaLink="$E$19" lockText="1" noThreeD="1"/>
</file>

<file path=xl/ctrlProps/ctrlProp139.xml><?xml version="1.0" encoding="utf-8"?>
<formControlPr xmlns="http://schemas.microsoft.com/office/spreadsheetml/2009/9/main" objectType="CheckBox" fmlaLink="$E$20" lockText="1" noThreeD="1"/>
</file>

<file path=xl/ctrlProps/ctrlProp140.xml><?xml version="1.0" encoding="utf-8"?>
<formControlPr xmlns="http://schemas.microsoft.com/office/spreadsheetml/2009/9/main" objectType="CheckBox" fmlaLink="$E$22" lockText="1" noThreeD="1"/>
</file>

<file path=xl/ctrlProps/ctrlProp141.xml><?xml version="1.0" encoding="utf-8"?>
<formControlPr xmlns="http://schemas.microsoft.com/office/spreadsheetml/2009/9/main" objectType="CheckBox" fmlaLink="$E$23" lockText="1" noThreeD="1"/>
</file>

<file path=xl/ctrlProps/ctrlProp142.xml><?xml version="1.0" encoding="utf-8"?>
<formControlPr xmlns="http://schemas.microsoft.com/office/spreadsheetml/2009/9/main" objectType="CheckBox" fmlaLink="$E$24" lockText="1" noThreeD="1"/>
</file>

<file path=xl/ctrlProps/ctrlProp143.xml><?xml version="1.0" encoding="utf-8"?>
<formControlPr xmlns="http://schemas.microsoft.com/office/spreadsheetml/2009/9/main" objectType="CheckBox" fmlaLink="$E$25" lockText="1" noThreeD="1"/>
</file>

<file path=xl/ctrlProps/ctrlProp144.xml><?xml version="1.0" encoding="utf-8"?>
<formControlPr xmlns="http://schemas.microsoft.com/office/spreadsheetml/2009/9/main" objectType="CheckBox" fmlaLink="$E$26" lockText="1" noThreeD="1"/>
</file>

<file path=xl/ctrlProps/ctrlProp145.xml><?xml version="1.0" encoding="utf-8"?>
<formControlPr xmlns="http://schemas.microsoft.com/office/spreadsheetml/2009/9/main" objectType="CheckBox" checked="Checked" fmlaLink="$S$9" lockText="1" noThreeD="1"/>
</file>

<file path=xl/ctrlProps/ctrlProp146.xml><?xml version="1.0" encoding="utf-8"?>
<formControlPr xmlns="http://schemas.microsoft.com/office/spreadsheetml/2009/9/main" objectType="CheckBox" checked="Checked" fmlaLink="$S$10" lockText="1" noThreeD="1"/>
</file>

<file path=xl/ctrlProps/ctrlProp147.xml><?xml version="1.0" encoding="utf-8"?>
<formControlPr xmlns="http://schemas.microsoft.com/office/spreadsheetml/2009/9/main" objectType="CheckBox" fmlaLink="$S$11" lockText="1" noThreeD="1"/>
</file>

<file path=xl/ctrlProps/ctrlProp148.xml><?xml version="1.0" encoding="utf-8"?>
<formControlPr xmlns="http://schemas.microsoft.com/office/spreadsheetml/2009/9/main" objectType="CheckBox" fmlaLink="$S$12" lockText="1" noThreeD="1"/>
</file>

<file path=xl/ctrlProps/ctrlProp149.xml><?xml version="1.0" encoding="utf-8"?>
<formControlPr xmlns="http://schemas.microsoft.com/office/spreadsheetml/2009/9/main" objectType="CheckBox" fmlaLink="$S$13" lockText="1" noThreeD="1"/>
</file>

<file path=xl/ctrlProps/ctrlProp150.xml><?xml version="1.0" encoding="utf-8"?>
<formControlPr xmlns="http://schemas.microsoft.com/office/spreadsheetml/2009/9/main" objectType="CheckBox" fmlaLink="$S$14" lockText="1" noThreeD="1"/>
</file>

<file path=xl/ctrlProps/ctrlProp151.xml><?xml version="1.0" encoding="utf-8"?>
<formControlPr xmlns="http://schemas.microsoft.com/office/spreadsheetml/2009/9/main" objectType="CheckBox" fmlaLink="$S$15" lockText="1" noThreeD="1"/>
</file>

<file path=xl/ctrlProps/ctrlProp152.xml><?xml version="1.0" encoding="utf-8"?>
<formControlPr xmlns="http://schemas.microsoft.com/office/spreadsheetml/2009/9/main" objectType="CheckBox" fmlaLink="$S$16" lockText="1" noThreeD="1"/>
</file>

<file path=xl/ctrlProps/ctrlProp153.xml><?xml version="1.0" encoding="utf-8"?>
<formControlPr xmlns="http://schemas.microsoft.com/office/spreadsheetml/2009/9/main" objectType="CheckBox" fmlaLink="$S$18" lockText="1" noThreeD="1"/>
</file>

<file path=xl/ctrlProps/ctrlProp154.xml><?xml version="1.0" encoding="utf-8"?>
<formControlPr xmlns="http://schemas.microsoft.com/office/spreadsheetml/2009/9/main" objectType="CheckBox" fmlaLink="$S$19" lockText="1" noThreeD="1"/>
</file>

<file path=xl/ctrlProps/ctrlProp155.xml><?xml version="1.0" encoding="utf-8"?>
<formControlPr xmlns="http://schemas.microsoft.com/office/spreadsheetml/2009/9/main" objectType="CheckBox" fmlaLink="$AL$7" lockText="1" noThreeD="1"/>
</file>

<file path=xl/ctrlProps/ctrlProp156.xml><?xml version="1.0" encoding="utf-8"?>
<formControlPr xmlns="http://schemas.microsoft.com/office/spreadsheetml/2009/9/main" objectType="CheckBox" checked="Checked" lockText="1" noThreeD="1"/>
</file>

<file path=xl/ctrlProps/ctrlProp157.xml><?xml version="1.0" encoding="utf-8"?>
<formControlPr xmlns="http://schemas.microsoft.com/office/spreadsheetml/2009/9/main" objectType="CheckBox" fmlaLink="$AL$12" lockText="1" noThreeD="1"/>
</file>

<file path=xl/ctrlProps/ctrlProp158.xml><?xml version="1.0" encoding="utf-8"?>
<formControlPr xmlns="http://schemas.microsoft.com/office/spreadsheetml/2009/9/main" objectType="CheckBox" checked="Checked" lockText="1" noThreeD="1"/>
</file>

<file path=xl/ctrlProps/ctrlProp159.xml><?xml version="1.0" encoding="utf-8"?>
<formControlPr xmlns="http://schemas.microsoft.com/office/spreadsheetml/2009/9/main" objectType="CheckBox" fmlaLink="$AL$14" lockText="1" noThreeD="1"/>
</file>

<file path=xl/ctrlProps/ctrlProp160.xml><?xml version="1.0" encoding="utf-8"?>
<formControlPr xmlns="http://schemas.microsoft.com/office/spreadsheetml/2009/9/main" objectType="CheckBox" checked="Checked" lockText="1" noThreeD="1"/>
</file>

<file path=xl/ctrlProps/ctrlProp161.xml><?xml version="1.0" encoding="utf-8"?>
<formControlPr xmlns="http://schemas.microsoft.com/office/spreadsheetml/2009/9/main" objectType="CheckBox" checked="Checked" fmlaLink="$AL$17" lockText="1" noThreeD="1"/>
</file>

<file path=xl/ctrlProps/ctrlProp162.xml><?xml version="1.0" encoding="utf-8"?>
<formControlPr xmlns="http://schemas.microsoft.com/office/spreadsheetml/2009/9/main" objectType="CheckBox" fmlaLink="$AL$18" lockText="1" noThreeD="1"/>
</file>

<file path=xl/ctrlProps/ctrlProp163.xml><?xml version="1.0" encoding="utf-8"?>
<formControlPr xmlns="http://schemas.microsoft.com/office/spreadsheetml/2009/9/main" objectType="CheckBox" fmlaLink="$AL$19" lockText="1" noThreeD="1"/>
</file>

<file path=xl/ctrlProps/ctrlProp164.xml><?xml version="1.0" encoding="utf-8"?>
<formControlPr xmlns="http://schemas.microsoft.com/office/spreadsheetml/2009/9/main" objectType="CheckBox" fmlaLink="$AL$20" lockText="1" noThreeD="1"/>
</file>

<file path=xl/ctrlProps/ctrlProp165.xml><?xml version="1.0" encoding="utf-8"?>
<formControlPr xmlns="http://schemas.microsoft.com/office/spreadsheetml/2009/9/main" objectType="CheckBox" fmlaLink="$AL$24" lockText="1" noThreeD="1"/>
</file>

<file path=xl/ctrlProps/ctrlProp166.xml><?xml version="1.0" encoding="utf-8"?>
<formControlPr xmlns="http://schemas.microsoft.com/office/spreadsheetml/2009/9/main" objectType="CheckBox" fmlaLink="$AL$25" lockText="1" noThreeD="1"/>
</file>

<file path=xl/ctrlProps/ctrlProp167.xml><?xml version="1.0" encoding="utf-8"?>
<formControlPr xmlns="http://schemas.microsoft.com/office/spreadsheetml/2009/9/main" objectType="CheckBox" fmlaLink="$AL$9" lockText="1" noThreeD="1"/>
</file>

<file path=xl/ctrlProps/ctrlProp168.xml><?xml version="1.0" encoding="utf-8"?>
<formControlPr xmlns="http://schemas.microsoft.com/office/spreadsheetml/2009/9/main" objectType="CheckBox" checked="Checked" lockText="1" noThreeD="1"/>
</file>

<file path=xl/ctrlProps/ctrlProp169.xml><?xml version="1.0" encoding="utf-8"?>
<formControlPr xmlns="http://schemas.microsoft.com/office/spreadsheetml/2009/9/main" objectType="CheckBox" checked="Checked" fmlaLink="$D$31" lockText="1" noThreeD="1"/>
</file>

<file path=xl/ctrlProps/ctrlProp170.xml><?xml version="1.0" encoding="utf-8"?>
<formControlPr xmlns="http://schemas.microsoft.com/office/spreadsheetml/2009/9/main" objectType="CheckBox" fmlaLink="$D$32" lockText="1" noThreeD="1"/>
</file>

<file path=xl/ctrlProps/ctrlProp171.xml><?xml version="1.0" encoding="utf-8"?>
<formControlPr xmlns="http://schemas.microsoft.com/office/spreadsheetml/2009/9/main" objectType="CheckBox" fmlaLink="$D$33" lockText="1" noThreeD="1"/>
</file>

<file path=xl/ctrlProps/ctrlProp172.xml><?xml version="1.0" encoding="utf-8"?>
<formControlPr xmlns="http://schemas.microsoft.com/office/spreadsheetml/2009/9/main" objectType="CheckBox" fmlaLink="$M$31" lockText="1" noThreeD="1"/>
</file>

<file path=xl/ctrlProps/ctrlProp173.xml><?xml version="1.0" encoding="utf-8"?>
<formControlPr xmlns="http://schemas.microsoft.com/office/spreadsheetml/2009/9/main" objectType="CheckBox" fmlaLink="$M$32" lockText="1" noThreeD="1"/>
</file>

<file path=xl/ctrlProps/ctrlProp174.xml><?xml version="1.0" encoding="utf-8"?>
<formControlPr xmlns="http://schemas.microsoft.com/office/spreadsheetml/2009/9/main" objectType="CheckBox" checked="Checked" fmlaLink="$M$33" lockText="1" noThreeD="1"/>
</file>

<file path=xl/ctrlProps/ctrlProp175.xml><?xml version="1.0" encoding="utf-8"?>
<formControlPr xmlns="http://schemas.microsoft.com/office/spreadsheetml/2009/9/main" objectType="CheckBox" fmlaLink="$W$31" lockText="1" noThreeD="1"/>
</file>

<file path=xl/ctrlProps/ctrlProp176.xml><?xml version="1.0" encoding="utf-8"?>
<formControlPr xmlns="http://schemas.microsoft.com/office/spreadsheetml/2009/9/main" objectType="CheckBox" fmlaLink="$W$32" lockText="1" noThreeD="1"/>
</file>

<file path=xl/ctrlProps/ctrlProp177.xml><?xml version="1.0" encoding="utf-8"?>
<formControlPr xmlns="http://schemas.microsoft.com/office/spreadsheetml/2009/9/main" objectType="CheckBox" fmlaLink="$H$32" lockText="1" noThreeD="1"/>
</file>

<file path=xl/ctrlProps/ctrlProp178.xml><?xml version="1.0" encoding="utf-8"?>
<formControlPr xmlns="http://schemas.microsoft.com/office/spreadsheetml/2009/9/main" objectType="CheckBox" fmlaLink="$H$33" lockText="1" noThreeD="1"/>
</file>

<file path=xl/ctrlProps/ctrlProp179.xml><?xml version="1.0" encoding="utf-8"?>
<formControlPr xmlns="http://schemas.microsoft.com/office/spreadsheetml/2009/9/main" objectType="CheckBox" checked="Checked" fmlaLink="$O$32" lockText="1" noThreeD="1"/>
</file>

<file path=xl/ctrlProps/ctrlProp180.xml><?xml version="1.0" encoding="utf-8"?>
<formControlPr xmlns="http://schemas.microsoft.com/office/spreadsheetml/2009/9/main" objectType="CheckBox" fmlaLink="$O$33" lockText="1" noThreeD="1"/>
</file>

<file path=xl/ctrlProps/ctrlProp181.xml><?xml version="1.0" encoding="utf-8"?>
<formControlPr xmlns="http://schemas.microsoft.com/office/spreadsheetml/2009/9/main" objectType="CheckBox" fmlaLink="$U$32" lockText="1" noThreeD="1"/>
</file>

<file path=xl/ctrlProps/ctrlProp182.xml><?xml version="1.0" encoding="utf-8"?>
<formControlPr xmlns="http://schemas.microsoft.com/office/spreadsheetml/2009/9/main" objectType="CheckBox" checked="Checked" fmlaLink="$U$18" lockText="1" noThreeD="1"/>
</file>

<file path=xl/ctrlProps/ctrlProp183.xml><?xml version="1.0" encoding="utf-8"?>
<formControlPr xmlns="http://schemas.microsoft.com/office/spreadsheetml/2009/9/main" objectType="CheckBox" checked="Checked" fmlaLink="$U$20"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checked="Checked" fmlaLink="$AD$5"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checked="Checked" fmlaLink="$J$8" lockText="1" noThreeD="1"/>
</file>

<file path=xl/ctrlProps/ctrlProp189.xml><?xml version="1.0" encoding="utf-8"?>
<formControlPr xmlns="http://schemas.microsoft.com/office/spreadsheetml/2009/9/main" objectType="CheckBox" fmlaLink="$J$9" lockText="1" noThreeD="1"/>
</file>

<file path=xl/ctrlProps/ctrlProp190.xml><?xml version="1.0" encoding="utf-8"?>
<formControlPr xmlns="http://schemas.microsoft.com/office/spreadsheetml/2009/9/main" objectType="CheckBox" checked="Checked" fmlaLink="$J$10" lockText="1" noThreeD="1"/>
</file>

<file path=xl/ctrlProps/ctrlProp191.xml><?xml version="1.0" encoding="utf-8"?>
<formControlPr xmlns="http://schemas.microsoft.com/office/spreadsheetml/2009/9/main" objectType="CheckBox" fmlaLink="$X$8" lockText="1" noThreeD="1"/>
</file>

<file path=xl/ctrlProps/ctrlProp192.xml><?xml version="1.0" encoding="utf-8"?>
<formControlPr xmlns="http://schemas.microsoft.com/office/spreadsheetml/2009/9/main" objectType="CheckBox" fmlaLink="$X$9" lockText="1" noThreeD="1"/>
</file>

<file path=xl/ctrlProps/ctrlProp193.xml><?xml version="1.0" encoding="utf-8"?>
<formControlPr xmlns="http://schemas.microsoft.com/office/spreadsheetml/2009/9/main" objectType="CheckBox" checked="Checked" fmlaLink="$J$13" lockText="1" noThreeD="1"/>
</file>

<file path=xl/ctrlProps/ctrlProp194.xml><?xml version="1.0" encoding="utf-8"?>
<formControlPr xmlns="http://schemas.microsoft.com/office/spreadsheetml/2009/9/main" objectType="CheckBox" fmlaLink="$J$14" lockText="1" noThreeD="1"/>
</file>

<file path=xl/ctrlProps/ctrlProp195.xml><?xml version="1.0" encoding="utf-8"?>
<formControlPr xmlns="http://schemas.microsoft.com/office/spreadsheetml/2009/9/main" objectType="CheckBox" fmlaLink="$J$15" lockText="1" noThreeD="1"/>
</file>

<file path=xl/ctrlProps/ctrlProp196.xml><?xml version="1.0" encoding="utf-8"?>
<formControlPr xmlns="http://schemas.microsoft.com/office/spreadsheetml/2009/9/main" objectType="CheckBox" fmlaLink="$X$13" lockText="1" noThreeD="1"/>
</file>

<file path=xl/ctrlProps/ctrlProp197.xml><?xml version="1.0" encoding="utf-8"?>
<formControlPr xmlns="http://schemas.microsoft.com/office/spreadsheetml/2009/9/main" objectType="CheckBox" fmlaLink="$X$14" lockText="1" noThreeD="1"/>
</file>

<file path=xl/ctrlProps/ctrlProp198.xml><?xml version="1.0" encoding="utf-8"?>
<formControlPr xmlns="http://schemas.microsoft.com/office/spreadsheetml/2009/9/main" objectType="CheckBox" fmlaLink="$X$15" lockText="1" noThreeD="1"/>
</file>

<file path=xl/ctrlProps/ctrlProp199.xml><?xml version="1.0" encoding="utf-8"?>
<formControlPr xmlns="http://schemas.microsoft.com/office/spreadsheetml/2009/9/main" objectType="CheckBox" fmlaLink="$AD$16" lockText="1" noThreeD="1"/>
</file>

<file path=xl/ctrlProps/ctrlProp200.xml><?xml version="1.0" encoding="utf-8"?>
<formControlPr xmlns="http://schemas.microsoft.com/office/spreadsheetml/2009/9/main" objectType="CheckBox" fmlaLink="$AD$17" lockText="1" noThreeD="1"/>
</file>

<file path=xl/ctrlProps/ctrlProp201.xml><?xml version="1.0" encoding="utf-8"?>
<formControlPr xmlns="http://schemas.microsoft.com/office/spreadsheetml/2009/9/main" objectType="CheckBox" fmlaLink="$AD$18" lockText="1" noThreeD="1"/>
</file>

<file path=xl/ctrlProps/ctrlProp202.xml><?xml version="1.0" encoding="utf-8"?>
<formControlPr xmlns="http://schemas.microsoft.com/office/spreadsheetml/2009/9/main" objectType="CheckBox" lockText="1" noThreeD="1"/>
</file>

<file path=xl/ctrlProps/ctrlProp203.xml><?xml version="1.0" encoding="utf-8"?>
<formControlPr xmlns="http://schemas.microsoft.com/office/spreadsheetml/2009/9/main" objectType="CheckBox" lockText="1" noThreeD="1"/>
</file>

<file path=xl/ctrlProps/ctrlProp204.xml><?xml version="1.0" encoding="utf-8"?>
<formControlPr xmlns="http://schemas.microsoft.com/office/spreadsheetml/2009/9/main" objectType="CheckBox" lockText="1" noThreeD="1"/>
</file>

<file path=xl/ctrlProps/ctrlProp205.xml><?xml version="1.0" encoding="utf-8"?>
<formControlPr xmlns="http://schemas.microsoft.com/office/spreadsheetml/2009/9/main" objectType="CheckBox" fmlaLink="$J$20" lockText="1" noThreeD="1"/>
</file>

<file path=xl/ctrlProps/ctrlProp206.xml><?xml version="1.0" encoding="utf-8"?>
<formControlPr xmlns="http://schemas.microsoft.com/office/spreadsheetml/2009/9/main" objectType="CheckBox" fmlaLink="$J$21" lockText="1" noThreeD="1"/>
</file>

<file path=xl/ctrlProps/ctrlProp207.xml><?xml version="1.0" encoding="utf-8"?>
<formControlPr xmlns="http://schemas.microsoft.com/office/spreadsheetml/2009/9/main" objectType="CheckBox" checked="Checked" fmlaLink="$X$20" lockText="1" noThreeD="1"/>
</file>

<file path=xl/ctrlProps/ctrlProp208.xml><?xml version="1.0" encoding="utf-8"?>
<formControlPr xmlns="http://schemas.microsoft.com/office/spreadsheetml/2009/9/main" objectType="CheckBox" fmlaLink="$X$21" lockText="1" noThreeD="1"/>
</file>

<file path=xl/ctrlProps/ctrlProp209.xml><?xml version="1.0" encoding="utf-8"?>
<formControlPr xmlns="http://schemas.microsoft.com/office/spreadsheetml/2009/9/main" objectType="CheckBox" fmlaLink="$AD$23" lockText="1" noThreeD="1"/>
</file>

<file path=xl/ctrlProps/ctrlProp210.xml><?xml version="1.0" encoding="utf-8"?>
<formControlPr xmlns="http://schemas.microsoft.com/office/spreadsheetml/2009/9/main" objectType="CheckBox" checked="Checked" fmlaLink="$AD$25" lockText="1" noThreeD="1"/>
</file>

<file path=xl/ctrlProps/ctrlProp211.xml><?xml version="1.0" encoding="utf-8"?>
<formControlPr xmlns="http://schemas.microsoft.com/office/spreadsheetml/2009/9/main" objectType="CheckBox" checked="Checked" lockText="1" noThreeD="1"/>
</file>

<file path=xl/ctrlProps/ctrlProp212.xml><?xml version="1.0" encoding="utf-8"?>
<formControlPr xmlns="http://schemas.microsoft.com/office/spreadsheetml/2009/9/main" objectType="CheckBox" lockText="1" noThreeD="1"/>
</file>

<file path=xl/ctrlProps/ctrlProp213.xml><?xml version="1.0" encoding="utf-8"?>
<formControlPr xmlns="http://schemas.microsoft.com/office/spreadsheetml/2009/9/main" objectType="CheckBox" checked="Checked" fmlaLink="$J$27" lockText="1" noThreeD="1"/>
</file>

<file path=xl/ctrlProps/ctrlProp214.xml><?xml version="1.0" encoding="utf-8"?>
<formControlPr xmlns="http://schemas.microsoft.com/office/spreadsheetml/2009/9/main" objectType="CheckBox" checked="Checked" fmlaLink="$J$28" lockText="1" noThreeD="1"/>
</file>

<file path=xl/ctrlProps/ctrlProp215.xml><?xml version="1.0" encoding="utf-8"?>
<formControlPr xmlns="http://schemas.microsoft.com/office/spreadsheetml/2009/9/main" objectType="CheckBox" fmlaLink="$J$29" lockText="1" noThreeD="1"/>
</file>

<file path=xl/ctrlProps/ctrlProp216.xml><?xml version="1.0" encoding="utf-8"?>
<formControlPr xmlns="http://schemas.microsoft.com/office/spreadsheetml/2009/9/main" objectType="CheckBox" fmlaLink="$J$30" lockText="1" noThreeD="1"/>
</file>

<file path=xl/ctrlProps/ctrlProp217.xml><?xml version="1.0" encoding="utf-8"?>
<formControlPr xmlns="http://schemas.microsoft.com/office/spreadsheetml/2009/9/main" objectType="CheckBox" checked="Checked" fmlaLink="$AA$5" lockText="1" noThreeD="1"/>
</file>

<file path=xl/ctrlProps/ctrlProp218.xml><?xml version="1.0" encoding="utf-8"?>
<formControlPr xmlns="http://schemas.microsoft.com/office/spreadsheetml/2009/9/main" objectType="CheckBox" fmlaLink="$AA$7" lockText="1" noThreeD="1"/>
</file>

<file path=xl/ctrlProps/ctrlProp219.xml><?xml version="1.0" encoding="utf-8"?>
<formControlPr xmlns="http://schemas.microsoft.com/office/spreadsheetml/2009/9/main" objectType="CheckBox" checked="Checked" fmlaLink="$AA$16" lockText="1" noThreeD="1"/>
</file>

<file path=xl/ctrlProps/ctrlProp220.xml><?xml version="1.0" encoding="utf-8"?>
<formControlPr xmlns="http://schemas.microsoft.com/office/spreadsheetml/2009/9/main" objectType="CheckBox" fmlaLink="$AA$18" lockText="1" noThreeD="1"/>
</file>

<file path=xl/ctrlProps/ctrlProp221.xml><?xml version="1.0" encoding="utf-8"?>
<formControlPr xmlns="http://schemas.microsoft.com/office/spreadsheetml/2009/9/main" objectType="CheckBox" checked="Checked" fmlaLink="$AF$20" lockText="1" noThreeD="1"/>
</file>

<file path=xl/ctrlProps/ctrlProp222.xml><?xml version="1.0" encoding="utf-8"?>
<formControlPr xmlns="http://schemas.microsoft.com/office/spreadsheetml/2009/9/main" objectType="CheckBox" fmlaLink="$AF$28" lockText="1" noThreeD="1"/>
</file>

<file path=xl/ctrlProps/ctrlProp223.xml><?xml version="1.0" encoding="utf-8"?>
<formControlPr xmlns="http://schemas.microsoft.com/office/spreadsheetml/2009/9/main" objectType="CheckBox" lockText="1" noThreeD="1"/>
</file>

<file path=xl/ctrlProps/ctrlProp224.xml><?xml version="1.0" encoding="utf-8"?>
<formControlPr xmlns="http://schemas.microsoft.com/office/spreadsheetml/2009/9/main" objectType="CheckBox" checked="Checked" lockText="1" noThreeD="1"/>
</file>

<file path=xl/ctrlProps/ctrlProp225.xml><?xml version="1.0" encoding="utf-8"?>
<formControlPr xmlns="http://schemas.microsoft.com/office/spreadsheetml/2009/9/main" objectType="CheckBox" lockText="1" noThreeD="1"/>
</file>

<file path=xl/ctrlProps/ctrlProp226.xml><?xml version="1.0" encoding="utf-8"?>
<formControlPr xmlns="http://schemas.microsoft.com/office/spreadsheetml/2009/9/main" objectType="CheckBox" checked="Checked" lockText="1" noThreeD="1"/>
</file>

<file path=xl/ctrlProps/ctrlProp227.xml><?xml version="1.0" encoding="utf-8"?>
<formControlPr xmlns="http://schemas.microsoft.com/office/spreadsheetml/2009/9/main" objectType="CheckBox" lockText="1" noThreeD="1"/>
</file>

<file path=xl/ctrlProps/ctrlProp228.xml><?xml version="1.0" encoding="utf-8"?>
<formControlPr xmlns="http://schemas.microsoft.com/office/spreadsheetml/2009/9/main" objectType="CheckBox" noThreeD="1"/>
</file>

<file path=xl/ctrlProps/ctrlProp229.xml><?xml version="1.0" encoding="utf-8"?>
<formControlPr xmlns="http://schemas.microsoft.com/office/spreadsheetml/2009/9/main" objectType="CheckBox" lockText="1" noThreeD="1"/>
</file>

<file path=xl/ctrlProps/ctrlProp230.xml><?xml version="1.0" encoding="utf-8"?>
<formControlPr xmlns="http://schemas.microsoft.com/office/spreadsheetml/2009/9/main" objectType="CheckBox" checked="Checked" fmlaLink="$AA$21" lockText="1" noThreeD="1"/>
</file>

<file path=xl/ctrlProps/ctrlProp231.xml><?xml version="1.0" encoding="utf-8"?>
<formControlPr xmlns="http://schemas.microsoft.com/office/spreadsheetml/2009/9/main" objectType="CheckBox" checked="Checked" fmlaLink="$AI$6" lockText="1" noThreeD="1"/>
</file>

<file path=xl/ctrlProps/ctrlProp232.xml><?xml version="1.0" encoding="utf-8"?>
<formControlPr xmlns="http://schemas.microsoft.com/office/spreadsheetml/2009/9/main" objectType="CheckBox" checked="Checked" fmlaLink="$AI$7" lockText="1" noThreeD="1"/>
</file>

<file path=xl/ctrlProps/ctrlProp233.xml><?xml version="1.0" encoding="utf-8"?>
<formControlPr xmlns="http://schemas.microsoft.com/office/spreadsheetml/2009/9/main" objectType="CheckBox" fmlaLink="$AI$10" lockText="1" noThreeD="1"/>
</file>

<file path=xl/ctrlProps/ctrlProp234.xml><?xml version="1.0" encoding="utf-8"?>
<formControlPr xmlns="http://schemas.microsoft.com/office/spreadsheetml/2009/9/main" objectType="CheckBox" fmlaLink="$AI$11" lockText="1" noThreeD="1"/>
</file>

<file path=xl/ctrlProps/ctrlProp235.xml><?xml version="1.0" encoding="utf-8"?>
<formControlPr xmlns="http://schemas.microsoft.com/office/spreadsheetml/2009/9/main" objectType="CheckBox" fmlaLink="$G$19" lockText="1" noThreeD="1"/>
</file>

<file path=xl/ctrlProps/ctrlProp236.xml><?xml version="1.0" encoding="utf-8"?>
<formControlPr xmlns="http://schemas.microsoft.com/office/spreadsheetml/2009/9/main" objectType="CheckBox" fmlaLink="$G$20" lockText="1" noThreeD="1"/>
</file>

<file path=xl/ctrlProps/ctrlProp237.xml><?xml version="1.0" encoding="utf-8"?>
<formControlPr xmlns="http://schemas.microsoft.com/office/spreadsheetml/2009/9/main" objectType="CheckBox" fmlaLink="$AA$19" lockText="1" noThreeD="1"/>
</file>

<file path=xl/ctrlProps/ctrlProp238.xml><?xml version="1.0" encoding="utf-8"?>
<formControlPr xmlns="http://schemas.microsoft.com/office/spreadsheetml/2009/9/main" objectType="CheckBox" checked="Checked" fmlaLink="$AA$20" lockText="1" noThreeD="1"/>
</file>

<file path=xl/ctrlProps/ctrlProp239.xml><?xml version="1.0" encoding="utf-8"?>
<formControlPr xmlns="http://schemas.microsoft.com/office/spreadsheetml/2009/9/main" objectType="CheckBox" lockText="1" noThreeD="1"/>
</file>

<file path=xl/ctrlProps/ctrlProp240.xml><?xml version="1.0" encoding="utf-8"?>
<formControlPr xmlns="http://schemas.microsoft.com/office/spreadsheetml/2009/9/main" objectType="CheckBox" lockText="1" noThreeD="1"/>
</file>

<file path=xl/ctrlProps/ctrlProp241.xml><?xml version="1.0" encoding="utf-8"?>
<formControlPr xmlns="http://schemas.microsoft.com/office/spreadsheetml/2009/9/main" objectType="CheckBox" checked="Checked" lockText="1" noThreeD="1"/>
</file>

<file path=xl/ctrlProps/ctrlProp242.xml><?xml version="1.0" encoding="utf-8"?>
<formControlPr xmlns="http://schemas.microsoft.com/office/spreadsheetml/2009/9/main" objectType="CheckBox" checked="Checked" lockText="1" noThreeD="1"/>
</file>

<file path=xl/ctrlProps/ctrlProp243.xml><?xml version="1.0" encoding="utf-8"?>
<formControlPr xmlns="http://schemas.microsoft.com/office/spreadsheetml/2009/9/main" objectType="CheckBox" checked="Checked" fmlaLink="$AG$5" lockText="1" noThreeD="1"/>
</file>

<file path=xl/ctrlProps/ctrlProp244.xml><?xml version="1.0" encoding="utf-8"?>
<formControlPr xmlns="http://schemas.microsoft.com/office/spreadsheetml/2009/9/main" objectType="CheckBox" checked="Checked" fmlaLink="$M$7" lockText="1" noThreeD="1"/>
</file>

<file path=xl/ctrlProps/ctrlProp245.xml><?xml version="1.0" encoding="utf-8"?>
<formControlPr xmlns="http://schemas.microsoft.com/office/spreadsheetml/2009/9/main" objectType="CheckBox" checked="Checked" fmlaLink="$M$8" lockText="1" noThreeD="1"/>
</file>

<file path=xl/ctrlProps/ctrlProp246.xml><?xml version="1.0" encoding="utf-8"?>
<formControlPr xmlns="http://schemas.microsoft.com/office/spreadsheetml/2009/9/main" objectType="CheckBox" checked="Checked" fmlaLink="$W$7" lockText="1" noThreeD="1"/>
</file>

<file path=xl/ctrlProps/ctrlProp247.xml><?xml version="1.0" encoding="utf-8"?>
<formControlPr xmlns="http://schemas.microsoft.com/office/spreadsheetml/2009/9/main" objectType="CheckBox" checked="Checked" fmlaLink="$W$8" lockText="1" noThreeD="1"/>
</file>

<file path=xl/ctrlProps/ctrlProp248.xml><?xml version="1.0" encoding="utf-8"?>
<formControlPr xmlns="http://schemas.microsoft.com/office/spreadsheetml/2009/9/main" objectType="CheckBox" checked="Checked" fmlaLink="$AG$9" lockText="1" noThreeD="1"/>
</file>

<file path=xl/ctrlProps/ctrlProp249.xml><?xml version="1.0" encoding="utf-8"?>
<formControlPr xmlns="http://schemas.microsoft.com/office/spreadsheetml/2009/9/main" objectType="CheckBox" checked="Checked" fmlaLink="$AG$11" lockText="1" noThreeD="1"/>
</file>

<file path=xl/ctrlProps/ctrlProp250.xml><?xml version="1.0" encoding="utf-8"?>
<formControlPr xmlns="http://schemas.microsoft.com/office/spreadsheetml/2009/9/main" objectType="CheckBox" lockText="1" noThreeD="1"/>
</file>

<file path=xl/ctrlProps/ctrlProp251.xml><?xml version="1.0" encoding="utf-8"?>
<formControlPr xmlns="http://schemas.microsoft.com/office/spreadsheetml/2009/9/main" objectType="CheckBox" lockText="1" noThreeD="1"/>
</file>

<file path=xl/ctrlProps/ctrlProp252.xml><?xml version="1.0" encoding="utf-8"?>
<formControlPr xmlns="http://schemas.microsoft.com/office/spreadsheetml/2009/9/main" objectType="CheckBox" lockText="1" noThreeD="1"/>
</file>

<file path=xl/ctrlProps/ctrlProp253.xml><?xml version="1.0" encoding="utf-8"?>
<formControlPr xmlns="http://schemas.microsoft.com/office/spreadsheetml/2009/9/main" objectType="CheckBox" lockText="1" noThreeD="1"/>
</file>

<file path=xl/ctrlProps/ctrlProp254.xml><?xml version="1.0" encoding="utf-8"?>
<formControlPr xmlns="http://schemas.microsoft.com/office/spreadsheetml/2009/9/main" objectType="CheckBox" lockText="1" noThreeD="1"/>
</file>

<file path=xl/ctrlProps/ctrlProp255.xml><?xml version="1.0" encoding="utf-8"?>
<formControlPr xmlns="http://schemas.microsoft.com/office/spreadsheetml/2009/9/main" objectType="CheckBox" lockText="1" noThreeD="1"/>
</file>

<file path=xl/ctrlProps/ctrlProp256.xml><?xml version="1.0" encoding="utf-8"?>
<formControlPr xmlns="http://schemas.microsoft.com/office/spreadsheetml/2009/9/main" objectType="CheckBox" checked="Checked" fmlaLink="$AG$28" lockText="1" noThreeD="1"/>
</file>

<file path=xl/ctrlProps/ctrlProp257.xml><?xml version="1.0" encoding="utf-8"?>
<formControlPr xmlns="http://schemas.microsoft.com/office/spreadsheetml/2009/9/main" objectType="CheckBox" checked="Checked" fmlaLink="$AG$29" lockText="1" noThreeD="1"/>
</file>

<file path=xl/ctrlProps/ctrlProp258.xml><?xml version="1.0" encoding="utf-8"?>
<formControlPr xmlns="http://schemas.microsoft.com/office/spreadsheetml/2009/9/main" objectType="CheckBox" checked="Checked" fmlaLink="$AG$30" lockText="1" noThreeD="1"/>
</file>

<file path=xl/ctrlProps/ctrlProp259.xml><?xml version="1.0" encoding="utf-8"?>
<formControlPr xmlns="http://schemas.microsoft.com/office/spreadsheetml/2009/9/main" objectType="CheckBox" fmlaLink="$S$5" lockText="1" noThreeD="1"/>
</file>

<file path=xl/ctrlProps/ctrlProp260.xml><?xml version="1.0" encoding="utf-8"?>
<formControlPr xmlns="http://schemas.microsoft.com/office/spreadsheetml/2009/9/main" objectType="CheckBox" fmlaLink="$I$7" lockText="1" noThreeD="1"/>
</file>

<file path=xl/ctrlProps/ctrlProp261.xml><?xml version="1.0" encoding="utf-8"?>
<formControlPr xmlns="http://schemas.microsoft.com/office/spreadsheetml/2009/9/main" objectType="CheckBox" fmlaLink="$I$8" lockText="1" noThreeD="1"/>
</file>

<file path=xl/ctrlProps/ctrlProp262.xml><?xml version="1.0" encoding="utf-8"?>
<formControlPr xmlns="http://schemas.microsoft.com/office/spreadsheetml/2009/9/main" objectType="CheckBox" fmlaLink="$Q$7" lockText="1" noThreeD="1"/>
</file>

<file path=xl/ctrlProps/ctrlProp263.xml><?xml version="1.0" encoding="utf-8"?>
<formControlPr xmlns="http://schemas.microsoft.com/office/spreadsheetml/2009/9/main" objectType="CheckBox" fmlaLink="$Q$8" lockText="1" noThreeD="1"/>
</file>

<file path=xl/ctrlProps/ctrlProp264.xml><?xml version="1.0" encoding="utf-8"?>
<formControlPr xmlns="http://schemas.microsoft.com/office/spreadsheetml/2009/9/main" objectType="CheckBox" fmlaLink="$X$7" lockText="1" noThreeD="1"/>
</file>

<file path=xl/ctrlProps/ctrlProp265.xml><?xml version="1.0" encoding="utf-8"?>
<formControlPr xmlns="http://schemas.microsoft.com/office/spreadsheetml/2009/9/main" objectType="CheckBox" fmlaLink="$X$8" lockText="1" noThreeD="1"/>
</file>

<file path=xl/ctrlProps/ctrlProp266.xml><?xml version="1.0" encoding="utf-8"?>
<formControlPr xmlns="http://schemas.microsoft.com/office/spreadsheetml/2009/9/main" objectType="CheckBox" fmlaLink="$AG$7" lockText="1" noThreeD="1"/>
</file>

<file path=xl/ctrlProps/ctrlProp267.xml><?xml version="1.0" encoding="utf-8"?>
<formControlPr xmlns="http://schemas.microsoft.com/office/spreadsheetml/2009/9/main" objectType="CheckBox" fmlaLink="$AG$8" lockText="1" noThreeD="1"/>
</file>

<file path=xl/ctrlProps/ctrlProp268.xml><?xml version="1.0" encoding="utf-8"?>
<formControlPr xmlns="http://schemas.microsoft.com/office/spreadsheetml/2009/9/main" objectType="CheckBox" checked="Checked" fmlaLink="$I$11" lockText="1" noThreeD="1"/>
</file>

<file path=xl/ctrlProps/ctrlProp269.xml><?xml version="1.0" encoding="utf-8"?>
<formControlPr xmlns="http://schemas.microsoft.com/office/spreadsheetml/2009/9/main" objectType="CheckBox" fmlaLink="$L$12" lockText="1" noThreeD="1"/>
</file>

<file path=xl/ctrlProps/ctrlProp270.xml><?xml version="1.0" encoding="utf-8"?>
<formControlPr xmlns="http://schemas.microsoft.com/office/spreadsheetml/2009/9/main" objectType="CheckBox" checked="Checked" fmlaLink="$Q$12" lockText="1" noThreeD="1"/>
</file>

<file path=xl/ctrlProps/ctrlProp271.xml><?xml version="1.0" encoding="utf-8"?>
<formControlPr xmlns="http://schemas.microsoft.com/office/spreadsheetml/2009/9/main" objectType="CheckBox" checked="Checked" fmlaLink="$X$12" lockText="1" noThreeD="1"/>
</file>

<file path=xl/ctrlProps/ctrlProp272.xml><?xml version="1.0" encoding="utf-8"?>
<formControlPr xmlns="http://schemas.microsoft.com/office/spreadsheetml/2009/9/main" objectType="CheckBox" fmlaLink="$AD$12" lockText="1" noThreeD="1"/>
</file>

<file path=xl/ctrlProps/ctrlProp273.xml><?xml version="1.0" encoding="utf-8"?>
<formControlPr xmlns="http://schemas.microsoft.com/office/spreadsheetml/2009/9/main" objectType="CheckBox" fmlaLink="$I$13" lockText="1" noThreeD="1"/>
</file>

<file path=xl/ctrlProps/ctrlProp274.xml><?xml version="1.0" encoding="utf-8"?>
<formControlPr xmlns="http://schemas.microsoft.com/office/spreadsheetml/2009/9/main" objectType="CheckBox" checked="Checked" fmlaLink="$I$14" lockText="1" noThreeD="1"/>
</file>

<file path=xl/ctrlProps/ctrlProp275.xml><?xml version="1.0" encoding="utf-8"?>
<formControlPr xmlns="http://schemas.microsoft.com/office/spreadsheetml/2009/9/main" objectType="CheckBox" fmlaLink="$I$15" lockText="1" noThreeD="1"/>
</file>

<file path=xl/ctrlProps/ctrlProp276.xml><?xml version="1.0" encoding="utf-8"?>
<formControlPr xmlns="http://schemas.microsoft.com/office/spreadsheetml/2009/9/main" objectType="CheckBox" fmlaLink="$I$16" lockText="1" noThreeD="1"/>
</file>

<file path=xl/ctrlProps/ctrlProp277.xml><?xml version="1.0" encoding="utf-8"?>
<formControlPr xmlns="http://schemas.microsoft.com/office/spreadsheetml/2009/9/main" objectType="CheckBox" fmlaLink="$I$17" lockText="1" noThreeD="1"/>
</file>

<file path=xl/ctrlProps/ctrlProp278.xml><?xml version="1.0" encoding="utf-8"?>
<formControlPr xmlns="http://schemas.microsoft.com/office/spreadsheetml/2009/9/main" objectType="CheckBox" fmlaLink="$Y$18" lockText="1" noThreeD="1"/>
</file>

<file path=xl/ctrlProps/ctrlProp279.xml><?xml version="1.0" encoding="utf-8"?>
<formControlPr xmlns="http://schemas.microsoft.com/office/spreadsheetml/2009/9/main" objectType="CheckBox" fmlaLink="$I$20" lockText="1" noThreeD="1"/>
</file>

<file path=xl/ctrlProps/ctrlProp280.xml><?xml version="1.0" encoding="utf-8"?>
<formControlPr xmlns="http://schemas.microsoft.com/office/spreadsheetml/2009/9/main" objectType="CheckBox" fmlaLink="$I$21" lockText="1" noThreeD="1"/>
</file>

<file path=xl/ctrlProps/ctrlProp281.xml><?xml version="1.0" encoding="utf-8"?>
<formControlPr xmlns="http://schemas.microsoft.com/office/spreadsheetml/2009/9/main" objectType="CheckBox" fmlaLink="$Q$20" lockText="1" noThreeD="1"/>
</file>

<file path=xl/ctrlProps/ctrlProp282.xml><?xml version="1.0" encoding="utf-8"?>
<formControlPr xmlns="http://schemas.microsoft.com/office/spreadsheetml/2009/9/main" objectType="CheckBox" fmlaLink="$Q$21" lockText="1" noThreeD="1"/>
</file>

<file path=xl/ctrlProps/ctrlProp283.xml><?xml version="1.0" encoding="utf-8"?>
<formControlPr xmlns="http://schemas.microsoft.com/office/spreadsheetml/2009/9/main" objectType="CheckBox" fmlaLink="$X$20" lockText="1" noThreeD="1"/>
</file>

<file path=xl/ctrlProps/ctrlProp284.xml><?xml version="1.0" encoding="utf-8"?>
<formControlPr xmlns="http://schemas.microsoft.com/office/spreadsheetml/2009/9/main" objectType="CheckBox" fmlaLink="$X$21" lockText="1" noThreeD="1"/>
</file>

<file path=xl/ctrlProps/ctrlProp285.xml><?xml version="1.0" encoding="utf-8"?>
<formControlPr xmlns="http://schemas.microsoft.com/office/spreadsheetml/2009/9/main" objectType="CheckBox" fmlaLink="$AG$20" lockText="1" noThreeD="1"/>
</file>

<file path=xl/ctrlProps/ctrlProp286.xml><?xml version="1.0" encoding="utf-8"?>
<formControlPr xmlns="http://schemas.microsoft.com/office/spreadsheetml/2009/9/main" objectType="CheckBox" checked="Checked" fmlaLink="$O$27" lockText="1" noThreeD="1"/>
</file>

<file path=xl/ctrlProps/ctrlProp287.xml><?xml version="1.0" encoding="utf-8"?>
<formControlPr xmlns="http://schemas.microsoft.com/office/spreadsheetml/2009/9/main" objectType="CheckBox" fmlaLink="$I$30" lockText="1" noThreeD="1"/>
</file>

<file path=xl/ctrlProps/ctrlProp288.xml><?xml version="1.0" encoding="utf-8"?>
<formControlPr xmlns="http://schemas.microsoft.com/office/spreadsheetml/2009/9/main" objectType="CheckBox" checked="Checked" fmlaLink="$I$32" lockText="1" noThreeD="1"/>
</file>

<file path=xl/ctrlProps/ctrlProp289.xml><?xml version="1.0" encoding="utf-8"?>
<formControlPr xmlns="http://schemas.microsoft.com/office/spreadsheetml/2009/9/main" objectType="CheckBox" fmlaLink="$I$34" lockText="1" noThreeD="1"/>
</file>

<file path=xl/ctrlProps/ctrlProp290.xml><?xml version="1.0" encoding="utf-8"?>
<formControlPr xmlns="http://schemas.microsoft.com/office/spreadsheetml/2009/9/main" objectType="CheckBox" fmlaLink="$AH$30" lockText="1" noThreeD="1"/>
</file>

<file path=xl/ctrlProps/ctrlProp291.xml><?xml version="1.0" encoding="utf-8"?>
<formControlPr xmlns="http://schemas.microsoft.com/office/spreadsheetml/2009/9/main" objectType="CheckBox" checked="Checked" fmlaLink="$AH$32" lockText="1" noThreeD="1"/>
</file>

<file path=xl/ctrlProps/ctrlProp292.xml><?xml version="1.0" encoding="utf-8"?>
<formControlPr xmlns="http://schemas.microsoft.com/office/spreadsheetml/2009/9/main" objectType="CheckBox" fmlaLink="$AH$35" lockText="1" noThreeD="1"/>
</file>

<file path=xl/ctrlProps/ctrlProp293.xml><?xml version="1.0" encoding="utf-8"?>
<formControlPr xmlns="http://schemas.microsoft.com/office/spreadsheetml/2009/9/main" objectType="CheckBox" checked="Checked" lockText="1" noThreeD="1"/>
</file>

<file path=xl/ctrlProps/ctrlProp294.xml><?xml version="1.0" encoding="utf-8"?>
<formControlPr xmlns="http://schemas.microsoft.com/office/spreadsheetml/2009/9/main" objectType="CheckBox" lockText="1" noThreeD="1"/>
</file>

<file path=xl/ctrlProps/ctrlProp295.xml><?xml version="1.0" encoding="utf-8"?>
<formControlPr xmlns="http://schemas.microsoft.com/office/spreadsheetml/2009/9/main" objectType="CheckBox" lockText="1" noThreeD="1"/>
</file>

<file path=xl/ctrlProps/ctrlProp296.xml><?xml version="1.0" encoding="utf-8"?>
<formControlPr xmlns="http://schemas.microsoft.com/office/spreadsheetml/2009/9/main" objectType="CheckBox" lockText="1" noThreeD="1"/>
</file>

<file path=xl/ctrlProps/ctrlProp297.xml><?xml version="1.0" encoding="utf-8"?>
<formControlPr xmlns="http://schemas.microsoft.com/office/spreadsheetml/2009/9/main" objectType="CheckBox" lockText="1" noThreeD="1"/>
</file>

<file path=xl/ctrlProps/ctrlProp298.xml><?xml version="1.0" encoding="utf-8"?>
<formControlPr xmlns="http://schemas.microsoft.com/office/spreadsheetml/2009/9/main" objectType="CheckBox" checked="Checked" lockText="1" noThreeD="1"/>
</file>

<file path=xl/ctrlProps/ctrlProp299.xml><?xml version="1.0" encoding="utf-8"?>
<formControlPr xmlns="http://schemas.microsoft.com/office/spreadsheetml/2009/9/main" objectType="CheckBox" checked="Checked" fmlaLink="$AC$5" lockText="1" noThreeD="1"/>
</file>

<file path=xl/ctrlProps/ctrlProp300.xml><?xml version="1.0" encoding="utf-8"?>
<formControlPr xmlns="http://schemas.microsoft.com/office/spreadsheetml/2009/9/main" objectType="CheckBox" fmlaLink="$I$8" lockText="1" noThreeD="1"/>
</file>

<file path=xl/ctrlProps/ctrlProp301.xml><?xml version="1.0" encoding="utf-8"?>
<formControlPr xmlns="http://schemas.microsoft.com/office/spreadsheetml/2009/9/main" objectType="CheckBox" fmlaLink="$I$9" lockText="1" noThreeD="1"/>
</file>

<file path=xl/ctrlProps/ctrlProp302.xml><?xml version="1.0" encoding="utf-8"?>
<formControlPr xmlns="http://schemas.microsoft.com/office/spreadsheetml/2009/9/main" objectType="CheckBox" fmlaLink="$I$10" lockText="1" noThreeD="1"/>
</file>

<file path=xl/ctrlProps/ctrlProp303.xml><?xml version="1.0" encoding="utf-8"?>
<formControlPr xmlns="http://schemas.microsoft.com/office/spreadsheetml/2009/9/main" objectType="CheckBox" fmlaLink="$V$8" lockText="1" noThreeD="1"/>
</file>

<file path=xl/ctrlProps/ctrlProp304.xml><?xml version="1.0" encoding="utf-8"?>
<formControlPr xmlns="http://schemas.microsoft.com/office/spreadsheetml/2009/9/main" objectType="CheckBox" fmlaLink="$V$9" lockText="1" noThreeD="1"/>
</file>

<file path=xl/ctrlProps/ctrlProp305.xml><?xml version="1.0" encoding="utf-8"?>
<formControlPr xmlns="http://schemas.microsoft.com/office/spreadsheetml/2009/9/main" objectType="CheckBox" fmlaLink="$V$10" lockText="1" noThreeD="1"/>
</file>

<file path=xl/ctrlProps/ctrlProp306.xml><?xml version="1.0" encoding="utf-8"?>
<formControlPr xmlns="http://schemas.microsoft.com/office/spreadsheetml/2009/9/main" objectType="CheckBox" fmlaLink="$AH$8" lockText="1" noThreeD="1"/>
</file>

<file path=xl/ctrlProps/ctrlProp307.xml><?xml version="1.0" encoding="utf-8"?>
<formControlPr xmlns="http://schemas.microsoft.com/office/spreadsheetml/2009/9/main" objectType="CheckBox" fmlaLink="$AH$9" lockText="1" noThreeD="1"/>
</file>

<file path=xl/ctrlProps/ctrlProp308.xml><?xml version="1.0" encoding="utf-8"?>
<formControlPr xmlns="http://schemas.microsoft.com/office/spreadsheetml/2009/9/main" objectType="CheckBox" fmlaLink="$AH$10" lockText="1" noThreeD="1"/>
</file>

<file path=xl/ctrlProps/ctrlProp309.xml><?xml version="1.0" encoding="utf-8"?>
<formControlPr xmlns="http://schemas.microsoft.com/office/spreadsheetml/2009/9/main" objectType="CheckBox" checked="Checked" fmlaLink="$AH$11" lockText="1" noThreeD="1"/>
</file>

<file path=xl/ctrlProps/ctrlProp310.xml><?xml version="1.0" encoding="utf-8"?>
<formControlPr xmlns="http://schemas.microsoft.com/office/spreadsheetml/2009/9/main" objectType="CheckBox" checked="Checked" fmlaLink="$I$14" lockText="1" noThreeD="1"/>
</file>

<file path=xl/ctrlProps/ctrlProp311.xml><?xml version="1.0" encoding="utf-8"?>
<formControlPr xmlns="http://schemas.microsoft.com/office/spreadsheetml/2009/9/main" objectType="CheckBox" fmlaLink="$I$15" lockText="1" noThreeD="1"/>
</file>

<file path=xl/ctrlProps/ctrlProp312.xml><?xml version="1.0" encoding="utf-8"?>
<formControlPr xmlns="http://schemas.microsoft.com/office/spreadsheetml/2009/9/main" objectType="CheckBox" fmlaLink="$V$14" lockText="1" noThreeD="1"/>
</file>

<file path=xl/ctrlProps/ctrlProp313.xml><?xml version="1.0" encoding="utf-8"?>
<formControlPr xmlns="http://schemas.microsoft.com/office/spreadsheetml/2009/9/main" objectType="CheckBox" checked="Checked" fmlaLink="$V$15" lockText="1" noThreeD="1"/>
</file>

<file path=xl/ctrlProps/ctrlProp314.xml><?xml version="1.0" encoding="utf-8"?>
<formControlPr xmlns="http://schemas.microsoft.com/office/spreadsheetml/2009/9/main" objectType="CheckBox" fmlaLink="$AH$14" lockText="1" noThreeD="1"/>
</file>

<file path=xl/ctrlProps/ctrlProp315.xml><?xml version="1.0" encoding="utf-8"?>
<formControlPr xmlns="http://schemas.microsoft.com/office/spreadsheetml/2009/9/main" objectType="CheckBox" checked="Checked" fmlaLink="$I$22" lockText="1" noThreeD="1"/>
</file>

<file path=xl/ctrlProps/ctrlProp316.xml><?xml version="1.0" encoding="utf-8"?>
<formControlPr xmlns="http://schemas.microsoft.com/office/spreadsheetml/2009/9/main" objectType="CheckBox" fmlaLink="$I$23" lockText="1" noThreeD="1"/>
</file>

<file path=xl/ctrlProps/ctrlProp317.xml><?xml version="1.0" encoding="utf-8"?>
<formControlPr xmlns="http://schemas.microsoft.com/office/spreadsheetml/2009/9/main" objectType="CheckBox" fmlaLink="$U$22" lockText="1" noThreeD="1"/>
</file>

<file path=xl/ctrlProps/ctrlProp318.xml><?xml version="1.0" encoding="utf-8"?>
<formControlPr xmlns="http://schemas.microsoft.com/office/spreadsheetml/2009/9/main" objectType="CheckBox" fmlaLink="$U$23" lockText="1" noThreeD="1"/>
</file>

<file path=xl/ctrlProps/ctrlProp319.xml><?xml version="1.0" encoding="utf-8"?>
<formControlPr xmlns="http://schemas.microsoft.com/office/spreadsheetml/2009/9/main" objectType="CheckBox" checked="Checked" fmlaLink="$I$26" lockText="1" noThreeD="1"/>
</file>

<file path=xl/ctrlProps/ctrlProp320.xml><?xml version="1.0" encoding="utf-8"?>
<formControlPr xmlns="http://schemas.microsoft.com/office/spreadsheetml/2009/9/main" objectType="CheckBox" fmlaLink="$I$27" lockText="1" noThreeD="1"/>
</file>

<file path=xl/ctrlProps/ctrlProp321.xml><?xml version="1.0" encoding="utf-8"?>
<formControlPr xmlns="http://schemas.microsoft.com/office/spreadsheetml/2009/9/main" objectType="CheckBox" fmlaLink="$I$28" lockText="1" noThreeD="1"/>
</file>

<file path=xl/ctrlProps/ctrlProp322.xml><?xml version="1.0" encoding="utf-8"?>
<formControlPr xmlns="http://schemas.microsoft.com/office/spreadsheetml/2009/9/main" objectType="CheckBox" fmlaLink="$U$26" lockText="1" noThreeD="1"/>
</file>

<file path=xl/ctrlProps/ctrlProp323.xml><?xml version="1.0" encoding="utf-8"?>
<formControlPr xmlns="http://schemas.microsoft.com/office/spreadsheetml/2009/9/main" objectType="CheckBox" fmlaLink="$U$27" lockText="1" noThreeD="1"/>
</file>

<file path=xl/ctrlProps/ctrlProp324.xml><?xml version="1.0" encoding="utf-8"?>
<formControlPr xmlns="http://schemas.microsoft.com/office/spreadsheetml/2009/9/main" objectType="CheckBox" fmlaLink="$U$28" lockText="1" noThreeD="1"/>
</file>

<file path=xl/ctrlProps/ctrlProp325.xml><?xml version="1.0" encoding="utf-8"?>
<formControlPr xmlns="http://schemas.microsoft.com/office/spreadsheetml/2009/9/main" objectType="CheckBox" checked="Checked" fmlaLink="$X$34" lockText="1" noThreeD="1"/>
</file>

<file path=xl/ctrlProps/ctrlProp326.xml><?xml version="1.0" encoding="utf-8"?>
<formControlPr xmlns="http://schemas.microsoft.com/office/spreadsheetml/2009/9/main" objectType="CheckBox" checked="Checked" fmlaLink="$I$36" lockText="1" noThreeD="1"/>
</file>

<file path=xl/ctrlProps/ctrlProp327.xml><?xml version="1.0" encoding="utf-8"?>
<formControlPr xmlns="http://schemas.microsoft.com/office/spreadsheetml/2009/9/main" objectType="CheckBox" checked="Checked" fmlaLink="$I$37" lockText="1" noThreeD="1"/>
</file>

<file path=xl/ctrlProps/ctrlProp328.xml><?xml version="1.0" encoding="utf-8"?>
<formControlPr xmlns="http://schemas.microsoft.com/office/spreadsheetml/2009/9/main" objectType="CheckBox" fmlaLink="$U$36" lockText="1" noThreeD="1"/>
</file>

<file path=xl/ctrlProps/ctrlProp329.xml><?xml version="1.0" encoding="utf-8"?>
<formControlPr xmlns="http://schemas.microsoft.com/office/spreadsheetml/2009/9/main" objectType="CheckBox" fmlaLink="$U$37" lockText="1" noThreeD="1"/>
</file>

<file path=xl/ctrlProps/ctrlProp330.xml><?xml version="1.0" encoding="utf-8"?>
<formControlPr xmlns="http://schemas.microsoft.com/office/spreadsheetml/2009/9/main" objectType="CheckBox" lockText="1" noThreeD="1"/>
</file>

<file path=xl/ctrlProps/ctrlProp331.xml><?xml version="1.0" encoding="utf-8"?>
<formControlPr xmlns="http://schemas.microsoft.com/office/spreadsheetml/2009/9/main" objectType="CheckBox" fmlaLink="$AC$34" lockText="1" noThreeD="1"/>
</file>

<file path=xl/ctrlProps/ctrlProp332.xml><?xml version="1.0" encoding="utf-8"?>
<formControlPr xmlns="http://schemas.microsoft.com/office/spreadsheetml/2009/9/main" objectType="CheckBox" checked="Checked" fmlaLink="$AF$5" lockText="1" noThreeD="1"/>
</file>

<file path=xl/ctrlProps/ctrlProp333.xml><?xml version="1.0" encoding="utf-8"?>
<formControlPr xmlns="http://schemas.microsoft.com/office/spreadsheetml/2009/9/main" objectType="CheckBox" fmlaLink="$T$6" lockText="1" noThreeD="1"/>
</file>

<file path=xl/ctrlProps/ctrlProp334.xml><?xml version="1.0" encoding="utf-8"?>
<formControlPr xmlns="http://schemas.microsoft.com/office/spreadsheetml/2009/9/main" objectType="CheckBox" fmlaLink="$X$6" lockText="1" noThreeD="1"/>
</file>

<file path=xl/ctrlProps/ctrlProp335.xml><?xml version="1.0" encoding="utf-8"?>
<formControlPr xmlns="http://schemas.microsoft.com/office/spreadsheetml/2009/9/main" objectType="CheckBox" fmlaLink="$AB$6" lockText="1" noThreeD="1"/>
</file>

<file path=xl/ctrlProps/ctrlProp336.xml><?xml version="1.0" encoding="utf-8"?>
<formControlPr xmlns="http://schemas.microsoft.com/office/spreadsheetml/2009/9/main" objectType="CheckBox" checked="Checked" fmlaLink="$AF$6" lockText="1" noThreeD="1"/>
</file>

<file path=xl/ctrlProps/ctrlProp337.xml><?xml version="1.0" encoding="utf-8"?>
<formControlPr xmlns="http://schemas.microsoft.com/office/spreadsheetml/2009/9/main" objectType="CheckBox" checked="Checked" fmlaLink="$AF$9" lockText="1" noThreeD="1"/>
</file>

<file path=xl/ctrlProps/ctrlProp338.xml><?xml version="1.0" encoding="utf-8"?>
<formControlPr xmlns="http://schemas.microsoft.com/office/spreadsheetml/2009/9/main" objectType="CheckBox" lockText="1" noThreeD="1"/>
</file>

<file path=xl/ctrlProps/ctrlProp339.xml><?xml version="1.0" encoding="utf-8"?>
<formControlPr xmlns="http://schemas.microsoft.com/office/spreadsheetml/2009/9/main" objectType="CheckBox" lockText="1" noThreeD="1"/>
</file>

<file path=xl/ctrlProps/ctrlProp340.xml><?xml version="1.0" encoding="utf-8"?>
<formControlPr xmlns="http://schemas.microsoft.com/office/spreadsheetml/2009/9/main" objectType="CheckBox" fmlaLink="$P$5" lockText="1" noThreeD="1"/>
</file>

<file path=xl/ctrlProps/ctrlProp341.xml><?xml version="1.0" encoding="utf-8"?>
<formControlPr xmlns="http://schemas.microsoft.com/office/spreadsheetml/2009/9/main" objectType="CheckBox" fmlaLink="$S$5" lockText="1" noThreeD="1"/>
</file>

<file path=xl/ctrlProps/ctrlProp342.xml><?xml version="1.0" encoding="utf-8"?>
<formControlPr xmlns="http://schemas.microsoft.com/office/spreadsheetml/2009/9/main" objectType="CheckBox" fmlaLink="$V$5" lockText="1" noThreeD="1"/>
</file>

<file path=xl/ctrlProps/ctrlProp343.xml><?xml version="1.0" encoding="utf-8"?>
<formControlPr xmlns="http://schemas.microsoft.com/office/spreadsheetml/2009/9/main" objectType="CheckBox" checked="Checked" fmlaLink="$P$6" lockText="1" noThreeD="1"/>
</file>

<file path=xl/ctrlProps/ctrlProp344.xml><?xml version="1.0" encoding="utf-8"?>
<formControlPr xmlns="http://schemas.microsoft.com/office/spreadsheetml/2009/9/main" objectType="CheckBox" checked="Checked" fmlaLink="$S$6" lockText="1" noThreeD="1"/>
</file>

<file path=xl/ctrlProps/ctrlProp345.xml><?xml version="1.0" encoding="utf-8"?>
<formControlPr xmlns="http://schemas.microsoft.com/office/spreadsheetml/2009/9/main" objectType="CheckBox" fmlaLink="$V$6" lockText="1" noThreeD="1"/>
</file>

<file path=xl/ctrlProps/ctrlProp346.xml><?xml version="1.0" encoding="utf-8"?>
<formControlPr xmlns="http://schemas.microsoft.com/office/spreadsheetml/2009/9/main" objectType="CheckBox" fmlaLink="$P$7" lockText="1" noThreeD="1"/>
</file>

<file path=xl/ctrlProps/ctrlProp347.xml><?xml version="1.0" encoding="utf-8"?>
<formControlPr xmlns="http://schemas.microsoft.com/office/spreadsheetml/2009/9/main" objectType="CheckBox" fmlaLink="$S$7" lockText="1" noThreeD="1"/>
</file>

<file path=xl/ctrlProps/ctrlProp348.xml><?xml version="1.0" encoding="utf-8"?>
<formControlPr xmlns="http://schemas.microsoft.com/office/spreadsheetml/2009/9/main" objectType="CheckBox" fmlaLink="$V$7" lockText="1" noThreeD="1"/>
</file>

<file path=xl/ctrlProps/ctrlProp349.xml><?xml version="1.0" encoding="utf-8"?>
<formControlPr xmlns="http://schemas.microsoft.com/office/spreadsheetml/2009/9/main" objectType="CheckBox" fmlaLink="$P$8" lockText="1" noThreeD="1"/>
</file>

<file path=xl/ctrlProps/ctrlProp350.xml><?xml version="1.0" encoding="utf-8"?>
<formControlPr xmlns="http://schemas.microsoft.com/office/spreadsheetml/2009/9/main" objectType="CheckBox" fmlaLink="$S$8" lockText="1" noThreeD="1"/>
</file>

<file path=xl/ctrlProps/ctrlProp351.xml><?xml version="1.0" encoding="utf-8"?>
<formControlPr xmlns="http://schemas.microsoft.com/office/spreadsheetml/2009/9/main" objectType="CheckBox" fmlaLink="$V$8" lockText="1" noThreeD="1"/>
</file>

<file path=xl/ctrlProps/ctrlProp352.xml><?xml version="1.0" encoding="utf-8"?>
<formControlPr xmlns="http://schemas.microsoft.com/office/spreadsheetml/2009/9/main" objectType="CheckBox" fmlaLink="$P$9" lockText="1" noThreeD="1"/>
</file>

<file path=xl/ctrlProps/ctrlProp353.xml><?xml version="1.0" encoding="utf-8"?>
<formControlPr xmlns="http://schemas.microsoft.com/office/spreadsheetml/2009/9/main" objectType="CheckBox" fmlaLink="$S$9" lockText="1" noThreeD="1"/>
</file>

<file path=xl/ctrlProps/ctrlProp354.xml><?xml version="1.0" encoding="utf-8"?>
<formControlPr xmlns="http://schemas.microsoft.com/office/spreadsheetml/2009/9/main" objectType="CheckBox" fmlaLink="$V$9" lockText="1" noThreeD="1"/>
</file>

<file path=xl/ctrlProps/ctrlProp355.xml><?xml version="1.0" encoding="utf-8"?>
<formControlPr xmlns="http://schemas.microsoft.com/office/spreadsheetml/2009/9/main" objectType="CheckBox" fmlaLink="$P$10" lockText="1" noThreeD="1"/>
</file>

<file path=xl/ctrlProps/ctrlProp356.xml><?xml version="1.0" encoding="utf-8"?>
<formControlPr xmlns="http://schemas.microsoft.com/office/spreadsheetml/2009/9/main" objectType="CheckBox" fmlaLink="$S$10" lockText="1" noThreeD="1"/>
</file>

<file path=xl/ctrlProps/ctrlProp357.xml><?xml version="1.0" encoding="utf-8"?>
<formControlPr xmlns="http://schemas.microsoft.com/office/spreadsheetml/2009/9/main" objectType="CheckBox" fmlaLink="$V$10" lockText="1" noThreeD="1"/>
</file>

<file path=xl/ctrlProps/ctrlProp358.xml><?xml version="1.0" encoding="utf-8"?>
<formControlPr xmlns="http://schemas.microsoft.com/office/spreadsheetml/2009/9/main" objectType="CheckBox" fmlaLink="$P$11" lockText="1" noThreeD="1"/>
</file>

<file path=xl/ctrlProps/ctrlProp359.xml><?xml version="1.0" encoding="utf-8"?>
<formControlPr xmlns="http://schemas.microsoft.com/office/spreadsheetml/2009/9/main" objectType="CheckBox" fmlaLink="$S$11" lockText="1" noThreeD="1"/>
</file>

<file path=xl/ctrlProps/ctrlProp360.xml><?xml version="1.0" encoding="utf-8"?>
<formControlPr xmlns="http://schemas.microsoft.com/office/spreadsheetml/2009/9/main" objectType="CheckBox" fmlaLink="$V$11" lockText="1" noThreeD="1"/>
</file>

<file path=xl/ctrlProps/ctrlProp361.xml><?xml version="1.0" encoding="utf-8"?>
<formControlPr xmlns="http://schemas.microsoft.com/office/spreadsheetml/2009/9/main" objectType="CheckBox" fmlaLink="$P$12" lockText="1" noThreeD="1"/>
</file>

<file path=xl/ctrlProps/ctrlProp362.xml><?xml version="1.0" encoding="utf-8"?>
<formControlPr xmlns="http://schemas.microsoft.com/office/spreadsheetml/2009/9/main" objectType="CheckBox" fmlaLink="$S$12" lockText="1" noThreeD="1"/>
</file>

<file path=xl/ctrlProps/ctrlProp363.xml><?xml version="1.0" encoding="utf-8"?>
<formControlPr xmlns="http://schemas.microsoft.com/office/spreadsheetml/2009/9/main" objectType="CheckBox" fmlaLink="$V$12" lockText="1" noThreeD="1"/>
</file>

<file path=xl/ctrlProps/ctrlProp364.xml><?xml version="1.0" encoding="utf-8"?>
<formControlPr xmlns="http://schemas.microsoft.com/office/spreadsheetml/2009/9/main" objectType="CheckBox" fmlaLink="$P$13" lockText="1" noThreeD="1"/>
</file>

<file path=xl/ctrlProps/ctrlProp365.xml><?xml version="1.0" encoding="utf-8"?>
<formControlPr xmlns="http://schemas.microsoft.com/office/spreadsheetml/2009/9/main" objectType="CheckBox" fmlaLink="$S$13" lockText="1" noThreeD="1"/>
</file>

<file path=xl/ctrlProps/ctrlProp366.xml><?xml version="1.0" encoding="utf-8"?>
<formControlPr xmlns="http://schemas.microsoft.com/office/spreadsheetml/2009/9/main" objectType="CheckBox" fmlaLink="$V$13" lockText="1" noThreeD="1"/>
</file>

<file path=xl/ctrlProps/ctrlProp367.xml><?xml version="1.0" encoding="utf-8"?>
<formControlPr xmlns="http://schemas.microsoft.com/office/spreadsheetml/2009/9/main" objectType="CheckBox" fmlaLink="$P$14" lockText="1" noThreeD="1"/>
</file>

<file path=xl/ctrlProps/ctrlProp368.xml><?xml version="1.0" encoding="utf-8"?>
<formControlPr xmlns="http://schemas.microsoft.com/office/spreadsheetml/2009/9/main" objectType="CheckBox" fmlaLink="$S$14" lockText="1" noThreeD="1"/>
</file>

<file path=xl/ctrlProps/ctrlProp369.xml><?xml version="1.0" encoding="utf-8"?>
<formControlPr xmlns="http://schemas.microsoft.com/office/spreadsheetml/2009/9/main" objectType="CheckBox" fmlaLink="$V$14" lockText="1" noThreeD="1"/>
</file>

<file path=xl/ctrlProps/ctrlProp370.xml><?xml version="1.0" encoding="utf-8"?>
<formControlPr xmlns="http://schemas.microsoft.com/office/spreadsheetml/2009/9/main" objectType="CheckBox" checked="Checked" fmlaLink="$P$15" lockText="1" noThreeD="1"/>
</file>

<file path=xl/ctrlProps/ctrlProp371.xml><?xml version="1.0" encoding="utf-8"?>
<formControlPr xmlns="http://schemas.microsoft.com/office/spreadsheetml/2009/9/main" objectType="CheckBox" checked="Checked" fmlaLink="$S$15" lockText="1" noThreeD="1"/>
</file>

<file path=xl/ctrlProps/ctrlProp372.xml><?xml version="1.0" encoding="utf-8"?>
<formControlPr xmlns="http://schemas.microsoft.com/office/spreadsheetml/2009/9/main" objectType="CheckBox" fmlaLink="$V$15" lockText="1" noThreeD="1"/>
</file>

<file path=xl/ctrlProps/ctrlProp373.xml><?xml version="1.0" encoding="utf-8"?>
<formControlPr xmlns="http://schemas.microsoft.com/office/spreadsheetml/2009/9/main" objectType="CheckBox" fmlaLink="$P$16" lockText="1" noThreeD="1"/>
</file>

<file path=xl/ctrlProps/ctrlProp374.xml><?xml version="1.0" encoding="utf-8"?>
<formControlPr xmlns="http://schemas.microsoft.com/office/spreadsheetml/2009/9/main" objectType="CheckBox" fmlaLink="$S$16" lockText="1" noThreeD="1"/>
</file>

<file path=xl/ctrlProps/ctrlProp375.xml><?xml version="1.0" encoding="utf-8"?>
<formControlPr xmlns="http://schemas.microsoft.com/office/spreadsheetml/2009/9/main" objectType="CheckBox" fmlaLink="$V$16" lockText="1" noThreeD="1"/>
</file>

<file path=xl/ctrlProps/ctrlProp376.xml><?xml version="1.0" encoding="utf-8"?>
<formControlPr xmlns="http://schemas.microsoft.com/office/spreadsheetml/2009/9/main" objectType="CheckBox" fmlaLink="$P$17" lockText="1" noThreeD="1"/>
</file>

<file path=xl/ctrlProps/ctrlProp377.xml><?xml version="1.0" encoding="utf-8"?>
<formControlPr xmlns="http://schemas.microsoft.com/office/spreadsheetml/2009/9/main" objectType="CheckBox" fmlaLink="$S$17" lockText="1" noThreeD="1"/>
</file>

<file path=xl/ctrlProps/ctrlProp378.xml><?xml version="1.0" encoding="utf-8"?>
<formControlPr xmlns="http://schemas.microsoft.com/office/spreadsheetml/2009/9/main" objectType="CheckBox" fmlaLink="$V$17" lockText="1" noThreeD="1"/>
</file>

<file path=xl/ctrlProps/ctrlProp379.xml><?xml version="1.0" encoding="utf-8"?>
<formControlPr xmlns="http://schemas.microsoft.com/office/spreadsheetml/2009/9/main" objectType="CheckBox" fmlaLink="$P$18" lockText="1" noThreeD="1"/>
</file>

<file path=xl/ctrlProps/ctrlProp380.xml><?xml version="1.0" encoding="utf-8"?>
<formControlPr xmlns="http://schemas.microsoft.com/office/spreadsheetml/2009/9/main" objectType="CheckBox" fmlaLink="$S$18" lockText="1" noThreeD="1"/>
</file>

<file path=xl/ctrlProps/ctrlProp381.xml><?xml version="1.0" encoding="utf-8"?>
<formControlPr xmlns="http://schemas.microsoft.com/office/spreadsheetml/2009/9/main" objectType="CheckBox" fmlaLink="$V$18" lockText="1" noThreeD="1"/>
</file>

<file path=xl/ctrlProps/ctrlProp382.xml><?xml version="1.0" encoding="utf-8"?>
<formControlPr xmlns="http://schemas.microsoft.com/office/spreadsheetml/2009/9/main" objectType="CheckBox" fmlaLink="$P$19" lockText="1" noThreeD="1"/>
</file>

<file path=xl/ctrlProps/ctrlProp383.xml><?xml version="1.0" encoding="utf-8"?>
<formControlPr xmlns="http://schemas.microsoft.com/office/spreadsheetml/2009/9/main" objectType="CheckBox" fmlaLink="$S$19" lockText="1" noThreeD="1"/>
</file>

<file path=xl/ctrlProps/ctrlProp384.xml><?xml version="1.0" encoding="utf-8"?>
<formControlPr xmlns="http://schemas.microsoft.com/office/spreadsheetml/2009/9/main" objectType="CheckBox" fmlaLink="$V$19" lockText="1" noThreeD="1"/>
</file>

<file path=xl/ctrlProps/ctrlProp385.xml><?xml version="1.0" encoding="utf-8"?>
<formControlPr xmlns="http://schemas.microsoft.com/office/spreadsheetml/2009/9/main" objectType="CheckBox" fmlaLink="$AI$5" lockText="1" noThreeD="1"/>
</file>

<file path=xl/ctrlProps/ctrlProp386.xml><?xml version="1.0" encoding="utf-8"?>
<formControlPr xmlns="http://schemas.microsoft.com/office/spreadsheetml/2009/9/main" objectType="CheckBox" fmlaLink="$AL$5" lockText="1" noThreeD="1"/>
</file>

<file path=xl/ctrlProps/ctrlProp387.xml><?xml version="1.0" encoding="utf-8"?>
<formControlPr xmlns="http://schemas.microsoft.com/office/spreadsheetml/2009/9/main" objectType="CheckBox" fmlaLink="$AO$5" lockText="1" noThreeD="1"/>
</file>

<file path=xl/ctrlProps/ctrlProp388.xml><?xml version="1.0" encoding="utf-8"?>
<formControlPr xmlns="http://schemas.microsoft.com/office/spreadsheetml/2009/9/main" objectType="CheckBox" fmlaLink="$AI$6" lockText="1" noThreeD="1"/>
</file>

<file path=xl/ctrlProps/ctrlProp389.xml><?xml version="1.0" encoding="utf-8"?>
<formControlPr xmlns="http://schemas.microsoft.com/office/spreadsheetml/2009/9/main" objectType="CheckBox" fmlaLink="$AL$6" lockText="1" noThreeD="1"/>
</file>

<file path=xl/ctrlProps/ctrlProp390.xml><?xml version="1.0" encoding="utf-8"?>
<formControlPr xmlns="http://schemas.microsoft.com/office/spreadsheetml/2009/9/main" objectType="CheckBox" fmlaLink="$AO$6" lockText="1" noThreeD="1"/>
</file>

<file path=xl/ctrlProps/ctrlProp391.xml><?xml version="1.0" encoding="utf-8"?>
<formControlPr xmlns="http://schemas.microsoft.com/office/spreadsheetml/2009/9/main" objectType="CheckBox" fmlaLink="$AI$7" lockText="1" noThreeD="1"/>
</file>

<file path=xl/ctrlProps/ctrlProp392.xml><?xml version="1.0" encoding="utf-8"?>
<formControlPr xmlns="http://schemas.microsoft.com/office/spreadsheetml/2009/9/main" objectType="CheckBox" fmlaLink="$AL$7" lockText="1" noThreeD="1"/>
</file>

<file path=xl/ctrlProps/ctrlProp393.xml><?xml version="1.0" encoding="utf-8"?>
<formControlPr xmlns="http://schemas.microsoft.com/office/spreadsheetml/2009/9/main" objectType="CheckBox" fmlaLink="$AO$7" lockText="1" noThreeD="1"/>
</file>

<file path=xl/ctrlProps/ctrlProp394.xml><?xml version="1.0" encoding="utf-8"?>
<formControlPr xmlns="http://schemas.microsoft.com/office/spreadsheetml/2009/9/main" objectType="CheckBox" checked="Checked" fmlaLink="$AI$8" lockText="1" noThreeD="1"/>
</file>

<file path=xl/ctrlProps/ctrlProp395.xml><?xml version="1.0" encoding="utf-8"?>
<formControlPr xmlns="http://schemas.microsoft.com/office/spreadsheetml/2009/9/main" objectType="CheckBox" checked="Checked" fmlaLink="$AL$8" lockText="1" noThreeD="1"/>
</file>

<file path=xl/ctrlProps/ctrlProp396.xml><?xml version="1.0" encoding="utf-8"?>
<formControlPr xmlns="http://schemas.microsoft.com/office/spreadsheetml/2009/9/main" objectType="CheckBox" fmlaLink="$AO$8" lockText="1" noThreeD="1"/>
</file>

<file path=xl/ctrlProps/ctrlProp397.xml><?xml version="1.0" encoding="utf-8"?>
<formControlPr xmlns="http://schemas.microsoft.com/office/spreadsheetml/2009/9/main" objectType="CheckBox" fmlaLink="$AI$9" lockText="1" noThreeD="1"/>
</file>

<file path=xl/ctrlProps/ctrlProp398.xml><?xml version="1.0" encoding="utf-8"?>
<formControlPr xmlns="http://schemas.microsoft.com/office/spreadsheetml/2009/9/main" objectType="CheckBox" fmlaLink="$AL$9" lockText="1" noThreeD="1"/>
</file>

<file path=xl/ctrlProps/ctrlProp399.xml><?xml version="1.0" encoding="utf-8"?>
<formControlPr xmlns="http://schemas.microsoft.com/office/spreadsheetml/2009/9/main" objectType="CheckBox" fmlaLink="$AO$9" lockText="1" noThreeD="1"/>
</file>

<file path=xl/ctrlProps/ctrlProp400.xml><?xml version="1.0" encoding="utf-8"?>
<formControlPr xmlns="http://schemas.microsoft.com/office/spreadsheetml/2009/9/main" objectType="CheckBox" fmlaLink="$AI$10" lockText="1" noThreeD="1"/>
</file>

<file path=xl/ctrlProps/ctrlProp401.xml><?xml version="1.0" encoding="utf-8"?>
<formControlPr xmlns="http://schemas.microsoft.com/office/spreadsheetml/2009/9/main" objectType="CheckBox" fmlaLink="$AL$10" lockText="1" noThreeD="1"/>
</file>

<file path=xl/ctrlProps/ctrlProp402.xml><?xml version="1.0" encoding="utf-8"?>
<formControlPr xmlns="http://schemas.microsoft.com/office/spreadsheetml/2009/9/main" objectType="CheckBox" fmlaLink="$AO$10" lockText="1" noThreeD="1"/>
</file>

<file path=xl/ctrlProps/ctrlProp403.xml><?xml version="1.0" encoding="utf-8"?>
<formControlPr xmlns="http://schemas.microsoft.com/office/spreadsheetml/2009/9/main" objectType="CheckBox" fmlaLink="$AI$11" lockText="1" noThreeD="1"/>
</file>

<file path=xl/ctrlProps/ctrlProp404.xml><?xml version="1.0" encoding="utf-8"?>
<formControlPr xmlns="http://schemas.microsoft.com/office/spreadsheetml/2009/9/main" objectType="CheckBox" fmlaLink="$AL$11" lockText="1" noThreeD="1"/>
</file>

<file path=xl/ctrlProps/ctrlProp405.xml><?xml version="1.0" encoding="utf-8"?>
<formControlPr xmlns="http://schemas.microsoft.com/office/spreadsheetml/2009/9/main" objectType="CheckBox" fmlaLink="$AO$11" lockText="1" noThreeD="1"/>
</file>

<file path=xl/ctrlProps/ctrlProp406.xml><?xml version="1.0" encoding="utf-8"?>
<formControlPr xmlns="http://schemas.microsoft.com/office/spreadsheetml/2009/9/main" objectType="CheckBox" fmlaLink="$AI$12" lockText="1" noThreeD="1"/>
</file>

<file path=xl/ctrlProps/ctrlProp407.xml><?xml version="1.0" encoding="utf-8"?>
<formControlPr xmlns="http://schemas.microsoft.com/office/spreadsheetml/2009/9/main" objectType="CheckBox" fmlaLink="$AL$12" lockText="1" noThreeD="1"/>
</file>

<file path=xl/ctrlProps/ctrlProp408.xml><?xml version="1.0" encoding="utf-8"?>
<formControlPr xmlns="http://schemas.microsoft.com/office/spreadsheetml/2009/9/main" objectType="CheckBox" fmlaLink="$AO$12" lockText="1" noThreeD="1"/>
</file>

<file path=xl/ctrlProps/ctrlProp409.xml><?xml version="1.0" encoding="utf-8"?>
<formControlPr xmlns="http://schemas.microsoft.com/office/spreadsheetml/2009/9/main" objectType="CheckBox" fmlaLink="$AI$13" lockText="1" noThreeD="1"/>
</file>

<file path=xl/ctrlProps/ctrlProp410.xml><?xml version="1.0" encoding="utf-8"?>
<formControlPr xmlns="http://schemas.microsoft.com/office/spreadsheetml/2009/9/main" objectType="CheckBox" fmlaLink="$AL$13" lockText="1" noThreeD="1"/>
</file>

<file path=xl/ctrlProps/ctrlProp411.xml><?xml version="1.0" encoding="utf-8"?>
<formControlPr xmlns="http://schemas.microsoft.com/office/spreadsheetml/2009/9/main" objectType="CheckBox" fmlaLink="$AO$13" lockText="1" noThreeD="1"/>
</file>

<file path=xl/ctrlProps/ctrlProp412.xml><?xml version="1.0" encoding="utf-8"?>
<formControlPr xmlns="http://schemas.microsoft.com/office/spreadsheetml/2009/9/main" objectType="CheckBox" fmlaLink="$AI$14" lockText="1" noThreeD="1"/>
</file>

<file path=xl/ctrlProps/ctrlProp413.xml><?xml version="1.0" encoding="utf-8"?>
<formControlPr xmlns="http://schemas.microsoft.com/office/spreadsheetml/2009/9/main" objectType="CheckBox" fmlaLink="$AL$14" lockText="1" noThreeD="1"/>
</file>

<file path=xl/ctrlProps/ctrlProp414.xml><?xml version="1.0" encoding="utf-8"?>
<formControlPr xmlns="http://schemas.microsoft.com/office/spreadsheetml/2009/9/main" objectType="CheckBox" fmlaLink="$AO$14" lockText="1" noThreeD="1"/>
</file>

<file path=xl/ctrlProps/ctrlProp415.xml><?xml version="1.0" encoding="utf-8"?>
<formControlPr xmlns="http://schemas.microsoft.com/office/spreadsheetml/2009/9/main" objectType="CheckBox" fmlaLink="$AI$15" lockText="1" noThreeD="1"/>
</file>

<file path=xl/ctrlProps/ctrlProp416.xml><?xml version="1.0" encoding="utf-8"?>
<formControlPr xmlns="http://schemas.microsoft.com/office/spreadsheetml/2009/9/main" objectType="CheckBox" fmlaLink="$AL$15" lockText="1" noThreeD="1"/>
</file>

<file path=xl/ctrlProps/ctrlProp417.xml><?xml version="1.0" encoding="utf-8"?>
<formControlPr xmlns="http://schemas.microsoft.com/office/spreadsheetml/2009/9/main" objectType="CheckBox" fmlaLink="$AO$15" lockText="1" noThreeD="1"/>
</file>

<file path=xl/ctrlProps/ctrlProp418.xml><?xml version="1.0" encoding="utf-8"?>
<formControlPr xmlns="http://schemas.microsoft.com/office/spreadsheetml/2009/9/main" objectType="CheckBox" fmlaLink="$AI$16" lockText="1" noThreeD="1"/>
</file>

<file path=xl/ctrlProps/ctrlProp419.xml><?xml version="1.0" encoding="utf-8"?>
<formControlPr xmlns="http://schemas.microsoft.com/office/spreadsheetml/2009/9/main" objectType="CheckBox" fmlaLink="$AL$16" lockText="1" noThreeD="1"/>
</file>

<file path=xl/ctrlProps/ctrlProp420.xml><?xml version="1.0" encoding="utf-8"?>
<formControlPr xmlns="http://schemas.microsoft.com/office/spreadsheetml/2009/9/main" objectType="CheckBox" fmlaLink="$AO$16" lockText="1" noThreeD="1"/>
</file>

<file path=xl/ctrlProps/ctrlProp421.xml><?xml version="1.0" encoding="utf-8"?>
<formControlPr xmlns="http://schemas.microsoft.com/office/spreadsheetml/2009/9/main" objectType="CheckBox" fmlaLink="$AI$17" lockText="1" noThreeD="1"/>
</file>

<file path=xl/ctrlProps/ctrlProp422.xml><?xml version="1.0" encoding="utf-8"?>
<formControlPr xmlns="http://schemas.microsoft.com/office/spreadsheetml/2009/9/main" objectType="CheckBox" fmlaLink="$AL$17" lockText="1" noThreeD="1"/>
</file>

<file path=xl/ctrlProps/ctrlProp423.xml><?xml version="1.0" encoding="utf-8"?>
<formControlPr xmlns="http://schemas.microsoft.com/office/spreadsheetml/2009/9/main" objectType="CheckBox" fmlaLink="$AO$17" lockText="1" noThreeD="1"/>
</file>

<file path=xl/ctrlProps/ctrlProp424.xml><?xml version="1.0" encoding="utf-8"?>
<formControlPr xmlns="http://schemas.microsoft.com/office/spreadsheetml/2009/9/main" objectType="CheckBox" fmlaLink="$AI$18" lockText="1" noThreeD="1"/>
</file>

<file path=xl/ctrlProps/ctrlProp425.xml><?xml version="1.0" encoding="utf-8"?>
<formControlPr xmlns="http://schemas.microsoft.com/office/spreadsheetml/2009/9/main" objectType="CheckBox" fmlaLink="$AL$18" lockText="1" noThreeD="1"/>
</file>

<file path=xl/ctrlProps/ctrlProp426.xml><?xml version="1.0" encoding="utf-8"?>
<formControlPr xmlns="http://schemas.microsoft.com/office/spreadsheetml/2009/9/main" objectType="CheckBox" fmlaLink="$AO$18" lockText="1" noThreeD="1"/>
</file>

<file path=xl/ctrlProps/ctrlProp427.xml><?xml version="1.0" encoding="utf-8"?>
<formControlPr xmlns="http://schemas.microsoft.com/office/spreadsheetml/2009/9/main" objectType="CheckBox" fmlaLink="$D$10" lockText="1" noThreeD="1"/>
</file>

<file path=xl/ctrlProps/ctrlProp428.xml><?xml version="1.0" encoding="utf-8"?>
<formControlPr xmlns="http://schemas.microsoft.com/office/spreadsheetml/2009/9/main" objectType="CheckBox" checked="Checked" fmlaLink="$D$11" lockText="1" noThreeD="1"/>
</file>

<file path=xl/ctrlProps/ctrlProp429.xml><?xml version="1.0" encoding="utf-8"?>
<formControlPr xmlns="http://schemas.microsoft.com/office/spreadsheetml/2009/9/main" objectType="CheckBox" fmlaLink="$D$12" lockText="1" noThreeD="1"/>
</file>

<file path=xl/ctrlProps/ctrlProp430.xml><?xml version="1.0" encoding="utf-8"?>
<formControlPr xmlns="http://schemas.microsoft.com/office/spreadsheetml/2009/9/main" objectType="CheckBox" fmlaLink="$D$13" lockText="1" noThreeD="1"/>
</file>

<file path=xl/ctrlProps/ctrlProp431.xml><?xml version="1.0" encoding="utf-8"?>
<formControlPr xmlns="http://schemas.microsoft.com/office/spreadsheetml/2009/9/main" objectType="CheckBox" fmlaLink="$D$14" lockText="1" noThreeD="1"/>
</file>

<file path=xl/ctrlProps/ctrlProp432.xml><?xml version="1.0" encoding="utf-8"?>
<formControlPr xmlns="http://schemas.microsoft.com/office/spreadsheetml/2009/9/main" objectType="CheckBox" fmlaLink="$D$15" lockText="1" noThreeD="1"/>
</file>

<file path=xl/ctrlProps/ctrlProp433.xml><?xml version="1.0" encoding="utf-8"?>
<formControlPr xmlns="http://schemas.microsoft.com/office/spreadsheetml/2009/9/main" objectType="CheckBox" fmlaLink="$D$16" lockText="1" noThreeD="1"/>
</file>

<file path=xl/ctrlProps/ctrlProp434.xml><?xml version="1.0" encoding="utf-8"?>
<formControlPr xmlns="http://schemas.microsoft.com/office/spreadsheetml/2009/9/main" objectType="CheckBox" fmlaLink="$D$17" lockText="1" noThreeD="1"/>
</file>

<file path=xl/ctrlProps/ctrlProp435.xml><?xml version="1.0" encoding="utf-8"?>
<formControlPr xmlns="http://schemas.microsoft.com/office/spreadsheetml/2009/9/main" objectType="CheckBox" checked="Checked" fmlaLink="$D$18" lockText="1" noThreeD="1"/>
</file>

<file path=xl/ctrlProps/ctrlProp436.xml><?xml version="1.0" encoding="utf-8"?>
<formControlPr xmlns="http://schemas.microsoft.com/office/spreadsheetml/2009/9/main" objectType="CheckBox" checked="Checked" fmlaLink="$D$19" lockText="1" noThreeD="1"/>
</file>

<file path=xl/ctrlProps/ctrlProp437.xml><?xml version="1.0" encoding="utf-8"?>
<formControlPr xmlns="http://schemas.microsoft.com/office/spreadsheetml/2009/9/main" objectType="CheckBox" fmlaLink="$D$20" lockText="1" noThreeD="1"/>
</file>

<file path=xl/ctrlProps/ctrlProp438.xml><?xml version="1.0" encoding="utf-8"?>
<formControlPr xmlns="http://schemas.microsoft.com/office/spreadsheetml/2009/9/main" objectType="CheckBox" checked="Checked" fmlaLink="$D$22" lockText="1" noThreeD="1"/>
</file>

<file path=xl/ctrlProps/ctrlProp439.xml><?xml version="1.0" encoding="utf-8"?>
<formControlPr xmlns="http://schemas.microsoft.com/office/spreadsheetml/2009/9/main" objectType="CheckBox" checked="Checked" fmlaLink="$D$23" lockText="1" noThreeD="1"/>
</file>

<file path=xl/ctrlProps/ctrlProp440.xml><?xml version="1.0" encoding="utf-8"?>
<formControlPr xmlns="http://schemas.microsoft.com/office/spreadsheetml/2009/9/main" objectType="CheckBox" fmlaLink="$D$24" lockText="1" noThreeD="1"/>
</file>

<file path=xl/ctrlProps/ctrlProp441.xml><?xml version="1.0" encoding="utf-8"?>
<formControlPr xmlns="http://schemas.microsoft.com/office/spreadsheetml/2009/9/main" objectType="CheckBox" fmlaLink="$D$25" lockText="1" noThreeD="1"/>
</file>

<file path=xl/ctrlProps/ctrlProp442.xml><?xml version="1.0" encoding="utf-8"?>
<formControlPr xmlns="http://schemas.microsoft.com/office/spreadsheetml/2009/9/main" objectType="CheckBox" fmlaLink="$D$26" lockText="1" noThreeD="1"/>
</file>

<file path=xl/ctrlProps/ctrlProp443.xml><?xml version="1.0" encoding="utf-8"?>
<formControlPr xmlns="http://schemas.microsoft.com/office/spreadsheetml/2009/9/main" objectType="CheckBox" checked="Checked" fmlaLink="$D$4" lockText="1" noThreeD="1"/>
</file>

<file path=xl/ctrlProps/ctrlProp444.xml><?xml version="1.0" encoding="utf-8"?>
<formControlPr xmlns="http://schemas.microsoft.com/office/spreadsheetml/2009/9/main" objectType="CheckBox" fmlaLink="$D$7" lockText="1" noThreeD="1"/>
</file>

<file path=xl/ctrlProps/ctrlProp445.xml><?xml version="1.0" encoding="utf-8"?>
<formControlPr xmlns="http://schemas.microsoft.com/office/spreadsheetml/2009/9/main" objectType="CheckBox" fmlaLink="$D$8" lockText="1" noThreeD="1"/>
</file>

<file path=xl/ctrlProps/ctrlProp446.xml><?xml version="1.0" encoding="utf-8"?>
<formControlPr xmlns="http://schemas.microsoft.com/office/spreadsheetml/2009/9/main" objectType="CheckBox" checked="Checked" fmlaLink="$D$9" lockText="1" noThreeD="1"/>
</file>

<file path=xl/ctrlProps/ctrlProp447.xml><?xml version="1.0" encoding="utf-8"?>
<formControlPr xmlns="http://schemas.microsoft.com/office/spreadsheetml/2009/9/main" objectType="CheckBox" checked="Checked" fmlaLink="$D$10" lockText="1" noThreeD="1"/>
</file>

<file path=xl/ctrlProps/ctrlProp448.xml><?xml version="1.0" encoding="utf-8"?>
<formControlPr xmlns="http://schemas.microsoft.com/office/spreadsheetml/2009/9/main" objectType="CheckBox" checked="Checked" fmlaLink="$D$22" lockText="1" noThreeD="1"/>
</file>

<file path=xl/ctrlProps/ctrlProp449.xml><?xml version="1.0" encoding="utf-8"?>
<formControlPr xmlns="http://schemas.microsoft.com/office/spreadsheetml/2009/9/main" objectType="CheckBox" checked="Checked" fmlaLink="$D$23" lockText="1" noThreeD="1"/>
</file>

<file path=xl/ctrlProps/ctrlProp450.xml><?xml version="1.0" encoding="utf-8"?>
<formControlPr xmlns="http://schemas.microsoft.com/office/spreadsheetml/2009/9/main" objectType="CheckBox" fmlaLink="$D$44" lockText="1" noThreeD="1"/>
</file>

<file path=xl/ctrlProps/ctrlProp451.xml><?xml version="1.0" encoding="utf-8"?>
<formControlPr xmlns="http://schemas.microsoft.com/office/spreadsheetml/2009/9/main" objectType="CheckBox" checked="Checked" fmlaLink="$G$6" lockText="1" noThreeD="1"/>
</file>

<file path=xl/ctrlProps/ctrlProp452.xml><?xml version="1.0" encoding="utf-8"?>
<formControlPr xmlns="http://schemas.microsoft.com/office/spreadsheetml/2009/9/main" objectType="CheckBox" checked="Checked" fmlaLink="$N$6" lockText="1" noThreeD="1"/>
</file>

<file path=xl/ctrlProps/ctrlProp453.xml><?xml version="1.0" encoding="utf-8"?>
<formControlPr xmlns="http://schemas.microsoft.com/office/spreadsheetml/2009/9/main" objectType="CheckBox" checked="Checked" fmlaLink="$S$6" lockText="1" noThreeD="1"/>
</file>

<file path=xl/ctrlProps/ctrlProp454.xml><?xml version="1.0" encoding="utf-8"?>
<formControlPr xmlns="http://schemas.microsoft.com/office/spreadsheetml/2009/9/main" objectType="CheckBox" checked="Checked" fmlaLink="$W$6" lockText="1" noThreeD="1"/>
</file>

<file path=xl/ctrlProps/ctrlProp455.xml><?xml version="1.0" encoding="utf-8"?>
<formControlPr xmlns="http://schemas.microsoft.com/office/spreadsheetml/2009/9/main" objectType="CheckBox" fmlaLink="$D$4" lockText="1" noThreeD="1"/>
</file>

<file path=xl/ctrlProps/ctrlProp456.xml><?xml version="1.0" encoding="utf-8"?>
<formControlPr xmlns="http://schemas.microsoft.com/office/spreadsheetml/2009/9/main" objectType="CheckBox" fmlaLink="$D$6" lockText="1" noThreeD="1"/>
</file>

<file path=xl/ctrlProps/ctrlProp457.xml><?xml version="1.0" encoding="utf-8"?>
<formControlPr xmlns="http://schemas.microsoft.com/office/spreadsheetml/2009/9/main" objectType="CheckBox" fmlaLink="$G$22" lockText="1" noThreeD="1"/>
</file>

<file path=xl/ctrlProps/ctrlProp458.xml><?xml version="1.0" encoding="utf-8"?>
<formControlPr xmlns="http://schemas.microsoft.com/office/spreadsheetml/2009/9/main" objectType="CheckBox" fmlaLink="$G$23" lockText="1" noThreeD="1"/>
</file>

<file path=xl/ctrlProps/ctrlProp459.xml><?xml version="1.0" encoding="utf-8"?>
<formControlPr xmlns="http://schemas.microsoft.com/office/spreadsheetml/2009/9/main" objectType="CheckBox" fmlaLink="$G$24" lockText="1" noThreeD="1"/>
</file>

<file path=xl/ctrlProps/ctrlProp460.xml><?xml version="1.0" encoding="utf-8"?>
<formControlPr xmlns="http://schemas.microsoft.com/office/spreadsheetml/2009/9/main" objectType="CheckBox" fmlaLink="$S$22" lockText="1" noThreeD="1"/>
</file>

<file path=xl/ctrlProps/ctrlProp461.xml><?xml version="1.0" encoding="utf-8"?>
<formControlPr xmlns="http://schemas.microsoft.com/office/spreadsheetml/2009/9/main" objectType="CheckBox" fmlaLink="$S$23" lockText="1" noThreeD="1"/>
</file>

<file path=xl/ctrlProps/ctrlProp462.xml><?xml version="1.0" encoding="utf-8"?>
<formControlPr xmlns="http://schemas.microsoft.com/office/spreadsheetml/2009/9/main" objectType="CheckBox" fmlaLink="$G$26" lockText="1" noThreeD="1"/>
</file>

<file path=xl/ctrlProps/ctrlProp463.xml><?xml version="1.0" encoding="utf-8"?>
<formControlPr xmlns="http://schemas.microsoft.com/office/spreadsheetml/2009/9/main" objectType="CheckBox" fmlaLink="$G$27" lockText="1" noThreeD="1"/>
</file>

<file path=xl/ctrlProps/ctrlProp464.xml><?xml version="1.0" encoding="utf-8"?>
<formControlPr xmlns="http://schemas.microsoft.com/office/spreadsheetml/2009/9/main" objectType="CheckBox" fmlaLink="$G$28" lockText="1" noThreeD="1"/>
</file>

<file path=xl/ctrlProps/ctrlProp465.xml><?xml version="1.0" encoding="utf-8"?>
<formControlPr xmlns="http://schemas.microsoft.com/office/spreadsheetml/2009/9/main" objectType="CheckBox" fmlaLink="$S$26" lockText="1" noThreeD="1"/>
</file>

<file path=xl/ctrlProps/ctrlProp466.xml><?xml version="1.0" encoding="utf-8"?>
<formControlPr xmlns="http://schemas.microsoft.com/office/spreadsheetml/2009/9/main" objectType="CheckBox" fmlaLink="$S$27" lockText="1" noThreeD="1"/>
</file>

<file path=xl/ctrlProps/ctrlProp467.xml><?xml version="1.0" encoding="utf-8"?>
<formControlPr xmlns="http://schemas.microsoft.com/office/spreadsheetml/2009/9/main" objectType="CheckBox" fmlaLink="$D$29" lockText="1" noThreeD="1"/>
</file>

<file path=xl/ctrlProps/ctrlProp468.xml><?xml version="1.0" encoding="utf-8"?>
<formControlPr xmlns="http://schemas.microsoft.com/office/spreadsheetml/2009/9/main" objectType="CheckBox" checked="Checked" fmlaLink="$D$30" lockText="1" noThreeD="1"/>
</file>

<file path=xl/ctrlProps/ctrlProp469.xml><?xml version="1.0" encoding="utf-8"?>
<formControlPr xmlns="http://schemas.microsoft.com/office/spreadsheetml/2009/9/main" objectType="CheckBox" checked="Checked" fmlaLink="$D$31" lockText="1" noThreeD="1"/>
</file>

<file path=xl/ctrlProps/ctrlProp470.xml><?xml version="1.0" encoding="utf-8"?>
<formControlPr xmlns="http://schemas.microsoft.com/office/spreadsheetml/2009/9/main" objectType="CheckBox" fmlaLink="$M$36" lockText="1" noThreeD="1"/>
</file>

<file path=xl/ctrlProps/ctrlProp471.xml><?xml version="1.0" encoding="utf-8"?>
<formControlPr xmlns="http://schemas.microsoft.com/office/spreadsheetml/2009/9/main" objectType="CheckBox" fmlaLink="$P$36" lockText="1" noThreeD="1"/>
</file>

<file path=xl/ctrlProps/ctrlProp472.xml><?xml version="1.0" encoding="utf-8"?>
<formControlPr xmlns="http://schemas.microsoft.com/office/spreadsheetml/2009/9/main" objectType="CheckBox" fmlaLink="$S$36" lockText="1" noThreeD="1"/>
</file>

<file path=xl/ctrlProps/ctrlProp473.xml><?xml version="1.0" encoding="utf-8"?>
<formControlPr xmlns="http://schemas.microsoft.com/office/spreadsheetml/2009/9/main" objectType="CheckBox" fmlaLink="$V$36" lockText="1" noThreeD="1"/>
</file>

<file path=xl/ctrlProps/ctrlProp474.xml><?xml version="1.0" encoding="utf-8"?>
<formControlPr xmlns="http://schemas.microsoft.com/office/spreadsheetml/2009/9/main" objectType="CheckBox" fmlaLink="$Y$36" lockText="1" noThreeD="1"/>
</file>

<file path=xl/ctrlProps/ctrlProp475.xml><?xml version="1.0" encoding="utf-8"?>
<formControlPr xmlns="http://schemas.microsoft.com/office/spreadsheetml/2009/9/main" objectType="CheckBox" checked="Checked" fmlaLink="$AB$36" lockText="1" noThreeD="1"/>
</file>

<file path=xl/ctrlProps/ctrlProp476.xml><?xml version="1.0" encoding="utf-8"?>
<formControlPr xmlns="http://schemas.microsoft.com/office/spreadsheetml/2009/9/main" objectType="CheckBox" checked="Checked" fmlaLink="$M$38" lockText="1" noThreeD="1"/>
</file>

<file path=xl/ctrlProps/ctrlProp477.xml><?xml version="1.0" encoding="utf-8"?>
<formControlPr xmlns="http://schemas.microsoft.com/office/spreadsheetml/2009/9/main" objectType="CheckBox" fmlaLink="$P$38" lockText="1" noThreeD="1"/>
</file>

<file path=xl/ctrlProps/ctrlProp478.xml><?xml version="1.0" encoding="utf-8"?>
<formControlPr xmlns="http://schemas.microsoft.com/office/spreadsheetml/2009/9/main" objectType="CheckBox" fmlaLink="$S$38" lockText="1" noThreeD="1"/>
</file>

<file path=xl/ctrlProps/ctrlProp479.xml><?xml version="1.0" encoding="utf-8"?>
<formControlPr xmlns="http://schemas.microsoft.com/office/spreadsheetml/2009/9/main" objectType="CheckBox" fmlaLink="$V$38" lockText="1" noThreeD="1"/>
</file>

<file path=xl/ctrlProps/ctrlProp480.xml><?xml version="1.0" encoding="utf-8"?>
<formControlPr xmlns="http://schemas.microsoft.com/office/spreadsheetml/2009/9/main" objectType="CheckBox" fmlaLink="$Y$38" lockText="1" noThreeD="1"/>
</file>

<file path=xl/ctrlProps/ctrlProp481.xml><?xml version="1.0" encoding="utf-8"?>
<formControlPr xmlns="http://schemas.microsoft.com/office/spreadsheetml/2009/9/main" objectType="CheckBox" fmlaLink="$AB$38" lockText="1" noThreeD="1"/>
</file>

<file path=xl/ctrlProps/ctrlProp482.xml><?xml version="1.0" encoding="utf-8"?>
<formControlPr xmlns="http://schemas.microsoft.com/office/spreadsheetml/2009/9/main" objectType="CheckBox" checked="Checked" fmlaLink="$D$4" lockText="1" noThreeD="1"/>
</file>

<file path=xl/ctrlProps/ctrlProp483.xml><?xml version="1.0" encoding="utf-8"?>
<formControlPr xmlns="http://schemas.microsoft.com/office/spreadsheetml/2009/9/main" objectType="CheckBox" checked="Checked" fmlaLink="$D$7" lockText="1" noThreeD="1"/>
</file>

<file path=xl/ctrlProps/ctrlProp484.xml><?xml version="1.0" encoding="utf-8"?>
<formControlPr xmlns="http://schemas.microsoft.com/office/spreadsheetml/2009/9/main" objectType="CheckBox" checked="Checked" fmlaLink="$D$8" lockText="1" noThreeD="1"/>
</file>

<file path=xl/ctrlProps/ctrlProp485.xml><?xml version="1.0" encoding="utf-8"?>
<formControlPr xmlns="http://schemas.microsoft.com/office/spreadsheetml/2009/9/main" objectType="CheckBox" fmlaLink="$D$10" lockText="1" noThreeD="1"/>
</file>

<file path=xl/ctrlProps/ctrlProp486.xml><?xml version="1.0" encoding="utf-8"?>
<formControlPr xmlns="http://schemas.microsoft.com/office/spreadsheetml/2009/9/main" objectType="CheckBox" checked="Checked" fmlaLink="$D$12" lockText="1" noThreeD="1"/>
</file>

<file path=xl/ctrlProps/ctrlProp487.xml><?xml version="1.0" encoding="utf-8"?>
<formControlPr xmlns="http://schemas.microsoft.com/office/spreadsheetml/2009/9/main" objectType="CheckBox" fmlaLink="$D$14" lockText="1" noThreeD="1"/>
</file>

<file path=xl/ctrlProps/ctrlProp488.xml><?xml version="1.0" encoding="utf-8"?>
<formControlPr xmlns="http://schemas.microsoft.com/office/spreadsheetml/2009/9/main" objectType="CheckBox" fmlaLink="$D$18" lockText="1" noThreeD="1"/>
</file>

<file path=xl/ctrlProps/ctrlProp489.xml><?xml version="1.0" encoding="utf-8"?>
<formControlPr xmlns="http://schemas.microsoft.com/office/spreadsheetml/2009/9/main" objectType="CheckBox" fmlaLink="$D$19" lockText="1" noThreeD="1"/>
</file>

<file path=xl/ctrlProps/ctrlProp490.xml><?xml version="1.0" encoding="utf-8"?>
<formControlPr xmlns="http://schemas.microsoft.com/office/spreadsheetml/2009/9/main" objectType="CheckBox" checked="Checked" fmlaLink="$D$20" lockText="1" noThreeD="1"/>
</file>

<file path=xl/ctrlProps/ctrlProp491.xml><?xml version="1.0" encoding="utf-8"?>
<formControlPr xmlns="http://schemas.microsoft.com/office/spreadsheetml/2009/9/main" objectType="CheckBox" fmlaLink="$D$21" lockText="1" noThreeD="1"/>
</file>

<file path=xl/ctrlProps/ctrlProp492.xml><?xml version="1.0" encoding="utf-8"?>
<formControlPr xmlns="http://schemas.microsoft.com/office/spreadsheetml/2009/9/main" objectType="CheckBox" fmlaLink="$D$22" lockText="1" noThreeD="1"/>
</file>

<file path=xl/ctrlProps/ctrlProp493.xml><?xml version="1.0" encoding="utf-8"?>
<formControlPr xmlns="http://schemas.microsoft.com/office/spreadsheetml/2009/9/main" objectType="CheckBox" checked="Checked" fmlaLink="$J$18" lockText="1" noThreeD="1"/>
</file>

<file path=xl/ctrlProps/ctrlProp494.xml><?xml version="1.0" encoding="utf-8"?>
<formControlPr xmlns="http://schemas.microsoft.com/office/spreadsheetml/2009/9/main" objectType="CheckBox" fmlaLink="$J$19" lockText="1" noThreeD="1"/>
</file>

<file path=xl/ctrlProps/ctrlProp495.xml><?xml version="1.0" encoding="utf-8"?>
<formControlPr xmlns="http://schemas.microsoft.com/office/spreadsheetml/2009/9/main" objectType="CheckBox" fmlaLink="$J$20" lockText="1" noThreeD="1"/>
</file>

<file path=xl/ctrlProps/ctrlProp496.xml><?xml version="1.0" encoding="utf-8"?>
<formControlPr xmlns="http://schemas.microsoft.com/office/spreadsheetml/2009/9/main" objectType="CheckBox" checked="Checked" fmlaLink="$J$21" lockText="1" noThreeD="1"/>
</file>

<file path=xl/ctrlProps/ctrlProp497.xml><?xml version="1.0" encoding="utf-8"?>
<formControlPr xmlns="http://schemas.microsoft.com/office/spreadsheetml/2009/9/main" objectType="CheckBox" fmlaLink="$J$22" lockText="1" noThreeD="1"/>
</file>

<file path=xl/ctrlProps/ctrlProp498.xml><?xml version="1.0" encoding="utf-8"?>
<formControlPr xmlns="http://schemas.microsoft.com/office/spreadsheetml/2009/9/main" objectType="CheckBox" fmlaLink="$V$18" lockText="1" noThreeD="1"/>
</file>

<file path=xl/ctrlProps/ctrlProp499.xml><?xml version="1.0" encoding="utf-8"?>
<formControlPr xmlns="http://schemas.microsoft.com/office/spreadsheetml/2009/9/main" objectType="CheckBox" fmlaLink="$V$19" lockText="1" noThreeD="1"/>
</file>

<file path=xl/ctrlProps/ctrlProp500.xml><?xml version="1.0" encoding="utf-8"?>
<formControlPr xmlns="http://schemas.microsoft.com/office/spreadsheetml/2009/9/main" objectType="CheckBox" fmlaLink="$V$20" lockText="1" noThreeD="1"/>
</file>

<file path=xl/ctrlProps/ctrlProp501.xml><?xml version="1.0" encoding="utf-8"?>
<formControlPr xmlns="http://schemas.microsoft.com/office/spreadsheetml/2009/9/main" objectType="CheckBox" fmlaLink="$V$21" lockText="1" noThreeD="1"/>
</file>

<file path=xl/ctrlProps/ctrlProp502.xml><?xml version="1.0" encoding="utf-8"?>
<formControlPr xmlns="http://schemas.microsoft.com/office/spreadsheetml/2009/9/main" objectType="CheckBox" fmlaLink="$V$22" lockText="1" noThreeD="1"/>
</file>

<file path=xl/ctrlProps/ctrlProp503.xml><?xml version="1.0" encoding="utf-8"?>
<formControlPr xmlns="http://schemas.microsoft.com/office/spreadsheetml/2009/9/main" objectType="CheckBox" fmlaLink="$D$26" lockText="1" noThreeD="1"/>
</file>

<file path=xl/ctrlProps/ctrlProp504.xml><?xml version="1.0" encoding="utf-8"?>
<formControlPr xmlns="http://schemas.microsoft.com/office/spreadsheetml/2009/9/main" objectType="CheckBox" checked="Checked" fmlaLink="$D$28" lockText="1" noThreeD="1"/>
</file>

<file path=xl/ctrlProps/ctrlProp505.xml><?xml version="1.0" encoding="utf-8"?>
<formControlPr xmlns="http://schemas.microsoft.com/office/spreadsheetml/2009/9/main" objectType="CheckBox" checked="Checked" fmlaLink="$D$29" lockText="1" noThreeD="1"/>
</file>

<file path=xl/ctrlProps/ctrlProp506.xml><?xml version="1.0" encoding="utf-8"?>
<formControlPr xmlns="http://schemas.microsoft.com/office/spreadsheetml/2009/9/main" objectType="CheckBox" fmlaLink="$D$31" lockText="1" noThreeD="1"/>
</file>

<file path=xl/ctrlProps/ctrlProp507.xml><?xml version="1.0" encoding="utf-8"?>
<formControlPr xmlns="http://schemas.microsoft.com/office/spreadsheetml/2009/9/main" objectType="CheckBox" fmlaLink="$D$33" lockText="1" noThreeD="1"/>
</file>

<file path=xl/ctrlProps/ctrlProp508.xml><?xml version="1.0" encoding="utf-8"?>
<formControlPr xmlns="http://schemas.microsoft.com/office/spreadsheetml/2009/9/main" objectType="CheckBox" checked="Checked" fmlaLink="$D$34" lockText="1" noThreeD="1"/>
</file>

<file path=xl/ctrlProps/ctrlProp509.xml><?xml version="1.0" encoding="utf-8"?>
<formControlPr xmlns="http://schemas.microsoft.com/office/spreadsheetml/2009/9/main" objectType="CheckBox" checked="Checked" fmlaLink="$D$36" lockText="1" noThreeD="1"/>
</file>

<file path=xl/ctrlProps/ctrlProp510.xml><?xml version="1.0" encoding="utf-8"?>
<formControlPr xmlns="http://schemas.microsoft.com/office/spreadsheetml/2009/9/main" objectType="CheckBox" checked="Checked" fmlaLink="$T$26" lockText="1" noThreeD="1"/>
</file>

<file path=xl/ctrlProps/ctrlProp511.xml><?xml version="1.0" encoding="utf-8"?>
<formControlPr xmlns="http://schemas.microsoft.com/office/spreadsheetml/2009/9/main" objectType="CheckBox" fmlaLink="$T$29" lockText="1" noThreeD="1"/>
</file>

<file path=xl/ctrlProps/ctrlProp512.xml><?xml version="1.0" encoding="utf-8"?>
<formControlPr xmlns="http://schemas.microsoft.com/office/spreadsheetml/2009/9/main" objectType="CheckBox" fmlaLink="$T$30" lockText="1" noThreeD="1"/>
</file>

<file path=xl/ctrlProps/ctrlProp513.xml><?xml version="1.0" encoding="utf-8"?>
<formControlPr xmlns="http://schemas.microsoft.com/office/spreadsheetml/2009/9/main" objectType="CheckBox" fmlaLink="$T$32" lockText="1" noThreeD="1"/>
</file>

<file path=xl/ctrlProps/ctrlProp514.xml><?xml version="1.0" encoding="utf-8"?>
<formControlPr xmlns="http://schemas.microsoft.com/office/spreadsheetml/2009/9/main" objectType="CheckBox" fmlaLink="$T$34" lockText="1" noThreeD="1"/>
</file>

<file path=xl/ctrlProps/ctrlProp515.xml><?xml version="1.0" encoding="utf-8"?>
<formControlPr xmlns="http://schemas.microsoft.com/office/spreadsheetml/2009/9/main" objectType="CheckBox" fmlaLink="$T$36" lockText="1" noThreeD="1"/>
</file>

<file path=xl/ctrlProps/ctrlProp516.xml><?xml version="1.0" encoding="utf-8"?>
<formControlPr xmlns="http://schemas.microsoft.com/office/spreadsheetml/2009/9/main" objectType="CheckBox" fmlaLink="$T$39" lockText="1" noThreeD="1"/>
</file>

<file path=xl/ctrlProps/ctrlProp517.xml><?xml version="1.0" encoding="utf-8"?>
<formControlPr xmlns="http://schemas.microsoft.com/office/spreadsheetml/2009/9/main" objectType="CheckBox" checked="Checked" fmlaLink="$T$41" lockText="1" noThreeD="1"/>
</file>

<file path=xl/ctrlProps/ctrlProp518.xml><?xml version="1.0" encoding="utf-8"?>
<formControlPr xmlns="http://schemas.microsoft.com/office/spreadsheetml/2009/9/main" objectType="CheckBox" checked="Checked" fmlaLink="$G$45" lockText="1" noThreeD="1"/>
</file>

<file path=xl/ctrlProps/ctrlProp519.xml><?xml version="1.0" encoding="utf-8"?>
<formControlPr xmlns="http://schemas.microsoft.com/office/spreadsheetml/2009/9/main" objectType="CheckBox" checked="Checked" fmlaLink="$L$45" lockText="1" noThreeD="1"/>
</file>

<file path=xl/ctrlProps/ctrlProp520.xml><?xml version="1.0" encoding="utf-8"?>
<formControlPr xmlns="http://schemas.microsoft.com/office/spreadsheetml/2009/9/main" objectType="CheckBox" checked="Checked" fmlaLink="$R$45" lockText="1" noThreeD="1"/>
</file>

<file path=xl/ctrlProps/ctrlProp521.xml><?xml version="1.0" encoding="utf-8"?>
<formControlPr xmlns="http://schemas.microsoft.com/office/spreadsheetml/2009/9/main" objectType="CheckBox" checked="Checked" fmlaLink="$W$45" lockText="1" noThreeD="1"/>
</file>

<file path=xl/ctrlProps/ctrlProp522.xml><?xml version="1.0" encoding="utf-8"?>
<formControlPr xmlns="http://schemas.microsoft.com/office/spreadsheetml/2009/9/main" objectType="CheckBox" checked="Checked" fmlaLink="$AB$45" lockText="1" noThreeD="1"/>
</file>

<file path=xl/ctrlProps/ctrlProp523.xml><?xml version="1.0" encoding="utf-8"?>
<formControlPr xmlns="http://schemas.microsoft.com/office/spreadsheetml/2009/9/main" objectType="CheckBox" fmlaLink="$D$46" lockText="1" noThreeD="1"/>
</file>

<file path=xl/ctrlProps/ctrlProp524.xml><?xml version="1.0" encoding="utf-8"?>
<formControlPr xmlns="http://schemas.microsoft.com/office/spreadsheetml/2009/9/main" objectType="CheckBox" checked="Checked" fmlaLink="$D$48" lockText="1" noThreeD="1"/>
</file>

<file path=xl/ctrlProps/ctrlProp525.xml><?xml version="1.0" encoding="utf-8"?>
<formControlPr xmlns="http://schemas.microsoft.com/office/spreadsheetml/2009/9/main" objectType="CheckBox" checked="Checked" fmlaLink="$D$50" lockText="1" noThreeD="1"/>
</file>

<file path=xl/ctrlProps/ctrlProp526.xml><?xml version="1.0" encoding="utf-8"?>
<formControlPr xmlns="http://schemas.microsoft.com/office/spreadsheetml/2009/9/main" objectType="CheckBox" checked="Checked" fmlaLink="$D$51" lockText="1" noThreeD="1"/>
</file>

<file path=xl/ctrlProps/ctrlProp527.xml><?xml version="1.0" encoding="utf-8"?>
<formControlPr xmlns="http://schemas.microsoft.com/office/spreadsheetml/2009/9/main" objectType="CheckBox" fmlaLink="$D$52" lockText="1" noThreeD="1"/>
</file>

<file path=xl/ctrlProps/ctrlProp528.xml><?xml version="1.0" encoding="utf-8"?>
<formControlPr xmlns="http://schemas.microsoft.com/office/spreadsheetml/2009/9/main" objectType="CheckBox" fmlaLink="$D$53" lockText="1" noThreeD="1"/>
</file>

<file path=xl/ctrlProps/ctrlProp529.xml><?xml version="1.0" encoding="utf-8"?>
<formControlPr xmlns="http://schemas.microsoft.com/office/spreadsheetml/2009/9/main" objectType="CheckBox" fmlaLink="$D$54" lockText="1" noThreeD="1"/>
</file>

<file path=xl/ctrlProps/ctrlProp530.xml><?xml version="1.0" encoding="utf-8"?>
<formControlPr xmlns="http://schemas.microsoft.com/office/spreadsheetml/2009/9/main" objectType="CheckBox" checked="Checked" fmlaLink="$D$39" lockText="1" noThreeD="1"/>
</file>

<file path=xl/ctrlProps/ctrlProp531.xml><?xml version="1.0" encoding="utf-8"?>
<formControlPr xmlns="http://schemas.microsoft.com/office/spreadsheetml/2009/9/main" objectType="CheckBox" checked="Checked" fmlaLink="$D$42" lockText="1" noThreeD="1"/>
</file>

<file path=xl/ctrlProps/ctrlProp532.xml><?xml version="1.0" encoding="utf-8"?>
<formControlPr xmlns="http://schemas.microsoft.com/office/spreadsheetml/2009/9/main" objectType="CheckBox" checked="Checked" fmlaLink="$F$4" lockText="1" noThreeD="1"/>
</file>

<file path=xl/ctrlProps/ctrlProp533.xml><?xml version="1.0" encoding="utf-8"?>
<formControlPr xmlns="http://schemas.microsoft.com/office/spreadsheetml/2009/9/main" objectType="CheckBox" checked="Checked" fmlaLink="$F$5" lockText="1" noThreeD="1"/>
</file>

<file path=xl/ctrlProps/ctrlProp534.xml><?xml version="1.0" encoding="utf-8"?>
<formControlPr xmlns="http://schemas.microsoft.com/office/spreadsheetml/2009/9/main" objectType="CheckBox" fmlaLink="$F$7" lockText="1" noThreeD="1"/>
</file>

<file path=xl/ctrlProps/ctrlProp535.xml><?xml version="1.0" encoding="utf-8"?>
<formControlPr xmlns="http://schemas.microsoft.com/office/spreadsheetml/2009/9/main" objectType="CheckBox" checked="Checked" fmlaLink="$E$4" lockText="1" noThreeD="1"/>
</file>

<file path=xl/ctrlProps/ctrlProp536.xml><?xml version="1.0" encoding="utf-8"?>
<formControlPr xmlns="http://schemas.microsoft.com/office/spreadsheetml/2009/9/main" objectType="CheckBox" fmlaLink="$E$7" lockText="1" noThreeD="1"/>
</file>

<file path=xl/ctrlProps/ctrlProp537.xml><?xml version="1.0" encoding="utf-8"?>
<formControlPr xmlns="http://schemas.microsoft.com/office/spreadsheetml/2009/9/main" objectType="CheckBox" checked="Checked" fmlaLink="$E$34" lockText="1" noThreeD="1"/>
</file>

<file path=xl/ctrlProps/ctrlProp538.xml><?xml version="1.0" encoding="utf-8"?>
<formControlPr xmlns="http://schemas.microsoft.com/office/spreadsheetml/2009/9/main" objectType="CheckBox" checked="Checked" fmlaLink="$E$36" lockText="1" noThreeD="1"/>
</file>

<file path=xl/ctrlProps/ctrlProp539.xml><?xml version="1.0" encoding="utf-8"?>
<formControlPr xmlns="http://schemas.microsoft.com/office/spreadsheetml/2009/9/main" objectType="CheckBox" fmlaLink="$E$41" lockText="1" noThreeD="1"/>
</file>

<file path=xl/ctrlProps/ctrlProp540.xml><?xml version="1.0" encoding="utf-8"?>
<formControlPr xmlns="http://schemas.microsoft.com/office/spreadsheetml/2009/9/main" objectType="CheckBox" fmlaLink="$E$42" lockText="1" noThreeD="1"/>
</file>

<file path=xl/ctrlProps/ctrlProp541.xml><?xml version="1.0" encoding="utf-8"?>
<formControlPr xmlns="http://schemas.microsoft.com/office/spreadsheetml/2009/9/main" objectType="CheckBox" checked="Checked" fmlaLink="$E$43" lockText="1" noThreeD="1"/>
</file>

<file path=xl/ctrlProps/ctrlProp542.xml><?xml version="1.0" encoding="utf-8"?>
<formControlPr xmlns="http://schemas.microsoft.com/office/spreadsheetml/2009/9/main" objectType="CheckBox" fmlaLink="$E$44" lockText="1" noThreeD="1"/>
</file>

<file path=xl/ctrlProps/ctrlProp543.xml><?xml version="1.0" encoding="utf-8"?>
<formControlPr xmlns="http://schemas.microsoft.com/office/spreadsheetml/2009/9/main" objectType="CheckBox" fmlaLink="$E$45" lockText="1" noThreeD="1"/>
</file>

<file path=xl/ctrlProps/ctrlProp544.xml><?xml version="1.0" encoding="utf-8"?>
<formControlPr xmlns="http://schemas.microsoft.com/office/spreadsheetml/2009/9/main" objectType="CheckBox" fmlaLink="$E$46" lockText="1" noThreeD="1"/>
</file>

<file path=xl/ctrlProps/ctrlProp545.xml><?xml version="1.0" encoding="utf-8"?>
<formControlPr xmlns="http://schemas.microsoft.com/office/spreadsheetml/2009/9/main" objectType="CheckBox" fmlaLink="$Z$41" lockText="1" noThreeD="1"/>
</file>

<file path=xl/ctrlProps/ctrlProp546.xml><?xml version="1.0" encoding="utf-8"?>
<formControlPr xmlns="http://schemas.microsoft.com/office/spreadsheetml/2009/9/main" objectType="CheckBox" fmlaLink="$Z$42" lockText="1" noThreeD="1"/>
</file>

<file path=xl/ctrlProps/ctrlProp547.xml><?xml version="1.0" encoding="utf-8"?>
<formControlPr xmlns="http://schemas.microsoft.com/office/spreadsheetml/2009/9/main" objectType="CheckBox" fmlaLink="$Z$43" lockText="1" noThreeD="1"/>
</file>

<file path=xl/ctrlProps/ctrlProp548.xml><?xml version="1.0" encoding="utf-8"?>
<formControlPr xmlns="http://schemas.microsoft.com/office/spreadsheetml/2009/9/main" objectType="CheckBox" fmlaLink="$Z$44" lockText="1" noThreeD="1"/>
</file>

<file path=xl/ctrlProps/ctrlProp549.xml><?xml version="1.0" encoding="utf-8"?>
<formControlPr xmlns="http://schemas.microsoft.com/office/spreadsheetml/2009/9/main" objectType="CheckBox" fmlaLink="$Z$45" lockText="1" noThreeD="1"/>
</file>

<file path=xl/ctrlProps/ctrlProp550.xml><?xml version="1.0" encoding="utf-8"?>
<formControlPr xmlns="http://schemas.microsoft.com/office/spreadsheetml/2009/9/main" objectType="CheckBox" fmlaLink="$AF$10" lockText="1" noThreeD="1"/>
</file>

<file path=xl/ctrlProps/ctrlProp551.xml><?xml version="1.0" encoding="utf-8"?>
<formControlPr xmlns="http://schemas.microsoft.com/office/spreadsheetml/2009/9/main" objectType="CheckBox" fmlaLink="$AF$12" lockText="1" noThreeD="1"/>
</file>

<file path=xl/ctrlProps/ctrlProp552.xml><?xml version="1.0" encoding="utf-8"?>
<formControlPr xmlns="http://schemas.microsoft.com/office/spreadsheetml/2009/9/main" objectType="CheckBox" fmlaLink="$AF$14" lockText="1" noThreeD="1"/>
</file>

<file path=xl/ctrlProps/ctrlProp553.xml><?xml version="1.0" encoding="utf-8"?>
<formControlPr xmlns="http://schemas.microsoft.com/office/spreadsheetml/2009/9/main" objectType="CheckBox" fmlaLink="$AF$16" lockText="1" noThreeD="1"/>
</file>

<file path=xl/ctrlProps/ctrlProp554.xml><?xml version="1.0" encoding="utf-8"?>
<formControlPr xmlns="http://schemas.microsoft.com/office/spreadsheetml/2009/9/main" objectType="CheckBox" fmlaLink="$S$11" lockText="1" noThreeD="1"/>
</file>

<file path=xl/ctrlProps/ctrlProp555.xml><?xml version="1.0" encoding="utf-8"?>
<formControlPr xmlns="http://schemas.microsoft.com/office/spreadsheetml/2009/9/main" objectType="CheckBox" fmlaLink="$V$11" lockText="1" noThreeD="1"/>
</file>

<file path=xl/ctrlProps/ctrlProp556.xml><?xml version="1.0" encoding="utf-8"?>
<formControlPr xmlns="http://schemas.microsoft.com/office/spreadsheetml/2009/9/main" objectType="CheckBox" fmlaLink="$Y$11" lockText="1" noThreeD="1"/>
</file>

<file path=xl/ctrlProps/ctrlProp557.xml><?xml version="1.0" encoding="utf-8"?>
<formControlPr xmlns="http://schemas.microsoft.com/office/spreadsheetml/2009/9/main" objectType="CheckBox" fmlaLink="$AB$11" lockText="1" noThreeD="1"/>
</file>

<file path=xl/ctrlProps/ctrlProp558.xml><?xml version="1.0" encoding="utf-8"?>
<formControlPr xmlns="http://schemas.microsoft.com/office/spreadsheetml/2009/9/main" objectType="CheckBox" fmlaLink="$AE$11" lockText="1" noThreeD="1"/>
</file>

<file path=xl/ctrlProps/ctrlProp559.xml><?xml version="1.0" encoding="utf-8"?>
<formControlPr xmlns="http://schemas.microsoft.com/office/spreadsheetml/2009/9/main" objectType="CheckBox" fmlaLink="$AH$11" lockText="1" noThreeD="1"/>
</file>

<file path=xl/ctrlProps/ctrlProp560.xml><?xml version="1.0" encoding="utf-8"?>
<formControlPr xmlns="http://schemas.microsoft.com/office/spreadsheetml/2009/9/main" objectType="CheckBox" fmlaLink="$S$12" lockText="1" noThreeD="1"/>
</file>

<file path=xl/ctrlProps/ctrlProp561.xml><?xml version="1.0" encoding="utf-8"?>
<formControlPr xmlns="http://schemas.microsoft.com/office/spreadsheetml/2009/9/main" objectType="CheckBox" fmlaLink="$V$12" lockText="1" noThreeD="1"/>
</file>

<file path=xl/ctrlProps/ctrlProp562.xml><?xml version="1.0" encoding="utf-8"?>
<formControlPr xmlns="http://schemas.microsoft.com/office/spreadsheetml/2009/9/main" objectType="CheckBox" fmlaLink="$Y$12" lockText="1" noThreeD="1"/>
</file>

<file path=xl/ctrlProps/ctrlProp563.xml><?xml version="1.0" encoding="utf-8"?>
<formControlPr xmlns="http://schemas.microsoft.com/office/spreadsheetml/2009/9/main" objectType="CheckBox" fmlaLink="$AB$12" lockText="1" noThreeD="1"/>
</file>

<file path=xl/ctrlProps/ctrlProp564.xml><?xml version="1.0" encoding="utf-8"?>
<formControlPr xmlns="http://schemas.microsoft.com/office/spreadsheetml/2009/9/main" objectType="CheckBox" fmlaLink="$AE$12" lockText="1" noThreeD="1"/>
</file>

<file path=xl/ctrlProps/ctrlProp565.xml><?xml version="1.0" encoding="utf-8"?>
<formControlPr xmlns="http://schemas.microsoft.com/office/spreadsheetml/2009/9/main" objectType="CheckBox" fmlaLink="$AH$12" lockText="1" noThreeD="1"/>
</file>

<file path=xl/ctrlProps/ctrlProp566.xml><?xml version="1.0" encoding="utf-8"?>
<formControlPr xmlns="http://schemas.microsoft.com/office/spreadsheetml/2009/9/main" objectType="CheckBox" fmlaLink="$S$13" lockText="1" noThreeD="1"/>
</file>

<file path=xl/ctrlProps/ctrlProp567.xml><?xml version="1.0" encoding="utf-8"?>
<formControlPr xmlns="http://schemas.microsoft.com/office/spreadsheetml/2009/9/main" objectType="CheckBox" fmlaLink="$V$13" lockText="1" noThreeD="1"/>
</file>

<file path=xl/ctrlProps/ctrlProp568.xml><?xml version="1.0" encoding="utf-8"?>
<formControlPr xmlns="http://schemas.microsoft.com/office/spreadsheetml/2009/9/main" objectType="CheckBox" fmlaLink="$Y$13" lockText="1" noThreeD="1"/>
</file>

<file path=xl/ctrlProps/ctrlProp569.xml><?xml version="1.0" encoding="utf-8"?>
<formControlPr xmlns="http://schemas.microsoft.com/office/spreadsheetml/2009/9/main" objectType="CheckBox" fmlaLink="$AB$13" lockText="1" noThreeD="1"/>
</file>

<file path=xl/ctrlProps/ctrlProp570.xml><?xml version="1.0" encoding="utf-8"?>
<formControlPr xmlns="http://schemas.microsoft.com/office/spreadsheetml/2009/9/main" objectType="CheckBox" fmlaLink="$AE$13" lockText="1" noThreeD="1"/>
</file>

<file path=xl/ctrlProps/ctrlProp571.xml><?xml version="1.0" encoding="utf-8"?>
<formControlPr xmlns="http://schemas.microsoft.com/office/spreadsheetml/2009/9/main" objectType="CheckBox" fmlaLink="$AH$13" lockText="1" noThreeD="1"/>
</file>

<file path=xl/ctrlProps/ctrlProp572.xml><?xml version="1.0" encoding="utf-8"?>
<formControlPr xmlns="http://schemas.microsoft.com/office/spreadsheetml/2009/9/main" objectType="CheckBox" checked="Checked" fmlaLink="$S$14" lockText="1" noThreeD="1"/>
</file>

<file path=xl/ctrlProps/ctrlProp573.xml><?xml version="1.0" encoding="utf-8"?>
<formControlPr xmlns="http://schemas.microsoft.com/office/spreadsheetml/2009/9/main" objectType="CheckBox" checked="Checked" fmlaLink="$V$14" lockText="1" noThreeD="1"/>
</file>

<file path=xl/ctrlProps/ctrlProp574.xml><?xml version="1.0" encoding="utf-8"?>
<formControlPr xmlns="http://schemas.microsoft.com/office/spreadsheetml/2009/9/main" objectType="CheckBox" fmlaLink="$Y$14" lockText="1" noThreeD="1"/>
</file>

<file path=xl/ctrlProps/ctrlProp575.xml><?xml version="1.0" encoding="utf-8"?>
<formControlPr xmlns="http://schemas.microsoft.com/office/spreadsheetml/2009/9/main" objectType="CheckBox" fmlaLink="$AB$14" lockText="1" noThreeD="1"/>
</file>

<file path=xl/ctrlProps/ctrlProp576.xml><?xml version="1.0" encoding="utf-8"?>
<formControlPr xmlns="http://schemas.microsoft.com/office/spreadsheetml/2009/9/main" objectType="CheckBox" fmlaLink="$AE$14" lockText="1" noThreeD="1"/>
</file>

<file path=xl/ctrlProps/ctrlProp577.xml><?xml version="1.0" encoding="utf-8"?>
<formControlPr xmlns="http://schemas.microsoft.com/office/spreadsheetml/2009/9/main" objectType="CheckBox" fmlaLink="$AH$14" lockText="1" noThreeD="1"/>
</file>

<file path=xl/ctrlProps/ctrlProp578.xml><?xml version="1.0" encoding="utf-8"?>
<formControlPr xmlns="http://schemas.microsoft.com/office/spreadsheetml/2009/9/main" objectType="CheckBox" fmlaLink="$S$15" lockText="1" noThreeD="1"/>
</file>

<file path=xl/ctrlProps/ctrlProp579.xml><?xml version="1.0" encoding="utf-8"?>
<formControlPr xmlns="http://schemas.microsoft.com/office/spreadsheetml/2009/9/main" objectType="CheckBox" fmlaLink="$V$15" lockText="1" noThreeD="1"/>
</file>

<file path=xl/ctrlProps/ctrlProp580.xml><?xml version="1.0" encoding="utf-8"?>
<formControlPr xmlns="http://schemas.microsoft.com/office/spreadsheetml/2009/9/main" objectType="CheckBox" fmlaLink="$Y$15" lockText="1" noThreeD="1"/>
</file>

<file path=xl/ctrlProps/ctrlProp581.xml><?xml version="1.0" encoding="utf-8"?>
<formControlPr xmlns="http://schemas.microsoft.com/office/spreadsheetml/2009/9/main" objectType="CheckBox" fmlaLink="$AB$15" lockText="1" noThreeD="1"/>
</file>

<file path=xl/ctrlProps/ctrlProp582.xml><?xml version="1.0" encoding="utf-8"?>
<formControlPr xmlns="http://schemas.microsoft.com/office/spreadsheetml/2009/9/main" objectType="CheckBox" fmlaLink="$AE$15" lockText="1" noThreeD="1"/>
</file>

<file path=xl/ctrlProps/ctrlProp583.xml><?xml version="1.0" encoding="utf-8"?>
<formControlPr xmlns="http://schemas.microsoft.com/office/spreadsheetml/2009/9/main" objectType="CheckBox" fmlaLink="$AH$15" lockText="1" noThreeD="1"/>
</file>

<file path=xl/ctrlProps/ctrlProp584.xml><?xml version="1.0" encoding="utf-8"?>
<formControlPr xmlns="http://schemas.microsoft.com/office/spreadsheetml/2009/9/main" objectType="CheckBox" fmlaLink="$S$16" lockText="1" noThreeD="1"/>
</file>

<file path=xl/ctrlProps/ctrlProp585.xml><?xml version="1.0" encoding="utf-8"?>
<formControlPr xmlns="http://schemas.microsoft.com/office/spreadsheetml/2009/9/main" objectType="CheckBox" fmlaLink="$V$16" lockText="1" noThreeD="1"/>
</file>

<file path=xl/ctrlProps/ctrlProp586.xml><?xml version="1.0" encoding="utf-8"?>
<formControlPr xmlns="http://schemas.microsoft.com/office/spreadsheetml/2009/9/main" objectType="CheckBox" fmlaLink="$Y$16" lockText="1" noThreeD="1"/>
</file>

<file path=xl/ctrlProps/ctrlProp587.xml><?xml version="1.0" encoding="utf-8"?>
<formControlPr xmlns="http://schemas.microsoft.com/office/spreadsheetml/2009/9/main" objectType="CheckBox" fmlaLink="$AB$16" lockText="1" noThreeD="1"/>
</file>

<file path=xl/ctrlProps/ctrlProp588.xml><?xml version="1.0" encoding="utf-8"?>
<formControlPr xmlns="http://schemas.microsoft.com/office/spreadsheetml/2009/9/main" objectType="CheckBox" fmlaLink="$AE$16" lockText="1" noThreeD="1"/>
</file>

<file path=xl/ctrlProps/ctrlProp589.xml><?xml version="1.0" encoding="utf-8"?>
<formControlPr xmlns="http://schemas.microsoft.com/office/spreadsheetml/2009/9/main" objectType="CheckBox" fmlaLink="$AH$16" lockText="1" noThreeD="1"/>
</file>

<file path=xl/ctrlProps/ctrlProp590.xml><?xml version="1.0" encoding="utf-8"?>
<formControlPr xmlns="http://schemas.microsoft.com/office/spreadsheetml/2009/9/main" objectType="CheckBox" fmlaLink="$S$17" lockText="1" noThreeD="1"/>
</file>

<file path=xl/ctrlProps/ctrlProp591.xml><?xml version="1.0" encoding="utf-8"?>
<formControlPr xmlns="http://schemas.microsoft.com/office/spreadsheetml/2009/9/main" objectType="CheckBox" fmlaLink="$V$17" lockText="1" noThreeD="1"/>
</file>

<file path=xl/ctrlProps/ctrlProp592.xml><?xml version="1.0" encoding="utf-8"?>
<formControlPr xmlns="http://schemas.microsoft.com/office/spreadsheetml/2009/9/main" objectType="CheckBox" fmlaLink="$Y$17" lockText="1" noThreeD="1"/>
</file>

<file path=xl/ctrlProps/ctrlProp593.xml><?xml version="1.0" encoding="utf-8"?>
<formControlPr xmlns="http://schemas.microsoft.com/office/spreadsheetml/2009/9/main" objectType="CheckBox" fmlaLink="$AB$17" lockText="1" noThreeD="1"/>
</file>

<file path=xl/ctrlProps/ctrlProp594.xml><?xml version="1.0" encoding="utf-8"?>
<formControlPr xmlns="http://schemas.microsoft.com/office/spreadsheetml/2009/9/main" objectType="CheckBox" fmlaLink="$AE$17" lockText="1" noThreeD="1"/>
</file>

<file path=xl/ctrlProps/ctrlProp595.xml><?xml version="1.0" encoding="utf-8"?>
<formControlPr xmlns="http://schemas.microsoft.com/office/spreadsheetml/2009/9/main" objectType="CheckBox" fmlaLink="$AH$17" lockText="1" noThreeD="1"/>
</file>

<file path=xl/ctrlProps/ctrlProp596.xml><?xml version="1.0" encoding="utf-8"?>
<formControlPr xmlns="http://schemas.microsoft.com/office/spreadsheetml/2009/9/main" objectType="CheckBox" fmlaLink="$S$18" lockText="1" noThreeD="1"/>
</file>

<file path=xl/ctrlProps/ctrlProp597.xml><?xml version="1.0" encoding="utf-8"?>
<formControlPr xmlns="http://schemas.microsoft.com/office/spreadsheetml/2009/9/main" objectType="CheckBox" fmlaLink="$V$18" lockText="1" noThreeD="1"/>
</file>

<file path=xl/ctrlProps/ctrlProp598.xml><?xml version="1.0" encoding="utf-8"?>
<formControlPr xmlns="http://schemas.microsoft.com/office/spreadsheetml/2009/9/main" objectType="CheckBox" fmlaLink="$Y$18" lockText="1" noThreeD="1"/>
</file>

<file path=xl/ctrlProps/ctrlProp599.xml><?xml version="1.0" encoding="utf-8"?>
<formControlPr xmlns="http://schemas.microsoft.com/office/spreadsheetml/2009/9/main" objectType="CheckBox" fmlaLink="$AB$18" lockText="1" noThreeD="1"/>
</file>

<file path=xl/ctrlProps/ctrlProp600.xml><?xml version="1.0" encoding="utf-8"?>
<formControlPr xmlns="http://schemas.microsoft.com/office/spreadsheetml/2009/9/main" objectType="CheckBox" fmlaLink="$AE$18" lockText="1" noThreeD="1"/>
</file>

<file path=xl/ctrlProps/ctrlProp601.xml><?xml version="1.0" encoding="utf-8"?>
<formControlPr xmlns="http://schemas.microsoft.com/office/spreadsheetml/2009/9/main" objectType="CheckBox" fmlaLink="$AH$18" lockText="1" noThreeD="1"/>
</file>

<file path=xl/ctrlProps/ctrlProp602.xml><?xml version="1.0" encoding="utf-8"?>
<formControlPr xmlns="http://schemas.microsoft.com/office/spreadsheetml/2009/9/main" objectType="CheckBox" fmlaLink="$S$19" lockText="1" noThreeD="1"/>
</file>

<file path=xl/ctrlProps/ctrlProp603.xml><?xml version="1.0" encoding="utf-8"?>
<formControlPr xmlns="http://schemas.microsoft.com/office/spreadsheetml/2009/9/main" objectType="CheckBox" fmlaLink="$V$19" lockText="1" noThreeD="1"/>
</file>

<file path=xl/ctrlProps/ctrlProp604.xml><?xml version="1.0" encoding="utf-8"?>
<formControlPr xmlns="http://schemas.microsoft.com/office/spreadsheetml/2009/9/main" objectType="CheckBox" fmlaLink="$Y$19" lockText="1" noThreeD="1"/>
</file>

<file path=xl/ctrlProps/ctrlProp605.xml><?xml version="1.0" encoding="utf-8"?>
<formControlPr xmlns="http://schemas.microsoft.com/office/spreadsheetml/2009/9/main" objectType="CheckBox" fmlaLink="$AB$19" lockText="1" noThreeD="1"/>
</file>

<file path=xl/ctrlProps/ctrlProp606.xml><?xml version="1.0" encoding="utf-8"?>
<formControlPr xmlns="http://schemas.microsoft.com/office/spreadsheetml/2009/9/main" objectType="CheckBox" fmlaLink="$AE$19" lockText="1" noThreeD="1"/>
</file>

<file path=xl/ctrlProps/ctrlProp607.xml><?xml version="1.0" encoding="utf-8"?>
<formControlPr xmlns="http://schemas.microsoft.com/office/spreadsheetml/2009/9/main" objectType="CheckBox" fmlaLink="$AH$19" lockText="1" noThreeD="1"/>
</file>

<file path=xl/ctrlProps/ctrlProp608.xml><?xml version="1.0" encoding="utf-8"?>
<formControlPr xmlns="http://schemas.microsoft.com/office/spreadsheetml/2009/9/main" objectType="CheckBox" fmlaLink="$S$20" lockText="1" noThreeD="1"/>
</file>

<file path=xl/ctrlProps/ctrlProp609.xml><?xml version="1.0" encoding="utf-8"?>
<formControlPr xmlns="http://schemas.microsoft.com/office/spreadsheetml/2009/9/main" objectType="CheckBox" fmlaLink="$V$20" lockText="1" noThreeD="1"/>
</file>

<file path=xl/ctrlProps/ctrlProp610.xml><?xml version="1.0" encoding="utf-8"?>
<formControlPr xmlns="http://schemas.microsoft.com/office/spreadsheetml/2009/9/main" objectType="CheckBox" fmlaLink="$Y$20" lockText="1" noThreeD="1"/>
</file>

<file path=xl/ctrlProps/ctrlProp611.xml><?xml version="1.0" encoding="utf-8"?>
<formControlPr xmlns="http://schemas.microsoft.com/office/spreadsheetml/2009/9/main" objectType="CheckBox" fmlaLink="$AB$20" lockText="1" noThreeD="1"/>
</file>

<file path=xl/ctrlProps/ctrlProp612.xml><?xml version="1.0" encoding="utf-8"?>
<formControlPr xmlns="http://schemas.microsoft.com/office/spreadsheetml/2009/9/main" objectType="CheckBox" fmlaLink="$AE$20" lockText="1" noThreeD="1"/>
</file>

<file path=xl/ctrlProps/ctrlProp613.xml><?xml version="1.0" encoding="utf-8"?>
<formControlPr xmlns="http://schemas.microsoft.com/office/spreadsheetml/2009/9/main" objectType="CheckBox" fmlaLink="$AH$20" lockText="1" noThreeD="1"/>
</file>

<file path=xl/ctrlProps/ctrlProp614.xml><?xml version="1.0" encoding="utf-8"?>
<formControlPr xmlns="http://schemas.microsoft.com/office/spreadsheetml/2009/9/main" objectType="CheckBox" fmlaLink="$D$30" lockText="1" noThreeD="1"/>
</file>

<file path=xl/ctrlProps/ctrlProp615.xml><?xml version="1.0" encoding="utf-8"?>
<formControlPr xmlns="http://schemas.microsoft.com/office/spreadsheetml/2009/9/main" objectType="CheckBox" fmlaLink="$D$35" lockText="1" noThreeD="1"/>
</file>

<file path=xl/ctrlProps/ctrlProp616.xml><?xml version="1.0" encoding="utf-8"?>
<formControlPr xmlns="http://schemas.microsoft.com/office/spreadsheetml/2009/9/main" objectType="CheckBox" fmlaLink="$D$39" lockText="1" noThreeD="1"/>
</file>

<file path=xl/ctrlProps/ctrlProp617.xml><?xml version="1.0" encoding="utf-8"?>
<formControlPr xmlns="http://schemas.microsoft.com/office/spreadsheetml/2009/9/main" objectType="CheckBox" fmlaLink="$D$47" lockText="1" noThreeD="1"/>
</file>

<file path=xl/ctrlProps/ctrlProp618.xml><?xml version="1.0" encoding="utf-8"?>
<formControlPr xmlns="http://schemas.microsoft.com/office/spreadsheetml/2009/9/main" objectType="CheckBox" fmlaLink="$E$22" lockText="1" noThreeD="1"/>
</file>

<file path=xl/ctrlProps/ctrlProp619.xml><?xml version="1.0" encoding="utf-8"?>
<formControlPr xmlns="http://schemas.microsoft.com/office/spreadsheetml/2009/9/main" objectType="CheckBox" fmlaLink="$D$12" lockText="1" noThreeD="1"/>
</file>

<file path=xl/ctrlProps/ctrlProp620.xml><?xml version="1.0" encoding="utf-8"?>
<formControlPr xmlns="http://schemas.microsoft.com/office/spreadsheetml/2009/9/main" objectType="CheckBox" checked="Checked" fmlaLink="$AJ$25" lockText="1" noThreeD="1"/>
</file>

<file path=xl/ctrlProps/ctrlProp621.xml><?xml version="1.0" encoding="utf-8"?>
<formControlPr xmlns="http://schemas.microsoft.com/office/spreadsheetml/2009/9/main" objectType="CheckBox" lockText="1" noThreeD="1"/>
</file>

<file path=xl/ctrlProps/ctrlProp622.xml><?xml version="1.0" encoding="utf-8"?>
<formControlPr xmlns="http://schemas.microsoft.com/office/spreadsheetml/2009/9/main" objectType="CheckBox" fmlaLink="$N$27" lockText="1" noThreeD="1"/>
</file>

<file path=xl/ctrlProps/ctrlProp623.xml><?xml version="1.0" encoding="utf-8"?>
<formControlPr xmlns="http://schemas.microsoft.com/office/spreadsheetml/2009/9/main" objectType="CheckBox" fmlaLink="$N$28" lockText="1" noThreeD="1"/>
</file>

<file path=xl/ctrlProps/ctrlProp624.xml><?xml version="1.0" encoding="utf-8"?>
<formControlPr xmlns="http://schemas.microsoft.com/office/spreadsheetml/2009/9/main" objectType="CheckBox" fmlaLink="$N$29" lockText="1" noThreeD="1"/>
</file>

<file path=xl/ctrlProps/ctrlProp625.xml><?xml version="1.0" encoding="utf-8"?>
<formControlPr xmlns="http://schemas.microsoft.com/office/spreadsheetml/2009/9/main" objectType="CheckBox" checked="Checked" lockText="1" noThreeD="1"/>
</file>

<file path=xl/ctrlProps/ctrlProp626.xml><?xml version="1.0" encoding="utf-8"?>
<formControlPr xmlns="http://schemas.microsoft.com/office/spreadsheetml/2009/9/main" objectType="CheckBox" checked="Checked" lockText="1" noThreeD="1"/>
</file>

<file path=xl/ctrlProps/ctrlProp627.xml><?xml version="1.0" encoding="utf-8"?>
<formControlPr xmlns="http://schemas.microsoft.com/office/spreadsheetml/2009/9/main" objectType="CheckBox" checked="Checked" lockText="1" noThreeD="1"/>
</file>

<file path=xl/ctrlProps/ctrlProp628.xml><?xml version="1.0" encoding="utf-8"?>
<formControlPr xmlns="http://schemas.microsoft.com/office/spreadsheetml/2009/9/main" objectType="CheckBox" checked="Checked" fmlaLink="$V$30" lockText="1" noThreeD="1"/>
</file>

<file path=xl/ctrlProps/ctrlProp629.xml><?xml version="1.0" encoding="utf-8"?>
<formControlPr xmlns="http://schemas.microsoft.com/office/spreadsheetml/2009/9/main" objectType="CheckBox" lockText="1" noThreeD="1"/>
</file>

<file path=xl/ctrlProps/ctrlProp630.xml><?xml version="1.0" encoding="utf-8"?>
<formControlPr xmlns="http://schemas.microsoft.com/office/spreadsheetml/2009/9/main" objectType="CheckBox" fmlaLink="$P$50" lockText="1" noThreeD="1"/>
</file>

<file path=xl/ctrlProps/ctrlProp631.xml><?xml version="1.0" encoding="utf-8"?>
<formControlPr xmlns="http://schemas.microsoft.com/office/spreadsheetml/2009/9/main" objectType="CheckBox" checked="Checked" lockText="1" noThreeD="1"/>
</file>

<file path=xl/ctrlProps/ctrlProp632.xml><?xml version="1.0" encoding="utf-8"?>
<formControlPr xmlns="http://schemas.microsoft.com/office/spreadsheetml/2009/9/main" objectType="CheckBox" fmlaLink="$D$7" lockText="1" noThreeD="1"/>
</file>

<file path=xl/ctrlProps/ctrlProp633.xml><?xml version="1.0" encoding="utf-8"?>
<formControlPr xmlns="http://schemas.microsoft.com/office/spreadsheetml/2009/9/main" objectType="CheckBox" fmlaLink="$D$9" lockText="1" noThreeD="1"/>
</file>

<file path=xl/ctrlProps/ctrlProp634.xml><?xml version="1.0" encoding="utf-8"?>
<formControlPr xmlns="http://schemas.microsoft.com/office/spreadsheetml/2009/9/main" objectType="CheckBox" checked="Checked" fmlaLink="$D$11"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0</xdr:colOff>
      <xdr:row>2</xdr:row>
      <xdr:rowOff>76200</xdr:rowOff>
    </xdr:from>
    <xdr:to>
      <xdr:col>17</xdr:col>
      <xdr:colOff>222250</xdr:colOff>
      <xdr:row>7</xdr:row>
      <xdr:rowOff>70908</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4076700" y="552450"/>
          <a:ext cx="781050" cy="81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57150</xdr:colOff>
      <xdr:row>2</xdr:row>
      <xdr:rowOff>161925</xdr:rowOff>
    </xdr:from>
    <xdr:to>
      <xdr:col>34</xdr:col>
      <xdr:colOff>41275</xdr:colOff>
      <xdr:row>7</xdr:row>
      <xdr:rowOff>48683</xdr:rowOff>
    </xdr:to>
    <xdr:pic>
      <xdr:nvPicPr>
        <xdr:cNvPr id="3" name="Picture 22" descr="BEIS Logo">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r="28366" b="28244"/>
        <a:stretch>
          <a:fillRect/>
        </a:stretch>
      </xdr:blipFill>
      <xdr:spPr>
        <a:xfrm>
          <a:off x="8407400" y="631825"/>
          <a:ext cx="803275" cy="724958"/>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28575</xdr:colOff>
          <xdr:row>29</xdr:row>
          <xdr:rowOff>104775</xdr:rowOff>
        </xdr:from>
        <xdr:to>
          <xdr:col>2</xdr:col>
          <xdr:colOff>238125</xdr:colOff>
          <xdr:row>29</xdr:row>
          <xdr:rowOff>257175</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4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30</xdr:row>
          <xdr:rowOff>66675</xdr:rowOff>
        </xdr:from>
        <xdr:to>
          <xdr:col>2</xdr:col>
          <xdr:colOff>257175</xdr:colOff>
          <xdr:row>30</xdr:row>
          <xdr:rowOff>276225</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4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31</xdr:row>
          <xdr:rowOff>38100</xdr:rowOff>
        </xdr:from>
        <xdr:to>
          <xdr:col>2</xdr:col>
          <xdr:colOff>238125</xdr:colOff>
          <xdr:row>31</xdr:row>
          <xdr:rowOff>276225</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4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16</xdr:col>
          <xdr:colOff>28575</xdr:colOff>
          <xdr:row>3</xdr:row>
          <xdr:rowOff>180975</xdr:rowOff>
        </xdr:from>
        <xdr:to>
          <xdr:col>17</xdr:col>
          <xdr:colOff>28575</xdr:colOff>
          <xdr:row>5</xdr:row>
          <xdr:rowOff>9525</xdr:rowOff>
        </xdr:to>
        <xdr:sp macro="" textlink="">
          <xdr:nvSpPr>
            <xdr:cNvPr id="11265" name="Check Box 1" hidden="1">
              <a:extLst>
                <a:ext uri="{63B3BB69-23CF-44E3-9099-C40C66FF867C}">
                  <a14:compatExt spid="_x0000_s11265"/>
                </a:ext>
                <a:ext uri="{FF2B5EF4-FFF2-40B4-BE49-F238E27FC236}">
                  <a16:creationId xmlns:a16="http://schemas.microsoft.com/office/drawing/2014/main" id="{00000000-0008-0000-1100-000001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15</xdr:row>
          <xdr:rowOff>47625</xdr:rowOff>
        </xdr:from>
        <xdr:to>
          <xdr:col>16</xdr:col>
          <xdr:colOff>238125</xdr:colOff>
          <xdr:row>15</xdr:row>
          <xdr:rowOff>276225</xdr:rowOff>
        </xdr:to>
        <xdr:sp macro="" textlink="">
          <xdr:nvSpPr>
            <xdr:cNvPr id="11266" name="Check Box 2" hidden="1">
              <a:extLst>
                <a:ext uri="{63B3BB69-23CF-44E3-9099-C40C66FF867C}">
                  <a14:compatExt spid="_x0000_s11266"/>
                </a:ext>
                <a:ext uri="{FF2B5EF4-FFF2-40B4-BE49-F238E27FC236}">
                  <a16:creationId xmlns:a16="http://schemas.microsoft.com/office/drawing/2014/main" id="{00000000-0008-0000-1100-000002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xdr:row>
          <xdr:rowOff>180975</xdr:rowOff>
        </xdr:from>
        <xdr:to>
          <xdr:col>21</xdr:col>
          <xdr:colOff>0</xdr:colOff>
          <xdr:row>5</xdr:row>
          <xdr:rowOff>0</xdr:rowOff>
        </xdr:to>
        <xdr:sp macro="" textlink="">
          <xdr:nvSpPr>
            <xdr:cNvPr id="11267" name="Check Box 3" hidden="1">
              <a:extLst>
                <a:ext uri="{63B3BB69-23CF-44E3-9099-C40C66FF867C}">
                  <a14:compatExt spid="_x0000_s11267"/>
                </a:ext>
                <a:ext uri="{FF2B5EF4-FFF2-40B4-BE49-F238E27FC236}">
                  <a16:creationId xmlns:a16="http://schemas.microsoft.com/office/drawing/2014/main" id="{00000000-0008-0000-1100-000003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15</xdr:row>
          <xdr:rowOff>47625</xdr:rowOff>
        </xdr:from>
        <xdr:to>
          <xdr:col>20</xdr:col>
          <xdr:colOff>238125</xdr:colOff>
          <xdr:row>15</xdr:row>
          <xdr:rowOff>257175</xdr:rowOff>
        </xdr:to>
        <xdr:sp macro="" textlink="">
          <xdr:nvSpPr>
            <xdr:cNvPr id="11268" name="Check Box 4" hidden="1">
              <a:extLst>
                <a:ext uri="{63B3BB69-23CF-44E3-9099-C40C66FF867C}">
                  <a14:compatExt spid="_x0000_s11268"/>
                </a:ext>
                <a:ext uri="{FF2B5EF4-FFF2-40B4-BE49-F238E27FC236}">
                  <a16:creationId xmlns:a16="http://schemas.microsoft.com/office/drawing/2014/main" id="{00000000-0008-0000-1100-000004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25</xdr:col>
          <xdr:colOff>28575</xdr:colOff>
          <xdr:row>4</xdr:row>
          <xdr:rowOff>28575</xdr:rowOff>
        </xdr:from>
        <xdr:to>
          <xdr:col>26</xdr:col>
          <xdr:colOff>0</xdr:colOff>
          <xdr:row>5</xdr:row>
          <xdr:rowOff>9525</xdr:rowOff>
        </xdr:to>
        <xdr:sp macro="" textlink="">
          <xdr:nvSpPr>
            <xdr:cNvPr id="25601" name="Check Box 1" hidden="1">
              <a:extLst>
                <a:ext uri="{63B3BB69-23CF-44E3-9099-C40C66FF867C}">
                  <a14:compatExt spid="_x0000_s25601"/>
                </a:ext>
                <a:ext uri="{FF2B5EF4-FFF2-40B4-BE49-F238E27FC236}">
                  <a16:creationId xmlns:a16="http://schemas.microsoft.com/office/drawing/2014/main" id="{00000000-0008-0000-1200-00000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xdr:row>
          <xdr:rowOff>28575</xdr:rowOff>
        </xdr:from>
        <xdr:to>
          <xdr:col>25</xdr:col>
          <xdr:colOff>257175</xdr:colOff>
          <xdr:row>5</xdr:row>
          <xdr:rowOff>238125</xdr:rowOff>
        </xdr:to>
        <xdr:sp macro="" textlink="">
          <xdr:nvSpPr>
            <xdr:cNvPr id="25602" name="Check Box 2" hidden="1">
              <a:extLst>
                <a:ext uri="{63B3BB69-23CF-44E3-9099-C40C66FF867C}">
                  <a14:compatExt spid="_x0000_s25602"/>
                </a:ext>
                <a:ext uri="{FF2B5EF4-FFF2-40B4-BE49-F238E27FC236}">
                  <a16:creationId xmlns:a16="http://schemas.microsoft.com/office/drawing/2014/main" id="{00000000-0008-0000-1200-00000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8</xdr:row>
          <xdr:rowOff>28575</xdr:rowOff>
        </xdr:from>
        <xdr:to>
          <xdr:col>7</xdr:col>
          <xdr:colOff>9525</xdr:colOff>
          <xdr:row>8</xdr:row>
          <xdr:rowOff>238125</xdr:rowOff>
        </xdr:to>
        <xdr:sp macro="" textlink="">
          <xdr:nvSpPr>
            <xdr:cNvPr id="25603" name="Check Box 3" hidden="1">
              <a:extLst>
                <a:ext uri="{63B3BB69-23CF-44E3-9099-C40C66FF867C}">
                  <a14:compatExt spid="_x0000_s25603"/>
                </a:ext>
                <a:ext uri="{FF2B5EF4-FFF2-40B4-BE49-F238E27FC236}">
                  <a16:creationId xmlns:a16="http://schemas.microsoft.com/office/drawing/2014/main" id="{00000000-0008-0000-1200-00000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xdr:row>
          <xdr:rowOff>28575</xdr:rowOff>
        </xdr:from>
        <xdr:to>
          <xdr:col>16</xdr:col>
          <xdr:colOff>9525</xdr:colOff>
          <xdr:row>8</xdr:row>
          <xdr:rowOff>219075</xdr:rowOff>
        </xdr:to>
        <xdr:sp macro="" textlink="">
          <xdr:nvSpPr>
            <xdr:cNvPr id="25604" name="Check Box 4" hidden="1">
              <a:extLst>
                <a:ext uri="{63B3BB69-23CF-44E3-9099-C40C66FF867C}">
                  <a14:compatExt spid="_x0000_s25604"/>
                </a:ext>
                <a:ext uri="{FF2B5EF4-FFF2-40B4-BE49-F238E27FC236}">
                  <a16:creationId xmlns:a16="http://schemas.microsoft.com/office/drawing/2014/main" id="{00000000-0008-0000-1200-00000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xdr:row>
          <xdr:rowOff>28575</xdr:rowOff>
        </xdr:from>
        <xdr:to>
          <xdr:col>25</xdr:col>
          <xdr:colOff>200025</xdr:colOff>
          <xdr:row>8</xdr:row>
          <xdr:rowOff>257175</xdr:rowOff>
        </xdr:to>
        <xdr:sp macro="" textlink="">
          <xdr:nvSpPr>
            <xdr:cNvPr id="25605" name="Check Box 5" hidden="1">
              <a:extLst>
                <a:ext uri="{63B3BB69-23CF-44E3-9099-C40C66FF867C}">
                  <a14:compatExt spid="_x0000_s25605"/>
                </a:ext>
                <a:ext uri="{FF2B5EF4-FFF2-40B4-BE49-F238E27FC236}">
                  <a16:creationId xmlns:a16="http://schemas.microsoft.com/office/drawing/2014/main" id="{00000000-0008-0000-1200-00000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8</xdr:row>
          <xdr:rowOff>257175</xdr:rowOff>
        </xdr:from>
        <xdr:to>
          <xdr:col>7</xdr:col>
          <xdr:colOff>28575</xdr:colOff>
          <xdr:row>9</xdr:row>
          <xdr:rowOff>238125</xdr:rowOff>
        </xdr:to>
        <xdr:sp macro="" textlink="">
          <xdr:nvSpPr>
            <xdr:cNvPr id="25606" name="Check Box 6" hidden="1">
              <a:extLst>
                <a:ext uri="{63B3BB69-23CF-44E3-9099-C40C66FF867C}">
                  <a14:compatExt spid="_x0000_s25606"/>
                </a:ext>
                <a:ext uri="{FF2B5EF4-FFF2-40B4-BE49-F238E27FC236}">
                  <a16:creationId xmlns:a16="http://schemas.microsoft.com/office/drawing/2014/main" id="{00000000-0008-0000-1200-00000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xdr:row>
          <xdr:rowOff>9525</xdr:rowOff>
        </xdr:from>
        <xdr:to>
          <xdr:col>16</xdr:col>
          <xdr:colOff>66675</xdr:colOff>
          <xdr:row>9</xdr:row>
          <xdr:rowOff>228600</xdr:rowOff>
        </xdr:to>
        <xdr:sp macro="" textlink="">
          <xdr:nvSpPr>
            <xdr:cNvPr id="25607" name="Check Box 7" hidden="1">
              <a:extLst>
                <a:ext uri="{63B3BB69-23CF-44E3-9099-C40C66FF867C}">
                  <a14:compatExt spid="_x0000_s25607"/>
                </a:ext>
                <a:ext uri="{FF2B5EF4-FFF2-40B4-BE49-F238E27FC236}">
                  <a16:creationId xmlns:a16="http://schemas.microsoft.com/office/drawing/2014/main" id="{00000000-0008-0000-1200-00000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10</xdr:row>
          <xdr:rowOff>238125</xdr:rowOff>
        </xdr:from>
        <xdr:to>
          <xdr:col>7</xdr:col>
          <xdr:colOff>9525</xdr:colOff>
          <xdr:row>12</xdr:row>
          <xdr:rowOff>9525</xdr:rowOff>
        </xdr:to>
        <xdr:sp macro="" textlink="">
          <xdr:nvSpPr>
            <xdr:cNvPr id="25608" name="Check Box 8" hidden="1">
              <a:extLst>
                <a:ext uri="{63B3BB69-23CF-44E3-9099-C40C66FF867C}">
                  <a14:compatExt spid="_x0000_s25608"/>
                </a:ext>
                <a:ext uri="{FF2B5EF4-FFF2-40B4-BE49-F238E27FC236}">
                  <a16:creationId xmlns:a16="http://schemas.microsoft.com/office/drawing/2014/main" id="{00000000-0008-0000-1200-00000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11</xdr:row>
          <xdr:rowOff>9525</xdr:rowOff>
        </xdr:from>
        <xdr:to>
          <xdr:col>16</xdr:col>
          <xdr:colOff>9525</xdr:colOff>
          <xdr:row>11</xdr:row>
          <xdr:rowOff>238125</xdr:rowOff>
        </xdr:to>
        <xdr:sp macro="" textlink="">
          <xdr:nvSpPr>
            <xdr:cNvPr id="25609" name="Check Box 9" hidden="1">
              <a:extLst>
                <a:ext uri="{63B3BB69-23CF-44E3-9099-C40C66FF867C}">
                  <a14:compatExt spid="_x0000_s25609"/>
                </a:ext>
                <a:ext uri="{FF2B5EF4-FFF2-40B4-BE49-F238E27FC236}">
                  <a16:creationId xmlns:a16="http://schemas.microsoft.com/office/drawing/2014/main" id="{00000000-0008-0000-1200-00000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38100</xdr:colOff>
          <xdr:row>11</xdr:row>
          <xdr:rowOff>28575</xdr:rowOff>
        </xdr:from>
        <xdr:to>
          <xdr:col>25</xdr:col>
          <xdr:colOff>257175</xdr:colOff>
          <xdr:row>11</xdr:row>
          <xdr:rowOff>238125</xdr:rowOff>
        </xdr:to>
        <xdr:sp macro="" textlink="">
          <xdr:nvSpPr>
            <xdr:cNvPr id="25610" name="Check Box 10" hidden="1">
              <a:extLst>
                <a:ext uri="{63B3BB69-23CF-44E3-9099-C40C66FF867C}">
                  <a14:compatExt spid="_x0000_s25610"/>
                </a:ext>
                <a:ext uri="{FF2B5EF4-FFF2-40B4-BE49-F238E27FC236}">
                  <a16:creationId xmlns:a16="http://schemas.microsoft.com/office/drawing/2014/main" id="{00000000-0008-0000-1200-00000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12</xdr:row>
          <xdr:rowOff>28575</xdr:rowOff>
        </xdr:from>
        <xdr:to>
          <xdr:col>6</xdr:col>
          <xdr:colOff>257175</xdr:colOff>
          <xdr:row>12</xdr:row>
          <xdr:rowOff>219075</xdr:rowOff>
        </xdr:to>
        <xdr:sp macro="" textlink="">
          <xdr:nvSpPr>
            <xdr:cNvPr id="25611" name="Check Box 11" hidden="1">
              <a:extLst>
                <a:ext uri="{63B3BB69-23CF-44E3-9099-C40C66FF867C}">
                  <a14:compatExt spid="_x0000_s25611"/>
                </a:ext>
                <a:ext uri="{FF2B5EF4-FFF2-40B4-BE49-F238E27FC236}">
                  <a16:creationId xmlns:a16="http://schemas.microsoft.com/office/drawing/2014/main" id="{00000000-0008-0000-1200-00000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12</xdr:row>
          <xdr:rowOff>28575</xdr:rowOff>
        </xdr:from>
        <xdr:to>
          <xdr:col>16</xdr:col>
          <xdr:colOff>9525</xdr:colOff>
          <xdr:row>12</xdr:row>
          <xdr:rowOff>219075</xdr:rowOff>
        </xdr:to>
        <xdr:sp macro="" textlink="">
          <xdr:nvSpPr>
            <xdr:cNvPr id="25612" name="Check Box 12" hidden="1">
              <a:extLst>
                <a:ext uri="{63B3BB69-23CF-44E3-9099-C40C66FF867C}">
                  <a14:compatExt spid="_x0000_s25612"/>
                </a:ext>
                <a:ext uri="{FF2B5EF4-FFF2-40B4-BE49-F238E27FC236}">
                  <a16:creationId xmlns:a16="http://schemas.microsoft.com/office/drawing/2014/main" id="{00000000-0008-0000-1200-00000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13</xdr:row>
          <xdr:rowOff>47625</xdr:rowOff>
        </xdr:from>
        <xdr:to>
          <xdr:col>25</xdr:col>
          <xdr:colOff>257175</xdr:colOff>
          <xdr:row>13</xdr:row>
          <xdr:rowOff>219075</xdr:rowOff>
        </xdr:to>
        <xdr:sp macro="" textlink="">
          <xdr:nvSpPr>
            <xdr:cNvPr id="25613" name="Check Box 13" hidden="1">
              <a:extLst>
                <a:ext uri="{63B3BB69-23CF-44E3-9099-C40C66FF867C}">
                  <a14:compatExt spid="_x0000_s25613"/>
                </a:ext>
                <a:ext uri="{FF2B5EF4-FFF2-40B4-BE49-F238E27FC236}">
                  <a16:creationId xmlns:a16="http://schemas.microsoft.com/office/drawing/2014/main" id="{00000000-0008-0000-1200-00000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14</xdr:row>
          <xdr:rowOff>28575</xdr:rowOff>
        </xdr:from>
        <xdr:to>
          <xdr:col>25</xdr:col>
          <xdr:colOff>257175</xdr:colOff>
          <xdr:row>14</xdr:row>
          <xdr:rowOff>238125</xdr:rowOff>
        </xdr:to>
        <xdr:sp macro="" textlink="">
          <xdr:nvSpPr>
            <xdr:cNvPr id="25614" name="Check Box 14" hidden="1">
              <a:extLst>
                <a:ext uri="{63B3BB69-23CF-44E3-9099-C40C66FF867C}">
                  <a14:compatExt spid="_x0000_s25614"/>
                </a:ext>
                <a:ext uri="{FF2B5EF4-FFF2-40B4-BE49-F238E27FC236}">
                  <a16:creationId xmlns:a16="http://schemas.microsoft.com/office/drawing/2014/main" id="{00000000-0008-0000-1200-00000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15</xdr:row>
          <xdr:rowOff>9525</xdr:rowOff>
        </xdr:from>
        <xdr:to>
          <xdr:col>26</xdr:col>
          <xdr:colOff>9525</xdr:colOff>
          <xdr:row>15</xdr:row>
          <xdr:rowOff>257175</xdr:rowOff>
        </xdr:to>
        <xdr:sp macro="" textlink="">
          <xdr:nvSpPr>
            <xdr:cNvPr id="25615" name="Check Box 15" hidden="1">
              <a:extLst>
                <a:ext uri="{63B3BB69-23CF-44E3-9099-C40C66FF867C}">
                  <a14:compatExt spid="_x0000_s25615"/>
                </a:ext>
                <a:ext uri="{FF2B5EF4-FFF2-40B4-BE49-F238E27FC236}">
                  <a16:creationId xmlns:a16="http://schemas.microsoft.com/office/drawing/2014/main" id="{00000000-0008-0000-1200-00000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17</xdr:row>
          <xdr:rowOff>9525</xdr:rowOff>
        </xdr:from>
        <xdr:to>
          <xdr:col>25</xdr:col>
          <xdr:colOff>266700</xdr:colOff>
          <xdr:row>17</xdr:row>
          <xdr:rowOff>257175</xdr:rowOff>
        </xdr:to>
        <xdr:sp macro="" textlink="">
          <xdr:nvSpPr>
            <xdr:cNvPr id="25617" name="Check Box 17" hidden="1">
              <a:extLst>
                <a:ext uri="{63B3BB69-23CF-44E3-9099-C40C66FF867C}">
                  <a14:compatExt spid="_x0000_s25617"/>
                </a:ext>
                <a:ext uri="{FF2B5EF4-FFF2-40B4-BE49-F238E27FC236}">
                  <a16:creationId xmlns:a16="http://schemas.microsoft.com/office/drawing/2014/main" id="{00000000-0008-0000-1200-00001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18</xdr:row>
          <xdr:rowOff>38100</xdr:rowOff>
        </xdr:from>
        <xdr:to>
          <xdr:col>25</xdr:col>
          <xdr:colOff>257175</xdr:colOff>
          <xdr:row>18</xdr:row>
          <xdr:rowOff>219075</xdr:rowOff>
        </xdr:to>
        <xdr:sp macro="" textlink="">
          <xdr:nvSpPr>
            <xdr:cNvPr id="25618" name="Check Box 18" hidden="1">
              <a:extLst>
                <a:ext uri="{63B3BB69-23CF-44E3-9099-C40C66FF867C}">
                  <a14:compatExt spid="_x0000_s25618"/>
                </a:ext>
                <a:ext uri="{FF2B5EF4-FFF2-40B4-BE49-F238E27FC236}">
                  <a16:creationId xmlns:a16="http://schemas.microsoft.com/office/drawing/2014/main" id="{00000000-0008-0000-1200-00001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20</xdr:row>
          <xdr:rowOff>85725</xdr:rowOff>
        </xdr:from>
        <xdr:to>
          <xdr:col>26</xdr:col>
          <xdr:colOff>28575</xdr:colOff>
          <xdr:row>20</xdr:row>
          <xdr:rowOff>333375</xdr:rowOff>
        </xdr:to>
        <xdr:sp macro="" textlink="">
          <xdr:nvSpPr>
            <xdr:cNvPr id="25619" name="Check Box 19" hidden="1">
              <a:extLst>
                <a:ext uri="{63B3BB69-23CF-44E3-9099-C40C66FF867C}">
                  <a14:compatExt spid="_x0000_s25619"/>
                </a:ext>
                <a:ext uri="{FF2B5EF4-FFF2-40B4-BE49-F238E27FC236}">
                  <a16:creationId xmlns:a16="http://schemas.microsoft.com/office/drawing/2014/main" id="{00000000-0008-0000-1200-00001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16</xdr:row>
          <xdr:rowOff>28575</xdr:rowOff>
        </xdr:from>
        <xdr:to>
          <xdr:col>26</xdr:col>
          <xdr:colOff>9525</xdr:colOff>
          <xdr:row>16</xdr:row>
          <xdr:rowOff>257175</xdr:rowOff>
        </xdr:to>
        <xdr:sp macro="" textlink="">
          <xdr:nvSpPr>
            <xdr:cNvPr id="25620" name="Check Box 20" hidden="1">
              <a:extLst>
                <a:ext uri="{63B3BB69-23CF-44E3-9099-C40C66FF867C}">
                  <a14:compatExt spid="_x0000_s25620"/>
                </a:ext>
                <a:ext uri="{FF2B5EF4-FFF2-40B4-BE49-F238E27FC236}">
                  <a16:creationId xmlns:a16="http://schemas.microsoft.com/office/drawing/2014/main" id="{00000000-0008-0000-1200-00001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xdr:row>
          <xdr:rowOff>9525</xdr:rowOff>
        </xdr:from>
        <xdr:to>
          <xdr:col>31</xdr:col>
          <xdr:colOff>9525</xdr:colOff>
          <xdr:row>4</xdr:row>
          <xdr:rowOff>257175</xdr:rowOff>
        </xdr:to>
        <xdr:sp macro="" textlink="">
          <xdr:nvSpPr>
            <xdr:cNvPr id="25621" name="Check Box 21" hidden="1">
              <a:extLst>
                <a:ext uri="{63B3BB69-23CF-44E3-9099-C40C66FF867C}">
                  <a14:compatExt spid="_x0000_s25621"/>
                </a:ext>
                <a:ext uri="{FF2B5EF4-FFF2-40B4-BE49-F238E27FC236}">
                  <a16:creationId xmlns:a16="http://schemas.microsoft.com/office/drawing/2014/main" id="{00000000-0008-0000-1200-00001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xdr:row>
          <xdr:rowOff>9525</xdr:rowOff>
        </xdr:from>
        <xdr:to>
          <xdr:col>31</xdr:col>
          <xdr:colOff>28575</xdr:colOff>
          <xdr:row>6</xdr:row>
          <xdr:rowOff>9525</xdr:rowOff>
        </xdr:to>
        <xdr:sp macro="" textlink="">
          <xdr:nvSpPr>
            <xdr:cNvPr id="25622" name="Check Box 22" hidden="1">
              <a:extLst>
                <a:ext uri="{63B3BB69-23CF-44E3-9099-C40C66FF867C}">
                  <a14:compatExt spid="_x0000_s25622"/>
                </a:ext>
                <a:ext uri="{FF2B5EF4-FFF2-40B4-BE49-F238E27FC236}">
                  <a16:creationId xmlns:a16="http://schemas.microsoft.com/office/drawing/2014/main" id="{00000000-0008-0000-1200-00001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13</xdr:row>
          <xdr:rowOff>28575</xdr:rowOff>
        </xdr:from>
        <xdr:to>
          <xdr:col>31</xdr:col>
          <xdr:colOff>47625</xdr:colOff>
          <xdr:row>13</xdr:row>
          <xdr:rowOff>257175</xdr:rowOff>
        </xdr:to>
        <xdr:sp macro="" textlink="">
          <xdr:nvSpPr>
            <xdr:cNvPr id="25623" name="Check Box 23" hidden="1">
              <a:extLst>
                <a:ext uri="{63B3BB69-23CF-44E3-9099-C40C66FF867C}">
                  <a14:compatExt spid="_x0000_s25623"/>
                </a:ext>
                <a:ext uri="{FF2B5EF4-FFF2-40B4-BE49-F238E27FC236}">
                  <a16:creationId xmlns:a16="http://schemas.microsoft.com/office/drawing/2014/main" id="{00000000-0008-0000-1200-00001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14</xdr:row>
          <xdr:rowOff>9525</xdr:rowOff>
        </xdr:from>
        <xdr:to>
          <xdr:col>31</xdr:col>
          <xdr:colOff>9525</xdr:colOff>
          <xdr:row>14</xdr:row>
          <xdr:rowOff>257175</xdr:rowOff>
        </xdr:to>
        <xdr:sp macro="" textlink="">
          <xdr:nvSpPr>
            <xdr:cNvPr id="25624" name="Check Box 24" hidden="1">
              <a:extLst>
                <a:ext uri="{63B3BB69-23CF-44E3-9099-C40C66FF867C}">
                  <a14:compatExt spid="_x0000_s25624"/>
                </a:ext>
                <a:ext uri="{FF2B5EF4-FFF2-40B4-BE49-F238E27FC236}">
                  <a16:creationId xmlns:a16="http://schemas.microsoft.com/office/drawing/2014/main" id="{00000000-0008-0000-1200-00001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15</xdr:row>
          <xdr:rowOff>28575</xdr:rowOff>
        </xdr:from>
        <xdr:to>
          <xdr:col>31</xdr:col>
          <xdr:colOff>9525</xdr:colOff>
          <xdr:row>15</xdr:row>
          <xdr:rowOff>238125</xdr:rowOff>
        </xdr:to>
        <xdr:sp macro="" textlink="">
          <xdr:nvSpPr>
            <xdr:cNvPr id="25625" name="Check Box 25" hidden="1">
              <a:extLst>
                <a:ext uri="{63B3BB69-23CF-44E3-9099-C40C66FF867C}">
                  <a14:compatExt spid="_x0000_s25625"/>
                </a:ext>
                <a:ext uri="{FF2B5EF4-FFF2-40B4-BE49-F238E27FC236}">
                  <a16:creationId xmlns:a16="http://schemas.microsoft.com/office/drawing/2014/main" id="{00000000-0008-0000-1200-00001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16</xdr:row>
          <xdr:rowOff>28575</xdr:rowOff>
        </xdr:from>
        <xdr:to>
          <xdr:col>30</xdr:col>
          <xdr:colOff>238125</xdr:colOff>
          <xdr:row>16</xdr:row>
          <xdr:rowOff>238125</xdr:rowOff>
        </xdr:to>
        <xdr:sp macro="" textlink="">
          <xdr:nvSpPr>
            <xdr:cNvPr id="25626" name="Check Box 26" hidden="1">
              <a:extLst>
                <a:ext uri="{63B3BB69-23CF-44E3-9099-C40C66FF867C}">
                  <a14:compatExt spid="_x0000_s25626"/>
                </a:ext>
                <a:ext uri="{FF2B5EF4-FFF2-40B4-BE49-F238E27FC236}">
                  <a16:creationId xmlns:a16="http://schemas.microsoft.com/office/drawing/2014/main" id="{00000000-0008-0000-1200-00001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17</xdr:row>
          <xdr:rowOff>28575</xdr:rowOff>
        </xdr:from>
        <xdr:to>
          <xdr:col>30</xdr:col>
          <xdr:colOff>266700</xdr:colOff>
          <xdr:row>17</xdr:row>
          <xdr:rowOff>238125</xdr:rowOff>
        </xdr:to>
        <xdr:sp macro="" textlink="">
          <xdr:nvSpPr>
            <xdr:cNvPr id="25627" name="Check Box 27" hidden="1">
              <a:extLst>
                <a:ext uri="{63B3BB69-23CF-44E3-9099-C40C66FF867C}">
                  <a14:compatExt spid="_x0000_s25627"/>
                </a:ext>
                <a:ext uri="{FF2B5EF4-FFF2-40B4-BE49-F238E27FC236}">
                  <a16:creationId xmlns:a16="http://schemas.microsoft.com/office/drawing/2014/main" id="{00000000-0008-0000-1200-00001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18</xdr:row>
          <xdr:rowOff>9525</xdr:rowOff>
        </xdr:from>
        <xdr:to>
          <xdr:col>31</xdr:col>
          <xdr:colOff>9525</xdr:colOff>
          <xdr:row>18</xdr:row>
          <xdr:rowOff>257175</xdr:rowOff>
        </xdr:to>
        <xdr:sp macro="" textlink="">
          <xdr:nvSpPr>
            <xdr:cNvPr id="25628" name="Check Box 28" hidden="1">
              <a:extLst>
                <a:ext uri="{63B3BB69-23CF-44E3-9099-C40C66FF867C}">
                  <a14:compatExt spid="_x0000_s25628"/>
                </a:ext>
                <a:ext uri="{FF2B5EF4-FFF2-40B4-BE49-F238E27FC236}">
                  <a16:creationId xmlns:a16="http://schemas.microsoft.com/office/drawing/2014/main" id="{00000000-0008-0000-1200-00001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20</xdr:row>
          <xdr:rowOff>104775</xdr:rowOff>
        </xdr:from>
        <xdr:to>
          <xdr:col>30</xdr:col>
          <xdr:colOff>257175</xdr:colOff>
          <xdr:row>20</xdr:row>
          <xdr:rowOff>333375</xdr:rowOff>
        </xdr:to>
        <xdr:sp macro="" textlink="">
          <xdr:nvSpPr>
            <xdr:cNvPr id="25629" name="Check Box 29" hidden="1">
              <a:extLst>
                <a:ext uri="{63B3BB69-23CF-44E3-9099-C40C66FF867C}">
                  <a14:compatExt spid="_x0000_s25629"/>
                </a:ext>
                <a:ext uri="{FF2B5EF4-FFF2-40B4-BE49-F238E27FC236}">
                  <a16:creationId xmlns:a16="http://schemas.microsoft.com/office/drawing/2014/main" id="{00000000-0008-0000-1200-00001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27</xdr:row>
          <xdr:rowOff>9525</xdr:rowOff>
        </xdr:from>
        <xdr:to>
          <xdr:col>29</xdr:col>
          <xdr:colOff>266700</xdr:colOff>
          <xdr:row>28</xdr:row>
          <xdr:rowOff>0</xdr:rowOff>
        </xdr:to>
        <xdr:sp macro="" textlink="">
          <xdr:nvSpPr>
            <xdr:cNvPr id="25630" name="Check Box 30" hidden="1">
              <a:extLst>
                <a:ext uri="{63B3BB69-23CF-44E3-9099-C40C66FF867C}">
                  <a14:compatExt spid="_x0000_s25630"/>
                </a:ext>
                <a:ext uri="{FF2B5EF4-FFF2-40B4-BE49-F238E27FC236}">
                  <a16:creationId xmlns:a16="http://schemas.microsoft.com/office/drawing/2014/main" id="{00000000-0008-0000-1200-00001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28</xdr:row>
          <xdr:rowOff>9525</xdr:rowOff>
        </xdr:from>
        <xdr:to>
          <xdr:col>30</xdr:col>
          <xdr:colOff>9525</xdr:colOff>
          <xdr:row>28</xdr:row>
          <xdr:rowOff>238125</xdr:rowOff>
        </xdr:to>
        <xdr:sp macro="" textlink="">
          <xdr:nvSpPr>
            <xdr:cNvPr id="25631" name="Check Box 31" hidden="1">
              <a:extLst>
                <a:ext uri="{63B3BB69-23CF-44E3-9099-C40C66FF867C}">
                  <a14:compatExt spid="_x0000_s25631"/>
                </a:ext>
                <a:ext uri="{FF2B5EF4-FFF2-40B4-BE49-F238E27FC236}">
                  <a16:creationId xmlns:a16="http://schemas.microsoft.com/office/drawing/2014/main" id="{00000000-0008-0000-1200-00001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29</xdr:row>
          <xdr:rowOff>123825</xdr:rowOff>
        </xdr:from>
        <xdr:to>
          <xdr:col>29</xdr:col>
          <xdr:colOff>266700</xdr:colOff>
          <xdr:row>29</xdr:row>
          <xdr:rowOff>314325</xdr:rowOff>
        </xdr:to>
        <xdr:sp macro="" textlink="">
          <xdr:nvSpPr>
            <xdr:cNvPr id="25632" name="Check Box 32" hidden="1">
              <a:extLst>
                <a:ext uri="{63B3BB69-23CF-44E3-9099-C40C66FF867C}">
                  <a14:compatExt spid="_x0000_s25632"/>
                </a:ext>
                <a:ext uri="{FF2B5EF4-FFF2-40B4-BE49-F238E27FC236}">
                  <a16:creationId xmlns:a16="http://schemas.microsoft.com/office/drawing/2014/main" id="{00000000-0008-0000-1200-00002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30</xdr:row>
          <xdr:rowOff>66675</xdr:rowOff>
        </xdr:from>
        <xdr:to>
          <xdr:col>29</xdr:col>
          <xdr:colOff>228600</xdr:colOff>
          <xdr:row>30</xdr:row>
          <xdr:rowOff>333375</xdr:rowOff>
        </xdr:to>
        <xdr:sp macro="" textlink="">
          <xdr:nvSpPr>
            <xdr:cNvPr id="25633" name="Check Box 33" hidden="1">
              <a:extLst>
                <a:ext uri="{63B3BB69-23CF-44E3-9099-C40C66FF867C}">
                  <a14:compatExt spid="_x0000_s25633"/>
                </a:ext>
                <a:ext uri="{FF2B5EF4-FFF2-40B4-BE49-F238E27FC236}">
                  <a16:creationId xmlns:a16="http://schemas.microsoft.com/office/drawing/2014/main" id="{00000000-0008-0000-1200-00002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31</xdr:row>
          <xdr:rowOff>123825</xdr:rowOff>
        </xdr:from>
        <xdr:to>
          <xdr:col>29</xdr:col>
          <xdr:colOff>257175</xdr:colOff>
          <xdr:row>31</xdr:row>
          <xdr:rowOff>314325</xdr:rowOff>
        </xdr:to>
        <xdr:sp macro="" textlink="">
          <xdr:nvSpPr>
            <xdr:cNvPr id="25634" name="Check Box 34" hidden="1">
              <a:extLst>
                <a:ext uri="{63B3BB69-23CF-44E3-9099-C40C66FF867C}">
                  <a14:compatExt spid="_x0000_s25634"/>
                </a:ext>
                <a:ext uri="{FF2B5EF4-FFF2-40B4-BE49-F238E27FC236}">
                  <a16:creationId xmlns:a16="http://schemas.microsoft.com/office/drawing/2014/main" id="{00000000-0008-0000-1200-00002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32</xdr:row>
          <xdr:rowOff>76200</xdr:rowOff>
        </xdr:from>
        <xdr:to>
          <xdr:col>30</xdr:col>
          <xdr:colOff>28575</xdr:colOff>
          <xdr:row>32</xdr:row>
          <xdr:rowOff>314325</xdr:rowOff>
        </xdr:to>
        <xdr:sp macro="" textlink="">
          <xdr:nvSpPr>
            <xdr:cNvPr id="25635" name="Check Box 35" hidden="1">
              <a:extLst>
                <a:ext uri="{63B3BB69-23CF-44E3-9099-C40C66FF867C}">
                  <a14:compatExt spid="_x0000_s25635"/>
                </a:ext>
                <a:ext uri="{FF2B5EF4-FFF2-40B4-BE49-F238E27FC236}">
                  <a16:creationId xmlns:a16="http://schemas.microsoft.com/office/drawing/2014/main" id="{00000000-0008-0000-1200-00002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33</xdr:row>
          <xdr:rowOff>219075</xdr:rowOff>
        </xdr:from>
        <xdr:to>
          <xdr:col>30</xdr:col>
          <xdr:colOff>0</xdr:colOff>
          <xdr:row>33</xdr:row>
          <xdr:rowOff>447675</xdr:rowOff>
        </xdr:to>
        <xdr:sp macro="" textlink="">
          <xdr:nvSpPr>
            <xdr:cNvPr id="25636" name="Check Box 36" hidden="1">
              <a:extLst>
                <a:ext uri="{63B3BB69-23CF-44E3-9099-C40C66FF867C}">
                  <a14:compatExt spid="_x0000_s25636"/>
                </a:ext>
                <a:ext uri="{FF2B5EF4-FFF2-40B4-BE49-F238E27FC236}">
                  <a16:creationId xmlns:a16="http://schemas.microsoft.com/office/drawing/2014/main" id="{00000000-0008-0000-1200-00002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34</xdr:row>
          <xdr:rowOff>85725</xdr:rowOff>
        </xdr:from>
        <xdr:to>
          <xdr:col>30</xdr:col>
          <xdr:colOff>9525</xdr:colOff>
          <xdr:row>34</xdr:row>
          <xdr:rowOff>314325</xdr:rowOff>
        </xdr:to>
        <xdr:sp macro="" textlink="">
          <xdr:nvSpPr>
            <xdr:cNvPr id="25637" name="Check Box 37" hidden="1">
              <a:extLst>
                <a:ext uri="{63B3BB69-23CF-44E3-9099-C40C66FF867C}">
                  <a14:compatExt spid="_x0000_s25637"/>
                </a:ext>
                <a:ext uri="{FF2B5EF4-FFF2-40B4-BE49-F238E27FC236}">
                  <a16:creationId xmlns:a16="http://schemas.microsoft.com/office/drawing/2014/main" id="{00000000-0008-0000-1200-00002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40</xdr:row>
          <xdr:rowOff>9525</xdr:rowOff>
        </xdr:from>
        <xdr:to>
          <xdr:col>26</xdr:col>
          <xdr:colOff>9525</xdr:colOff>
          <xdr:row>40</xdr:row>
          <xdr:rowOff>238125</xdr:rowOff>
        </xdr:to>
        <xdr:sp macro="" textlink="">
          <xdr:nvSpPr>
            <xdr:cNvPr id="25638" name="Check Box 38" hidden="1">
              <a:extLst>
                <a:ext uri="{63B3BB69-23CF-44E3-9099-C40C66FF867C}">
                  <a14:compatExt spid="_x0000_s25638"/>
                </a:ext>
                <a:ext uri="{FF2B5EF4-FFF2-40B4-BE49-F238E27FC236}">
                  <a16:creationId xmlns:a16="http://schemas.microsoft.com/office/drawing/2014/main" id="{00000000-0008-0000-1200-00002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43</xdr:row>
          <xdr:rowOff>9525</xdr:rowOff>
        </xdr:from>
        <xdr:to>
          <xdr:col>26</xdr:col>
          <xdr:colOff>9525</xdr:colOff>
          <xdr:row>43</xdr:row>
          <xdr:rowOff>238125</xdr:rowOff>
        </xdr:to>
        <xdr:sp macro="" textlink="">
          <xdr:nvSpPr>
            <xdr:cNvPr id="25639" name="Check Box 39" hidden="1">
              <a:extLst>
                <a:ext uri="{63B3BB69-23CF-44E3-9099-C40C66FF867C}">
                  <a14:compatExt spid="_x0000_s25639"/>
                </a:ext>
                <a:ext uri="{FF2B5EF4-FFF2-40B4-BE49-F238E27FC236}">
                  <a16:creationId xmlns:a16="http://schemas.microsoft.com/office/drawing/2014/main" id="{00000000-0008-0000-1200-00002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38100</xdr:colOff>
          <xdr:row>45</xdr:row>
          <xdr:rowOff>28575</xdr:rowOff>
        </xdr:from>
        <xdr:to>
          <xdr:col>26</xdr:col>
          <xdr:colOff>28575</xdr:colOff>
          <xdr:row>45</xdr:row>
          <xdr:rowOff>228600</xdr:rowOff>
        </xdr:to>
        <xdr:sp macro="" textlink="">
          <xdr:nvSpPr>
            <xdr:cNvPr id="25640" name="Check Box 40" hidden="1">
              <a:extLst>
                <a:ext uri="{63B3BB69-23CF-44E3-9099-C40C66FF867C}">
                  <a14:compatExt spid="_x0000_s25640"/>
                </a:ext>
                <a:ext uri="{FF2B5EF4-FFF2-40B4-BE49-F238E27FC236}">
                  <a16:creationId xmlns:a16="http://schemas.microsoft.com/office/drawing/2014/main" id="{00000000-0008-0000-1200-00002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46</xdr:row>
          <xdr:rowOff>9525</xdr:rowOff>
        </xdr:from>
        <xdr:to>
          <xdr:col>25</xdr:col>
          <xdr:colOff>238125</xdr:colOff>
          <xdr:row>46</xdr:row>
          <xdr:rowOff>219075</xdr:rowOff>
        </xdr:to>
        <xdr:sp macro="" textlink="">
          <xdr:nvSpPr>
            <xdr:cNvPr id="25641" name="Check Box 41" hidden="1">
              <a:extLst>
                <a:ext uri="{63B3BB69-23CF-44E3-9099-C40C66FF867C}">
                  <a14:compatExt spid="_x0000_s25641"/>
                </a:ext>
                <a:ext uri="{FF2B5EF4-FFF2-40B4-BE49-F238E27FC236}">
                  <a16:creationId xmlns:a16="http://schemas.microsoft.com/office/drawing/2014/main" id="{00000000-0008-0000-1200-00002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47</xdr:row>
          <xdr:rowOff>0</xdr:rowOff>
        </xdr:from>
        <xdr:to>
          <xdr:col>26</xdr:col>
          <xdr:colOff>28575</xdr:colOff>
          <xdr:row>47</xdr:row>
          <xdr:rowOff>200025</xdr:rowOff>
        </xdr:to>
        <xdr:sp macro="" textlink="">
          <xdr:nvSpPr>
            <xdr:cNvPr id="25642" name="Check Box 42" hidden="1">
              <a:extLst>
                <a:ext uri="{63B3BB69-23CF-44E3-9099-C40C66FF867C}">
                  <a14:compatExt spid="_x0000_s25642"/>
                </a:ext>
                <a:ext uri="{FF2B5EF4-FFF2-40B4-BE49-F238E27FC236}">
                  <a16:creationId xmlns:a16="http://schemas.microsoft.com/office/drawing/2014/main" id="{00000000-0008-0000-1200-00002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27</xdr:row>
          <xdr:rowOff>28575</xdr:rowOff>
        </xdr:from>
        <xdr:to>
          <xdr:col>35</xdr:col>
          <xdr:colOff>0</xdr:colOff>
          <xdr:row>27</xdr:row>
          <xdr:rowOff>257175</xdr:rowOff>
        </xdr:to>
        <xdr:sp macro="" textlink="">
          <xdr:nvSpPr>
            <xdr:cNvPr id="25643" name="Check Box 43" hidden="1">
              <a:extLst>
                <a:ext uri="{63B3BB69-23CF-44E3-9099-C40C66FF867C}">
                  <a14:compatExt spid="_x0000_s25643"/>
                </a:ext>
                <a:ext uri="{FF2B5EF4-FFF2-40B4-BE49-F238E27FC236}">
                  <a16:creationId xmlns:a16="http://schemas.microsoft.com/office/drawing/2014/main" id="{00000000-0008-0000-1200-00002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28</xdr:row>
          <xdr:rowOff>38100</xdr:rowOff>
        </xdr:from>
        <xdr:to>
          <xdr:col>35</xdr:col>
          <xdr:colOff>0</xdr:colOff>
          <xdr:row>28</xdr:row>
          <xdr:rowOff>228600</xdr:rowOff>
        </xdr:to>
        <xdr:sp macro="" textlink="">
          <xdr:nvSpPr>
            <xdr:cNvPr id="25644" name="Check Box 44" hidden="1">
              <a:extLst>
                <a:ext uri="{63B3BB69-23CF-44E3-9099-C40C66FF867C}">
                  <a14:compatExt spid="_x0000_s25644"/>
                </a:ext>
                <a:ext uri="{FF2B5EF4-FFF2-40B4-BE49-F238E27FC236}">
                  <a16:creationId xmlns:a16="http://schemas.microsoft.com/office/drawing/2014/main" id="{00000000-0008-0000-1200-00002C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29</xdr:row>
          <xdr:rowOff>104775</xdr:rowOff>
        </xdr:from>
        <xdr:to>
          <xdr:col>34</xdr:col>
          <xdr:colOff>257175</xdr:colOff>
          <xdr:row>29</xdr:row>
          <xdr:rowOff>333375</xdr:rowOff>
        </xdr:to>
        <xdr:sp macro="" textlink="">
          <xdr:nvSpPr>
            <xdr:cNvPr id="25645" name="Check Box 45" hidden="1">
              <a:extLst>
                <a:ext uri="{63B3BB69-23CF-44E3-9099-C40C66FF867C}">
                  <a14:compatExt spid="_x0000_s25645"/>
                </a:ext>
                <a:ext uri="{FF2B5EF4-FFF2-40B4-BE49-F238E27FC236}">
                  <a16:creationId xmlns:a16="http://schemas.microsoft.com/office/drawing/2014/main" id="{00000000-0008-0000-1200-00002D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30</xdr:row>
          <xdr:rowOff>85725</xdr:rowOff>
        </xdr:from>
        <xdr:to>
          <xdr:col>34</xdr:col>
          <xdr:colOff>257175</xdr:colOff>
          <xdr:row>30</xdr:row>
          <xdr:rowOff>333375</xdr:rowOff>
        </xdr:to>
        <xdr:sp macro="" textlink="">
          <xdr:nvSpPr>
            <xdr:cNvPr id="25646" name="Check Box 46" hidden="1">
              <a:extLst>
                <a:ext uri="{63B3BB69-23CF-44E3-9099-C40C66FF867C}">
                  <a14:compatExt spid="_x0000_s25646"/>
                </a:ext>
                <a:ext uri="{FF2B5EF4-FFF2-40B4-BE49-F238E27FC236}">
                  <a16:creationId xmlns:a16="http://schemas.microsoft.com/office/drawing/2014/main" id="{00000000-0008-0000-1200-00002E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31</xdr:row>
          <xdr:rowOff>104775</xdr:rowOff>
        </xdr:from>
        <xdr:to>
          <xdr:col>34</xdr:col>
          <xdr:colOff>238125</xdr:colOff>
          <xdr:row>31</xdr:row>
          <xdr:rowOff>333375</xdr:rowOff>
        </xdr:to>
        <xdr:sp macro="" textlink="">
          <xdr:nvSpPr>
            <xdr:cNvPr id="25647" name="Check Box 47" hidden="1">
              <a:extLst>
                <a:ext uri="{63B3BB69-23CF-44E3-9099-C40C66FF867C}">
                  <a14:compatExt spid="_x0000_s25647"/>
                </a:ext>
                <a:ext uri="{FF2B5EF4-FFF2-40B4-BE49-F238E27FC236}">
                  <a16:creationId xmlns:a16="http://schemas.microsoft.com/office/drawing/2014/main" id="{00000000-0008-0000-1200-00002F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32</xdr:row>
          <xdr:rowOff>85725</xdr:rowOff>
        </xdr:from>
        <xdr:to>
          <xdr:col>35</xdr:col>
          <xdr:colOff>9525</xdr:colOff>
          <xdr:row>32</xdr:row>
          <xdr:rowOff>333375</xdr:rowOff>
        </xdr:to>
        <xdr:sp macro="" textlink="">
          <xdr:nvSpPr>
            <xdr:cNvPr id="25648" name="Check Box 48" hidden="1">
              <a:extLst>
                <a:ext uri="{63B3BB69-23CF-44E3-9099-C40C66FF867C}">
                  <a14:compatExt spid="_x0000_s25648"/>
                </a:ext>
                <a:ext uri="{FF2B5EF4-FFF2-40B4-BE49-F238E27FC236}">
                  <a16:creationId xmlns:a16="http://schemas.microsoft.com/office/drawing/2014/main" id="{00000000-0008-0000-1200-000030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33</xdr:row>
          <xdr:rowOff>219075</xdr:rowOff>
        </xdr:from>
        <xdr:to>
          <xdr:col>35</xdr:col>
          <xdr:colOff>9525</xdr:colOff>
          <xdr:row>33</xdr:row>
          <xdr:rowOff>447675</xdr:rowOff>
        </xdr:to>
        <xdr:sp macro="" textlink="">
          <xdr:nvSpPr>
            <xdr:cNvPr id="25649" name="Check Box 49" hidden="1">
              <a:extLst>
                <a:ext uri="{63B3BB69-23CF-44E3-9099-C40C66FF867C}">
                  <a14:compatExt spid="_x0000_s25649"/>
                </a:ext>
                <a:ext uri="{FF2B5EF4-FFF2-40B4-BE49-F238E27FC236}">
                  <a16:creationId xmlns:a16="http://schemas.microsoft.com/office/drawing/2014/main" id="{00000000-0008-0000-1200-00003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34</xdr:row>
          <xdr:rowOff>104775</xdr:rowOff>
        </xdr:from>
        <xdr:to>
          <xdr:col>35</xdr:col>
          <xdr:colOff>9525</xdr:colOff>
          <xdr:row>34</xdr:row>
          <xdr:rowOff>333375</xdr:rowOff>
        </xdr:to>
        <xdr:sp macro="" textlink="">
          <xdr:nvSpPr>
            <xdr:cNvPr id="25650" name="Check Box 50" hidden="1">
              <a:extLst>
                <a:ext uri="{63B3BB69-23CF-44E3-9099-C40C66FF867C}">
                  <a14:compatExt spid="_x0000_s25650"/>
                </a:ext>
                <a:ext uri="{FF2B5EF4-FFF2-40B4-BE49-F238E27FC236}">
                  <a16:creationId xmlns:a16="http://schemas.microsoft.com/office/drawing/2014/main" id="{00000000-0008-0000-1200-00003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40</xdr:row>
          <xdr:rowOff>9525</xdr:rowOff>
        </xdr:from>
        <xdr:to>
          <xdr:col>31</xdr:col>
          <xdr:colOff>28575</xdr:colOff>
          <xdr:row>40</xdr:row>
          <xdr:rowOff>238125</xdr:rowOff>
        </xdr:to>
        <xdr:sp macro="" textlink="">
          <xdr:nvSpPr>
            <xdr:cNvPr id="25651" name="Check Box 51" hidden="1">
              <a:extLst>
                <a:ext uri="{63B3BB69-23CF-44E3-9099-C40C66FF867C}">
                  <a14:compatExt spid="_x0000_s25651"/>
                </a:ext>
                <a:ext uri="{FF2B5EF4-FFF2-40B4-BE49-F238E27FC236}">
                  <a16:creationId xmlns:a16="http://schemas.microsoft.com/office/drawing/2014/main" id="{00000000-0008-0000-1200-000033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43</xdr:row>
          <xdr:rowOff>9525</xdr:rowOff>
        </xdr:from>
        <xdr:to>
          <xdr:col>31</xdr:col>
          <xdr:colOff>0</xdr:colOff>
          <xdr:row>43</xdr:row>
          <xdr:rowOff>257175</xdr:rowOff>
        </xdr:to>
        <xdr:sp macro="" textlink="">
          <xdr:nvSpPr>
            <xdr:cNvPr id="25652" name="Check Box 52" hidden="1">
              <a:extLst>
                <a:ext uri="{63B3BB69-23CF-44E3-9099-C40C66FF867C}">
                  <a14:compatExt spid="_x0000_s25652"/>
                </a:ext>
                <a:ext uri="{FF2B5EF4-FFF2-40B4-BE49-F238E27FC236}">
                  <a16:creationId xmlns:a16="http://schemas.microsoft.com/office/drawing/2014/main" id="{00000000-0008-0000-1200-000034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45</xdr:row>
          <xdr:rowOff>28575</xdr:rowOff>
        </xdr:from>
        <xdr:to>
          <xdr:col>31</xdr:col>
          <xdr:colOff>9525</xdr:colOff>
          <xdr:row>45</xdr:row>
          <xdr:rowOff>238125</xdr:rowOff>
        </xdr:to>
        <xdr:sp macro="" textlink="">
          <xdr:nvSpPr>
            <xdr:cNvPr id="25653" name="Check Box 53" hidden="1">
              <a:extLst>
                <a:ext uri="{63B3BB69-23CF-44E3-9099-C40C66FF867C}">
                  <a14:compatExt spid="_x0000_s25653"/>
                </a:ext>
                <a:ext uri="{FF2B5EF4-FFF2-40B4-BE49-F238E27FC236}">
                  <a16:creationId xmlns:a16="http://schemas.microsoft.com/office/drawing/2014/main" id="{00000000-0008-0000-1200-00003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46</xdr:row>
          <xdr:rowOff>9525</xdr:rowOff>
        </xdr:from>
        <xdr:to>
          <xdr:col>31</xdr:col>
          <xdr:colOff>0</xdr:colOff>
          <xdr:row>47</xdr:row>
          <xdr:rowOff>0</xdr:rowOff>
        </xdr:to>
        <xdr:sp macro="" textlink="">
          <xdr:nvSpPr>
            <xdr:cNvPr id="25654" name="Check Box 54" hidden="1">
              <a:extLst>
                <a:ext uri="{63B3BB69-23CF-44E3-9099-C40C66FF867C}">
                  <a14:compatExt spid="_x0000_s25654"/>
                </a:ext>
                <a:ext uri="{FF2B5EF4-FFF2-40B4-BE49-F238E27FC236}">
                  <a16:creationId xmlns:a16="http://schemas.microsoft.com/office/drawing/2014/main" id="{00000000-0008-0000-1200-00003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47</xdr:row>
          <xdr:rowOff>9525</xdr:rowOff>
        </xdr:from>
        <xdr:to>
          <xdr:col>31</xdr:col>
          <xdr:colOff>0</xdr:colOff>
          <xdr:row>47</xdr:row>
          <xdr:rowOff>238125</xdr:rowOff>
        </xdr:to>
        <xdr:sp macro="" textlink="">
          <xdr:nvSpPr>
            <xdr:cNvPr id="25655" name="Check Box 55" hidden="1">
              <a:extLst>
                <a:ext uri="{63B3BB69-23CF-44E3-9099-C40C66FF867C}">
                  <a14:compatExt spid="_x0000_s25655"/>
                </a:ext>
                <a:ext uri="{FF2B5EF4-FFF2-40B4-BE49-F238E27FC236}">
                  <a16:creationId xmlns:a16="http://schemas.microsoft.com/office/drawing/2014/main" id="{00000000-0008-0000-1200-00003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33</xdr:col>
          <xdr:colOff>28575</xdr:colOff>
          <xdr:row>21</xdr:row>
          <xdr:rowOff>47625</xdr:rowOff>
        </xdr:from>
        <xdr:to>
          <xdr:col>33</xdr:col>
          <xdr:colOff>219075</xdr:colOff>
          <xdr:row>21</xdr:row>
          <xdr:rowOff>238125</xdr:rowOff>
        </xdr:to>
        <xdr:sp macro="" textlink="">
          <xdr:nvSpPr>
            <xdr:cNvPr id="38913" name="Check Box 1" hidden="1">
              <a:extLst>
                <a:ext uri="{63B3BB69-23CF-44E3-9099-C40C66FF867C}">
                  <a14:compatExt spid="_x0000_s38913"/>
                </a:ext>
                <a:ext uri="{FF2B5EF4-FFF2-40B4-BE49-F238E27FC236}">
                  <a16:creationId xmlns:a16="http://schemas.microsoft.com/office/drawing/2014/main" id="{00000000-0008-0000-1300-000001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28575</xdr:colOff>
          <xdr:row>21</xdr:row>
          <xdr:rowOff>66675</xdr:rowOff>
        </xdr:from>
        <xdr:to>
          <xdr:col>43</xdr:col>
          <xdr:colOff>0</xdr:colOff>
          <xdr:row>21</xdr:row>
          <xdr:rowOff>295275</xdr:rowOff>
        </xdr:to>
        <xdr:sp macro="" textlink="">
          <xdr:nvSpPr>
            <xdr:cNvPr id="38914" name="Check Box 2" hidden="1">
              <a:extLst>
                <a:ext uri="{63B3BB69-23CF-44E3-9099-C40C66FF867C}">
                  <a14:compatExt spid="_x0000_s38914"/>
                </a:ext>
                <a:ext uri="{FF2B5EF4-FFF2-40B4-BE49-F238E27FC236}">
                  <a16:creationId xmlns:a16="http://schemas.microsoft.com/office/drawing/2014/main" id="{00000000-0008-0000-1300-000002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22</xdr:row>
          <xdr:rowOff>66675</xdr:rowOff>
        </xdr:from>
        <xdr:to>
          <xdr:col>34</xdr:col>
          <xdr:colOff>38100</xdr:colOff>
          <xdr:row>22</xdr:row>
          <xdr:rowOff>257175</xdr:rowOff>
        </xdr:to>
        <xdr:sp macro="" textlink="">
          <xdr:nvSpPr>
            <xdr:cNvPr id="38915" name="Check Box 3" hidden="1">
              <a:extLst>
                <a:ext uri="{63B3BB69-23CF-44E3-9099-C40C66FF867C}">
                  <a14:compatExt spid="_x0000_s38915"/>
                </a:ext>
                <a:ext uri="{FF2B5EF4-FFF2-40B4-BE49-F238E27FC236}">
                  <a16:creationId xmlns:a16="http://schemas.microsoft.com/office/drawing/2014/main" id="{00000000-0008-0000-1300-000003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38100</xdr:colOff>
          <xdr:row>22</xdr:row>
          <xdr:rowOff>47625</xdr:rowOff>
        </xdr:from>
        <xdr:to>
          <xdr:col>43</xdr:col>
          <xdr:colOff>0</xdr:colOff>
          <xdr:row>22</xdr:row>
          <xdr:rowOff>276225</xdr:rowOff>
        </xdr:to>
        <xdr:sp macro="" textlink="">
          <xdr:nvSpPr>
            <xdr:cNvPr id="38916" name="Check Box 4" hidden="1">
              <a:extLst>
                <a:ext uri="{63B3BB69-23CF-44E3-9099-C40C66FF867C}">
                  <a14:compatExt spid="_x0000_s38916"/>
                </a:ext>
                <a:ext uri="{FF2B5EF4-FFF2-40B4-BE49-F238E27FC236}">
                  <a16:creationId xmlns:a16="http://schemas.microsoft.com/office/drawing/2014/main" id="{00000000-0008-0000-1300-000004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27</xdr:row>
          <xdr:rowOff>28575</xdr:rowOff>
        </xdr:from>
        <xdr:to>
          <xdr:col>33</xdr:col>
          <xdr:colOff>228600</xdr:colOff>
          <xdr:row>27</xdr:row>
          <xdr:rowOff>266700</xdr:rowOff>
        </xdr:to>
        <xdr:sp macro="" textlink="">
          <xdr:nvSpPr>
            <xdr:cNvPr id="38917" name="Check Box 5" hidden="1">
              <a:extLst>
                <a:ext uri="{63B3BB69-23CF-44E3-9099-C40C66FF867C}">
                  <a14:compatExt spid="_x0000_s38917"/>
                </a:ext>
                <a:ext uri="{FF2B5EF4-FFF2-40B4-BE49-F238E27FC236}">
                  <a16:creationId xmlns:a16="http://schemas.microsoft.com/office/drawing/2014/main" id="{00000000-0008-0000-1300-000005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38100</xdr:colOff>
          <xdr:row>28</xdr:row>
          <xdr:rowOff>66675</xdr:rowOff>
        </xdr:from>
        <xdr:to>
          <xdr:col>34</xdr:col>
          <xdr:colOff>28575</xdr:colOff>
          <xdr:row>28</xdr:row>
          <xdr:rowOff>333375</xdr:rowOff>
        </xdr:to>
        <xdr:sp macro="" textlink="">
          <xdr:nvSpPr>
            <xdr:cNvPr id="38918" name="Check Box 6" hidden="1">
              <a:extLst>
                <a:ext uri="{63B3BB69-23CF-44E3-9099-C40C66FF867C}">
                  <a14:compatExt spid="_x0000_s38918"/>
                </a:ext>
                <a:ext uri="{FF2B5EF4-FFF2-40B4-BE49-F238E27FC236}">
                  <a16:creationId xmlns:a16="http://schemas.microsoft.com/office/drawing/2014/main" id="{00000000-0008-0000-1300-000006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28</xdr:row>
          <xdr:rowOff>371475</xdr:rowOff>
        </xdr:from>
        <xdr:to>
          <xdr:col>34</xdr:col>
          <xdr:colOff>0</xdr:colOff>
          <xdr:row>30</xdr:row>
          <xdr:rowOff>9525</xdr:rowOff>
        </xdr:to>
        <xdr:sp macro="" textlink="">
          <xdr:nvSpPr>
            <xdr:cNvPr id="38919" name="Check Box 7" hidden="1">
              <a:extLst>
                <a:ext uri="{63B3BB69-23CF-44E3-9099-C40C66FF867C}">
                  <a14:compatExt spid="_x0000_s38919"/>
                </a:ext>
                <a:ext uri="{FF2B5EF4-FFF2-40B4-BE49-F238E27FC236}">
                  <a16:creationId xmlns:a16="http://schemas.microsoft.com/office/drawing/2014/main" id="{00000000-0008-0000-1300-000007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31</xdr:row>
          <xdr:rowOff>9525</xdr:rowOff>
        </xdr:from>
        <xdr:to>
          <xdr:col>34</xdr:col>
          <xdr:colOff>28575</xdr:colOff>
          <xdr:row>32</xdr:row>
          <xdr:rowOff>9525</xdr:rowOff>
        </xdr:to>
        <xdr:sp macro="" textlink="">
          <xdr:nvSpPr>
            <xdr:cNvPr id="38920" name="Check Box 8" hidden="1">
              <a:extLst>
                <a:ext uri="{63B3BB69-23CF-44E3-9099-C40C66FF867C}">
                  <a14:compatExt spid="_x0000_s38920"/>
                </a:ext>
                <a:ext uri="{FF2B5EF4-FFF2-40B4-BE49-F238E27FC236}">
                  <a16:creationId xmlns:a16="http://schemas.microsoft.com/office/drawing/2014/main" id="{00000000-0008-0000-1300-000008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28575</xdr:colOff>
          <xdr:row>27</xdr:row>
          <xdr:rowOff>28575</xdr:rowOff>
        </xdr:from>
        <xdr:to>
          <xdr:col>42</xdr:col>
          <xdr:colOff>9525</xdr:colOff>
          <xdr:row>27</xdr:row>
          <xdr:rowOff>257175</xdr:rowOff>
        </xdr:to>
        <xdr:sp macro="" textlink="">
          <xdr:nvSpPr>
            <xdr:cNvPr id="38921" name="Check Box 9" hidden="1">
              <a:extLst>
                <a:ext uri="{63B3BB69-23CF-44E3-9099-C40C66FF867C}">
                  <a14:compatExt spid="_x0000_s38921"/>
                </a:ext>
                <a:ext uri="{FF2B5EF4-FFF2-40B4-BE49-F238E27FC236}">
                  <a16:creationId xmlns:a16="http://schemas.microsoft.com/office/drawing/2014/main" id="{00000000-0008-0000-1300-000009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28575</xdr:colOff>
          <xdr:row>28</xdr:row>
          <xdr:rowOff>66675</xdr:rowOff>
        </xdr:from>
        <xdr:to>
          <xdr:col>42</xdr:col>
          <xdr:colOff>47625</xdr:colOff>
          <xdr:row>28</xdr:row>
          <xdr:rowOff>333375</xdr:rowOff>
        </xdr:to>
        <xdr:sp macro="" textlink="">
          <xdr:nvSpPr>
            <xdr:cNvPr id="38922" name="Check Box 10" hidden="1">
              <a:extLst>
                <a:ext uri="{63B3BB69-23CF-44E3-9099-C40C66FF867C}">
                  <a14:compatExt spid="_x0000_s38922"/>
                </a:ext>
                <a:ext uri="{FF2B5EF4-FFF2-40B4-BE49-F238E27FC236}">
                  <a16:creationId xmlns:a16="http://schemas.microsoft.com/office/drawing/2014/main" id="{00000000-0008-0000-1300-00000A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28575</xdr:colOff>
          <xdr:row>28</xdr:row>
          <xdr:rowOff>381000</xdr:rowOff>
        </xdr:from>
        <xdr:to>
          <xdr:col>42</xdr:col>
          <xdr:colOff>38100</xdr:colOff>
          <xdr:row>29</xdr:row>
          <xdr:rowOff>190500</xdr:rowOff>
        </xdr:to>
        <xdr:sp macro="" textlink="">
          <xdr:nvSpPr>
            <xdr:cNvPr id="38923" name="Check Box 11" hidden="1">
              <a:extLst>
                <a:ext uri="{63B3BB69-23CF-44E3-9099-C40C66FF867C}">
                  <a14:compatExt spid="_x0000_s38923"/>
                </a:ext>
                <a:ext uri="{FF2B5EF4-FFF2-40B4-BE49-F238E27FC236}">
                  <a16:creationId xmlns:a16="http://schemas.microsoft.com/office/drawing/2014/main" id="{00000000-0008-0000-1300-00000B9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4</xdr:col>
      <xdr:colOff>342900</xdr:colOff>
      <xdr:row>102</xdr:row>
      <xdr:rowOff>66675</xdr:rowOff>
    </xdr:from>
    <xdr:to>
      <xdr:col>4</xdr:col>
      <xdr:colOff>371475</xdr:colOff>
      <xdr:row>102</xdr:row>
      <xdr:rowOff>104775</xdr:rowOff>
    </xdr:to>
    <xdr:sp macro="" textlink="">
      <xdr:nvSpPr>
        <xdr:cNvPr id="2" name="Rectangle 118">
          <a:extLst>
            <a:ext uri="{FF2B5EF4-FFF2-40B4-BE49-F238E27FC236}">
              <a16:creationId xmlns:a16="http://schemas.microsoft.com/office/drawing/2014/main" id="{00000000-0008-0000-1400-000002000000}"/>
            </a:ext>
          </a:extLst>
        </xdr:cNvPr>
        <xdr:cNvSpPr>
          <a:spLocks noChangeArrowheads="1"/>
        </xdr:cNvSpPr>
      </xdr:nvSpPr>
      <xdr:spPr bwMode="auto">
        <a:xfrm flipH="1" flipV="1">
          <a:off x="1250950" y="217519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400-000003000000}"/>
            </a:ext>
          </a:extLst>
        </xdr:cNvPr>
        <xdr:cNvSpPr>
          <a:spLocks noChangeArrowheads="1"/>
        </xdr:cNvSpPr>
      </xdr:nvSpPr>
      <xdr:spPr bwMode="auto">
        <a:xfrm flipH="1" flipV="1">
          <a:off x="431800" y="21751925"/>
          <a:ext cx="0" cy="38100"/>
        </a:xfrm>
        <a:prstGeom prst="rect">
          <a:avLst/>
        </a:prstGeom>
        <a:solidFill>
          <a:srgbClr val="000000"/>
        </a:solidFill>
        <a:ln w="9525">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342900</xdr:colOff>
      <xdr:row>115</xdr:row>
      <xdr:rowOff>66675</xdr:rowOff>
    </xdr:from>
    <xdr:to>
      <xdr:col>6</xdr:col>
      <xdr:colOff>371475</xdr:colOff>
      <xdr:row>115</xdr:row>
      <xdr:rowOff>104775</xdr:rowOff>
    </xdr:to>
    <xdr:sp macro="" textlink="">
      <xdr:nvSpPr>
        <xdr:cNvPr id="2" name="Rectangle 118">
          <a:extLst>
            <a:ext uri="{FF2B5EF4-FFF2-40B4-BE49-F238E27FC236}">
              <a16:creationId xmlns:a16="http://schemas.microsoft.com/office/drawing/2014/main" id="{00000000-0008-0000-1600-000002000000}"/>
            </a:ext>
          </a:extLst>
        </xdr:cNvPr>
        <xdr:cNvSpPr>
          <a:spLocks noChangeArrowheads="1"/>
        </xdr:cNvSpPr>
      </xdr:nvSpPr>
      <xdr:spPr bwMode="auto">
        <a:xfrm flipH="1" flipV="1">
          <a:off x="1797050" y="219678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115</xdr:row>
      <xdr:rowOff>66675</xdr:rowOff>
    </xdr:from>
    <xdr:to>
      <xdr:col>1</xdr:col>
      <xdr:colOff>371475</xdr:colOff>
      <xdr:row>115</xdr:row>
      <xdr:rowOff>104775</xdr:rowOff>
    </xdr:to>
    <xdr:sp macro="" textlink="">
      <xdr:nvSpPr>
        <xdr:cNvPr id="3" name="Rectangle 118">
          <a:extLst>
            <a:ext uri="{FF2B5EF4-FFF2-40B4-BE49-F238E27FC236}">
              <a16:creationId xmlns:a16="http://schemas.microsoft.com/office/drawing/2014/main" id="{00000000-0008-0000-1600-000003000000}"/>
            </a:ext>
          </a:extLst>
        </xdr:cNvPr>
        <xdr:cNvSpPr>
          <a:spLocks noChangeArrowheads="1"/>
        </xdr:cNvSpPr>
      </xdr:nvSpPr>
      <xdr:spPr bwMode="auto">
        <a:xfrm flipH="1" flipV="1">
          <a:off x="431800" y="21967825"/>
          <a:ext cx="0" cy="38100"/>
        </a:xfrm>
        <a:prstGeom prst="rect">
          <a:avLst/>
        </a:prstGeom>
        <a:solidFill>
          <a:srgbClr val="000000"/>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20</xdr:col>
          <xdr:colOff>28575</xdr:colOff>
          <xdr:row>3</xdr:row>
          <xdr:rowOff>66675</xdr:rowOff>
        </xdr:from>
        <xdr:to>
          <xdr:col>21</xdr:col>
          <xdr:colOff>38100</xdr:colOff>
          <xdr:row>5</xdr:row>
          <xdr:rowOff>9525</xdr:rowOff>
        </xdr:to>
        <xdr:sp macro="" textlink="">
          <xdr:nvSpPr>
            <xdr:cNvPr id="29697" name="Check Box 1" hidden="1">
              <a:extLst>
                <a:ext uri="{63B3BB69-23CF-44E3-9099-C40C66FF867C}">
                  <a14:compatExt spid="_x0000_s29697"/>
                </a:ext>
                <a:ext uri="{FF2B5EF4-FFF2-40B4-BE49-F238E27FC236}">
                  <a16:creationId xmlns:a16="http://schemas.microsoft.com/office/drawing/2014/main" id="{00000000-0008-0000-1600-00000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6</xdr:row>
          <xdr:rowOff>38100</xdr:rowOff>
        </xdr:from>
        <xdr:to>
          <xdr:col>8</xdr:col>
          <xdr:colOff>0</xdr:colOff>
          <xdr:row>7</xdr:row>
          <xdr:rowOff>0</xdr:rowOff>
        </xdr:to>
        <xdr:sp macro="" textlink="">
          <xdr:nvSpPr>
            <xdr:cNvPr id="29698" name="Check Box 2" hidden="1">
              <a:extLst>
                <a:ext uri="{63B3BB69-23CF-44E3-9099-C40C66FF867C}">
                  <a14:compatExt spid="_x0000_s29698"/>
                </a:ext>
                <a:ext uri="{FF2B5EF4-FFF2-40B4-BE49-F238E27FC236}">
                  <a16:creationId xmlns:a16="http://schemas.microsoft.com/office/drawing/2014/main" id="{00000000-0008-0000-1600-00000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7</xdr:row>
          <xdr:rowOff>38100</xdr:rowOff>
        </xdr:from>
        <xdr:to>
          <xdr:col>8</xdr:col>
          <xdr:colOff>9525</xdr:colOff>
          <xdr:row>7</xdr:row>
          <xdr:rowOff>238125</xdr:rowOff>
        </xdr:to>
        <xdr:sp macro="" textlink="">
          <xdr:nvSpPr>
            <xdr:cNvPr id="29699" name="Check Box 3" hidden="1">
              <a:extLst>
                <a:ext uri="{63B3BB69-23CF-44E3-9099-C40C66FF867C}">
                  <a14:compatExt spid="_x0000_s29699"/>
                </a:ext>
                <a:ext uri="{FF2B5EF4-FFF2-40B4-BE49-F238E27FC236}">
                  <a16:creationId xmlns:a16="http://schemas.microsoft.com/office/drawing/2014/main" id="{00000000-0008-0000-1600-00000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xdr:row>
          <xdr:rowOff>28575</xdr:rowOff>
        </xdr:from>
        <xdr:to>
          <xdr:col>14</xdr:col>
          <xdr:colOff>266700</xdr:colOff>
          <xdr:row>6</xdr:row>
          <xdr:rowOff>238125</xdr:rowOff>
        </xdr:to>
        <xdr:sp macro="" textlink="">
          <xdr:nvSpPr>
            <xdr:cNvPr id="29700" name="Check Box 4" hidden="1">
              <a:extLst>
                <a:ext uri="{63B3BB69-23CF-44E3-9099-C40C66FF867C}">
                  <a14:compatExt spid="_x0000_s29700"/>
                </a:ext>
                <a:ext uri="{FF2B5EF4-FFF2-40B4-BE49-F238E27FC236}">
                  <a16:creationId xmlns:a16="http://schemas.microsoft.com/office/drawing/2014/main" id="{00000000-0008-0000-1600-000004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xdr:row>
          <xdr:rowOff>28575</xdr:rowOff>
        </xdr:from>
        <xdr:to>
          <xdr:col>14</xdr:col>
          <xdr:colOff>257175</xdr:colOff>
          <xdr:row>8</xdr:row>
          <xdr:rowOff>9525</xdr:rowOff>
        </xdr:to>
        <xdr:sp macro="" textlink="">
          <xdr:nvSpPr>
            <xdr:cNvPr id="29701" name="Check Box 5" hidden="1">
              <a:extLst>
                <a:ext uri="{63B3BB69-23CF-44E3-9099-C40C66FF867C}">
                  <a14:compatExt spid="_x0000_s29701"/>
                </a:ext>
                <a:ext uri="{FF2B5EF4-FFF2-40B4-BE49-F238E27FC236}">
                  <a16:creationId xmlns:a16="http://schemas.microsoft.com/office/drawing/2014/main" id="{00000000-0008-0000-1600-000005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xdr:row>
          <xdr:rowOff>28575</xdr:rowOff>
        </xdr:from>
        <xdr:to>
          <xdr:col>20</xdr:col>
          <xdr:colOff>257175</xdr:colOff>
          <xdr:row>7</xdr:row>
          <xdr:rowOff>0</xdr:rowOff>
        </xdr:to>
        <xdr:sp macro="" textlink="">
          <xdr:nvSpPr>
            <xdr:cNvPr id="29702" name="Check Box 6" hidden="1">
              <a:extLst>
                <a:ext uri="{63B3BB69-23CF-44E3-9099-C40C66FF867C}">
                  <a14:compatExt spid="_x0000_s29702"/>
                </a:ext>
                <a:ext uri="{FF2B5EF4-FFF2-40B4-BE49-F238E27FC236}">
                  <a16:creationId xmlns:a16="http://schemas.microsoft.com/office/drawing/2014/main" id="{00000000-0008-0000-1600-000006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xdr:row>
          <xdr:rowOff>28575</xdr:rowOff>
        </xdr:from>
        <xdr:to>
          <xdr:col>21</xdr:col>
          <xdr:colOff>0</xdr:colOff>
          <xdr:row>7</xdr:row>
          <xdr:rowOff>257175</xdr:rowOff>
        </xdr:to>
        <xdr:sp macro="" textlink="">
          <xdr:nvSpPr>
            <xdr:cNvPr id="29703" name="Check Box 7" hidden="1">
              <a:extLst>
                <a:ext uri="{63B3BB69-23CF-44E3-9099-C40C66FF867C}">
                  <a14:compatExt spid="_x0000_s29703"/>
                </a:ext>
                <a:ext uri="{FF2B5EF4-FFF2-40B4-BE49-F238E27FC236}">
                  <a16:creationId xmlns:a16="http://schemas.microsoft.com/office/drawing/2014/main" id="{00000000-0008-0000-1600-000007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xdr:row>
          <xdr:rowOff>28575</xdr:rowOff>
        </xdr:from>
        <xdr:to>
          <xdr:col>27</xdr:col>
          <xdr:colOff>28575</xdr:colOff>
          <xdr:row>7</xdr:row>
          <xdr:rowOff>28575</xdr:rowOff>
        </xdr:to>
        <xdr:sp macro="" textlink="">
          <xdr:nvSpPr>
            <xdr:cNvPr id="29704" name="Check Box 8" hidden="1">
              <a:extLst>
                <a:ext uri="{63B3BB69-23CF-44E3-9099-C40C66FF867C}">
                  <a14:compatExt spid="_x0000_s29704"/>
                </a:ext>
                <a:ext uri="{FF2B5EF4-FFF2-40B4-BE49-F238E27FC236}">
                  <a16:creationId xmlns:a16="http://schemas.microsoft.com/office/drawing/2014/main" id="{00000000-0008-0000-1600-000008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xdr:row>
          <xdr:rowOff>28575</xdr:rowOff>
        </xdr:from>
        <xdr:to>
          <xdr:col>26</xdr:col>
          <xdr:colOff>238125</xdr:colOff>
          <xdr:row>7</xdr:row>
          <xdr:rowOff>238125</xdr:rowOff>
        </xdr:to>
        <xdr:sp macro="" textlink="">
          <xdr:nvSpPr>
            <xdr:cNvPr id="29705" name="Check Box 9" hidden="1">
              <a:extLst>
                <a:ext uri="{63B3BB69-23CF-44E3-9099-C40C66FF867C}">
                  <a14:compatExt spid="_x0000_s29705"/>
                </a:ext>
                <a:ext uri="{FF2B5EF4-FFF2-40B4-BE49-F238E27FC236}">
                  <a16:creationId xmlns:a16="http://schemas.microsoft.com/office/drawing/2014/main" id="{00000000-0008-0000-1600-000009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xdr:row>
          <xdr:rowOff>9525</xdr:rowOff>
        </xdr:from>
        <xdr:to>
          <xdr:col>27</xdr:col>
          <xdr:colOff>9525</xdr:colOff>
          <xdr:row>10</xdr:row>
          <xdr:rowOff>0</xdr:rowOff>
        </xdr:to>
        <xdr:sp macro="" textlink="">
          <xdr:nvSpPr>
            <xdr:cNvPr id="29706" name="Check Box 10" hidden="1">
              <a:extLst>
                <a:ext uri="{63B3BB69-23CF-44E3-9099-C40C66FF867C}">
                  <a14:compatExt spid="_x0000_s29706"/>
                </a:ext>
                <a:ext uri="{FF2B5EF4-FFF2-40B4-BE49-F238E27FC236}">
                  <a16:creationId xmlns:a16="http://schemas.microsoft.com/office/drawing/2014/main" id="{00000000-0008-0000-1600-00000A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11</xdr:row>
          <xdr:rowOff>28575</xdr:rowOff>
        </xdr:from>
        <xdr:to>
          <xdr:col>7</xdr:col>
          <xdr:colOff>257175</xdr:colOff>
          <xdr:row>11</xdr:row>
          <xdr:rowOff>219075</xdr:rowOff>
        </xdr:to>
        <xdr:sp macro="" textlink="">
          <xdr:nvSpPr>
            <xdr:cNvPr id="29707" name="Check Box 11" hidden="1">
              <a:extLst>
                <a:ext uri="{63B3BB69-23CF-44E3-9099-C40C66FF867C}">
                  <a14:compatExt spid="_x0000_s29707"/>
                </a:ext>
                <a:ext uri="{FF2B5EF4-FFF2-40B4-BE49-F238E27FC236}">
                  <a16:creationId xmlns:a16="http://schemas.microsoft.com/office/drawing/2014/main" id="{00000000-0008-0000-1600-00000B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12</xdr:row>
          <xdr:rowOff>9525</xdr:rowOff>
        </xdr:from>
        <xdr:to>
          <xdr:col>8</xdr:col>
          <xdr:colOff>0</xdr:colOff>
          <xdr:row>12</xdr:row>
          <xdr:rowOff>238125</xdr:rowOff>
        </xdr:to>
        <xdr:sp macro="" textlink="">
          <xdr:nvSpPr>
            <xdr:cNvPr id="29708" name="Check Box 12" hidden="1">
              <a:extLst>
                <a:ext uri="{63B3BB69-23CF-44E3-9099-C40C66FF867C}">
                  <a14:compatExt spid="_x0000_s29708"/>
                </a:ext>
                <a:ext uri="{FF2B5EF4-FFF2-40B4-BE49-F238E27FC236}">
                  <a16:creationId xmlns:a16="http://schemas.microsoft.com/office/drawing/2014/main" id="{00000000-0008-0000-1600-00000C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9</xdr:row>
          <xdr:rowOff>0</xdr:rowOff>
        </xdr:from>
        <xdr:to>
          <xdr:col>30</xdr:col>
          <xdr:colOff>228600</xdr:colOff>
          <xdr:row>10</xdr:row>
          <xdr:rowOff>9525</xdr:rowOff>
        </xdr:to>
        <xdr:sp macro="" textlink="">
          <xdr:nvSpPr>
            <xdr:cNvPr id="29710" name="Check Box 14" hidden="1">
              <a:extLst>
                <a:ext uri="{63B3BB69-23CF-44E3-9099-C40C66FF867C}">
                  <a14:compatExt spid="_x0000_s29710"/>
                </a:ext>
                <a:ext uri="{FF2B5EF4-FFF2-40B4-BE49-F238E27FC236}">
                  <a16:creationId xmlns:a16="http://schemas.microsoft.com/office/drawing/2014/main" id="{00000000-0008-0000-1600-00000E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4</xdr:row>
          <xdr:rowOff>0</xdr:rowOff>
        </xdr:from>
        <xdr:to>
          <xdr:col>25</xdr:col>
          <xdr:colOff>28575</xdr:colOff>
          <xdr:row>5</xdr:row>
          <xdr:rowOff>9525</xdr:rowOff>
        </xdr:to>
        <xdr:sp macro="" textlink="">
          <xdr:nvSpPr>
            <xdr:cNvPr id="29711" name="Check Box 15" hidden="1">
              <a:extLst>
                <a:ext uri="{63B3BB69-23CF-44E3-9099-C40C66FF867C}">
                  <a14:compatExt spid="_x0000_s29711"/>
                </a:ext>
                <a:ext uri="{FF2B5EF4-FFF2-40B4-BE49-F238E27FC236}">
                  <a16:creationId xmlns:a16="http://schemas.microsoft.com/office/drawing/2014/main" id="{00000000-0008-0000-1600-00000F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1</xdr:col>
      <xdr:colOff>342900</xdr:colOff>
      <xdr:row>112</xdr:row>
      <xdr:rowOff>66675</xdr:rowOff>
    </xdr:from>
    <xdr:to>
      <xdr:col>1</xdr:col>
      <xdr:colOff>371475</xdr:colOff>
      <xdr:row>112</xdr:row>
      <xdr:rowOff>104775</xdr:rowOff>
    </xdr:to>
    <xdr:sp macro="" textlink="">
      <xdr:nvSpPr>
        <xdr:cNvPr id="2" name="Rectangle 118">
          <a:extLst>
            <a:ext uri="{FF2B5EF4-FFF2-40B4-BE49-F238E27FC236}">
              <a16:creationId xmlns:a16="http://schemas.microsoft.com/office/drawing/2014/main" id="{00000000-0008-0000-1700-000002000000}"/>
            </a:ext>
          </a:extLst>
        </xdr:cNvPr>
        <xdr:cNvSpPr>
          <a:spLocks noChangeArrowheads="1"/>
        </xdr:cNvSpPr>
      </xdr:nvSpPr>
      <xdr:spPr bwMode="auto">
        <a:xfrm flipH="1" flipV="1">
          <a:off x="431800" y="21510625"/>
          <a:ext cx="0" cy="38100"/>
        </a:xfrm>
        <a:prstGeom prst="rect">
          <a:avLst/>
        </a:prstGeom>
        <a:solidFill>
          <a:srgbClr val="000000"/>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9</xdr:col>
          <xdr:colOff>28575</xdr:colOff>
          <xdr:row>6</xdr:row>
          <xdr:rowOff>0</xdr:rowOff>
        </xdr:from>
        <xdr:to>
          <xdr:col>10</xdr:col>
          <xdr:colOff>9525</xdr:colOff>
          <xdr:row>6</xdr:row>
          <xdr:rowOff>219075</xdr:rowOff>
        </xdr:to>
        <xdr:sp macro="" textlink="">
          <xdr:nvSpPr>
            <xdr:cNvPr id="30724" name="Check Box 4" hidden="1">
              <a:extLst>
                <a:ext uri="{63B3BB69-23CF-44E3-9099-C40C66FF867C}">
                  <a14:compatExt spid="_x0000_s30724"/>
                </a:ext>
                <a:ext uri="{FF2B5EF4-FFF2-40B4-BE49-F238E27FC236}">
                  <a16:creationId xmlns:a16="http://schemas.microsoft.com/office/drawing/2014/main" id="{00000000-0008-0000-1700-00000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6</xdr:row>
          <xdr:rowOff>219075</xdr:rowOff>
        </xdr:from>
        <xdr:to>
          <xdr:col>10</xdr:col>
          <xdr:colOff>28575</xdr:colOff>
          <xdr:row>8</xdr:row>
          <xdr:rowOff>0</xdr:rowOff>
        </xdr:to>
        <xdr:sp macro="" textlink="">
          <xdr:nvSpPr>
            <xdr:cNvPr id="30725" name="Check Box 5" hidden="1">
              <a:extLst>
                <a:ext uri="{63B3BB69-23CF-44E3-9099-C40C66FF867C}">
                  <a14:compatExt spid="_x0000_s30725"/>
                </a:ext>
                <a:ext uri="{FF2B5EF4-FFF2-40B4-BE49-F238E27FC236}">
                  <a16:creationId xmlns:a16="http://schemas.microsoft.com/office/drawing/2014/main" id="{00000000-0008-0000-1700-000005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7</xdr:row>
          <xdr:rowOff>219075</xdr:rowOff>
        </xdr:from>
        <xdr:to>
          <xdr:col>9</xdr:col>
          <xdr:colOff>276225</xdr:colOff>
          <xdr:row>8</xdr:row>
          <xdr:rowOff>219075</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700-000006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8</xdr:row>
          <xdr:rowOff>219075</xdr:rowOff>
        </xdr:from>
        <xdr:to>
          <xdr:col>9</xdr:col>
          <xdr:colOff>257175</xdr:colOff>
          <xdr:row>9</xdr:row>
          <xdr:rowOff>200025</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700-000007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9</xdr:row>
          <xdr:rowOff>219075</xdr:rowOff>
        </xdr:from>
        <xdr:to>
          <xdr:col>9</xdr:col>
          <xdr:colOff>257175</xdr:colOff>
          <xdr:row>10</xdr:row>
          <xdr:rowOff>219075</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700-000008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10</xdr:row>
          <xdr:rowOff>219075</xdr:rowOff>
        </xdr:from>
        <xdr:to>
          <xdr:col>10</xdr:col>
          <xdr:colOff>28575</xdr:colOff>
          <xdr:row>11</xdr:row>
          <xdr:rowOff>180975</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700-000009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12</xdr:row>
          <xdr:rowOff>9525</xdr:rowOff>
        </xdr:from>
        <xdr:to>
          <xdr:col>9</xdr:col>
          <xdr:colOff>257175</xdr:colOff>
          <xdr:row>13</xdr:row>
          <xdr:rowOff>9525</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700-00000A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12</xdr:row>
          <xdr:rowOff>219075</xdr:rowOff>
        </xdr:from>
        <xdr:to>
          <xdr:col>9</xdr:col>
          <xdr:colOff>228600</xdr:colOff>
          <xdr:row>13</xdr:row>
          <xdr:rowOff>200025</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700-00000B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14</xdr:row>
          <xdr:rowOff>9525</xdr:rowOff>
        </xdr:from>
        <xdr:to>
          <xdr:col>9</xdr:col>
          <xdr:colOff>257175</xdr:colOff>
          <xdr:row>14</xdr:row>
          <xdr:rowOff>200025</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700-00000C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14</xdr:row>
          <xdr:rowOff>219075</xdr:rowOff>
        </xdr:from>
        <xdr:to>
          <xdr:col>10</xdr:col>
          <xdr:colOff>9525</xdr:colOff>
          <xdr:row>15</xdr:row>
          <xdr:rowOff>219075</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700-00000D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15</xdr:row>
          <xdr:rowOff>219075</xdr:rowOff>
        </xdr:from>
        <xdr:to>
          <xdr:col>10</xdr:col>
          <xdr:colOff>28575</xdr:colOff>
          <xdr:row>16</xdr:row>
          <xdr:rowOff>219075</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700-00000E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16</xdr:row>
          <xdr:rowOff>200025</xdr:rowOff>
        </xdr:from>
        <xdr:to>
          <xdr:col>10</xdr:col>
          <xdr:colOff>0</xdr:colOff>
          <xdr:row>17</xdr:row>
          <xdr:rowOff>200025</xdr:rowOff>
        </xdr:to>
        <xdr:sp macro="" textlink="">
          <xdr:nvSpPr>
            <xdr:cNvPr id="30735" name="Check Box 15" hidden="1">
              <a:extLst>
                <a:ext uri="{63B3BB69-23CF-44E3-9099-C40C66FF867C}">
                  <a14:compatExt spid="_x0000_s30735"/>
                </a:ext>
                <a:ext uri="{FF2B5EF4-FFF2-40B4-BE49-F238E27FC236}">
                  <a16:creationId xmlns:a16="http://schemas.microsoft.com/office/drawing/2014/main" id="{00000000-0008-0000-1700-00000F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17</xdr:row>
          <xdr:rowOff>219075</xdr:rowOff>
        </xdr:from>
        <xdr:to>
          <xdr:col>10</xdr:col>
          <xdr:colOff>0</xdr:colOff>
          <xdr:row>18</xdr:row>
          <xdr:rowOff>219075</xdr:rowOff>
        </xdr:to>
        <xdr:sp macro="" textlink="">
          <xdr:nvSpPr>
            <xdr:cNvPr id="30736" name="Check Box 16" hidden="1">
              <a:extLst>
                <a:ext uri="{63B3BB69-23CF-44E3-9099-C40C66FF867C}">
                  <a14:compatExt spid="_x0000_s30736"/>
                </a:ext>
                <a:ext uri="{FF2B5EF4-FFF2-40B4-BE49-F238E27FC236}">
                  <a16:creationId xmlns:a16="http://schemas.microsoft.com/office/drawing/2014/main" id="{00000000-0008-0000-1700-000010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18</xdr:row>
          <xdr:rowOff>190500</xdr:rowOff>
        </xdr:from>
        <xdr:to>
          <xdr:col>9</xdr:col>
          <xdr:colOff>219075</xdr:colOff>
          <xdr:row>20</xdr:row>
          <xdr:rowOff>9525</xdr:rowOff>
        </xdr:to>
        <xdr:sp macro="" textlink="">
          <xdr:nvSpPr>
            <xdr:cNvPr id="30737" name="Check Box 17" hidden="1">
              <a:extLst>
                <a:ext uri="{63B3BB69-23CF-44E3-9099-C40C66FF867C}">
                  <a14:compatExt spid="_x0000_s30737"/>
                </a:ext>
                <a:ext uri="{FF2B5EF4-FFF2-40B4-BE49-F238E27FC236}">
                  <a16:creationId xmlns:a16="http://schemas.microsoft.com/office/drawing/2014/main" id="{00000000-0008-0000-1700-000011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19</xdr:row>
          <xdr:rowOff>219075</xdr:rowOff>
        </xdr:from>
        <xdr:to>
          <xdr:col>10</xdr:col>
          <xdr:colOff>0</xdr:colOff>
          <xdr:row>20</xdr:row>
          <xdr:rowOff>219075</xdr:rowOff>
        </xdr:to>
        <xdr:sp macro="" textlink="">
          <xdr:nvSpPr>
            <xdr:cNvPr id="30738" name="Check Box 18" hidden="1">
              <a:extLst>
                <a:ext uri="{63B3BB69-23CF-44E3-9099-C40C66FF867C}">
                  <a14:compatExt spid="_x0000_s30738"/>
                </a:ext>
                <a:ext uri="{FF2B5EF4-FFF2-40B4-BE49-F238E27FC236}">
                  <a16:creationId xmlns:a16="http://schemas.microsoft.com/office/drawing/2014/main" id="{00000000-0008-0000-1700-000012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xdr:row>
          <xdr:rowOff>9525</xdr:rowOff>
        </xdr:from>
        <xdr:to>
          <xdr:col>15</xdr:col>
          <xdr:colOff>257175</xdr:colOff>
          <xdr:row>6</xdr:row>
          <xdr:rowOff>219075</xdr:rowOff>
        </xdr:to>
        <xdr:sp macro="" textlink="">
          <xdr:nvSpPr>
            <xdr:cNvPr id="30739" name="Check Box 19" hidden="1">
              <a:extLst>
                <a:ext uri="{63B3BB69-23CF-44E3-9099-C40C66FF867C}">
                  <a14:compatExt spid="_x0000_s30739"/>
                </a:ext>
                <a:ext uri="{FF2B5EF4-FFF2-40B4-BE49-F238E27FC236}">
                  <a16:creationId xmlns:a16="http://schemas.microsoft.com/office/drawing/2014/main" id="{00000000-0008-0000-1700-000013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xdr:row>
          <xdr:rowOff>219075</xdr:rowOff>
        </xdr:from>
        <xdr:to>
          <xdr:col>15</xdr:col>
          <xdr:colOff>276225</xdr:colOff>
          <xdr:row>8</xdr:row>
          <xdr:rowOff>0</xdr:rowOff>
        </xdr:to>
        <xdr:sp macro="" textlink="">
          <xdr:nvSpPr>
            <xdr:cNvPr id="30740" name="Check Box 20" hidden="1">
              <a:extLst>
                <a:ext uri="{63B3BB69-23CF-44E3-9099-C40C66FF867C}">
                  <a14:compatExt spid="_x0000_s30740"/>
                </a:ext>
                <a:ext uri="{FF2B5EF4-FFF2-40B4-BE49-F238E27FC236}">
                  <a16:creationId xmlns:a16="http://schemas.microsoft.com/office/drawing/2014/main" id="{00000000-0008-0000-1700-00001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xdr:row>
          <xdr:rowOff>28575</xdr:rowOff>
        </xdr:from>
        <xdr:to>
          <xdr:col>15</xdr:col>
          <xdr:colOff>257175</xdr:colOff>
          <xdr:row>9</xdr:row>
          <xdr:rowOff>200025</xdr:rowOff>
        </xdr:to>
        <xdr:sp macro="" textlink="">
          <xdr:nvSpPr>
            <xdr:cNvPr id="30741" name="Check Box 21" hidden="1">
              <a:extLst>
                <a:ext uri="{63B3BB69-23CF-44E3-9099-C40C66FF867C}">
                  <a14:compatExt spid="_x0000_s30741"/>
                </a:ext>
                <a:ext uri="{FF2B5EF4-FFF2-40B4-BE49-F238E27FC236}">
                  <a16:creationId xmlns:a16="http://schemas.microsoft.com/office/drawing/2014/main" id="{00000000-0008-0000-1700-000015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xdr:row>
          <xdr:rowOff>219075</xdr:rowOff>
        </xdr:from>
        <xdr:to>
          <xdr:col>15</xdr:col>
          <xdr:colOff>257175</xdr:colOff>
          <xdr:row>10</xdr:row>
          <xdr:rowOff>219075</xdr:rowOff>
        </xdr:to>
        <xdr:sp macro="" textlink="">
          <xdr:nvSpPr>
            <xdr:cNvPr id="30742" name="Check Box 22" hidden="1">
              <a:extLst>
                <a:ext uri="{63B3BB69-23CF-44E3-9099-C40C66FF867C}">
                  <a14:compatExt spid="_x0000_s30742"/>
                </a:ext>
                <a:ext uri="{FF2B5EF4-FFF2-40B4-BE49-F238E27FC236}">
                  <a16:creationId xmlns:a16="http://schemas.microsoft.com/office/drawing/2014/main" id="{00000000-0008-0000-1700-000016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38100</xdr:colOff>
          <xdr:row>12</xdr:row>
          <xdr:rowOff>9525</xdr:rowOff>
        </xdr:from>
        <xdr:to>
          <xdr:col>15</xdr:col>
          <xdr:colOff>257175</xdr:colOff>
          <xdr:row>12</xdr:row>
          <xdr:rowOff>219075</xdr:rowOff>
        </xdr:to>
        <xdr:sp macro="" textlink="">
          <xdr:nvSpPr>
            <xdr:cNvPr id="30743" name="Check Box 23" hidden="1">
              <a:extLst>
                <a:ext uri="{63B3BB69-23CF-44E3-9099-C40C66FF867C}">
                  <a14:compatExt spid="_x0000_s30743"/>
                </a:ext>
                <a:ext uri="{FF2B5EF4-FFF2-40B4-BE49-F238E27FC236}">
                  <a16:creationId xmlns:a16="http://schemas.microsoft.com/office/drawing/2014/main" id="{00000000-0008-0000-1700-000017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38100</xdr:colOff>
          <xdr:row>13</xdr:row>
          <xdr:rowOff>9525</xdr:rowOff>
        </xdr:from>
        <xdr:to>
          <xdr:col>16</xdr:col>
          <xdr:colOff>28575</xdr:colOff>
          <xdr:row>13</xdr:row>
          <xdr:rowOff>219075</xdr:rowOff>
        </xdr:to>
        <xdr:sp macro="" textlink="">
          <xdr:nvSpPr>
            <xdr:cNvPr id="30744" name="Check Box 24" hidden="1">
              <a:extLst>
                <a:ext uri="{63B3BB69-23CF-44E3-9099-C40C66FF867C}">
                  <a14:compatExt spid="_x0000_s30744"/>
                </a:ext>
                <a:ext uri="{FF2B5EF4-FFF2-40B4-BE49-F238E27FC236}">
                  <a16:creationId xmlns:a16="http://schemas.microsoft.com/office/drawing/2014/main" id="{00000000-0008-0000-1700-000018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15</xdr:row>
          <xdr:rowOff>28575</xdr:rowOff>
        </xdr:from>
        <xdr:to>
          <xdr:col>15</xdr:col>
          <xdr:colOff>276225</xdr:colOff>
          <xdr:row>15</xdr:row>
          <xdr:rowOff>219075</xdr:rowOff>
        </xdr:to>
        <xdr:sp macro="" textlink="">
          <xdr:nvSpPr>
            <xdr:cNvPr id="30745" name="Check Box 25" hidden="1">
              <a:extLst>
                <a:ext uri="{63B3BB69-23CF-44E3-9099-C40C66FF867C}">
                  <a14:compatExt spid="_x0000_s30745"/>
                </a:ext>
                <a:ext uri="{FF2B5EF4-FFF2-40B4-BE49-F238E27FC236}">
                  <a16:creationId xmlns:a16="http://schemas.microsoft.com/office/drawing/2014/main" id="{00000000-0008-0000-1700-000019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15</xdr:row>
          <xdr:rowOff>219075</xdr:rowOff>
        </xdr:from>
        <xdr:to>
          <xdr:col>16</xdr:col>
          <xdr:colOff>9525</xdr:colOff>
          <xdr:row>17</xdr:row>
          <xdr:rowOff>0</xdr:rowOff>
        </xdr:to>
        <xdr:sp macro="" textlink="">
          <xdr:nvSpPr>
            <xdr:cNvPr id="30746" name="Check Box 26" hidden="1">
              <a:extLst>
                <a:ext uri="{63B3BB69-23CF-44E3-9099-C40C66FF867C}">
                  <a14:compatExt spid="_x0000_s30746"/>
                </a:ext>
                <a:ext uri="{FF2B5EF4-FFF2-40B4-BE49-F238E27FC236}">
                  <a16:creationId xmlns:a16="http://schemas.microsoft.com/office/drawing/2014/main" id="{00000000-0008-0000-1700-00001A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18</xdr:row>
          <xdr:rowOff>9525</xdr:rowOff>
        </xdr:from>
        <xdr:to>
          <xdr:col>16</xdr:col>
          <xdr:colOff>28575</xdr:colOff>
          <xdr:row>19</xdr:row>
          <xdr:rowOff>28575</xdr:rowOff>
        </xdr:to>
        <xdr:sp macro="" textlink="">
          <xdr:nvSpPr>
            <xdr:cNvPr id="30747" name="Check Box 27" hidden="1">
              <a:extLst>
                <a:ext uri="{63B3BB69-23CF-44E3-9099-C40C66FF867C}">
                  <a14:compatExt spid="_x0000_s30747"/>
                </a:ext>
                <a:ext uri="{FF2B5EF4-FFF2-40B4-BE49-F238E27FC236}">
                  <a16:creationId xmlns:a16="http://schemas.microsoft.com/office/drawing/2014/main" id="{00000000-0008-0000-1700-00001B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19</xdr:row>
          <xdr:rowOff>0</xdr:rowOff>
        </xdr:from>
        <xdr:to>
          <xdr:col>16</xdr:col>
          <xdr:colOff>9525</xdr:colOff>
          <xdr:row>20</xdr:row>
          <xdr:rowOff>9525</xdr:rowOff>
        </xdr:to>
        <xdr:sp macro="" textlink="">
          <xdr:nvSpPr>
            <xdr:cNvPr id="30748" name="Check Box 28" hidden="1">
              <a:extLst>
                <a:ext uri="{63B3BB69-23CF-44E3-9099-C40C66FF867C}">
                  <a14:compatExt spid="_x0000_s30748"/>
                </a:ext>
                <a:ext uri="{FF2B5EF4-FFF2-40B4-BE49-F238E27FC236}">
                  <a16:creationId xmlns:a16="http://schemas.microsoft.com/office/drawing/2014/main" id="{00000000-0008-0000-1700-00001C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6</xdr:col>
      <xdr:colOff>342900</xdr:colOff>
      <xdr:row>100</xdr:row>
      <xdr:rowOff>66675</xdr:rowOff>
    </xdr:from>
    <xdr:to>
      <xdr:col>6</xdr:col>
      <xdr:colOff>371475</xdr:colOff>
      <xdr:row>100</xdr:row>
      <xdr:rowOff>104775</xdr:rowOff>
    </xdr:to>
    <xdr:sp macro="" textlink="">
      <xdr:nvSpPr>
        <xdr:cNvPr id="2" name="Rectangle 118">
          <a:extLst>
            <a:ext uri="{FF2B5EF4-FFF2-40B4-BE49-F238E27FC236}">
              <a16:creationId xmlns:a16="http://schemas.microsoft.com/office/drawing/2014/main" id="{00000000-0008-0000-1800-000002000000}"/>
            </a:ext>
          </a:extLst>
        </xdr:cNvPr>
        <xdr:cNvSpPr>
          <a:spLocks noChangeArrowheads="1"/>
        </xdr:cNvSpPr>
      </xdr:nvSpPr>
      <xdr:spPr bwMode="auto">
        <a:xfrm flipH="1" flipV="1">
          <a:off x="1797050" y="196056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100</xdr:row>
      <xdr:rowOff>66675</xdr:rowOff>
    </xdr:from>
    <xdr:to>
      <xdr:col>1</xdr:col>
      <xdr:colOff>371475</xdr:colOff>
      <xdr:row>100</xdr:row>
      <xdr:rowOff>104775</xdr:rowOff>
    </xdr:to>
    <xdr:sp macro="" textlink="">
      <xdr:nvSpPr>
        <xdr:cNvPr id="3" name="Rectangle 118">
          <a:extLst>
            <a:ext uri="{FF2B5EF4-FFF2-40B4-BE49-F238E27FC236}">
              <a16:creationId xmlns:a16="http://schemas.microsoft.com/office/drawing/2014/main" id="{00000000-0008-0000-1800-000003000000}"/>
            </a:ext>
          </a:extLst>
        </xdr:cNvPr>
        <xdr:cNvSpPr>
          <a:spLocks noChangeArrowheads="1"/>
        </xdr:cNvSpPr>
      </xdr:nvSpPr>
      <xdr:spPr bwMode="auto">
        <a:xfrm flipH="1" flipV="1">
          <a:off x="431800" y="19605625"/>
          <a:ext cx="0" cy="38100"/>
        </a:xfrm>
        <a:prstGeom prst="rect">
          <a:avLst/>
        </a:prstGeom>
        <a:solidFill>
          <a:srgbClr val="000000"/>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342900</xdr:colOff>
      <xdr:row>102</xdr:row>
      <xdr:rowOff>66675</xdr:rowOff>
    </xdr:from>
    <xdr:to>
      <xdr:col>6</xdr:col>
      <xdr:colOff>371475</xdr:colOff>
      <xdr:row>102</xdr:row>
      <xdr:rowOff>104775</xdr:rowOff>
    </xdr:to>
    <xdr:sp macro="" textlink="">
      <xdr:nvSpPr>
        <xdr:cNvPr id="2" name="Rectangle 118">
          <a:extLst>
            <a:ext uri="{FF2B5EF4-FFF2-40B4-BE49-F238E27FC236}">
              <a16:creationId xmlns:a16="http://schemas.microsoft.com/office/drawing/2014/main" id="{00000000-0008-0000-1900-000002000000}"/>
            </a:ext>
          </a:extLst>
        </xdr:cNvPr>
        <xdr:cNvSpPr>
          <a:spLocks noChangeArrowheads="1"/>
        </xdr:cNvSpPr>
      </xdr:nvSpPr>
      <xdr:spPr bwMode="auto">
        <a:xfrm flipH="1" flipV="1">
          <a:off x="1797050" y="202787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900-000003000000}"/>
            </a:ext>
          </a:extLst>
        </xdr:cNvPr>
        <xdr:cNvSpPr>
          <a:spLocks noChangeArrowheads="1"/>
        </xdr:cNvSpPr>
      </xdr:nvSpPr>
      <xdr:spPr bwMode="auto">
        <a:xfrm flipH="1" flipV="1">
          <a:off x="431800" y="20278725"/>
          <a:ext cx="0" cy="38100"/>
        </a:xfrm>
        <a:prstGeom prst="rect">
          <a:avLst/>
        </a:prstGeom>
        <a:solidFill>
          <a:srgbClr val="0000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342900</xdr:colOff>
      <xdr:row>97</xdr:row>
      <xdr:rowOff>66675</xdr:rowOff>
    </xdr:from>
    <xdr:to>
      <xdr:col>6</xdr:col>
      <xdr:colOff>371475</xdr:colOff>
      <xdr:row>97</xdr:row>
      <xdr:rowOff>104775</xdr:rowOff>
    </xdr:to>
    <xdr:sp macro="" textlink="">
      <xdr:nvSpPr>
        <xdr:cNvPr id="2" name="Rectangle 118">
          <a:extLst>
            <a:ext uri="{FF2B5EF4-FFF2-40B4-BE49-F238E27FC236}">
              <a16:creationId xmlns:a16="http://schemas.microsoft.com/office/drawing/2014/main" id="{00000000-0008-0000-1A00-000002000000}"/>
            </a:ext>
          </a:extLst>
        </xdr:cNvPr>
        <xdr:cNvSpPr>
          <a:spLocks noChangeArrowheads="1"/>
        </xdr:cNvSpPr>
      </xdr:nvSpPr>
      <xdr:spPr bwMode="auto">
        <a:xfrm flipH="1" flipV="1">
          <a:off x="1797050" y="1899602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97</xdr:row>
      <xdr:rowOff>66675</xdr:rowOff>
    </xdr:from>
    <xdr:to>
      <xdr:col>1</xdr:col>
      <xdr:colOff>371475</xdr:colOff>
      <xdr:row>97</xdr:row>
      <xdr:rowOff>104775</xdr:rowOff>
    </xdr:to>
    <xdr:sp macro="" textlink="">
      <xdr:nvSpPr>
        <xdr:cNvPr id="3" name="Rectangle 118">
          <a:extLst>
            <a:ext uri="{FF2B5EF4-FFF2-40B4-BE49-F238E27FC236}">
              <a16:creationId xmlns:a16="http://schemas.microsoft.com/office/drawing/2014/main" id="{00000000-0008-0000-1A00-000003000000}"/>
            </a:ext>
          </a:extLst>
        </xdr:cNvPr>
        <xdr:cNvSpPr>
          <a:spLocks noChangeArrowheads="1"/>
        </xdr:cNvSpPr>
      </xdr:nvSpPr>
      <xdr:spPr bwMode="auto">
        <a:xfrm flipH="1" flipV="1">
          <a:off x="431800" y="18996025"/>
          <a:ext cx="0" cy="38100"/>
        </a:xfrm>
        <a:prstGeom prst="rect">
          <a:avLst/>
        </a:prstGeom>
        <a:solidFill>
          <a:srgbClr val="000000"/>
        </a:solidFill>
        <a:ln w="9525">
          <a:solidFill>
            <a:srgbClr val="000000"/>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28575</xdr:colOff>
          <xdr:row>5</xdr:row>
          <xdr:rowOff>9525</xdr:rowOff>
        </xdr:from>
        <xdr:to>
          <xdr:col>27</xdr:col>
          <xdr:colOff>266700</xdr:colOff>
          <xdr:row>6</xdr:row>
          <xdr:rowOff>0</xdr:rowOff>
        </xdr:to>
        <xdr:sp macro="" textlink="">
          <xdr:nvSpPr>
            <xdr:cNvPr id="63489" name="Check Box 1" hidden="1">
              <a:extLst>
                <a:ext uri="{63B3BB69-23CF-44E3-9099-C40C66FF867C}">
                  <a14:compatExt spid="_x0000_s63489"/>
                </a:ext>
                <a:ext uri="{FF2B5EF4-FFF2-40B4-BE49-F238E27FC236}">
                  <a16:creationId xmlns:a16="http://schemas.microsoft.com/office/drawing/2014/main" id="{00000000-0008-0000-1B00-00000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xdr:row>
          <xdr:rowOff>257175</xdr:rowOff>
        </xdr:from>
        <xdr:to>
          <xdr:col>28</xdr:col>
          <xdr:colOff>0</xdr:colOff>
          <xdr:row>7</xdr:row>
          <xdr:rowOff>0</xdr:rowOff>
        </xdr:to>
        <xdr:sp macro="" textlink="">
          <xdr:nvSpPr>
            <xdr:cNvPr id="63490" name="Check Box 2" hidden="1">
              <a:extLst>
                <a:ext uri="{63B3BB69-23CF-44E3-9099-C40C66FF867C}">
                  <a14:compatExt spid="_x0000_s63490"/>
                </a:ext>
                <a:ext uri="{FF2B5EF4-FFF2-40B4-BE49-F238E27FC236}">
                  <a16:creationId xmlns:a16="http://schemas.microsoft.com/office/drawing/2014/main" id="{00000000-0008-0000-1B00-00000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xdr:row>
          <xdr:rowOff>9525</xdr:rowOff>
        </xdr:from>
        <xdr:to>
          <xdr:col>31</xdr:col>
          <xdr:colOff>9525</xdr:colOff>
          <xdr:row>8</xdr:row>
          <xdr:rowOff>9525</xdr:rowOff>
        </xdr:to>
        <xdr:sp macro="" textlink="">
          <xdr:nvSpPr>
            <xdr:cNvPr id="63491" name="Check Box 3" hidden="1">
              <a:extLst>
                <a:ext uri="{63B3BB69-23CF-44E3-9099-C40C66FF867C}">
                  <a14:compatExt spid="_x0000_s63491"/>
                </a:ext>
                <a:ext uri="{FF2B5EF4-FFF2-40B4-BE49-F238E27FC236}">
                  <a16:creationId xmlns:a16="http://schemas.microsoft.com/office/drawing/2014/main" id="{00000000-0008-0000-1B00-00000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xdr:row>
          <xdr:rowOff>257175</xdr:rowOff>
        </xdr:from>
        <xdr:to>
          <xdr:col>30</xdr:col>
          <xdr:colOff>266700</xdr:colOff>
          <xdr:row>8</xdr:row>
          <xdr:rowOff>257175</xdr:rowOff>
        </xdr:to>
        <xdr:sp macro="" textlink="">
          <xdr:nvSpPr>
            <xdr:cNvPr id="63492" name="Check Box 4" hidden="1">
              <a:extLst>
                <a:ext uri="{63B3BB69-23CF-44E3-9099-C40C66FF867C}">
                  <a14:compatExt spid="_x0000_s63492"/>
                </a:ext>
                <a:ext uri="{FF2B5EF4-FFF2-40B4-BE49-F238E27FC236}">
                  <a16:creationId xmlns:a16="http://schemas.microsoft.com/office/drawing/2014/main" id="{00000000-0008-0000-1B00-00000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9</xdr:row>
          <xdr:rowOff>28575</xdr:rowOff>
        </xdr:from>
        <xdr:to>
          <xdr:col>30</xdr:col>
          <xdr:colOff>266700</xdr:colOff>
          <xdr:row>9</xdr:row>
          <xdr:rowOff>257175</xdr:rowOff>
        </xdr:to>
        <xdr:sp macro="" textlink="">
          <xdr:nvSpPr>
            <xdr:cNvPr id="63493" name="Check Box 5" hidden="1">
              <a:extLst>
                <a:ext uri="{63B3BB69-23CF-44E3-9099-C40C66FF867C}">
                  <a14:compatExt spid="_x0000_s63493"/>
                </a:ext>
                <a:ext uri="{FF2B5EF4-FFF2-40B4-BE49-F238E27FC236}">
                  <a16:creationId xmlns:a16="http://schemas.microsoft.com/office/drawing/2014/main" id="{00000000-0008-0000-1B00-00000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xdr:row>
          <xdr:rowOff>257175</xdr:rowOff>
        </xdr:from>
        <xdr:to>
          <xdr:col>28</xdr:col>
          <xdr:colOff>9525</xdr:colOff>
          <xdr:row>11</xdr:row>
          <xdr:rowOff>9525</xdr:rowOff>
        </xdr:to>
        <xdr:sp macro="" textlink="">
          <xdr:nvSpPr>
            <xdr:cNvPr id="63494" name="Check Box 6" hidden="1">
              <a:extLst>
                <a:ext uri="{63B3BB69-23CF-44E3-9099-C40C66FF867C}">
                  <a14:compatExt spid="_x0000_s63494"/>
                </a:ext>
                <a:ext uri="{FF2B5EF4-FFF2-40B4-BE49-F238E27FC236}">
                  <a16:creationId xmlns:a16="http://schemas.microsoft.com/office/drawing/2014/main" id="{00000000-0008-0000-1B00-000006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12</xdr:row>
          <xdr:rowOff>257175</xdr:rowOff>
        </xdr:from>
        <xdr:to>
          <xdr:col>27</xdr:col>
          <xdr:colOff>257175</xdr:colOff>
          <xdr:row>14</xdr:row>
          <xdr:rowOff>28575</xdr:rowOff>
        </xdr:to>
        <xdr:sp macro="" textlink="">
          <xdr:nvSpPr>
            <xdr:cNvPr id="63495" name="Check Box 7" hidden="1">
              <a:extLst>
                <a:ext uri="{63B3BB69-23CF-44E3-9099-C40C66FF867C}">
                  <a14:compatExt spid="_x0000_s63495"/>
                </a:ext>
                <a:ext uri="{FF2B5EF4-FFF2-40B4-BE49-F238E27FC236}">
                  <a16:creationId xmlns:a16="http://schemas.microsoft.com/office/drawing/2014/main" id="{00000000-0008-0000-1B00-000007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14</xdr:row>
          <xdr:rowOff>9525</xdr:rowOff>
        </xdr:from>
        <xdr:to>
          <xdr:col>28</xdr:col>
          <xdr:colOff>9525</xdr:colOff>
          <xdr:row>14</xdr:row>
          <xdr:rowOff>219075</xdr:rowOff>
        </xdr:to>
        <xdr:sp macro="" textlink="">
          <xdr:nvSpPr>
            <xdr:cNvPr id="63496" name="Check Box 8" hidden="1">
              <a:extLst>
                <a:ext uri="{63B3BB69-23CF-44E3-9099-C40C66FF867C}">
                  <a14:compatExt spid="_x0000_s63496"/>
                </a:ext>
                <a:ext uri="{FF2B5EF4-FFF2-40B4-BE49-F238E27FC236}">
                  <a16:creationId xmlns:a16="http://schemas.microsoft.com/office/drawing/2014/main" id="{00000000-0008-0000-1B00-000008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15</xdr:row>
          <xdr:rowOff>28575</xdr:rowOff>
        </xdr:from>
        <xdr:to>
          <xdr:col>27</xdr:col>
          <xdr:colOff>276225</xdr:colOff>
          <xdr:row>16</xdr:row>
          <xdr:rowOff>9525</xdr:rowOff>
        </xdr:to>
        <xdr:sp macro="" textlink="">
          <xdr:nvSpPr>
            <xdr:cNvPr id="63497" name="Check Box 9" hidden="1">
              <a:extLst>
                <a:ext uri="{63B3BB69-23CF-44E3-9099-C40C66FF867C}">
                  <a14:compatExt spid="_x0000_s63497"/>
                </a:ext>
                <a:ext uri="{FF2B5EF4-FFF2-40B4-BE49-F238E27FC236}">
                  <a16:creationId xmlns:a16="http://schemas.microsoft.com/office/drawing/2014/main" id="{00000000-0008-0000-1B00-000009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13</xdr:row>
          <xdr:rowOff>28575</xdr:rowOff>
        </xdr:from>
        <xdr:to>
          <xdr:col>33</xdr:col>
          <xdr:colOff>238125</xdr:colOff>
          <xdr:row>14</xdr:row>
          <xdr:rowOff>28575</xdr:rowOff>
        </xdr:to>
        <xdr:sp macro="" textlink="">
          <xdr:nvSpPr>
            <xdr:cNvPr id="63498" name="Check Box 10" hidden="1">
              <a:extLst>
                <a:ext uri="{63B3BB69-23CF-44E3-9099-C40C66FF867C}">
                  <a14:compatExt spid="_x0000_s63498"/>
                </a:ext>
                <a:ext uri="{FF2B5EF4-FFF2-40B4-BE49-F238E27FC236}">
                  <a16:creationId xmlns:a16="http://schemas.microsoft.com/office/drawing/2014/main" id="{00000000-0008-0000-1B00-00000A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14</xdr:row>
          <xdr:rowOff>28575</xdr:rowOff>
        </xdr:from>
        <xdr:to>
          <xdr:col>34</xdr:col>
          <xdr:colOff>9525</xdr:colOff>
          <xdr:row>15</xdr:row>
          <xdr:rowOff>28575</xdr:rowOff>
        </xdr:to>
        <xdr:sp macro="" textlink="">
          <xdr:nvSpPr>
            <xdr:cNvPr id="63499" name="Check Box 11" hidden="1">
              <a:extLst>
                <a:ext uri="{63B3BB69-23CF-44E3-9099-C40C66FF867C}">
                  <a14:compatExt spid="_x0000_s63499"/>
                </a:ext>
                <a:ext uri="{FF2B5EF4-FFF2-40B4-BE49-F238E27FC236}">
                  <a16:creationId xmlns:a16="http://schemas.microsoft.com/office/drawing/2014/main" id="{00000000-0008-0000-1B00-00000B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15</xdr:row>
          <xdr:rowOff>9525</xdr:rowOff>
        </xdr:from>
        <xdr:to>
          <xdr:col>33</xdr:col>
          <xdr:colOff>219075</xdr:colOff>
          <xdr:row>15</xdr:row>
          <xdr:rowOff>238125</xdr:rowOff>
        </xdr:to>
        <xdr:sp macro="" textlink="">
          <xdr:nvSpPr>
            <xdr:cNvPr id="63500" name="Check Box 12" hidden="1">
              <a:extLst>
                <a:ext uri="{63B3BB69-23CF-44E3-9099-C40C66FF867C}">
                  <a14:compatExt spid="_x0000_s63500"/>
                </a:ext>
                <a:ext uri="{FF2B5EF4-FFF2-40B4-BE49-F238E27FC236}">
                  <a16:creationId xmlns:a16="http://schemas.microsoft.com/office/drawing/2014/main" id="{00000000-0008-0000-1B00-00000C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28575</xdr:colOff>
          <xdr:row>6</xdr:row>
          <xdr:rowOff>28575</xdr:rowOff>
        </xdr:from>
        <xdr:to>
          <xdr:col>5</xdr:col>
          <xdr:colOff>28575</xdr:colOff>
          <xdr:row>6</xdr:row>
          <xdr:rowOff>238125</xdr:rowOff>
        </xdr:to>
        <xdr:sp macro="" textlink="">
          <xdr:nvSpPr>
            <xdr:cNvPr id="64513" name="Check Box 1" hidden="1">
              <a:extLst>
                <a:ext uri="{63B3BB69-23CF-44E3-9099-C40C66FF867C}">
                  <a14:compatExt spid="_x0000_s64513"/>
                </a:ext>
                <a:ext uri="{FF2B5EF4-FFF2-40B4-BE49-F238E27FC236}">
                  <a16:creationId xmlns:a16="http://schemas.microsoft.com/office/drawing/2014/main" id="{00000000-0008-0000-1C00-00000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7</xdr:row>
          <xdr:rowOff>85725</xdr:rowOff>
        </xdr:from>
        <xdr:to>
          <xdr:col>5</xdr:col>
          <xdr:colOff>28575</xdr:colOff>
          <xdr:row>7</xdr:row>
          <xdr:rowOff>295275</xdr:rowOff>
        </xdr:to>
        <xdr:sp macro="" textlink="">
          <xdr:nvSpPr>
            <xdr:cNvPr id="64514" name="Check Box 2" hidden="1">
              <a:extLst>
                <a:ext uri="{63B3BB69-23CF-44E3-9099-C40C66FF867C}">
                  <a14:compatExt spid="_x0000_s64514"/>
                </a:ext>
                <a:ext uri="{FF2B5EF4-FFF2-40B4-BE49-F238E27FC236}">
                  <a16:creationId xmlns:a16="http://schemas.microsoft.com/office/drawing/2014/main" id="{00000000-0008-0000-1C00-00000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6</xdr:row>
          <xdr:rowOff>28575</xdr:rowOff>
        </xdr:from>
        <xdr:to>
          <xdr:col>8</xdr:col>
          <xdr:colOff>257175</xdr:colOff>
          <xdr:row>6</xdr:row>
          <xdr:rowOff>190500</xdr:rowOff>
        </xdr:to>
        <xdr:sp macro="" textlink="">
          <xdr:nvSpPr>
            <xdr:cNvPr id="64515" name="Check Box 3" hidden="1">
              <a:extLst>
                <a:ext uri="{63B3BB69-23CF-44E3-9099-C40C66FF867C}">
                  <a14:compatExt spid="_x0000_s64515"/>
                </a:ext>
                <a:ext uri="{FF2B5EF4-FFF2-40B4-BE49-F238E27FC236}">
                  <a16:creationId xmlns:a16="http://schemas.microsoft.com/office/drawing/2014/main" id="{00000000-0008-0000-1C00-00000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7</xdr:row>
          <xdr:rowOff>76200</xdr:rowOff>
        </xdr:from>
        <xdr:to>
          <xdr:col>8</xdr:col>
          <xdr:colOff>266700</xdr:colOff>
          <xdr:row>7</xdr:row>
          <xdr:rowOff>295275</xdr:rowOff>
        </xdr:to>
        <xdr:sp macro="" textlink="">
          <xdr:nvSpPr>
            <xdr:cNvPr id="64516" name="Check Box 4" hidden="1">
              <a:extLst>
                <a:ext uri="{63B3BB69-23CF-44E3-9099-C40C66FF867C}">
                  <a14:compatExt spid="_x0000_s64516"/>
                </a:ext>
                <a:ext uri="{FF2B5EF4-FFF2-40B4-BE49-F238E27FC236}">
                  <a16:creationId xmlns:a16="http://schemas.microsoft.com/office/drawing/2014/main" id="{00000000-0008-0000-1C00-00000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8</xdr:row>
          <xdr:rowOff>9525</xdr:rowOff>
        </xdr:from>
        <xdr:to>
          <xdr:col>8</xdr:col>
          <xdr:colOff>257175</xdr:colOff>
          <xdr:row>8</xdr:row>
          <xdr:rowOff>228600</xdr:rowOff>
        </xdr:to>
        <xdr:sp macro="" textlink="">
          <xdr:nvSpPr>
            <xdr:cNvPr id="64517" name="Check Box 5" hidden="1">
              <a:extLst>
                <a:ext uri="{63B3BB69-23CF-44E3-9099-C40C66FF867C}">
                  <a14:compatExt spid="_x0000_s64517"/>
                </a:ext>
                <a:ext uri="{FF2B5EF4-FFF2-40B4-BE49-F238E27FC236}">
                  <a16:creationId xmlns:a16="http://schemas.microsoft.com/office/drawing/2014/main" id="{00000000-0008-0000-1C00-00000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8</xdr:row>
          <xdr:rowOff>9525</xdr:rowOff>
        </xdr:from>
        <xdr:to>
          <xdr:col>12</xdr:col>
          <xdr:colOff>238125</xdr:colOff>
          <xdr:row>9</xdr:row>
          <xdr:rowOff>9525</xdr:rowOff>
        </xdr:to>
        <xdr:sp macro="" textlink="">
          <xdr:nvSpPr>
            <xdr:cNvPr id="64518" name="Check Box 6" hidden="1">
              <a:extLst>
                <a:ext uri="{63B3BB69-23CF-44E3-9099-C40C66FF867C}">
                  <a14:compatExt spid="_x0000_s64518"/>
                </a:ext>
                <a:ext uri="{FF2B5EF4-FFF2-40B4-BE49-F238E27FC236}">
                  <a16:creationId xmlns:a16="http://schemas.microsoft.com/office/drawing/2014/main" id="{00000000-0008-0000-1C00-00000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10</xdr:row>
          <xdr:rowOff>9525</xdr:rowOff>
        </xdr:from>
        <xdr:to>
          <xdr:col>4</xdr:col>
          <xdr:colOff>238125</xdr:colOff>
          <xdr:row>10</xdr:row>
          <xdr:rowOff>238125</xdr:rowOff>
        </xdr:to>
        <xdr:sp macro="" textlink="">
          <xdr:nvSpPr>
            <xdr:cNvPr id="64519" name="Check Box 7" hidden="1">
              <a:extLst>
                <a:ext uri="{63B3BB69-23CF-44E3-9099-C40C66FF867C}">
                  <a14:compatExt spid="_x0000_s64519"/>
                </a:ext>
                <a:ext uri="{FF2B5EF4-FFF2-40B4-BE49-F238E27FC236}">
                  <a16:creationId xmlns:a16="http://schemas.microsoft.com/office/drawing/2014/main" id="{00000000-0008-0000-1C00-00000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11</xdr:row>
          <xdr:rowOff>0</xdr:rowOff>
        </xdr:from>
        <xdr:to>
          <xdr:col>4</xdr:col>
          <xdr:colOff>257175</xdr:colOff>
          <xdr:row>11</xdr:row>
          <xdr:rowOff>238125</xdr:rowOff>
        </xdr:to>
        <xdr:sp macro="" textlink="">
          <xdr:nvSpPr>
            <xdr:cNvPr id="64520" name="Check Box 8" hidden="1">
              <a:extLst>
                <a:ext uri="{63B3BB69-23CF-44E3-9099-C40C66FF867C}">
                  <a14:compatExt spid="_x0000_s64520"/>
                </a:ext>
                <a:ext uri="{FF2B5EF4-FFF2-40B4-BE49-F238E27FC236}">
                  <a16:creationId xmlns:a16="http://schemas.microsoft.com/office/drawing/2014/main" id="{00000000-0008-0000-1C00-00000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11</xdr:row>
          <xdr:rowOff>238125</xdr:rowOff>
        </xdr:from>
        <xdr:to>
          <xdr:col>4</xdr:col>
          <xdr:colOff>238125</xdr:colOff>
          <xdr:row>12</xdr:row>
          <xdr:rowOff>238125</xdr:rowOff>
        </xdr:to>
        <xdr:sp macro="" textlink="">
          <xdr:nvSpPr>
            <xdr:cNvPr id="64521" name="Check Box 9" hidden="1">
              <a:extLst>
                <a:ext uri="{63B3BB69-23CF-44E3-9099-C40C66FF867C}">
                  <a14:compatExt spid="_x0000_s64521"/>
                </a:ext>
                <a:ext uri="{FF2B5EF4-FFF2-40B4-BE49-F238E27FC236}">
                  <a16:creationId xmlns:a16="http://schemas.microsoft.com/office/drawing/2014/main" id="{00000000-0008-0000-1C00-00000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13</xdr:row>
          <xdr:rowOff>0</xdr:rowOff>
        </xdr:from>
        <xdr:to>
          <xdr:col>4</xdr:col>
          <xdr:colOff>257175</xdr:colOff>
          <xdr:row>13</xdr:row>
          <xdr:rowOff>238125</xdr:rowOff>
        </xdr:to>
        <xdr:sp macro="" textlink="">
          <xdr:nvSpPr>
            <xdr:cNvPr id="64522" name="Check Box 10" hidden="1">
              <a:extLst>
                <a:ext uri="{63B3BB69-23CF-44E3-9099-C40C66FF867C}">
                  <a14:compatExt spid="_x0000_s64522"/>
                </a:ext>
                <a:ext uri="{FF2B5EF4-FFF2-40B4-BE49-F238E27FC236}">
                  <a16:creationId xmlns:a16="http://schemas.microsoft.com/office/drawing/2014/main" id="{00000000-0008-0000-1C00-00000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14</xdr:row>
          <xdr:rowOff>0</xdr:rowOff>
        </xdr:from>
        <xdr:to>
          <xdr:col>4</xdr:col>
          <xdr:colOff>257175</xdr:colOff>
          <xdr:row>14</xdr:row>
          <xdr:rowOff>219075</xdr:rowOff>
        </xdr:to>
        <xdr:sp macro="" textlink="">
          <xdr:nvSpPr>
            <xdr:cNvPr id="64523" name="Check Box 11" hidden="1">
              <a:extLst>
                <a:ext uri="{63B3BB69-23CF-44E3-9099-C40C66FF867C}">
                  <a14:compatExt spid="_x0000_s64523"/>
                </a:ext>
                <a:ext uri="{FF2B5EF4-FFF2-40B4-BE49-F238E27FC236}">
                  <a16:creationId xmlns:a16="http://schemas.microsoft.com/office/drawing/2014/main" id="{00000000-0008-0000-1C00-00000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15</xdr:row>
          <xdr:rowOff>0</xdr:rowOff>
        </xdr:from>
        <xdr:to>
          <xdr:col>4</xdr:col>
          <xdr:colOff>238125</xdr:colOff>
          <xdr:row>15</xdr:row>
          <xdr:rowOff>200025</xdr:rowOff>
        </xdr:to>
        <xdr:sp macro="" textlink="">
          <xdr:nvSpPr>
            <xdr:cNvPr id="64524" name="Check Box 12" hidden="1">
              <a:extLst>
                <a:ext uri="{63B3BB69-23CF-44E3-9099-C40C66FF867C}">
                  <a14:compatExt spid="_x0000_s64524"/>
                </a:ext>
                <a:ext uri="{FF2B5EF4-FFF2-40B4-BE49-F238E27FC236}">
                  <a16:creationId xmlns:a16="http://schemas.microsoft.com/office/drawing/2014/main" id="{00000000-0008-0000-1C00-00000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16</xdr:row>
          <xdr:rowOff>0</xdr:rowOff>
        </xdr:from>
        <xdr:to>
          <xdr:col>4</xdr:col>
          <xdr:colOff>219075</xdr:colOff>
          <xdr:row>16</xdr:row>
          <xdr:rowOff>219075</xdr:rowOff>
        </xdr:to>
        <xdr:sp macro="" textlink="">
          <xdr:nvSpPr>
            <xdr:cNvPr id="64525" name="Check Box 13" hidden="1">
              <a:extLst>
                <a:ext uri="{63B3BB69-23CF-44E3-9099-C40C66FF867C}">
                  <a14:compatExt spid="_x0000_s64525"/>
                </a:ext>
                <a:ext uri="{FF2B5EF4-FFF2-40B4-BE49-F238E27FC236}">
                  <a16:creationId xmlns:a16="http://schemas.microsoft.com/office/drawing/2014/main" id="{00000000-0008-0000-1C00-00000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17</xdr:row>
          <xdr:rowOff>9525</xdr:rowOff>
        </xdr:from>
        <xdr:to>
          <xdr:col>4</xdr:col>
          <xdr:colOff>238125</xdr:colOff>
          <xdr:row>17</xdr:row>
          <xdr:rowOff>219075</xdr:rowOff>
        </xdr:to>
        <xdr:sp macro="" textlink="">
          <xdr:nvSpPr>
            <xdr:cNvPr id="64526" name="Check Box 14" hidden="1">
              <a:extLst>
                <a:ext uri="{63B3BB69-23CF-44E3-9099-C40C66FF867C}">
                  <a14:compatExt spid="_x0000_s64526"/>
                </a:ext>
                <a:ext uri="{FF2B5EF4-FFF2-40B4-BE49-F238E27FC236}">
                  <a16:creationId xmlns:a16="http://schemas.microsoft.com/office/drawing/2014/main" id="{00000000-0008-0000-1C00-00000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18</xdr:row>
          <xdr:rowOff>28575</xdr:rowOff>
        </xdr:from>
        <xdr:to>
          <xdr:col>4</xdr:col>
          <xdr:colOff>257175</xdr:colOff>
          <xdr:row>18</xdr:row>
          <xdr:rowOff>238125</xdr:rowOff>
        </xdr:to>
        <xdr:sp macro="" textlink="">
          <xdr:nvSpPr>
            <xdr:cNvPr id="64527" name="Check Box 15" hidden="1">
              <a:extLst>
                <a:ext uri="{63B3BB69-23CF-44E3-9099-C40C66FF867C}">
                  <a14:compatExt spid="_x0000_s64527"/>
                </a:ext>
                <a:ext uri="{FF2B5EF4-FFF2-40B4-BE49-F238E27FC236}">
                  <a16:creationId xmlns:a16="http://schemas.microsoft.com/office/drawing/2014/main" id="{00000000-0008-0000-1C00-00000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19</xdr:row>
          <xdr:rowOff>28575</xdr:rowOff>
        </xdr:from>
        <xdr:to>
          <xdr:col>4</xdr:col>
          <xdr:colOff>219075</xdr:colOff>
          <xdr:row>19</xdr:row>
          <xdr:rowOff>219075</xdr:rowOff>
        </xdr:to>
        <xdr:sp macro="" textlink="">
          <xdr:nvSpPr>
            <xdr:cNvPr id="64528" name="Check Box 16" hidden="1">
              <a:extLst>
                <a:ext uri="{63B3BB69-23CF-44E3-9099-C40C66FF867C}">
                  <a14:compatExt spid="_x0000_s64528"/>
                </a:ext>
                <a:ext uri="{FF2B5EF4-FFF2-40B4-BE49-F238E27FC236}">
                  <a16:creationId xmlns:a16="http://schemas.microsoft.com/office/drawing/2014/main" id="{00000000-0008-0000-1C00-00001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20</xdr:row>
          <xdr:rowOff>38100</xdr:rowOff>
        </xdr:from>
        <xdr:to>
          <xdr:col>4</xdr:col>
          <xdr:colOff>266700</xdr:colOff>
          <xdr:row>21</xdr:row>
          <xdr:rowOff>228600</xdr:rowOff>
        </xdr:to>
        <xdr:sp macro="" textlink="">
          <xdr:nvSpPr>
            <xdr:cNvPr id="64529" name="Check Box 17" hidden="1">
              <a:extLst>
                <a:ext uri="{63B3BB69-23CF-44E3-9099-C40C66FF867C}">
                  <a14:compatExt spid="_x0000_s64529"/>
                </a:ext>
                <a:ext uri="{FF2B5EF4-FFF2-40B4-BE49-F238E27FC236}">
                  <a16:creationId xmlns:a16="http://schemas.microsoft.com/office/drawing/2014/main" id="{00000000-0008-0000-1C00-00001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22</xdr:row>
          <xdr:rowOff>9525</xdr:rowOff>
        </xdr:from>
        <xdr:to>
          <xdr:col>4</xdr:col>
          <xdr:colOff>219075</xdr:colOff>
          <xdr:row>22</xdr:row>
          <xdr:rowOff>228600</xdr:rowOff>
        </xdr:to>
        <xdr:sp macro="" textlink="">
          <xdr:nvSpPr>
            <xdr:cNvPr id="64530" name="Check Box 18" hidden="1">
              <a:extLst>
                <a:ext uri="{63B3BB69-23CF-44E3-9099-C40C66FF867C}">
                  <a14:compatExt spid="_x0000_s64530"/>
                </a:ext>
                <a:ext uri="{FF2B5EF4-FFF2-40B4-BE49-F238E27FC236}">
                  <a16:creationId xmlns:a16="http://schemas.microsoft.com/office/drawing/2014/main" id="{00000000-0008-0000-1C00-00001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23</xdr:row>
          <xdr:rowOff>9525</xdr:rowOff>
        </xdr:from>
        <xdr:to>
          <xdr:col>4</xdr:col>
          <xdr:colOff>257175</xdr:colOff>
          <xdr:row>24</xdr:row>
          <xdr:rowOff>0</xdr:rowOff>
        </xdr:to>
        <xdr:sp macro="" textlink="">
          <xdr:nvSpPr>
            <xdr:cNvPr id="64531" name="Check Box 19" hidden="1">
              <a:extLst>
                <a:ext uri="{63B3BB69-23CF-44E3-9099-C40C66FF867C}">
                  <a14:compatExt spid="_x0000_s64531"/>
                </a:ext>
                <a:ext uri="{FF2B5EF4-FFF2-40B4-BE49-F238E27FC236}">
                  <a16:creationId xmlns:a16="http://schemas.microsoft.com/office/drawing/2014/main" id="{00000000-0008-0000-1C00-00001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23</xdr:row>
          <xdr:rowOff>238125</xdr:rowOff>
        </xdr:from>
        <xdr:to>
          <xdr:col>4</xdr:col>
          <xdr:colOff>238125</xdr:colOff>
          <xdr:row>25</xdr:row>
          <xdr:rowOff>9525</xdr:rowOff>
        </xdr:to>
        <xdr:sp macro="" textlink="">
          <xdr:nvSpPr>
            <xdr:cNvPr id="64532" name="Check Box 20" hidden="1">
              <a:extLst>
                <a:ext uri="{63B3BB69-23CF-44E3-9099-C40C66FF867C}">
                  <a14:compatExt spid="_x0000_s64532"/>
                </a:ext>
                <a:ext uri="{FF2B5EF4-FFF2-40B4-BE49-F238E27FC236}">
                  <a16:creationId xmlns:a16="http://schemas.microsoft.com/office/drawing/2014/main" id="{00000000-0008-0000-1C00-00001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25</xdr:row>
          <xdr:rowOff>28575</xdr:rowOff>
        </xdr:from>
        <xdr:to>
          <xdr:col>4</xdr:col>
          <xdr:colOff>266700</xdr:colOff>
          <xdr:row>25</xdr:row>
          <xdr:rowOff>238125</xdr:rowOff>
        </xdr:to>
        <xdr:sp macro="" textlink="">
          <xdr:nvSpPr>
            <xdr:cNvPr id="64533" name="Check Box 21" hidden="1">
              <a:extLst>
                <a:ext uri="{63B3BB69-23CF-44E3-9099-C40C66FF867C}">
                  <a14:compatExt spid="_x0000_s64533"/>
                </a:ext>
                <a:ext uri="{FF2B5EF4-FFF2-40B4-BE49-F238E27FC236}">
                  <a16:creationId xmlns:a16="http://schemas.microsoft.com/office/drawing/2014/main" id="{00000000-0008-0000-1C00-00001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xdr:row>
          <xdr:rowOff>0</xdr:rowOff>
        </xdr:from>
        <xdr:to>
          <xdr:col>18</xdr:col>
          <xdr:colOff>257175</xdr:colOff>
          <xdr:row>8</xdr:row>
          <xdr:rowOff>219075</xdr:rowOff>
        </xdr:to>
        <xdr:sp macro="" textlink="">
          <xdr:nvSpPr>
            <xdr:cNvPr id="64534" name="Check Box 22" hidden="1">
              <a:extLst>
                <a:ext uri="{63B3BB69-23CF-44E3-9099-C40C66FF867C}">
                  <a14:compatExt spid="_x0000_s64534"/>
                </a:ext>
                <a:ext uri="{FF2B5EF4-FFF2-40B4-BE49-F238E27FC236}">
                  <a16:creationId xmlns:a16="http://schemas.microsoft.com/office/drawing/2014/main" id="{00000000-0008-0000-1C00-00001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xdr:row>
          <xdr:rowOff>219075</xdr:rowOff>
        </xdr:from>
        <xdr:to>
          <xdr:col>18</xdr:col>
          <xdr:colOff>219075</xdr:colOff>
          <xdr:row>10</xdr:row>
          <xdr:rowOff>28575</xdr:rowOff>
        </xdr:to>
        <xdr:sp macro="" textlink="">
          <xdr:nvSpPr>
            <xdr:cNvPr id="64535" name="Check Box 23" hidden="1">
              <a:extLst>
                <a:ext uri="{63B3BB69-23CF-44E3-9099-C40C66FF867C}">
                  <a14:compatExt spid="_x0000_s64535"/>
                </a:ext>
                <a:ext uri="{FF2B5EF4-FFF2-40B4-BE49-F238E27FC236}">
                  <a16:creationId xmlns:a16="http://schemas.microsoft.com/office/drawing/2014/main" id="{00000000-0008-0000-1C00-00001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10</xdr:row>
          <xdr:rowOff>28575</xdr:rowOff>
        </xdr:from>
        <xdr:to>
          <xdr:col>18</xdr:col>
          <xdr:colOff>257175</xdr:colOff>
          <xdr:row>10</xdr:row>
          <xdr:rowOff>238125</xdr:rowOff>
        </xdr:to>
        <xdr:sp macro="" textlink="">
          <xdr:nvSpPr>
            <xdr:cNvPr id="64536" name="Check Box 24" hidden="1">
              <a:extLst>
                <a:ext uri="{63B3BB69-23CF-44E3-9099-C40C66FF867C}">
                  <a14:compatExt spid="_x0000_s64536"/>
                </a:ext>
                <a:ext uri="{FF2B5EF4-FFF2-40B4-BE49-F238E27FC236}">
                  <a16:creationId xmlns:a16="http://schemas.microsoft.com/office/drawing/2014/main" id="{00000000-0008-0000-1C00-00001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11</xdr:row>
          <xdr:rowOff>9525</xdr:rowOff>
        </xdr:from>
        <xdr:to>
          <xdr:col>18</xdr:col>
          <xdr:colOff>238125</xdr:colOff>
          <xdr:row>11</xdr:row>
          <xdr:rowOff>257175</xdr:rowOff>
        </xdr:to>
        <xdr:sp macro="" textlink="">
          <xdr:nvSpPr>
            <xdr:cNvPr id="64537" name="Check Box 25" hidden="1">
              <a:extLst>
                <a:ext uri="{63B3BB69-23CF-44E3-9099-C40C66FF867C}">
                  <a14:compatExt spid="_x0000_s64537"/>
                </a:ext>
                <a:ext uri="{FF2B5EF4-FFF2-40B4-BE49-F238E27FC236}">
                  <a16:creationId xmlns:a16="http://schemas.microsoft.com/office/drawing/2014/main" id="{00000000-0008-0000-1C00-00001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12</xdr:row>
          <xdr:rowOff>0</xdr:rowOff>
        </xdr:from>
        <xdr:to>
          <xdr:col>18</xdr:col>
          <xdr:colOff>257175</xdr:colOff>
          <xdr:row>12</xdr:row>
          <xdr:rowOff>219075</xdr:rowOff>
        </xdr:to>
        <xdr:sp macro="" textlink="">
          <xdr:nvSpPr>
            <xdr:cNvPr id="64538" name="Check Box 26" hidden="1">
              <a:extLst>
                <a:ext uri="{63B3BB69-23CF-44E3-9099-C40C66FF867C}">
                  <a14:compatExt spid="_x0000_s64538"/>
                </a:ext>
                <a:ext uri="{FF2B5EF4-FFF2-40B4-BE49-F238E27FC236}">
                  <a16:creationId xmlns:a16="http://schemas.microsoft.com/office/drawing/2014/main" id="{00000000-0008-0000-1C00-00001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13</xdr:row>
          <xdr:rowOff>9525</xdr:rowOff>
        </xdr:from>
        <xdr:to>
          <xdr:col>18</xdr:col>
          <xdr:colOff>266700</xdr:colOff>
          <xdr:row>13</xdr:row>
          <xdr:rowOff>219075</xdr:rowOff>
        </xdr:to>
        <xdr:sp macro="" textlink="">
          <xdr:nvSpPr>
            <xdr:cNvPr id="64539" name="Check Box 27" hidden="1">
              <a:extLst>
                <a:ext uri="{63B3BB69-23CF-44E3-9099-C40C66FF867C}">
                  <a14:compatExt spid="_x0000_s64539"/>
                </a:ext>
                <a:ext uri="{FF2B5EF4-FFF2-40B4-BE49-F238E27FC236}">
                  <a16:creationId xmlns:a16="http://schemas.microsoft.com/office/drawing/2014/main" id="{00000000-0008-0000-1C00-00001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14</xdr:row>
          <xdr:rowOff>9525</xdr:rowOff>
        </xdr:from>
        <xdr:to>
          <xdr:col>18</xdr:col>
          <xdr:colOff>238125</xdr:colOff>
          <xdr:row>14</xdr:row>
          <xdr:rowOff>238125</xdr:rowOff>
        </xdr:to>
        <xdr:sp macro="" textlink="">
          <xdr:nvSpPr>
            <xdr:cNvPr id="64540" name="Check Box 28" hidden="1">
              <a:extLst>
                <a:ext uri="{63B3BB69-23CF-44E3-9099-C40C66FF867C}">
                  <a14:compatExt spid="_x0000_s64540"/>
                </a:ext>
                <a:ext uri="{FF2B5EF4-FFF2-40B4-BE49-F238E27FC236}">
                  <a16:creationId xmlns:a16="http://schemas.microsoft.com/office/drawing/2014/main" id="{00000000-0008-0000-1C00-00001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14</xdr:row>
          <xdr:rowOff>257175</xdr:rowOff>
        </xdr:from>
        <xdr:to>
          <xdr:col>18</xdr:col>
          <xdr:colOff>266700</xdr:colOff>
          <xdr:row>15</xdr:row>
          <xdr:rowOff>219075</xdr:rowOff>
        </xdr:to>
        <xdr:sp macro="" textlink="">
          <xdr:nvSpPr>
            <xdr:cNvPr id="64541" name="Check Box 29" hidden="1">
              <a:extLst>
                <a:ext uri="{63B3BB69-23CF-44E3-9099-C40C66FF867C}">
                  <a14:compatExt spid="_x0000_s64541"/>
                </a:ext>
                <a:ext uri="{FF2B5EF4-FFF2-40B4-BE49-F238E27FC236}">
                  <a16:creationId xmlns:a16="http://schemas.microsoft.com/office/drawing/2014/main" id="{00000000-0008-0000-1C00-00001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17</xdr:row>
          <xdr:rowOff>28575</xdr:rowOff>
        </xdr:from>
        <xdr:to>
          <xdr:col>18</xdr:col>
          <xdr:colOff>257175</xdr:colOff>
          <xdr:row>17</xdr:row>
          <xdr:rowOff>219075</xdr:rowOff>
        </xdr:to>
        <xdr:sp macro="" textlink="">
          <xdr:nvSpPr>
            <xdr:cNvPr id="64542" name="Check Box 30" hidden="1">
              <a:extLst>
                <a:ext uri="{63B3BB69-23CF-44E3-9099-C40C66FF867C}">
                  <a14:compatExt spid="_x0000_s64542"/>
                </a:ext>
                <a:ext uri="{FF2B5EF4-FFF2-40B4-BE49-F238E27FC236}">
                  <a16:creationId xmlns:a16="http://schemas.microsoft.com/office/drawing/2014/main" id="{00000000-0008-0000-1C00-00001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18</xdr:row>
          <xdr:rowOff>28575</xdr:rowOff>
        </xdr:from>
        <xdr:to>
          <xdr:col>18</xdr:col>
          <xdr:colOff>228600</xdr:colOff>
          <xdr:row>18</xdr:row>
          <xdr:rowOff>219075</xdr:rowOff>
        </xdr:to>
        <xdr:sp macro="" textlink="">
          <xdr:nvSpPr>
            <xdr:cNvPr id="64543" name="Check Box 31" hidden="1">
              <a:extLst>
                <a:ext uri="{63B3BB69-23CF-44E3-9099-C40C66FF867C}">
                  <a14:compatExt spid="_x0000_s64543"/>
                </a:ext>
                <a:ext uri="{FF2B5EF4-FFF2-40B4-BE49-F238E27FC236}">
                  <a16:creationId xmlns:a16="http://schemas.microsoft.com/office/drawing/2014/main" id="{00000000-0008-0000-1C00-00001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6</xdr:row>
          <xdr:rowOff>9525</xdr:rowOff>
        </xdr:from>
        <xdr:to>
          <xdr:col>38</xdr:col>
          <xdr:colOff>28575</xdr:colOff>
          <xdr:row>6</xdr:row>
          <xdr:rowOff>238125</xdr:rowOff>
        </xdr:to>
        <xdr:sp macro="" textlink="">
          <xdr:nvSpPr>
            <xdr:cNvPr id="64544" name="Check Box 32" hidden="1">
              <a:extLst>
                <a:ext uri="{63B3BB69-23CF-44E3-9099-C40C66FF867C}">
                  <a14:compatExt spid="_x0000_s64544"/>
                </a:ext>
                <a:ext uri="{FF2B5EF4-FFF2-40B4-BE49-F238E27FC236}">
                  <a16:creationId xmlns:a16="http://schemas.microsoft.com/office/drawing/2014/main" id="{00000000-0008-0000-1C00-00002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28575</xdr:colOff>
          <xdr:row>6</xdr:row>
          <xdr:rowOff>28575</xdr:rowOff>
        </xdr:from>
        <xdr:to>
          <xdr:col>41</xdr:col>
          <xdr:colOff>257175</xdr:colOff>
          <xdr:row>6</xdr:row>
          <xdr:rowOff>219075</xdr:rowOff>
        </xdr:to>
        <xdr:sp macro="" textlink="">
          <xdr:nvSpPr>
            <xdr:cNvPr id="64545" name="Check Box 33" hidden="1">
              <a:extLst>
                <a:ext uri="{63B3BB69-23CF-44E3-9099-C40C66FF867C}">
                  <a14:compatExt spid="_x0000_s64545"/>
                </a:ext>
                <a:ext uri="{FF2B5EF4-FFF2-40B4-BE49-F238E27FC236}">
                  <a16:creationId xmlns:a16="http://schemas.microsoft.com/office/drawing/2014/main" id="{00000000-0008-0000-1C00-00002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11</xdr:row>
          <xdr:rowOff>9525</xdr:rowOff>
        </xdr:from>
        <xdr:to>
          <xdr:col>37</xdr:col>
          <xdr:colOff>238125</xdr:colOff>
          <xdr:row>11</xdr:row>
          <xdr:rowOff>238125</xdr:rowOff>
        </xdr:to>
        <xdr:sp macro="" textlink="">
          <xdr:nvSpPr>
            <xdr:cNvPr id="64546" name="Check Box 34" hidden="1">
              <a:extLst>
                <a:ext uri="{63B3BB69-23CF-44E3-9099-C40C66FF867C}">
                  <a14:compatExt spid="_x0000_s64546"/>
                </a:ext>
                <a:ext uri="{FF2B5EF4-FFF2-40B4-BE49-F238E27FC236}">
                  <a16:creationId xmlns:a16="http://schemas.microsoft.com/office/drawing/2014/main" id="{00000000-0008-0000-1C00-00002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28575</xdr:colOff>
          <xdr:row>11</xdr:row>
          <xdr:rowOff>28575</xdr:rowOff>
        </xdr:from>
        <xdr:to>
          <xdr:col>42</xdr:col>
          <xdr:colOff>9525</xdr:colOff>
          <xdr:row>11</xdr:row>
          <xdr:rowOff>219075</xdr:rowOff>
        </xdr:to>
        <xdr:sp macro="" textlink="">
          <xdr:nvSpPr>
            <xdr:cNvPr id="64547" name="Check Box 35" hidden="1">
              <a:extLst>
                <a:ext uri="{63B3BB69-23CF-44E3-9099-C40C66FF867C}">
                  <a14:compatExt spid="_x0000_s64547"/>
                </a:ext>
                <a:ext uri="{FF2B5EF4-FFF2-40B4-BE49-F238E27FC236}">
                  <a16:creationId xmlns:a16="http://schemas.microsoft.com/office/drawing/2014/main" id="{00000000-0008-0000-1C00-00002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13</xdr:row>
          <xdr:rowOff>9525</xdr:rowOff>
        </xdr:from>
        <xdr:to>
          <xdr:col>38</xdr:col>
          <xdr:colOff>0</xdr:colOff>
          <xdr:row>13</xdr:row>
          <xdr:rowOff>238125</xdr:rowOff>
        </xdr:to>
        <xdr:sp macro="" textlink="">
          <xdr:nvSpPr>
            <xdr:cNvPr id="64548" name="Check Box 36" hidden="1">
              <a:extLst>
                <a:ext uri="{63B3BB69-23CF-44E3-9099-C40C66FF867C}">
                  <a14:compatExt spid="_x0000_s64548"/>
                </a:ext>
                <a:ext uri="{FF2B5EF4-FFF2-40B4-BE49-F238E27FC236}">
                  <a16:creationId xmlns:a16="http://schemas.microsoft.com/office/drawing/2014/main" id="{00000000-0008-0000-1C00-00002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13</xdr:row>
          <xdr:rowOff>28575</xdr:rowOff>
        </xdr:from>
        <xdr:to>
          <xdr:col>42</xdr:col>
          <xdr:colOff>9525</xdr:colOff>
          <xdr:row>13</xdr:row>
          <xdr:rowOff>228600</xdr:rowOff>
        </xdr:to>
        <xdr:sp macro="" textlink="">
          <xdr:nvSpPr>
            <xdr:cNvPr id="64549" name="Check Box 37" hidden="1">
              <a:extLst>
                <a:ext uri="{63B3BB69-23CF-44E3-9099-C40C66FF867C}">
                  <a14:compatExt spid="_x0000_s64549"/>
                </a:ext>
                <a:ext uri="{FF2B5EF4-FFF2-40B4-BE49-F238E27FC236}">
                  <a16:creationId xmlns:a16="http://schemas.microsoft.com/office/drawing/2014/main" id="{00000000-0008-0000-1C00-00002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16</xdr:row>
          <xdr:rowOff>9525</xdr:rowOff>
        </xdr:from>
        <xdr:to>
          <xdr:col>37</xdr:col>
          <xdr:colOff>257175</xdr:colOff>
          <xdr:row>16</xdr:row>
          <xdr:rowOff>238125</xdr:rowOff>
        </xdr:to>
        <xdr:sp macro="" textlink="">
          <xdr:nvSpPr>
            <xdr:cNvPr id="64550" name="Check Box 38" hidden="1">
              <a:extLst>
                <a:ext uri="{63B3BB69-23CF-44E3-9099-C40C66FF867C}">
                  <a14:compatExt spid="_x0000_s64550"/>
                </a:ext>
                <a:ext uri="{FF2B5EF4-FFF2-40B4-BE49-F238E27FC236}">
                  <a16:creationId xmlns:a16="http://schemas.microsoft.com/office/drawing/2014/main" id="{00000000-0008-0000-1C00-00002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17</xdr:row>
          <xdr:rowOff>28575</xdr:rowOff>
        </xdr:from>
        <xdr:to>
          <xdr:col>37</xdr:col>
          <xdr:colOff>238125</xdr:colOff>
          <xdr:row>17</xdr:row>
          <xdr:rowOff>238125</xdr:rowOff>
        </xdr:to>
        <xdr:sp macro="" textlink="">
          <xdr:nvSpPr>
            <xdr:cNvPr id="64551" name="Check Box 39" hidden="1">
              <a:extLst>
                <a:ext uri="{63B3BB69-23CF-44E3-9099-C40C66FF867C}">
                  <a14:compatExt spid="_x0000_s64551"/>
                </a:ext>
                <a:ext uri="{FF2B5EF4-FFF2-40B4-BE49-F238E27FC236}">
                  <a16:creationId xmlns:a16="http://schemas.microsoft.com/office/drawing/2014/main" id="{00000000-0008-0000-1C00-00002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18</xdr:row>
          <xdr:rowOff>28575</xdr:rowOff>
        </xdr:from>
        <xdr:to>
          <xdr:col>37</xdr:col>
          <xdr:colOff>257175</xdr:colOff>
          <xdr:row>18</xdr:row>
          <xdr:rowOff>200025</xdr:rowOff>
        </xdr:to>
        <xdr:sp macro="" textlink="">
          <xdr:nvSpPr>
            <xdr:cNvPr id="64552" name="Check Box 40" hidden="1">
              <a:extLst>
                <a:ext uri="{63B3BB69-23CF-44E3-9099-C40C66FF867C}">
                  <a14:compatExt spid="_x0000_s64552"/>
                </a:ext>
                <a:ext uri="{FF2B5EF4-FFF2-40B4-BE49-F238E27FC236}">
                  <a16:creationId xmlns:a16="http://schemas.microsoft.com/office/drawing/2014/main" id="{00000000-0008-0000-1C00-00002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19</xdr:row>
          <xdr:rowOff>9525</xdr:rowOff>
        </xdr:from>
        <xdr:to>
          <xdr:col>37</xdr:col>
          <xdr:colOff>257175</xdr:colOff>
          <xdr:row>19</xdr:row>
          <xdr:rowOff>238125</xdr:rowOff>
        </xdr:to>
        <xdr:sp macro="" textlink="">
          <xdr:nvSpPr>
            <xdr:cNvPr id="64553" name="Check Box 41" hidden="1">
              <a:extLst>
                <a:ext uri="{63B3BB69-23CF-44E3-9099-C40C66FF867C}">
                  <a14:compatExt spid="_x0000_s64553"/>
                </a:ext>
                <a:ext uri="{FF2B5EF4-FFF2-40B4-BE49-F238E27FC236}">
                  <a16:creationId xmlns:a16="http://schemas.microsoft.com/office/drawing/2014/main" id="{00000000-0008-0000-1C00-00002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23</xdr:row>
          <xdr:rowOff>28575</xdr:rowOff>
        </xdr:from>
        <xdr:to>
          <xdr:col>37</xdr:col>
          <xdr:colOff>257175</xdr:colOff>
          <xdr:row>23</xdr:row>
          <xdr:rowOff>238125</xdr:rowOff>
        </xdr:to>
        <xdr:sp macro="" textlink="">
          <xdr:nvSpPr>
            <xdr:cNvPr id="64554" name="Check Box 42" hidden="1">
              <a:extLst>
                <a:ext uri="{63B3BB69-23CF-44E3-9099-C40C66FF867C}">
                  <a14:compatExt spid="_x0000_s64554"/>
                </a:ext>
                <a:ext uri="{FF2B5EF4-FFF2-40B4-BE49-F238E27FC236}">
                  <a16:creationId xmlns:a16="http://schemas.microsoft.com/office/drawing/2014/main" id="{00000000-0008-0000-1C00-00002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23</xdr:row>
          <xdr:rowOff>228600</xdr:rowOff>
        </xdr:from>
        <xdr:to>
          <xdr:col>37</xdr:col>
          <xdr:colOff>257175</xdr:colOff>
          <xdr:row>24</xdr:row>
          <xdr:rowOff>180975</xdr:rowOff>
        </xdr:to>
        <xdr:sp macro="" textlink="">
          <xdr:nvSpPr>
            <xdr:cNvPr id="64555" name="Check Box 43" hidden="1">
              <a:extLst>
                <a:ext uri="{63B3BB69-23CF-44E3-9099-C40C66FF867C}">
                  <a14:compatExt spid="_x0000_s64555"/>
                </a:ext>
                <a:ext uri="{FF2B5EF4-FFF2-40B4-BE49-F238E27FC236}">
                  <a16:creationId xmlns:a16="http://schemas.microsoft.com/office/drawing/2014/main" id="{00000000-0008-0000-1C00-00002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8</xdr:row>
          <xdr:rowOff>9525</xdr:rowOff>
        </xdr:from>
        <xdr:to>
          <xdr:col>37</xdr:col>
          <xdr:colOff>266700</xdr:colOff>
          <xdr:row>8</xdr:row>
          <xdr:rowOff>228600</xdr:rowOff>
        </xdr:to>
        <xdr:sp macro="" textlink="">
          <xdr:nvSpPr>
            <xdr:cNvPr id="64556" name="Check Box 44" hidden="1">
              <a:extLst>
                <a:ext uri="{63B3BB69-23CF-44E3-9099-C40C66FF867C}">
                  <a14:compatExt spid="_x0000_s64556"/>
                </a:ext>
                <a:ext uri="{FF2B5EF4-FFF2-40B4-BE49-F238E27FC236}">
                  <a16:creationId xmlns:a16="http://schemas.microsoft.com/office/drawing/2014/main" id="{00000000-0008-0000-1C00-00002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xdr:col>
          <xdr:colOff>28575</xdr:colOff>
          <xdr:row>8</xdr:row>
          <xdr:rowOff>9525</xdr:rowOff>
        </xdr:from>
        <xdr:to>
          <xdr:col>42</xdr:col>
          <xdr:colOff>38100</xdr:colOff>
          <xdr:row>8</xdr:row>
          <xdr:rowOff>238125</xdr:rowOff>
        </xdr:to>
        <xdr:sp macro="" textlink="">
          <xdr:nvSpPr>
            <xdr:cNvPr id="64557" name="Check Box 45" hidden="1">
              <a:extLst>
                <a:ext uri="{63B3BB69-23CF-44E3-9099-C40C66FF867C}">
                  <a14:compatExt spid="_x0000_s64557"/>
                </a:ext>
                <a:ext uri="{FF2B5EF4-FFF2-40B4-BE49-F238E27FC236}">
                  <a16:creationId xmlns:a16="http://schemas.microsoft.com/office/drawing/2014/main" id="{00000000-0008-0000-1C00-00002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30</xdr:row>
          <xdr:rowOff>28575</xdr:rowOff>
        </xdr:from>
        <xdr:to>
          <xdr:col>4</xdr:col>
          <xdr:colOff>9525</xdr:colOff>
          <xdr:row>30</xdr:row>
          <xdr:rowOff>238125</xdr:rowOff>
        </xdr:to>
        <xdr:sp macro="" textlink="">
          <xdr:nvSpPr>
            <xdr:cNvPr id="65537" name="Check Box 1" hidden="1">
              <a:extLst>
                <a:ext uri="{63B3BB69-23CF-44E3-9099-C40C66FF867C}">
                  <a14:compatExt spid="_x0000_s65537"/>
                </a:ext>
                <a:ext uri="{FF2B5EF4-FFF2-40B4-BE49-F238E27FC236}">
                  <a16:creationId xmlns:a16="http://schemas.microsoft.com/office/drawing/2014/main" id="{00000000-0008-0000-1D00-00000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31</xdr:row>
          <xdr:rowOff>28575</xdr:rowOff>
        </xdr:from>
        <xdr:to>
          <xdr:col>3</xdr:col>
          <xdr:colOff>266700</xdr:colOff>
          <xdr:row>31</xdr:row>
          <xdr:rowOff>219075</xdr:rowOff>
        </xdr:to>
        <xdr:sp macro="" textlink="">
          <xdr:nvSpPr>
            <xdr:cNvPr id="65538" name="Check Box 2" hidden="1">
              <a:extLst>
                <a:ext uri="{63B3BB69-23CF-44E3-9099-C40C66FF867C}">
                  <a14:compatExt spid="_x0000_s65538"/>
                </a:ext>
                <a:ext uri="{FF2B5EF4-FFF2-40B4-BE49-F238E27FC236}">
                  <a16:creationId xmlns:a16="http://schemas.microsoft.com/office/drawing/2014/main" id="{00000000-0008-0000-1D00-00000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31</xdr:row>
          <xdr:rowOff>238125</xdr:rowOff>
        </xdr:from>
        <xdr:to>
          <xdr:col>4</xdr:col>
          <xdr:colOff>28575</xdr:colOff>
          <xdr:row>33</xdr:row>
          <xdr:rowOff>9525</xdr:rowOff>
        </xdr:to>
        <xdr:sp macro="" textlink="">
          <xdr:nvSpPr>
            <xdr:cNvPr id="65539" name="Check Box 3" hidden="1">
              <a:extLst>
                <a:ext uri="{63B3BB69-23CF-44E3-9099-C40C66FF867C}">
                  <a14:compatExt spid="_x0000_s65539"/>
                </a:ext>
                <a:ext uri="{FF2B5EF4-FFF2-40B4-BE49-F238E27FC236}">
                  <a16:creationId xmlns:a16="http://schemas.microsoft.com/office/drawing/2014/main" id="{00000000-0008-0000-1D00-00000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30</xdr:row>
          <xdr:rowOff>9525</xdr:rowOff>
        </xdr:from>
        <xdr:to>
          <xdr:col>12</xdr:col>
          <xdr:colOff>257175</xdr:colOff>
          <xdr:row>30</xdr:row>
          <xdr:rowOff>219075</xdr:rowOff>
        </xdr:to>
        <xdr:sp macro="" textlink="">
          <xdr:nvSpPr>
            <xdr:cNvPr id="65540" name="Check Box 4" hidden="1">
              <a:extLst>
                <a:ext uri="{63B3BB69-23CF-44E3-9099-C40C66FF867C}">
                  <a14:compatExt spid="_x0000_s65540"/>
                </a:ext>
                <a:ext uri="{FF2B5EF4-FFF2-40B4-BE49-F238E27FC236}">
                  <a16:creationId xmlns:a16="http://schemas.microsoft.com/office/drawing/2014/main" id="{00000000-0008-0000-1D00-00000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30</xdr:row>
          <xdr:rowOff>257175</xdr:rowOff>
        </xdr:from>
        <xdr:to>
          <xdr:col>12</xdr:col>
          <xdr:colOff>238125</xdr:colOff>
          <xdr:row>31</xdr:row>
          <xdr:rowOff>200025</xdr:rowOff>
        </xdr:to>
        <xdr:sp macro="" textlink="">
          <xdr:nvSpPr>
            <xdr:cNvPr id="65541" name="Check Box 5" hidden="1">
              <a:extLst>
                <a:ext uri="{63B3BB69-23CF-44E3-9099-C40C66FF867C}">
                  <a14:compatExt spid="_x0000_s65541"/>
                </a:ext>
                <a:ext uri="{FF2B5EF4-FFF2-40B4-BE49-F238E27FC236}">
                  <a16:creationId xmlns:a16="http://schemas.microsoft.com/office/drawing/2014/main" id="{00000000-0008-0000-1D00-00000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31</xdr:row>
          <xdr:rowOff>257175</xdr:rowOff>
        </xdr:from>
        <xdr:to>
          <xdr:col>13</xdr:col>
          <xdr:colOff>28575</xdr:colOff>
          <xdr:row>32</xdr:row>
          <xdr:rowOff>238125</xdr:rowOff>
        </xdr:to>
        <xdr:sp macro="" textlink="">
          <xdr:nvSpPr>
            <xdr:cNvPr id="65542" name="Check Box 6" hidden="1">
              <a:extLst>
                <a:ext uri="{63B3BB69-23CF-44E3-9099-C40C66FF867C}">
                  <a14:compatExt spid="_x0000_s65542"/>
                </a:ext>
                <a:ext uri="{FF2B5EF4-FFF2-40B4-BE49-F238E27FC236}">
                  <a16:creationId xmlns:a16="http://schemas.microsoft.com/office/drawing/2014/main" id="{00000000-0008-0000-1D00-00000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30</xdr:row>
          <xdr:rowOff>28575</xdr:rowOff>
        </xdr:from>
        <xdr:to>
          <xdr:col>22</xdr:col>
          <xdr:colOff>238125</xdr:colOff>
          <xdr:row>30</xdr:row>
          <xdr:rowOff>238125</xdr:rowOff>
        </xdr:to>
        <xdr:sp macro="" textlink="">
          <xdr:nvSpPr>
            <xdr:cNvPr id="65543" name="Check Box 7" hidden="1">
              <a:extLst>
                <a:ext uri="{63B3BB69-23CF-44E3-9099-C40C66FF867C}">
                  <a14:compatExt spid="_x0000_s65543"/>
                </a:ext>
                <a:ext uri="{FF2B5EF4-FFF2-40B4-BE49-F238E27FC236}">
                  <a16:creationId xmlns:a16="http://schemas.microsoft.com/office/drawing/2014/main" id="{00000000-0008-0000-1D00-00000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31</xdr:row>
          <xdr:rowOff>28575</xdr:rowOff>
        </xdr:from>
        <xdr:to>
          <xdr:col>23</xdr:col>
          <xdr:colOff>9525</xdr:colOff>
          <xdr:row>31</xdr:row>
          <xdr:rowOff>219075</xdr:rowOff>
        </xdr:to>
        <xdr:sp macro="" textlink="">
          <xdr:nvSpPr>
            <xdr:cNvPr id="65544" name="Check Box 8" hidden="1">
              <a:extLst>
                <a:ext uri="{63B3BB69-23CF-44E3-9099-C40C66FF867C}">
                  <a14:compatExt spid="_x0000_s65544"/>
                </a:ext>
                <a:ext uri="{FF2B5EF4-FFF2-40B4-BE49-F238E27FC236}">
                  <a16:creationId xmlns:a16="http://schemas.microsoft.com/office/drawing/2014/main" id="{00000000-0008-0000-1D00-00000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38100</xdr:colOff>
          <xdr:row>31</xdr:row>
          <xdr:rowOff>28575</xdr:rowOff>
        </xdr:from>
        <xdr:to>
          <xdr:col>7</xdr:col>
          <xdr:colOff>238125</xdr:colOff>
          <xdr:row>31</xdr:row>
          <xdr:rowOff>219075</xdr:rowOff>
        </xdr:to>
        <xdr:sp macro="" textlink="">
          <xdr:nvSpPr>
            <xdr:cNvPr id="67585" name="Check Box 1" hidden="1">
              <a:extLst>
                <a:ext uri="{63B3BB69-23CF-44E3-9099-C40C66FF867C}">
                  <a14:compatExt spid="_x0000_s67585"/>
                </a:ext>
                <a:ext uri="{FF2B5EF4-FFF2-40B4-BE49-F238E27FC236}">
                  <a16:creationId xmlns:a16="http://schemas.microsoft.com/office/drawing/2014/main" id="{00000000-0008-0000-1F00-00000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47625</xdr:colOff>
          <xdr:row>32</xdr:row>
          <xdr:rowOff>28575</xdr:rowOff>
        </xdr:from>
        <xdr:to>
          <xdr:col>8</xdr:col>
          <xdr:colOff>47625</xdr:colOff>
          <xdr:row>32</xdr:row>
          <xdr:rowOff>238125</xdr:rowOff>
        </xdr:to>
        <xdr:sp macro="" textlink="">
          <xdr:nvSpPr>
            <xdr:cNvPr id="67586" name="Check Box 2" hidden="1">
              <a:extLst>
                <a:ext uri="{63B3BB69-23CF-44E3-9099-C40C66FF867C}">
                  <a14:compatExt spid="_x0000_s67586"/>
                </a:ext>
                <a:ext uri="{FF2B5EF4-FFF2-40B4-BE49-F238E27FC236}">
                  <a16:creationId xmlns:a16="http://schemas.microsoft.com/office/drawing/2014/main" id="{00000000-0008-0000-1F00-00000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31</xdr:row>
          <xdr:rowOff>28575</xdr:rowOff>
        </xdr:from>
        <xdr:to>
          <xdr:col>14</xdr:col>
          <xdr:colOff>276225</xdr:colOff>
          <xdr:row>31</xdr:row>
          <xdr:rowOff>238125</xdr:rowOff>
        </xdr:to>
        <xdr:sp macro="" textlink="">
          <xdr:nvSpPr>
            <xdr:cNvPr id="67587" name="Check Box 3" hidden="1">
              <a:extLst>
                <a:ext uri="{63B3BB69-23CF-44E3-9099-C40C66FF867C}">
                  <a14:compatExt spid="_x0000_s67587"/>
                </a:ext>
                <a:ext uri="{FF2B5EF4-FFF2-40B4-BE49-F238E27FC236}">
                  <a16:creationId xmlns:a16="http://schemas.microsoft.com/office/drawing/2014/main" id="{00000000-0008-0000-1F00-00000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32</xdr:row>
          <xdr:rowOff>9525</xdr:rowOff>
        </xdr:from>
        <xdr:to>
          <xdr:col>14</xdr:col>
          <xdr:colOff>276225</xdr:colOff>
          <xdr:row>32</xdr:row>
          <xdr:rowOff>257175</xdr:rowOff>
        </xdr:to>
        <xdr:sp macro="" textlink="">
          <xdr:nvSpPr>
            <xdr:cNvPr id="67588" name="Check Box 4" hidden="1">
              <a:extLst>
                <a:ext uri="{63B3BB69-23CF-44E3-9099-C40C66FF867C}">
                  <a14:compatExt spid="_x0000_s67588"/>
                </a:ext>
                <a:ext uri="{FF2B5EF4-FFF2-40B4-BE49-F238E27FC236}">
                  <a16:creationId xmlns:a16="http://schemas.microsoft.com/office/drawing/2014/main" id="{00000000-0008-0000-1F00-00000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31</xdr:row>
          <xdr:rowOff>28575</xdr:rowOff>
        </xdr:from>
        <xdr:to>
          <xdr:col>21</xdr:col>
          <xdr:colOff>9525</xdr:colOff>
          <xdr:row>31</xdr:row>
          <xdr:rowOff>257175</xdr:rowOff>
        </xdr:to>
        <xdr:sp macro="" textlink="">
          <xdr:nvSpPr>
            <xdr:cNvPr id="67589" name="Check Box 5" hidden="1">
              <a:extLst>
                <a:ext uri="{63B3BB69-23CF-44E3-9099-C40C66FF867C}">
                  <a14:compatExt spid="_x0000_s67589"/>
                </a:ext>
                <a:ext uri="{FF2B5EF4-FFF2-40B4-BE49-F238E27FC236}">
                  <a16:creationId xmlns:a16="http://schemas.microsoft.com/office/drawing/2014/main" id="{00000000-0008-0000-1F00-00000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17</xdr:row>
          <xdr:rowOff>9525</xdr:rowOff>
        </xdr:from>
        <xdr:to>
          <xdr:col>21</xdr:col>
          <xdr:colOff>9525</xdr:colOff>
          <xdr:row>18</xdr:row>
          <xdr:rowOff>0</xdr:rowOff>
        </xdr:to>
        <xdr:sp macro="" textlink="">
          <xdr:nvSpPr>
            <xdr:cNvPr id="67590" name="Check Box 6" hidden="1">
              <a:extLst>
                <a:ext uri="{63B3BB69-23CF-44E3-9099-C40C66FF867C}">
                  <a14:compatExt spid="_x0000_s67590"/>
                </a:ext>
                <a:ext uri="{FF2B5EF4-FFF2-40B4-BE49-F238E27FC236}">
                  <a16:creationId xmlns:a16="http://schemas.microsoft.com/office/drawing/2014/main" id="{00000000-0008-0000-1F00-00000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19</xdr:row>
          <xdr:rowOff>9525</xdr:rowOff>
        </xdr:from>
        <xdr:to>
          <xdr:col>21</xdr:col>
          <xdr:colOff>28575</xdr:colOff>
          <xdr:row>19</xdr:row>
          <xdr:rowOff>238125</xdr:rowOff>
        </xdr:to>
        <xdr:sp macro="" textlink="">
          <xdr:nvSpPr>
            <xdr:cNvPr id="67591" name="Check Box 7" hidden="1">
              <a:extLst>
                <a:ext uri="{63B3BB69-23CF-44E3-9099-C40C66FF867C}">
                  <a14:compatExt spid="_x0000_s67591"/>
                </a:ext>
                <a:ext uri="{FF2B5EF4-FFF2-40B4-BE49-F238E27FC236}">
                  <a16:creationId xmlns:a16="http://schemas.microsoft.com/office/drawing/2014/main" id="{00000000-0008-0000-1F00-00000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17</xdr:row>
          <xdr:rowOff>28575</xdr:rowOff>
        </xdr:from>
        <xdr:to>
          <xdr:col>25</xdr:col>
          <xdr:colOff>257175</xdr:colOff>
          <xdr:row>17</xdr:row>
          <xdr:rowOff>238125</xdr:rowOff>
        </xdr:to>
        <xdr:sp macro="" textlink="">
          <xdr:nvSpPr>
            <xdr:cNvPr id="67592" name="Check Box 8" hidden="1">
              <a:extLst>
                <a:ext uri="{63B3BB69-23CF-44E3-9099-C40C66FF867C}">
                  <a14:compatExt spid="_x0000_s67592"/>
                </a:ext>
                <a:ext uri="{FF2B5EF4-FFF2-40B4-BE49-F238E27FC236}">
                  <a16:creationId xmlns:a16="http://schemas.microsoft.com/office/drawing/2014/main" id="{00000000-0008-0000-1F00-00000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19</xdr:row>
          <xdr:rowOff>28575</xdr:rowOff>
        </xdr:from>
        <xdr:to>
          <xdr:col>25</xdr:col>
          <xdr:colOff>266700</xdr:colOff>
          <xdr:row>19</xdr:row>
          <xdr:rowOff>238125</xdr:rowOff>
        </xdr:to>
        <xdr:sp macro="" textlink="">
          <xdr:nvSpPr>
            <xdr:cNvPr id="67593" name="Check Box 9" hidden="1">
              <a:extLst>
                <a:ext uri="{63B3BB69-23CF-44E3-9099-C40C66FF867C}">
                  <a14:compatExt spid="_x0000_s67593"/>
                </a:ext>
                <a:ext uri="{FF2B5EF4-FFF2-40B4-BE49-F238E27FC236}">
                  <a16:creationId xmlns:a16="http://schemas.microsoft.com/office/drawing/2014/main" id="{00000000-0008-0000-1F00-00000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29</xdr:col>
          <xdr:colOff>28575</xdr:colOff>
          <xdr:row>4</xdr:row>
          <xdr:rowOff>9525</xdr:rowOff>
        </xdr:from>
        <xdr:to>
          <xdr:col>29</xdr:col>
          <xdr:colOff>266700</xdr:colOff>
          <xdr:row>5</xdr:row>
          <xdr:rowOff>9525</xdr:rowOff>
        </xdr:to>
        <xdr:sp macro="" textlink="">
          <xdr:nvSpPr>
            <xdr:cNvPr id="68609" name="Check Box 1" hidden="1">
              <a:extLst>
                <a:ext uri="{63B3BB69-23CF-44E3-9099-C40C66FF867C}">
                  <a14:compatExt spid="_x0000_s68609"/>
                </a:ext>
                <a:ext uri="{FF2B5EF4-FFF2-40B4-BE49-F238E27FC236}">
                  <a16:creationId xmlns:a16="http://schemas.microsoft.com/office/drawing/2014/main" id="{00000000-0008-0000-2000-00000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4</xdr:row>
          <xdr:rowOff>0</xdr:rowOff>
        </xdr:from>
        <xdr:to>
          <xdr:col>33</xdr:col>
          <xdr:colOff>257175</xdr:colOff>
          <xdr:row>5</xdr:row>
          <xdr:rowOff>9525</xdr:rowOff>
        </xdr:to>
        <xdr:sp macro="" textlink="">
          <xdr:nvSpPr>
            <xdr:cNvPr id="68610" name="Check Box 2" hidden="1">
              <a:extLst>
                <a:ext uri="{63B3BB69-23CF-44E3-9099-C40C66FF867C}">
                  <a14:compatExt spid="_x0000_s68610"/>
                </a:ext>
                <a:ext uri="{FF2B5EF4-FFF2-40B4-BE49-F238E27FC236}">
                  <a16:creationId xmlns:a16="http://schemas.microsoft.com/office/drawing/2014/main" id="{00000000-0008-0000-2000-00000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6</xdr:row>
          <xdr:rowOff>238125</xdr:rowOff>
        </xdr:from>
        <xdr:to>
          <xdr:col>9</xdr:col>
          <xdr:colOff>257175</xdr:colOff>
          <xdr:row>7</xdr:row>
          <xdr:rowOff>238125</xdr:rowOff>
        </xdr:to>
        <xdr:sp macro="" textlink="">
          <xdr:nvSpPr>
            <xdr:cNvPr id="68611" name="Check Box 3" hidden="1">
              <a:extLst>
                <a:ext uri="{63B3BB69-23CF-44E3-9099-C40C66FF867C}">
                  <a14:compatExt spid="_x0000_s68611"/>
                </a:ext>
                <a:ext uri="{FF2B5EF4-FFF2-40B4-BE49-F238E27FC236}">
                  <a16:creationId xmlns:a16="http://schemas.microsoft.com/office/drawing/2014/main" id="{00000000-0008-0000-2000-00000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8</xdr:row>
          <xdr:rowOff>9525</xdr:rowOff>
        </xdr:from>
        <xdr:to>
          <xdr:col>10</xdr:col>
          <xdr:colOff>28575</xdr:colOff>
          <xdr:row>8</xdr:row>
          <xdr:rowOff>219075</xdr:rowOff>
        </xdr:to>
        <xdr:sp macro="" textlink="">
          <xdr:nvSpPr>
            <xdr:cNvPr id="68612" name="Check Box 4" hidden="1">
              <a:extLst>
                <a:ext uri="{63B3BB69-23CF-44E3-9099-C40C66FF867C}">
                  <a14:compatExt spid="_x0000_s68612"/>
                </a:ext>
                <a:ext uri="{FF2B5EF4-FFF2-40B4-BE49-F238E27FC236}">
                  <a16:creationId xmlns:a16="http://schemas.microsoft.com/office/drawing/2014/main" id="{00000000-0008-0000-2000-00000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9</xdr:row>
          <xdr:rowOff>9525</xdr:rowOff>
        </xdr:from>
        <xdr:to>
          <xdr:col>10</xdr:col>
          <xdr:colOff>28575</xdr:colOff>
          <xdr:row>9</xdr:row>
          <xdr:rowOff>219075</xdr:rowOff>
        </xdr:to>
        <xdr:sp macro="" textlink="">
          <xdr:nvSpPr>
            <xdr:cNvPr id="68613" name="Check Box 5" hidden="1">
              <a:extLst>
                <a:ext uri="{63B3BB69-23CF-44E3-9099-C40C66FF867C}">
                  <a14:compatExt spid="_x0000_s68613"/>
                </a:ext>
                <a:ext uri="{FF2B5EF4-FFF2-40B4-BE49-F238E27FC236}">
                  <a16:creationId xmlns:a16="http://schemas.microsoft.com/office/drawing/2014/main" id="{00000000-0008-0000-2000-00000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xdr:row>
          <xdr:rowOff>28575</xdr:rowOff>
        </xdr:from>
        <xdr:to>
          <xdr:col>23</xdr:col>
          <xdr:colOff>266700</xdr:colOff>
          <xdr:row>7</xdr:row>
          <xdr:rowOff>219075</xdr:rowOff>
        </xdr:to>
        <xdr:sp macro="" textlink="">
          <xdr:nvSpPr>
            <xdr:cNvPr id="68614" name="Check Box 6" hidden="1">
              <a:extLst>
                <a:ext uri="{63B3BB69-23CF-44E3-9099-C40C66FF867C}">
                  <a14:compatExt spid="_x0000_s68614"/>
                </a:ext>
                <a:ext uri="{FF2B5EF4-FFF2-40B4-BE49-F238E27FC236}">
                  <a16:creationId xmlns:a16="http://schemas.microsoft.com/office/drawing/2014/main" id="{00000000-0008-0000-2000-00000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xdr:row>
          <xdr:rowOff>28575</xdr:rowOff>
        </xdr:from>
        <xdr:to>
          <xdr:col>23</xdr:col>
          <xdr:colOff>238125</xdr:colOff>
          <xdr:row>8</xdr:row>
          <xdr:rowOff>219075</xdr:rowOff>
        </xdr:to>
        <xdr:sp macro="" textlink="">
          <xdr:nvSpPr>
            <xdr:cNvPr id="68615" name="Check Box 7" hidden="1">
              <a:extLst>
                <a:ext uri="{63B3BB69-23CF-44E3-9099-C40C66FF867C}">
                  <a14:compatExt spid="_x0000_s68615"/>
                </a:ext>
                <a:ext uri="{FF2B5EF4-FFF2-40B4-BE49-F238E27FC236}">
                  <a16:creationId xmlns:a16="http://schemas.microsoft.com/office/drawing/2014/main" id="{00000000-0008-0000-2000-00000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12</xdr:row>
          <xdr:rowOff>9525</xdr:rowOff>
        </xdr:from>
        <xdr:to>
          <xdr:col>9</xdr:col>
          <xdr:colOff>238125</xdr:colOff>
          <xdr:row>12</xdr:row>
          <xdr:rowOff>228600</xdr:rowOff>
        </xdr:to>
        <xdr:sp macro="" textlink="">
          <xdr:nvSpPr>
            <xdr:cNvPr id="68616" name="Check Box 8" hidden="1">
              <a:extLst>
                <a:ext uri="{63B3BB69-23CF-44E3-9099-C40C66FF867C}">
                  <a14:compatExt spid="_x0000_s68616"/>
                </a:ext>
                <a:ext uri="{FF2B5EF4-FFF2-40B4-BE49-F238E27FC236}">
                  <a16:creationId xmlns:a16="http://schemas.microsoft.com/office/drawing/2014/main" id="{00000000-0008-0000-2000-00000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13</xdr:row>
          <xdr:rowOff>9525</xdr:rowOff>
        </xdr:from>
        <xdr:to>
          <xdr:col>9</xdr:col>
          <xdr:colOff>257175</xdr:colOff>
          <xdr:row>13</xdr:row>
          <xdr:rowOff>200025</xdr:rowOff>
        </xdr:to>
        <xdr:sp macro="" textlink="">
          <xdr:nvSpPr>
            <xdr:cNvPr id="68617" name="Check Box 9" hidden="1">
              <a:extLst>
                <a:ext uri="{63B3BB69-23CF-44E3-9099-C40C66FF867C}">
                  <a14:compatExt spid="_x0000_s68617"/>
                </a:ext>
                <a:ext uri="{FF2B5EF4-FFF2-40B4-BE49-F238E27FC236}">
                  <a16:creationId xmlns:a16="http://schemas.microsoft.com/office/drawing/2014/main" id="{00000000-0008-0000-2000-00000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14</xdr:row>
          <xdr:rowOff>0</xdr:rowOff>
        </xdr:from>
        <xdr:to>
          <xdr:col>10</xdr:col>
          <xdr:colOff>9525</xdr:colOff>
          <xdr:row>14</xdr:row>
          <xdr:rowOff>219075</xdr:rowOff>
        </xdr:to>
        <xdr:sp macro="" textlink="">
          <xdr:nvSpPr>
            <xdr:cNvPr id="68618" name="Check Box 10" hidden="1">
              <a:extLst>
                <a:ext uri="{63B3BB69-23CF-44E3-9099-C40C66FF867C}">
                  <a14:compatExt spid="_x0000_s68618"/>
                </a:ext>
                <a:ext uri="{FF2B5EF4-FFF2-40B4-BE49-F238E27FC236}">
                  <a16:creationId xmlns:a16="http://schemas.microsoft.com/office/drawing/2014/main" id="{00000000-0008-0000-2000-00000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12</xdr:row>
          <xdr:rowOff>28575</xdr:rowOff>
        </xdr:from>
        <xdr:to>
          <xdr:col>23</xdr:col>
          <xdr:colOff>257175</xdr:colOff>
          <xdr:row>12</xdr:row>
          <xdr:rowOff>228600</xdr:rowOff>
        </xdr:to>
        <xdr:sp macro="" textlink="">
          <xdr:nvSpPr>
            <xdr:cNvPr id="68619" name="Check Box 11" hidden="1">
              <a:extLst>
                <a:ext uri="{63B3BB69-23CF-44E3-9099-C40C66FF867C}">
                  <a14:compatExt spid="_x0000_s68619"/>
                </a:ext>
                <a:ext uri="{FF2B5EF4-FFF2-40B4-BE49-F238E27FC236}">
                  <a16:creationId xmlns:a16="http://schemas.microsoft.com/office/drawing/2014/main" id="{00000000-0008-0000-2000-00000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13</xdr:row>
          <xdr:rowOff>28575</xdr:rowOff>
        </xdr:from>
        <xdr:to>
          <xdr:col>23</xdr:col>
          <xdr:colOff>257175</xdr:colOff>
          <xdr:row>13</xdr:row>
          <xdr:rowOff>219075</xdr:rowOff>
        </xdr:to>
        <xdr:sp macro="" textlink="">
          <xdr:nvSpPr>
            <xdr:cNvPr id="68620" name="Check Box 12" hidden="1">
              <a:extLst>
                <a:ext uri="{63B3BB69-23CF-44E3-9099-C40C66FF867C}">
                  <a14:compatExt spid="_x0000_s68620"/>
                </a:ext>
                <a:ext uri="{FF2B5EF4-FFF2-40B4-BE49-F238E27FC236}">
                  <a16:creationId xmlns:a16="http://schemas.microsoft.com/office/drawing/2014/main" id="{00000000-0008-0000-2000-00000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14</xdr:row>
          <xdr:rowOff>0</xdr:rowOff>
        </xdr:from>
        <xdr:to>
          <xdr:col>23</xdr:col>
          <xdr:colOff>257175</xdr:colOff>
          <xdr:row>15</xdr:row>
          <xdr:rowOff>0</xdr:rowOff>
        </xdr:to>
        <xdr:sp macro="" textlink="">
          <xdr:nvSpPr>
            <xdr:cNvPr id="68621" name="Check Box 13" hidden="1">
              <a:extLst>
                <a:ext uri="{63B3BB69-23CF-44E3-9099-C40C66FF867C}">
                  <a14:compatExt spid="_x0000_s68621"/>
                </a:ext>
                <a:ext uri="{FF2B5EF4-FFF2-40B4-BE49-F238E27FC236}">
                  <a16:creationId xmlns:a16="http://schemas.microsoft.com/office/drawing/2014/main" id="{00000000-0008-0000-2000-00000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15</xdr:row>
          <xdr:rowOff>28575</xdr:rowOff>
        </xdr:from>
        <xdr:to>
          <xdr:col>29</xdr:col>
          <xdr:colOff>266700</xdr:colOff>
          <xdr:row>16</xdr:row>
          <xdr:rowOff>9525</xdr:rowOff>
        </xdr:to>
        <xdr:sp macro="" textlink="">
          <xdr:nvSpPr>
            <xdr:cNvPr id="68622" name="Check Box 14" hidden="1">
              <a:extLst>
                <a:ext uri="{63B3BB69-23CF-44E3-9099-C40C66FF867C}">
                  <a14:compatExt spid="_x0000_s68622"/>
                </a:ext>
                <a:ext uri="{FF2B5EF4-FFF2-40B4-BE49-F238E27FC236}">
                  <a16:creationId xmlns:a16="http://schemas.microsoft.com/office/drawing/2014/main" id="{00000000-0008-0000-2000-00000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16</xdr:row>
          <xdr:rowOff>9525</xdr:rowOff>
        </xdr:from>
        <xdr:to>
          <xdr:col>29</xdr:col>
          <xdr:colOff>257175</xdr:colOff>
          <xdr:row>16</xdr:row>
          <xdr:rowOff>238125</xdr:rowOff>
        </xdr:to>
        <xdr:sp macro="" textlink="">
          <xdr:nvSpPr>
            <xdr:cNvPr id="68623" name="Check Box 15" hidden="1">
              <a:extLst>
                <a:ext uri="{63B3BB69-23CF-44E3-9099-C40C66FF867C}">
                  <a14:compatExt spid="_x0000_s68623"/>
                </a:ext>
                <a:ext uri="{FF2B5EF4-FFF2-40B4-BE49-F238E27FC236}">
                  <a16:creationId xmlns:a16="http://schemas.microsoft.com/office/drawing/2014/main" id="{00000000-0008-0000-2000-00000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17</xdr:row>
          <xdr:rowOff>28575</xdr:rowOff>
        </xdr:from>
        <xdr:to>
          <xdr:col>29</xdr:col>
          <xdr:colOff>266700</xdr:colOff>
          <xdr:row>17</xdr:row>
          <xdr:rowOff>257175</xdr:rowOff>
        </xdr:to>
        <xdr:sp macro="" textlink="">
          <xdr:nvSpPr>
            <xdr:cNvPr id="68624" name="Check Box 16" hidden="1">
              <a:extLst>
                <a:ext uri="{63B3BB69-23CF-44E3-9099-C40C66FF867C}">
                  <a14:compatExt spid="_x0000_s68624"/>
                </a:ext>
                <a:ext uri="{FF2B5EF4-FFF2-40B4-BE49-F238E27FC236}">
                  <a16:creationId xmlns:a16="http://schemas.microsoft.com/office/drawing/2014/main" id="{00000000-0008-0000-2000-00001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15</xdr:row>
          <xdr:rowOff>47625</xdr:rowOff>
        </xdr:from>
        <xdr:to>
          <xdr:col>33</xdr:col>
          <xdr:colOff>257175</xdr:colOff>
          <xdr:row>16</xdr:row>
          <xdr:rowOff>9525</xdr:rowOff>
        </xdr:to>
        <xdr:sp macro="" textlink="">
          <xdr:nvSpPr>
            <xdr:cNvPr id="68625" name="Check Box 17" hidden="1">
              <a:extLst>
                <a:ext uri="{63B3BB69-23CF-44E3-9099-C40C66FF867C}">
                  <a14:compatExt spid="_x0000_s68625"/>
                </a:ext>
                <a:ext uri="{FF2B5EF4-FFF2-40B4-BE49-F238E27FC236}">
                  <a16:creationId xmlns:a16="http://schemas.microsoft.com/office/drawing/2014/main" id="{00000000-0008-0000-2000-00001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16</xdr:row>
          <xdr:rowOff>47625</xdr:rowOff>
        </xdr:from>
        <xdr:to>
          <xdr:col>33</xdr:col>
          <xdr:colOff>238125</xdr:colOff>
          <xdr:row>16</xdr:row>
          <xdr:rowOff>238125</xdr:rowOff>
        </xdr:to>
        <xdr:sp macro="" textlink="">
          <xdr:nvSpPr>
            <xdr:cNvPr id="68626" name="Check Box 18" hidden="1">
              <a:extLst>
                <a:ext uri="{63B3BB69-23CF-44E3-9099-C40C66FF867C}">
                  <a14:compatExt spid="_x0000_s68626"/>
                </a:ext>
                <a:ext uri="{FF2B5EF4-FFF2-40B4-BE49-F238E27FC236}">
                  <a16:creationId xmlns:a16="http://schemas.microsoft.com/office/drawing/2014/main" id="{00000000-0008-0000-2000-00001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17</xdr:row>
          <xdr:rowOff>9525</xdr:rowOff>
        </xdr:from>
        <xdr:to>
          <xdr:col>34</xdr:col>
          <xdr:colOff>28575</xdr:colOff>
          <xdr:row>18</xdr:row>
          <xdr:rowOff>9525</xdr:rowOff>
        </xdr:to>
        <xdr:sp macro="" textlink="">
          <xdr:nvSpPr>
            <xdr:cNvPr id="68627" name="Check Box 19" hidden="1">
              <a:extLst>
                <a:ext uri="{63B3BB69-23CF-44E3-9099-C40C66FF867C}">
                  <a14:compatExt spid="_x0000_s68627"/>
                </a:ext>
                <a:ext uri="{FF2B5EF4-FFF2-40B4-BE49-F238E27FC236}">
                  <a16:creationId xmlns:a16="http://schemas.microsoft.com/office/drawing/2014/main" id="{00000000-0008-0000-2000-00001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19</xdr:row>
          <xdr:rowOff>28575</xdr:rowOff>
        </xdr:from>
        <xdr:to>
          <xdr:col>10</xdr:col>
          <xdr:colOff>0</xdr:colOff>
          <xdr:row>19</xdr:row>
          <xdr:rowOff>219075</xdr:rowOff>
        </xdr:to>
        <xdr:sp macro="" textlink="">
          <xdr:nvSpPr>
            <xdr:cNvPr id="68628" name="Check Box 20" hidden="1">
              <a:extLst>
                <a:ext uri="{63B3BB69-23CF-44E3-9099-C40C66FF867C}">
                  <a14:compatExt spid="_x0000_s68628"/>
                </a:ext>
                <a:ext uri="{FF2B5EF4-FFF2-40B4-BE49-F238E27FC236}">
                  <a16:creationId xmlns:a16="http://schemas.microsoft.com/office/drawing/2014/main" id="{00000000-0008-0000-2000-00001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20</xdr:row>
          <xdr:rowOff>28575</xdr:rowOff>
        </xdr:from>
        <xdr:to>
          <xdr:col>10</xdr:col>
          <xdr:colOff>0</xdr:colOff>
          <xdr:row>21</xdr:row>
          <xdr:rowOff>0</xdr:rowOff>
        </xdr:to>
        <xdr:sp macro="" textlink="">
          <xdr:nvSpPr>
            <xdr:cNvPr id="68629" name="Check Box 21" hidden="1">
              <a:extLst>
                <a:ext uri="{63B3BB69-23CF-44E3-9099-C40C66FF867C}">
                  <a14:compatExt spid="_x0000_s68629"/>
                </a:ext>
                <a:ext uri="{FF2B5EF4-FFF2-40B4-BE49-F238E27FC236}">
                  <a16:creationId xmlns:a16="http://schemas.microsoft.com/office/drawing/2014/main" id="{00000000-0008-0000-2000-00001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19</xdr:row>
          <xdr:rowOff>9525</xdr:rowOff>
        </xdr:from>
        <xdr:to>
          <xdr:col>23</xdr:col>
          <xdr:colOff>228600</xdr:colOff>
          <xdr:row>19</xdr:row>
          <xdr:rowOff>228600</xdr:rowOff>
        </xdr:to>
        <xdr:sp macro="" textlink="">
          <xdr:nvSpPr>
            <xdr:cNvPr id="68630" name="Check Box 22" hidden="1">
              <a:extLst>
                <a:ext uri="{63B3BB69-23CF-44E3-9099-C40C66FF867C}">
                  <a14:compatExt spid="_x0000_s68630"/>
                </a:ext>
                <a:ext uri="{FF2B5EF4-FFF2-40B4-BE49-F238E27FC236}">
                  <a16:creationId xmlns:a16="http://schemas.microsoft.com/office/drawing/2014/main" id="{00000000-0008-0000-2000-00001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20</xdr:row>
          <xdr:rowOff>28575</xdr:rowOff>
        </xdr:from>
        <xdr:to>
          <xdr:col>24</xdr:col>
          <xdr:colOff>28575</xdr:colOff>
          <xdr:row>20</xdr:row>
          <xdr:rowOff>219075</xdr:rowOff>
        </xdr:to>
        <xdr:sp macro="" textlink="">
          <xdr:nvSpPr>
            <xdr:cNvPr id="68631" name="Check Box 23" hidden="1">
              <a:extLst>
                <a:ext uri="{63B3BB69-23CF-44E3-9099-C40C66FF867C}">
                  <a14:compatExt spid="_x0000_s68631"/>
                </a:ext>
                <a:ext uri="{FF2B5EF4-FFF2-40B4-BE49-F238E27FC236}">
                  <a16:creationId xmlns:a16="http://schemas.microsoft.com/office/drawing/2014/main" id="{00000000-0008-0000-2000-00001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22</xdr:row>
          <xdr:rowOff>28575</xdr:rowOff>
        </xdr:from>
        <xdr:to>
          <xdr:col>29</xdr:col>
          <xdr:colOff>257175</xdr:colOff>
          <xdr:row>23</xdr:row>
          <xdr:rowOff>9525</xdr:rowOff>
        </xdr:to>
        <xdr:sp macro="" textlink="">
          <xdr:nvSpPr>
            <xdr:cNvPr id="68632" name="Check Box 24" hidden="1">
              <a:extLst>
                <a:ext uri="{63B3BB69-23CF-44E3-9099-C40C66FF867C}">
                  <a14:compatExt spid="_x0000_s68632"/>
                </a:ext>
                <a:ext uri="{FF2B5EF4-FFF2-40B4-BE49-F238E27FC236}">
                  <a16:creationId xmlns:a16="http://schemas.microsoft.com/office/drawing/2014/main" id="{00000000-0008-0000-2000-00001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24</xdr:row>
          <xdr:rowOff>28575</xdr:rowOff>
        </xdr:from>
        <xdr:to>
          <xdr:col>29</xdr:col>
          <xdr:colOff>266700</xdr:colOff>
          <xdr:row>24</xdr:row>
          <xdr:rowOff>238125</xdr:rowOff>
        </xdr:to>
        <xdr:sp macro="" textlink="">
          <xdr:nvSpPr>
            <xdr:cNvPr id="68633" name="Check Box 25" hidden="1">
              <a:extLst>
                <a:ext uri="{63B3BB69-23CF-44E3-9099-C40C66FF867C}">
                  <a14:compatExt spid="_x0000_s68633"/>
                </a:ext>
                <a:ext uri="{FF2B5EF4-FFF2-40B4-BE49-F238E27FC236}">
                  <a16:creationId xmlns:a16="http://schemas.microsoft.com/office/drawing/2014/main" id="{00000000-0008-0000-2000-00001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22</xdr:row>
          <xdr:rowOff>28575</xdr:rowOff>
        </xdr:from>
        <xdr:to>
          <xdr:col>34</xdr:col>
          <xdr:colOff>0</xdr:colOff>
          <xdr:row>23</xdr:row>
          <xdr:rowOff>9525</xdr:rowOff>
        </xdr:to>
        <xdr:sp macro="" textlink="">
          <xdr:nvSpPr>
            <xdr:cNvPr id="68634" name="Check Box 26" hidden="1">
              <a:extLst>
                <a:ext uri="{63B3BB69-23CF-44E3-9099-C40C66FF867C}">
                  <a14:compatExt spid="_x0000_s68634"/>
                </a:ext>
                <a:ext uri="{FF2B5EF4-FFF2-40B4-BE49-F238E27FC236}">
                  <a16:creationId xmlns:a16="http://schemas.microsoft.com/office/drawing/2014/main" id="{00000000-0008-0000-2000-00001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24</xdr:row>
          <xdr:rowOff>28575</xdr:rowOff>
        </xdr:from>
        <xdr:to>
          <xdr:col>33</xdr:col>
          <xdr:colOff>266700</xdr:colOff>
          <xdr:row>25</xdr:row>
          <xdr:rowOff>9525</xdr:rowOff>
        </xdr:to>
        <xdr:sp macro="" textlink="">
          <xdr:nvSpPr>
            <xdr:cNvPr id="68635" name="Check Box 27" hidden="1">
              <a:extLst>
                <a:ext uri="{63B3BB69-23CF-44E3-9099-C40C66FF867C}">
                  <a14:compatExt spid="_x0000_s68635"/>
                </a:ext>
                <a:ext uri="{FF2B5EF4-FFF2-40B4-BE49-F238E27FC236}">
                  <a16:creationId xmlns:a16="http://schemas.microsoft.com/office/drawing/2014/main" id="{00000000-0008-0000-2000-00001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26</xdr:row>
          <xdr:rowOff>28575</xdr:rowOff>
        </xdr:from>
        <xdr:to>
          <xdr:col>9</xdr:col>
          <xdr:colOff>219075</xdr:colOff>
          <xdr:row>26</xdr:row>
          <xdr:rowOff>219075</xdr:rowOff>
        </xdr:to>
        <xdr:sp macro="" textlink="">
          <xdr:nvSpPr>
            <xdr:cNvPr id="68636" name="Check Box 28" hidden="1">
              <a:extLst>
                <a:ext uri="{63B3BB69-23CF-44E3-9099-C40C66FF867C}">
                  <a14:compatExt spid="_x0000_s68636"/>
                </a:ext>
                <a:ext uri="{FF2B5EF4-FFF2-40B4-BE49-F238E27FC236}">
                  <a16:creationId xmlns:a16="http://schemas.microsoft.com/office/drawing/2014/main" id="{00000000-0008-0000-2000-00001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27</xdr:row>
          <xdr:rowOff>9525</xdr:rowOff>
        </xdr:from>
        <xdr:to>
          <xdr:col>9</xdr:col>
          <xdr:colOff>228600</xdr:colOff>
          <xdr:row>27</xdr:row>
          <xdr:rowOff>238125</xdr:rowOff>
        </xdr:to>
        <xdr:sp macro="" textlink="">
          <xdr:nvSpPr>
            <xdr:cNvPr id="68637" name="Check Box 29" hidden="1">
              <a:extLst>
                <a:ext uri="{63B3BB69-23CF-44E3-9099-C40C66FF867C}">
                  <a14:compatExt spid="_x0000_s68637"/>
                </a:ext>
                <a:ext uri="{FF2B5EF4-FFF2-40B4-BE49-F238E27FC236}">
                  <a16:creationId xmlns:a16="http://schemas.microsoft.com/office/drawing/2014/main" id="{00000000-0008-0000-2000-00001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28</xdr:row>
          <xdr:rowOff>28575</xdr:rowOff>
        </xdr:from>
        <xdr:to>
          <xdr:col>9</xdr:col>
          <xdr:colOff>266700</xdr:colOff>
          <xdr:row>28</xdr:row>
          <xdr:rowOff>219075</xdr:rowOff>
        </xdr:to>
        <xdr:sp macro="" textlink="">
          <xdr:nvSpPr>
            <xdr:cNvPr id="68638" name="Check Box 30" hidden="1">
              <a:extLst>
                <a:ext uri="{63B3BB69-23CF-44E3-9099-C40C66FF867C}">
                  <a14:compatExt spid="_x0000_s68638"/>
                </a:ext>
                <a:ext uri="{FF2B5EF4-FFF2-40B4-BE49-F238E27FC236}">
                  <a16:creationId xmlns:a16="http://schemas.microsoft.com/office/drawing/2014/main" id="{00000000-0008-0000-2000-00001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29</xdr:row>
          <xdr:rowOff>9525</xdr:rowOff>
        </xdr:from>
        <xdr:to>
          <xdr:col>9</xdr:col>
          <xdr:colOff>257175</xdr:colOff>
          <xdr:row>29</xdr:row>
          <xdr:rowOff>238125</xdr:rowOff>
        </xdr:to>
        <xdr:sp macro="" textlink="">
          <xdr:nvSpPr>
            <xdr:cNvPr id="68639" name="Check Box 31" hidden="1">
              <a:extLst>
                <a:ext uri="{63B3BB69-23CF-44E3-9099-C40C66FF867C}">
                  <a14:compatExt spid="_x0000_s68639"/>
                </a:ext>
                <a:ext uri="{FF2B5EF4-FFF2-40B4-BE49-F238E27FC236}">
                  <a16:creationId xmlns:a16="http://schemas.microsoft.com/office/drawing/2014/main" id="{00000000-0008-0000-2000-00001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38100</xdr:colOff>
          <xdr:row>4</xdr:row>
          <xdr:rowOff>28575</xdr:rowOff>
        </xdr:from>
        <xdr:to>
          <xdr:col>26</xdr:col>
          <xdr:colOff>238125</xdr:colOff>
          <xdr:row>4</xdr:row>
          <xdr:rowOff>228600</xdr:rowOff>
        </xdr:to>
        <xdr:sp macro="" textlink="">
          <xdr:nvSpPr>
            <xdr:cNvPr id="70657" name="Check Box 1" hidden="1">
              <a:extLst>
                <a:ext uri="{63B3BB69-23CF-44E3-9099-C40C66FF867C}">
                  <a14:compatExt spid="_x0000_s70657"/>
                </a:ext>
                <a:ext uri="{FF2B5EF4-FFF2-40B4-BE49-F238E27FC236}">
                  <a16:creationId xmlns:a16="http://schemas.microsoft.com/office/drawing/2014/main" id="{00000000-0008-0000-2200-00000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xdr:row>
          <xdr:rowOff>0</xdr:rowOff>
        </xdr:from>
        <xdr:to>
          <xdr:col>26</xdr:col>
          <xdr:colOff>228600</xdr:colOff>
          <xdr:row>6</xdr:row>
          <xdr:rowOff>257175</xdr:rowOff>
        </xdr:to>
        <xdr:sp macro="" textlink="">
          <xdr:nvSpPr>
            <xdr:cNvPr id="70658" name="Check Box 2" hidden="1">
              <a:extLst>
                <a:ext uri="{63B3BB69-23CF-44E3-9099-C40C66FF867C}">
                  <a14:compatExt spid="_x0000_s70658"/>
                </a:ext>
                <a:ext uri="{FF2B5EF4-FFF2-40B4-BE49-F238E27FC236}">
                  <a16:creationId xmlns:a16="http://schemas.microsoft.com/office/drawing/2014/main" id="{00000000-0008-0000-2200-00000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15</xdr:row>
          <xdr:rowOff>104775</xdr:rowOff>
        </xdr:from>
        <xdr:to>
          <xdr:col>26</xdr:col>
          <xdr:colOff>257175</xdr:colOff>
          <xdr:row>15</xdr:row>
          <xdr:rowOff>314325</xdr:rowOff>
        </xdr:to>
        <xdr:sp macro="" textlink="">
          <xdr:nvSpPr>
            <xdr:cNvPr id="70659" name="Check Box 3" hidden="1">
              <a:extLst>
                <a:ext uri="{63B3BB69-23CF-44E3-9099-C40C66FF867C}">
                  <a14:compatExt spid="_x0000_s70659"/>
                </a:ext>
                <a:ext uri="{FF2B5EF4-FFF2-40B4-BE49-F238E27FC236}">
                  <a16:creationId xmlns:a16="http://schemas.microsoft.com/office/drawing/2014/main" id="{00000000-0008-0000-2200-00000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17</xdr:row>
          <xdr:rowOff>38100</xdr:rowOff>
        </xdr:from>
        <xdr:to>
          <xdr:col>27</xdr:col>
          <xdr:colOff>28575</xdr:colOff>
          <xdr:row>18</xdr:row>
          <xdr:rowOff>0</xdr:rowOff>
        </xdr:to>
        <xdr:sp macro="" textlink="">
          <xdr:nvSpPr>
            <xdr:cNvPr id="70660" name="Check Box 4" hidden="1">
              <a:extLst>
                <a:ext uri="{63B3BB69-23CF-44E3-9099-C40C66FF867C}">
                  <a14:compatExt spid="_x0000_s70660"/>
                </a:ext>
                <a:ext uri="{FF2B5EF4-FFF2-40B4-BE49-F238E27FC236}">
                  <a16:creationId xmlns:a16="http://schemas.microsoft.com/office/drawing/2014/main" id="{00000000-0008-0000-2200-00000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19</xdr:row>
          <xdr:rowOff>9525</xdr:rowOff>
        </xdr:from>
        <xdr:to>
          <xdr:col>31</xdr:col>
          <xdr:colOff>238125</xdr:colOff>
          <xdr:row>20</xdr:row>
          <xdr:rowOff>9525</xdr:rowOff>
        </xdr:to>
        <xdr:sp macro="" textlink="">
          <xdr:nvSpPr>
            <xdr:cNvPr id="70661" name="Check Box 5" hidden="1">
              <a:extLst>
                <a:ext uri="{63B3BB69-23CF-44E3-9099-C40C66FF867C}">
                  <a14:compatExt spid="_x0000_s70661"/>
                </a:ext>
                <a:ext uri="{FF2B5EF4-FFF2-40B4-BE49-F238E27FC236}">
                  <a16:creationId xmlns:a16="http://schemas.microsoft.com/office/drawing/2014/main" id="{00000000-0008-0000-2200-00000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26</xdr:row>
          <xdr:rowOff>66675</xdr:rowOff>
        </xdr:from>
        <xdr:to>
          <xdr:col>32</xdr:col>
          <xdr:colOff>28575</xdr:colOff>
          <xdr:row>28</xdr:row>
          <xdr:rowOff>28575</xdr:rowOff>
        </xdr:to>
        <xdr:sp macro="" textlink="">
          <xdr:nvSpPr>
            <xdr:cNvPr id="70662" name="Check Box 6" hidden="1">
              <a:extLst>
                <a:ext uri="{63B3BB69-23CF-44E3-9099-C40C66FF867C}">
                  <a14:compatExt spid="_x0000_s70662"/>
                </a:ext>
                <a:ext uri="{FF2B5EF4-FFF2-40B4-BE49-F238E27FC236}">
                  <a16:creationId xmlns:a16="http://schemas.microsoft.com/office/drawing/2014/main" id="{00000000-0008-0000-2200-00000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xdr:row>
          <xdr:rowOff>28575</xdr:rowOff>
        </xdr:from>
        <xdr:to>
          <xdr:col>31</xdr:col>
          <xdr:colOff>257175</xdr:colOff>
          <xdr:row>5</xdr:row>
          <xdr:rowOff>9525</xdr:rowOff>
        </xdr:to>
        <xdr:sp macro="" textlink="">
          <xdr:nvSpPr>
            <xdr:cNvPr id="70663" name="Check Box 7" hidden="1">
              <a:extLst>
                <a:ext uri="{63B3BB69-23CF-44E3-9099-C40C66FF867C}">
                  <a14:compatExt spid="_x0000_s70663"/>
                </a:ext>
                <a:ext uri="{FF2B5EF4-FFF2-40B4-BE49-F238E27FC236}">
                  <a16:creationId xmlns:a16="http://schemas.microsoft.com/office/drawing/2014/main" id="{00000000-0008-0000-2200-00000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xdr:row>
          <xdr:rowOff>28575</xdr:rowOff>
        </xdr:from>
        <xdr:to>
          <xdr:col>31</xdr:col>
          <xdr:colOff>266700</xdr:colOff>
          <xdr:row>7</xdr:row>
          <xdr:rowOff>0</xdr:rowOff>
        </xdr:to>
        <xdr:sp macro="" textlink="">
          <xdr:nvSpPr>
            <xdr:cNvPr id="70664" name="Check Box 8" hidden="1">
              <a:extLst>
                <a:ext uri="{63B3BB69-23CF-44E3-9099-C40C66FF867C}">
                  <a14:compatExt spid="_x0000_s70664"/>
                </a:ext>
                <a:ext uri="{FF2B5EF4-FFF2-40B4-BE49-F238E27FC236}">
                  <a16:creationId xmlns:a16="http://schemas.microsoft.com/office/drawing/2014/main" id="{00000000-0008-0000-2200-00000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15</xdr:row>
          <xdr:rowOff>104775</xdr:rowOff>
        </xdr:from>
        <xdr:to>
          <xdr:col>31</xdr:col>
          <xdr:colOff>257175</xdr:colOff>
          <xdr:row>15</xdr:row>
          <xdr:rowOff>314325</xdr:rowOff>
        </xdr:to>
        <xdr:sp macro="" textlink="">
          <xdr:nvSpPr>
            <xdr:cNvPr id="70665" name="Check Box 9" hidden="1">
              <a:extLst>
                <a:ext uri="{63B3BB69-23CF-44E3-9099-C40C66FF867C}">
                  <a14:compatExt spid="_x0000_s70665"/>
                </a:ext>
                <a:ext uri="{FF2B5EF4-FFF2-40B4-BE49-F238E27FC236}">
                  <a16:creationId xmlns:a16="http://schemas.microsoft.com/office/drawing/2014/main" id="{00000000-0008-0000-2200-00000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17</xdr:row>
          <xdr:rowOff>28575</xdr:rowOff>
        </xdr:from>
        <xdr:to>
          <xdr:col>31</xdr:col>
          <xdr:colOff>266700</xdr:colOff>
          <xdr:row>18</xdr:row>
          <xdr:rowOff>28575</xdr:rowOff>
        </xdr:to>
        <xdr:sp macro="" textlink="">
          <xdr:nvSpPr>
            <xdr:cNvPr id="70666" name="Check Box 10" hidden="1">
              <a:extLst>
                <a:ext uri="{63B3BB69-23CF-44E3-9099-C40C66FF867C}">
                  <a14:compatExt spid="_x0000_s70666"/>
                </a:ext>
                <a:ext uri="{FF2B5EF4-FFF2-40B4-BE49-F238E27FC236}">
                  <a16:creationId xmlns:a16="http://schemas.microsoft.com/office/drawing/2014/main" id="{00000000-0008-0000-2200-00000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47625</xdr:colOff>
          <xdr:row>18</xdr:row>
          <xdr:rowOff>66675</xdr:rowOff>
        </xdr:from>
        <xdr:to>
          <xdr:col>37</xdr:col>
          <xdr:colOff>28575</xdr:colOff>
          <xdr:row>20</xdr:row>
          <xdr:rowOff>28575</xdr:rowOff>
        </xdr:to>
        <xdr:sp macro="" textlink="">
          <xdr:nvSpPr>
            <xdr:cNvPr id="70667" name="Check Box 11" hidden="1">
              <a:extLst>
                <a:ext uri="{63B3BB69-23CF-44E3-9099-C40C66FF867C}">
                  <a14:compatExt spid="_x0000_s70667"/>
                </a:ext>
                <a:ext uri="{FF2B5EF4-FFF2-40B4-BE49-F238E27FC236}">
                  <a16:creationId xmlns:a16="http://schemas.microsoft.com/office/drawing/2014/main" id="{00000000-0008-0000-2200-00000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47625</xdr:colOff>
          <xdr:row>26</xdr:row>
          <xdr:rowOff>66675</xdr:rowOff>
        </xdr:from>
        <xdr:to>
          <xdr:col>36</xdr:col>
          <xdr:colOff>257175</xdr:colOff>
          <xdr:row>28</xdr:row>
          <xdr:rowOff>28575</xdr:rowOff>
        </xdr:to>
        <xdr:sp macro="" textlink="">
          <xdr:nvSpPr>
            <xdr:cNvPr id="70668" name="Check Box 12" hidden="1">
              <a:extLst>
                <a:ext uri="{63B3BB69-23CF-44E3-9099-C40C66FF867C}">
                  <a14:compatExt spid="_x0000_s70668"/>
                </a:ext>
                <a:ext uri="{FF2B5EF4-FFF2-40B4-BE49-F238E27FC236}">
                  <a16:creationId xmlns:a16="http://schemas.microsoft.com/office/drawing/2014/main" id="{00000000-0008-0000-2200-00000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47625</xdr:colOff>
          <xdr:row>20</xdr:row>
          <xdr:rowOff>66675</xdr:rowOff>
        </xdr:from>
        <xdr:to>
          <xdr:col>32</xdr:col>
          <xdr:colOff>9525</xdr:colOff>
          <xdr:row>20</xdr:row>
          <xdr:rowOff>295275</xdr:rowOff>
        </xdr:to>
        <xdr:sp macro="" textlink="">
          <xdr:nvSpPr>
            <xdr:cNvPr id="115714" name="Check Box 2" hidden="1">
              <a:extLst>
                <a:ext uri="{63B3BB69-23CF-44E3-9099-C40C66FF867C}">
                  <a14:compatExt spid="_x0000_s115714"/>
                </a:ext>
                <a:ext uri="{FF2B5EF4-FFF2-40B4-BE49-F238E27FC236}">
                  <a16:creationId xmlns:a16="http://schemas.microsoft.com/office/drawing/2014/main" id="{00000000-0008-0000-2400-000002C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20</xdr:row>
          <xdr:rowOff>66675</xdr:rowOff>
        </xdr:from>
        <xdr:to>
          <xdr:col>26</xdr:col>
          <xdr:colOff>257175</xdr:colOff>
          <xdr:row>20</xdr:row>
          <xdr:rowOff>295275</xdr:rowOff>
        </xdr:to>
        <xdr:sp macro="" textlink="">
          <xdr:nvSpPr>
            <xdr:cNvPr id="115715" name="Check Box 3" hidden="1">
              <a:extLst>
                <a:ext uri="{63B3BB69-23CF-44E3-9099-C40C66FF867C}">
                  <a14:compatExt spid="_x0000_s115715"/>
                </a:ext>
                <a:ext uri="{FF2B5EF4-FFF2-40B4-BE49-F238E27FC236}">
                  <a16:creationId xmlns:a16="http://schemas.microsoft.com/office/drawing/2014/main" id="{00000000-0008-0000-2400-000003C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34</xdr:col>
          <xdr:colOff>28575</xdr:colOff>
          <xdr:row>5</xdr:row>
          <xdr:rowOff>28575</xdr:rowOff>
        </xdr:from>
        <xdr:to>
          <xdr:col>35</xdr:col>
          <xdr:colOff>28575</xdr:colOff>
          <xdr:row>5</xdr:row>
          <xdr:rowOff>257175</xdr:rowOff>
        </xdr:to>
        <xdr:sp macro="" textlink="">
          <xdr:nvSpPr>
            <xdr:cNvPr id="73729" name="Check Box 1" hidden="1">
              <a:extLst>
                <a:ext uri="{63B3BB69-23CF-44E3-9099-C40C66FF867C}">
                  <a14:compatExt spid="_x0000_s73729"/>
                </a:ext>
                <a:ext uri="{FF2B5EF4-FFF2-40B4-BE49-F238E27FC236}">
                  <a16:creationId xmlns:a16="http://schemas.microsoft.com/office/drawing/2014/main" id="{00000000-0008-0000-2500-000001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6</xdr:row>
          <xdr:rowOff>85725</xdr:rowOff>
        </xdr:from>
        <xdr:to>
          <xdr:col>35</xdr:col>
          <xdr:colOff>9525</xdr:colOff>
          <xdr:row>6</xdr:row>
          <xdr:rowOff>314325</xdr:rowOff>
        </xdr:to>
        <xdr:sp macro="" textlink="">
          <xdr:nvSpPr>
            <xdr:cNvPr id="73730" name="Check Box 2" hidden="1">
              <a:extLst>
                <a:ext uri="{63B3BB69-23CF-44E3-9099-C40C66FF867C}">
                  <a14:compatExt spid="_x0000_s73730"/>
                </a:ext>
                <a:ext uri="{FF2B5EF4-FFF2-40B4-BE49-F238E27FC236}">
                  <a16:creationId xmlns:a16="http://schemas.microsoft.com/office/drawing/2014/main" id="{00000000-0008-0000-2500-000002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9</xdr:row>
          <xdr:rowOff>9525</xdr:rowOff>
        </xdr:from>
        <xdr:to>
          <xdr:col>35</xdr:col>
          <xdr:colOff>9525</xdr:colOff>
          <xdr:row>9</xdr:row>
          <xdr:rowOff>228600</xdr:rowOff>
        </xdr:to>
        <xdr:sp macro="" textlink="">
          <xdr:nvSpPr>
            <xdr:cNvPr id="73731" name="Check Box 3" hidden="1">
              <a:extLst>
                <a:ext uri="{63B3BB69-23CF-44E3-9099-C40C66FF867C}">
                  <a14:compatExt spid="_x0000_s73731"/>
                </a:ext>
                <a:ext uri="{FF2B5EF4-FFF2-40B4-BE49-F238E27FC236}">
                  <a16:creationId xmlns:a16="http://schemas.microsoft.com/office/drawing/2014/main" id="{00000000-0008-0000-2500-000003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10</xdr:row>
          <xdr:rowOff>9525</xdr:rowOff>
        </xdr:from>
        <xdr:to>
          <xdr:col>34</xdr:col>
          <xdr:colOff>266700</xdr:colOff>
          <xdr:row>10</xdr:row>
          <xdr:rowOff>238125</xdr:rowOff>
        </xdr:to>
        <xdr:sp macro="" textlink="">
          <xdr:nvSpPr>
            <xdr:cNvPr id="73732" name="Check Box 4" hidden="1">
              <a:extLst>
                <a:ext uri="{63B3BB69-23CF-44E3-9099-C40C66FF867C}">
                  <a14:compatExt spid="_x0000_s73732"/>
                </a:ext>
                <a:ext uri="{FF2B5EF4-FFF2-40B4-BE49-F238E27FC236}">
                  <a16:creationId xmlns:a16="http://schemas.microsoft.com/office/drawing/2014/main" id="{00000000-0008-0000-2500-000004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18</xdr:row>
          <xdr:rowOff>28575</xdr:rowOff>
        </xdr:from>
        <xdr:to>
          <xdr:col>7</xdr:col>
          <xdr:colOff>0</xdr:colOff>
          <xdr:row>18</xdr:row>
          <xdr:rowOff>228600</xdr:rowOff>
        </xdr:to>
        <xdr:sp macro="" textlink="">
          <xdr:nvSpPr>
            <xdr:cNvPr id="73733" name="Check Box 5" hidden="1">
              <a:extLst>
                <a:ext uri="{63B3BB69-23CF-44E3-9099-C40C66FF867C}">
                  <a14:compatExt spid="_x0000_s73733"/>
                </a:ext>
                <a:ext uri="{FF2B5EF4-FFF2-40B4-BE49-F238E27FC236}">
                  <a16:creationId xmlns:a16="http://schemas.microsoft.com/office/drawing/2014/main" id="{00000000-0008-0000-2500-000005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xdr:row>
          <xdr:rowOff>28575</xdr:rowOff>
        </xdr:from>
        <xdr:to>
          <xdr:col>7</xdr:col>
          <xdr:colOff>9525</xdr:colOff>
          <xdr:row>19</xdr:row>
          <xdr:rowOff>238125</xdr:rowOff>
        </xdr:to>
        <xdr:sp macro="" textlink="">
          <xdr:nvSpPr>
            <xdr:cNvPr id="73734" name="Check Box 6" hidden="1">
              <a:extLst>
                <a:ext uri="{63B3BB69-23CF-44E3-9099-C40C66FF867C}">
                  <a14:compatExt spid="_x0000_s73734"/>
                </a:ext>
                <a:ext uri="{FF2B5EF4-FFF2-40B4-BE49-F238E27FC236}">
                  <a16:creationId xmlns:a16="http://schemas.microsoft.com/office/drawing/2014/main" id="{00000000-0008-0000-2500-000006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18</xdr:row>
          <xdr:rowOff>28575</xdr:rowOff>
        </xdr:from>
        <xdr:to>
          <xdr:col>26</xdr:col>
          <xdr:colOff>238125</xdr:colOff>
          <xdr:row>18</xdr:row>
          <xdr:rowOff>238125</xdr:rowOff>
        </xdr:to>
        <xdr:sp macro="" textlink="">
          <xdr:nvSpPr>
            <xdr:cNvPr id="73735" name="Check Box 7" hidden="1">
              <a:extLst>
                <a:ext uri="{63B3BB69-23CF-44E3-9099-C40C66FF867C}">
                  <a14:compatExt spid="_x0000_s73735"/>
                </a:ext>
                <a:ext uri="{FF2B5EF4-FFF2-40B4-BE49-F238E27FC236}">
                  <a16:creationId xmlns:a16="http://schemas.microsoft.com/office/drawing/2014/main" id="{00000000-0008-0000-2500-000007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19</xdr:row>
          <xdr:rowOff>28575</xdr:rowOff>
        </xdr:from>
        <xdr:to>
          <xdr:col>27</xdr:col>
          <xdr:colOff>9525</xdr:colOff>
          <xdr:row>19</xdr:row>
          <xdr:rowOff>257175</xdr:rowOff>
        </xdr:to>
        <xdr:sp macro="" textlink="">
          <xdr:nvSpPr>
            <xdr:cNvPr id="73736" name="Check Box 8" hidden="1">
              <a:extLst>
                <a:ext uri="{63B3BB69-23CF-44E3-9099-C40C66FF867C}">
                  <a14:compatExt spid="_x0000_s73736"/>
                </a:ext>
                <a:ext uri="{FF2B5EF4-FFF2-40B4-BE49-F238E27FC236}">
                  <a16:creationId xmlns:a16="http://schemas.microsoft.com/office/drawing/2014/main" id="{00000000-0008-0000-2500-000008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28575</xdr:colOff>
          <xdr:row>5</xdr:row>
          <xdr:rowOff>28575</xdr:rowOff>
        </xdr:from>
        <xdr:to>
          <xdr:col>39</xdr:col>
          <xdr:colOff>228600</xdr:colOff>
          <xdr:row>5</xdr:row>
          <xdr:rowOff>238125</xdr:rowOff>
        </xdr:to>
        <xdr:sp macro="" textlink="">
          <xdr:nvSpPr>
            <xdr:cNvPr id="73737" name="Check Box 9" hidden="1">
              <a:extLst>
                <a:ext uri="{63B3BB69-23CF-44E3-9099-C40C66FF867C}">
                  <a14:compatExt spid="_x0000_s73737"/>
                </a:ext>
                <a:ext uri="{FF2B5EF4-FFF2-40B4-BE49-F238E27FC236}">
                  <a16:creationId xmlns:a16="http://schemas.microsoft.com/office/drawing/2014/main" id="{00000000-0008-0000-2500-000009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38100</xdr:colOff>
          <xdr:row>6</xdr:row>
          <xdr:rowOff>85725</xdr:rowOff>
        </xdr:from>
        <xdr:to>
          <xdr:col>39</xdr:col>
          <xdr:colOff>238125</xdr:colOff>
          <xdr:row>6</xdr:row>
          <xdr:rowOff>333375</xdr:rowOff>
        </xdr:to>
        <xdr:sp macro="" textlink="">
          <xdr:nvSpPr>
            <xdr:cNvPr id="73738" name="Check Box 10" hidden="1">
              <a:extLst>
                <a:ext uri="{63B3BB69-23CF-44E3-9099-C40C66FF867C}">
                  <a14:compatExt spid="_x0000_s73738"/>
                </a:ext>
                <a:ext uri="{FF2B5EF4-FFF2-40B4-BE49-F238E27FC236}">
                  <a16:creationId xmlns:a16="http://schemas.microsoft.com/office/drawing/2014/main" id="{00000000-0008-0000-2500-00000A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28575</xdr:colOff>
          <xdr:row>9</xdr:row>
          <xdr:rowOff>28575</xdr:rowOff>
        </xdr:from>
        <xdr:to>
          <xdr:col>39</xdr:col>
          <xdr:colOff>257175</xdr:colOff>
          <xdr:row>9</xdr:row>
          <xdr:rowOff>219075</xdr:rowOff>
        </xdr:to>
        <xdr:sp macro="" textlink="">
          <xdr:nvSpPr>
            <xdr:cNvPr id="73739" name="Check Box 11" hidden="1">
              <a:extLst>
                <a:ext uri="{63B3BB69-23CF-44E3-9099-C40C66FF867C}">
                  <a14:compatExt spid="_x0000_s73739"/>
                </a:ext>
                <a:ext uri="{FF2B5EF4-FFF2-40B4-BE49-F238E27FC236}">
                  <a16:creationId xmlns:a16="http://schemas.microsoft.com/office/drawing/2014/main" id="{00000000-0008-0000-2500-00000B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39</xdr:col>
          <xdr:colOff>38100</xdr:colOff>
          <xdr:row>10</xdr:row>
          <xdr:rowOff>28575</xdr:rowOff>
        </xdr:from>
        <xdr:to>
          <xdr:col>40</xdr:col>
          <xdr:colOff>0</xdr:colOff>
          <xdr:row>10</xdr:row>
          <xdr:rowOff>219075</xdr:rowOff>
        </xdr:to>
        <xdr:sp macro="" textlink="">
          <xdr:nvSpPr>
            <xdr:cNvPr id="73740" name="Check Box 12" hidden="1">
              <a:extLst>
                <a:ext uri="{63B3BB69-23CF-44E3-9099-C40C66FF867C}">
                  <a14:compatExt spid="_x0000_s73740"/>
                </a:ext>
                <a:ext uri="{FF2B5EF4-FFF2-40B4-BE49-F238E27FC236}">
                  <a16:creationId xmlns:a16="http://schemas.microsoft.com/office/drawing/2014/main" id="{00000000-0008-0000-2500-00000C2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32</xdr:col>
          <xdr:colOff>38100</xdr:colOff>
          <xdr:row>4</xdr:row>
          <xdr:rowOff>28575</xdr:rowOff>
        </xdr:from>
        <xdr:to>
          <xdr:col>33</xdr:col>
          <xdr:colOff>9525</xdr:colOff>
          <xdr:row>4</xdr:row>
          <xdr:rowOff>238125</xdr:rowOff>
        </xdr:to>
        <xdr:sp macro="" textlink="">
          <xdr:nvSpPr>
            <xdr:cNvPr id="74753" name="Check Box 1" hidden="1">
              <a:extLst>
                <a:ext uri="{63B3BB69-23CF-44E3-9099-C40C66FF867C}">
                  <a14:compatExt spid="_x0000_s74753"/>
                </a:ext>
                <a:ext uri="{FF2B5EF4-FFF2-40B4-BE49-F238E27FC236}">
                  <a16:creationId xmlns:a16="http://schemas.microsoft.com/office/drawing/2014/main" id="{00000000-0008-0000-2600-000001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6</xdr:row>
          <xdr:rowOff>28575</xdr:rowOff>
        </xdr:from>
        <xdr:to>
          <xdr:col>12</xdr:col>
          <xdr:colOff>257175</xdr:colOff>
          <xdr:row>6</xdr:row>
          <xdr:rowOff>238125</xdr:rowOff>
        </xdr:to>
        <xdr:sp macro="" textlink="">
          <xdr:nvSpPr>
            <xdr:cNvPr id="74754" name="Check Box 2" hidden="1">
              <a:extLst>
                <a:ext uri="{63B3BB69-23CF-44E3-9099-C40C66FF867C}">
                  <a14:compatExt spid="_x0000_s74754"/>
                </a:ext>
                <a:ext uri="{FF2B5EF4-FFF2-40B4-BE49-F238E27FC236}">
                  <a16:creationId xmlns:a16="http://schemas.microsoft.com/office/drawing/2014/main" id="{00000000-0008-0000-2600-000002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7</xdr:row>
          <xdr:rowOff>28575</xdr:rowOff>
        </xdr:from>
        <xdr:to>
          <xdr:col>12</xdr:col>
          <xdr:colOff>238125</xdr:colOff>
          <xdr:row>7</xdr:row>
          <xdr:rowOff>257175</xdr:rowOff>
        </xdr:to>
        <xdr:sp macro="" textlink="">
          <xdr:nvSpPr>
            <xdr:cNvPr id="74755" name="Check Box 3" hidden="1">
              <a:extLst>
                <a:ext uri="{63B3BB69-23CF-44E3-9099-C40C66FF867C}">
                  <a14:compatExt spid="_x0000_s74755"/>
                </a:ext>
                <a:ext uri="{FF2B5EF4-FFF2-40B4-BE49-F238E27FC236}">
                  <a16:creationId xmlns:a16="http://schemas.microsoft.com/office/drawing/2014/main" id="{00000000-0008-0000-2600-000003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xdr:row>
          <xdr:rowOff>28575</xdr:rowOff>
        </xdr:from>
        <xdr:to>
          <xdr:col>23</xdr:col>
          <xdr:colOff>0</xdr:colOff>
          <xdr:row>6</xdr:row>
          <xdr:rowOff>257175</xdr:rowOff>
        </xdr:to>
        <xdr:sp macro="" textlink="">
          <xdr:nvSpPr>
            <xdr:cNvPr id="74756" name="Check Box 4" hidden="1">
              <a:extLst>
                <a:ext uri="{63B3BB69-23CF-44E3-9099-C40C66FF867C}">
                  <a14:compatExt spid="_x0000_s74756"/>
                </a:ext>
                <a:ext uri="{FF2B5EF4-FFF2-40B4-BE49-F238E27FC236}">
                  <a16:creationId xmlns:a16="http://schemas.microsoft.com/office/drawing/2014/main" id="{00000000-0008-0000-2600-000004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7</xdr:row>
          <xdr:rowOff>28575</xdr:rowOff>
        </xdr:from>
        <xdr:to>
          <xdr:col>23</xdr:col>
          <xdr:colOff>28575</xdr:colOff>
          <xdr:row>7</xdr:row>
          <xdr:rowOff>295275</xdr:rowOff>
        </xdr:to>
        <xdr:sp macro="" textlink="">
          <xdr:nvSpPr>
            <xdr:cNvPr id="74757" name="Check Box 5" hidden="1">
              <a:extLst>
                <a:ext uri="{63B3BB69-23CF-44E3-9099-C40C66FF867C}">
                  <a14:compatExt spid="_x0000_s74757"/>
                </a:ext>
                <a:ext uri="{FF2B5EF4-FFF2-40B4-BE49-F238E27FC236}">
                  <a16:creationId xmlns:a16="http://schemas.microsoft.com/office/drawing/2014/main" id="{00000000-0008-0000-2600-000005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xdr:row>
          <xdr:rowOff>9525</xdr:rowOff>
        </xdr:from>
        <xdr:to>
          <xdr:col>32</xdr:col>
          <xdr:colOff>238125</xdr:colOff>
          <xdr:row>9</xdr:row>
          <xdr:rowOff>9525</xdr:rowOff>
        </xdr:to>
        <xdr:sp macro="" textlink="">
          <xdr:nvSpPr>
            <xdr:cNvPr id="74758" name="Check Box 6" hidden="1">
              <a:extLst>
                <a:ext uri="{63B3BB69-23CF-44E3-9099-C40C66FF867C}">
                  <a14:compatExt spid="_x0000_s74758"/>
                </a:ext>
                <a:ext uri="{FF2B5EF4-FFF2-40B4-BE49-F238E27FC236}">
                  <a16:creationId xmlns:a16="http://schemas.microsoft.com/office/drawing/2014/main" id="{00000000-0008-0000-2600-000006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10</xdr:row>
          <xdr:rowOff>47625</xdr:rowOff>
        </xdr:from>
        <xdr:to>
          <xdr:col>32</xdr:col>
          <xdr:colOff>257175</xdr:colOff>
          <xdr:row>10</xdr:row>
          <xdr:rowOff>257175</xdr:rowOff>
        </xdr:to>
        <xdr:sp macro="" textlink="">
          <xdr:nvSpPr>
            <xdr:cNvPr id="74759" name="Check Box 7" hidden="1">
              <a:extLst>
                <a:ext uri="{63B3BB69-23CF-44E3-9099-C40C66FF867C}">
                  <a14:compatExt spid="_x0000_s74759"/>
                </a:ext>
                <a:ext uri="{FF2B5EF4-FFF2-40B4-BE49-F238E27FC236}">
                  <a16:creationId xmlns:a16="http://schemas.microsoft.com/office/drawing/2014/main" id="{00000000-0008-0000-2600-000007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4</xdr:row>
          <xdr:rowOff>28575</xdr:rowOff>
        </xdr:from>
        <xdr:to>
          <xdr:col>37</xdr:col>
          <xdr:colOff>257175</xdr:colOff>
          <xdr:row>4</xdr:row>
          <xdr:rowOff>238125</xdr:rowOff>
        </xdr:to>
        <xdr:sp macro="" textlink="">
          <xdr:nvSpPr>
            <xdr:cNvPr id="74763" name="Check Box 11" hidden="1">
              <a:extLst>
                <a:ext uri="{63B3BB69-23CF-44E3-9099-C40C66FF867C}">
                  <a14:compatExt spid="_x0000_s74763"/>
                </a:ext>
                <a:ext uri="{FF2B5EF4-FFF2-40B4-BE49-F238E27FC236}">
                  <a16:creationId xmlns:a16="http://schemas.microsoft.com/office/drawing/2014/main" id="{00000000-0008-0000-2600-00000B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8</xdr:row>
          <xdr:rowOff>28575</xdr:rowOff>
        </xdr:from>
        <xdr:to>
          <xdr:col>37</xdr:col>
          <xdr:colOff>238125</xdr:colOff>
          <xdr:row>8</xdr:row>
          <xdr:rowOff>257175</xdr:rowOff>
        </xdr:to>
        <xdr:sp macro="" textlink="">
          <xdr:nvSpPr>
            <xdr:cNvPr id="74764" name="Check Box 12" hidden="1">
              <a:extLst>
                <a:ext uri="{63B3BB69-23CF-44E3-9099-C40C66FF867C}">
                  <a14:compatExt spid="_x0000_s74764"/>
                </a:ext>
                <a:ext uri="{FF2B5EF4-FFF2-40B4-BE49-F238E27FC236}">
                  <a16:creationId xmlns:a16="http://schemas.microsoft.com/office/drawing/2014/main" id="{00000000-0008-0000-2600-00000C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10</xdr:row>
          <xdr:rowOff>47625</xdr:rowOff>
        </xdr:from>
        <xdr:to>
          <xdr:col>37</xdr:col>
          <xdr:colOff>219075</xdr:colOff>
          <xdr:row>10</xdr:row>
          <xdr:rowOff>238125</xdr:rowOff>
        </xdr:to>
        <xdr:sp macro="" textlink="">
          <xdr:nvSpPr>
            <xdr:cNvPr id="74765" name="Check Box 13" hidden="1">
              <a:extLst>
                <a:ext uri="{63B3BB69-23CF-44E3-9099-C40C66FF867C}">
                  <a14:compatExt spid="_x0000_s74765"/>
                </a:ext>
                <a:ext uri="{FF2B5EF4-FFF2-40B4-BE49-F238E27FC236}">
                  <a16:creationId xmlns:a16="http://schemas.microsoft.com/office/drawing/2014/main" id="{00000000-0008-0000-2600-00000D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27</xdr:row>
          <xdr:rowOff>104775</xdr:rowOff>
        </xdr:from>
        <xdr:to>
          <xdr:col>37</xdr:col>
          <xdr:colOff>228600</xdr:colOff>
          <xdr:row>28</xdr:row>
          <xdr:rowOff>9525</xdr:rowOff>
        </xdr:to>
        <xdr:sp macro="" textlink="">
          <xdr:nvSpPr>
            <xdr:cNvPr id="74766" name="Check Box 14" hidden="1">
              <a:extLst>
                <a:ext uri="{63B3BB69-23CF-44E3-9099-C40C66FF867C}">
                  <a14:compatExt spid="_x0000_s74766"/>
                </a:ext>
                <a:ext uri="{FF2B5EF4-FFF2-40B4-BE49-F238E27FC236}">
                  <a16:creationId xmlns:a16="http://schemas.microsoft.com/office/drawing/2014/main" id="{00000000-0008-0000-2600-00000E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28</xdr:row>
          <xdr:rowOff>66675</xdr:rowOff>
        </xdr:from>
        <xdr:to>
          <xdr:col>38</xdr:col>
          <xdr:colOff>9525</xdr:colOff>
          <xdr:row>28</xdr:row>
          <xdr:rowOff>295275</xdr:rowOff>
        </xdr:to>
        <xdr:sp macro="" textlink="">
          <xdr:nvSpPr>
            <xdr:cNvPr id="74767" name="Check Box 15" hidden="1">
              <a:extLst>
                <a:ext uri="{63B3BB69-23CF-44E3-9099-C40C66FF867C}">
                  <a14:compatExt spid="_x0000_s74767"/>
                </a:ext>
                <a:ext uri="{FF2B5EF4-FFF2-40B4-BE49-F238E27FC236}">
                  <a16:creationId xmlns:a16="http://schemas.microsoft.com/office/drawing/2014/main" id="{00000000-0008-0000-2600-00000F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29</xdr:row>
          <xdr:rowOff>85725</xdr:rowOff>
        </xdr:from>
        <xdr:to>
          <xdr:col>37</xdr:col>
          <xdr:colOff>238125</xdr:colOff>
          <xdr:row>29</xdr:row>
          <xdr:rowOff>295275</xdr:rowOff>
        </xdr:to>
        <xdr:sp macro="" textlink="">
          <xdr:nvSpPr>
            <xdr:cNvPr id="74768" name="Check Box 16" hidden="1">
              <a:extLst>
                <a:ext uri="{63B3BB69-23CF-44E3-9099-C40C66FF867C}">
                  <a14:compatExt spid="_x0000_s74768"/>
                </a:ext>
                <a:ext uri="{FF2B5EF4-FFF2-40B4-BE49-F238E27FC236}">
                  <a16:creationId xmlns:a16="http://schemas.microsoft.com/office/drawing/2014/main" id="{00000000-0008-0000-2600-000010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27</xdr:row>
          <xdr:rowOff>114300</xdr:rowOff>
        </xdr:from>
        <xdr:to>
          <xdr:col>32</xdr:col>
          <xdr:colOff>228600</xdr:colOff>
          <xdr:row>28</xdr:row>
          <xdr:rowOff>9525</xdr:rowOff>
        </xdr:to>
        <xdr:sp macro="" textlink="">
          <xdr:nvSpPr>
            <xdr:cNvPr id="74769" name="Check Box 17" hidden="1">
              <a:extLst>
                <a:ext uri="{63B3BB69-23CF-44E3-9099-C40C66FF867C}">
                  <a14:compatExt spid="_x0000_s74769"/>
                </a:ext>
                <a:ext uri="{FF2B5EF4-FFF2-40B4-BE49-F238E27FC236}">
                  <a16:creationId xmlns:a16="http://schemas.microsoft.com/office/drawing/2014/main" id="{00000000-0008-0000-2600-000011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28</xdr:row>
          <xdr:rowOff>47625</xdr:rowOff>
        </xdr:from>
        <xdr:to>
          <xdr:col>33</xdr:col>
          <xdr:colOff>9525</xdr:colOff>
          <xdr:row>28</xdr:row>
          <xdr:rowOff>295275</xdr:rowOff>
        </xdr:to>
        <xdr:sp macro="" textlink="">
          <xdr:nvSpPr>
            <xdr:cNvPr id="74770" name="Check Box 18" hidden="1">
              <a:extLst>
                <a:ext uri="{63B3BB69-23CF-44E3-9099-C40C66FF867C}">
                  <a14:compatExt spid="_x0000_s74770"/>
                </a:ext>
                <a:ext uri="{FF2B5EF4-FFF2-40B4-BE49-F238E27FC236}">
                  <a16:creationId xmlns:a16="http://schemas.microsoft.com/office/drawing/2014/main" id="{00000000-0008-0000-2600-000012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47625</xdr:colOff>
          <xdr:row>29</xdr:row>
          <xdr:rowOff>66675</xdr:rowOff>
        </xdr:from>
        <xdr:to>
          <xdr:col>33</xdr:col>
          <xdr:colOff>28575</xdr:colOff>
          <xdr:row>30</xdr:row>
          <xdr:rowOff>9525</xdr:rowOff>
        </xdr:to>
        <xdr:sp macro="" textlink="">
          <xdr:nvSpPr>
            <xdr:cNvPr id="74771" name="Check Box 19" hidden="1">
              <a:extLst>
                <a:ext uri="{63B3BB69-23CF-44E3-9099-C40C66FF867C}">
                  <a14:compatExt spid="_x0000_s74771"/>
                </a:ext>
                <a:ext uri="{FF2B5EF4-FFF2-40B4-BE49-F238E27FC236}">
                  <a16:creationId xmlns:a16="http://schemas.microsoft.com/office/drawing/2014/main" id="{00000000-0008-0000-2600-0000132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28575</xdr:colOff>
          <xdr:row>4</xdr:row>
          <xdr:rowOff>28575</xdr:rowOff>
        </xdr:from>
        <xdr:to>
          <xdr:col>18</xdr:col>
          <xdr:colOff>219075</xdr:colOff>
          <xdr:row>4</xdr:row>
          <xdr:rowOff>257175</xdr:rowOff>
        </xdr:to>
        <xdr:sp macro="" textlink="">
          <xdr:nvSpPr>
            <xdr:cNvPr id="75777" name="Check Box 1" hidden="1">
              <a:extLst>
                <a:ext uri="{63B3BB69-23CF-44E3-9099-C40C66FF867C}">
                  <a14:compatExt spid="_x0000_s75777"/>
                </a:ext>
                <a:ext uri="{FF2B5EF4-FFF2-40B4-BE49-F238E27FC236}">
                  <a16:creationId xmlns:a16="http://schemas.microsoft.com/office/drawing/2014/main" id="{00000000-0008-0000-2700-000001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6</xdr:row>
          <xdr:rowOff>28575</xdr:rowOff>
        </xdr:from>
        <xdr:to>
          <xdr:col>8</xdr:col>
          <xdr:colOff>200025</xdr:colOff>
          <xdr:row>6</xdr:row>
          <xdr:rowOff>219075</xdr:rowOff>
        </xdr:to>
        <xdr:sp macro="" textlink="">
          <xdr:nvSpPr>
            <xdr:cNvPr id="75778" name="Check Box 2" hidden="1">
              <a:extLst>
                <a:ext uri="{63B3BB69-23CF-44E3-9099-C40C66FF867C}">
                  <a14:compatExt spid="_x0000_s75778"/>
                </a:ext>
                <a:ext uri="{FF2B5EF4-FFF2-40B4-BE49-F238E27FC236}">
                  <a16:creationId xmlns:a16="http://schemas.microsoft.com/office/drawing/2014/main" id="{00000000-0008-0000-2700-000002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7</xdr:row>
          <xdr:rowOff>9525</xdr:rowOff>
        </xdr:from>
        <xdr:to>
          <xdr:col>8</xdr:col>
          <xdr:colOff>200025</xdr:colOff>
          <xdr:row>7</xdr:row>
          <xdr:rowOff>238125</xdr:rowOff>
        </xdr:to>
        <xdr:sp macro="" textlink="">
          <xdr:nvSpPr>
            <xdr:cNvPr id="75779" name="Check Box 3" hidden="1">
              <a:extLst>
                <a:ext uri="{63B3BB69-23CF-44E3-9099-C40C66FF867C}">
                  <a14:compatExt spid="_x0000_s75779"/>
                </a:ext>
                <a:ext uri="{FF2B5EF4-FFF2-40B4-BE49-F238E27FC236}">
                  <a16:creationId xmlns:a16="http://schemas.microsoft.com/office/drawing/2014/main" id="{00000000-0008-0000-2700-000003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xdr:row>
          <xdr:rowOff>28575</xdr:rowOff>
        </xdr:from>
        <xdr:to>
          <xdr:col>16</xdr:col>
          <xdr:colOff>238125</xdr:colOff>
          <xdr:row>6</xdr:row>
          <xdr:rowOff>200025</xdr:rowOff>
        </xdr:to>
        <xdr:sp macro="" textlink="">
          <xdr:nvSpPr>
            <xdr:cNvPr id="75780" name="Check Box 4" hidden="1">
              <a:extLst>
                <a:ext uri="{63B3BB69-23CF-44E3-9099-C40C66FF867C}">
                  <a14:compatExt spid="_x0000_s75780"/>
                </a:ext>
                <a:ext uri="{FF2B5EF4-FFF2-40B4-BE49-F238E27FC236}">
                  <a16:creationId xmlns:a16="http://schemas.microsoft.com/office/drawing/2014/main" id="{00000000-0008-0000-2700-000004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xdr:row>
          <xdr:rowOff>28575</xdr:rowOff>
        </xdr:from>
        <xdr:to>
          <xdr:col>16</xdr:col>
          <xdr:colOff>257175</xdr:colOff>
          <xdr:row>8</xdr:row>
          <xdr:rowOff>0</xdr:rowOff>
        </xdr:to>
        <xdr:sp macro="" textlink="">
          <xdr:nvSpPr>
            <xdr:cNvPr id="75781" name="Check Box 5" hidden="1">
              <a:extLst>
                <a:ext uri="{63B3BB69-23CF-44E3-9099-C40C66FF867C}">
                  <a14:compatExt spid="_x0000_s75781"/>
                </a:ext>
                <a:ext uri="{FF2B5EF4-FFF2-40B4-BE49-F238E27FC236}">
                  <a16:creationId xmlns:a16="http://schemas.microsoft.com/office/drawing/2014/main" id="{00000000-0008-0000-2700-000005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xdr:row>
          <xdr:rowOff>9525</xdr:rowOff>
        </xdr:from>
        <xdr:to>
          <xdr:col>23</xdr:col>
          <xdr:colOff>238125</xdr:colOff>
          <xdr:row>6</xdr:row>
          <xdr:rowOff>238125</xdr:rowOff>
        </xdr:to>
        <xdr:sp macro="" textlink="">
          <xdr:nvSpPr>
            <xdr:cNvPr id="75782" name="Check Box 6" hidden="1">
              <a:extLst>
                <a:ext uri="{63B3BB69-23CF-44E3-9099-C40C66FF867C}">
                  <a14:compatExt spid="_x0000_s75782"/>
                </a:ext>
                <a:ext uri="{FF2B5EF4-FFF2-40B4-BE49-F238E27FC236}">
                  <a16:creationId xmlns:a16="http://schemas.microsoft.com/office/drawing/2014/main" id="{00000000-0008-0000-2700-000006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xdr:row>
          <xdr:rowOff>28575</xdr:rowOff>
        </xdr:from>
        <xdr:to>
          <xdr:col>23</xdr:col>
          <xdr:colOff>266700</xdr:colOff>
          <xdr:row>7</xdr:row>
          <xdr:rowOff>238125</xdr:rowOff>
        </xdr:to>
        <xdr:sp macro="" textlink="">
          <xdr:nvSpPr>
            <xdr:cNvPr id="75783" name="Check Box 7" hidden="1">
              <a:extLst>
                <a:ext uri="{63B3BB69-23CF-44E3-9099-C40C66FF867C}">
                  <a14:compatExt spid="_x0000_s75783"/>
                </a:ext>
                <a:ext uri="{FF2B5EF4-FFF2-40B4-BE49-F238E27FC236}">
                  <a16:creationId xmlns:a16="http://schemas.microsoft.com/office/drawing/2014/main" id="{00000000-0008-0000-2700-000007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xdr:row>
          <xdr:rowOff>28575</xdr:rowOff>
        </xdr:from>
        <xdr:to>
          <xdr:col>32</xdr:col>
          <xdr:colOff>257175</xdr:colOff>
          <xdr:row>6</xdr:row>
          <xdr:rowOff>238125</xdr:rowOff>
        </xdr:to>
        <xdr:sp macro="" textlink="">
          <xdr:nvSpPr>
            <xdr:cNvPr id="75784" name="Check Box 8" hidden="1">
              <a:extLst>
                <a:ext uri="{63B3BB69-23CF-44E3-9099-C40C66FF867C}">
                  <a14:compatExt spid="_x0000_s75784"/>
                </a:ext>
                <a:ext uri="{FF2B5EF4-FFF2-40B4-BE49-F238E27FC236}">
                  <a16:creationId xmlns:a16="http://schemas.microsoft.com/office/drawing/2014/main" id="{00000000-0008-0000-2700-000008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xdr:row>
          <xdr:rowOff>0</xdr:rowOff>
        </xdr:from>
        <xdr:to>
          <xdr:col>33</xdr:col>
          <xdr:colOff>9525</xdr:colOff>
          <xdr:row>7</xdr:row>
          <xdr:rowOff>257175</xdr:rowOff>
        </xdr:to>
        <xdr:sp macro="" textlink="">
          <xdr:nvSpPr>
            <xdr:cNvPr id="75785" name="Check Box 9" hidden="1">
              <a:extLst>
                <a:ext uri="{63B3BB69-23CF-44E3-9099-C40C66FF867C}">
                  <a14:compatExt spid="_x0000_s75785"/>
                </a:ext>
                <a:ext uri="{FF2B5EF4-FFF2-40B4-BE49-F238E27FC236}">
                  <a16:creationId xmlns:a16="http://schemas.microsoft.com/office/drawing/2014/main" id="{00000000-0008-0000-2700-000009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10</xdr:row>
          <xdr:rowOff>28575</xdr:rowOff>
        </xdr:from>
        <xdr:to>
          <xdr:col>8</xdr:col>
          <xdr:colOff>238125</xdr:colOff>
          <xdr:row>10</xdr:row>
          <xdr:rowOff>238125</xdr:rowOff>
        </xdr:to>
        <xdr:sp macro="" textlink="">
          <xdr:nvSpPr>
            <xdr:cNvPr id="75786" name="Check Box 10" hidden="1">
              <a:extLst>
                <a:ext uri="{63B3BB69-23CF-44E3-9099-C40C66FF867C}">
                  <a14:compatExt spid="_x0000_s75786"/>
                </a:ext>
                <a:ext uri="{FF2B5EF4-FFF2-40B4-BE49-F238E27FC236}">
                  <a16:creationId xmlns:a16="http://schemas.microsoft.com/office/drawing/2014/main" id="{00000000-0008-0000-2700-00000A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28575</xdr:colOff>
          <xdr:row>11</xdr:row>
          <xdr:rowOff>28575</xdr:rowOff>
        </xdr:from>
        <xdr:to>
          <xdr:col>11</xdr:col>
          <xdr:colOff>257175</xdr:colOff>
          <xdr:row>11</xdr:row>
          <xdr:rowOff>257175</xdr:rowOff>
        </xdr:to>
        <xdr:sp macro="" textlink="">
          <xdr:nvSpPr>
            <xdr:cNvPr id="75787" name="Check Box 11" hidden="1">
              <a:extLst>
                <a:ext uri="{63B3BB69-23CF-44E3-9099-C40C66FF867C}">
                  <a14:compatExt spid="_x0000_s75787"/>
                </a:ext>
                <a:ext uri="{FF2B5EF4-FFF2-40B4-BE49-F238E27FC236}">
                  <a16:creationId xmlns:a16="http://schemas.microsoft.com/office/drawing/2014/main" id="{00000000-0008-0000-2700-00000B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11</xdr:row>
          <xdr:rowOff>28575</xdr:rowOff>
        </xdr:from>
        <xdr:to>
          <xdr:col>16</xdr:col>
          <xdr:colOff>257175</xdr:colOff>
          <xdr:row>11</xdr:row>
          <xdr:rowOff>238125</xdr:rowOff>
        </xdr:to>
        <xdr:sp macro="" textlink="">
          <xdr:nvSpPr>
            <xdr:cNvPr id="75788" name="Check Box 12" hidden="1">
              <a:extLst>
                <a:ext uri="{63B3BB69-23CF-44E3-9099-C40C66FF867C}">
                  <a14:compatExt spid="_x0000_s75788"/>
                </a:ext>
                <a:ext uri="{FF2B5EF4-FFF2-40B4-BE49-F238E27FC236}">
                  <a16:creationId xmlns:a16="http://schemas.microsoft.com/office/drawing/2014/main" id="{00000000-0008-0000-2700-00000C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11</xdr:row>
          <xdr:rowOff>28575</xdr:rowOff>
        </xdr:from>
        <xdr:to>
          <xdr:col>23</xdr:col>
          <xdr:colOff>257175</xdr:colOff>
          <xdr:row>11</xdr:row>
          <xdr:rowOff>238125</xdr:rowOff>
        </xdr:to>
        <xdr:sp macro="" textlink="">
          <xdr:nvSpPr>
            <xdr:cNvPr id="75789" name="Check Box 13" hidden="1">
              <a:extLst>
                <a:ext uri="{63B3BB69-23CF-44E3-9099-C40C66FF867C}">
                  <a14:compatExt spid="_x0000_s75789"/>
                </a:ext>
                <a:ext uri="{FF2B5EF4-FFF2-40B4-BE49-F238E27FC236}">
                  <a16:creationId xmlns:a16="http://schemas.microsoft.com/office/drawing/2014/main" id="{00000000-0008-0000-2700-00000D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38100</xdr:colOff>
          <xdr:row>11</xdr:row>
          <xdr:rowOff>28575</xdr:rowOff>
        </xdr:from>
        <xdr:to>
          <xdr:col>29</xdr:col>
          <xdr:colOff>238125</xdr:colOff>
          <xdr:row>12</xdr:row>
          <xdr:rowOff>0</xdr:rowOff>
        </xdr:to>
        <xdr:sp macro="" textlink="">
          <xdr:nvSpPr>
            <xdr:cNvPr id="75790" name="Check Box 14" hidden="1">
              <a:extLst>
                <a:ext uri="{63B3BB69-23CF-44E3-9099-C40C66FF867C}">
                  <a14:compatExt spid="_x0000_s75790"/>
                </a:ext>
                <a:ext uri="{FF2B5EF4-FFF2-40B4-BE49-F238E27FC236}">
                  <a16:creationId xmlns:a16="http://schemas.microsoft.com/office/drawing/2014/main" id="{00000000-0008-0000-2700-00000E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12</xdr:row>
          <xdr:rowOff>28575</xdr:rowOff>
        </xdr:from>
        <xdr:to>
          <xdr:col>8</xdr:col>
          <xdr:colOff>238125</xdr:colOff>
          <xdr:row>12</xdr:row>
          <xdr:rowOff>219075</xdr:rowOff>
        </xdr:to>
        <xdr:sp macro="" textlink="">
          <xdr:nvSpPr>
            <xdr:cNvPr id="75791" name="Check Box 15" hidden="1">
              <a:extLst>
                <a:ext uri="{63B3BB69-23CF-44E3-9099-C40C66FF867C}">
                  <a14:compatExt spid="_x0000_s75791"/>
                </a:ext>
                <a:ext uri="{FF2B5EF4-FFF2-40B4-BE49-F238E27FC236}">
                  <a16:creationId xmlns:a16="http://schemas.microsoft.com/office/drawing/2014/main" id="{00000000-0008-0000-2700-00000F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13</xdr:row>
          <xdr:rowOff>28575</xdr:rowOff>
        </xdr:from>
        <xdr:to>
          <xdr:col>8</xdr:col>
          <xdr:colOff>257175</xdr:colOff>
          <xdr:row>13</xdr:row>
          <xdr:rowOff>219075</xdr:rowOff>
        </xdr:to>
        <xdr:sp macro="" textlink="">
          <xdr:nvSpPr>
            <xdr:cNvPr id="75792" name="Check Box 16" hidden="1">
              <a:extLst>
                <a:ext uri="{63B3BB69-23CF-44E3-9099-C40C66FF867C}">
                  <a14:compatExt spid="_x0000_s75792"/>
                </a:ext>
                <a:ext uri="{FF2B5EF4-FFF2-40B4-BE49-F238E27FC236}">
                  <a16:creationId xmlns:a16="http://schemas.microsoft.com/office/drawing/2014/main" id="{00000000-0008-0000-2700-000010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14</xdr:row>
          <xdr:rowOff>28575</xdr:rowOff>
        </xdr:from>
        <xdr:to>
          <xdr:col>8</xdr:col>
          <xdr:colOff>257175</xdr:colOff>
          <xdr:row>14</xdr:row>
          <xdr:rowOff>238125</xdr:rowOff>
        </xdr:to>
        <xdr:sp macro="" textlink="">
          <xdr:nvSpPr>
            <xdr:cNvPr id="75793" name="Check Box 17" hidden="1">
              <a:extLst>
                <a:ext uri="{63B3BB69-23CF-44E3-9099-C40C66FF867C}">
                  <a14:compatExt spid="_x0000_s75793"/>
                </a:ext>
                <a:ext uri="{FF2B5EF4-FFF2-40B4-BE49-F238E27FC236}">
                  <a16:creationId xmlns:a16="http://schemas.microsoft.com/office/drawing/2014/main" id="{00000000-0008-0000-2700-000011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15</xdr:row>
          <xdr:rowOff>28575</xdr:rowOff>
        </xdr:from>
        <xdr:to>
          <xdr:col>8</xdr:col>
          <xdr:colOff>257175</xdr:colOff>
          <xdr:row>15</xdr:row>
          <xdr:rowOff>228600</xdr:rowOff>
        </xdr:to>
        <xdr:sp macro="" textlink="">
          <xdr:nvSpPr>
            <xdr:cNvPr id="75794" name="Check Box 18" hidden="1">
              <a:extLst>
                <a:ext uri="{63B3BB69-23CF-44E3-9099-C40C66FF867C}">
                  <a14:compatExt spid="_x0000_s75794"/>
                </a:ext>
                <a:ext uri="{FF2B5EF4-FFF2-40B4-BE49-F238E27FC236}">
                  <a16:creationId xmlns:a16="http://schemas.microsoft.com/office/drawing/2014/main" id="{00000000-0008-0000-2700-000012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16</xdr:row>
          <xdr:rowOff>9525</xdr:rowOff>
        </xdr:from>
        <xdr:to>
          <xdr:col>8</xdr:col>
          <xdr:colOff>219075</xdr:colOff>
          <xdr:row>16</xdr:row>
          <xdr:rowOff>257175</xdr:rowOff>
        </xdr:to>
        <xdr:sp macro="" textlink="">
          <xdr:nvSpPr>
            <xdr:cNvPr id="75795" name="Check Box 19" hidden="1">
              <a:extLst>
                <a:ext uri="{63B3BB69-23CF-44E3-9099-C40C66FF867C}">
                  <a14:compatExt spid="_x0000_s75795"/>
                </a:ext>
                <a:ext uri="{FF2B5EF4-FFF2-40B4-BE49-F238E27FC236}">
                  <a16:creationId xmlns:a16="http://schemas.microsoft.com/office/drawing/2014/main" id="{00000000-0008-0000-2700-000013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17</xdr:row>
          <xdr:rowOff>28575</xdr:rowOff>
        </xdr:from>
        <xdr:to>
          <xdr:col>25</xdr:col>
          <xdr:colOff>9525</xdr:colOff>
          <xdr:row>17</xdr:row>
          <xdr:rowOff>238125</xdr:rowOff>
        </xdr:to>
        <xdr:sp macro="" textlink="">
          <xdr:nvSpPr>
            <xdr:cNvPr id="75796" name="Check Box 20" hidden="1">
              <a:extLst>
                <a:ext uri="{63B3BB69-23CF-44E3-9099-C40C66FF867C}">
                  <a14:compatExt spid="_x0000_s75796"/>
                </a:ext>
                <a:ext uri="{FF2B5EF4-FFF2-40B4-BE49-F238E27FC236}">
                  <a16:creationId xmlns:a16="http://schemas.microsoft.com/office/drawing/2014/main" id="{00000000-0008-0000-2700-000014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19</xdr:row>
          <xdr:rowOff>9525</xdr:rowOff>
        </xdr:from>
        <xdr:to>
          <xdr:col>8</xdr:col>
          <xdr:colOff>238125</xdr:colOff>
          <xdr:row>19</xdr:row>
          <xdr:rowOff>238125</xdr:rowOff>
        </xdr:to>
        <xdr:sp macro="" textlink="">
          <xdr:nvSpPr>
            <xdr:cNvPr id="75797" name="Check Box 21" hidden="1">
              <a:extLst>
                <a:ext uri="{63B3BB69-23CF-44E3-9099-C40C66FF867C}">
                  <a14:compatExt spid="_x0000_s75797"/>
                </a:ext>
                <a:ext uri="{FF2B5EF4-FFF2-40B4-BE49-F238E27FC236}">
                  <a16:creationId xmlns:a16="http://schemas.microsoft.com/office/drawing/2014/main" id="{00000000-0008-0000-2700-000015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20</xdr:row>
          <xdr:rowOff>9525</xdr:rowOff>
        </xdr:from>
        <xdr:to>
          <xdr:col>9</xdr:col>
          <xdr:colOff>28575</xdr:colOff>
          <xdr:row>20</xdr:row>
          <xdr:rowOff>238125</xdr:rowOff>
        </xdr:to>
        <xdr:sp macro="" textlink="">
          <xdr:nvSpPr>
            <xdr:cNvPr id="75798" name="Check Box 22" hidden="1">
              <a:extLst>
                <a:ext uri="{63B3BB69-23CF-44E3-9099-C40C66FF867C}">
                  <a14:compatExt spid="_x0000_s75798"/>
                </a:ext>
                <a:ext uri="{FF2B5EF4-FFF2-40B4-BE49-F238E27FC236}">
                  <a16:creationId xmlns:a16="http://schemas.microsoft.com/office/drawing/2014/main" id="{00000000-0008-0000-2700-000016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19</xdr:row>
          <xdr:rowOff>28575</xdr:rowOff>
        </xdr:from>
        <xdr:to>
          <xdr:col>16</xdr:col>
          <xdr:colOff>266700</xdr:colOff>
          <xdr:row>20</xdr:row>
          <xdr:rowOff>0</xdr:rowOff>
        </xdr:to>
        <xdr:sp macro="" textlink="">
          <xdr:nvSpPr>
            <xdr:cNvPr id="75799" name="Check Box 23" hidden="1">
              <a:extLst>
                <a:ext uri="{63B3BB69-23CF-44E3-9099-C40C66FF867C}">
                  <a14:compatExt spid="_x0000_s75799"/>
                </a:ext>
                <a:ext uri="{FF2B5EF4-FFF2-40B4-BE49-F238E27FC236}">
                  <a16:creationId xmlns:a16="http://schemas.microsoft.com/office/drawing/2014/main" id="{00000000-0008-0000-2700-000017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20</xdr:row>
          <xdr:rowOff>9525</xdr:rowOff>
        </xdr:from>
        <xdr:to>
          <xdr:col>17</xdr:col>
          <xdr:colOff>9525</xdr:colOff>
          <xdr:row>20</xdr:row>
          <xdr:rowOff>219075</xdr:rowOff>
        </xdr:to>
        <xdr:sp macro="" textlink="">
          <xdr:nvSpPr>
            <xdr:cNvPr id="75800" name="Check Box 24" hidden="1">
              <a:extLst>
                <a:ext uri="{63B3BB69-23CF-44E3-9099-C40C66FF867C}">
                  <a14:compatExt spid="_x0000_s75800"/>
                </a:ext>
                <a:ext uri="{FF2B5EF4-FFF2-40B4-BE49-F238E27FC236}">
                  <a16:creationId xmlns:a16="http://schemas.microsoft.com/office/drawing/2014/main" id="{00000000-0008-0000-2700-000018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19</xdr:row>
          <xdr:rowOff>9525</xdr:rowOff>
        </xdr:from>
        <xdr:to>
          <xdr:col>23</xdr:col>
          <xdr:colOff>200025</xdr:colOff>
          <xdr:row>19</xdr:row>
          <xdr:rowOff>257175</xdr:rowOff>
        </xdr:to>
        <xdr:sp macro="" textlink="">
          <xdr:nvSpPr>
            <xdr:cNvPr id="75801" name="Check Box 25" hidden="1">
              <a:extLst>
                <a:ext uri="{63B3BB69-23CF-44E3-9099-C40C66FF867C}">
                  <a14:compatExt spid="_x0000_s75801"/>
                </a:ext>
                <a:ext uri="{FF2B5EF4-FFF2-40B4-BE49-F238E27FC236}">
                  <a16:creationId xmlns:a16="http://schemas.microsoft.com/office/drawing/2014/main" id="{00000000-0008-0000-2700-000019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19</xdr:row>
          <xdr:rowOff>257175</xdr:rowOff>
        </xdr:from>
        <xdr:to>
          <xdr:col>24</xdr:col>
          <xdr:colOff>9525</xdr:colOff>
          <xdr:row>20</xdr:row>
          <xdr:rowOff>228600</xdr:rowOff>
        </xdr:to>
        <xdr:sp macro="" textlink="">
          <xdr:nvSpPr>
            <xdr:cNvPr id="75802" name="Check Box 26" hidden="1">
              <a:extLst>
                <a:ext uri="{63B3BB69-23CF-44E3-9099-C40C66FF867C}">
                  <a14:compatExt spid="_x0000_s75802"/>
                </a:ext>
                <a:ext uri="{FF2B5EF4-FFF2-40B4-BE49-F238E27FC236}">
                  <a16:creationId xmlns:a16="http://schemas.microsoft.com/office/drawing/2014/main" id="{00000000-0008-0000-2700-00001A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19</xdr:row>
          <xdr:rowOff>9525</xdr:rowOff>
        </xdr:from>
        <xdr:to>
          <xdr:col>33</xdr:col>
          <xdr:colOff>9525</xdr:colOff>
          <xdr:row>19</xdr:row>
          <xdr:rowOff>238125</xdr:rowOff>
        </xdr:to>
        <xdr:sp macro="" textlink="">
          <xdr:nvSpPr>
            <xdr:cNvPr id="75803" name="Check Box 27" hidden="1">
              <a:extLst>
                <a:ext uri="{63B3BB69-23CF-44E3-9099-C40C66FF867C}">
                  <a14:compatExt spid="_x0000_s75803"/>
                </a:ext>
                <a:ext uri="{FF2B5EF4-FFF2-40B4-BE49-F238E27FC236}">
                  <a16:creationId xmlns:a16="http://schemas.microsoft.com/office/drawing/2014/main" id="{00000000-0008-0000-2700-00001B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26</xdr:row>
          <xdr:rowOff>9525</xdr:rowOff>
        </xdr:from>
        <xdr:to>
          <xdr:col>15</xdr:col>
          <xdr:colOff>9525</xdr:colOff>
          <xdr:row>27</xdr:row>
          <xdr:rowOff>0</xdr:rowOff>
        </xdr:to>
        <xdr:sp macro="" textlink="">
          <xdr:nvSpPr>
            <xdr:cNvPr id="75804" name="Check Box 28" hidden="1">
              <a:extLst>
                <a:ext uri="{63B3BB69-23CF-44E3-9099-C40C66FF867C}">
                  <a14:compatExt spid="_x0000_s75804"/>
                </a:ext>
                <a:ext uri="{FF2B5EF4-FFF2-40B4-BE49-F238E27FC236}">
                  <a16:creationId xmlns:a16="http://schemas.microsoft.com/office/drawing/2014/main" id="{00000000-0008-0000-2700-00001C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29</xdr:row>
          <xdr:rowOff>123825</xdr:rowOff>
        </xdr:from>
        <xdr:to>
          <xdr:col>8</xdr:col>
          <xdr:colOff>219075</xdr:colOff>
          <xdr:row>29</xdr:row>
          <xdr:rowOff>352425</xdr:rowOff>
        </xdr:to>
        <xdr:sp macro="" textlink="">
          <xdr:nvSpPr>
            <xdr:cNvPr id="75805" name="Check Box 29" hidden="1">
              <a:extLst>
                <a:ext uri="{63B3BB69-23CF-44E3-9099-C40C66FF867C}">
                  <a14:compatExt spid="_x0000_s75805"/>
                </a:ext>
                <a:ext uri="{FF2B5EF4-FFF2-40B4-BE49-F238E27FC236}">
                  <a16:creationId xmlns:a16="http://schemas.microsoft.com/office/drawing/2014/main" id="{00000000-0008-0000-2700-00001D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31</xdr:row>
          <xdr:rowOff>114300</xdr:rowOff>
        </xdr:from>
        <xdr:to>
          <xdr:col>8</xdr:col>
          <xdr:colOff>257175</xdr:colOff>
          <xdr:row>31</xdr:row>
          <xdr:rowOff>333375</xdr:rowOff>
        </xdr:to>
        <xdr:sp macro="" textlink="">
          <xdr:nvSpPr>
            <xdr:cNvPr id="75806" name="Check Box 30" hidden="1">
              <a:extLst>
                <a:ext uri="{63B3BB69-23CF-44E3-9099-C40C66FF867C}">
                  <a14:compatExt spid="_x0000_s75806"/>
                </a:ext>
                <a:ext uri="{FF2B5EF4-FFF2-40B4-BE49-F238E27FC236}">
                  <a16:creationId xmlns:a16="http://schemas.microsoft.com/office/drawing/2014/main" id="{00000000-0008-0000-2700-00001E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33</xdr:row>
          <xdr:rowOff>66675</xdr:rowOff>
        </xdr:from>
        <xdr:to>
          <xdr:col>8</xdr:col>
          <xdr:colOff>257175</xdr:colOff>
          <xdr:row>33</xdr:row>
          <xdr:rowOff>276225</xdr:rowOff>
        </xdr:to>
        <xdr:sp macro="" textlink="">
          <xdr:nvSpPr>
            <xdr:cNvPr id="75807" name="Check Box 31" hidden="1">
              <a:extLst>
                <a:ext uri="{63B3BB69-23CF-44E3-9099-C40C66FF867C}">
                  <a14:compatExt spid="_x0000_s75807"/>
                </a:ext>
                <a:ext uri="{FF2B5EF4-FFF2-40B4-BE49-F238E27FC236}">
                  <a16:creationId xmlns:a16="http://schemas.microsoft.com/office/drawing/2014/main" id="{00000000-0008-0000-2700-00001F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29</xdr:row>
          <xdr:rowOff>142875</xdr:rowOff>
        </xdr:from>
        <xdr:to>
          <xdr:col>33</xdr:col>
          <xdr:colOff>257175</xdr:colOff>
          <xdr:row>29</xdr:row>
          <xdr:rowOff>342900</xdr:rowOff>
        </xdr:to>
        <xdr:sp macro="" textlink="">
          <xdr:nvSpPr>
            <xdr:cNvPr id="75808" name="Check Box 32" hidden="1">
              <a:extLst>
                <a:ext uri="{63B3BB69-23CF-44E3-9099-C40C66FF867C}">
                  <a14:compatExt spid="_x0000_s75808"/>
                </a:ext>
                <a:ext uri="{FF2B5EF4-FFF2-40B4-BE49-F238E27FC236}">
                  <a16:creationId xmlns:a16="http://schemas.microsoft.com/office/drawing/2014/main" id="{00000000-0008-0000-2700-000020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38100</xdr:colOff>
          <xdr:row>31</xdr:row>
          <xdr:rowOff>123825</xdr:rowOff>
        </xdr:from>
        <xdr:to>
          <xdr:col>33</xdr:col>
          <xdr:colOff>266700</xdr:colOff>
          <xdr:row>31</xdr:row>
          <xdr:rowOff>333375</xdr:rowOff>
        </xdr:to>
        <xdr:sp macro="" textlink="">
          <xdr:nvSpPr>
            <xdr:cNvPr id="75809" name="Check Box 33" hidden="1">
              <a:extLst>
                <a:ext uri="{63B3BB69-23CF-44E3-9099-C40C66FF867C}">
                  <a14:compatExt spid="_x0000_s75809"/>
                </a:ext>
                <a:ext uri="{FF2B5EF4-FFF2-40B4-BE49-F238E27FC236}">
                  <a16:creationId xmlns:a16="http://schemas.microsoft.com/office/drawing/2014/main" id="{00000000-0008-0000-2700-000021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34</xdr:row>
          <xdr:rowOff>47625</xdr:rowOff>
        </xdr:from>
        <xdr:to>
          <xdr:col>33</xdr:col>
          <xdr:colOff>266700</xdr:colOff>
          <xdr:row>34</xdr:row>
          <xdr:rowOff>276225</xdr:rowOff>
        </xdr:to>
        <xdr:sp macro="" textlink="">
          <xdr:nvSpPr>
            <xdr:cNvPr id="75810" name="Check Box 34" hidden="1">
              <a:extLst>
                <a:ext uri="{63B3BB69-23CF-44E3-9099-C40C66FF867C}">
                  <a14:compatExt spid="_x0000_s75810"/>
                </a:ext>
                <a:ext uri="{FF2B5EF4-FFF2-40B4-BE49-F238E27FC236}">
                  <a16:creationId xmlns:a16="http://schemas.microsoft.com/office/drawing/2014/main" id="{00000000-0008-0000-2700-000022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xdr:row>
          <xdr:rowOff>38100</xdr:rowOff>
        </xdr:from>
        <xdr:to>
          <xdr:col>23</xdr:col>
          <xdr:colOff>238125</xdr:colOff>
          <xdr:row>5</xdr:row>
          <xdr:rowOff>9525</xdr:rowOff>
        </xdr:to>
        <xdr:sp macro="" textlink="">
          <xdr:nvSpPr>
            <xdr:cNvPr id="75811" name="Check Box 35" hidden="1">
              <a:extLst>
                <a:ext uri="{63B3BB69-23CF-44E3-9099-C40C66FF867C}">
                  <a14:compatExt spid="_x0000_s75811"/>
                </a:ext>
                <a:ext uri="{FF2B5EF4-FFF2-40B4-BE49-F238E27FC236}">
                  <a16:creationId xmlns:a16="http://schemas.microsoft.com/office/drawing/2014/main" id="{00000000-0008-0000-2700-000023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26</xdr:row>
          <xdr:rowOff>28575</xdr:rowOff>
        </xdr:from>
        <xdr:to>
          <xdr:col>20</xdr:col>
          <xdr:colOff>0</xdr:colOff>
          <xdr:row>27</xdr:row>
          <xdr:rowOff>0</xdr:rowOff>
        </xdr:to>
        <xdr:sp macro="" textlink="">
          <xdr:nvSpPr>
            <xdr:cNvPr id="75812" name="Check Box 36" hidden="1">
              <a:extLst>
                <a:ext uri="{63B3BB69-23CF-44E3-9099-C40C66FF867C}">
                  <a14:compatExt spid="_x0000_s75812"/>
                </a:ext>
                <a:ext uri="{FF2B5EF4-FFF2-40B4-BE49-F238E27FC236}">
                  <a16:creationId xmlns:a16="http://schemas.microsoft.com/office/drawing/2014/main" id="{00000000-0008-0000-2700-000024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38100</xdr:colOff>
          <xdr:row>29</xdr:row>
          <xdr:rowOff>142875</xdr:rowOff>
        </xdr:from>
        <xdr:to>
          <xdr:col>38</xdr:col>
          <xdr:colOff>257175</xdr:colOff>
          <xdr:row>29</xdr:row>
          <xdr:rowOff>333375</xdr:rowOff>
        </xdr:to>
        <xdr:sp macro="" textlink="">
          <xdr:nvSpPr>
            <xdr:cNvPr id="75813" name="Check Box 37" hidden="1">
              <a:extLst>
                <a:ext uri="{63B3BB69-23CF-44E3-9099-C40C66FF867C}">
                  <a14:compatExt spid="_x0000_s75813"/>
                </a:ext>
                <a:ext uri="{FF2B5EF4-FFF2-40B4-BE49-F238E27FC236}">
                  <a16:creationId xmlns:a16="http://schemas.microsoft.com/office/drawing/2014/main" id="{00000000-0008-0000-2700-000025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28575</xdr:colOff>
          <xdr:row>31</xdr:row>
          <xdr:rowOff>123825</xdr:rowOff>
        </xdr:from>
        <xdr:to>
          <xdr:col>39</xdr:col>
          <xdr:colOff>0</xdr:colOff>
          <xdr:row>31</xdr:row>
          <xdr:rowOff>333375</xdr:rowOff>
        </xdr:to>
        <xdr:sp macro="" textlink="">
          <xdr:nvSpPr>
            <xdr:cNvPr id="75814" name="Check Box 38" hidden="1">
              <a:extLst>
                <a:ext uri="{63B3BB69-23CF-44E3-9099-C40C66FF867C}">
                  <a14:compatExt spid="_x0000_s75814"/>
                </a:ext>
                <a:ext uri="{FF2B5EF4-FFF2-40B4-BE49-F238E27FC236}">
                  <a16:creationId xmlns:a16="http://schemas.microsoft.com/office/drawing/2014/main" id="{00000000-0008-0000-2700-000026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28575</xdr:colOff>
          <xdr:row>34</xdr:row>
          <xdr:rowOff>47625</xdr:rowOff>
        </xdr:from>
        <xdr:to>
          <xdr:col>39</xdr:col>
          <xdr:colOff>9525</xdr:colOff>
          <xdr:row>34</xdr:row>
          <xdr:rowOff>266700</xdr:rowOff>
        </xdr:to>
        <xdr:sp macro="" textlink="">
          <xdr:nvSpPr>
            <xdr:cNvPr id="75815" name="Check Box 39" hidden="1">
              <a:extLst>
                <a:ext uri="{63B3BB69-23CF-44E3-9099-C40C66FF867C}">
                  <a14:compatExt spid="_x0000_s75815"/>
                </a:ext>
                <a:ext uri="{FF2B5EF4-FFF2-40B4-BE49-F238E27FC236}">
                  <a16:creationId xmlns:a16="http://schemas.microsoft.com/office/drawing/2014/main" id="{00000000-0008-0000-2700-000027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38100</xdr:colOff>
          <xdr:row>17</xdr:row>
          <xdr:rowOff>9525</xdr:rowOff>
        </xdr:from>
        <xdr:to>
          <xdr:col>29</xdr:col>
          <xdr:colOff>257175</xdr:colOff>
          <xdr:row>18</xdr:row>
          <xdr:rowOff>9525</xdr:rowOff>
        </xdr:to>
        <xdr:sp macro="" textlink="">
          <xdr:nvSpPr>
            <xdr:cNvPr id="75816" name="Check Box 40" hidden="1">
              <a:extLst>
                <a:ext uri="{63B3BB69-23CF-44E3-9099-C40C66FF867C}">
                  <a14:compatExt spid="_x0000_s75816"/>
                </a:ext>
                <a:ext uri="{FF2B5EF4-FFF2-40B4-BE49-F238E27FC236}">
                  <a16:creationId xmlns:a16="http://schemas.microsoft.com/office/drawing/2014/main" id="{00000000-0008-0000-2700-0000282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28</xdr:col>
          <xdr:colOff>28575</xdr:colOff>
          <xdr:row>4</xdr:row>
          <xdr:rowOff>28575</xdr:rowOff>
        </xdr:from>
        <xdr:to>
          <xdr:col>28</xdr:col>
          <xdr:colOff>228600</xdr:colOff>
          <xdr:row>4</xdr:row>
          <xdr:rowOff>219075</xdr:rowOff>
        </xdr:to>
        <xdr:sp macro="" textlink="">
          <xdr:nvSpPr>
            <xdr:cNvPr id="76801" name="Check Box 1" hidden="1">
              <a:extLst>
                <a:ext uri="{63B3BB69-23CF-44E3-9099-C40C66FF867C}">
                  <a14:compatExt spid="_x0000_s76801"/>
                </a:ext>
                <a:ext uri="{FF2B5EF4-FFF2-40B4-BE49-F238E27FC236}">
                  <a16:creationId xmlns:a16="http://schemas.microsoft.com/office/drawing/2014/main" id="{00000000-0008-0000-2800-000001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7</xdr:row>
          <xdr:rowOff>28575</xdr:rowOff>
        </xdr:from>
        <xdr:to>
          <xdr:col>8</xdr:col>
          <xdr:colOff>238125</xdr:colOff>
          <xdr:row>7</xdr:row>
          <xdr:rowOff>238125</xdr:rowOff>
        </xdr:to>
        <xdr:sp macro="" textlink="">
          <xdr:nvSpPr>
            <xdr:cNvPr id="76802" name="Check Box 2" hidden="1">
              <a:extLst>
                <a:ext uri="{63B3BB69-23CF-44E3-9099-C40C66FF867C}">
                  <a14:compatExt spid="_x0000_s76802"/>
                </a:ext>
                <a:ext uri="{FF2B5EF4-FFF2-40B4-BE49-F238E27FC236}">
                  <a16:creationId xmlns:a16="http://schemas.microsoft.com/office/drawing/2014/main" id="{00000000-0008-0000-2800-000002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8</xdr:row>
          <xdr:rowOff>38100</xdr:rowOff>
        </xdr:from>
        <xdr:to>
          <xdr:col>8</xdr:col>
          <xdr:colOff>257175</xdr:colOff>
          <xdr:row>8</xdr:row>
          <xdr:rowOff>219075</xdr:rowOff>
        </xdr:to>
        <xdr:sp macro="" textlink="">
          <xdr:nvSpPr>
            <xdr:cNvPr id="76803" name="Check Box 3" hidden="1">
              <a:extLst>
                <a:ext uri="{63B3BB69-23CF-44E3-9099-C40C66FF867C}">
                  <a14:compatExt spid="_x0000_s76803"/>
                </a:ext>
                <a:ext uri="{FF2B5EF4-FFF2-40B4-BE49-F238E27FC236}">
                  <a16:creationId xmlns:a16="http://schemas.microsoft.com/office/drawing/2014/main" id="{00000000-0008-0000-2800-000003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9</xdr:row>
          <xdr:rowOff>9525</xdr:rowOff>
        </xdr:from>
        <xdr:to>
          <xdr:col>8</xdr:col>
          <xdr:colOff>238125</xdr:colOff>
          <xdr:row>9</xdr:row>
          <xdr:rowOff>219075</xdr:rowOff>
        </xdr:to>
        <xdr:sp macro="" textlink="">
          <xdr:nvSpPr>
            <xdr:cNvPr id="76804" name="Check Box 4" hidden="1">
              <a:extLst>
                <a:ext uri="{63B3BB69-23CF-44E3-9099-C40C66FF867C}">
                  <a14:compatExt spid="_x0000_s76804"/>
                </a:ext>
                <a:ext uri="{FF2B5EF4-FFF2-40B4-BE49-F238E27FC236}">
                  <a16:creationId xmlns:a16="http://schemas.microsoft.com/office/drawing/2014/main" id="{00000000-0008-0000-2800-000004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xdr:row>
          <xdr:rowOff>28575</xdr:rowOff>
        </xdr:from>
        <xdr:to>
          <xdr:col>21</xdr:col>
          <xdr:colOff>257175</xdr:colOff>
          <xdr:row>7</xdr:row>
          <xdr:rowOff>238125</xdr:rowOff>
        </xdr:to>
        <xdr:sp macro="" textlink="">
          <xdr:nvSpPr>
            <xdr:cNvPr id="76805" name="Check Box 5" hidden="1">
              <a:extLst>
                <a:ext uri="{63B3BB69-23CF-44E3-9099-C40C66FF867C}">
                  <a14:compatExt spid="_x0000_s76805"/>
                </a:ext>
                <a:ext uri="{FF2B5EF4-FFF2-40B4-BE49-F238E27FC236}">
                  <a16:creationId xmlns:a16="http://schemas.microsoft.com/office/drawing/2014/main" id="{00000000-0008-0000-2800-000005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xdr:row>
          <xdr:rowOff>0</xdr:rowOff>
        </xdr:from>
        <xdr:to>
          <xdr:col>22</xdr:col>
          <xdr:colOff>0</xdr:colOff>
          <xdr:row>8</xdr:row>
          <xdr:rowOff>238125</xdr:rowOff>
        </xdr:to>
        <xdr:sp macro="" textlink="">
          <xdr:nvSpPr>
            <xdr:cNvPr id="76806" name="Check Box 6" hidden="1">
              <a:extLst>
                <a:ext uri="{63B3BB69-23CF-44E3-9099-C40C66FF867C}">
                  <a14:compatExt spid="_x0000_s76806"/>
                </a:ext>
                <a:ext uri="{FF2B5EF4-FFF2-40B4-BE49-F238E27FC236}">
                  <a16:creationId xmlns:a16="http://schemas.microsoft.com/office/drawing/2014/main" id="{00000000-0008-0000-2800-000006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xdr:row>
          <xdr:rowOff>9525</xdr:rowOff>
        </xdr:from>
        <xdr:to>
          <xdr:col>22</xdr:col>
          <xdr:colOff>9525</xdr:colOff>
          <xdr:row>9</xdr:row>
          <xdr:rowOff>219075</xdr:rowOff>
        </xdr:to>
        <xdr:sp macro="" textlink="">
          <xdr:nvSpPr>
            <xdr:cNvPr id="76807" name="Check Box 7" hidden="1">
              <a:extLst>
                <a:ext uri="{63B3BB69-23CF-44E3-9099-C40C66FF867C}">
                  <a14:compatExt spid="_x0000_s76807"/>
                </a:ext>
                <a:ext uri="{FF2B5EF4-FFF2-40B4-BE49-F238E27FC236}">
                  <a16:creationId xmlns:a16="http://schemas.microsoft.com/office/drawing/2014/main" id="{00000000-0008-0000-2800-000007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7</xdr:row>
          <xdr:rowOff>9525</xdr:rowOff>
        </xdr:from>
        <xdr:to>
          <xdr:col>33</xdr:col>
          <xdr:colOff>257175</xdr:colOff>
          <xdr:row>7</xdr:row>
          <xdr:rowOff>228600</xdr:rowOff>
        </xdr:to>
        <xdr:sp macro="" textlink="">
          <xdr:nvSpPr>
            <xdr:cNvPr id="76808" name="Check Box 8" hidden="1">
              <a:extLst>
                <a:ext uri="{63B3BB69-23CF-44E3-9099-C40C66FF867C}">
                  <a14:compatExt spid="_x0000_s76808"/>
                </a:ext>
                <a:ext uri="{FF2B5EF4-FFF2-40B4-BE49-F238E27FC236}">
                  <a16:creationId xmlns:a16="http://schemas.microsoft.com/office/drawing/2014/main" id="{00000000-0008-0000-2800-000008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8</xdr:row>
          <xdr:rowOff>9525</xdr:rowOff>
        </xdr:from>
        <xdr:to>
          <xdr:col>34</xdr:col>
          <xdr:colOff>9525</xdr:colOff>
          <xdr:row>9</xdr:row>
          <xdr:rowOff>0</xdr:rowOff>
        </xdr:to>
        <xdr:sp macro="" textlink="">
          <xdr:nvSpPr>
            <xdr:cNvPr id="76809" name="Check Box 9" hidden="1">
              <a:extLst>
                <a:ext uri="{63B3BB69-23CF-44E3-9099-C40C66FF867C}">
                  <a14:compatExt spid="_x0000_s76809"/>
                </a:ext>
                <a:ext uri="{FF2B5EF4-FFF2-40B4-BE49-F238E27FC236}">
                  <a16:creationId xmlns:a16="http://schemas.microsoft.com/office/drawing/2014/main" id="{00000000-0008-0000-2800-000009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9</xdr:row>
          <xdr:rowOff>28575</xdr:rowOff>
        </xdr:from>
        <xdr:to>
          <xdr:col>34</xdr:col>
          <xdr:colOff>0</xdr:colOff>
          <xdr:row>9</xdr:row>
          <xdr:rowOff>238125</xdr:rowOff>
        </xdr:to>
        <xdr:sp macro="" textlink="">
          <xdr:nvSpPr>
            <xdr:cNvPr id="76810" name="Check Box 10" hidden="1">
              <a:extLst>
                <a:ext uri="{63B3BB69-23CF-44E3-9099-C40C66FF867C}">
                  <a14:compatExt spid="_x0000_s76810"/>
                </a:ext>
                <a:ext uri="{FF2B5EF4-FFF2-40B4-BE49-F238E27FC236}">
                  <a16:creationId xmlns:a16="http://schemas.microsoft.com/office/drawing/2014/main" id="{00000000-0008-0000-2800-00000A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10</xdr:row>
          <xdr:rowOff>9525</xdr:rowOff>
        </xdr:from>
        <xdr:to>
          <xdr:col>34</xdr:col>
          <xdr:colOff>0</xdr:colOff>
          <xdr:row>10</xdr:row>
          <xdr:rowOff>238125</xdr:rowOff>
        </xdr:to>
        <xdr:sp macro="" textlink="">
          <xdr:nvSpPr>
            <xdr:cNvPr id="76811" name="Check Box 11" hidden="1">
              <a:extLst>
                <a:ext uri="{63B3BB69-23CF-44E3-9099-C40C66FF867C}">
                  <a14:compatExt spid="_x0000_s76811"/>
                </a:ext>
                <a:ext uri="{FF2B5EF4-FFF2-40B4-BE49-F238E27FC236}">
                  <a16:creationId xmlns:a16="http://schemas.microsoft.com/office/drawing/2014/main" id="{00000000-0008-0000-2800-00000B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13</xdr:row>
          <xdr:rowOff>0</xdr:rowOff>
        </xdr:from>
        <xdr:to>
          <xdr:col>9</xdr:col>
          <xdr:colOff>28575</xdr:colOff>
          <xdr:row>14</xdr:row>
          <xdr:rowOff>0</xdr:rowOff>
        </xdr:to>
        <xdr:sp macro="" textlink="">
          <xdr:nvSpPr>
            <xdr:cNvPr id="76812" name="Check Box 12" hidden="1">
              <a:extLst>
                <a:ext uri="{63B3BB69-23CF-44E3-9099-C40C66FF867C}">
                  <a14:compatExt spid="_x0000_s76812"/>
                </a:ext>
                <a:ext uri="{FF2B5EF4-FFF2-40B4-BE49-F238E27FC236}">
                  <a16:creationId xmlns:a16="http://schemas.microsoft.com/office/drawing/2014/main" id="{00000000-0008-0000-2800-00000C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14</xdr:row>
          <xdr:rowOff>28575</xdr:rowOff>
        </xdr:from>
        <xdr:to>
          <xdr:col>8</xdr:col>
          <xdr:colOff>238125</xdr:colOff>
          <xdr:row>14</xdr:row>
          <xdr:rowOff>228600</xdr:rowOff>
        </xdr:to>
        <xdr:sp macro="" textlink="">
          <xdr:nvSpPr>
            <xdr:cNvPr id="76813" name="Check Box 13" hidden="1">
              <a:extLst>
                <a:ext uri="{63B3BB69-23CF-44E3-9099-C40C66FF867C}">
                  <a14:compatExt spid="_x0000_s76813"/>
                </a:ext>
                <a:ext uri="{FF2B5EF4-FFF2-40B4-BE49-F238E27FC236}">
                  <a16:creationId xmlns:a16="http://schemas.microsoft.com/office/drawing/2014/main" id="{00000000-0008-0000-2800-00000D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13</xdr:row>
          <xdr:rowOff>28575</xdr:rowOff>
        </xdr:from>
        <xdr:to>
          <xdr:col>21</xdr:col>
          <xdr:colOff>257175</xdr:colOff>
          <xdr:row>13</xdr:row>
          <xdr:rowOff>238125</xdr:rowOff>
        </xdr:to>
        <xdr:sp macro="" textlink="">
          <xdr:nvSpPr>
            <xdr:cNvPr id="76814" name="Check Box 14" hidden="1">
              <a:extLst>
                <a:ext uri="{63B3BB69-23CF-44E3-9099-C40C66FF867C}">
                  <a14:compatExt spid="_x0000_s76814"/>
                </a:ext>
                <a:ext uri="{FF2B5EF4-FFF2-40B4-BE49-F238E27FC236}">
                  <a16:creationId xmlns:a16="http://schemas.microsoft.com/office/drawing/2014/main" id="{00000000-0008-0000-2800-00000E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14</xdr:row>
          <xdr:rowOff>28575</xdr:rowOff>
        </xdr:from>
        <xdr:to>
          <xdr:col>21</xdr:col>
          <xdr:colOff>238125</xdr:colOff>
          <xdr:row>14</xdr:row>
          <xdr:rowOff>219075</xdr:rowOff>
        </xdr:to>
        <xdr:sp macro="" textlink="">
          <xdr:nvSpPr>
            <xdr:cNvPr id="76815" name="Check Box 15" hidden="1">
              <a:extLst>
                <a:ext uri="{63B3BB69-23CF-44E3-9099-C40C66FF867C}">
                  <a14:compatExt spid="_x0000_s76815"/>
                </a:ext>
                <a:ext uri="{FF2B5EF4-FFF2-40B4-BE49-F238E27FC236}">
                  <a16:creationId xmlns:a16="http://schemas.microsoft.com/office/drawing/2014/main" id="{00000000-0008-0000-2800-00000F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13</xdr:row>
          <xdr:rowOff>9525</xdr:rowOff>
        </xdr:from>
        <xdr:to>
          <xdr:col>34</xdr:col>
          <xdr:colOff>9525</xdr:colOff>
          <xdr:row>13</xdr:row>
          <xdr:rowOff>238125</xdr:rowOff>
        </xdr:to>
        <xdr:sp macro="" textlink="">
          <xdr:nvSpPr>
            <xdr:cNvPr id="76816" name="Check Box 16" hidden="1">
              <a:extLst>
                <a:ext uri="{63B3BB69-23CF-44E3-9099-C40C66FF867C}">
                  <a14:compatExt spid="_x0000_s76816"/>
                </a:ext>
                <a:ext uri="{FF2B5EF4-FFF2-40B4-BE49-F238E27FC236}">
                  <a16:creationId xmlns:a16="http://schemas.microsoft.com/office/drawing/2014/main" id="{00000000-0008-0000-2800-000010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21</xdr:row>
          <xdr:rowOff>9525</xdr:rowOff>
        </xdr:from>
        <xdr:to>
          <xdr:col>8</xdr:col>
          <xdr:colOff>238125</xdr:colOff>
          <xdr:row>21</xdr:row>
          <xdr:rowOff>238125</xdr:rowOff>
        </xdr:to>
        <xdr:sp macro="" textlink="">
          <xdr:nvSpPr>
            <xdr:cNvPr id="76817" name="Check Box 17" hidden="1">
              <a:extLst>
                <a:ext uri="{63B3BB69-23CF-44E3-9099-C40C66FF867C}">
                  <a14:compatExt spid="_x0000_s76817"/>
                </a:ext>
                <a:ext uri="{FF2B5EF4-FFF2-40B4-BE49-F238E27FC236}">
                  <a16:creationId xmlns:a16="http://schemas.microsoft.com/office/drawing/2014/main" id="{00000000-0008-0000-2800-000011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22</xdr:row>
          <xdr:rowOff>28575</xdr:rowOff>
        </xdr:from>
        <xdr:to>
          <xdr:col>8</xdr:col>
          <xdr:colOff>219075</xdr:colOff>
          <xdr:row>23</xdr:row>
          <xdr:rowOff>0</xdr:rowOff>
        </xdr:to>
        <xdr:sp macro="" textlink="">
          <xdr:nvSpPr>
            <xdr:cNvPr id="76818" name="Check Box 18" hidden="1">
              <a:extLst>
                <a:ext uri="{63B3BB69-23CF-44E3-9099-C40C66FF867C}">
                  <a14:compatExt spid="_x0000_s76818"/>
                </a:ext>
                <a:ext uri="{FF2B5EF4-FFF2-40B4-BE49-F238E27FC236}">
                  <a16:creationId xmlns:a16="http://schemas.microsoft.com/office/drawing/2014/main" id="{00000000-0008-0000-2800-000012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21</xdr:row>
          <xdr:rowOff>28575</xdr:rowOff>
        </xdr:from>
        <xdr:to>
          <xdr:col>20</xdr:col>
          <xdr:colOff>238125</xdr:colOff>
          <xdr:row>21</xdr:row>
          <xdr:rowOff>228600</xdr:rowOff>
        </xdr:to>
        <xdr:sp macro="" textlink="">
          <xdr:nvSpPr>
            <xdr:cNvPr id="76819" name="Check Box 19" hidden="1">
              <a:extLst>
                <a:ext uri="{63B3BB69-23CF-44E3-9099-C40C66FF867C}">
                  <a14:compatExt spid="_x0000_s76819"/>
                </a:ext>
                <a:ext uri="{FF2B5EF4-FFF2-40B4-BE49-F238E27FC236}">
                  <a16:creationId xmlns:a16="http://schemas.microsoft.com/office/drawing/2014/main" id="{00000000-0008-0000-2800-000013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22</xdr:row>
          <xdr:rowOff>28575</xdr:rowOff>
        </xdr:from>
        <xdr:to>
          <xdr:col>20</xdr:col>
          <xdr:colOff>238125</xdr:colOff>
          <xdr:row>22</xdr:row>
          <xdr:rowOff>238125</xdr:rowOff>
        </xdr:to>
        <xdr:sp macro="" textlink="">
          <xdr:nvSpPr>
            <xdr:cNvPr id="76820" name="Check Box 20" hidden="1">
              <a:extLst>
                <a:ext uri="{63B3BB69-23CF-44E3-9099-C40C66FF867C}">
                  <a14:compatExt spid="_x0000_s76820"/>
                </a:ext>
                <a:ext uri="{FF2B5EF4-FFF2-40B4-BE49-F238E27FC236}">
                  <a16:creationId xmlns:a16="http://schemas.microsoft.com/office/drawing/2014/main" id="{00000000-0008-0000-2800-000014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25</xdr:row>
          <xdr:rowOff>9525</xdr:rowOff>
        </xdr:from>
        <xdr:to>
          <xdr:col>8</xdr:col>
          <xdr:colOff>257175</xdr:colOff>
          <xdr:row>25</xdr:row>
          <xdr:rowOff>238125</xdr:rowOff>
        </xdr:to>
        <xdr:sp macro="" textlink="">
          <xdr:nvSpPr>
            <xdr:cNvPr id="76821" name="Check Box 21" hidden="1">
              <a:extLst>
                <a:ext uri="{63B3BB69-23CF-44E3-9099-C40C66FF867C}">
                  <a14:compatExt spid="_x0000_s76821"/>
                </a:ext>
                <a:ext uri="{FF2B5EF4-FFF2-40B4-BE49-F238E27FC236}">
                  <a16:creationId xmlns:a16="http://schemas.microsoft.com/office/drawing/2014/main" id="{00000000-0008-0000-2800-000015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26</xdr:row>
          <xdr:rowOff>9525</xdr:rowOff>
        </xdr:from>
        <xdr:to>
          <xdr:col>8</xdr:col>
          <xdr:colOff>238125</xdr:colOff>
          <xdr:row>26</xdr:row>
          <xdr:rowOff>238125</xdr:rowOff>
        </xdr:to>
        <xdr:sp macro="" textlink="">
          <xdr:nvSpPr>
            <xdr:cNvPr id="76822" name="Check Box 22" hidden="1">
              <a:extLst>
                <a:ext uri="{63B3BB69-23CF-44E3-9099-C40C66FF867C}">
                  <a14:compatExt spid="_x0000_s76822"/>
                </a:ext>
                <a:ext uri="{FF2B5EF4-FFF2-40B4-BE49-F238E27FC236}">
                  <a16:creationId xmlns:a16="http://schemas.microsoft.com/office/drawing/2014/main" id="{00000000-0008-0000-2800-000016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27</xdr:row>
          <xdr:rowOff>9525</xdr:rowOff>
        </xdr:from>
        <xdr:to>
          <xdr:col>8</xdr:col>
          <xdr:colOff>257175</xdr:colOff>
          <xdr:row>27</xdr:row>
          <xdr:rowOff>219075</xdr:rowOff>
        </xdr:to>
        <xdr:sp macro="" textlink="">
          <xdr:nvSpPr>
            <xdr:cNvPr id="76823" name="Check Box 23" hidden="1">
              <a:extLst>
                <a:ext uri="{63B3BB69-23CF-44E3-9099-C40C66FF867C}">
                  <a14:compatExt spid="_x0000_s76823"/>
                </a:ext>
                <a:ext uri="{FF2B5EF4-FFF2-40B4-BE49-F238E27FC236}">
                  <a16:creationId xmlns:a16="http://schemas.microsoft.com/office/drawing/2014/main" id="{00000000-0008-0000-2800-000017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25</xdr:row>
          <xdr:rowOff>9525</xdr:rowOff>
        </xdr:from>
        <xdr:to>
          <xdr:col>20</xdr:col>
          <xdr:colOff>238125</xdr:colOff>
          <xdr:row>25</xdr:row>
          <xdr:rowOff>219075</xdr:rowOff>
        </xdr:to>
        <xdr:sp macro="" textlink="">
          <xdr:nvSpPr>
            <xdr:cNvPr id="76824" name="Check Box 24" hidden="1">
              <a:extLst>
                <a:ext uri="{63B3BB69-23CF-44E3-9099-C40C66FF867C}">
                  <a14:compatExt spid="_x0000_s76824"/>
                </a:ext>
                <a:ext uri="{FF2B5EF4-FFF2-40B4-BE49-F238E27FC236}">
                  <a16:creationId xmlns:a16="http://schemas.microsoft.com/office/drawing/2014/main" id="{00000000-0008-0000-2800-000018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26</xdr:row>
          <xdr:rowOff>9525</xdr:rowOff>
        </xdr:from>
        <xdr:to>
          <xdr:col>20</xdr:col>
          <xdr:colOff>257175</xdr:colOff>
          <xdr:row>26</xdr:row>
          <xdr:rowOff>219075</xdr:rowOff>
        </xdr:to>
        <xdr:sp macro="" textlink="">
          <xdr:nvSpPr>
            <xdr:cNvPr id="76825" name="Check Box 25" hidden="1">
              <a:extLst>
                <a:ext uri="{63B3BB69-23CF-44E3-9099-C40C66FF867C}">
                  <a14:compatExt spid="_x0000_s76825"/>
                </a:ext>
                <a:ext uri="{FF2B5EF4-FFF2-40B4-BE49-F238E27FC236}">
                  <a16:creationId xmlns:a16="http://schemas.microsoft.com/office/drawing/2014/main" id="{00000000-0008-0000-2800-000019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27</xdr:row>
          <xdr:rowOff>9525</xdr:rowOff>
        </xdr:from>
        <xdr:to>
          <xdr:col>20</xdr:col>
          <xdr:colOff>238125</xdr:colOff>
          <xdr:row>27</xdr:row>
          <xdr:rowOff>219075</xdr:rowOff>
        </xdr:to>
        <xdr:sp macro="" textlink="">
          <xdr:nvSpPr>
            <xdr:cNvPr id="76826" name="Check Box 26" hidden="1">
              <a:extLst>
                <a:ext uri="{63B3BB69-23CF-44E3-9099-C40C66FF867C}">
                  <a14:compatExt spid="_x0000_s76826"/>
                </a:ext>
                <a:ext uri="{FF2B5EF4-FFF2-40B4-BE49-F238E27FC236}">
                  <a16:creationId xmlns:a16="http://schemas.microsoft.com/office/drawing/2014/main" id="{00000000-0008-0000-2800-00001A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33</xdr:row>
          <xdr:rowOff>9525</xdr:rowOff>
        </xdr:from>
        <xdr:to>
          <xdr:col>23</xdr:col>
          <xdr:colOff>257175</xdr:colOff>
          <xdr:row>33</xdr:row>
          <xdr:rowOff>238125</xdr:rowOff>
        </xdr:to>
        <xdr:sp macro="" textlink="">
          <xdr:nvSpPr>
            <xdr:cNvPr id="76827" name="Check Box 27" hidden="1">
              <a:extLst>
                <a:ext uri="{63B3BB69-23CF-44E3-9099-C40C66FF867C}">
                  <a14:compatExt spid="_x0000_s76827"/>
                </a:ext>
                <a:ext uri="{FF2B5EF4-FFF2-40B4-BE49-F238E27FC236}">
                  <a16:creationId xmlns:a16="http://schemas.microsoft.com/office/drawing/2014/main" id="{00000000-0008-0000-2800-00001B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35</xdr:row>
          <xdr:rowOff>9525</xdr:rowOff>
        </xdr:from>
        <xdr:to>
          <xdr:col>9</xdr:col>
          <xdr:colOff>9525</xdr:colOff>
          <xdr:row>36</xdr:row>
          <xdr:rowOff>0</xdr:rowOff>
        </xdr:to>
        <xdr:sp macro="" textlink="">
          <xdr:nvSpPr>
            <xdr:cNvPr id="76828" name="Check Box 28" hidden="1">
              <a:extLst>
                <a:ext uri="{63B3BB69-23CF-44E3-9099-C40C66FF867C}">
                  <a14:compatExt spid="_x0000_s76828"/>
                </a:ext>
                <a:ext uri="{FF2B5EF4-FFF2-40B4-BE49-F238E27FC236}">
                  <a16:creationId xmlns:a16="http://schemas.microsoft.com/office/drawing/2014/main" id="{00000000-0008-0000-2800-00001C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36</xdr:row>
          <xdr:rowOff>9525</xdr:rowOff>
        </xdr:from>
        <xdr:to>
          <xdr:col>9</xdr:col>
          <xdr:colOff>28575</xdr:colOff>
          <xdr:row>37</xdr:row>
          <xdr:rowOff>0</xdr:rowOff>
        </xdr:to>
        <xdr:sp macro="" textlink="">
          <xdr:nvSpPr>
            <xdr:cNvPr id="76829" name="Check Box 29" hidden="1">
              <a:extLst>
                <a:ext uri="{63B3BB69-23CF-44E3-9099-C40C66FF867C}">
                  <a14:compatExt spid="_x0000_s76829"/>
                </a:ext>
                <a:ext uri="{FF2B5EF4-FFF2-40B4-BE49-F238E27FC236}">
                  <a16:creationId xmlns:a16="http://schemas.microsoft.com/office/drawing/2014/main" id="{00000000-0008-0000-2800-00001D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35</xdr:row>
          <xdr:rowOff>0</xdr:rowOff>
        </xdr:from>
        <xdr:to>
          <xdr:col>20</xdr:col>
          <xdr:colOff>228600</xdr:colOff>
          <xdr:row>35</xdr:row>
          <xdr:rowOff>228600</xdr:rowOff>
        </xdr:to>
        <xdr:sp macro="" textlink="">
          <xdr:nvSpPr>
            <xdr:cNvPr id="76830" name="Check Box 30" hidden="1">
              <a:extLst>
                <a:ext uri="{63B3BB69-23CF-44E3-9099-C40C66FF867C}">
                  <a14:compatExt spid="_x0000_s76830"/>
                </a:ext>
                <a:ext uri="{FF2B5EF4-FFF2-40B4-BE49-F238E27FC236}">
                  <a16:creationId xmlns:a16="http://schemas.microsoft.com/office/drawing/2014/main" id="{00000000-0008-0000-2800-00001E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35</xdr:row>
          <xdr:rowOff>238125</xdr:rowOff>
        </xdr:from>
        <xdr:to>
          <xdr:col>21</xdr:col>
          <xdr:colOff>9525</xdr:colOff>
          <xdr:row>37</xdr:row>
          <xdr:rowOff>28575</xdr:rowOff>
        </xdr:to>
        <xdr:sp macro="" textlink="">
          <xdr:nvSpPr>
            <xdr:cNvPr id="76831" name="Check Box 31" hidden="1">
              <a:extLst>
                <a:ext uri="{63B3BB69-23CF-44E3-9099-C40C66FF867C}">
                  <a14:compatExt spid="_x0000_s76831"/>
                </a:ext>
                <a:ext uri="{FF2B5EF4-FFF2-40B4-BE49-F238E27FC236}">
                  <a16:creationId xmlns:a16="http://schemas.microsoft.com/office/drawing/2014/main" id="{00000000-0008-0000-2800-00001F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4</xdr:row>
          <xdr:rowOff>28575</xdr:rowOff>
        </xdr:from>
        <xdr:to>
          <xdr:col>34</xdr:col>
          <xdr:colOff>0</xdr:colOff>
          <xdr:row>4</xdr:row>
          <xdr:rowOff>238125</xdr:rowOff>
        </xdr:to>
        <xdr:sp macro="" textlink="">
          <xdr:nvSpPr>
            <xdr:cNvPr id="76832" name="Check Box 32" hidden="1">
              <a:extLst>
                <a:ext uri="{63B3BB69-23CF-44E3-9099-C40C66FF867C}">
                  <a14:compatExt spid="_x0000_s76832"/>
                </a:ext>
                <a:ext uri="{FF2B5EF4-FFF2-40B4-BE49-F238E27FC236}">
                  <a16:creationId xmlns:a16="http://schemas.microsoft.com/office/drawing/2014/main" id="{00000000-0008-0000-2800-000020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38100</xdr:colOff>
          <xdr:row>33</xdr:row>
          <xdr:rowOff>9525</xdr:rowOff>
        </xdr:from>
        <xdr:to>
          <xdr:col>29</xdr:col>
          <xdr:colOff>28575</xdr:colOff>
          <xdr:row>33</xdr:row>
          <xdr:rowOff>238125</xdr:rowOff>
        </xdr:to>
        <xdr:sp macro="" textlink="">
          <xdr:nvSpPr>
            <xdr:cNvPr id="76833" name="Check Box 33" hidden="1">
              <a:extLst>
                <a:ext uri="{63B3BB69-23CF-44E3-9099-C40C66FF867C}">
                  <a14:compatExt spid="_x0000_s76833"/>
                </a:ext>
                <a:ext uri="{FF2B5EF4-FFF2-40B4-BE49-F238E27FC236}">
                  <a16:creationId xmlns:a16="http://schemas.microsoft.com/office/drawing/2014/main" id="{00000000-0008-0000-2800-0000212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28575</xdr:colOff>
          <xdr:row>4</xdr:row>
          <xdr:rowOff>142875</xdr:rowOff>
        </xdr:from>
        <xdr:to>
          <xdr:col>31</xdr:col>
          <xdr:colOff>257175</xdr:colOff>
          <xdr:row>4</xdr:row>
          <xdr:rowOff>371475</xdr:rowOff>
        </xdr:to>
        <xdr:sp macro="" textlink="">
          <xdr:nvSpPr>
            <xdr:cNvPr id="77825" name="Check Box 1" hidden="1">
              <a:extLst>
                <a:ext uri="{63B3BB69-23CF-44E3-9099-C40C66FF867C}">
                  <a14:compatExt spid="_x0000_s77825"/>
                </a:ext>
                <a:ext uri="{FF2B5EF4-FFF2-40B4-BE49-F238E27FC236}">
                  <a16:creationId xmlns:a16="http://schemas.microsoft.com/office/drawing/2014/main" id="{00000000-0008-0000-29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xdr:row>
          <xdr:rowOff>85725</xdr:rowOff>
        </xdr:from>
        <xdr:to>
          <xdr:col>19</xdr:col>
          <xdr:colOff>238125</xdr:colOff>
          <xdr:row>5</xdr:row>
          <xdr:rowOff>295275</xdr:rowOff>
        </xdr:to>
        <xdr:sp macro="" textlink="">
          <xdr:nvSpPr>
            <xdr:cNvPr id="77826" name="Check Box 2" hidden="1">
              <a:extLst>
                <a:ext uri="{63B3BB69-23CF-44E3-9099-C40C66FF867C}">
                  <a14:compatExt spid="_x0000_s77826"/>
                </a:ext>
                <a:ext uri="{FF2B5EF4-FFF2-40B4-BE49-F238E27FC236}">
                  <a16:creationId xmlns:a16="http://schemas.microsoft.com/office/drawing/2014/main" id="{00000000-0008-0000-2900-000002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xdr:row>
          <xdr:rowOff>85725</xdr:rowOff>
        </xdr:from>
        <xdr:to>
          <xdr:col>23</xdr:col>
          <xdr:colOff>257175</xdr:colOff>
          <xdr:row>5</xdr:row>
          <xdr:rowOff>295275</xdr:rowOff>
        </xdr:to>
        <xdr:sp macro="" textlink="">
          <xdr:nvSpPr>
            <xdr:cNvPr id="77827" name="Check Box 3" hidden="1">
              <a:extLst>
                <a:ext uri="{63B3BB69-23CF-44E3-9099-C40C66FF867C}">
                  <a14:compatExt spid="_x0000_s77827"/>
                </a:ext>
                <a:ext uri="{FF2B5EF4-FFF2-40B4-BE49-F238E27FC236}">
                  <a16:creationId xmlns:a16="http://schemas.microsoft.com/office/drawing/2014/main" id="{00000000-0008-0000-2900-000003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5</xdr:row>
          <xdr:rowOff>85725</xdr:rowOff>
        </xdr:from>
        <xdr:to>
          <xdr:col>27</xdr:col>
          <xdr:colOff>228600</xdr:colOff>
          <xdr:row>5</xdr:row>
          <xdr:rowOff>314325</xdr:rowOff>
        </xdr:to>
        <xdr:sp macro="" textlink="">
          <xdr:nvSpPr>
            <xdr:cNvPr id="77828" name="Check Box 4" hidden="1">
              <a:extLst>
                <a:ext uri="{63B3BB69-23CF-44E3-9099-C40C66FF867C}">
                  <a14:compatExt spid="_x0000_s77828"/>
                </a:ext>
                <a:ext uri="{FF2B5EF4-FFF2-40B4-BE49-F238E27FC236}">
                  <a16:creationId xmlns:a16="http://schemas.microsoft.com/office/drawing/2014/main" id="{00000000-0008-0000-2900-000004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xdr:row>
          <xdr:rowOff>85725</xdr:rowOff>
        </xdr:from>
        <xdr:to>
          <xdr:col>31</xdr:col>
          <xdr:colOff>238125</xdr:colOff>
          <xdr:row>5</xdr:row>
          <xdr:rowOff>333375</xdr:rowOff>
        </xdr:to>
        <xdr:sp macro="" textlink="">
          <xdr:nvSpPr>
            <xdr:cNvPr id="77829" name="Check Box 5" hidden="1">
              <a:extLst>
                <a:ext uri="{63B3BB69-23CF-44E3-9099-C40C66FF867C}">
                  <a14:compatExt spid="_x0000_s77829"/>
                </a:ext>
                <a:ext uri="{FF2B5EF4-FFF2-40B4-BE49-F238E27FC236}">
                  <a16:creationId xmlns:a16="http://schemas.microsoft.com/office/drawing/2014/main" id="{00000000-0008-0000-2900-000005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xdr:row>
          <xdr:rowOff>142875</xdr:rowOff>
        </xdr:from>
        <xdr:to>
          <xdr:col>31</xdr:col>
          <xdr:colOff>257175</xdr:colOff>
          <xdr:row>8</xdr:row>
          <xdr:rowOff>352425</xdr:rowOff>
        </xdr:to>
        <xdr:sp macro="" textlink="">
          <xdr:nvSpPr>
            <xdr:cNvPr id="77830" name="Check Box 6" hidden="1">
              <a:extLst>
                <a:ext uri="{63B3BB69-23CF-44E3-9099-C40C66FF867C}">
                  <a14:compatExt spid="_x0000_s77830"/>
                </a:ext>
                <a:ext uri="{FF2B5EF4-FFF2-40B4-BE49-F238E27FC236}">
                  <a16:creationId xmlns:a16="http://schemas.microsoft.com/office/drawing/2014/main" id="{00000000-0008-0000-2900-000006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4</xdr:row>
          <xdr:rowOff>161925</xdr:rowOff>
        </xdr:from>
        <xdr:to>
          <xdr:col>37</xdr:col>
          <xdr:colOff>9525</xdr:colOff>
          <xdr:row>4</xdr:row>
          <xdr:rowOff>371475</xdr:rowOff>
        </xdr:to>
        <xdr:sp macro="" textlink="">
          <xdr:nvSpPr>
            <xdr:cNvPr id="77831" name="Check Box 7" hidden="1">
              <a:extLst>
                <a:ext uri="{63B3BB69-23CF-44E3-9099-C40C66FF867C}">
                  <a14:compatExt spid="_x0000_s77831"/>
                </a:ext>
                <a:ext uri="{FF2B5EF4-FFF2-40B4-BE49-F238E27FC236}">
                  <a16:creationId xmlns:a16="http://schemas.microsoft.com/office/drawing/2014/main" id="{00000000-0008-0000-2900-000007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28575</xdr:colOff>
          <xdr:row>8</xdr:row>
          <xdr:rowOff>142875</xdr:rowOff>
        </xdr:from>
        <xdr:to>
          <xdr:col>37</xdr:col>
          <xdr:colOff>9525</xdr:colOff>
          <xdr:row>8</xdr:row>
          <xdr:rowOff>371475</xdr:rowOff>
        </xdr:to>
        <xdr:sp macro="" textlink="">
          <xdr:nvSpPr>
            <xdr:cNvPr id="77832" name="Check Box 8" hidden="1">
              <a:extLst>
                <a:ext uri="{63B3BB69-23CF-44E3-9099-C40C66FF867C}">
                  <a14:compatExt spid="_x0000_s77832"/>
                </a:ext>
                <a:ext uri="{FF2B5EF4-FFF2-40B4-BE49-F238E27FC236}">
                  <a16:creationId xmlns:a16="http://schemas.microsoft.com/office/drawing/2014/main" id="{00000000-0008-0000-2900-000008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28575</xdr:colOff>
          <xdr:row>4</xdr:row>
          <xdr:rowOff>66675</xdr:rowOff>
        </xdr:from>
        <xdr:to>
          <xdr:col>15</xdr:col>
          <xdr:colOff>257175</xdr:colOff>
          <xdr:row>4</xdr:row>
          <xdr:rowOff>333375</xdr:rowOff>
        </xdr:to>
        <xdr:sp macro="" textlink="">
          <xdr:nvSpPr>
            <xdr:cNvPr id="79873" name="Check Box 1" hidden="1">
              <a:extLst>
                <a:ext uri="{63B3BB69-23CF-44E3-9099-C40C66FF867C}">
                  <a14:compatExt spid="_x0000_s79873"/>
                </a:ext>
                <a:ext uri="{FF2B5EF4-FFF2-40B4-BE49-F238E27FC236}">
                  <a16:creationId xmlns:a16="http://schemas.microsoft.com/office/drawing/2014/main" id="{00000000-0008-0000-2B00-00000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xdr:row>
          <xdr:rowOff>66675</xdr:rowOff>
        </xdr:from>
        <xdr:to>
          <xdr:col>18</xdr:col>
          <xdr:colOff>228600</xdr:colOff>
          <xdr:row>4</xdr:row>
          <xdr:rowOff>295275</xdr:rowOff>
        </xdr:to>
        <xdr:sp macro="" textlink="">
          <xdr:nvSpPr>
            <xdr:cNvPr id="79874" name="Check Box 2" hidden="1">
              <a:extLst>
                <a:ext uri="{63B3BB69-23CF-44E3-9099-C40C66FF867C}">
                  <a14:compatExt spid="_x0000_s79874"/>
                </a:ext>
                <a:ext uri="{FF2B5EF4-FFF2-40B4-BE49-F238E27FC236}">
                  <a16:creationId xmlns:a16="http://schemas.microsoft.com/office/drawing/2014/main" id="{00000000-0008-0000-2B00-00000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xdr:row>
          <xdr:rowOff>76200</xdr:rowOff>
        </xdr:from>
        <xdr:to>
          <xdr:col>21</xdr:col>
          <xdr:colOff>219075</xdr:colOff>
          <xdr:row>4</xdr:row>
          <xdr:rowOff>295275</xdr:rowOff>
        </xdr:to>
        <xdr:sp macro="" textlink="">
          <xdr:nvSpPr>
            <xdr:cNvPr id="79875" name="Check Box 3" hidden="1">
              <a:extLst>
                <a:ext uri="{63B3BB69-23CF-44E3-9099-C40C66FF867C}">
                  <a14:compatExt spid="_x0000_s79875"/>
                </a:ext>
                <a:ext uri="{FF2B5EF4-FFF2-40B4-BE49-F238E27FC236}">
                  <a16:creationId xmlns:a16="http://schemas.microsoft.com/office/drawing/2014/main" id="{00000000-0008-0000-2B00-00000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38100</xdr:colOff>
          <xdr:row>5</xdr:row>
          <xdr:rowOff>66675</xdr:rowOff>
        </xdr:from>
        <xdr:to>
          <xdr:col>16</xdr:col>
          <xdr:colOff>9525</xdr:colOff>
          <xdr:row>5</xdr:row>
          <xdr:rowOff>304800</xdr:rowOff>
        </xdr:to>
        <xdr:sp macro="" textlink="">
          <xdr:nvSpPr>
            <xdr:cNvPr id="79876" name="Check Box 4" hidden="1">
              <a:extLst>
                <a:ext uri="{63B3BB69-23CF-44E3-9099-C40C66FF867C}">
                  <a14:compatExt spid="_x0000_s79876"/>
                </a:ext>
                <a:ext uri="{FF2B5EF4-FFF2-40B4-BE49-F238E27FC236}">
                  <a16:creationId xmlns:a16="http://schemas.microsoft.com/office/drawing/2014/main" id="{00000000-0008-0000-2B00-00000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xdr:row>
          <xdr:rowOff>66675</xdr:rowOff>
        </xdr:from>
        <xdr:to>
          <xdr:col>18</xdr:col>
          <xdr:colOff>257175</xdr:colOff>
          <xdr:row>5</xdr:row>
          <xdr:rowOff>304800</xdr:rowOff>
        </xdr:to>
        <xdr:sp macro="" textlink="">
          <xdr:nvSpPr>
            <xdr:cNvPr id="79877" name="Check Box 5" hidden="1">
              <a:extLst>
                <a:ext uri="{63B3BB69-23CF-44E3-9099-C40C66FF867C}">
                  <a14:compatExt spid="_x0000_s79877"/>
                </a:ext>
                <a:ext uri="{FF2B5EF4-FFF2-40B4-BE49-F238E27FC236}">
                  <a16:creationId xmlns:a16="http://schemas.microsoft.com/office/drawing/2014/main" id="{00000000-0008-0000-2B00-00000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xdr:row>
          <xdr:rowOff>66675</xdr:rowOff>
        </xdr:from>
        <xdr:to>
          <xdr:col>21</xdr:col>
          <xdr:colOff>228600</xdr:colOff>
          <xdr:row>5</xdr:row>
          <xdr:rowOff>276225</xdr:rowOff>
        </xdr:to>
        <xdr:sp macro="" textlink="">
          <xdr:nvSpPr>
            <xdr:cNvPr id="79878" name="Check Box 6" hidden="1">
              <a:extLst>
                <a:ext uri="{63B3BB69-23CF-44E3-9099-C40C66FF867C}">
                  <a14:compatExt spid="_x0000_s79878"/>
                </a:ext>
                <a:ext uri="{FF2B5EF4-FFF2-40B4-BE49-F238E27FC236}">
                  <a16:creationId xmlns:a16="http://schemas.microsoft.com/office/drawing/2014/main" id="{00000000-0008-0000-2B00-00000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xdr:row>
          <xdr:rowOff>47625</xdr:rowOff>
        </xdr:from>
        <xdr:to>
          <xdr:col>16</xdr:col>
          <xdr:colOff>9525</xdr:colOff>
          <xdr:row>6</xdr:row>
          <xdr:rowOff>314325</xdr:rowOff>
        </xdr:to>
        <xdr:sp macro="" textlink="">
          <xdr:nvSpPr>
            <xdr:cNvPr id="79879" name="Check Box 7" hidden="1">
              <a:extLst>
                <a:ext uri="{63B3BB69-23CF-44E3-9099-C40C66FF867C}">
                  <a14:compatExt spid="_x0000_s79879"/>
                </a:ext>
                <a:ext uri="{FF2B5EF4-FFF2-40B4-BE49-F238E27FC236}">
                  <a16:creationId xmlns:a16="http://schemas.microsoft.com/office/drawing/2014/main" id="{00000000-0008-0000-2B00-00000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xdr:row>
          <xdr:rowOff>66675</xdr:rowOff>
        </xdr:from>
        <xdr:to>
          <xdr:col>18</xdr:col>
          <xdr:colOff>219075</xdr:colOff>
          <xdr:row>6</xdr:row>
          <xdr:rowOff>295275</xdr:rowOff>
        </xdr:to>
        <xdr:sp macro="" textlink="">
          <xdr:nvSpPr>
            <xdr:cNvPr id="79880" name="Check Box 8" hidden="1">
              <a:extLst>
                <a:ext uri="{63B3BB69-23CF-44E3-9099-C40C66FF867C}">
                  <a14:compatExt spid="_x0000_s79880"/>
                </a:ext>
                <a:ext uri="{FF2B5EF4-FFF2-40B4-BE49-F238E27FC236}">
                  <a16:creationId xmlns:a16="http://schemas.microsoft.com/office/drawing/2014/main" id="{00000000-0008-0000-2B00-00000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xdr:row>
          <xdr:rowOff>66675</xdr:rowOff>
        </xdr:from>
        <xdr:to>
          <xdr:col>21</xdr:col>
          <xdr:colOff>200025</xdr:colOff>
          <xdr:row>6</xdr:row>
          <xdr:rowOff>276225</xdr:rowOff>
        </xdr:to>
        <xdr:sp macro="" textlink="">
          <xdr:nvSpPr>
            <xdr:cNvPr id="79881" name="Check Box 9" hidden="1">
              <a:extLst>
                <a:ext uri="{63B3BB69-23CF-44E3-9099-C40C66FF867C}">
                  <a14:compatExt spid="_x0000_s79881"/>
                </a:ext>
                <a:ext uri="{FF2B5EF4-FFF2-40B4-BE49-F238E27FC236}">
                  <a16:creationId xmlns:a16="http://schemas.microsoft.com/office/drawing/2014/main" id="{00000000-0008-0000-2B00-00000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xdr:row>
          <xdr:rowOff>47625</xdr:rowOff>
        </xdr:from>
        <xdr:to>
          <xdr:col>16</xdr:col>
          <xdr:colOff>0</xdr:colOff>
          <xdr:row>7</xdr:row>
          <xdr:rowOff>295275</xdr:rowOff>
        </xdr:to>
        <xdr:sp macro="" textlink="">
          <xdr:nvSpPr>
            <xdr:cNvPr id="79882" name="Check Box 10" hidden="1">
              <a:extLst>
                <a:ext uri="{63B3BB69-23CF-44E3-9099-C40C66FF867C}">
                  <a14:compatExt spid="_x0000_s79882"/>
                </a:ext>
                <a:ext uri="{FF2B5EF4-FFF2-40B4-BE49-F238E27FC236}">
                  <a16:creationId xmlns:a16="http://schemas.microsoft.com/office/drawing/2014/main" id="{00000000-0008-0000-2B00-00000A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xdr:row>
          <xdr:rowOff>76200</xdr:rowOff>
        </xdr:from>
        <xdr:to>
          <xdr:col>18</xdr:col>
          <xdr:colOff>228600</xdr:colOff>
          <xdr:row>7</xdr:row>
          <xdr:rowOff>314325</xdr:rowOff>
        </xdr:to>
        <xdr:sp macro="" textlink="">
          <xdr:nvSpPr>
            <xdr:cNvPr id="79883" name="Check Box 11" hidden="1">
              <a:extLst>
                <a:ext uri="{63B3BB69-23CF-44E3-9099-C40C66FF867C}">
                  <a14:compatExt spid="_x0000_s79883"/>
                </a:ext>
                <a:ext uri="{FF2B5EF4-FFF2-40B4-BE49-F238E27FC236}">
                  <a16:creationId xmlns:a16="http://schemas.microsoft.com/office/drawing/2014/main" id="{00000000-0008-0000-2B00-00000B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xdr:row>
          <xdr:rowOff>66675</xdr:rowOff>
        </xdr:from>
        <xdr:to>
          <xdr:col>21</xdr:col>
          <xdr:colOff>228600</xdr:colOff>
          <xdr:row>7</xdr:row>
          <xdr:rowOff>295275</xdr:rowOff>
        </xdr:to>
        <xdr:sp macro="" textlink="">
          <xdr:nvSpPr>
            <xdr:cNvPr id="79884" name="Check Box 12" hidden="1">
              <a:extLst>
                <a:ext uri="{63B3BB69-23CF-44E3-9099-C40C66FF867C}">
                  <a14:compatExt spid="_x0000_s79884"/>
                </a:ext>
                <a:ext uri="{FF2B5EF4-FFF2-40B4-BE49-F238E27FC236}">
                  <a16:creationId xmlns:a16="http://schemas.microsoft.com/office/drawing/2014/main" id="{00000000-0008-0000-2B00-00000C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xdr:row>
          <xdr:rowOff>66675</xdr:rowOff>
        </xdr:from>
        <xdr:to>
          <xdr:col>15</xdr:col>
          <xdr:colOff>257175</xdr:colOff>
          <xdr:row>8</xdr:row>
          <xdr:rowOff>333375</xdr:rowOff>
        </xdr:to>
        <xdr:sp macro="" textlink="">
          <xdr:nvSpPr>
            <xdr:cNvPr id="79885" name="Check Box 13" hidden="1">
              <a:extLst>
                <a:ext uri="{63B3BB69-23CF-44E3-9099-C40C66FF867C}">
                  <a14:compatExt spid="_x0000_s79885"/>
                </a:ext>
                <a:ext uri="{FF2B5EF4-FFF2-40B4-BE49-F238E27FC236}">
                  <a16:creationId xmlns:a16="http://schemas.microsoft.com/office/drawing/2014/main" id="{00000000-0008-0000-2B00-00000D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xdr:row>
          <xdr:rowOff>66675</xdr:rowOff>
        </xdr:from>
        <xdr:to>
          <xdr:col>18</xdr:col>
          <xdr:colOff>228600</xdr:colOff>
          <xdr:row>8</xdr:row>
          <xdr:rowOff>276225</xdr:rowOff>
        </xdr:to>
        <xdr:sp macro="" textlink="">
          <xdr:nvSpPr>
            <xdr:cNvPr id="79886" name="Check Box 14" hidden="1">
              <a:extLst>
                <a:ext uri="{63B3BB69-23CF-44E3-9099-C40C66FF867C}">
                  <a14:compatExt spid="_x0000_s79886"/>
                </a:ext>
                <a:ext uri="{FF2B5EF4-FFF2-40B4-BE49-F238E27FC236}">
                  <a16:creationId xmlns:a16="http://schemas.microsoft.com/office/drawing/2014/main" id="{00000000-0008-0000-2B00-00000E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xdr:row>
          <xdr:rowOff>66675</xdr:rowOff>
        </xdr:from>
        <xdr:to>
          <xdr:col>21</xdr:col>
          <xdr:colOff>219075</xdr:colOff>
          <xdr:row>8</xdr:row>
          <xdr:rowOff>257175</xdr:rowOff>
        </xdr:to>
        <xdr:sp macro="" textlink="">
          <xdr:nvSpPr>
            <xdr:cNvPr id="79887" name="Check Box 15" hidden="1">
              <a:extLst>
                <a:ext uri="{63B3BB69-23CF-44E3-9099-C40C66FF867C}">
                  <a14:compatExt spid="_x0000_s79887"/>
                </a:ext>
                <a:ext uri="{FF2B5EF4-FFF2-40B4-BE49-F238E27FC236}">
                  <a16:creationId xmlns:a16="http://schemas.microsoft.com/office/drawing/2014/main" id="{00000000-0008-0000-2B00-00000F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xdr:row>
          <xdr:rowOff>66675</xdr:rowOff>
        </xdr:from>
        <xdr:to>
          <xdr:col>15</xdr:col>
          <xdr:colOff>238125</xdr:colOff>
          <xdr:row>9</xdr:row>
          <xdr:rowOff>276225</xdr:rowOff>
        </xdr:to>
        <xdr:sp macro="" textlink="">
          <xdr:nvSpPr>
            <xdr:cNvPr id="79888" name="Check Box 16" hidden="1">
              <a:extLst>
                <a:ext uri="{63B3BB69-23CF-44E3-9099-C40C66FF867C}">
                  <a14:compatExt spid="_x0000_s79888"/>
                </a:ext>
                <a:ext uri="{FF2B5EF4-FFF2-40B4-BE49-F238E27FC236}">
                  <a16:creationId xmlns:a16="http://schemas.microsoft.com/office/drawing/2014/main" id="{00000000-0008-0000-2B00-000010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xdr:row>
          <xdr:rowOff>66675</xdr:rowOff>
        </xdr:from>
        <xdr:to>
          <xdr:col>18</xdr:col>
          <xdr:colOff>257175</xdr:colOff>
          <xdr:row>9</xdr:row>
          <xdr:rowOff>295275</xdr:rowOff>
        </xdr:to>
        <xdr:sp macro="" textlink="">
          <xdr:nvSpPr>
            <xdr:cNvPr id="79889" name="Check Box 17" hidden="1">
              <a:extLst>
                <a:ext uri="{63B3BB69-23CF-44E3-9099-C40C66FF867C}">
                  <a14:compatExt spid="_x0000_s79889"/>
                </a:ext>
                <a:ext uri="{FF2B5EF4-FFF2-40B4-BE49-F238E27FC236}">
                  <a16:creationId xmlns:a16="http://schemas.microsoft.com/office/drawing/2014/main" id="{00000000-0008-0000-2B00-00001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xdr:row>
          <xdr:rowOff>66675</xdr:rowOff>
        </xdr:from>
        <xdr:to>
          <xdr:col>21</xdr:col>
          <xdr:colOff>238125</xdr:colOff>
          <xdr:row>9</xdr:row>
          <xdr:rowOff>295275</xdr:rowOff>
        </xdr:to>
        <xdr:sp macro="" textlink="">
          <xdr:nvSpPr>
            <xdr:cNvPr id="79890" name="Check Box 18" hidden="1">
              <a:extLst>
                <a:ext uri="{63B3BB69-23CF-44E3-9099-C40C66FF867C}">
                  <a14:compatExt spid="_x0000_s79890"/>
                </a:ext>
                <a:ext uri="{FF2B5EF4-FFF2-40B4-BE49-F238E27FC236}">
                  <a16:creationId xmlns:a16="http://schemas.microsoft.com/office/drawing/2014/main" id="{00000000-0008-0000-2B00-00001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10</xdr:row>
          <xdr:rowOff>66675</xdr:rowOff>
        </xdr:from>
        <xdr:to>
          <xdr:col>15</xdr:col>
          <xdr:colOff>238125</xdr:colOff>
          <xdr:row>10</xdr:row>
          <xdr:rowOff>276225</xdr:rowOff>
        </xdr:to>
        <xdr:sp macro="" textlink="">
          <xdr:nvSpPr>
            <xdr:cNvPr id="79891" name="Check Box 19" hidden="1">
              <a:extLst>
                <a:ext uri="{63B3BB69-23CF-44E3-9099-C40C66FF867C}">
                  <a14:compatExt spid="_x0000_s79891"/>
                </a:ext>
                <a:ext uri="{FF2B5EF4-FFF2-40B4-BE49-F238E27FC236}">
                  <a16:creationId xmlns:a16="http://schemas.microsoft.com/office/drawing/2014/main" id="{00000000-0008-0000-2B00-00001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10</xdr:row>
          <xdr:rowOff>66675</xdr:rowOff>
        </xdr:from>
        <xdr:to>
          <xdr:col>18</xdr:col>
          <xdr:colOff>219075</xdr:colOff>
          <xdr:row>10</xdr:row>
          <xdr:rowOff>276225</xdr:rowOff>
        </xdr:to>
        <xdr:sp macro="" textlink="">
          <xdr:nvSpPr>
            <xdr:cNvPr id="79892" name="Check Box 20" hidden="1">
              <a:extLst>
                <a:ext uri="{63B3BB69-23CF-44E3-9099-C40C66FF867C}">
                  <a14:compatExt spid="_x0000_s79892"/>
                </a:ext>
                <a:ext uri="{FF2B5EF4-FFF2-40B4-BE49-F238E27FC236}">
                  <a16:creationId xmlns:a16="http://schemas.microsoft.com/office/drawing/2014/main" id="{00000000-0008-0000-2B00-00001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xdr:row>
          <xdr:rowOff>66675</xdr:rowOff>
        </xdr:from>
        <xdr:to>
          <xdr:col>21</xdr:col>
          <xdr:colOff>257175</xdr:colOff>
          <xdr:row>10</xdr:row>
          <xdr:rowOff>295275</xdr:rowOff>
        </xdr:to>
        <xdr:sp macro="" textlink="">
          <xdr:nvSpPr>
            <xdr:cNvPr id="79893" name="Check Box 21" hidden="1">
              <a:extLst>
                <a:ext uri="{63B3BB69-23CF-44E3-9099-C40C66FF867C}">
                  <a14:compatExt spid="_x0000_s79893"/>
                </a:ext>
                <a:ext uri="{FF2B5EF4-FFF2-40B4-BE49-F238E27FC236}">
                  <a16:creationId xmlns:a16="http://schemas.microsoft.com/office/drawing/2014/main" id="{00000000-0008-0000-2B00-00001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11</xdr:row>
          <xdr:rowOff>76200</xdr:rowOff>
        </xdr:from>
        <xdr:to>
          <xdr:col>15</xdr:col>
          <xdr:colOff>266700</xdr:colOff>
          <xdr:row>11</xdr:row>
          <xdr:rowOff>276225</xdr:rowOff>
        </xdr:to>
        <xdr:sp macro="" textlink="">
          <xdr:nvSpPr>
            <xdr:cNvPr id="79894" name="Check Box 22" hidden="1">
              <a:extLst>
                <a:ext uri="{63B3BB69-23CF-44E3-9099-C40C66FF867C}">
                  <a14:compatExt spid="_x0000_s79894"/>
                </a:ext>
                <a:ext uri="{FF2B5EF4-FFF2-40B4-BE49-F238E27FC236}">
                  <a16:creationId xmlns:a16="http://schemas.microsoft.com/office/drawing/2014/main" id="{00000000-0008-0000-2B00-00001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11</xdr:row>
          <xdr:rowOff>66675</xdr:rowOff>
        </xdr:from>
        <xdr:to>
          <xdr:col>18</xdr:col>
          <xdr:colOff>228600</xdr:colOff>
          <xdr:row>11</xdr:row>
          <xdr:rowOff>295275</xdr:rowOff>
        </xdr:to>
        <xdr:sp macro="" textlink="">
          <xdr:nvSpPr>
            <xdr:cNvPr id="79895" name="Check Box 23" hidden="1">
              <a:extLst>
                <a:ext uri="{63B3BB69-23CF-44E3-9099-C40C66FF867C}">
                  <a14:compatExt spid="_x0000_s79895"/>
                </a:ext>
                <a:ext uri="{FF2B5EF4-FFF2-40B4-BE49-F238E27FC236}">
                  <a16:creationId xmlns:a16="http://schemas.microsoft.com/office/drawing/2014/main" id="{00000000-0008-0000-2B00-00001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9525</xdr:colOff>
          <xdr:row>11</xdr:row>
          <xdr:rowOff>66675</xdr:rowOff>
        </xdr:from>
        <xdr:to>
          <xdr:col>21</xdr:col>
          <xdr:colOff>238125</xdr:colOff>
          <xdr:row>11</xdr:row>
          <xdr:rowOff>276225</xdr:rowOff>
        </xdr:to>
        <xdr:sp macro="" textlink="">
          <xdr:nvSpPr>
            <xdr:cNvPr id="79896" name="Check Box 24" hidden="1">
              <a:extLst>
                <a:ext uri="{63B3BB69-23CF-44E3-9099-C40C66FF867C}">
                  <a14:compatExt spid="_x0000_s79896"/>
                </a:ext>
                <a:ext uri="{FF2B5EF4-FFF2-40B4-BE49-F238E27FC236}">
                  <a16:creationId xmlns:a16="http://schemas.microsoft.com/office/drawing/2014/main" id="{00000000-0008-0000-2B00-00001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12</xdr:row>
          <xdr:rowOff>66675</xdr:rowOff>
        </xdr:from>
        <xdr:to>
          <xdr:col>16</xdr:col>
          <xdr:colOff>0</xdr:colOff>
          <xdr:row>12</xdr:row>
          <xdr:rowOff>314325</xdr:rowOff>
        </xdr:to>
        <xdr:sp macro="" textlink="">
          <xdr:nvSpPr>
            <xdr:cNvPr id="79897" name="Check Box 25" hidden="1">
              <a:extLst>
                <a:ext uri="{63B3BB69-23CF-44E3-9099-C40C66FF867C}">
                  <a14:compatExt spid="_x0000_s79897"/>
                </a:ext>
                <a:ext uri="{FF2B5EF4-FFF2-40B4-BE49-F238E27FC236}">
                  <a16:creationId xmlns:a16="http://schemas.microsoft.com/office/drawing/2014/main" id="{00000000-0008-0000-2B00-00001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12</xdr:row>
          <xdr:rowOff>66675</xdr:rowOff>
        </xdr:from>
        <xdr:to>
          <xdr:col>18</xdr:col>
          <xdr:colOff>228600</xdr:colOff>
          <xdr:row>12</xdr:row>
          <xdr:rowOff>266700</xdr:rowOff>
        </xdr:to>
        <xdr:sp macro="" textlink="">
          <xdr:nvSpPr>
            <xdr:cNvPr id="79898" name="Check Box 26" hidden="1">
              <a:extLst>
                <a:ext uri="{63B3BB69-23CF-44E3-9099-C40C66FF867C}">
                  <a14:compatExt spid="_x0000_s79898"/>
                </a:ext>
                <a:ext uri="{FF2B5EF4-FFF2-40B4-BE49-F238E27FC236}">
                  <a16:creationId xmlns:a16="http://schemas.microsoft.com/office/drawing/2014/main" id="{00000000-0008-0000-2B00-00001A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12</xdr:row>
          <xdr:rowOff>66675</xdr:rowOff>
        </xdr:from>
        <xdr:to>
          <xdr:col>21</xdr:col>
          <xdr:colOff>219075</xdr:colOff>
          <xdr:row>12</xdr:row>
          <xdr:rowOff>266700</xdr:rowOff>
        </xdr:to>
        <xdr:sp macro="" textlink="">
          <xdr:nvSpPr>
            <xdr:cNvPr id="79899" name="Check Box 27" hidden="1">
              <a:extLst>
                <a:ext uri="{63B3BB69-23CF-44E3-9099-C40C66FF867C}">
                  <a14:compatExt spid="_x0000_s79899"/>
                </a:ext>
                <a:ext uri="{FF2B5EF4-FFF2-40B4-BE49-F238E27FC236}">
                  <a16:creationId xmlns:a16="http://schemas.microsoft.com/office/drawing/2014/main" id="{00000000-0008-0000-2B00-00001B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13</xdr:row>
          <xdr:rowOff>66675</xdr:rowOff>
        </xdr:from>
        <xdr:to>
          <xdr:col>16</xdr:col>
          <xdr:colOff>9525</xdr:colOff>
          <xdr:row>13</xdr:row>
          <xdr:rowOff>295275</xdr:rowOff>
        </xdr:to>
        <xdr:sp macro="" textlink="">
          <xdr:nvSpPr>
            <xdr:cNvPr id="79900" name="Check Box 28" hidden="1">
              <a:extLst>
                <a:ext uri="{63B3BB69-23CF-44E3-9099-C40C66FF867C}">
                  <a14:compatExt spid="_x0000_s79900"/>
                </a:ext>
                <a:ext uri="{FF2B5EF4-FFF2-40B4-BE49-F238E27FC236}">
                  <a16:creationId xmlns:a16="http://schemas.microsoft.com/office/drawing/2014/main" id="{00000000-0008-0000-2B00-00001C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13</xdr:row>
          <xdr:rowOff>66675</xdr:rowOff>
        </xdr:from>
        <xdr:to>
          <xdr:col>18</xdr:col>
          <xdr:colOff>228600</xdr:colOff>
          <xdr:row>13</xdr:row>
          <xdr:rowOff>257175</xdr:rowOff>
        </xdr:to>
        <xdr:sp macro="" textlink="">
          <xdr:nvSpPr>
            <xdr:cNvPr id="79901" name="Check Box 29" hidden="1">
              <a:extLst>
                <a:ext uri="{63B3BB69-23CF-44E3-9099-C40C66FF867C}">
                  <a14:compatExt spid="_x0000_s79901"/>
                </a:ext>
                <a:ext uri="{FF2B5EF4-FFF2-40B4-BE49-F238E27FC236}">
                  <a16:creationId xmlns:a16="http://schemas.microsoft.com/office/drawing/2014/main" id="{00000000-0008-0000-2B00-00001D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13</xdr:row>
          <xdr:rowOff>66675</xdr:rowOff>
        </xdr:from>
        <xdr:to>
          <xdr:col>21</xdr:col>
          <xdr:colOff>238125</xdr:colOff>
          <xdr:row>13</xdr:row>
          <xdr:rowOff>314325</xdr:rowOff>
        </xdr:to>
        <xdr:sp macro="" textlink="">
          <xdr:nvSpPr>
            <xdr:cNvPr id="79902" name="Check Box 30" hidden="1">
              <a:extLst>
                <a:ext uri="{63B3BB69-23CF-44E3-9099-C40C66FF867C}">
                  <a14:compatExt spid="_x0000_s79902"/>
                </a:ext>
                <a:ext uri="{FF2B5EF4-FFF2-40B4-BE49-F238E27FC236}">
                  <a16:creationId xmlns:a16="http://schemas.microsoft.com/office/drawing/2014/main" id="{00000000-0008-0000-2B00-00001E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14</xdr:row>
          <xdr:rowOff>66675</xdr:rowOff>
        </xdr:from>
        <xdr:to>
          <xdr:col>15</xdr:col>
          <xdr:colOff>238125</xdr:colOff>
          <xdr:row>14</xdr:row>
          <xdr:rowOff>295275</xdr:rowOff>
        </xdr:to>
        <xdr:sp macro="" textlink="">
          <xdr:nvSpPr>
            <xdr:cNvPr id="79903" name="Check Box 31" hidden="1">
              <a:extLst>
                <a:ext uri="{63B3BB69-23CF-44E3-9099-C40C66FF867C}">
                  <a14:compatExt spid="_x0000_s79903"/>
                </a:ext>
                <a:ext uri="{FF2B5EF4-FFF2-40B4-BE49-F238E27FC236}">
                  <a16:creationId xmlns:a16="http://schemas.microsoft.com/office/drawing/2014/main" id="{00000000-0008-0000-2B00-00001F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14</xdr:row>
          <xdr:rowOff>66675</xdr:rowOff>
        </xdr:from>
        <xdr:to>
          <xdr:col>18</xdr:col>
          <xdr:colOff>219075</xdr:colOff>
          <xdr:row>14</xdr:row>
          <xdr:rowOff>276225</xdr:rowOff>
        </xdr:to>
        <xdr:sp macro="" textlink="">
          <xdr:nvSpPr>
            <xdr:cNvPr id="79904" name="Check Box 32" hidden="1">
              <a:extLst>
                <a:ext uri="{63B3BB69-23CF-44E3-9099-C40C66FF867C}">
                  <a14:compatExt spid="_x0000_s79904"/>
                </a:ext>
                <a:ext uri="{FF2B5EF4-FFF2-40B4-BE49-F238E27FC236}">
                  <a16:creationId xmlns:a16="http://schemas.microsoft.com/office/drawing/2014/main" id="{00000000-0008-0000-2B00-000020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14</xdr:row>
          <xdr:rowOff>66675</xdr:rowOff>
        </xdr:from>
        <xdr:to>
          <xdr:col>21</xdr:col>
          <xdr:colOff>238125</xdr:colOff>
          <xdr:row>14</xdr:row>
          <xdr:rowOff>276225</xdr:rowOff>
        </xdr:to>
        <xdr:sp macro="" textlink="">
          <xdr:nvSpPr>
            <xdr:cNvPr id="79905" name="Check Box 33" hidden="1">
              <a:extLst>
                <a:ext uri="{63B3BB69-23CF-44E3-9099-C40C66FF867C}">
                  <a14:compatExt spid="_x0000_s79905"/>
                </a:ext>
                <a:ext uri="{FF2B5EF4-FFF2-40B4-BE49-F238E27FC236}">
                  <a16:creationId xmlns:a16="http://schemas.microsoft.com/office/drawing/2014/main" id="{00000000-0008-0000-2B00-00002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15</xdr:row>
          <xdr:rowOff>76200</xdr:rowOff>
        </xdr:from>
        <xdr:to>
          <xdr:col>15</xdr:col>
          <xdr:colOff>228600</xdr:colOff>
          <xdr:row>15</xdr:row>
          <xdr:rowOff>295275</xdr:rowOff>
        </xdr:to>
        <xdr:sp macro="" textlink="">
          <xdr:nvSpPr>
            <xdr:cNvPr id="79906" name="Check Box 34" hidden="1">
              <a:extLst>
                <a:ext uri="{63B3BB69-23CF-44E3-9099-C40C66FF867C}">
                  <a14:compatExt spid="_x0000_s79906"/>
                </a:ext>
                <a:ext uri="{FF2B5EF4-FFF2-40B4-BE49-F238E27FC236}">
                  <a16:creationId xmlns:a16="http://schemas.microsoft.com/office/drawing/2014/main" id="{00000000-0008-0000-2B00-00002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15</xdr:row>
          <xdr:rowOff>66675</xdr:rowOff>
        </xdr:from>
        <xdr:to>
          <xdr:col>18</xdr:col>
          <xdr:colOff>238125</xdr:colOff>
          <xdr:row>15</xdr:row>
          <xdr:rowOff>257175</xdr:rowOff>
        </xdr:to>
        <xdr:sp macro="" textlink="">
          <xdr:nvSpPr>
            <xdr:cNvPr id="79907" name="Check Box 35" hidden="1">
              <a:extLst>
                <a:ext uri="{63B3BB69-23CF-44E3-9099-C40C66FF867C}">
                  <a14:compatExt spid="_x0000_s79907"/>
                </a:ext>
                <a:ext uri="{FF2B5EF4-FFF2-40B4-BE49-F238E27FC236}">
                  <a16:creationId xmlns:a16="http://schemas.microsoft.com/office/drawing/2014/main" id="{00000000-0008-0000-2B00-00002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15</xdr:row>
          <xdr:rowOff>76200</xdr:rowOff>
        </xdr:from>
        <xdr:to>
          <xdr:col>21</xdr:col>
          <xdr:colOff>238125</xdr:colOff>
          <xdr:row>15</xdr:row>
          <xdr:rowOff>295275</xdr:rowOff>
        </xdr:to>
        <xdr:sp macro="" textlink="">
          <xdr:nvSpPr>
            <xdr:cNvPr id="79908" name="Check Box 36" hidden="1">
              <a:extLst>
                <a:ext uri="{63B3BB69-23CF-44E3-9099-C40C66FF867C}">
                  <a14:compatExt spid="_x0000_s79908"/>
                </a:ext>
                <a:ext uri="{FF2B5EF4-FFF2-40B4-BE49-F238E27FC236}">
                  <a16:creationId xmlns:a16="http://schemas.microsoft.com/office/drawing/2014/main" id="{00000000-0008-0000-2B00-00002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16</xdr:row>
          <xdr:rowOff>66675</xdr:rowOff>
        </xdr:from>
        <xdr:to>
          <xdr:col>15</xdr:col>
          <xdr:colOff>257175</xdr:colOff>
          <xdr:row>16</xdr:row>
          <xdr:rowOff>276225</xdr:rowOff>
        </xdr:to>
        <xdr:sp macro="" textlink="">
          <xdr:nvSpPr>
            <xdr:cNvPr id="79909" name="Check Box 37" hidden="1">
              <a:extLst>
                <a:ext uri="{63B3BB69-23CF-44E3-9099-C40C66FF867C}">
                  <a14:compatExt spid="_x0000_s79909"/>
                </a:ext>
                <a:ext uri="{FF2B5EF4-FFF2-40B4-BE49-F238E27FC236}">
                  <a16:creationId xmlns:a16="http://schemas.microsoft.com/office/drawing/2014/main" id="{00000000-0008-0000-2B00-00002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16</xdr:row>
          <xdr:rowOff>66675</xdr:rowOff>
        </xdr:from>
        <xdr:to>
          <xdr:col>18</xdr:col>
          <xdr:colOff>219075</xdr:colOff>
          <xdr:row>16</xdr:row>
          <xdr:rowOff>266700</xdr:rowOff>
        </xdr:to>
        <xdr:sp macro="" textlink="">
          <xdr:nvSpPr>
            <xdr:cNvPr id="79910" name="Check Box 38" hidden="1">
              <a:extLst>
                <a:ext uri="{63B3BB69-23CF-44E3-9099-C40C66FF867C}">
                  <a14:compatExt spid="_x0000_s79910"/>
                </a:ext>
                <a:ext uri="{FF2B5EF4-FFF2-40B4-BE49-F238E27FC236}">
                  <a16:creationId xmlns:a16="http://schemas.microsoft.com/office/drawing/2014/main" id="{00000000-0008-0000-2B00-00002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16</xdr:row>
          <xdr:rowOff>66675</xdr:rowOff>
        </xdr:from>
        <xdr:to>
          <xdr:col>21</xdr:col>
          <xdr:colOff>238125</xdr:colOff>
          <xdr:row>16</xdr:row>
          <xdr:rowOff>276225</xdr:rowOff>
        </xdr:to>
        <xdr:sp macro="" textlink="">
          <xdr:nvSpPr>
            <xdr:cNvPr id="79911" name="Check Box 39" hidden="1">
              <a:extLst>
                <a:ext uri="{63B3BB69-23CF-44E3-9099-C40C66FF867C}">
                  <a14:compatExt spid="_x0000_s79911"/>
                </a:ext>
                <a:ext uri="{FF2B5EF4-FFF2-40B4-BE49-F238E27FC236}">
                  <a16:creationId xmlns:a16="http://schemas.microsoft.com/office/drawing/2014/main" id="{00000000-0008-0000-2B00-00002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17</xdr:row>
          <xdr:rowOff>66675</xdr:rowOff>
        </xdr:from>
        <xdr:to>
          <xdr:col>15</xdr:col>
          <xdr:colOff>257175</xdr:colOff>
          <xdr:row>17</xdr:row>
          <xdr:rowOff>276225</xdr:rowOff>
        </xdr:to>
        <xdr:sp macro="" textlink="">
          <xdr:nvSpPr>
            <xdr:cNvPr id="79912" name="Check Box 40" hidden="1">
              <a:extLst>
                <a:ext uri="{63B3BB69-23CF-44E3-9099-C40C66FF867C}">
                  <a14:compatExt spid="_x0000_s79912"/>
                </a:ext>
                <a:ext uri="{FF2B5EF4-FFF2-40B4-BE49-F238E27FC236}">
                  <a16:creationId xmlns:a16="http://schemas.microsoft.com/office/drawing/2014/main" id="{00000000-0008-0000-2B00-00002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17</xdr:row>
          <xdr:rowOff>76200</xdr:rowOff>
        </xdr:from>
        <xdr:to>
          <xdr:col>18</xdr:col>
          <xdr:colOff>219075</xdr:colOff>
          <xdr:row>17</xdr:row>
          <xdr:rowOff>295275</xdr:rowOff>
        </xdr:to>
        <xdr:sp macro="" textlink="">
          <xdr:nvSpPr>
            <xdr:cNvPr id="79913" name="Check Box 41" hidden="1">
              <a:extLst>
                <a:ext uri="{63B3BB69-23CF-44E3-9099-C40C66FF867C}">
                  <a14:compatExt spid="_x0000_s79913"/>
                </a:ext>
                <a:ext uri="{FF2B5EF4-FFF2-40B4-BE49-F238E27FC236}">
                  <a16:creationId xmlns:a16="http://schemas.microsoft.com/office/drawing/2014/main" id="{00000000-0008-0000-2B00-00002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17</xdr:row>
          <xdr:rowOff>66675</xdr:rowOff>
        </xdr:from>
        <xdr:to>
          <xdr:col>21</xdr:col>
          <xdr:colOff>219075</xdr:colOff>
          <xdr:row>17</xdr:row>
          <xdr:rowOff>304800</xdr:rowOff>
        </xdr:to>
        <xdr:sp macro="" textlink="">
          <xdr:nvSpPr>
            <xdr:cNvPr id="79914" name="Check Box 42" hidden="1">
              <a:extLst>
                <a:ext uri="{63B3BB69-23CF-44E3-9099-C40C66FF867C}">
                  <a14:compatExt spid="_x0000_s79914"/>
                </a:ext>
                <a:ext uri="{FF2B5EF4-FFF2-40B4-BE49-F238E27FC236}">
                  <a16:creationId xmlns:a16="http://schemas.microsoft.com/office/drawing/2014/main" id="{00000000-0008-0000-2B00-00002A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18</xdr:row>
          <xdr:rowOff>66675</xdr:rowOff>
        </xdr:from>
        <xdr:to>
          <xdr:col>15</xdr:col>
          <xdr:colOff>238125</xdr:colOff>
          <xdr:row>18</xdr:row>
          <xdr:rowOff>295275</xdr:rowOff>
        </xdr:to>
        <xdr:sp macro="" textlink="">
          <xdr:nvSpPr>
            <xdr:cNvPr id="79915" name="Check Box 43" hidden="1">
              <a:extLst>
                <a:ext uri="{63B3BB69-23CF-44E3-9099-C40C66FF867C}">
                  <a14:compatExt spid="_x0000_s79915"/>
                </a:ext>
                <a:ext uri="{FF2B5EF4-FFF2-40B4-BE49-F238E27FC236}">
                  <a16:creationId xmlns:a16="http://schemas.microsoft.com/office/drawing/2014/main" id="{00000000-0008-0000-2B00-00002B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18</xdr:row>
          <xdr:rowOff>76200</xdr:rowOff>
        </xdr:from>
        <xdr:to>
          <xdr:col>18</xdr:col>
          <xdr:colOff>228600</xdr:colOff>
          <xdr:row>18</xdr:row>
          <xdr:rowOff>295275</xdr:rowOff>
        </xdr:to>
        <xdr:sp macro="" textlink="">
          <xdr:nvSpPr>
            <xdr:cNvPr id="79916" name="Check Box 44" hidden="1">
              <a:extLst>
                <a:ext uri="{63B3BB69-23CF-44E3-9099-C40C66FF867C}">
                  <a14:compatExt spid="_x0000_s79916"/>
                </a:ext>
                <a:ext uri="{FF2B5EF4-FFF2-40B4-BE49-F238E27FC236}">
                  <a16:creationId xmlns:a16="http://schemas.microsoft.com/office/drawing/2014/main" id="{00000000-0008-0000-2B00-00002C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18</xdr:row>
          <xdr:rowOff>47625</xdr:rowOff>
        </xdr:from>
        <xdr:to>
          <xdr:col>21</xdr:col>
          <xdr:colOff>238125</xdr:colOff>
          <xdr:row>18</xdr:row>
          <xdr:rowOff>276225</xdr:rowOff>
        </xdr:to>
        <xdr:sp macro="" textlink="">
          <xdr:nvSpPr>
            <xdr:cNvPr id="79917" name="Check Box 45" hidden="1">
              <a:extLst>
                <a:ext uri="{63B3BB69-23CF-44E3-9099-C40C66FF867C}">
                  <a14:compatExt spid="_x0000_s79917"/>
                </a:ext>
                <a:ext uri="{FF2B5EF4-FFF2-40B4-BE49-F238E27FC236}">
                  <a16:creationId xmlns:a16="http://schemas.microsoft.com/office/drawing/2014/main" id="{00000000-0008-0000-2B00-00002D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4</xdr:row>
          <xdr:rowOff>66675</xdr:rowOff>
        </xdr:from>
        <xdr:to>
          <xdr:col>34</xdr:col>
          <xdr:colOff>257175</xdr:colOff>
          <xdr:row>4</xdr:row>
          <xdr:rowOff>314325</xdr:rowOff>
        </xdr:to>
        <xdr:sp macro="" textlink="">
          <xdr:nvSpPr>
            <xdr:cNvPr id="79918" name="Check Box 46" hidden="1">
              <a:extLst>
                <a:ext uri="{63B3BB69-23CF-44E3-9099-C40C66FF867C}">
                  <a14:compatExt spid="_x0000_s79918"/>
                </a:ext>
                <a:ext uri="{FF2B5EF4-FFF2-40B4-BE49-F238E27FC236}">
                  <a16:creationId xmlns:a16="http://schemas.microsoft.com/office/drawing/2014/main" id="{00000000-0008-0000-2B00-00002E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4</xdr:row>
          <xdr:rowOff>66675</xdr:rowOff>
        </xdr:from>
        <xdr:to>
          <xdr:col>37</xdr:col>
          <xdr:colOff>219075</xdr:colOff>
          <xdr:row>4</xdr:row>
          <xdr:rowOff>295275</xdr:rowOff>
        </xdr:to>
        <xdr:sp macro="" textlink="">
          <xdr:nvSpPr>
            <xdr:cNvPr id="79919" name="Check Box 47" hidden="1">
              <a:extLst>
                <a:ext uri="{63B3BB69-23CF-44E3-9099-C40C66FF867C}">
                  <a14:compatExt spid="_x0000_s79919"/>
                </a:ext>
                <a:ext uri="{FF2B5EF4-FFF2-40B4-BE49-F238E27FC236}">
                  <a16:creationId xmlns:a16="http://schemas.microsoft.com/office/drawing/2014/main" id="{00000000-0008-0000-2B00-00002F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4</xdr:row>
          <xdr:rowOff>76200</xdr:rowOff>
        </xdr:from>
        <xdr:to>
          <xdr:col>40</xdr:col>
          <xdr:colOff>228600</xdr:colOff>
          <xdr:row>4</xdr:row>
          <xdr:rowOff>314325</xdr:rowOff>
        </xdr:to>
        <xdr:sp macro="" textlink="">
          <xdr:nvSpPr>
            <xdr:cNvPr id="79920" name="Check Box 48" hidden="1">
              <a:extLst>
                <a:ext uri="{63B3BB69-23CF-44E3-9099-C40C66FF867C}">
                  <a14:compatExt spid="_x0000_s79920"/>
                </a:ext>
                <a:ext uri="{FF2B5EF4-FFF2-40B4-BE49-F238E27FC236}">
                  <a16:creationId xmlns:a16="http://schemas.microsoft.com/office/drawing/2014/main" id="{00000000-0008-0000-2B00-000030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5</xdr:row>
          <xdr:rowOff>66675</xdr:rowOff>
        </xdr:from>
        <xdr:to>
          <xdr:col>34</xdr:col>
          <xdr:colOff>257175</xdr:colOff>
          <xdr:row>5</xdr:row>
          <xdr:rowOff>314325</xdr:rowOff>
        </xdr:to>
        <xdr:sp macro="" textlink="">
          <xdr:nvSpPr>
            <xdr:cNvPr id="79921" name="Check Box 49" hidden="1">
              <a:extLst>
                <a:ext uri="{63B3BB69-23CF-44E3-9099-C40C66FF867C}">
                  <a14:compatExt spid="_x0000_s79921"/>
                </a:ext>
                <a:ext uri="{FF2B5EF4-FFF2-40B4-BE49-F238E27FC236}">
                  <a16:creationId xmlns:a16="http://schemas.microsoft.com/office/drawing/2014/main" id="{00000000-0008-0000-2B00-00003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5</xdr:row>
          <xdr:rowOff>66675</xdr:rowOff>
        </xdr:from>
        <xdr:to>
          <xdr:col>37</xdr:col>
          <xdr:colOff>266700</xdr:colOff>
          <xdr:row>5</xdr:row>
          <xdr:rowOff>314325</xdr:rowOff>
        </xdr:to>
        <xdr:sp macro="" textlink="">
          <xdr:nvSpPr>
            <xdr:cNvPr id="79922" name="Check Box 50" hidden="1">
              <a:extLst>
                <a:ext uri="{63B3BB69-23CF-44E3-9099-C40C66FF867C}">
                  <a14:compatExt spid="_x0000_s79922"/>
                </a:ext>
                <a:ext uri="{FF2B5EF4-FFF2-40B4-BE49-F238E27FC236}">
                  <a16:creationId xmlns:a16="http://schemas.microsoft.com/office/drawing/2014/main" id="{00000000-0008-0000-2B00-00003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5</xdr:row>
          <xdr:rowOff>76200</xdr:rowOff>
        </xdr:from>
        <xdr:to>
          <xdr:col>40</xdr:col>
          <xdr:colOff>257175</xdr:colOff>
          <xdr:row>5</xdr:row>
          <xdr:rowOff>295275</xdr:rowOff>
        </xdr:to>
        <xdr:sp macro="" textlink="">
          <xdr:nvSpPr>
            <xdr:cNvPr id="79923" name="Check Box 51" hidden="1">
              <a:extLst>
                <a:ext uri="{63B3BB69-23CF-44E3-9099-C40C66FF867C}">
                  <a14:compatExt spid="_x0000_s79923"/>
                </a:ext>
                <a:ext uri="{FF2B5EF4-FFF2-40B4-BE49-F238E27FC236}">
                  <a16:creationId xmlns:a16="http://schemas.microsoft.com/office/drawing/2014/main" id="{00000000-0008-0000-2B00-00003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6</xdr:row>
          <xdr:rowOff>66675</xdr:rowOff>
        </xdr:from>
        <xdr:to>
          <xdr:col>34</xdr:col>
          <xdr:colOff>238125</xdr:colOff>
          <xdr:row>6</xdr:row>
          <xdr:rowOff>304800</xdr:rowOff>
        </xdr:to>
        <xdr:sp macro="" textlink="">
          <xdr:nvSpPr>
            <xdr:cNvPr id="79924" name="Check Box 52" hidden="1">
              <a:extLst>
                <a:ext uri="{63B3BB69-23CF-44E3-9099-C40C66FF867C}">
                  <a14:compatExt spid="_x0000_s79924"/>
                </a:ext>
                <a:ext uri="{FF2B5EF4-FFF2-40B4-BE49-F238E27FC236}">
                  <a16:creationId xmlns:a16="http://schemas.microsoft.com/office/drawing/2014/main" id="{00000000-0008-0000-2B00-00003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6</xdr:row>
          <xdr:rowOff>76200</xdr:rowOff>
        </xdr:from>
        <xdr:to>
          <xdr:col>37</xdr:col>
          <xdr:colOff>257175</xdr:colOff>
          <xdr:row>6</xdr:row>
          <xdr:rowOff>304800</xdr:rowOff>
        </xdr:to>
        <xdr:sp macro="" textlink="">
          <xdr:nvSpPr>
            <xdr:cNvPr id="79925" name="Check Box 53" hidden="1">
              <a:extLst>
                <a:ext uri="{63B3BB69-23CF-44E3-9099-C40C66FF867C}">
                  <a14:compatExt spid="_x0000_s79925"/>
                </a:ext>
                <a:ext uri="{FF2B5EF4-FFF2-40B4-BE49-F238E27FC236}">
                  <a16:creationId xmlns:a16="http://schemas.microsoft.com/office/drawing/2014/main" id="{00000000-0008-0000-2B00-00003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6</xdr:row>
          <xdr:rowOff>66675</xdr:rowOff>
        </xdr:from>
        <xdr:to>
          <xdr:col>40</xdr:col>
          <xdr:colOff>219075</xdr:colOff>
          <xdr:row>6</xdr:row>
          <xdr:rowOff>295275</xdr:rowOff>
        </xdr:to>
        <xdr:sp macro="" textlink="">
          <xdr:nvSpPr>
            <xdr:cNvPr id="79926" name="Check Box 54" hidden="1">
              <a:extLst>
                <a:ext uri="{63B3BB69-23CF-44E3-9099-C40C66FF867C}">
                  <a14:compatExt spid="_x0000_s79926"/>
                </a:ext>
                <a:ext uri="{FF2B5EF4-FFF2-40B4-BE49-F238E27FC236}">
                  <a16:creationId xmlns:a16="http://schemas.microsoft.com/office/drawing/2014/main" id="{00000000-0008-0000-2B00-00003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7</xdr:row>
          <xdr:rowOff>85725</xdr:rowOff>
        </xdr:from>
        <xdr:to>
          <xdr:col>34</xdr:col>
          <xdr:colOff>257175</xdr:colOff>
          <xdr:row>7</xdr:row>
          <xdr:rowOff>304800</xdr:rowOff>
        </xdr:to>
        <xdr:sp macro="" textlink="">
          <xdr:nvSpPr>
            <xdr:cNvPr id="79927" name="Check Box 55" hidden="1">
              <a:extLst>
                <a:ext uri="{63B3BB69-23CF-44E3-9099-C40C66FF867C}">
                  <a14:compatExt spid="_x0000_s79927"/>
                </a:ext>
                <a:ext uri="{FF2B5EF4-FFF2-40B4-BE49-F238E27FC236}">
                  <a16:creationId xmlns:a16="http://schemas.microsoft.com/office/drawing/2014/main" id="{00000000-0008-0000-2B00-00003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7</xdr:row>
          <xdr:rowOff>76200</xdr:rowOff>
        </xdr:from>
        <xdr:to>
          <xdr:col>37</xdr:col>
          <xdr:colOff>257175</xdr:colOff>
          <xdr:row>7</xdr:row>
          <xdr:rowOff>295275</xdr:rowOff>
        </xdr:to>
        <xdr:sp macro="" textlink="">
          <xdr:nvSpPr>
            <xdr:cNvPr id="79928" name="Check Box 56" hidden="1">
              <a:extLst>
                <a:ext uri="{63B3BB69-23CF-44E3-9099-C40C66FF867C}">
                  <a14:compatExt spid="_x0000_s79928"/>
                </a:ext>
                <a:ext uri="{FF2B5EF4-FFF2-40B4-BE49-F238E27FC236}">
                  <a16:creationId xmlns:a16="http://schemas.microsoft.com/office/drawing/2014/main" id="{00000000-0008-0000-2B00-00003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7</xdr:row>
          <xdr:rowOff>85725</xdr:rowOff>
        </xdr:from>
        <xdr:to>
          <xdr:col>40</xdr:col>
          <xdr:colOff>257175</xdr:colOff>
          <xdr:row>7</xdr:row>
          <xdr:rowOff>333375</xdr:rowOff>
        </xdr:to>
        <xdr:sp macro="" textlink="">
          <xdr:nvSpPr>
            <xdr:cNvPr id="79929" name="Check Box 57" hidden="1">
              <a:extLst>
                <a:ext uri="{63B3BB69-23CF-44E3-9099-C40C66FF867C}">
                  <a14:compatExt spid="_x0000_s79929"/>
                </a:ext>
                <a:ext uri="{FF2B5EF4-FFF2-40B4-BE49-F238E27FC236}">
                  <a16:creationId xmlns:a16="http://schemas.microsoft.com/office/drawing/2014/main" id="{00000000-0008-0000-2B00-00003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8</xdr:row>
          <xdr:rowOff>47625</xdr:rowOff>
        </xdr:from>
        <xdr:to>
          <xdr:col>34</xdr:col>
          <xdr:colOff>228600</xdr:colOff>
          <xdr:row>8</xdr:row>
          <xdr:rowOff>266700</xdr:rowOff>
        </xdr:to>
        <xdr:sp macro="" textlink="">
          <xdr:nvSpPr>
            <xdr:cNvPr id="79930" name="Check Box 58" hidden="1">
              <a:extLst>
                <a:ext uri="{63B3BB69-23CF-44E3-9099-C40C66FF867C}">
                  <a14:compatExt spid="_x0000_s79930"/>
                </a:ext>
                <a:ext uri="{FF2B5EF4-FFF2-40B4-BE49-F238E27FC236}">
                  <a16:creationId xmlns:a16="http://schemas.microsoft.com/office/drawing/2014/main" id="{00000000-0008-0000-2B00-00003A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8</xdr:row>
          <xdr:rowOff>66675</xdr:rowOff>
        </xdr:from>
        <xdr:to>
          <xdr:col>37</xdr:col>
          <xdr:colOff>228600</xdr:colOff>
          <xdr:row>8</xdr:row>
          <xdr:rowOff>295275</xdr:rowOff>
        </xdr:to>
        <xdr:sp macro="" textlink="">
          <xdr:nvSpPr>
            <xdr:cNvPr id="79931" name="Check Box 59" hidden="1">
              <a:extLst>
                <a:ext uri="{63B3BB69-23CF-44E3-9099-C40C66FF867C}">
                  <a14:compatExt spid="_x0000_s79931"/>
                </a:ext>
                <a:ext uri="{FF2B5EF4-FFF2-40B4-BE49-F238E27FC236}">
                  <a16:creationId xmlns:a16="http://schemas.microsoft.com/office/drawing/2014/main" id="{00000000-0008-0000-2B00-00003B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8</xdr:row>
          <xdr:rowOff>76200</xdr:rowOff>
        </xdr:from>
        <xdr:to>
          <xdr:col>40</xdr:col>
          <xdr:colOff>219075</xdr:colOff>
          <xdr:row>8</xdr:row>
          <xdr:rowOff>257175</xdr:rowOff>
        </xdr:to>
        <xdr:sp macro="" textlink="">
          <xdr:nvSpPr>
            <xdr:cNvPr id="79932" name="Check Box 60" hidden="1">
              <a:extLst>
                <a:ext uri="{63B3BB69-23CF-44E3-9099-C40C66FF867C}">
                  <a14:compatExt spid="_x0000_s79932"/>
                </a:ext>
                <a:ext uri="{FF2B5EF4-FFF2-40B4-BE49-F238E27FC236}">
                  <a16:creationId xmlns:a16="http://schemas.microsoft.com/office/drawing/2014/main" id="{00000000-0008-0000-2B00-00003C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9</xdr:row>
          <xdr:rowOff>66675</xdr:rowOff>
        </xdr:from>
        <xdr:to>
          <xdr:col>34</xdr:col>
          <xdr:colOff>257175</xdr:colOff>
          <xdr:row>9</xdr:row>
          <xdr:rowOff>276225</xdr:rowOff>
        </xdr:to>
        <xdr:sp macro="" textlink="">
          <xdr:nvSpPr>
            <xdr:cNvPr id="79933" name="Check Box 61" hidden="1">
              <a:extLst>
                <a:ext uri="{63B3BB69-23CF-44E3-9099-C40C66FF867C}">
                  <a14:compatExt spid="_x0000_s79933"/>
                </a:ext>
                <a:ext uri="{FF2B5EF4-FFF2-40B4-BE49-F238E27FC236}">
                  <a16:creationId xmlns:a16="http://schemas.microsoft.com/office/drawing/2014/main" id="{00000000-0008-0000-2B00-00003D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9</xdr:row>
          <xdr:rowOff>66675</xdr:rowOff>
        </xdr:from>
        <xdr:to>
          <xdr:col>37</xdr:col>
          <xdr:colOff>238125</xdr:colOff>
          <xdr:row>9</xdr:row>
          <xdr:rowOff>295275</xdr:rowOff>
        </xdr:to>
        <xdr:sp macro="" textlink="">
          <xdr:nvSpPr>
            <xdr:cNvPr id="79934" name="Check Box 62" hidden="1">
              <a:extLst>
                <a:ext uri="{63B3BB69-23CF-44E3-9099-C40C66FF867C}">
                  <a14:compatExt spid="_x0000_s79934"/>
                </a:ext>
                <a:ext uri="{FF2B5EF4-FFF2-40B4-BE49-F238E27FC236}">
                  <a16:creationId xmlns:a16="http://schemas.microsoft.com/office/drawing/2014/main" id="{00000000-0008-0000-2B00-00003E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9</xdr:row>
          <xdr:rowOff>66675</xdr:rowOff>
        </xdr:from>
        <xdr:to>
          <xdr:col>40</xdr:col>
          <xdr:colOff>257175</xdr:colOff>
          <xdr:row>9</xdr:row>
          <xdr:rowOff>304800</xdr:rowOff>
        </xdr:to>
        <xdr:sp macro="" textlink="">
          <xdr:nvSpPr>
            <xdr:cNvPr id="79935" name="Check Box 63" hidden="1">
              <a:extLst>
                <a:ext uri="{63B3BB69-23CF-44E3-9099-C40C66FF867C}">
                  <a14:compatExt spid="_x0000_s79935"/>
                </a:ext>
                <a:ext uri="{FF2B5EF4-FFF2-40B4-BE49-F238E27FC236}">
                  <a16:creationId xmlns:a16="http://schemas.microsoft.com/office/drawing/2014/main" id="{00000000-0008-0000-2B00-00003F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10</xdr:row>
          <xdr:rowOff>76200</xdr:rowOff>
        </xdr:from>
        <xdr:to>
          <xdr:col>34</xdr:col>
          <xdr:colOff>257175</xdr:colOff>
          <xdr:row>10</xdr:row>
          <xdr:rowOff>314325</xdr:rowOff>
        </xdr:to>
        <xdr:sp macro="" textlink="">
          <xdr:nvSpPr>
            <xdr:cNvPr id="79936" name="Check Box 64" hidden="1">
              <a:extLst>
                <a:ext uri="{63B3BB69-23CF-44E3-9099-C40C66FF867C}">
                  <a14:compatExt spid="_x0000_s79936"/>
                </a:ext>
                <a:ext uri="{FF2B5EF4-FFF2-40B4-BE49-F238E27FC236}">
                  <a16:creationId xmlns:a16="http://schemas.microsoft.com/office/drawing/2014/main" id="{00000000-0008-0000-2B00-000040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10</xdr:row>
          <xdr:rowOff>66675</xdr:rowOff>
        </xdr:from>
        <xdr:to>
          <xdr:col>37</xdr:col>
          <xdr:colOff>228600</xdr:colOff>
          <xdr:row>10</xdr:row>
          <xdr:rowOff>295275</xdr:rowOff>
        </xdr:to>
        <xdr:sp macro="" textlink="">
          <xdr:nvSpPr>
            <xdr:cNvPr id="79937" name="Check Box 65" hidden="1">
              <a:extLst>
                <a:ext uri="{63B3BB69-23CF-44E3-9099-C40C66FF867C}">
                  <a14:compatExt spid="_x0000_s79937"/>
                </a:ext>
                <a:ext uri="{FF2B5EF4-FFF2-40B4-BE49-F238E27FC236}">
                  <a16:creationId xmlns:a16="http://schemas.microsoft.com/office/drawing/2014/main" id="{00000000-0008-0000-2B00-00004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10</xdr:row>
          <xdr:rowOff>76200</xdr:rowOff>
        </xdr:from>
        <xdr:to>
          <xdr:col>40</xdr:col>
          <xdr:colOff>219075</xdr:colOff>
          <xdr:row>10</xdr:row>
          <xdr:rowOff>295275</xdr:rowOff>
        </xdr:to>
        <xdr:sp macro="" textlink="">
          <xdr:nvSpPr>
            <xdr:cNvPr id="79938" name="Check Box 66" hidden="1">
              <a:extLst>
                <a:ext uri="{63B3BB69-23CF-44E3-9099-C40C66FF867C}">
                  <a14:compatExt spid="_x0000_s79938"/>
                </a:ext>
                <a:ext uri="{FF2B5EF4-FFF2-40B4-BE49-F238E27FC236}">
                  <a16:creationId xmlns:a16="http://schemas.microsoft.com/office/drawing/2014/main" id="{00000000-0008-0000-2B00-00004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11</xdr:row>
          <xdr:rowOff>66675</xdr:rowOff>
        </xdr:from>
        <xdr:to>
          <xdr:col>34</xdr:col>
          <xdr:colOff>228600</xdr:colOff>
          <xdr:row>11</xdr:row>
          <xdr:rowOff>276225</xdr:rowOff>
        </xdr:to>
        <xdr:sp macro="" textlink="">
          <xdr:nvSpPr>
            <xdr:cNvPr id="79939" name="Check Box 67" hidden="1">
              <a:extLst>
                <a:ext uri="{63B3BB69-23CF-44E3-9099-C40C66FF867C}">
                  <a14:compatExt spid="_x0000_s79939"/>
                </a:ext>
                <a:ext uri="{FF2B5EF4-FFF2-40B4-BE49-F238E27FC236}">
                  <a16:creationId xmlns:a16="http://schemas.microsoft.com/office/drawing/2014/main" id="{00000000-0008-0000-2B00-00004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11</xdr:row>
          <xdr:rowOff>66675</xdr:rowOff>
        </xdr:from>
        <xdr:to>
          <xdr:col>37</xdr:col>
          <xdr:colOff>238125</xdr:colOff>
          <xdr:row>11</xdr:row>
          <xdr:rowOff>295275</xdr:rowOff>
        </xdr:to>
        <xdr:sp macro="" textlink="">
          <xdr:nvSpPr>
            <xdr:cNvPr id="79940" name="Check Box 68" hidden="1">
              <a:extLst>
                <a:ext uri="{63B3BB69-23CF-44E3-9099-C40C66FF867C}">
                  <a14:compatExt spid="_x0000_s79940"/>
                </a:ext>
                <a:ext uri="{FF2B5EF4-FFF2-40B4-BE49-F238E27FC236}">
                  <a16:creationId xmlns:a16="http://schemas.microsoft.com/office/drawing/2014/main" id="{00000000-0008-0000-2B00-00004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11</xdr:row>
          <xdr:rowOff>66675</xdr:rowOff>
        </xdr:from>
        <xdr:to>
          <xdr:col>40</xdr:col>
          <xdr:colOff>219075</xdr:colOff>
          <xdr:row>11</xdr:row>
          <xdr:rowOff>276225</xdr:rowOff>
        </xdr:to>
        <xdr:sp macro="" textlink="">
          <xdr:nvSpPr>
            <xdr:cNvPr id="79941" name="Check Box 69" hidden="1">
              <a:extLst>
                <a:ext uri="{63B3BB69-23CF-44E3-9099-C40C66FF867C}">
                  <a14:compatExt spid="_x0000_s79941"/>
                </a:ext>
                <a:ext uri="{FF2B5EF4-FFF2-40B4-BE49-F238E27FC236}">
                  <a16:creationId xmlns:a16="http://schemas.microsoft.com/office/drawing/2014/main" id="{00000000-0008-0000-2B00-00004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12</xdr:row>
          <xdr:rowOff>66675</xdr:rowOff>
        </xdr:from>
        <xdr:to>
          <xdr:col>34</xdr:col>
          <xdr:colOff>257175</xdr:colOff>
          <xdr:row>12</xdr:row>
          <xdr:rowOff>295275</xdr:rowOff>
        </xdr:to>
        <xdr:sp macro="" textlink="">
          <xdr:nvSpPr>
            <xdr:cNvPr id="79942" name="Check Box 70" hidden="1">
              <a:extLst>
                <a:ext uri="{63B3BB69-23CF-44E3-9099-C40C66FF867C}">
                  <a14:compatExt spid="_x0000_s79942"/>
                </a:ext>
                <a:ext uri="{FF2B5EF4-FFF2-40B4-BE49-F238E27FC236}">
                  <a16:creationId xmlns:a16="http://schemas.microsoft.com/office/drawing/2014/main" id="{00000000-0008-0000-2B00-00004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12</xdr:row>
          <xdr:rowOff>85725</xdr:rowOff>
        </xdr:from>
        <xdr:to>
          <xdr:col>37</xdr:col>
          <xdr:colOff>219075</xdr:colOff>
          <xdr:row>12</xdr:row>
          <xdr:rowOff>295275</xdr:rowOff>
        </xdr:to>
        <xdr:sp macro="" textlink="">
          <xdr:nvSpPr>
            <xdr:cNvPr id="79943" name="Check Box 71" hidden="1">
              <a:extLst>
                <a:ext uri="{63B3BB69-23CF-44E3-9099-C40C66FF867C}">
                  <a14:compatExt spid="_x0000_s79943"/>
                </a:ext>
                <a:ext uri="{FF2B5EF4-FFF2-40B4-BE49-F238E27FC236}">
                  <a16:creationId xmlns:a16="http://schemas.microsoft.com/office/drawing/2014/main" id="{00000000-0008-0000-2B00-00004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12</xdr:row>
          <xdr:rowOff>76200</xdr:rowOff>
        </xdr:from>
        <xdr:to>
          <xdr:col>40</xdr:col>
          <xdr:colOff>219075</xdr:colOff>
          <xdr:row>12</xdr:row>
          <xdr:rowOff>295275</xdr:rowOff>
        </xdr:to>
        <xdr:sp macro="" textlink="">
          <xdr:nvSpPr>
            <xdr:cNvPr id="79944" name="Check Box 72" hidden="1">
              <a:extLst>
                <a:ext uri="{63B3BB69-23CF-44E3-9099-C40C66FF867C}">
                  <a14:compatExt spid="_x0000_s79944"/>
                </a:ext>
                <a:ext uri="{FF2B5EF4-FFF2-40B4-BE49-F238E27FC236}">
                  <a16:creationId xmlns:a16="http://schemas.microsoft.com/office/drawing/2014/main" id="{00000000-0008-0000-2B00-00004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13</xdr:row>
          <xdr:rowOff>47625</xdr:rowOff>
        </xdr:from>
        <xdr:to>
          <xdr:col>34</xdr:col>
          <xdr:colOff>257175</xdr:colOff>
          <xdr:row>13</xdr:row>
          <xdr:rowOff>295275</xdr:rowOff>
        </xdr:to>
        <xdr:sp macro="" textlink="">
          <xdr:nvSpPr>
            <xdr:cNvPr id="79945" name="Check Box 73" hidden="1">
              <a:extLst>
                <a:ext uri="{63B3BB69-23CF-44E3-9099-C40C66FF867C}">
                  <a14:compatExt spid="_x0000_s79945"/>
                </a:ext>
                <a:ext uri="{FF2B5EF4-FFF2-40B4-BE49-F238E27FC236}">
                  <a16:creationId xmlns:a16="http://schemas.microsoft.com/office/drawing/2014/main" id="{00000000-0008-0000-2B00-00004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13</xdr:row>
          <xdr:rowOff>66675</xdr:rowOff>
        </xdr:from>
        <xdr:to>
          <xdr:col>37</xdr:col>
          <xdr:colOff>257175</xdr:colOff>
          <xdr:row>13</xdr:row>
          <xdr:rowOff>295275</xdr:rowOff>
        </xdr:to>
        <xdr:sp macro="" textlink="">
          <xdr:nvSpPr>
            <xdr:cNvPr id="79946" name="Check Box 74" hidden="1">
              <a:extLst>
                <a:ext uri="{63B3BB69-23CF-44E3-9099-C40C66FF867C}">
                  <a14:compatExt spid="_x0000_s79946"/>
                </a:ext>
                <a:ext uri="{FF2B5EF4-FFF2-40B4-BE49-F238E27FC236}">
                  <a16:creationId xmlns:a16="http://schemas.microsoft.com/office/drawing/2014/main" id="{00000000-0008-0000-2B00-00004A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13</xdr:row>
          <xdr:rowOff>66675</xdr:rowOff>
        </xdr:from>
        <xdr:to>
          <xdr:col>40</xdr:col>
          <xdr:colOff>257175</xdr:colOff>
          <xdr:row>13</xdr:row>
          <xdr:rowOff>295275</xdr:rowOff>
        </xdr:to>
        <xdr:sp macro="" textlink="">
          <xdr:nvSpPr>
            <xdr:cNvPr id="79947" name="Check Box 75" hidden="1">
              <a:extLst>
                <a:ext uri="{63B3BB69-23CF-44E3-9099-C40C66FF867C}">
                  <a14:compatExt spid="_x0000_s79947"/>
                </a:ext>
                <a:ext uri="{FF2B5EF4-FFF2-40B4-BE49-F238E27FC236}">
                  <a16:creationId xmlns:a16="http://schemas.microsoft.com/office/drawing/2014/main" id="{00000000-0008-0000-2B00-00004B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14</xdr:row>
          <xdr:rowOff>66675</xdr:rowOff>
        </xdr:from>
        <xdr:to>
          <xdr:col>34</xdr:col>
          <xdr:colOff>228600</xdr:colOff>
          <xdr:row>14</xdr:row>
          <xdr:rowOff>314325</xdr:rowOff>
        </xdr:to>
        <xdr:sp macro="" textlink="">
          <xdr:nvSpPr>
            <xdr:cNvPr id="79948" name="Check Box 76" hidden="1">
              <a:extLst>
                <a:ext uri="{63B3BB69-23CF-44E3-9099-C40C66FF867C}">
                  <a14:compatExt spid="_x0000_s79948"/>
                </a:ext>
                <a:ext uri="{FF2B5EF4-FFF2-40B4-BE49-F238E27FC236}">
                  <a16:creationId xmlns:a16="http://schemas.microsoft.com/office/drawing/2014/main" id="{00000000-0008-0000-2B00-00004C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14</xdr:row>
          <xdr:rowOff>76200</xdr:rowOff>
        </xdr:from>
        <xdr:to>
          <xdr:col>37</xdr:col>
          <xdr:colOff>238125</xdr:colOff>
          <xdr:row>14</xdr:row>
          <xdr:rowOff>276225</xdr:rowOff>
        </xdr:to>
        <xdr:sp macro="" textlink="">
          <xdr:nvSpPr>
            <xdr:cNvPr id="79949" name="Check Box 77" hidden="1">
              <a:extLst>
                <a:ext uri="{63B3BB69-23CF-44E3-9099-C40C66FF867C}">
                  <a14:compatExt spid="_x0000_s79949"/>
                </a:ext>
                <a:ext uri="{FF2B5EF4-FFF2-40B4-BE49-F238E27FC236}">
                  <a16:creationId xmlns:a16="http://schemas.microsoft.com/office/drawing/2014/main" id="{00000000-0008-0000-2B00-00004D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14</xdr:row>
          <xdr:rowOff>66675</xdr:rowOff>
        </xdr:from>
        <xdr:to>
          <xdr:col>40</xdr:col>
          <xdr:colOff>219075</xdr:colOff>
          <xdr:row>14</xdr:row>
          <xdr:rowOff>295275</xdr:rowOff>
        </xdr:to>
        <xdr:sp macro="" textlink="">
          <xdr:nvSpPr>
            <xdr:cNvPr id="79950" name="Check Box 78" hidden="1">
              <a:extLst>
                <a:ext uri="{63B3BB69-23CF-44E3-9099-C40C66FF867C}">
                  <a14:compatExt spid="_x0000_s79950"/>
                </a:ext>
                <a:ext uri="{FF2B5EF4-FFF2-40B4-BE49-F238E27FC236}">
                  <a16:creationId xmlns:a16="http://schemas.microsoft.com/office/drawing/2014/main" id="{00000000-0008-0000-2B00-00004E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15</xdr:row>
          <xdr:rowOff>66675</xdr:rowOff>
        </xdr:from>
        <xdr:to>
          <xdr:col>34</xdr:col>
          <xdr:colOff>266700</xdr:colOff>
          <xdr:row>15</xdr:row>
          <xdr:rowOff>276225</xdr:rowOff>
        </xdr:to>
        <xdr:sp macro="" textlink="">
          <xdr:nvSpPr>
            <xdr:cNvPr id="79951" name="Check Box 79" hidden="1">
              <a:extLst>
                <a:ext uri="{63B3BB69-23CF-44E3-9099-C40C66FF867C}">
                  <a14:compatExt spid="_x0000_s79951"/>
                </a:ext>
                <a:ext uri="{FF2B5EF4-FFF2-40B4-BE49-F238E27FC236}">
                  <a16:creationId xmlns:a16="http://schemas.microsoft.com/office/drawing/2014/main" id="{00000000-0008-0000-2B00-00004F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15</xdr:row>
          <xdr:rowOff>85725</xdr:rowOff>
        </xdr:from>
        <xdr:to>
          <xdr:col>37</xdr:col>
          <xdr:colOff>238125</xdr:colOff>
          <xdr:row>15</xdr:row>
          <xdr:rowOff>304800</xdr:rowOff>
        </xdr:to>
        <xdr:sp macro="" textlink="">
          <xdr:nvSpPr>
            <xdr:cNvPr id="79952" name="Check Box 80" hidden="1">
              <a:extLst>
                <a:ext uri="{63B3BB69-23CF-44E3-9099-C40C66FF867C}">
                  <a14:compatExt spid="_x0000_s79952"/>
                </a:ext>
                <a:ext uri="{FF2B5EF4-FFF2-40B4-BE49-F238E27FC236}">
                  <a16:creationId xmlns:a16="http://schemas.microsoft.com/office/drawing/2014/main" id="{00000000-0008-0000-2B00-000050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15</xdr:row>
          <xdr:rowOff>104775</xdr:rowOff>
        </xdr:from>
        <xdr:to>
          <xdr:col>40</xdr:col>
          <xdr:colOff>257175</xdr:colOff>
          <xdr:row>15</xdr:row>
          <xdr:rowOff>276225</xdr:rowOff>
        </xdr:to>
        <xdr:sp macro="" textlink="">
          <xdr:nvSpPr>
            <xdr:cNvPr id="79953" name="Check Box 81" hidden="1">
              <a:extLst>
                <a:ext uri="{63B3BB69-23CF-44E3-9099-C40C66FF867C}">
                  <a14:compatExt spid="_x0000_s79953"/>
                </a:ext>
                <a:ext uri="{FF2B5EF4-FFF2-40B4-BE49-F238E27FC236}">
                  <a16:creationId xmlns:a16="http://schemas.microsoft.com/office/drawing/2014/main" id="{00000000-0008-0000-2B00-00005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16</xdr:row>
          <xdr:rowOff>66675</xdr:rowOff>
        </xdr:from>
        <xdr:to>
          <xdr:col>34</xdr:col>
          <xdr:colOff>228600</xdr:colOff>
          <xdr:row>16</xdr:row>
          <xdr:rowOff>276225</xdr:rowOff>
        </xdr:to>
        <xdr:sp macro="" textlink="">
          <xdr:nvSpPr>
            <xdr:cNvPr id="79954" name="Check Box 82" hidden="1">
              <a:extLst>
                <a:ext uri="{63B3BB69-23CF-44E3-9099-C40C66FF867C}">
                  <a14:compatExt spid="_x0000_s79954"/>
                </a:ext>
                <a:ext uri="{FF2B5EF4-FFF2-40B4-BE49-F238E27FC236}">
                  <a16:creationId xmlns:a16="http://schemas.microsoft.com/office/drawing/2014/main" id="{00000000-0008-0000-2B00-00005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16</xdr:row>
          <xdr:rowOff>66675</xdr:rowOff>
        </xdr:from>
        <xdr:to>
          <xdr:col>37</xdr:col>
          <xdr:colOff>219075</xdr:colOff>
          <xdr:row>16</xdr:row>
          <xdr:rowOff>266700</xdr:rowOff>
        </xdr:to>
        <xdr:sp macro="" textlink="">
          <xdr:nvSpPr>
            <xdr:cNvPr id="79955" name="Check Box 83" hidden="1">
              <a:extLst>
                <a:ext uri="{63B3BB69-23CF-44E3-9099-C40C66FF867C}">
                  <a14:compatExt spid="_x0000_s79955"/>
                </a:ext>
                <a:ext uri="{FF2B5EF4-FFF2-40B4-BE49-F238E27FC236}">
                  <a16:creationId xmlns:a16="http://schemas.microsoft.com/office/drawing/2014/main" id="{00000000-0008-0000-2B00-00005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16</xdr:row>
          <xdr:rowOff>66675</xdr:rowOff>
        </xdr:from>
        <xdr:to>
          <xdr:col>40</xdr:col>
          <xdr:colOff>219075</xdr:colOff>
          <xdr:row>16</xdr:row>
          <xdr:rowOff>276225</xdr:rowOff>
        </xdr:to>
        <xdr:sp macro="" textlink="">
          <xdr:nvSpPr>
            <xdr:cNvPr id="79956" name="Check Box 84" hidden="1">
              <a:extLst>
                <a:ext uri="{63B3BB69-23CF-44E3-9099-C40C66FF867C}">
                  <a14:compatExt spid="_x0000_s79956"/>
                </a:ext>
                <a:ext uri="{FF2B5EF4-FFF2-40B4-BE49-F238E27FC236}">
                  <a16:creationId xmlns:a16="http://schemas.microsoft.com/office/drawing/2014/main" id="{00000000-0008-0000-2B00-00005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17</xdr:row>
          <xdr:rowOff>66675</xdr:rowOff>
        </xdr:from>
        <xdr:to>
          <xdr:col>34</xdr:col>
          <xdr:colOff>238125</xdr:colOff>
          <xdr:row>17</xdr:row>
          <xdr:rowOff>276225</xdr:rowOff>
        </xdr:to>
        <xdr:sp macro="" textlink="">
          <xdr:nvSpPr>
            <xdr:cNvPr id="79957" name="Check Box 85" hidden="1">
              <a:extLst>
                <a:ext uri="{63B3BB69-23CF-44E3-9099-C40C66FF867C}">
                  <a14:compatExt spid="_x0000_s79957"/>
                </a:ext>
                <a:ext uri="{FF2B5EF4-FFF2-40B4-BE49-F238E27FC236}">
                  <a16:creationId xmlns:a16="http://schemas.microsoft.com/office/drawing/2014/main" id="{00000000-0008-0000-2B00-00005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17</xdr:row>
          <xdr:rowOff>66675</xdr:rowOff>
        </xdr:from>
        <xdr:to>
          <xdr:col>37</xdr:col>
          <xdr:colOff>228600</xdr:colOff>
          <xdr:row>17</xdr:row>
          <xdr:rowOff>276225</xdr:rowOff>
        </xdr:to>
        <xdr:sp macro="" textlink="">
          <xdr:nvSpPr>
            <xdr:cNvPr id="79958" name="Check Box 86" hidden="1">
              <a:extLst>
                <a:ext uri="{63B3BB69-23CF-44E3-9099-C40C66FF867C}">
                  <a14:compatExt spid="_x0000_s79958"/>
                </a:ext>
                <a:ext uri="{FF2B5EF4-FFF2-40B4-BE49-F238E27FC236}">
                  <a16:creationId xmlns:a16="http://schemas.microsoft.com/office/drawing/2014/main" id="{00000000-0008-0000-2B00-00005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17</xdr:row>
          <xdr:rowOff>47625</xdr:rowOff>
        </xdr:from>
        <xdr:to>
          <xdr:col>40</xdr:col>
          <xdr:colOff>257175</xdr:colOff>
          <xdr:row>17</xdr:row>
          <xdr:rowOff>257175</xdr:rowOff>
        </xdr:to>
        <xdr:sp macro="" textlink="">
          <xdr:nvSpPr>
            <xdr:cNvPr id="79959" name="Check Box 87" hidden="1">
              <a:extLst>
                <a:ext uri="{63B3BB69-23CF-44E3-9099-C40C66FF867C}">
                  <a14:compatExt spid="_x0000_s79959"/>
                </a:ext>
                <a:ext uri="{FF2B5EF4-FFF2-40B4-BE49-F238E27FC236}">
                  <a16:creationId xmlns:a16="http://schemas.microsoft.com/office/drawing/2014/main" id="{00000000-0008-0000-2B00-00005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9</xdr:row>
          <xdr:rowOff>9525</xdr:rowOff>
        </xdr:from>
        <xdr:to>
          <xdr:col>3</xdr:col>
          <xdr:colOff>219075</xdr:colOff>
          <xdr:row>9</xdr:row>
          <xdr:rowOff>219075</xdr:rowOff>
        </xdr:to>
        <xdr:sp macro="" textlink="">
          <xdr:nvSpPr>
            <xdr:cNvPr id="86017" name="Check Box 1" hidden="1">
              <a:extLst>
                <a:ext uri="{63B3BB69-23CF-44E3-9099-C40C66FF867C}">
                  <a14:compatExt spid="_x0000_s86017"/>
                </a:ext>
                <a:ext uri="{FF2B5EF4-FFF2-40B4-BE49-F238E27FC236}">
                  <a16:creationId xmlns:a16="http://schemas.microsoft.com/office/drawing/2014/main" id="{00000000-0008-0000-3100-00000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10</xdr:row>
          <xdr:rowOff>9525</xdr:rowOff>
        </xdr:from>
        <xdr:to>
          <xdr:col>3</xdr:col>
          <xdr:colOff>257175</xdr:colOff>
          <xdr:row>10</xdr:row>
          <xdr:rowOff>219075</xdr:rowOff>
        </xdr:to>
        <xdr:sp macro="" textlink="">
          <xdr:nvSpPr>
            <xdr:cNvPr id="86018" name="Check Box 2" hidden="1">
              <a:extLst>
                <a:ext uri="{63B3BB69-23CF-44E3-9099-C40C66FF867C}">
                  <a14:compatExt spid="_x0000_s86018"/>
                </a:ext>
                <a:ext uri="{FF2B5EF4-FFF2-40B4-BE49-F238E27FC236}">
                  <a16:creationId xmlns:a16="http://schemas.microsoft.com/office/drawing/2014/main" id="{00000000-0008-0000-3100-00000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11</xdr:row>
          <xdr:rowOff>28575</xdr:rowOff>
        </xdr:from>
        <xdr:to>
          <xdr:col>4</xdr:col>
          <xdr:colOff>9525</xdr:colOff>
          <xdr:row>11</xdr:row>
          <xdr:rowOff>219075</xdr:rowOff>
        </xdr:to>
        <xdr:sp macro="" textlink="">
          <xdr:nvSpPr>
            <xdr:cNvPr id="86019" name="Check Box 3" hidden="1">
              <a:extLst>
                <a:ext uri="{63B3BB69-23CF-44E3-9099-C40C66FF867C}">
                  <a14:compatExt spid="_x0000_s86019"/>
                </a:ext>
                <a:ext uri="{FF2B5EF4-FFF2-40B4-BE49-F238E27FC236}">
                  <a16:creationId xmlns:a16="http://schemas.microsoft.com/office/drawing/2014/main" id="{00000000-0008-0000-3100-00000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12</xdr:row>
          <xdr:rowOff>28575</xdr:rowOff>
        </xdr:from>
        <xdr:to>
          <xdr:col>3</xdr:col>
          <xdr:colOff>238125</xdr:colOff>
          <xdr:row>12</xdr:row>
          <xdr:rowOff>219075</xdr:rowOff>
        </xdr:to>
        <xdr:sp macro="" textlink="">
          <xdr:nvSpPr>
            <xdr:cNvPr id="86020" name="Check Box 4" hidden="1">
              <a:extLst>
                <a:ext uri="{63B3BB69-23CF-44E3-9099-C40C66FF867C}">
                  <a14:compatExt spid="_x0000_s86020"/>
                </a:ext>
                <a:ext uri="{FF2B5EF4-FFF2-40B4-BE49-F238E27FC236}">
                  <a16:creationId xmlns:a16="http://schemas.microsoft.com/office/drawing/2014/main" id="{00000000-0008-0000-3100-00000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13</xdr:row>
          <xdr:rowOff>9525</xdr:rowOff>
        </xdr:from>
        <xdr:to>
          <xdr:col>3</xdr:col>
          <xdr:colOff>276225</xdr:colOff>
          <xdr:row>13</xdr:row>
          <xdr:rowOff>219075</xdr:rowOff>
        </xdr:to>
        <xdr:sp macro="" textlink="">
          <xdr:nvSpPr>
            <xdr:cNvPr id="86021" name="Check Box 5" hidden="1">
              <a:extLst>
                <a:ext uri="{63B3BB69-23CF-44E3-9099-C40C66FF867C}">
                  <a14:compatExt spid="_x0000_s86021"/>
                </a:ext>
                <a:ext uri="{FF2B5EF4-FFF2-40B4-BE49-F238E27FC236}">
                  <a16:creationId xmlns:a16="http://schemas.microsoft.com/office/drawing/2014/main" id="{00000000-0008-0000-3100-00000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14</xdr:row>
          <xdr:rowOff>28575</xdr:rowOff>
        </xdr:from>
        <xdr:to>
          <xdr:col>3</xdr:col>
          <xdr:colOff>238125</xdr:colOff>
          <xdr:row>14</xdr:row>
          <xdr:rowOff>219075</xdr:rowOff>
        </xdr:to>
        <xdr:sp macro="" textlink="">
          <xdr:nvSpPr>
            <xdr:cNvPr id="86022" name="Check Box 6" hidden="1">
              <a:extLst>
                <a:ext uri="{63B3BB69-23CF-44E3-9099-C40C66FF867C}">
                  <a14:compatExt spid="_x0000_s86022"/>
                </a:ext>
                <a:ext uri="{FF2B5EF4-FFF2-40B4-BE49-F238E27FC236}">
                  <a16:creationId xmlns:a16="http://schemas.microsoft.com/office/drawing/2014/main" id="{00000000-0008-0000-3100-000006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15</xdr:row>
          <xdr:rowOff>28575</xdr:rowOff>
        </xdr:from>
        <xdr:to>
          <xdr:col>3</xdr:col>
          <xdr:colOff>257175</xdr:colOff>
          <xdr:row>15</xdr:row>
          <xdr:rowOff>238125</xdr:rowOff>
        </xdr:to>
        <xdr:sp macro="" textlink="">
          <xdr:nvSpPr>
            <xdr:cNvPr id="86023" name="Check Box 7" hidden="1">
              <a:extLst>
                <a:ext uri="{63B3BB69-23CF-44E3-9099-C40C66FF867C}">
                  <a14:compatExt spid="_x0000_s86023"/>
                </a:ext>
                <a:ext uri="{FF2B5EF4-FFF2-40B4-BE49-F238E27FC236}">
                  <a16:creationId xmlns:a16="http://schemas.microsoft.com/office/drawing/2014/main" id="{00000000-0008-0000-3100-000007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16</xdr:row>
          <xdr:rowOff>28575</xdr:rowOff>
        </xdr:from>
        <xdr:to>
          <xdr:col>3</xdr:col>
          <xdr:colOff>257175</xdr:colOff>
          <xdr:row>16</xdr:row>
          <xdr:rowOff>219075</xdr:rowOff>
        </xdr:to>
        <xdr:sp macro="" textlink="">
          <xdr:nvSpPr>
            <xdr:cNvPr id="86024" name="Check Box 8" hidden="1">
              <a:extLst>
                <a:ext uri="{63B3BB69-23CF-44E3-9099-C40C66FF867C}">
                  <a14:compatExt spid="_x0000_s86024"/>
                </a:ext>
                <a:ext uri="{FF2B5EF4-FFF2-40B4-BE49-F238E27FC236}">
                  <a16:creationId xmlns:a16="http://schemas.microsoft.com/office/drawing/2014/main" id="{00000000-0008-0000-3100-000008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17</xdr:row>
          <xdr:rowOff>76200</xdr:rowOff>
        </xdr:from>
        <xdr:to>
          <xdr:col>3</xdr:col>
          <xdr:colOff>228600</xdr:colOff>
          <xdr:row>17</xdr:row>
          <xdr:rowOff>295275</xdr:rowOff>
        </xdr:to>
        <xdr:sp macro="" textlink="">
          <xdr:nvSpPr>
            <xdr:cNvPr id="86025" name="Check Box 9" hidden="1">
              <a:extLst>
                <a:ext uri="{63B3BB69-23CF-44E3-9099-C40C66FF867C}">
                  <a14:compatExt spid="_x0000_s86025"/>
                </a:ext>
                <a:ext uri="{FF2B5EF4-FFF2-40B4-BE49-F238E27FC236}">
                  <a16:creationId xmlns:a16="http://schemas.microsoft.com/office/drawing/2014/main" id="{00000000-0008-0000-3100-000009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18</xdr:row>
          <xdr:rowOff>161925</xdr:rowOff>
        </xdr:from>
        <xdr:to>
          <xdr:col>4</xdr:col>
          <xdr:colOff>0</xdr:colOff>
          <xdr:row>18</xdr:row>
          <xdr:rowOff>371475</xdr:rowOff>
        </xdr:to>
        <xdr:sp macro="" textlink="">
          <xdr:nvSpPr>
            <xdr:cNvPr id="86026" name="Check Box 10" hidden="1">
              <a:extLst>
                <a:ext uri="{63B3BB69-23CF-44E3-9099-C40C66FF867C}">
                  <a14:compatExt spid="_x0000_s86026"/>
                </a:ext>
                <a:ext uri="{FF2B5EF4-FFF2-40B4-BE49-F238E27FC236}">
                  <a16:creationId xmlns:a16="http://schemas.microsoft.com/office/drawing/2014/main" id="{00000000-0008-0000-3100-00000A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19</xdr:row>
          <xdr:rowOff>0</xdr:rowOff>
        </xdr:from>
        <xdr:to>
          <xdr:col>4</xdr:col>
          <xdr:colOff>28575</xdr:colOff>
          <xdr:row>19</xdr:row>
          <xdr:rowOff>219075</xdr:rowOff>
        </xdr:to>
        <xdr:sp macro="" textlink="">
          <xdr:nvSpPr>
            <xdr:cNvPr id="86027" name="Check Box 11" hidden="1">
              <a:extLst>
                <a:ext uri="{63B3BB69-23CF-44E3-9099-C40C66FF867C}">
                  <a14:compatExt spid="_x0000_s86027"/>
                </a:ext>
                <a:ext uri="{FF2B5EF4-FFF2-40B4-BE49-F238E27FC236}">
                  <a16:creationId xmlns:a16="http://schemas.microsoft.com/office/drawing/2014/main" id="{00000000-0008-0000-3100-00000B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21</xdr:row>
          <xdr:rowOff>38100</xdr:rowOff>
        </xdr:from>
        <xdr:to>
          <xdr:col>4</xdr:col>
          <xdr:colOff>9525</xdr:colOff>
          <xdr:row>22</xdr:row>
          <xdr:rowOff>9525</xdr:rowOff>
        </xdr:to>
        <xdr:sp macro="" textlink="">
          <xdr:nvSpPr>
            <xdr:cNvPr id="86033" name="Check Box 17" hidden="1">
              <a:extLst>
                <a:ext uri="{63B3BB69-23CF-44E3-9099-C40C66FF867C}">
                  <a14:compatExt spid="_x0000_s86033"/>
                </a:ext>
                <a:ext uri="{FF2B5EF4-FFF2-40B4-BE49-F238E27FC236}">
                  <a16:creationId xmlns:a16="http://schemas.microsoft.com/office/drawing/2014/main" id="{00000000-0008-0000-3100-00001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22</xdr:row>
          <xdr:rowOff>9525</xdr:rowOff>
        </xdr:from>
        <xdr:to>
          <xdr:col>3</xdr:col>
          <xdr:colOff>238125</xdr:colOff>
          <xdr:row>22</xdr:row>
          <xdr:rowOff>219075</xdr:rowOff>
        </xdr:to>
        <xdr:sp macro="" textlink="">
          <xdr:nvSpPr>
            <xdr:cNvPr id="86034" name="Check Box 18" hidden="1">
              <a:extLst>
                <a:ext uri="{63B3BB69-23CF-44E3-9099-C40C66FF867C}">
                  <a14:compatExt spid="_x0000_s86034"/>
                </a:ext>
                <a:ext uri="{FF2B5EF4-FFF2-40B4-BE49-F238E27FC236}">
                  <a16:creationId xmlns:a16="http://schemas.microsoft.com/office/drawing/2014/main" id="{00000000-0008-0000-3100-00001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23</xdr:row>
          <xdr:rowOff>9525</xdr:rowOff>
        </xdr:from>
        <xdr:to>
          <xdr:col>3</xdr:col>
          <xdr:colOff>266700</xdr:colOff>
          <xdr:row>23</xdr:row>
          <xdr:rowOff>257175</xdr:rowOff>
        </xdr:to>
        <xdr:sp macro="" textlink="">
          <xdr:nvSpPr>
            <xdr:cNvPr id="86035" name="Check Box 19" hidden="1">
              <a:extLst>
                <a:ext uri="{63B3BB69-23CF-44E3-9099-C40C66FF867C}">
                  <a14:compatExt spid="_x0000_s86035"/>
                </a:ext>
                <a:ext uri="{FF2B5EF4-FFF2-40B4-BE49-F238E27FC236}">
                  <a16:creationId xmlns:a16="http://schemas.microsoft.com/office/drawing/2014/main" id="{00000000-0008-0000-3100-00001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24</xdr:row>
          <xdr:rowOff>47625</xdr:rowOff>
        </xdr:from>
        <xdr:to>
          <xdr:col>3</xdr:col>
          <xdr:colOff>266700</xdr:colOff>
          <xdr:row>24</xdr:row>
          <xdr:rowOff>238125</xdr:rowOff>
        </xdr:to>
        <xdr:sp macro="" textlink="">
          <xdr:nvSpPr>
            <xdr:cNvPr id="86036" name="Check Box 20" hidden="1">
              <a:extLst>
                <a:ext uri="{63B3BB69-23CF-44E3-9099-C40C66FF867C}">
                  <a14:compatExt spid="_x0000_s86036"/>
                </a:ext>
                <a:ext uri="{FF2B5EF4-FFF2-40B4-BE49-F238E27FC236}">
                  <a16:creationId xmlns:a16="http://schemas.microsoft.com/office/drawing/2014/main" id="{00000000-0008-0000-3100-00001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25</xdr:row>
          <xdr:rowOff>9525</xdr:rowOff>
        </xdr:from>
        <xdr:to>
          <xdr:col>3</xdr:col>
          <xdr:colOff>238125</xdr:colOff>
          <xdr:row>25</xdr:row>
          <xdr:rowOff>219075</xdr:rowOff>
        </xdr:to>
        <xdr:sp macro="" textlink="">
          <xdr:nvSpPr>
            <xdr:cNvPr id="86037" name="Check Box 21" hidden="1">
              <a:extLst>
                <a:ext uri="{63B3BB69-23CF-44E3-9099-C40C66FF867C}">
                  <a14:compatExt spid="_x0000_s86037"/>
                </a:ext>
                <a:ext uri="{FF2B5EF4-FFF2-40B4-BE49-F238E27FC236}">
                  <a16:creationId xmlns:a16="http://schemas.microsoft.com/office/drawing/2014/main" id="{00000000-0008-0000-3100-00001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3</xdr:row>
          <xdr:rowOff>28575</xdr:rowOff>
        </xdr:from>
        <xdr:to>
          <xdr:col>3</xdr:col>
          <xdr:colOff>257175</xdr:colOff>
          <xdr:row>3</xdr:row>
          <xdr:rowOff>276225</xdr:rowOff>
        </xdr:to>
        <xdr:sp macro="" textlink="">
          <xdr:nvSpPr>
            <xdr:cNvPr id="87041" name="Check Box 1" hidden="1">
              <a:extLst>
                <a:ext uri="{63B3BB69-23CF-44E3-9099-C40C66FF867C}">
                  <a14:compatExt spid="_x0000_s87041"/>
                </a:ext>
                <a:ext uri="{FF2B5EF4-FFF2-40B4-BE49-F238E27FC236}">
                  <a16:creationId xmlns:a16="http://schemas.microsoft.com/office/drawing/2014/main" id="{00000000-0008-0000-3200-000001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6</xdr:row>
          <xdr:rowOff>47625</xdr:rowOff>
        </xdr:from>
        <xdr:to>
          <xdr:col>3</xdr:col>
          <xdr:colOff>257175</xdr:colOff>
          <xdr:row>6</xdr:row>
          <xdr:rowOff>257175</xdr:rowOff>
        </xdr:to>
        <xdr:sp macro="" textlink="">
          <xdr:nvSpPr>
            <xdr:cNvPr id="87043" name="Check Box 3" hidden="1">
              <a:extLst>
                <a:ext uri="{63B3BB69-23CF-44E3-9099-C40C66FF867C}">
                  <a14:compatExt spid="_x0000_s87043"/>
                </a:ext>
                <a:ext uri="{FF2B5EF4-FFF2-40B4-BE49-F238E27FC236}">
                  <a16:creationId xmlns:a16="http://schemas.microsoft.com/office/drawing/2014/main" id="{00000000-0008-0000-3200-000003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7</xdr:row>
          <xdr:rowOff>66675</xdr:rowOff>
        </xdr:from>
        <xdr:to>
          <xdr:col>4</xdr:col>
          <xdr:colOff>0</xdr:colOff>
          <xdr:row>7</xdr:row>
          <xdr:rowOff>276225</xdr:rowOff>
        </xdr:to>
        <xdr:sp macro="" textlink="">
          <xdr:nvSpPr>
            <xdr:cNvPr id="87044" name="Check Box 4" hidden="1">
              <a:extLst>
                <a:ext uri="{63B3BB69-23CF-44E3-9099-C40C66FF867C}">
                  <a14:compatExt spid="_x0000_s87044"/>
                </a:ext>
                <a:ext uri="{FF2B5EF4-FFF2-40B4-BE49-F238E27FC236}">
                  <a16:creationId xmlns:a16="http://schemas.microsoft.com/office/drawing/2014/main" id="{00000000-0008-0000-3200-000004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8</xdr:row>
          <xdr:rowOff>66675</xdr:rowOff>
        </xdr:from>
        <xdr:to>
          <xdr:col>4</xdr:col>
          <xdr:colOff>9525</xdr:colOff>
          <xdr:row>8</xdr:row>
          <xdr:rowOff>257175</xdr:rowOff>
        </xdr:to>
        <xdr:sp macro="" textlink="">
          <xdr:nvSpPr>
            <xdr:cNvPr id="87045" name="Check Box 5" hidden="1">
              <a:extLst>
                <a:ext uri="{63B3BB69-23CF-44E3-9099-C40C66FF867C}">
                  <a14:compatExt spid="_x0000_s87045"/>
                </a:ext>
                <a:ext uri="{FF2B5EF4-FFF2-40B4-BE49-F238E27FC236}">
                  <a16:creationId xmlns:a16="http://schemas.microsoft.com/office/drawing/2014/main" id="{00000000-0008-0000-3200-000005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9</xdr:row>
          <xdr:rowOff>47625</xdr:rowOff>
        </xdr:from>
        <xdr:to>
          <xdr:col>4</xdr:col>
          <xdr:colOff>28575</xdr:colOff>
          <xdr:row>9</xdr:row>
          <xdr:rowOff>266700</xdr:rowOff>
        </xdr:to>
        <xdr:sp macro="" textlink="">
          <xdr:nvSpPr>
            <xdr:cNvPr id="87046" name="Check Box 6" hidden="1">
              <a:extLst>
                <a:ext uri="{63B3BB69-23CF-44E3-9099-C40C66FF867C}">
                  <a14:compatExt spid="_x0000_s87046"/>
                </a:ext>
                <a:ext uri="{FF2B5EF4-FFF2-40B4-BE49-F238E27FC236}">
                  <a16:creationId xmlns:a16="http://schemas.microsoft.com/office/drawing/2014/main" id="{00000000-0008-0000-3200-000006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21</xdr:row>
          <xdr:rowOff>66675</xdr:rowOff>
        </xdr:from>
        <xdr:to>
          <xdr:col>3</xdr:col>
          <xdr:colOff>238125</xdr:colOff>
          <xdr:row>21</xdr:row>
          <xdr:rowOff>219075</xdr:rowOff>
        </xdr:to>
        <xdr:sp macro="" textlink="">
          <xdr:nvSpPr>
            <xdr:cNvPr id="87049" name="Check Box 9" hidden="1">
              <a:extLst>
                <a:ext uri="{63B3BB69-23CF-44E3-9099-C40C66FF867C}">
                  <a14:compatExt spid="_x0000_s87049"/>
                </a:ext>
                <a:ext uri="{FF2B5EF4-FFF2-40B4-BE49-F238E27FC236}">
                  <a16:creationId xmlns:a16="http://schemas.microsoft.com/office/drawing/2014/main" id="{00000000-0008-0000-3200-000009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22</xdr:row>
          <xdr:rowOff>47625</xdr:rowOff>
        </xdr:from>
        <xdr:to>
          <xdr:col>3</xdr:col>
          <xdr:colOff>266700</xdr:colOff>
          <xdr:row>22</xdr:row>
          <xdr:rowOff>257175</xdr:rowOff>
        </xdr:to>
        <xdr:sp macro="" textlink="">
          <xdr:nvSpPr>
            <xdr:cNvPr id="87050" name="Check Box 10" hidden="1">
              <a:extLst>
                <a:ext uri="{63B3BB69-23CF-44E3-9099-C40C66FF867C}">
                  <a14:compatExt spid="_x0000_s87050"/>
                </a:ext>
                <a:ext uri="{FF2B5EF4-FFF2-40B4-BE49-F238E27FC236}">
                  <a16:creationId xmlns:a16="http://schemas.microsoft.com/office/drawing/2014/main" id="{00000000-0008-0000-3200-00000A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42</xdr:row>
          <xdr:rowOff>47625</xdr:rowOff>
        </xdr:from>
        <xdr:to>
          <xdr:col>4</xdr:col>
          <xdr:colOff>28575</xdr:colOff>
          <xdr:row>44</xdr:row>
          <xdr:rowOff>9525</xdr:rowOff>
        </xdr:to>
        <xdr:sp macro="" textlink="">
          <xdr:nvSpPr>
            <xdr:cNvPr id="87051" name="Check Box 11" hidden="1">
              <a:extLst>
                <a:ext uri="{63B3BB69-23CF-44E3-9099-C40C66FF867C}">
                  <a14:compatExt spid="_x0000_s87051"/>
                </a:ext>
                <a:ext uri="{FF2B5EF4-FFF2-40B4-BE49-F238E27FC236}">
                  <a16:creationId xmlns:a16="http://schemas.microsoft.com/office/drawing/2014/main" id="{00000000-0008-0000-3200-00000B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5</xdr:row>
          <xdr:rowOff>28575</xdr:rowOff>
        </xdr:from>
        <xdr:to>
          <xdr:col>6</xdr:col>
          <xdr:colOff>228600</xdr:colOff>
          <xdr:row>5</xdr:row>
          <xdr:rowOff>228600</xdr:rowOff>
        </xdr:to>
        <xdr:sp macro="" textlink="">
          <xdr:nvSpPr>
            <xdr:cNvPr id="87052" name="Check Box 12" hidden="1">
              <a:extLst>
                <a:ext uri="{63B3BB69-23CF-44E3-9099-C40C66FF867C}">
                  <a14:compatExt spid="_x0000_s87052"/>
                </a:ext>
                <a:ext uri="{FF2B5EF4-FFF2-40B4-BE49-F238E27FC236}">
                  <a16:creationId xmlns:a16="http://schemas.microsoft.com/office/drawing/2014/main" id="{00000000-0008-0000-3200-00000C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5</xdr:row>
          <xdr:rowOff>28575</xdr:rowOff>
        </xdr:from>
        <xdr:to>
          <xdr:col>13</xdr:col>
          <xdr:colOff>238125</xdr:colOff>
          <xdr:row>5</xdr:row>
          <xdr:rowOff>219075</xdr:rowOff>
        </xdr:to>
        <xdr:sp macro="" textlink="">
          <xdr:nvSpPr>
            <xdr:cNvPr id="87053" name="Check Box 13" hidden="1">
              <a:extLst>
                <a:ext uri="{63B3BB69-23CF-44E3-9099-C40C66FF867C}">
                  <a14:compatExt spid="_x0000_s87053"/>
                </a:ext>
                <a:ext uri="{FF2B5EF4-FFF2-40B4-BE49-F238E27FC236}">
                  <a16:creationId xmlns:a16="http://schemas.microsoft.com/office/drawing/2014/main" id="{00000000-0008-0000-3200-00000D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5</xdr:row>
          <xdr:rowOff>9525</xdr:rowOff>
        </xdr:from>
        <xdr:to>
          <xdr:col>18</xdr:col>
          <xdr:colOff>257175</xdr:colOff>
          <xdr:row>5</xdr:row>
          <xdr:rowOff>238125</xdr:rowOff>
        </xdr:to>
        <xdr:sp macro="" textlink="">
          <xdr:nvSpPr>
            <xdr:cNvPr id="87054" name="Check Box 14" hidden="1">
              <a:extLst>
                <a:ext uri="{63B3BB69-23CF-44E3-9099-C40C66FF867C}">
                  <a14:compatExt spid="_x0000_s87054"/>
                </a:ext>
                <a:ext uri="{FF2B5EF4-FFF2-40B4-BE49-F238E27FC236}">
                  <a16:creationId xmlns:a16="http://schemas.microsoft.com/office/drawing/2014/main" id="{00000000-0008-0000-3200-00000E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xdr:row>
          <xdr:rowOff>28575</xdr:rowOff>
        </xdr:from>
        <xdr:to>
          <xdr:col>22</xdr:col>
          <xdr:colOff>238125</xdr:colOff>
          <xdr:row>5</xdr:row>
          <xdr:rowOff>228600</xdr:rowOff>
        </xdr:to>
        <xdr:sp macro="" textlink="">
          <xdr:nvSpPr>
            <xdr:cNvPr id="87055" name="Check Box 15" hidden="1">
              <a:extLst>
                <a:ext uri="{63B3BB69-23CF-44E3-9099-C40C66FF867C}">
                  <a14:compatExt spid="_x0000_s87055"/>
                </a:ext>
                <a:ext uri="{FF2B5EF4-FFF2-40B4-BE49-F238E27FC236}">
                  <a16:creationId xmlns:a16="http://schemas.microsoft.com/office/drawing/2014/main" id="{00000000-0008-0000-3200-00000F5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2</xdr:row>
          <xdr:rowOff>47625</xdr:rowOff>
        </xdr:from>
        <xdr:to>
          <xdr:col>4</xdr:col>
          <xdr:colOff>28575</xdr:colOff>
          <xdr:row>4</xdr:row>
          <xdr:rowOff>9525</xdr:rowOff>
        </xdr:to>
        <xdr:sp macro="" textlink="">
          <xdr:nvSpPr>
            <xdr:cNvPr id="88065" name="Check Box 1" hidden="1">
              <a:extLst>
                <a:ext uri="{63B3BB69-23CF-44E3-9099-C40C66FF867C}">
                  <a14:compatExt spid="_x0000_s88065"/>
                </a:ext>
                <a:ext uri="{FF2B5EF4-FFF2-40B4-BE49-F238E27FC236}">
                  <a16:creationId xmlns:a16="http://schemas.microsoft.com/office/drawing/2014/main" id="{00000000-0008-0000-3300-000001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xdr:row>
          <xdr:rowOff>180975</xdr:rowOff>
        </xdr:from>
        <xdr:to>
          <xdr:col>4</xdr:col>
          <xdr:colOff>9525</xdr:colOff>
          <xdr:row>6</xdr:row>
          <xdr:rowOff>28575</xdr:rowOff>
        </xdr:to>
        <xdr:sp macro="" textlink="">
          <xdr:nvSpPr>
            <xdr:cNvPr id="88066" name="Check Box 2" hidden="1">
              <a:extLst>
                <a:ext uri="{63B3BB69-23CF-44E3-9099-C40C66FF867C}">
                  <a14:compatExt spid="_x0000_s88066"/>
                </a:ext>
                <a:ext uri="{FF2B5EF4-FFF2-40B4-BE49-F238E27FC236}">
                  <a16:creationId xmlns:a16="http://schemas.microsoft.com/office/drawing/2014/main" id="{00000000-0008-0000-3300-0000025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38100</xdr:colOff>
          <xdr:row>21</xdr:row>
          <xdr:rowOff>28575</xdr:rowOff>
        </xdr:from>
        <xdr:to>
          <xdr:col>6</xdr:col>
          <xdr:colOff>257175</xdr:colOff>
          <xdr:row>21</xdr:row>
          <xdr:rowOff>238125</xdr:rowOff>
        </xdr:to>
        <xdr:sp macro="" textlink="">
          <xdr:nvSpPr>
            <xdr:cNvPr id="89089" name="Check Box 1" hidden="1">
              <a:extLst>
                <a:ext uri="{63B3BB69-23CF-44E3-9099-C40C66FF867C}">
                  <a14:compatExt spid="_x0000_s89089"/>
                </a:ext>
                <a:ext uri="{FF2B5EF4-FFF2-40B4-BE49-F238E27FC236}">
                  <a16:creationId xmlns:a16="http://schemas.microsoft.com/office/drawing/2014/main" id="{00000000-0008-0000-3400-000001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22</xdr:row>
          <xdr:rowOff>9525</xdr:rowOff>
        </xdr:from>
        <xdr:to>
          <xdr:col>6</xdr:col>
          <xdr:colOff>257175</xdr:colOff>
          <xdr:row>22</xdr:row>
          <xdr:rowOff>238125</xdr:rowOff>
        </xdr:to>
        <xdr:sp macro="" textlink="">
          <xdr:nvSpPr>
            <xdr:cNvPr id="89090" name="Check Box 2" hidden="1">
              <a:extLst>
                <a:ext uri="{63B3BB69-23CF-44E3-9099-C40C66FF867C}">
                  <a14:compatExt spid="_x0000_s89090"/>
                </a:ext>
                <a:ext uri="{FF2B5EF4-FFF2-40B4-BE49-F238E27FC236}">
                  <a16:creationId xmlns:a16="http://schemas.microsoft.com/office/drawing/2014/main" id="{00000000-0008-0000-3400-000002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23</xdr:row>
          <xdr:rowOff>0</xdr:rowOff>
        </xdr:from>
        <xdr:to>
          <xdr:col>7</xdr:col>
          <xdr:colOff>9525</xdr:colOff>
          <xdr:row>24</xdr:row>
          <xdr:rowOff>0</xdr:rowOff>
        </xdr:to>
        <xdr:sp macro="" textlink="">
          <xdr:nvSpPr>
            <xdr:cNvPr id="89091" name="Check Box 3" hidden="1">
              <a:extLst>
                <a:ext uri="{63B3BB69-23CF-44E3-9099-C40C66FF867C}">
                  <a14:compatExt spid="_x0000_s89091"/>
                </a:ext>
                <a:ext uri="{FF2B5EF4-FFF2-40B4-BE49-F238E27FC236}">
                  <a16:creationId xmlns:a16="http://schemas.microsoft.com/office/drawing/2014/main" id="{00000000-0008-0000-3400-000003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21</xdr:row>
          <xdr:rowOff>28575</xdr:rowOff>
        </xdr:from>
        <xdr:to>
          <xdr:col>18</xdr:col>
          <xdr:colOff>257175</xdr:colOff>
          <xdr:row>21</xdr:row>
          <xdr:rowOff>257175</xdr:rowOff>
        </xdr:to>
        <xdr:sp macro="" textlink="">
          <xdr:nvSpPr>
            <xdr:cNvPr id="89092" name="Check Box 4" hidden="1">
              <a:extLst>
                <a:ext uri="{63B3BB69-23CF-44E3-9099-C40C66FF867C}">
                  <a14:compatExt spid="_x0000_s89092"/>
                </a:ext>
                <a:ext uri="{FF2B5EF4-FFF2-40B4-BE49-F238E27FC236}">
                  <a16:creationId xmlns:a16="http://schemas.microsoft.com/office/drawing/2014/main" id="{00000000-0008-0000-3400-000004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22</xdr:row>
          <xdr:rowOff>28575</xdr:rowOff>
        </xdr:from>
        <xdr:to>
          <xdr:col>19</xdr:col>
          <xdr:colOff>0</xdr:colOff>
          <xdr:row>23</xdr:row>
          <xdr:rowOff>9525</xdr:rowOff>
        </xdr:to>
        <xdr:sp macro="" textlink="">
          <xdr:nvSpPr>
            <xdr:cNvPr id="89093" name="Check Box 5" hidden="1">
              <a:extLst>
                <a:ext uri="{63B3BB69-23CF-44E3-9099-C40C66FF867C}">
                  <a14:compatExt spid="_x0000_s89093"/>
                </a:ext>
                <a:ext uri="{FF2B5EF4-FFF2-40B4-BE49-F238E27FC236}">
                  <a16:creationId xmlns:a16="http://schemas.microsoft.com/office/drawing/2014/main" id="{00000000-0008-0000-3400-000005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25</xdr:row>
          <xdr:rowOff>9525</xdr:rowOff>
        </xdr:from>
        <xdr:to>
          <xdr:col>6</xdr:col>
          <xdr:colOff>266700</xdr:colOff>
          <xdr:row>26</xdr:row>
          <xdr:rowOff>9525</xdr:rowOff>
        </xdr:to>
        <xdr:sp macro="" textlink="">
          <xdr:nvSpPr>
            <xdr:cNvPr id="89094" name="Check Box 6" hidden="1">
              <a:extLst>
                <a:ext uri="{63B3BB69-23CF-44E3-9099-C40C66FF867C}">
                  <a14:compatExt spid="_x0000_s89094"/>
                </a:ext>
                <a:ext uri="{FF2B5EF4-FFF2-40B4-BE49-F238E27FC236}">
                  <a16:creationId xmlns:a16="http://schemas.microsoft.com/office/drawing/2014/main" id="{00000000-0008-0000-3400-000006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26</xdr:row>
          <xdr:rowOff>0</xdr:rowOff>
        </xdr:from>
        <xdr:to>
          <xdr:col>7</xdr:col>
          <xdr:colOff>28575</xdr:colOff>
          <xdr:row>26</xdr:row>
          <xdr:rowOff>238125</xdr:rowOff>
        </xdr:to>
        <xdr:sp macro="" textlink="">
          <xdr:nvSpPr>
            <xdr:cNvPr id="89095" name="Check Box 7" hidden="1">
              <a:extLst>
                <a:ext uri="{63B3BB69-23CF-44E3-9099-C40C66FF867C}">
                  <a14:compatExt spid="_x0000_s89095"/>
                </a:ext>
                <a:ext uri="{FF2B5EF4-FFF2-40B4-BE49-F238E27FC236}">
                  <a16:creationId xmlns:a16="http://schemas.microsoft.com/office/drawing/2014/main" id="{00000000-0008-0000-3400-000007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26</xdr:row>
          <xdr:rowOff>238125</xdr:rowOff>
        </xdr:from>
        <xdr:to>
          <xdr:col>7</xdr:col>
          <xdr:colOff>9525</xdr:colOff>
          <xdr:row>27</xdr:row>
          <xdr:rowOff>219075</xdr:rowOff>
        </xdr:to>
        <xdr:sp macro="" textlink="">
          <xdr:nvSpPr>
            <xdr:cNvPr id="89096" name="Check Box 8" hidden="1">
              <a:extLst>
                <a:ext uri="{63B3BB69-23CF-44E3-9099-C40C66FF867C}">
                  <a14:compatExt spid="_x0000_s89096"/>
                </a:ext>
                <a:ext uri="{FF2B5EF4-FFF2-40B4-BE49-F238E27FC236}">
                  <a16:creationId xmlns:a16="http://schemas.microsoft.com/office/drawing/2014/main" id="{00000000-0008-0000-3400-000008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25</xdr:row>
          <xdr:rowOff>9525</xdr:rowOff>
        </xdr:from>
        <xdr:to>
          <xdr:col>18</xdr:col>
          <xdr:colOff>238125</xdr:colOff>
          <xdr:row>25</xdr:row>
          <xdr:rowOff>257175</xdr:rowOff>
        </xdr:to>
        <xdr:sp macro="" textlink="">
          <xdr:nvSpPr>
            <xdr:cNvPr id="89097" name="Check Box 9" hidden="1">
              <a:extLst>
                <a:ext uri="{63B3BB69-23CF-44E3-9099-C40C66FF867C}">
                  <a14:compatExt spid="_x0000_s89097"/>
                </a:ext>
                <a:ext uri="{FF2B5EF4-FFF2-40B4-BE49-F238E27FC236}">
                  <a16:creationId xmlns:a16="http://schemas.microsoft.com/office/drawing/2014/main" id="{00000000-0008-0000-3400-000009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26</xdr:row>
          <xdr:rowOff>9525</xdr:rowOff>
        </xdr:from>
        <xdr:to>
          <xdr:col>19</xdr:col>
          <xdr:colOff>0</xdr:colOff>
          <xdr:row>27</xdr:row>
          <xdr:rowOff>9525</xdr:rowOff>
        </xdr:to>
        <xdr:sp macro="" textlink="">
          <xdr:nvSpPr>
            <xdr:cNvPr id="89098" name="Check Box 10" hidden="1">
              <a:extLst>
                <a:ext uri="{63B3BB69-23CF-44E3-9099-C40C66FF867C}">
                  <a14:compatExt spid="_x0000_s89098"/>
                </a:ext>
                <a:ext uri="{FF2B5EF4-FFF2-40B4-BE49-F238E27FC236}">
                  <a16:creationId xmlns:a16="http://schemas.microsoft.com/office/drawing/2014/main" id="{00000000-0008-0000-3400-00000A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28</xdr:row>
          <xdr:rowOff>66675</xdr:rowOff>
        </xdr:from>
        <xdr:to>
          <xdr:col>3</xdr:col>
          <xdr:colOff>238125</xdr:colOff>
          <xdr:row>28</xdr:row>
          <xdr:rowOff>257175</xdr:rowOff>
        </xdr:to>
        <xdr:sp macro="" textlink="">
          <xdr:nvSpPr>
            <xdr:cNvPr id="89099" name="Check Box 11" hidden="1">
              <a:extLst>
                <a:ext uri="{63B3BB69-23CF-44E3-9099-C40C66FF867C}">
                  <a14:compatExt spid="_x0000_s89099"/>
                </a:ext>
                <a:ext uri="{FF2B5EF4-FFF2-40B4-BE49-F238E27FC236}">
                  <a16:creationId xmlns:a16="http://schemas.microsoft.com/office/drawing/2014/main" id="{00000000-0008-0000-3400-00000B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29</xdr:row>
          <xdr:rowOff>28575</xdr:rowOff>
        </xdr:from>
        <xdr:to>
          <xdr:col>4</xdr:col>
          <xdr:colOff>28575</xdr:colOff>
          <xdr:row>29</xdr:row>
          <xdr:rowOff>276225</xdr:rowOff>
        </xdr:to>
        <xdr:sp macro="" textlink="">
          <xdr:nvSpPr>
            <xdr:cNvPr id="89100" name="Check Box 12" hidden="1">
              <a:extLst>
                <a:ext uri="{63B3BB69-23CF-44E3-9099-C40C66FF867C}">
                  <a14:compatExt spid="_x0000_s89100"/>
                </a:ext>
                <a:ext uri="{FF2B5EF4-FFF2-40B4-BE49-F238E27FC236}">
                  <a16:creationId xmlns:a16="http://schemas.microsoft.com/office/drawing/2014/main" id="{00000000-0008-0000-3400-00000C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30</xdr:row>
          <xdr:rowOff>38100</xdr:rowOff>
        </xdr:from>
        <xdr:to>
          <xdr:col>3</xdr:col>
          <xdr:colOff>257175</xdr:colOff>
          <xdr:row>30</xdr:row>
          <xdr:rowOff>266700</xdr:rowOff>
        </xdr:to>
        <xdr:sp macro="" textlink="">
          <xdr:nvSpPr>
            <xdr:cNvPr id="89101" name="Check Box 13" hidden="1">
              <a:extLst>
                <a:ext uri="{63B3BB69-23CF-44E3-9099-C40C66FF867C}">
                  <a14:compatExt spid="_x0000_s89101"/>
                </a:ext>
                <a:ext uri="{FF2B5EF4-FFF2-40B4-BE49-F238E27FC236}">
                  <a16:creationId xmlns:a16="http://schemas.microsoft.com/office/drawing/2014/main" id="{00000000-0008-0000-3400-00000D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35</xdr:row>
          <xdr:rowOff>38100</xdr:rowOff>
        </xdr:from>
        <xdr:to>
          <xdr:col>13</xdr:col>
          <xdr:colOff>219075</xdr:colOff>
          <xdr:row>35</xdr:row>
          <xdr:rowOff>238125</xdr:rowOff>
        </xdr:to>
        <xdr:sp macro="" textlink="">
          <xdr:nvSpPr>
            <xdr:cNvPr id="89103" name="Check Box 15" hidden="1">
              <a:extLst>
                <a:ext uri="{63B3BB69-23CF-44E3-9099-C40C66FF867C}">
                  <a14:compatExt spid="_x0000_s89103"/>
                </a:ext>
                <a:ext uri="{FF2B5EF4-FFF2-40B4-BE49-F238E27FC236}">
                  <a16:creationId xmlns:a16="http://schemas.microsoft.com/office/drawing/2014/main" id="{00000000-0008-0000-3400-00000F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35</xdr:row>
          <xdr:rowOff>38100</xdr:rowOff>
        </xdr:from>
        <xdr:to>
          <xdr:col>16</xdr:col>
          <xdr:colOff>219075</xdr:colOff>
          <xdr:row>35</xdr:row>
          <xdr:rowOff>257175</xdr:rowOff>
        </xdr:to>
        <xdr:sp macro="" textlink="">
          <xdr:nvSpPr>
            <xdr:cNvPr id="89104" name="Check Box 16" hidden="1">
              <a:extLst>
                <a:ext uri="{63B3BB69-23CF-44E3-9099-C40C66FF867C}">
                  <a14:compatExt spid="_x0000_s89104"/>
                </a:ext>
                <a:ext uri="{FF2B5EF4-FFF2-40B4-BE49-F238E27FC236}">
                  <a16:creationId xmlns:a16="http://schemas.microsoft.com/office/drawing/2014/main" id="{00000000-0008-0000-3400-000010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35</xdr:row>
          <xdr:rowOff>28575</xdr:rowOff>
        </xdr:from>
        <xdr:to>
          <xdr:col>19</xdr:col>
          <xdr:colOff>228600</xdr:colOff>
          <xdr:row>35</xdr:row>
          <xdr:rowOff>257175</xdr:rowOff>
        </xdr:to>
        <xdr:sp macro="" textlink="">
          <xdr:nvSpPr>
            <xdr:cNvPr id="89105" name="Check Box 17" hidden="1">
              <a:extLst>
                <a:ext uri="{63B3BB69-23CF-44E3-9099-C40C66FF867C}">
                  <a14:compatExt spid="_x0000_s89105"/>
                </a:ext>
                <a:ext uri="{FF2B5EF4-FFF2-40B4-BE49-F238E27FC236}">
                  <a16:creationId xmlns:a16="http://schemas.microsoft.com/office/drawing/2014/main" id="{00000000-0008-0000-3400-000011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35</xdr:row>
          <xdr:rowOff>28575</xdr:rowOff>
        </xdr:from>
        <xdr:to>
          <xdr:col>22</xdr:col>
          <xdr:colOff>219075</xdr:colOff>
          <xdr:row>35</xdr:row>
          <xdr:rowOff>228600</xdr:rowOff>
        </xdr:to>
        <xdr:sp macro="" textlink="">
          <xdr:nvSpPr>
            <xdr:cNvPr id="89106" name="Check Box 18" hidden="1">
              <a:extLst>
                <a:ext uri="{63B3BB69-23CF-44E3-9099-C40C66FF867C}">
                  <a14:compatExt spid="_x0000_s89106"/>
                </a:ext>
                <a:ext uri="{FF2B5EF4-FFF2-40B4-BE49-F238E27FC236}">
                  <a16:creationId xmlns:a16="http://schemas.microsoft.com/office/drawing/2014/main" id="{00000000-0008-0000-3400-000012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35</xdr:row>
          <xdr:rowOff>28575</xdr:rowOff>
        </xdr:from>
        <xdr:to>
          <xdr:col>25</xdr:col>
          <xdr:colOff>257175</xdr:colOff>
          <xdr:row>35</xdr:row>
          <xdr:rowOff>276225</xdr:rowOff>
        </xdr:to>
        <xdr:sp macro="" textlink="">
          <xdr:nvSpPr>
            <xdr:cNvPr id="89107" name="Check Box 19" hidden="1">
              <a:extLst>
                <a:ext uri="{63B3BB69-23CF-44E3-9099-C40C66FF867C}">
                  <a14:compatExt spid="_x0000_s89107"/>
                </a:ext>
                <a:ext uri="{FF2B5EF4-FFF2-40B4-BE49-F238E27FC236}">
                  <a16:creationId xmlns:a16="http://schemas.microsoft.com/office/drawing/2014/main" id="{00000000-0008-0000-3400-000013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38100</xdr:colOff>
          <xdr:row>35</xdr:row>
          <xdr:rowOff>47625</xdr:rowOff>
        </xdr:from>
        <xdr:to>
          <xdr:col>28</xdr:col>
          <xdr:colOff>219075</xdr:colOff>
          <xdr:row>35</xdr:row>
          <xdr:rowOff>257175</xdr:rowOff>
        </xdr:to>
        <xdr:sp macro="" textlink="">
          <xdr:nvSpPr>
            <xdr:cNvPr id="89108" name="Check Box 20" hidden="1">
              <a:extLst>
                <a:ext uri="{63B3BB69-23CF-44E3-9099-C40C66FF867C}">
                  <a14:compatExt spid="_x0000_s89108"/>
                </a:ext>
                <a:ext uri="{FF2B5EF4-FFF2-40B4-BE49-F238E27FC236}">
                  <a16:creationId xmlns:a16="http://schemas.microsoft.com/office/drawing/2014/main" id="{00000000-0008-0000-3400-000014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37</xdr:row>
          <xdr:rowOff>9525</xdr:rowOff>
        </xdr:from>
        <xdr:to>
          <xdr:col>14</xdr:col>
          <xdr:colOff>0</xdr:colOff>
          <xdr:row>37</xdr:row>
          <xdr:rowOff>257175</xdr:rowOff>
        </xdr:to>
        <xdr:sp macro="" textlink="">
          <xdr:nvSpPr>
            <xdr:cNvPr id="89109" name="Check Box 21" hidden="1">
              <a:extLst>
                <a:ext uri="{63B3BB69-23CF-44E3-9099-C40C66FF867C}">
                  <a14:compatExt spid="_x0000_s89109"/>
                </a:ext>
                <a:ext uri="{FF2B5EF4-FFF2-40B4-BE49-F238E27FC236}">
                  <a16:creationId xmlns:a16="http://schemas.microsoft.com/office/drawing/2014/main" id="{00000000-0008-0000-3400-000015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37</xdr:row>
          <xdr:rowOff>9525</xdr:rowOff>
        </xdr:from>
        <xdr:to>
          <xdr:col>16</xdr:col>
          <xdr:colOff>238125</xdr:colOff>
          <xdr:row>37</xdr:row>
          <xdr:rowOff>257175</xdr:rowOff>
        </xdr:to>
        <xdr:sp macro="" textlink="">
          <xdr:nvSpPr>
            <xdr:cNvPr id="89110" name="Check Box 22" hidden="1">
              <a:extLst>
                <a:ext uri="{63B3BB69-23CF-44E3-9099-C40C66FF867C}">
                  <a14:compatExt spid="_x0000_s89110"/>
                </a:ext>
                <a:ext uri="{FF2B5EF4-FFF2-40B4-BE49-F238E27FC236}">
                  <a16:creationId xmlns:a16="http://schemas.microsoft.com/office/drawing/2014/main" id="{00000000-0008-0000-3400-000016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37</xdr:row>
          <xdr:rowOff>28575</xdr:rowOff>
        </xdr:from>
        <xdr:to>
          <xdr:col>19</xdr:col>
          <xdr:colOff>180975</xdr:colOff>
          <xdr:row>37</xdr:row>
          <xdr:rowOff>238125</xdr:rowOff>
        </xdr:to>
        <xdr:sp macro="" textlink="">
          <xdr:nvSpPr>
            <xdr:cNvPr id="89111" name="Check Box 23" hidden="1">
              <a:extLst>
                <a:ext uri="{63B3BB69-23CF-44E3-9099-C40C66FF867C}">
                  <a14:compatExt spid="_x0000_s89111"/>
                </a:ext>
                <a:ext uri="{FF2B5EF4-FFF2-40B4-BE49-F238E27FC236}">
                  <a16:creationId xmlns:a16="http://schemas.microsoft.com/office/drawing/2014/main" id="{00000000-0008-0000-3400-000017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37</xdr:row>
          <xdr:rowOff>9525</xdr:rowOff>
        </xdr:from>
        <xdr:to>
          <xdr:col>22</xdr:col>
          <xdr:colOff>219075</xdr:colOff>
          <xdr:row>37</xdr:row>
          <xdr:rowOff>238125</xdr:rowOff>
        </xdr:to>
        <xdr:sp macro="" textlink="">
          <xdr:nvSpPr>
            <xdr:cNvPr id="89112" name="Check Box 24" hidden="1">
              <a:extLst>
                <a:ext uri="{63B3BB69-23CF-44E3-9099-C40C66FF867C}">
                  <a14:compatExt spid="_x0000_s89112"/>
                </a:ext>
                <a:ext uri="{FF2B5EF4-FFF2-40B4-BE49-F238E27FC236}">
                  <a16:creationId xmlns:a16="http://schemas.microsoft.com/office/drawing/2014/main" id="{00000000-0008-0000-3400-000018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37</xdr:row>
          <xdr:rowOff>28575</xdr:rowOff>
        </xdr:from>
        <xdr:to>
          <xdr:col>25</xdr:col>
          <xdr:colOff>238125</xdr:colOff>
          <xdr:row>37</xdr:row>
          <xdr:rowOff>257175</xdr:rowOff>
        </xdr:to>
        <xdr:sp macro="" textlink="">
          <xdr:nvSpPr>
            <xdr:cNvPr id="89113" name="Check Box 25" hidden="1">
              <a:extLst>
                <a:ext uri="{63B3BB69-23CF-44E3-9099-C40C66FF867C}">
                  <a14:compatExt spid="_x0000_s89113"/>
                </a:ext>
                <a:ext uri="{FF2B5EF4-FFF2-40B4-BE49-F238E27FC236}">
                  <a16:creationId xmlns:a16="http://schemas.microsoft.com/office/drawing/2014/main" id="{00000000-0008-0000-3400-000019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37</xdr:row>
          <xdr:rowOff>28575</xdr:rowOff>
        </xdr:from>
        <xdr:to>
          <xdr:col>28</xdr:col>
          <xdr:colOff>257175</xdr:colOff>
          <xdr:row>37</xdr:row>
          <xdr:rowOff>238125</xdr:rowOff>
        </xdr:to>
        <xdr:sp macro="" textlink="">
          <xdr:nvSpPr>
            <xdr:cNvPr id="89114" name="Check Box 26" hidden="1">
              <a:extLst>
                <a:ext uri="{63B3BB69-23CF-44E3-9099-C40C66FF867C}">
                  <a14:compatExt spid="_x0000_s89114"/>
                </a:ext>
                <a:ext uri="{FF2B5EF4-FFF2-40B4-BE49-F238E27FC236}">
                  <a16:creationId xmlns:a16="http://schemas.microsoft.com/office/drawing/2014/main" id="{00000000-0008-0000-3400-00001A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3</xdr:row>
          <xdr:rowOff>28575</xdr:rowOff>
        </xdr:from>
        <xdr:to>
          <xdr:col>4</xdr:col>
          <xdr:colOff>28575</xdr:colOff>
          <xdr:row>3</xdr:row>
          <xdr:rowOff>276225</xdr:rowOff>
        </xdr:to>
        <xdr:sp macro="" textlink="">
          <xdr:nvSpPr>
            <xdr:cNvPr id="90113" name="Check Box 1" hidden="1">
              <a:extLst>
                <a:ext uri="{63B3BB69-23CF-44E3-9099-C40C66FF867C}">
                  <a14:compatExt spid="_x0000_s90113"/>
                </a:ext>
                <a:ext uri="{FF2B5EF4-FFF2-40B4-BE49-F238E27FC236}">
                  <a16:creationId xmlns:a16="http://schemas.microsoft.com/office/drawing/2014/main" id="{00000000-0008-0000-3500-0000016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6</xdr:row>
          <xdr:rowOff>38100</xdr:rowOff>
        </xdr:from>
        <xdr:to>
          <xdr:col>3</xdr:col>
          <xdr:colOff>266700</xdr:colOff>
          <xdr:row>6</xdr:row>
          <xdr:rowOff>257175</xdr:rowOff>
        </xdr:to>
        <xdr:sp macro="" textlink="">
          <xdr:nvSpPr>
            <xdr:cNvPr id="91137" name="Check Box 1" hidden="1">
              <a:extLst>
                <a:ext uri="{63B3BB69-23CF-44E3-9099-C40C66FF867C}">
                  <a14:compatExt spid="_x0000_s91137"/>
                </a:ext>
                <a:ext uri="{FF2B5EF4-FFF2-40B4-BE49-F238E27FC236}">
                  <a16:creationId xmlns:a16="http://schemas.microsoft.com/office/drawing/2014/main" id="{00000000-0008-0000-3600-000001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6</xdr:row>
          <xdr:rowOff>295275</xdr:rowOff>
        </xdr:from>
        <xdr:to>
          <xdr:col>4</xdr:col>
          <xdr:colOff>28575</xdr:colOff>
          <xdr:row>7</xdr:row>
          <xdr:rowOff>180975</xdr:rowOff>
        </xdr:to>
        <xdr:sp macro="" textlink="">
          <xdr:nvSpPr>
            <xdr:cNvPr id="91138" name="Check Box 2" hidden="1">
              <a:extLst>
                <a:ext uri="{63B3BB69-23CF-44E3-9099-C40C66FF867C}">
                  <a14:compatExt spid="_x0000_s91138"/>
                </a:ext>
                <a:ext uri="{FF2B5EF4-FFF2-40B4-BE49-F238E27FC236}">
                  <a16:creationId xmlns:a16="http://schemas.microsoft.com/office/drawing/2014/main" id="{00000000-0008-0000-3600-000002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8</xdr:row>
          <xdr:rowOff>180975</xdr:rowOff>
        </xdr:from>
        <xdr:to>
          <xdr:col>3</xdr:col>
          <xdr:colOff>257175</xdr:colOff>
          <xdr:row>10</xdr:row>
          <xdr:rowOff>9525</xdr:rowOff>
        </xdr:to>
        <xdr:sp macro="" textlink="">
          <xdr:nvSpPr>
            <xdr:cNvPr id="91139" name="Check Box 3" hidden="1">
              <a:extLst>
                <a:ext uri="{63B3BB69-23CF-44E3-9099-C40C66FF867C}">
                  <a14:compatExt spid="_x0000_s91139"/>
                </a:ext>
                <a:ext uri="{FF2B5EF4-FFF2-40B4-BE49-F238E27FC236}">
                  <a16:creationId xmlns:a16="http://schemas.microsoft.com/office/drawing/2014/main" id="{00000000-0008-0000-3600-000003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10</xdr:row>
          <xdr:rowOff>180975</xdr:rowOff>
        </xdr:from>
        <xdr:to>
          <xdr:col>3</xdr:col>
          <xdr:colOff>238125</xdr:colOff>
          <xdr:row>12</xdr:row>
          <xdr:rowOff>28575</xdr:rowOff>
        </xdr:to>
        <xdr:sp macro="" textlink="">
          <xdr:nvSpPr>
            <xdr:cNvPr id="91140" name="Check Box 4" hidden="1">
              <a:extLst>
                <a:ext uri="{63B3BB69-23CF-44E3-9099-C40C66FF867C}">
                  <a14:compatExt spid="_x0000_s91140"/>
                </a:ext>
                <a:ext uri="{FF2B5EF4-FFF2-40B4-BE49-F238E27FC236}">
                  <a16:creationId xmlns:a16="http://schemas.microsoft.com/office/drawing/2014/main" id="{00000000-0008-0000-3600-000004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12</xdr:row>
          <xdr:rowOff>190500</xdr:rowOff>
        </xdr:from>
        <xdr:to>
          <xdr:col>4</xdr:col>
          <xdr:colOff>0</xdr:colOff>
          <xdr:row>14</xdr:row>
          <xdr:rowOff>28575</xdr:rowOff>
        </xdr:to>
        <xdr:sp macro="" textlink="">
          <xdr:nvSpPr>
            <xdr:cNvPr id="91141" name="Check Box 5" hidden="1">
              <a:extLst>
                <a:ext uri="{63B3BB69-23CF-44E3-9099-C40C66FF867C}">
                  <a14:compatExt spid="_x0000_s91141"/>
                </a:ext>
                <a:ext uri="{FF2B5EF4-FFF2-40B4-BE49-F238E27FC236}">
                  <a16:creationId xmlns:a16="http://schemas.microsoft.com/office/drawing/2014/main" id="{00000000-0008-0000-3600-000005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17</xdr:row>
          <xdr:rowOff>9525</xdr:rowOff>
        </xdr:from>
        <xdr:to>
          <xdr:col>3</xdr:col>
          <xdr:colOff>219075</xdr:colOff>
          <xdr:row>17</xdr:row>
          <xdr:rowOff>219075</xdr:rowOff>
        </xdr:to>
        <xdr:sp macro="" textlink="">
          <xdr:nvSpPr>
            <xdr:cNvPr id="91142" name="Check Box 6" hidden="1">
              <a:extLst>
                <a:ext uri="{63B3BB69-23CF-44E3-9099-C40C66FF867C}">
                  <a14:compatExt spid="_x0000_s91142"/>
                </a:ext>
                <a:ext uri="{FF2B5EF4-FFF2-40B4-BE49-F238E27FC236}">
                  <a16:creationId xmlns:a16="http://schemas.microsoft.com/office/drawing/2014/main" id="{00000000-0008-0000-3600-000006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18</xdr:row>
          <xdr:rowOff>9525</xdr:rowOff>
        </xdr:from>
        <xdr:to>
          <xdr:col>3</xdr:col>
          <xdr:colOff>238125</xdr:colOff>
          <xdr:row>18</xdr:row>
          <xdr:rowOff>219075</xdr:rowOff>
        </xdr:to>
        <xdr:sp macro="" textlink="">
          <xdr:nvSpPr>
            <xdr:cNvPr id="91143" name="Check Box 7" hidden="1">
              <a:extLst>
                <a:ext uri="{63B3BB69-23CF-44E3-9099-C40C66FF867C}">
                  <a14:compatExt spid="_x0000_s91143"/>
                </a:ext>
                <a:ext uri="{FF2B5EF4-FFF2-40B4-BE49-F238E27FC236}">
                  <a16:creationId xmlns:a16="http://schemas.microsoft.com/office/drawing/2014/main" id="{00000000-0008-0000-3600-000007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19</xdr:row>
          <xdr:rowOff>9525</xdr:rowOff>
        </xdr:from>
        <xdr:to>
          <xdr:col>4</xdr:col>
          <xdr:colOff>28575</xdr:colOff>
          <xdr:row>19</xdr:row>
          <xdr:rowOff>219075</xdr:rowOff>
        </xdr:to>
        <xdr:sp macro="" textlink="">
          <xdr:nvSpPr>
            <xdr:cNvPr id="91144" name="Check Box 8" hidden="1">
              <a:extLst>
                <a:ext uri="{63B3BB69-23CF-44E3-9099-C40C66FF867C}">
                  <a14:compatExt spid="_x0000_s91144"/>
                </a:ext>
                <a:ext uri="{FF2B5EF4-FFF2-40B4-BE49-F238E27FC236}">
                  <a16:creationId xmlns:a16="http://schemas.microsoft.com/office/drawing/2014/main" id="{00000000-0008-0000-3600-000008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20</xdr:row>
          <xdr:rowOff>9525</xdr:rowOff>
        </xdr:from>
        <xdr:to>
          <xdr:col>4</xdr:col>
          <xdr:colOff>9525</xdr:colOff>
          <xdr:row>20</xdr:row>
          <xdr:rowOff>219075</xdr:rowOff>
        </xdr:to>
        <xdr:sp macro="" textlink="">
          <xdr:nvSpPr>
            <xdr:cNvPr id="91145" name="Check Box 9" hidden="1">
              <a:extLst>
                <a:ext uri="{63B3BB69-23CF-44E3-9099-C40C66FF867C}">
                  <a14:compatExt spid="_x0000_s91145"/>
                </a:ext>
                <a:ext uri="{FF2B5EF4-FFF2-40B4-BE49-F238E27FC236}">
                  <a16:creationId xmlns:a16="http://schemas.microsoft.com/office/drawing/2014/main" id="{00000000-0008-0000-3600-000009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21</xdr:row>
          <xdr:rowOff>9525</xdr:rowOff>
        </xdr:from>
        <xdr:to>
          <xdr:col>4</xdr:col>
          <xdr:colOff>28575</xdr:colOff>
          <xdr:row>21</xdr:row>
          <xdr:rowOff>219075</xdr:rowOff>
        </xdr:to>
        <xdr:sp macro="" textlink="">
          <xdr:nvSpPr>
            <xdr:cNvPr id="91146" name="Check Box 10" hidden="1">
              <a:extLst>
                <a:ext uri="{63B3BB69-23CF-44E3-9099-C40C66FF867C}">
                  <a14:compatExt spid="_x0000_s91146"/>
                </a:ext>
                <a:ext uri="{FF2B5EF4-FFF2-40B4-BE49-F238E27FC236}">
                  <a16:creationId xmlns:a16="http://schemas.microsoft.com/office/drawing/2014/main" id="{00000000-0008-0000-3600-00000A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17</xdr:row>
          <xdr:rowOff>38100</xdr:rowOff>
        </xdr:from>
        <xdr:to>
          <xdr:col>9</xdr:col>
          <xdr:colOff>238125</xdr:colOff>
          <xdr:row>17</xdr:row>
          <xdr:rowOff>219075</xdr:rowOff>
        </xdr:to>
        <xdr:sp macro="" textlink="">
          <xdr:nvSpPr>
            <xdr:cNvPr id="91147" name="Check Box 11" hidden="1">
              <a:extLst>
                <a:ext uri="{63B3BB69-23CF-44E3-9099-C40C66FF867C}">
                  <a14:compatExt spid="_x0000_s91147"/>
                </a:ext>
                <a:ext uri="{FF2B5EF4-FFF2-40B4-BE49-F238E27FC236}">
                  <a16:creationId xmlns:a16="http://schemas.microsoft.com/office/drawing/2014/main" id="{00000000-0008-0000-3600-00000B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18</xdr:row>
          <xdr:rowOff>28575</xdr:rowOff>
        </xdr:from>
        <xdr:to>
          <xdr:col>10</xdr:col>
          <xdr:colOff>9525</xdr:colOff>
          <xdr:row>19</xdr:row>
          <xdr:rowOff>9525</xdr:rowOff>
        </xdr:to>
        <xdr:sp macro="" textlink="">
          <xdr:nvSpPr>
            <xdr:cNvPr id="91148" name="Check Box 12" hidden="1">
              <a:extLst>
                <a:ext uri="{63B3BB69-23CF-44E3-9099-C40C66FF867C}">
                  <a14:compatExt spid="_x0000_s91148"/>
                </a:ext>
                <a:ext uri="{FF2B5EF4-FFF2-40B4-BE49-F238E27FC236}">
                  <a16:creationId xmlns:a16="http://schemas.microsoft.com/office/drawing/2014/main" id="{00000000-0008-0000-3600-00000C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19</xdr:row>
          <xdr:rowOff>28575</xdr:rowOff>
        </xdr:from>
        <xdr:to>
          <xdr:col>9</xdr:col>
          <xdr:colOff>257175</xdr:colOff>
          <xdr:row>19</xdr:row>
          <xdr:rowOff>238125</xdr:rowOff>
        </xdr:to>
        <xdr:sp macro="" textlink="">
          <xdr:nvSpPr>
            <xdr:cNvPr id="91149" name="Check Box 13" hidden="1">
              <a:extLst>
                <a:ext uri="{63B3BB69-23CF-44E3-9099-C40C66FF867C}">
                  <a14:compatExt spid="_x0000_s91149"/>
                </a:ext>
                <a:ext uri="{FF2B5EF4-FFF2-40B4-BE49-F238E27FC236}">
                  <a16:creationId xmlns:a16="http://schemas.microsoft.com/office/drawing/2014/main" id="{00000000-0008-0000-3600-00000D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20</xdr:row>
          <xdr:rowOff>28575</xdr:rowOff>
        </xdr:from>
        <xdr:to>
          <xdr:col>10</xdr:col>
          <xdr:colOff>28575</xdr:colOff>
          <xdr:row>20</xdr:row>
          <xdr:rowOff>238125</xdr:rowOff>
        </xdr:to>
        <xdr:sp macro="" textlink="">
          <xdr:nvSpPr>
            <xdr:cNvPr id="91150" name="Check Box 14" hidden="1">
              <a:extLst>
                <a:ext uri="{63B3BB69-23CF-44E3-9099-C40C66FF867C}">
                  <a14:compatExt spid="_x0000_s91150"/>
                </a:ext>
                <a:ext uri="{FF2B5EF4-FFF2-40B4-BE49-F238E27FC236}">
                  <a16:creationId xmlns:a16="http://schemas.microsoft.com/office/drawing/2014/main" id="{00000000-0008-0000-3600-00000E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20</xdr:row>
          <xdr:rowOff>238125</xdr:rowOff>
        </xdr:from>
        <xdr:to>
          <xdr:col>9</xdr:col>
          <xdr:colOff>257175</xdr:colOff>
          <xdr:row>22</xdr:row>
          <xdr:rowOff>0</xdr:rowOff>
        </xdr:to>
        <xdr:sp macro="" textlink="">
          <xdr:nvSpPr>
            <xdr:cNvPr id="91151" name="Check Box 15" hidden="1">
              <a:extLst>
                <a:ext uri="{63B3BB69-23CF-44E3-9099-C40C66FF867C}">
                  <a14:compatExt spid="_x0000_s91151"/>
                </a:ext>
                <a:ext uri="{FF2B5EF4-FFF2-40B4-BE49-F238E27FC236}">
                  <a16:creationId xmlns:a16="http://schemas.microsoft.com/office/drawing/2014/main" id="{00000000-0008-0000-3600-00000F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17</xdr:row>
          <xdr:rowOff>28575</xdr:rowOff>
        </xdr:from>
        <xdr:to>
          <xdr:col>21</xdr:col>
          <xdr:colOff>257175</xdr:colOff>
          <xdr:row>17</xdr:row>
          <xdr:rowOff>219075</xdr:rowOff>
        </xdr:to>
        <xdr:sp macro="" textlink="">
          <xdr:nvSpPr>
            <xdr:cNvPr id="91152" name="Check Box 16" hidden="1">
              <a:extLst>
                <a:ext uri="{63B3BB69-23CF-44E3-9099-C40C66FF867C}">
                  <a14:compatExt spid="_x0000_s91152"/>
                </a:ext>
                <a:ext uri="{FF2B5EF4-FFF2-40B4-BE49-F238E27FC236}">
                  <a16:creationId xmlns:a16="http://schemas.microsoft.com/office/drawing/2014/main" id="{00000000-0008-0000-3600-000010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xdr:row>
          <xdr:rowOff>28575</xdr:rowOff>
        </xdr:from>
        <xdr:to>
          <xdr:col>22</xdr:col>
          <xdr:colOff>0</xdr:colOff>
          <xdr:row>18</xdr:row>
          <xdr:rowOff>228600</xdr:rowOff>
        </xdr:to>
        <xdr:sp macro="" textlink="">
          <xdr:nvSpPr>
            <xdr:cNvPr id="91153" name="Check Box 17" hidden="1">
              <a:extLst>
                <a:ext uri="{63B3BB69-23CF-44E3-9099-C40C66FF867C}">
                  <a14:compatExt spid="_x0000_s91153"/>
                </a:ext>
                <a:ext uri="{FF2B5EF4-FFF2-40B4-BE49-F238E27FC236}">
                  <a16:creationId xmlns:a16="http://schemas.microsoft.com/office/drawing/2014/main" id="{00000000-0008-0000-3600-000011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19</xdr:row>
          <xdr:rowOff>9525</xdr:rowOff>
        </xdr:from>
        <xdr:to>
          <xdr:col>21</xdr:col>
          <xdr:colOff>238125</xdr:colOff>
          <xdr:row>19</xdr:row>
          <xdr:rowOff>228600</xdr:rowOff>
        </xdr:to>
        <xdr:sp macro="" textlink="">
          <xdr:nvSpPr>
            <xdr:cNvPr id="91154" name="Check Box 18" hidden="1">
              <a:extLst>
                <a:ext uri="{63B3BB69-23CF-44E3-9099-C40C66FF867C}">
                  <a14:compatExt spid="_x0000_s91154"/>
                </a:ext>
                <a:ext uri="{FF2B5EF4-FFF2-40B4-BE49-F238E27FC236}">
                  <a16:creationId xmlns:a16="http://schemas.microsoft.com/office/drawing/2014/main" id="{00000000-0008-0000-3600-000012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20</xdr:row>
          <xdr:rowOff>0</xdr:rowOff>
        </xdr:from>
        <xdr:to>
          <xdr:col>21</xdr:col>
          <xdr:colOff>257175</xdr:colOff>
          <xdr:row>20</xdr:row>
          <xdr:rowOff>219075</xdr:rowOff>
        </xdr:to>
        <xdr:sp macro="" textlink="">
          <xdr:nvSpPr>
            <xdr:cNvPr id="91155" name="Check Box 19" hidden="1">
              <a:extLst>
                <a:ext uri="{63B3BB69-23CF-44E3-9099-C40C66FF867C}">
                  <a14:compatExt spid="_x0000_s91155"/>
                </a:ext>
                <a:ext uri="{FF2B5EF4-FFF2-40B4-BE49-F238E27FC236}">
                  <a16:creationId xmlns:a16="http://schemas.microsoft.com/office/drawing/2014/main" id="{00000000-0008-0000-3600-000013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21</xdr:row>
          <xdr:rowOff>0</xdr:rowOff>
        </xdr:from>
        <xdr:to>
          <xdr:col>22</xdr:col>
          <xdr:colOff>9525</xdr:colOff>
          <xdr:row>21</xdr:row>
          <xdr:rowOff>219075</xdr:rowOff>
        </xdr:to>
        <xdr:sp macro="" textlink="">
          <xdr:nvSpPr>
            <xdr:cNvPr id="91156" name="Check Box 20" hidden="1">
              <a:extLst>
                <a:ext uri="{63B3BB69-23CF-44E3-9099-C40C66FF867C}">
                  <a14:compatExt spid="_x0000_s91156"/>
                </a:ext>
                <a:ext uri="{FF2B5EF4-FFF2-40B4-BE49-F238E27FC236}">
                  <a16:creationId xmlns:a16="http://schemas.microsoft.com/office/drawing/2014/main" id="{00000000-0008-0000-3600-000014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25</xdr:row>
          <xdr:rowOff>9525</xdr:rowOff>
        </xdr:from>
        <xdr:to>
          <xdr:col>3</xdr:col>
          <xdr:colOff>266700</xdr:colOff>
          <xdr:row>26</xdr:row>
          <xdr:rowOff>0</xdr:rowOff>
        </xdr:to>
        <xdr:sp macro="" textlink="">
          <xdr:nvSpPr>
            <xdr:cNvPr id="91157" name="Check Box 21" hidden="1">
              <a:extLst>
                <a:ext uri="{63B3BB69-23CF-44E3-9099-C40C66FF867C}">
                  <a14:compatExt spid="_x0000_s91157"/>
                </a:ext>
                <a:ext uri="{FF2B5EF4-FFF2-40B4-BE49-F238E27FC236}">
                  <a16:creationId xmlns:a16="http://schemas.microsoft.com/office/drawing/2014/main" id="{00000000-0008-0000-3600-000015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27</xdr:row>
          <xdr:rowOff>0</xdr:rowOff>
        </xdr:from>
        <xdr:to>
          <xdr:col>3</xdr:col>
          <xdr:colOff>257175</xdr:colOff>
          <xdr:row>28</xdr:row>
          <xdr:rowOff>9525</xdr:rowOff>
        </xdr:to>
        <xdr:sp macro="" textlink="">
          <xdr:nvSpPr>
            <xdr:cNvPr id="91158" name="Check Box 22" hidden="1">
              <a:extLst>
                <a:ext uri="{63B3BB69-23CF-44E3-9099-C40C66FF867C}">
                  <a14:compatExt spid="_x0000_s91158"/>
                </a:ext>
                <a:ext uri="{FF2B5EF4-FFF2-40B4-BE49-F238E27FC236}">
                  <a16:creationId xmlns:a16="http://schemas.microsoft.com/office/drawing/2014/main" id="{00000000-0008-0000-3600-000016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28</xdr:row>
          <xdr:rowOff>28575</xdr:rowOff>
        </xdr:from>
        <xdr:to>
          <xdr:col>3</xdr:col>
          <xdr:colOff>238125</xdr:colOff>
          <xdr:row>28</xdr:row>
          <xdr:rowOff>190500</xdr:rowOff>
        </xdr:to>
        <xdr:sp macro="" textlink="">
          <xdr:nvSpPr>
            <xdr:cNvPr id="91159" name="Check Box 23" hidden="1">
              <a:extLst>
                <a:ext uri="{63B3BB69-23CF-44E3-9099-C40C66FF867C}">
                  <a14:compatExt spid="_x0000_s91159"/>
                </a:ext>
                <a:ext uri="{FF2B5EF4-FFF2-40B4-BE49-F238E27FC236}">
                  <a16:creationId xmlns:a16="http://schemas.microsoft.com/office/drawing/2014/main" id="{00000000-0008-0000-3600-000017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29</xdr:row>
          <xdr:rowOff>200025</xdr:rowOff>
        </xdr:from>
        <xdr:to>
          <xdr:col>3</xdr:col>
          <xdr:colOff>257175</xdr:colOff>
          <xdr:row>31</xdr:row>
          <xdr:rowOff>0</xdr:rowOff>
        </xdr:to>
        <xdr:sp macro="" textlink="">
          <xdr:nvSpPr>
            <xdr:cNvPr id="91160" name="Check Box 24" hidden="1">
              <a:extLst>
                <a:ext uri="{63B3BB69-23CF-44E3-9099-C40C66FF867C}">
                  <a14:compatExt spid="_x0000_s91160"/>
                </a:ext>
                <a:ext uri="{FF2B5EF4-FFF2-40B4-BE49-F238E27FC236}">
                  <a16:creationId xmlns:a16="http://schemas.microsoft.com/office/drawing/2014/main" id="{00000000-0008-0000-3600-000018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32</xdr:row>
          <xdr:rowOff>0</xdr:rowOff>
        </xdr:from>
        <xdr:to>
          <xdr:col>3</xdr:col>
          <xdr:colOff>238125</xdr:colOff>
          <xdr:row>33</xdr:row>
          <xdr:rowOff>9525</xdr:rowOff>
        </xdr:to>
        <xdr:sp macro="" textlink="">
          <xdr:nvSpPr>
            <xdr:cNvPr id="91161" name="Check Box 25" hidden="1">
              <a:extLst>
                <a:ext uri="{63B3BB69-23CF-44E3-9099-C40C66FF867C}">
                  <a14:compatExt spid="_x0000_s91161"/>
                </a:ext>
                <a:ext uri="{FF2B5EF4-FFF2-40B4-BE49-F238E27FC236}">
                  <a16:creationId xmlns:a16="http://schemas.microsoft.com/office/drawing/2014/main" id="{00000000-0008-0000-3600-000019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32</xdr:row>
          <xdr:rowOff>180975</xdr:rowOff>
        </xdr:from>
        <xdr:to>
          <xdr:col>4</xdr:col>
          <xdr:colOff>0</xdr:colOff>
          <xdr:row>34</xdr:row>
          <xdr:rowOff>28575</xdr:rowOff>
        </xdr:to>
        <xdr:sp macro="" textlink="">
          <xdr:nvSpPr>
            <xdr:cNvPr id="91162" name="Check Box 26" hidden="1">
              <a:extLst>
                <a:ext uri="{63B3BB69-23CF-44E3-9099-C40C66FF867C}">
                  <a14:compatExt spid="_x0000_s91162"/>
                </a:ext>
                <a:ext uri="{FF2B5EF4-FFF2-40B4-BE49-F238E27FC236}">
                  <a16:creationId xmlns:a16="http://schemas.microsoft.com/office/drawing/2014/main" id="{00000000-0008-0000-3600-00001A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34</xdr:row>
          <xdr:rowOff>180975</xdr:rowOff>
        </xdr:from>
        <xdr:to>
          <xdr:col>4</xdr:col>
          <xdr:colOff>28575</xdr:colOff>
          <xdr:row>36</xdr:row>
          <xdr:rowOff>28575</xdr:rowOff>
        </xdr:to>
        <xdr:sp macro="" textlink="">
          <xdr:nvSpPr>
            <xdr:cNvPr id="91163" name="Check Box 27" hidden="1">
              <a:extLst>
                <a:ext uri="{63B3BB69-23CF-44E3-9099-C40C66FF867C}">
                  <a14:compatExt spid="_x0000_s91163"/>
                </a:ext>
                <a:ext uri="{FF2B5EF4-FFF2-40B4-BE49-F238E27FC236}">
                  <a16:creationId xmlns:a16="http://schemas.microsoft.com/office/drawing/2014/main" id="{00000000-0008-0000-3600-00001B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25</xdr:row>
          <xdr:rowOff>9525</xdr:rowOff>
        </xdr:from>
        <xdr:to>
          <xdr:col>19</xdr:col>
          <xdr:colOff>219075</xdr:colOff>
          <xdr:row>25</xdr:row>
          <xdr:rowOff>200025</xdr:rowOff>
        </xdr:to>
        <xdr:sp macro="" textlink="">
          <xdr:nvSpPr>
            <xdr:cNvPr id="91164" name="Check Box 28" hidden="1">
              <a:extLst>
                <a:ext uri="{63B3BB69-23CF-44E3-9099-C40C66FF867C}">
                  <a14:compatExt spid="_x0000_s91164"/>
                </a:ext>
                <a:ext uri="{FF2B5EF4-FFF2-40B4-BE49-F238E27FC236}">
                  <a16:creationId xmlns:a16="http://schemas.microsoft.com/office/drawing/2014/main" id="{00000000-0008-0000-3600-00001C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27</xdr:row>
          <xdr:rowOff>219075</xdr:rowOff>
        </xdr:from>
        <xdr:to>
          <xdr:col>19</xdr:col>
          <xdr:colOff>257175</xdr:colOff>
          <xdr:row>29</xdr:row>
          <xdr:rowOff>9525</xdr:rowOff>
        </xdr:to>
        <xdr:sp macro="" textlink="">
          <xdr:nvSpPr>
            <xdr:cNvPr id="91165" name="Check Box 29" hidden="1">
              <a:extLst>
                <a:ext uri="{63B3BB69-23CF-44E3-9099-C40C66FF867C}">
                  <a14:compatExt spid="_x0000_s91165"/>
                </a:ext>
                <a:ext uri="{FF2B5EF4-FFF2-40B4-BE49-F238E27FC236}">
                  <a16:creationId xmlns:a16="http://schemas.microsoft.com/office/drawing/2014/main" id="{00000000-0008-0000-3600-00001D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28</xdr:row>
          <xdr:rowOff>200025</xdr:rowOff>
        </xdr:from>
        <xdr:to>
          <xdr:col>20</xdr:col>
          <xdr:colOff>9525</xdr:colOff>
          <xdr:row>30</xdr:row>
          <xdr:rowOff>9525</xdr:rowOff>
        </xdr:to>
        <xdr:sp macro="" textlink="">
          <xdr:nvSpPr>
            <xdr:cNvPr id="91166" name="Check Box 30" hidden="1">
              <a:extLst>
                <a:ext uri="{63B3BB69-23CF-44E3-9099-C40C66FF867C}">
                  <a14:compatExt spid="_x0000_s91166"/>
                </a:ext>
                <a:ext uri="{FF2B5EF4-FFF2-40B4-BE49-F238E27FC236}">
                  <a16:creationId xmlns:a16="http://schemas.microsoft.com/office/drawing/2014/main" id="{00000000-0008-0000-3600-00001E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30</xdr:row>
          <xdr:rowOff>219075</xdr:rowOff>
        </xdr:from>
        <xdr:to>
          <xdr:col>19</xdr:col>
          <xdr:colOff>266700</xdr:colOff>
          <xdr:row>32</xdr:row>
          <xdr:rowOff>0</xdr:rowOff>
        </xdr:to>
        <xdr:sp macro="" textlink="">
          <xdr:nvSpPr>
            <xdr:cNvPr id="91167" name="Check Box 31" hidden="1">
              <a:extLst>
                <a:ext uri="{63B3BB69-23CF-44E3-9099-C40C66FF867C}">
                  <a14:compatExt spid="_x0000_s91167"/>
                </a:ext>
                <a:ext uri="{FF2B5EF4-FFF2-40B4-BE49-F238E27FC236}">
                  <a16:creationId xmlns:a16="http://schemas.microsoft.com/office/drawing/2014/main" id="{00000000-0008-0000-3600-00001F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32</xdr:row>
          <xdr:rowOff>200025</xdr:rowOff>
        </xdr:from>
        <xdr:to>
          <xdr:col>20</xdr:col>
          <xdr:colOff>28575</xdr:colOff>
          <xdr:row>34</xdr:row>
          <xdr:rowOff>28575</xdr:rowOff>
        </xdr:to>
        <xdr:sp macro="" textlink="">
          <xdr:nvSpPr>
            <xdr:cNvPr id="91168" name="Check Box 32" hidden="1">
              <a:extLst>
                <a:ext uri="{63B3BB69-23CF-44E3-9099-C40C66FF867C}">
                  <a14:compatExt spid="_x0000_s91168"/>
                </a:ext>
                <a:ext uri="{FF2B5EF4-FFF2-40B4-BE49-F238E27FC236}">
                  <a16:creationId xmlns:a16="http://schemas.microsoft.com/office/drawing/2014/main" id="{00000000-0008-0000-3600-000020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34</xdr:row>
          <xdr:rowOff>219075</xdr:rowOff>
        </xdr:from>
        <xdr:to>
          <xdr:col>20</xdr:col>
          <xdr:colOff>0</xdr:colOff>
          <xdr:row>36</xdr:row>
          <xdr:rowOff>9525</xdr:rowOff>
        </xdr:to>
        <xdr:sp macro="" textlink="">
          <xdr:nvSpPr>
            <xdr:cNvPr id="91169" name="Check Box 33" hidden="1">
              <a:extLst>
                <a:ext uri="{63B3BB69-23CF-44E3-9099-C40C66FF867C}">
                  <a14:compatExt spid="_x0000_s91169"/>
                </a:ext>
                <a:ext uri="{FF2B5EF4-FFF2-40B4-BE49-F238E27FC236}">
                  <a16:creationId xmlns:a16="http://schemas.microsoft.com/office/drawing/2014/main" id="{00000000-0008-0000-3600-000021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37</xdr:row>
          <xdr:rowOff>238125</xdr:rowOff>
        </xdr:from>
        <xdr:to>
          <xdr:col>20</xdr:col>
          <xdr:colOff>28575</xdr:colOff>
          <xdr:row>39</xdr:row>
          <xdr:rowOff>9525</xdr:rowOff>
        </xdr:to>
        <xdr:sp macro="" textlink="">
          <xdr:nvSpPr>
            <xdr:cNvPr id="91170" name="Check Box 34" hidden="1">
              <a:extLst>
                <a:ext uri="{63B3BB69-23CF-44E3-9099-C40C66FF867C}">
                  <a14:compatExt spid="_x0000_s91170"/>
                </a:ext>
                <a:ext uri="{FF2B5EF4-FFF2-40B4-BE49-F238E27FC236}">
                  <a16:creationId xmlns:a16="http://schemas.microsoft.com/office/drawing/2014/main" id="{00000000-0008-0000-3600-000022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40</xdr:row>
          <xdr:rowOff>9525</xdr:rowOff>
        </xdr:from>
        <xdr:to>
          <xdr:col>20</xdr:col>
          <xdr:colOff>0</xdr:colOff>
          <xdr:row>40</xdr:row>
          <xdr:rowOff>200025</xdr:rowOff>
        </xdr:to>
        <xdr:sp macro="" textlink="">
          <xdr:nvSpPr>
            <xdr:cNvPr id="91171" name="Check Box 35" hidden="1">
              <a:extLst>
                <a:ext uri="{63B3BB69-23CF-44E3-9099-C40C66FF867C}">
                  <a14:compatExt spid="_x0000_s91171"/>
                </a:ext>
                <a:ext uri="{FF2B5EF4-FFF2-40B4-BE49-F238E27FC236}">
                  <a16:creationId xmlns:a16="http://schemas.microsoft.com/office/drawing/2014/main" id="{00000000-0008-0000-3600-000023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44</xdr:row>
          <xdr:rowOff>38100</xdr:rowOff>
        </xdr:from>
        <xdr:to>
          <xdr:col>6</xdr:col>
          <xdr:colOff>266700</xdr:colOff>
          <xdr:row>44</xdr:row>
          <xdr:rowOff>228600</xdr:rowOff>
        </xdr:to>
        <xdr:sp macro="" textlink="">
          <xdr:nvSpPr>
            <xdr:cNvPr id="91172" name="Check Box 36" hidden="1">
              <a:extLst>
                <a:ext uri="{63B3BB69-23CF-44E3-9099-C40C66FF867C}">
                  <a14:compatExt spid="_x0000_s91172"/>
                </a:ext>
                <a:ext uri="{FF2B5EF4-FFF2-40B4-BE49-F238E27FC236}">
                  <a16:creationId xmlns:a16="http://schemas.microsoft.com/office/drawing/2014/main" id="{00000000-0008-0000-3600-000024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44</xdr:row>
          <xdr:rowOff>28575</xdr:rowOff>
        </xdr:from>
        <xdr:to>
          <xdr:col>11</xdr:col>
          <xdr:colOff>238125</xdr:colOff>
          <xdr:row>44</xdr:row>
          <xdr:rowOff>219075</xdr:rowOff>
        </xdr:to>
        <xdr:sp macro="" textlink="">
          <xdr:nvSpPr>
            <xdr:cNvPr id="91173" name="Check Box 37" hidden="1">
              <a:extLst>
                <a:ext uri="{63B3BB69-23CF-44E3-9099-C40C66FF867C}">
                  <a14:compatExt spid="_x0000_s91173"/>
                </a:ext>
                <a:ext uri="{FF2B5EF4-FFF2-40B4-BE49-F238E27FC236}">
                  <a16:creationId xmlns:a16="http://schemas.microsoft.com/office/drawing/2014/main" id="{00000000-0008-0000-3600-000025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44</xdr:row>
          <xdr:rowOff>28575</xdr:rowOff>
        </xdr:from>
        <xdr:to>
          <xdr:col>18</xdr:col>
          <xdr:colOff>0</xdr:colOff>
          <xdr:row>44</xdr:row>
          <xdr:rowOff>219075</xdr:rowOff>
        </xdr:to>
        <xdr:sp macro="" textlink="">
          <xdr:nvSpPr>
            <xdr:cNvPr id="91174" name="Check Box 38" hidden="1">
              <a:extLst>
                <a:ext uri="{63B3BB69-23CF-44E3-9099-C40C66FF867C}">
                  <a14:compatExt spid="_x0000_s91174"/>
                </a:ext>
                <a:ext uri="{FF2B5EF4-FFF2-40B4-BE49-F238E27FC236}">
                  <a16:creationId xmlns:a16="http://schemas.microsoft.com/office/drawing/2014/main" id="{00000000-0008-0000-3600-000026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44</xdr:row>
          <xdr:rowOff>9525</xdr:rowOff>
        </xdr:from>
        <xdr:to>
          <xdr:col>22</xdr:col>
          <xdr:colOff>266700</xdr:colOff>
          <xdr:row>44</xdr:row>
          <xdr:rowOff>238125</xdr:rowOff>
        </xdr:to>
        <xdr:sp macro="" textlink="">
          <xdr:nvSpPr>
            <xdr:cNvPr id="91175" name="Check Box 39" hidden="1">
              <a:extLst>
                <a:ext uri="{63B3BB69-23CF-44E3-9099-C40C66FF867C}">
                  <a14:compatExt spid="_x0000_s91175"/>
                </a:ext>
                <a:ext uri="{FF2B5EF4-FFF2-40B4-BE49-F238E27FC236}">
                  <a16:creationId xmlns:a16="http://schemas.microsoft.com/office/drawing/2014/main" id="{00000000-0008-0000-3600-000027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44</xdr:row>
          <xdr:rowOff>9525</xdr:rowOff>
        </xdr:from>
        <xdr:to>
          <xdr:col>27</xdr:col>
          <xdr:colOff>228600</xdr:colOff>
          <xdr:row>44</xdr:row>
          <xdr:rowOff>238125</xdr:rowOff>
        </xdr:to>
        <xdr:sp macro="" textlink="">
          <xdr:nvSpPr>
            <xdr:cNvPr id="91176" name="Check Box 40" hidden="1">
              <a:extLst>
                <a:ext uri="{63B3BB69-23CF-44E3-9099-C40C66FF867C}">
                  <a14:compatExt spid="_x0000_s91176"/>
                </a:ext>
                <a:ext uri="{FF2B5EF4-FFF2-40B4-BE49-F238E27FC236}">
                  <a16:creationId xmlns:a16="http://schemas.microsoft.com/office/drawing/2014/main" id="{00000000-0008-0000-3600-000028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44</xdr:row>
          <xdr:rowOff>238125</xdr:rowOff>
        </xdr:from>
        <xdr:to>
          <xdr:col>3</xdr:col>
          <xdr:colOff>257175</xdr:colOff>
          <xdr:row>46</xdr:row>
          <xdr:rowOff>9525</xdr:rowOff>
        </xdr:to>
        <xdr:sp macro="" textlink="">
          <xdr:nvSpPr>
            <xdr:cNvPr id="91177" name="Check Box 41" hidden="1">
              <a:extLst>
                <a:ext uri="{63B3BB69-23CF-44E3-9099-C40C66FF867C}">
                  <a14:compatExt spid="_x0000_s91177"/>
                </a:ext>
                <a:ext uri="{FF2B5EF4-FFF2-40B4-BE49-F238E27FC236}">
                  <a16:creationId xmlns:a16="http://schemas.microsoft.com/office/drawing/2014/main" id="{00000000-0008-0000-3600-000029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46</xdr:row>
          <xdr:rowOff>180975</xdr:rowOff>
        </xdr:from>
        <xdr:to>
          <xdr:col>3</xdr:col>
          <xdr:colOff>257175</xdr:colOff>
          <xdr:row>48</xdr:row>
          <xdr:rowOff>28575</xdr:rowOff>
        </xdr:to>
        <xdr:sp macro="" textlink="">
          <xdr:nvSpPr>
            <xdr:cNvPr id="91178" name="Check Box 42" hidden="1">
              <a:extLst>
                <a:ext uri="{63B3BB69-23CF-44E3-9099-C40C66FF867C}">
                  <a14:compatExt spid="_x0000_s91178"/>
                </a:ext>
                <a:ext uri="{FF2B5EF4-FFF2-40B4-BE49-F238E27FC236}">
                  <a16:creationId xmlns:a16="http://schemas.microsoft.com/office/drawing/2014/main" id="{00000000-0008-0000-3600-00002A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49</xdr:row>
          <xdr:rowOff>28575</xdr:rowOff>
        </xdr:from>
        <xdr:to>
          <xdr:col>3</xdr:col>
          <xdr:colOff>257175</xdr:colOff>
          <xdr:row>49</xdr:row>
          <xdr:rowOff>228600</xdr:rowOff>
        </xdr:to>
        <xdr:sp macro="" textlink="">
          <xdr:nvSpPr>
            <xdr:cNvPr id="91179" name="Check Box 43" hidden="1">
              <a:extLst>
                <a:ext uri="{63B3BB69-23CF-44E3-9099-C40C66FF867C}">
                  <a14:compatExt spid="_x0000_s91179"/>
                </a:ext>
                <a:ext uri="{FF2B5EF4-FFF2-40B4-BE49-F238E27FC236}">
                  <a16:creationId xmlns:a16="http://schemas.microsoft.com/office/drawing/2014/main" id="{00000000-0008-0000-3600-00002B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50</xdr:row>
          <xdr:rowOff>38100</xdr:rowOff>
        </xdr:from>
        <xdr:to>
          <xdr:col>4</xdr:col>
          <xdr:colOff>9525</xdr:colOff>
          <xdr:row>50</xdr:row>
          <xdr:rowOff>228600</xdr:rowOff>
        </xdr:to>
        <xdr:sp macro="" textlink="">
          <xdr:nvSpPr>
            <xdr:cNvPr id="91180" name="Check Box 44" hidden="1">
              <a:extLst>
                <a:ext uri="{63B3BB69-23CF-44E3-9099-C40C66FF867C}">
                  <a14:compatExt spid="_x0000_s91180"/>
                </a:ext>
                <a:ext uri="{FF2B5EF4-FFF2-40B4-BE49-F238E27FC236}">
                  <a16:creationId xmlns:a16="http://schemas.microsoft.com/office/drawing/2014/main" id="{00000000-0008-0000-3600-00002C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51</xdr:row>
          <xdr:rowOff>28575</xdr:rowOff>
        </xdr:from>
        <xdr:to>
          <xdr:col>3</xdr:col>
          <xdr:colOff>257175</xdr:colOff>
          <xdr:row>51</xdr:row>
          <xdr:rowOff>257175</xdr:rowOff>
        </xdr:to>
        <xdr:sp macro="" textlink="">
          <xdr:nvSpPr>
            <xdr:cNvPr id="91181" name="Check Box 45" hidden="1">
              <a:extLst>
                <a:ext uri="{63B3BB69-23CF-44E3-9099-C40C66FF867C}">
                  <a14:compatExt spid="_x0000_s91181"/>
                </a:ext>
                <a:ext uri="{FF2B5EF4-FFF2-40B4-BE49-F238E27FC236}">
                  <a16:creationId xmlns:a16="http://schemas.microsoft.com/office/drawing/2014/main" id="{00000000-0008-0000-3600-00002D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52</xdr:row>
          <xdr:rowOff>38100</xdr:rowOff>
        </xdr:from>
        <xdr:to>
          <xdr:col>3</xdr:col>
          <xdr:colOff>257175</xdr:colOff>
          <xdr:row>52</xdr:row>
          <xdr:rowOff>238125</xdr:rowOff>
        </xdr:to>
        <xdr:sp macro="" textlink="">
          <xdr:nvSpPr>
            <xdr:cNvPr id="91182" name="Check Box 46" hidden="1">
              <a:extLst>
                <a:ext uri="{63B3BB69-23CF-44E3-9099-C40C66FF867C}">
                  <a14:compatExt spid="_x0000_s91182"/>
                </a:ext>
                <a:ext uri="{FF2B5EF4-FFF2-40B4-BE49-F238E27FC236}">
                  <a16:creationId xmlns:a16="http://schemas.microsoft.com/office/drawing/2014/main" id="{00000000-0008-0000-3600-00002E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53</xdr:row>
          <xdr:rowOff>28575</xdr:rowOff>
        </xdr:from>
        <xdr:to>
          <xdr:col>4</xdr:col>
          <xdr:colOff>9525</xdr:colOff>
          <xdr:row>53</xdr:row>
          <xdr:rowOff>257175</xdr:rowOff>
        </xdr:to>
        <xdr:sp macro="" textlink="">
          <xdr:nvSpPr>
            <xdr:cNvPr id="91183" name="Check Box 47" hidden="1">
              <a:extLst>
                <a:ext uri="{63B3BB69-23CF-44E3-9099-C40C66FF867C}">
                  <a14:compatExt spid="_x0000_s91183"/>
                </a:ext>
                <a:ext uri="{FF2B5EF4-FFF2-40B4-BE49-F238E27FC236}">
                  <a16:creationId xmlns:a16="http://schemas.microsoft.com/office/drawing/2014/main" id="{00000000-0008-0000-3600-00002F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38</xdr:row>
          <xdr:rowOff>28575</xdr:rowOff>
        </xdr:from>
        <xdr:to>
          <xdr:col>3</xdr:col>
          <xdr:colOff>219075</xdr:colOff>
          <xdr:row>38</xdr:row>
          <xdr:rowOff>200025</xdr:rowOff>
        </xdr:to>
        <xdr:sp macro="" textlink="">
          <xdr:nvSpPr>
            <xdr:cNvPr id="91184" name="Check Box 48" hidden="1">
              <a:extLst>
                <a:ext uri="{63B3BB69-23CF-44E3-9099-C40C66FF867C}">
                  <a14:compatExt spid="_x0000_s91184"/>
                </a:ext>
                <a:ext uri="{FF2B5EF4-FFF2-40B4-BE49-F238E27FC236}">
                  <a16:creationId xmlns:a16="http://schemas.microsoft.com/office/drawing/2014/main" id="{00000000-0008-0000-3600-000030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40</xdr:row>
          <xdr:rowOff>200025</xdr:rowOff>
        </xdr:from>
        <xdr:to>
          <xdr:col>3</xdr:col>
          <xdr:colOff>238125</xdr:colOff>
          <xdr:row>42</xdr:row>
          <xdr:rowOff>9525</xdr:rowOff>
        </xdr:to>
        <xdr:sp macro="" textlink="">
          <xdr:nvSpPr>
            <xdr:cNvPr id="91185" name="Check Box 49" hidden="1">
              <a:extLst>
                <a:ext uri="{63B3BB69-23CF-44E3-9099-C40C66FF867C}">
                  <a14:compatExt spid="_x0000_s91185"/>
                </a:ext>
                <a:ext uri="{FF2B5EF4-FFF2-40B4-BE49-F238E27FC236}">
                  <a16:creationId xmlns:a16="http://schemas.microsoft.com/office/drawing/2014/main" id="{00000000-0008-0000-3600-0000316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28575</xdr:colOff>
          <xdr:row>3</xdr:row>
          <xdr:rowOff>66675</xdr:rowOff>
        </xdr:from>
        <xdr:to>
          <xdr:col>5</xdr:col>
          <xdr:colOff>257175</xdr:colOff>
          <xdr:row>3</xdr:row>
          <xdr:rowOff>257175</xdr:rowOff>
        </xdr:to>
        <xdr:sp macro="" textlink="">
          <xdr:nvSpPr>
            <xdr:cNvPr id="92161" name="Check Box 1" hidden="1">
              <a:extLst>
                <a:ext uri="{63B3BB69-23CF-44E3-9099-C40C66FF867C}">
                  <a14:compatExt spid="_x0000_s92161"/>
                </a:ext>
                <a:ext uri="{FF2B5EF4-FFF2-40B4-BE49-F238E27FC236}">
                  <a16:creationId xmlns:a16="http://schemas.microsoft.com/office/drawing/2014/main" id="{00000000-0008-0000-3700-0000016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3</xdr:row>
          <xdr:rowOff>295275</xdr:rowOff>
        </xdr:from>
        <xdr:to>
          <xdr:col>6</xdr:col>
          <xdr:colOff>0</xdr:colOff>
          <xdr:row>5</xdr:row>
          <xdr:rowOff>9525</xdr:rowOff>
        </xdr:to>
        <xdr:sp macro="" textlink="">
          <xdr:nvSpPr>
            <xdr:cNvPr id="92162" name="Check Box 2" hidden="1">
              <a:extLst>
                <a:ext uri="{63B3BB69-23CF-44E3-9099-C40C66FF867C}">
                  <a14:compatExt spid="_x0000_s92162"/>
                </a:ext>
                <a:ext uri="{FF2B5EF4-FFF2-40B4-BE49-F238E27FC236}">
                  <a16:creationId xmlns:a16="http://schemas.microsoft.com/office/drawing/2014/main" id="{00000000-0008-0000-3700-0000026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6</xdr:row>
          <xdr:rowOff>47625</xdr:rowOff>
        </xdr:from>
        <xdr:to>
          <xdr:col>5</xdr:col>
          <xdr:colOff>238125</xdr:colOff>
          <xdr:row>6</xdr:row>
          <xdr:rowOff>266700</xdr:rowOff>
        </xdr:to>
        <xdr:sp macro="" textlink="">
          <xdr:nvSpPr>
            <xdr:cNvPr id="92163" name="Check Box 3" hidden="1">
              <a:extLst>
                <a:ext uri="{63B3BB69-23CF-44E3-9099-C40C66FF867C}">
                  <a14:compatExt spid="_x0000_s92163"/>
                </a:ext>
                <a:ext uri="{FF2B5EF4-FFF2-40B4-BE49-F238E27FC236}">
                  <a16:creationId xmlns:a16="http://schemas.microsoft.com/office/drawing/2014/main" id="{00000000-0008-0000-3700-0000036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28575</xdr:colOff>
          <xdr:row>3</xdr:row>
          <xdr:rowOff>28575</xdr:rowOff>
        </xdr:from>
        <xdr:to>
          <xdr:col>4</xdr:col>
          <xdr:colOff>238125</xdr:colOff>
          <xdr:row>3</xdr:row>
          <xdr:rowOff>266700</xdr:rowOff>
        </xdr:to>
        <xdr:sp macro="" textlink="">
          <xdr:nvSpPr>
            <xdr:cNvPr id="93185" name="Check Box 1" hidden="1">
              <a:extLst>
                <a:ext uri="{63B3BB69-23CF-44E3-9099-C40C66FF867C}">
                  <a14:compatExt spid="_x0000_s93185"/>
                </a:ext>
                <a:ext uri="{FF2B5EF4-FFF2-40B4-BE49-F238E27FC236}">
                  <a16:creationId xmlns:a16="http://schemas.microsoft.com/office/drawing/2014/main" id="{00000000-0008-0000-3800-000001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5</xdr:row>
          <xdr:rowOff>66675</xdr:rowOff>
        </xdr:from>
        <xdr:to>
          <xdr:col>5</xdr:col>
          <xdr:colOff>0</xdr:colOff>
          <xdr:row>7</xdr:row>
          <xdr:rowOff>28575</xdr:rowOff>
        </xdr:to>
        <xdr:sp macro="" textlink="">
          <xdr:nvSpPr>
            <xdr:cNvPr id="93186" name="Check Box 2" hidden="1">
              <a:extLst>
                <a:ext uri="{63B3BB69-23CF-44E3-9099-C40C66FF867C}">
                  <a14:compatExt spid="_x0000_s93186"/>
                </a:ext>
                <a:ext uri="{FF2B5EF4-FFF2-40B4-BE49-F238E27FC236}">
                  <a16:creationId xmlns:a16="http://schemas.microsoft.com/office/drawing/2014/main" id="{00000000-0008-0000-3800-000002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32</xdr:row>
          <xdr:rowOff>104775</xdr:rowOff>
        </xdr:from>
        <xdr:to>
          <xdr:col>5</xdr:col>
          <xdr:colOff>0</xdr:colOff>
          <xdr:row>34</xdr:row>
          <xdr:rowOff>28575</xdr:rowOff>
        </xdr:to>
        <xdr:sp macro="" textlink="">
          <xdr:nvSpPr>
            <xdr:cNvPr id="93188" name="Check Box 4" hidden="1">
              <a:extLst>
                <a:ext uri="{63B3BB69-23CF-44E3-9099-C40C66FF867C}">
                  <a14:compatExt spid="_x0000_s93188"/>
                </a:ext>
                <a:ext uri="{FF2B5EF4-FFF2-40B4-BE49-F238E27FC236}">
                  <a16:creationId xmlns:a16="http://schemas.microsoft.com/office/drawing/2014/main" id="{00000000-0008-0000-3800-000004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35</xdr:row>
          <xdr:rowOff>0</xdr:rowOff>
        </xdr:from>
        <xdr:to>
          <xdr:col>5</xdr:col>
          <xdr:colOff>9525</xdr:colOff>
          <xdr:row>36</xdr:row>
          <xdr:rowOff>9525</xdr:rowOff>
        </xdr:to>
        <xdr:sp macro="" textlink="">
          <xdr:nvSpPr>
            <xdr:cNvPr id="93189" name="Check Box 5" hidden="1">
              <a:extLst>
                <a:ext uri="{63B3BB69-23CF-44E3-9099-C40C66FF867C}">
                  <a14:compatExt spid="_x0000_s93189"/>
                </a:ext>
                <a:ext uri="{FF2B5EF4-FFF2-40B4-BE49-F238E27FC236}">
                  <a16:creationId xmlns:a16="http://schemas.microsoft.com/office/drawing/2014/main" id="{00000000-0008-0000-3800-000005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40</xdr:row>
          <xdr:rowOff>9525</xdr:rowOff>
        </xdr:from>
        <xdr:to>
          <xdr:col>4</xdr:col>
          <xdr:colOff>257175</xdr:colOff>
          <xdr:row>40</xdr:row>
          <xdr:rowOff>238125</xdr:rowOff>
        </xdr:to>
        <xdr:sp macro="" textlink="">
          <xdr:nvSpPr>
            <xdr:cNvPr id="93191" name="Check Box 7" hidden="1">
              <a:extLst>
                <a:ext uri="{63B3BB69-23CF-44E3-9099-C40C66FF867C}">
                  <a14:compatExt spid="_x0000_s93191"/>
                </a:ext>
                <a:ext uri="{FF2B5EF4-FFF2-40B4-BE49-F238E27FC236}">
                  <a16:creationId xmlns:a16="http://schemas.microsoft.com/office/drawing/2014/main" id="{00000000-0008-0000-3800-000007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41</xdr:row>
          <xdr:rowOff>9525</xdr:rowOff>
        </xdr:from>
        <xdr:to>
          <xdr:col>5</xdr:col>
          <xdr:colOff>0</xdr:colOff>
          <xdr:row>42</xdr:row>
          <xdr:rowOff>28575</xdr:rowOff>
        </xdr:to>
        <xdr:sp macro="" textlink="">
          <xdr:nvSpPr>
            <xdr:cNvPr id="93192" name="Check Box 8" hidden="1">
              <a:extLst>
                <a:ext uri="{63B3BB69-23CF-44E3-9099-C40C66FF867C}">
                  <a14:compatExt spid="_x0000_s93192"/>
                </a:ext>
                <a:ext uri="{FF2B5EF4-FFF2-40B4-BE49-F238E27FC236}">
                  <a16:creationId xmlns:a16="http://schemas.microsoft.com/office/drawing/2014/main" id="{00000000-0008-0000-3800-000008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42</xdr:row>
          <xdr:rowOff>38100</xdr:rowOff>
        </xdr:from>
        <xdr:to>
          <xdr:col>4</xdr:col>
          <xdr:colOff>266700</xdr:colOff>
          <xdr:row>42</xdr:row>
          <xdr:rowOff>219075</xdr:rowOff>
        </xdr:to>
        <xdr:sp macro="" textlink="">
          <xdr:nvSpPr>
            <xdr:cNvPr id="93193" name="Check Box 9" hidden="1">
              <a:extLst>
                <a:ext uri="{63B3BB69-23CF-44E3-9099-C40C66FF867C}">
                  <a14:compatExt spid="_x0000_s93193"/>
                </a:ext>
                <a:ext uri="{FF2B5EF4-FFF2-40B4-BE49-F238E27FC236}">
                  <a16:creationId xmlns:a16="http://schemas.microsoft.com/office/drawing/2014/main" id="{00000000-0008-0000-3800-000009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43</xdr:row>
          <xdr:rowOff>28575</xdr:rowOff>
        </xdr:from>
        <xdr:to>
          <xdr:col>4</xdr:col>
          <xdr:colOff>257175</xdr:colOff>
          <xdr:row>43</xdr:row>
          <xdr:rowOff>238125</xdr:rowOff>
        </xdr:to>
        <xdr:sp macro="" textlink="">
          <xdr:nvSpPr>
            <xdr:cNvPr id="93194" name="Check Box 10" hidden="1">
              <a:extLst>
                <a:ext uri="{63B3BB69-23CF-44E3-9099-C40C66FF867C}">
                  <a14:compatExt spid="_x0000_s93194"/>
                </a:ext>
                <a:ext uri="{FF2B5EF4-FFF2-40B4-BE49-F238E27FC236}">
                  <a16:creationId xmlns:a16="http://schemas.microsoft.com/office/drawing/2014/main" id="{00000000-0008-0000-3800-00000A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44</xdr:row>
          <xdr:rowOff>28575</xdr:rowOff>
        </xdr:from>
        <xdr:to>
          <xdr:col>5</xdr:col>
          <xdr:colOff>0</xdr:colOff>
          <xdr:row>44</xdr:row>
          <xdr:rowOff>238125</xdr:rowOff>
        </xdr:to>
        <xdr:sp macro="" textlink="">
          <xdr:nvSpPr>
            <xdr:cNvPr id="93195" name="Check Box 11" hidden="1">
              <a:extLst>
                <a:ext uri="{63B3BB69-23CF-44E3-9099-C40C66FF867C}">
                  <a14:compatExt spid="_x0000_s93195"/>
                </a:ext>
                <a:ext uri="{FF2B5EF4-FFF2-40B4-BE49-F238E27FC236}">
                  <a16:creationId xmlns:a16="http://schemas.microsoft.com/office/drawing/2014/main" id="{00000000-0008-0000-3800-00000B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45</xdr:row>
          <xdr:rowOff>9525</xdr:rowOff>
        </xdr:from>
        <xdr:to>
          <xdr:col>5</xdr:col>
          <xdr:colOff>0</xdr:colOff>
          <xdr:row>46</xdr:row>
          <xdr:rowOff>0</xdr:rowOff>
        </xdr:to>
        <xdr:sp macro="" textlink="">
          <xdr:nvSpPr>
            <xdr:cNvPr id="93196" name="Check Box 12" hidden="1">
              <a:extLst>
                <a:ext uri="{63B3BB69-23CF-44E3-9099-C40C66FF867C}">
                  <a14:compatExt spid="_x0000_s93196"/>
                </a:ext>
                <a:ext uri="{FF2B5EF4-FFF2-40B4-BE49-F238E27FC236}">
                  <a16:creationId xmlns:a16="http://schemas.microsoft.com/office/drawing/2014/main" id="{00000000-0008-0000-3800-00000C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39</xdr:row>
          <xdr:rowOff>238125</xdr:rowOff>
        </xdr:from>
        <xdr:to>
          <xdr:col>25</xdr:col>
          <xdr:colOff>266700</xdr:colOff>
          <xdr:row>41</xdr:row>
          <xdr:rowOff>9525</xdr:rowOff>
        </xdr:to>
        <xdr:sp macro="" textlink="">
          <xdr:nvSpPr>
            <xdr:cNvPr id="93197" name="Check Box 13" hidden="1">
              <a:extLst>
                <a:ext uri="{63B3BB69-23CF-44E3-9099-C40C66FF867C}">
                  <a14:compatExt spid="_x0000_s93197"/>
                </a:ext>
                <a:ext uri="{FF2B5EF4-FFF2-40B4-BE49-F238E27FC236}">
                  <a16:creationId xmlns:a16="http://schemas.microsoft.com/office/drawing/2014/main" id="{00000000-0008-0000-3800-00000D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41</xdr:row>
          <xdr:rowOff>28575</xdr:rowOff>
        </xdr:from>
        <xdr:to>
          <xdr:col>25</xdr:col>
          <xdr:colOff>266700</xdr:colOff>
          <xdr:row>42</xdr:row>
          <xdr:rowOff>9525</xdr:rowOff>
        </xdr:to>
        <xdr:sp macro="" textlink="">
          <xdr:nvSpPr>
            <xdr:cNvPr id="93198" name="Check Box 14" hidden="1">
              <a:extLst>
                <a:ext uri="{63B3BB69-23CF-44E3-9099-C40C66FF867C}">
                  <a14:compatExt spid="_x0000_s93198"/>
                </a:ext>
                <a:ext uri="{FF2B5EF4-FFF2-40B4-BE49-F238E27FC236}">
                  <a16:creationId xmlns:a16="http://schemas.microsoft.com/office/drawing/2014/main" id="{00000000-0008-0000-3800-00000E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42</xdr:row>
          <xdr:rowOff>28575</xdr:rowOff>
        </xdr:from>
        <xdr:to>
          <xdr:col>25</xdr:col>
          <xdr:colOff>257175</xdr:colOff>
          <xdr:row>42</xdr:row>
          <xdr:rowOff>228600</xdr:rowOff>
        </xdr:to>
        <xdr:sp macro="" textlink="">
          <xdr:nvSpPr>
            <xdr:cNvPr id="93199" name="Check Box 15" hidden="1">
              <a:extLst>
                <a:ext uri="{63B3BB69-23CF-44E3-9099-C40C66FF867C}">
                  <a14:compatExt spid="_x0000_s93199"/>
                </a:ext>
                <a:ext uri="{FF2B5EF4-FFF2-40B4-BE49-F238E27FC236}">
                  <a16:creationId xmlns:a16="http://schemas.microsoft.com/office/drawing/2014/main" id="{00000000-0008-0000-3800-00000F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43</xdr:row>
          <xdr:rowOff>9525</xdr:rowOff>
        </xdr:from>
        <xdr:to>
          <xdr:col>25</xdr:col>
          <xdr:colOff>238125</xdr:colOff>
          <xdr:row>44</xdr:row>
          <xdr:rowOff>0</xdr:rowOff>
        </xdr:to>
        <xdr:sp macro="" textlink="">
          <xdr:nvSpPr>
            <xdr:cNvPr id="93200" name="Check Box 16" hidden="1">
              <a:extLst>
                <a:ext uri="{63B3BB69-23CF-44E3-9099-C40C66FF867C}">
                  <a14:compatExt spid="_x0000_s93200"/>
                </a:ext>
                <a:ext uri="{FF2B5EF4-FFF2-40B4-BE49-F238E27FC236}">
                  <a16:creationId xmlns:a16="http://schemas.microsoft.com/office/drawing/2014/main" id="{00000000-0008-0000-3800-000010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44</xdr:row>
          <xdr:rowOff>38100</xdr:rowOff>
        </xdr:from>
        <xdr:to>
          <xdr:col>26</xdr:col>
          <xdr:colOff>9525</xdr:colOff>
          <xdr:row>45</xdr:row>
          <xdr:rowOff>28575</xdr:rowOff>
        </xdr:to>
        <xdr:sp macro="" textlink="">
          <xdr:nvSpPr>
            <xdr:cNvPr id="93201" name="Check Box 17" hidden="1">
              <a:extLst>
                <a:ext uri="{63B3BB69-23CF-44E3-9099-C40C66FF867C}">
                  <a14:compatExt spid="_x0000_s93201"/>
                </a:ext>
                <a:ext uri="{FF2B5EF4-FFF2-40B4-BE49-F238E27FC236}">
                  <a16:creationId xmlns:a16="http://schemas.microsoft.com/office/drawing/2014/main" id="{00000000-0008-0000-3800-0000116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28575</xdr:colOff>
          <xdr:row>9</xdr:row>
          <xdr:rowOff>0</xdr:rowOff>
        </xdr:from>
        <xdr:to>
          <xdr:col>32</xdr:col>
          <xdr:colOff>0</xdr:colOff>
          <xdr:row>10</xdr:row>
          <xdr:rowOff>9525</xdr:rowOff>
        </xdr:to>
        <xdr:sp macro="" textlink="">
          <xdr:nvSpPr>
            <xdr:cNvPr id="94209" name="Check Box 1" hidden="1">
              <a:extLst>
                <a:ext uri="{63B3BB69-23CF-44E3-9099-C40C66FF867C}">
                  <a14:compatExt spid="_x0000_s94209"/>
                </a:ext>
                <a:ext uri="{FF2B5EF4-FFF2-40B4-BE49-F238E27FC236}">
                  <a16:creationId xmlns:a16="http://schemas.microsoft.com/office/drawing/2014/main" id="{00000000-0008-0000-3900-0000017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10</xdr:row>
          <xdr:rowOff>190500</xdr:rowOff>
        </xdr:from>
        <xdr:to>
          <xdr:col>31</xdr:col>
          <xdr:colOff>257175</xdr:colOff>
          <xdr:row>12</xdr:row>
          <xdr:rowOff>9525</xdr:rowOff>
        </xdr:to>
        <xdr:sp macro="" textlink="">
          <xdr:nvSpPr>
            <xdr:cNvPr id="94210" name="Check Box 2" hidden="1">
              <a:extLst>
                <a:ext uri="{63B3BB69-23CF-44E3-9099-C40C66FF867C}">
                  <a14:compatExt spid="_x0000_s94210"/>
                </a:ext>
                <a:ext uri="{FF2B5EF4-FFF2-40B4-BE49-F238E27FC236}">
                  <a16:creationId xmlns:a16="http://schemas.microsoft.com/office/drawing/2014/main" id="{00000000-0008-0000-3900-0000027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12</xdr:row>
          <xdr:rowOff>180975</xdr:rowOff>
        </xdr:from>
        <xdr:to>
          <xdr:col>31</xdr:col>
          <xdr:colOff>257175</xdr:colOff>
          <xdr:row>14</xdr:row>
          <xdr:rowOff>28575</xdr:rowOff>
        </xdr:to>
        <xdr:sp macro="" textlink="">
          <xdr:nvSpPr>
            <xdr:cNvPr id="94211" name="Check Box 3" hidden="1">
              <a:extLst>
                <a:ext uri="{63B3BB69-23CF-44E3-9099-C40C66FF867C}">
                  <a14:compatExt spid="_x0000_s94211"/>
                </a:ext>
                <a:ext uri="{FF2B5EF4-FFF2-40B4-BE49-F238E27FC236}">
                  <a16:creationId xmlns:a16="http://schemas.microsoft.com/office/drawing/2014/main" id="{00000000-0008-0000-3900-0000037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14</xdr:row>
          <xdr:rowOff>161925</xdr:rowOff>
        </xdr:from>
        <xdr:to>
          <xdr:col>32</xdr:col>
          <xdr:colOff>28575</xdr:colOff>
          <xdr:row>16</xdr:row>
          <xdr:rowOff>28575</xdr:rowOff>
        </xdr:to>
        <xdr:sp macro="" textlink="">
          <xdr:nvSpPr>
            <xdr:cNvPr id="94212" name="Check Box 4" hidden="1">
              <a:extLst>
                <a:ext uri="{63B3BB69-23CF-44E3-9099-C40C66FF867C}">
                  <a14:compatExt spid="_x0000_s94212"/>
                </a:ext>
                <a:ext uri="{FF2B5EF4-FFF2-40B4-BE49-F238E27FC236}">
                  <a16:creationId xmlns:a16="http://schemas.microsoft.com/office/drawing/2014/main" id="{00000000-0008-0000-3900-0000047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28575</xdr:colOff>
          <xdr:row>10</xdr:row>
          <xdr:rowOff>28575</xdr:rowOff>
        </xdr:from>
        <xdr:to>
          <xdr:col>18</xdr:col>
          <xdr:colOff>257175</xdr:colOff>
          <xdr:row>10</xdr:row>
          <xdr:rowOff>276225</xdr:rowOff>
        </xdr:to>
        <xdr:sp macro="" textlink="">
          <xdr:nvSpPr>
            <xdr:cNvPr id="123905" name="Check Box 1" hidden="1">
              <a:extLst>
                <a:ext uri="{63B3BB69-23CF-44E3-9099-C40C66FF867C}">
                  <a14:compatExt spid="_x0000_s123905"/>
                </a:ext>
                <a:ext uri="{FF2B5EF4-FFF2-40B4-BE49-F238E27FC236}">
                  <a16:creationId xmlns:a16="http://schemas.microsoft.com/office/drawing/2014/main" id="{00000000-0008-0000-3B00-000001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xdr:row>
          <xdr:rowOff>38100</xdr:rowOff>
        </xdr:from>
        <xdr:to>
          <xdr:col>21</xdr:col>
          <xdr:colOff>257175</xdr:colOff>
          <xdr:row>10</xdr:row>
          <xdr:rowOff>257175</xdr:rowOff>
        </xdr:to>
        <xdr:sp macro="" textlink="">
          <xdr:nvSpPr>
            <xdr:cNvPr id="123906" name="Check Box 2" hidden="1">
              <a:extLst>
                <a:ext uri="{63B3BB69-23CF-44E3-9099-C40C66FF867C}">
                  <a14:compatExt spid="_x0000_s123906"/>
                </a:ext>
                <a:ext uri="{FF2B5EF4-FFF2-40B4-BE49-F238E27FC236}">
                  <a16:creationId xmlns:a16="http://schemas.microsoft.com/office/drawing/2014/main" id="{00000000-0008-0000-3B00-000002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10</xdr:row>
          <xdr:rowOff>28575</xdr:rowOff>
        </xdr:from>
        <xdr:to>
          <xdr:col>24</xdr:col>
          <xdr:colOff>238125</xdr:colOff>
          <xdr:row>10</xdr:row>
          <xdr:rowOff>276225</xdr:rowOff>
        </xdr:to>
        <xdr:sp macro="" textlink="">
          <xdr:nvSpPr>
            <xdr:cNvPr id="123907" name="Check Box 3" hidden="1">
              <a:extLst>
                <a:ext uri="{63B3BB69-23CF-44E3-9099-C40C66FF867C}">
                  <a14:compatExt spid="_x0000_s123907"/>
                </a:ext>
                <a:ext uri="{FF2B5EF4-FFF2-40B4-BE49-F238E27FC236}">
                  <a16:creationId xmlns:a16="http://schemas.microsoft.com/office/drawing/2014/main" id="{00000000-0008-0000-3B00-000003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10</xdr:row>
          <xdr:rowOff>66675</xdr:rowOff>
        </xdr:from>
        <xdr:to>
          <xdr:col>27</xdr:col>
          <xdr:colOff>257175</xdr:colOff>
          <xdr:row>10</xdr:row>
          <xdr:rowOff>257175</xdr:rowOff>
        </xdr:to>
        <xdr:sp macro="" textlink="">
          <xdr:nvSpPr>
            <xdr:cNvPr id="123908" name="Check Box 4" hidden="1">
              <a:extLst>
                <a:ext uri="{63B3BB69-23CF-44E3-9099-C40C66FF867C}">
                  <a14:compatExt spid="_x0000_s123908"/>
                </a:ext>
                <a:ext uri="{FF2B5EF4-FFF2-40B4-BE49-F238E27FC236}">
                  <a16:creationId xmlns:a16="http://schemas.microsoft.com/office/drawing/2014/main" id="{00000000-0008-0000-3B00-000004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10</xdr:row>
          <xdr:rowOff>28575</xdr:rowOff>
        </xdr:from>
        <xdr:to>
          <xdr:col>30</xdr:col>
          <xdr:colOff>228600</xdr:colOff>
          <xdr:row>10</xdr:row>
          <xdr:rowOff>257175</xdr:rowOff>
        </xdr:to>
        <xdr:sp macro="" textlink="">
          <xdr:nvSpPr>
            <xdr:cNvPr id="123909" name="Check Box 5" hidden="1">
              <a:extLst>
                <a:ext uri="{63B3BB69-23CF-44E3-9099-C40C66FF867C}">
                  <a14:compatExt spid="_x0000_s123909"/>
                </a:ext>
                <a:ext uri="{FF2B5EF4-FFF2-40B4-BE49-F238E27FC236}">
                  <a16:creationId xmlns:a16="http://schemas.microsoft.com/office/drawing/2014/main" id="{00000000-0008-0000-3B00-000005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10</xdr:row>
          <xdr:rowOff>47625</xdr:rowOff>
        </xdr:from>
        <xdr:to>
          <xdr:col>33</xdr:col>
          <xdr:colOff>228600</xdr:colOff>
          <xdr:row>10</xdr:row>
          <xdr:rowOff>238125</xdr:rowOff>
        </xdr:to>
        <xdr:sp macro="" textlink="">
          <xdr:nvSpPr>
            <xdr:cNvPr id="123910" name="Check Box 6" hidden="1">
              <a:extLst>
                <a:ext uri="{63B3BB69-23CF-44E3-9099-C40C66FF867C}">
                  <a14:compatExt spid="_x0000_s123910"/>
                </a:ext>
                <a:ext uri="{FF2B5EF4-FFF2-40B4-BE49-F238E27FC236}">
                  <a16:creationId xmlns:a16="http://schemas.microsoft.com/office/drawing/2014/main" id="{00000000-0008-0000-3B00-000006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11</xdr:row>
          <xdr:rowOff>28575</xdr:rowOff>
        </xdr:from>
        <xdr:to>
          <xdr:col>18</xdr:col>
          <xdr:colOff>238125</xdr:colOff>
          <xdr:row>11</xdr:row>
          <xdr:rowOff>257175</xdr:rowOff>
        </xdr:to>
        <xdr:sp macro="" textlink="">
          <xdr:nvSpPr>
            <xdr:cNvPr id="123911" name="Check Box 7" hidden="1">
              <a:extLst>
                <a:ext uri="{63B3BB69-23CF-44E3-9099-C40C66FF867C}">
                  <a14:compatExt spid="_x0000_s123911"/>
                </a:ext>
                <a:ext uri="{FF2B5EF4-FFF2-40B4-BE49-F238E27FC236}">
                  <a16:creationId xmlns:a16="http://schemas.microsoft.com/office/drawing/2014/main" id="{00000000-0008-0000-3B00-000007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11</xdr:row>
          <xdr:rowOff>38100</xdr:rowOff>
        </xdr:from>
        <xdr:to>
          <xdr:col>21</xdr:col>
          <xdr:colOff>266700</xdr:colOff>
          <xdr:row>11</xdr:row>
          <xdr:rowOff>238125</xdr:rowOff>
        </xdr:to>
        <xdr:sp macro="" textlink="">
          <xdr:nvSpPr>
            <xdr:cNvPr id="123912" name="Check Box 8" hidden="1">
              <a:extLst>
                <a:ext uri="{63B3BB69-23CF-44E3-9099-C40C66FF867C}">
                  <a14:compatExt spid="_x0000_s123912"/>
                </a:ext>
                <a:ext uri="{FF2B5EF4-FFF2-40B4-BE49-F238E27FC236}">
                  <a16:creationId xmlns:a16="http://schemas.microsoft.com/office/drawing/2014/main" id="{00000000-0008-0000-3B00-000008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11</xdr:row>
          <xdr:rowOff>28575</xdr:rowOff>
        </xdr:from>
        <xdr:to>
          <xdr:col>24</xdr:col>
          <xdr:colOff>257175</xdr:colOff>
          <xdr:row>11</xdr:row>
          <xdr:rowOff>257175</xdr:rowOff>
        </xdr:to>
        <xdr:sp macro="" textlink="">
          <xdr:nvSpPr>
            <xdr:cNvPr id="123913" name="Check Box 9" hidden="1">
              <a:extLst>
                <a:ext uri="{63B3BB69-23CF-44E3-9099-C40C66FF867C}">
                  <a14:compatExt spid="_x0000_s123913"/>
                </a:ext>
                <a:ext uri="{FF2B5EF4-FFF2-40B4-BE49-F238E27FC236}">
                  <a16:creationId xmlns:a16="http://schemas.microsoft.com/office/drawing/2014/main" id="{00000000-0008-0000-3B00-000009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11</xdr:row>
          <xdr:rowOff>28575</xdr:rowOff>
        </xdr:from>
        <xdr:to>
          <xdr:col>27</xdr:col>
          <xdr:colOff>257175</xdr:colOff>
          <xdr:row>11</xdr:row>
          <xdr:rowOff>257175</xdr:rowOff>
        </xdr:to>
        <xdr:sp macro="" textlink="">
          <xdr:nvSpPr>
            <xdr:cNvPr id="123914" name="Check Box 10" hidden="1">
              <a:extLst>
                <a:ext uri="{63B3BB69-23CF-44E3-9099-C40C66FF867C}">
                  <a14:compatExt spid="_x0000_s123914"/>
                </a:ext>
                <a:ext uri="{FF2B5EF4-FFF2-40B4-BE49-F238E27FC236}">
                  <a16:creationId xmlns:a16="http://schemas.microsoft.com/office/drawing/2014/main" id="{00000000-0008-0000-3B00-00000A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11</xdr:row>
          <xdr:rowOff>38100</xdr:rowOff>
        </xdr:from>
        <xdr:to>
          <xdr:col>30</xdr:col>
          <xdr:colOff>238125</xdr:colOff>
          <xdr:row>11</xdr:row>
          <xdr:rowOff>257175</xdr:rowOff>
        </xdr:to>
        <xdr:sp macro="" textlink="">
          <xdr:nvSpPr>
            <xdr:cNvPr id="123915" name="Check Box 11" hidden="1">
              <a:extLst>
                <a:ext uri="{63B3BB69-23CF-44E3-9099-C40C66FF867C}">
                  <a14:compatExt spid="_x0000_s123915"/>
                </a:ext>
                <a:ext uri="{FF2B5EF4-FFF2-40B4-BE49-F238E27FC236}">
                  <a16:creationId xmlns:a16="http://schemas.microsoft.com/office/drawing/2014/main" id="{00000000-0008-0000-3B00-00000B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11</xdr:row>
          <xdr:rowOff>38100</xdr:rowOff>
        </xdr:from>
        <xdr:to>
          <xdr:col>33</xdr:col>
          <xdr:colOff>238125</xdr:colOff>
          <xdr:row>11</xdr:row>
          <xdr:rowOff>257175</xdr:rowOff>
        </xdr:to>
        <xdr:sp macro="" textlink="">
          <xdr:nvSpPr>
            <xdr:cNvPr id="123916" name="Check Box 12" hidden="1">
              <a:extLst>
                <a:ext uri="{63B3BB69-23CF-44E3-9099-C40C66FF867C}">
                  <a14:compatExt spid="_x0000_s123916"/>
                </a:ext>
                <a:ext uri="{FF2B5EF4-FFF2-40B4-BE49-F238E27FC236}">
                  <a16:creationId xmlns:a16="http://schemas.microsoft.com/office/drawing/2014/main" id="{00000000-0008-0000-3B00-00000C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12</xdr:row>
          <xdr:rowOff>9525</xdr:rowOff>
        </xdr:from>
        <xdr:to>
          <xdr:col>18</xdr:col>
          <xdr:colOff>238125</xdr:colOff>
          <xdr:row>12</xdr:row>
          <xdr:rowOff>295275</xdr:rowOff>
        </xdr:to>
        <xdr:sp macro="" textlink="">
          <xdr:nvSpPr>
            <xdr:cNvPr id="123917" name="Check Box 13" hidden="1">
              <a:extLst>
                <a:ext uri="{63B3BB69-23CF-44E3-9099-C40C66FF867C}">
                  <a14:compatExt spid="_x0000_s123917"/>
                </a:ext>
                <a:ext uri="{FF2B5EF4-FFF2-40B4-BE49-F238E27FC236}">
                  <a16:creationId xmlns:a16="http://schemas.microsoft.com/office/drawing/2014/main" id="{00000000-0008-0000-3B00-00000D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12</xdr:row>
          <xdr:rowOff>28575</xdr:rowOff>
        </xdr:from>
        <xdr:to>
          <xdr:col>21</xdr:col>
          <xdr:colOff>257175</xdr:colOff>
          <xdr:row>12</xdr:row>
          <xdr:rowOff>238125</xdr:rowOff>
        </xdr:to>
        <xdr:sp macro="" textlink="">
          <xdr:nvSpPr>
            <xdr:cNvPr id="123918" name="Check Box 14" hidden="1">
              <a:extLst>
                <a:ext uri="{63B3BB69-23CF-44E3-9099-C40C66FF867C}">
                  <a14:compatExt spid="_x0000_s123918"/>
                </a:ext>
                <a:ext uri="{FF2B5EF4-FFF2-40B4-BE49-F238E27FC236}">
                  <a16:creationId xmlns:a16="http://schemas.microsoft.com/office/drawing/2014/main" id="{00000000-0008-0000-3B00-00000E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12</xdr:row>
          <xdr:rowOff>66675</xdr:rowOff>
        </xdr:from>
        <xdr:to>
          <xdr:col>25</xdr:col>
          <xdr:colOff>9525</xdr:colOff>
          <xdr:row>12</xdr:row>
          <xdr:rowOff>276225</xdr:rowOff>
        </xdr:to>
        <xdr:sp macro="" textlink="">
          <xdr:nvSpPr>
            <xdr:cNvPr id="123919" name="Check Box 15" hidden="1">
              <a:extLst>
                <a:ext uri="{63B3BB69-23CF-44E3-9099-C40C66FF867C}">
                  <a14:compatExt spid="_x0000_s123919"/>
                </a:ext>
                <a:ext uri="{FF2B5EF4-FFF2-40B4-BE49-F238E27FC236}">
                  <a16:creationId xmlns:a16="http://schemas.microsoft.com/office/drawing/2014/main" id="{00000000-0008-0000-3B00-00000F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12</xdr:row>
          <xdr:rowOff>66675</xdr:rowOff>
        </xdr:from>
        <xdr:to>
          <xdr:col>27</xdr:col>
          <xdr:colOff>257175</xdr:colOff>
          <xdr:row>12</xdr:row>
          <xdr:rowOff>266700</xdr:rowOff>
        </xdr:to>
        <xdr:sp macro="" textlink="">
          <xdr:nvSpPr>
            <xdr:cNvPr id="123920" name="Check Box 16" hidden="1">
              <a:extLst>
                <a:ext uri="{63B3BB69-23CF-44E3-9099-C40C66FF867C}">
                  <a14:compatExt spid="_x0000_s123920"/>
                </a:ext>
                <a:ext uri="{FF2B5EF4-FFF2-40B4-BE49-F238E27FC236}">
                  <a16:creationId xmlns:a16="http://schemas.microsoft.com/office/drawing/2014/main" id="{00000000-0008-0000-3B00-000010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12</xdr:row>
          <xdr:rowOff>38100</xdr:rowOff>
        </xdr:from>
        <xdr:to>
          <xdr:col>30</xdr:col>
          <xdr:colOff>228600</xdr:colOff>
          <xdr:row>12</xdr:row>
          <xdr:rowOff>257175</xdr:rowOff>
        </xdr:to>
        <xdr:sp macro="" textlink="">
          <xdr:nvSpPr>
            <xdr:cNvPr id="123921" name="Check Box 17" hidden="1">
              <a:extLst>
                <a:ext uri="{63B3BB69-23CF-44E3-9099-C40C66FF867C}">
                  <a14:compatExt spid="_x0000_s123921"/>
                </a:ext>
                <a:ext uri="{FF2B5EF4-FFF2-40B4-BE49-F238E27FC236}">
                  <a16:creationId xmlns:a16="http://schemas.microsoft.com/office/drawing/2014/main" id="{00000000-0008-0000-3B00-000011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12</xdr:row>
          <xdr:rowOff>28575</xdr:rowOff>
        </xdr:from>
        <xdr:to>
          <xdr:col>33</xdr:col>
          <xdr:colOff>238125</xdr:colOff>
          <xdr:row>12</xdr:row>
          <xdr:rowOff>266700</xdr:rowOff>
        </xdr:to>
        <xdr:sp macro="" textlink="">
          <xdr:nvSpPr>
            <xdr:cNvPr id="123922" name="Check Box 18" hidden="1">
              <a:extLst>
                <a:ext uri="{63B3BB69-23CF-44E3-9099-C40C66FF867C}">
                  <a14:compatExt spid="_x0000_s123922"/>
                </a:ext>
                <a:ext uri="{FF2B5EF4-FFF2-40B4-BE49-F238E27FC236}">
                  <a16:creationId xmlns:a16="http://schemas.microsoft.com/office/drawing/2014/main" id="{00000000-0008-0000-3B00-000012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13</xdr:row>
          <xdr:rowOff>28575</xdr:rowOff>
        </xdr:from>
        <xdr:to>
          <xdr:col>18</xdr:col>
          <xdr:colOff>266700</xdr:colOff>
          <xdr:row>13</xdr:row>
          <xdr:rowOff>276225</xdr:rowOff>
        </xdr:to>
        <xdr:sp macro="" textlink="">
          <xdr:nvSpPr>
            <xdr:cNvPr id="123923" name="Check Box 19" hidden="1">
              <a:extLst>
                <a:ext uri="{63B3BB69-23CF-44E3-9099-C40C66FF867C}">
                  <a14:compatExt spid="_x0000_s123923"/>
                </a:ext>
                <a:ext uri="{FF2B5EF4-FFF2-40B4-BE49-F238E27FC236}">
                  <a16:creationId xmlns:a16="http://schemas.microsoft.com/office/drawing/2014/main" id="{00000000-0008-0000-3B00-000013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13</xdr:row>
          <xdr:rowOff>47625</xdr:rowOff>
        </xdr:from>
        <xdr:to>
          <xdr:col>22</xdr:col>
          <xdr:colOff>0</xdr:colOff>
          <xdr:row>13</xdr:row>
          <xdr:rowOff>266700</xdr:rowOff>
        </xdr:to>
        <xdr:sp macro="" textlink="">
          <xdr:nvSpPr>
            <xdr:cNvPr id="123924" name="Check Box 20" hidden="1">
              <a:extLst>
                <a:ext uri="{63B3BB69-23CF-44E3-9099-C40C66FF867C}">
                  <a14:compatExt spid="_x0000_s123924"/>
                </a:ext>
                <a:ext uri="{FF2B5EF4-FFF2-40B4-BE49-F238E27FC236}">
                  <a16:creationId xmlns:a16="http://schemas.microsoft.com/office/drawing/2014/main" id="{00000000-0008-0000-3B00-000014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13</xdr:row>
          <xdr:rowOff>28575</xdr:rowOff>
        </xdr:from>
        <xdr:to>
          <xdr:col>24</xdr:col>
          <xdr:colOff>257175</xdr:colOff>
          <xdr:row>13</xdr:row>
          <xdr:rowOff>257175</xdr:rowOff>
        </xdr:to>
        <xdr:sp macro="" textlink="">
          <xdr:nvSpPr>
            <xdr:cNvPr id="123925" name="Check Box 21" hidden="1">
              <a:extLst>
                <a:ext uri="{63B3BB69-23CF-44E3-9099-C40C66FF867C}">
                  <a14:compatExt spid="_x0000_s123925"/>
                </a:ext>
                <a:ext uri="{FF2B5EF4-FFF2-40B4-BE49-F238E27FC236}">
                  <a16:creationId xmlns:a16="http://schemas.microsoft.com/office/drawing/2014/main" id="{00000000-0008-0000-3B00-000015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13</xdr:row>
          <xdr:rowOff>47625</xdr:rowOff>
        </xdr:from>
        <xdr:to>
          <xdr:col>27</xdr:col>
          <xdr:colOff>219075</xdr:colOff>
          <xdr:row>13</xdr:row>
          <xdr:rowOff>266700</xdr:rowOff>
        </xdr:to>
        <xdr:sp macro="" textlink="">
          <xdr:nvSpPr>
            <xdr:cNvPr id="123926" name="Check Box 22" hidden="1">
              <a:extLst>
                <a:ext uri="{63B3BB69-23CF-44E3-9099-C40C66FF867C}">
                  <a14:compatExt spid="_x0000_s123926"/>
                </a:ext>
                <a:ext uri="{FF2B5EF4-FFF2-40B4-BE49-F238E27FC236}">
                  <a16:creationId xmlns:a16="http://schemas.microsoft.com/office/drawing/2014/main" id="{00000000-0008-0000-3B00-000016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13</xdr:row>
          <xdr:rowOff>47625</xdr:rowOff>
        </xdr:from>
        <xdr:to>
          <xdr:col>30</xdr:col>
          <xdr:colOff>238125</xdr:colOff>
          <xdr:row>13</xdr:row>
          <xdr:rowOff>238125</xdr:rowOff>
        </xdr:to>
        <xdr:sp macro="" textlink="">
          <xdr:nvSpPr>
            <xdr:cNvPr id="123927" name="Check Box 23" hidden="1">
              <a:extLst>
                <a:ext uri="{63B3BB69-23CF-44E3-9099-C40C66FF867C}">
                  <a14:compatExt spid="_x0000_s123927"/>
                </a:ext>
                <a:ext uri="{FF2B5EF4-FFF2-40B4-BE49-F238E27FC236}">
                  <a16:creationId xmlns:a16="http://schemas.microsoft.com/office/drawing/2014/main" id="{00000000-0008-0000-3B00-000017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38100</xdr:colOff>
          <xdr:row>13</xdr:row>
          <xdr:rowOff>66675</xdr:rowOff>
        </xdr:from>
        <xdr:to>
          <xdr:col>33</xdr:col>
          <xdr:colOff>219075</xdr:colOff>
          <xdr:row>13</xdr:row>
          <xdr:rowOff>257175</xdr:rowOff>
        </xdr:to>
        <xdr:sp macro="" textlink="">
          <xdr:nvSpPr>
            <xdr:cNvPr id="123928" name="Check Box 24" hidden="1">
              <a:extLst>
                <a:ext uri="{63B3BB69-23CF-44E3-9099-C40C66FF867C}">
                  <a14:compatExt spid="_x0000_s123928"/>
                </a:ext>
                <a:ext uri="{FF2B5EF4-FFF2-40B4-BE49-F238E27FC236}">
                  <a16:creationId xmlns:a16="http://schemas.microsoft.com/office/drawing/2014/main" id="{00000000-0008-0000-3B00-000018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14</xdr:row>
          <xdr:rowOff>47625</xdr:rowOff>
        </xdr:from>
        <xdr:to>
          <xdr:col>18</xdr:col>
          <xdr:colOff>257175</xdr:colOff>
          <xdr:row>14</xdr:row>
          <xdr:rowOff>257175</xdr:rowOff>
        </xdr:to>
        <xdr:sp macro="" textlink="">
          <xdr:nvSpPr>
            <xdr:cNvPr id="123929" name="Check Box 25" hidden="1">
              <a:extLst>
                <a:ext uri="{63B3BB69-23CF-44E3-9099-C40C66FF867C}">
                  <a14:compatExt spid="_x0000_s123929"/>
                </a:ext>
                <a:ext uri="{FF2B5EF4-FFF2-40B4-BE49-F238E27FC236}">
                  <a16:creationId xmlns:a16="http://schemas.microsoft.com/office/drawing/2014/main" id="{00000000-0008-0000-3B00-000019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14</xdr:row>
          <xdr:rowOff>47625</xdr:rowOff>
        </xdr:from>
        <xdr:to>
          <xdr:col>21</xdr:col>
          <xdr:colOff>257175</xdr:colOff>
          <xdr:row>14</xdr:row>
          <xdr:rowOff>295275</xdr:rowOff>
        </xdr:to>
        <xdr:sp macro="" textlink="">
          <xdr:nvSpPr>
            <xdr:cNvPr id="123930" name="Check Box 26" hidden="1">
              <a:extLst>
                <a:ext uri="{63B3BB69-23CF-44E3-9099-C40C66FF867C}">
                  <a14:compatExt spid="_x0000_s123930"/>
                </a:ext>
                <a:ext uri="{FF2B5EF4-FFF2-40B4-BE49-F238E27FC236}">
                  <a16:creationId xmlns:a16="http://schemas.microsoft.com/office/drawing/2014/main" id="{00000000-0008-0000-3B00-00001A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14</xdr:row>
          <xdr:rowOff>47625</xdr:rowOff>
        </xdr:from>
        <xdr:to>
          <xdr:col>24</xdr:col>
          <xdr:colOff>219075</xdr:colOff>
          <xdr:row>14</xdr:row>
          <xdr:rowOff>266700</xdr:rowOff>
        </xdr:to>
        <xdr:sp macro="" textlink="">
          <xdr:nvSpPr>
            <xdr:cNvPr id="123931" name="Check Box 27" hidden="1">
              <a:extLst>
                <a:ext uri="{63B3BB69-23CF-44E3-9099-C40C66FF867C}">
                  <a14:compatExt spid="_x0000_s123931"/>
                </a:ext>
                <a:ext uri="{FF2B5EF4-FFF2-40B4-BE49-F238E27FC236}">
                  <a16:creationId xmlns:a16="http://schemas.microsoft.com/office/drawing/2014/main" id="{00000000-0008-0000-3B00-00001B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14</xdr:row>
          <xdr:rowOff>47625</xdr:rowOff>
        </xdr:from>
        <xdr:to>
          <xdr:col>27</xdr:col>
          <xdr:colOff>219075</xdr:colOff>
          <xdr:row>14</xdr:row>
          <xdr:rowOff>257175</xdr:rowOff>
        </xdr:to>
        <xdr:sp macro="" textlink="">
          <xdr:nvSpPr>
            <xdr:cNvPr id="123932" name="Check Box 28" hidden="1">
              <a:extLst>
                <a:ext uri="{63B3BB69-23CF-44E3-9099-C40C66FF867C}">
                  <a14:compatExt spid="_x0000_s123932"/>
                </a:ext>
                <a:ext uri="{FF2B5EF4-FFF2-40B4-BE49-F238E27FC236}">
                  <a16:creationId xmlns:a16="http://schemas.microsoft.com/office/drawing/2014/main" id="{00000000-0008-0000-3B00-00001C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14</xdr:row>
          <xdr:rowOff>47625</xdr:rowOff>
        </xdr:from>
        <xdr:to>
          <xdr:col>30</xdr:col>
          <xdr:colOff>257175</xdr:colOff>
          <xdr:row>14</xdr:row>
          <xdr:rowOff>276225</xdr:rowOff>
        </xdr:to>
        <xdr:sp macro="" textlink="">
          <xdr:nvSpPr>
            <xdr:cNvPr id="123933" name="Check Box 29" hidden="1">
              <a:extLst>
                <a:ext uri="{63B3BB69-23CF-44E3-9099-C40C66FF867C}">
                  <a14:compatExt spid="_x0000_s123933"/>
                </a:ext>
                <a:ext uri="{FF2B5EF4-FFF2-40B4-BE49-F238E27FC236}">
                  <a16:creationId xmlns:a16="http://schemas.microsoft.com/office/drawing/2014/main" id="{00000000-0008-0000-3B00-00001D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38100</xdr:colOff>
          <xdr:row>14</xdr:row>
          <xdr:rowOff>66675</xdr:rowOff>
        </xdr:from>
        <xdr:to>
          <xdr:col>33</xdr:col>
          <xdr:colOff>228600</xdr:colOff>
          <xdr:row>14</xdr:row>
          <xdr:rowOff>257175</xdr:rowOff>
        </xdr:to>
        <xdr:sp macro="" textlink="">
          <xdr:nvSpPr>
            <xdr:cNvPr id="123934" name="Check Box 30" hidden="1">
              <a:extLst>
                <a:ext uri="{63B3BB69-23CF-44E3-9099-C40C66FF867C}">
                  <a14:compatExt spid="_x0000_s123934"/>
                </a:ext>
                <a:ext uri="{FF2B5EF4-FFF2-40B4-BE49-F238E27FC236}">
                  <a16:creationId xmlns:a16="http://schemas.microsoft.com/office/drawing/2014/main" id="{00000000-0008-0000-3B00-00001E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15</xdr:row>
          <xdr:rowOff>28575</xdr:rowOff>
        </xdr:from>
        <xdr:to>
          <xdr:col>18</xdr:col>
          <xdr:colOff>266700</xdr:colOff>
          <xdr:row>15</xdr:row>
          <xdr:rowOff>257175</xdr:rowOff>
        </xdr:to>
        <xdr:sp macro="" textlink="">
          <xdr:nvSpPr>
            <xdr:cNvPr id="123935" name="Check Box 31" hidden="1">
              <a:extLst>
                <a:ext uri="{63B3BB69-23CF-44E3-9099-C40C66FF867C}">
                  <a14:compatExt spid="_x0000_s123935"/>
                </a:ext>
                <a:ext uri="{FF2B5EF4-FFF2-40B4-BE49-F238E27FC236}">
                  <a16:creationId xmlns:a16="http://schemas.microsoft.com/office/drawing/2014/main" id="{00000000-0008-0000-3B00-00001F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15</xdr:row>
          <xdr:rowOff>28575</xdr:rowOff>
        </xdr:from>
        <xdr:to>
          <xdr:col>22</xdr:col>
          <xdr:colOff>0</xdr:colOff>
          <xdr:row>15</xdr:row>
          <xdr:rowOff>295275</xdr:rowOff>
        </xdr:to>
        <xdr:sp macro="" textlink="">
          <xdr:nvSpPr>
            <xdr:cNvPr id="123936" name="Check Box 32" hidden="1">
              <a:extLst>
                <a:ext uri="{63B3BB69-23CF-44E3-9099-C40C66FF867C}">
                  <a14:compatExt spid="_x0000_s123936"/>
                </a:ext>
                <a:ext uri="{FF2B5EF4-FFF2-40B4-BE49-F238E27FC236}">
                  <a16:creationId xmlns:a16="http://schemas.microsoft.com/office/drawing/2014/main" id="{00000000-0008-0000-3B00-000020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15</xdr:row>
          <xdr:rowOff>47625</xdr:rowOff>
        </xdr:from>
        <xdr:to>
          <xdr:col>24</xdr:col>
          <xdr:colOff>228600</xdr:colOff>
          <xdr:row>15</xdr:row>
          <xdr:rowOff>257175</xdr:rowOff>
        </xdr:to>
        <xdr:sp macro="" textlink="">
          <xdr:nvSpPr>
            <xdr:cNvPr id="123937" name="Check Box 33" hidden="1">
              <a:extLst>
                <a:ext uri="{63B3BB69-23CF-44E3-9099-C40C66FF867C}">
                  <a14:compatExt spid="_x0000_s123937"/>
                </a:ext>
                <a:ext uri="{FF2B5EF4-FFF2-40B4-BE49-F238E27FC236}">
                  <a16:creationId xmlns:a16="http://schemas.microsoft.com/office/drawing/2014/main" id="{00000000-0008-0000-3B00-000021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15</xdr:row>
          <xdr:rowOff>47625</xdr:rowOff>
        </xdr:from>
        <xdr:to>
          <xdr:col>27</xdr:col>
          <xdr:colOff>238125</xdr:colOff>
          <xdr:row>15</xdr:row>
          <xdr:rowOff>276225</xdr:rowOff>
        </xdr:to>
        <xdr:sp macro="" textlink="">
          <xdr:nvSpPr>
            <xdr:cNvPr id="123938" name="Check Box 34" hidden="1">
              <a:extLst>
                <a:ext uri="{63B3BB69-23CF-44E3-9099-C40C66FF867C}">
                  <a14:compatExt spid="_x0000_s123938"/>
                </a:ext>
                <a:ext uri="{FF2B5EF4-FFF2-40B4-BE49-F238E27FC236}">
                  <a16:creationId xmlns:a16="http://schemas.microsoft.com/office/drawing/2014/main" id="{00000000-0008-0000-3B00-000022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38100</xdr:colOff>
          <xdr:row>15</xdr:row>
          <xdr:rowOff>28575</xdr:rowOff>
        </xdr:from>
        <xdr:to>
          <xdr:col>30</xdr:col>
          <xdr:colOff>257175</xdr:colOff>
          <xdr:row>15</xdr:row>
          <xdr:rowOff>266700</xdr:rowOff>
        </xdr:to>
        <xdr:sp macro="" textlink="">
          <xdr:nvSpPr>
            <xdr:cNvPr id="123939" name="Check Box 35" hidden="1">
              <a:extLst>
                <a:ext uri="{63B3BB69-23CF-44E3-9099-C40C66FF867C}">
                  <a14:compatExt spid="_x0000_s123939"/>
                </a:ext>
                <a:ext uri="{FF2B5EF4-FFF2-40B4-BE49-F238E27FC236}">
                  <a16:creationId xmlns:a16="http://schemas.microsoft.com/office/drawing/2014/main" id="{00000000-0008-0000-3B00-000023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15</xdr:row>
          <xdr:rowOff>47625</xdr:rowOff>
        </xdr:from>
        <xdr:to>
          <xdr:col>33</xdr:col>
          <xdr:colOff>257175</xdr:colOff>
          <xdr:row>15</xdr:row>
          <xdr:rowOff>257175</xdr:rowOff>
        </xdr:to>
        <xdr:sp macro="" textlink="">
          <xdr:nvSpPr>
            <xdr:cNvPr id="123940" name="Check Box 36" hidden="1">
              <a:extLst>
                <a:ext uri="{63B3BB69-23CF-44E3-9099-C40C66FF867C}">
                  <a14:compatExt spid="_x0000_s123940"/>
                </a:ext>
                <a:ext uri="{FF2B5EF4-FFF2-40B4-BE49-F238E27FC236}">
                  <a16:creationId xmlns:a16="http://schemas.microsoft.com/office/drawing/2014/main" id="{00000000-0008-0000-3B00-000024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16</xdr:row>
          <xdr:rowOff>66675</xdr:rowOff>
        </xdr:from>
        <xdr:to>
          <xdr:col>18</xdr:col>
          <xdr:colOff>257175</xdr:colOff>
          <xdr:row>16</xdr:row>
          <xdr:rowOff>219075</xdr:rowOff>
        </xdr:to>
        <xdr:sp macro="" textlink="">
          <xdr:nvSpPr>
            <xdr:cNvPr id="123941" name="Check Box 37" hidden="1">
              <a:extLst>
                <a:ext uri="{63B3BB69-23CF-44E3-9099-C40C66FF867C}">
                  <a14:compatExt spid="_x0000_s123941"/>
                </a:ext>
                <a:ext uri="{FF2B5EF4-FFF2-40B4-BE49-F238E27FC236}">
                  <a16:creationId xmlns:a16="http://schemas.microsoft.com/office/drawing/2014/main" id="{00000000-0008-0000-3B00-000025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16</xdr:row>
          <xdr:rowOff>38100</xdr:rowOff>
        </xdr:from>
        <xdr:to>
          <xdr:col>22</xdr:col>
          <xdr:colOff>9525</xdr:colOff>
          <xdr:row>16</xdr:row>
          <xdr:rowOff>295275</xdr:rowOff>
        </xdr:to>
        <xdr:sp macro="" textlink="">
          <xdr:nvSpPr>
            <xdr:cNvPr id="123942" name="Check Box 38" hidden="1">
              <a:extLst>
                <a:ext uri="{63B3BB69-23CF-44E3-9099-C40C66FF867C}">
                  <a14:compatExt spid="_x0000_s123942"/>
                </a:ext>
                <a:ext uri="{FF2B5EF4-FFF2-40B4-BE49-F238E27FC236}">
                  <a16:creationId xmlns:a16="http://schemas.microsoft.com/office/drawing/2014/main" id="{00000000-0008-0000-3B00-000026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16</xdr:row>
          <xdr:rowOff>66675</xdr:rowOff>
        </xdr:from>
        <xdr:to>
          <xdr:col>24</xdr:col>
          <xdr:colOff>238125</xdr:colOff>
          <xdr:row>16</xdr:row>
          <xdr:rowOff>238125</xdr:rowOff>
        </xdr:to>
        <xdr:sp macro="" textlink="">
          <xdr:nvSpPr>
            <xdr:cNvPr id="123943" name="Check Box 39" hidden="1">
              <a:extLst>
                <a:ext uri="{63B3BB69-23CF-44E3-9099-C40C66FF867C}">
                  <a14:compatExt spid="_x0000_s123943"/>
                </a:ext>
                <a:ext uri="{FF2B5EF4-FFF2-40B4-BE49-F238E27FC236}">
                  <a16:creationId xmlns:a16="http://schemas.microsoft.com/office/drawing/2014/main" id="{00000000-0008-0000-3B00-000027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16</xdr:row>
          <xdr:rowOff>66675</xdr:rowOff>
        </xdr:from>
        <xdr:to>
          <xdr:col>27</xdr:col>
          <xdr:colOff>228600</xdr:colOff>
          <xdr:row>16</xdr:row>
          <xdr:rowOff>266700</xdr:rowOff>
        </xdr:to>
        <xdr:sp macro="" textlink="">
          <xdr:nvSpPr>
            <xdr:cNvPr id="123944" name="Check Box 40" hidden="1">
              <a:extLst>
                <a:ext uri="{63B3BB69-23CF-44E3-9099-C40C66FF867C}">
                  <a14:compatExt spid="_x0000_s123944"/>
                </a:ext>
                <a:ext uri="{FF2B5EF4-FFF2-40B4-BE49-F238E27FC236}">
                  <a16:creationId xmlns:a16="http://schemas.microsoft.com/office/drawing/2014/main" id="{00000000-0008-0000-3B00-000028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16</xdr:row>
          <xdr:rowOff>47625</xdr:rowOff>
        </xdr:from>
        <xdr:to>
          <xdr:col>30</xdr:col>
          <xdr:colOff>219075</xdr:colOff>
          <xdr:row>16</xdr:row>
          <xdr:rowOff>257175</xdr:rowOff>
        </xdr:to>
        <xdr:sp macro="" textlink="">
          <xdr:nvSpPr>
            <xdr:cNvPr id="123945" name="Check Box 41" hidden="1">
              <a:extLst>
                <a:ext uri="{63B3BB69-23CF-44E3-9099-C40C66FF867C}">
                  <a14:compatExt spid="_x0000_s123945"/>
                </a:ext>
                <a:ext uri="{FF2B5EF4-FFF2-40B4-BE49-F238E27FC236}">
                  <a16:creationId xmlns:a16="http://schemas.microsoft.com/office/drawing/2014/main" id="{00000000-0008-0000-3B00-000029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16</xdr:row>
          <xdr:rowOff>66675</xdr:rowOff>
        </xdr:from>
        <xdr:to>
          <xdr:col>33</xdr:col>
          <xdr:colOff>219075</xdr:colOff>
          <xdr:row>16</xdr:row>
          <xdr:rowOff>266700</xdr:rowOff>
        </xdr:to>
        <xdr:sp macro="" textlink="">
          <xdr:nvSpPr>
            <xdr:cNvPr id="123946" name="Check Box 42" hidden="1">
              <a:extLst>
                <a:ext uri="{63B3BB69-23CF-44E3-9099-C40C66FF867C}">
                  <a14:compatExt spid="_x0000_s123946"/>
                </a:ext>
                <a:ext uri="{FF2B5EF4-FFF2-40B4-BE49-F238E27FC236}">
                  <a16:creationId xmlns:a16="http://schemas.microsoft.com/office/drawing/2014/main" id="{00000000-0008-0000-3B00-00002A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17</xdr:row>
          <xdr:rowOff>28575</xdr:rowOff>
        </xdr:from>
        <xdr:to>
          <xdr:col>18</xdr:col>
          <xdr:colOff>266700</xdr:colOff>
          <xdr:row>17</xdr:row>
          <xdr:rowOff>257175</xdr:rowOff>
        </xdr:to>
        <xdr:sp macro="" textlink="">
          <xdr:nvSpPr>
            <xdr:cNvPr id="123947" name="Check Box 43" hidden="1">
              <a:extLst>
                <a:ext uri="{63B3BB69-23CF-44E3-9099-C40C66FF867C}">
                  <a14:compatExt spid="_x0000_s123947"/>
                </a:ext>
                <a:ext uri="{FF2B5EF4-FFF2-40B4-BE49-F238E27FC236}">
                  <a16:creationId xmlns:a16="http://schemas.microsoft.com/office/drawing/2014/main" id="{00000000-0008-0000-3B00-00002B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17</xdr:row>
          <xdr:rowOff>47625</xdr:rowOff>
        </xdr:from>
        <xdr:to>
          <xdr:col>21</xdr:col>
          <xdr:colOff>257175</xdr:colOff>
          <xdr:row>17</xdr:row>
          <xdr:rowOff>257175</xdr:rowOff>
        </xdr:to>
        <xdr:sp macro="" textlink="">
          <xdr:nvSpPr>
            <xdr:cNvPr id="123948" name="Check Box 44" hidden="1">
              <a:extLst>
                <a:ext uri="{63B3BB69-23CF-44E3-9099-C40C66FF867C}">
                  <a14:compatExt spid="_x0000_s123948"/>
                </a:ext>
                <a:ext uri="{FF2B5EF4-FFF2-40B4-BE49-F238E27FC236}">
                  <a16:creationId xmlns:a16="http://schemas.microsoft.com/office/drawing/2014/main" id="{00000000-0008-0000-3B00-00002C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17</xdr:row>
          <xdr:rowOff>28575</xdr:rowOff>
        </xdr:from>
        <xdr:to>
          <xdr:col>24</xdr:col>
          <xdr:colOff>257175</xdr:colOff>
          <xdr:row>17</xdr:row>
          <xdr:rowOff>257175</xdr:rowOff>
        </xdr:to>
        <xdr:sp macro="" textlink="">
          <xdr:nvSpPr>
            <xdr:cNvPr id="123949" name="Check Box 45" hidden="1">
              <a:extLst>
                <a:ext uri="{63B3BB69-23CF-44E3-9099-C40C66FF867C}">
                  <a14:compatExt spid="_x0000_s123949"/>
                </a:ext>
                <a:ext uri="{FF2B5EF4-FFF2-40B4-BE49-F238E27FC236}">
                  <a16:creationId xmlns:a16="http://schemas.microsoft.com/office/drawing/2014/main" id="{00000000-0008-0000-3B00-00002D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17</xdr:row>
          <xdr:rowOff>66675</xdr:rowOff>
        </xdr:from>
        <xdr:to>
          <xdr:col>27</xdr:col>
          <xdr:colOff>219075</xdr:colOff>
          <xdr:row>17</xdr:row>
          <xdr:rowOff>257175</xdr:rowOff>
        </xdr:to>
        <xdr:sp macro="" textlink="">
          <xdr:nvSpPr>
            <xdr:cNvPr id="123950" name="Check Box 46" hidden="1">
              <a:extLst>
                <a:ext uri="{63B3BB69-23CF-44E3-9099-C40C66FF867C}">
                  <a14:compatExt spid="_x0000_s123950"/>
                </a:ext>
                <a:ext uri="{FF2B5EF4-FFF2-40B4-BE49-F238E27FC236}">
                  <a16:creationId xmlns:a16="http://schemas.microsoft.com/office/drawing/2014/main" id="{00000000-0008-0000-3B00-00002E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17</xdr:row>
          <xdr:rowOff>66675</xdr:rowOff>
        </xdr:from>
        <xdr:to>
          <xdr:col>30</xdr:col>
          <xdr:colOff>238125</xdr:colOff>
          <xdr:row>17</xdr:row>
          <xdr:rowOff>257175</xdr:rowOff>
        </xdr:to>
        <xdr:sp macro="" textlink="">
          <xdr:nvSpPr>
            <xdr:cNvPr id="123951" name="Check Box 47" hidden="1">
              <a:extLst>
                <a:ext uri="{63B3BB69-23CF-44E3-9099-C40C66FF867C}">
                  <a14:compatExt spid="_x0000_s123951"/>
                </a:ext>
                <a:ext uri="{FF2B5EF4-FFF2-40B4-BE49-F238E27FC236}">
                  <a16:creationId xmlns:a16="http://schemas.microsoft.com/office/drawing/2014/main" id="{00000000-0008-0000-3B00-00002F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17</xdr:row>
          <xdr:rowOff>47625</xdr:rowOff>
        </xdr:from>
        <xdr:to>
          <xdr:col>33</xdr:col>
          <xdr:colOff>228600</xdr:colOff>
          <xdr:row>17</xdr:row>
          <xdr:rowOff>266700</xdr:rowOff>
        </xdr:to>
        <xdr:sp macro="" textlink="">
          <xdr:nvSpPr>
            <xdr:cNvPr id="123952" name="Check Box 48" hidden="1">
              <a:extLst>
                <a:ext uri="{63B3BB69-23CF-44E3-9099-C40C66FF867C}">
                  <a14:compatExt spid="_x0000_s123952"/>
                </a:ext>
                <a:ext uri="{FF2B5EF4-FFF2-40B4-BE49-F238E27FC236}">
                  <a16:creationId xmlns:a16="http://schemas.microsoft.com/office/drawing/2014/main" id="{00000000-0008-0000-3B00-000030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18</xdr:row>
          <xdr:rowOff>28575</xdr:rowOff>
        </xdr:from>
        <xdr:to>
          <xdr:col>19</xdr:col>
          <xdr:colOff>9525</xdr:colOff>
          <xdr:row>18</xdr:row>
          <xdr:rowOff>295275</xdr:rowOff>
        </xdr:to>
        <xdr:sp macro="" textlink="">
          <xdr:nvSpPr>
            <xdr:cNvPr id="123953" name="Check Box 49" hidden="1">
              <a:extLst>
                <a:ext uri="{63B3BB69-23CF-44E3-9099-C40C66FF867C}">
                  <a14:compatExt spid="_x0000_s123953"/>
                </a:ext>
                <a:ext uri="{FF2B5EF4-FFF2-40B4-BE49-F238E27FC236}">
                  <a16:creationId xmlns:a16="http://schemas.microsoft.com/office/drawing/2014/main" id="{00000000-0008-0000-3B00-000031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18</xdr:row>
          <xdr:rowOff>47625</xdr:rowOff>
        </xdr:from>
        <xdr:to>
          <xdr:col>21</xdr:col>
          <xdr:colOff>257175</xdr:colOff>
          <xdr:row>18</xdr:row>
          <xdr:rowOff>295275</xdr:rowOff>
        </xdr:to>
        <xdr:sp macro="" textlink="">
          <xdr:nvSpPr>
            <xdr:cNvPr id="123954" name="Check Box 50" hidden="1">
              <a:extLst>
                <a:ext uri="{63B3BB69-23CF-44E3-9099-C40C66FF867C}">
                  <a14:compatExt spid="_x0000_s123954"/>
                </a:ext>
                <a:ext uri="{FF2B5EF4-FFF2-40B4-BE49-F238E27FC236}">
                  <a16:creationId xmlns:a16="http://schemas.microsoft.com/office/drawing/2014/main" id="{00000000-0008-0000-3B00-000032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18</xdr:row>
          <xdr:rowOff>66675</xdr:rowOff>
        </xdr:from>
        <xdr:to>
          <xdr:col>24</xdr:col>
          <xdr:colOff>238125</xdr:colOff>
          <xdr:row>18</xdr:row>
          <xdr:rowOff>276225</xdr:rowOff>
        </xdr:to>
        <xdr:sp macro="" textlink="">
          <xdr:nvSpPr>
            <xdr:cNvPr id="123955" name="Check Box 51" hidden="1">
              <a:extLst>
                <a:ext uri="{63B3BB69-23CF-44E3-9099-C40C66FF867C}">
                  <a14:compatExt spid="_x0000_s123955"/>
                </a:ext>
                <a:ext uri="{FF2B5EF4-FFF2-40B4-BE49-F238E27FC236}">
                  <a16:creationId xmlns:a16="http://schemas.microsoft.com/office/drawing/2014/main" id="{00000000-0008-0000-3B00-000033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18</xdr:row>
          <xdr:rowOff>47625</xdr:rowOff>
        </xdr:from>
        <xdr:to>
          <xdr:col>27</xdr:col>
          <xdr:colOff>219075</xdr:colOff>
          <xdr:row>18</xdr:row>
          <xdr:rowOff>276225</xdr:rowOff>
        </xdr:to>
        <xdr:sp macro="" textlink="">
          <xdr:nvSpPr>
            <xdr:cNvPr id="123956" name="Check Box 52" hidden="1">
              <a:extLst>
                <a:ext uri="{63B3BB69-23CF-44E3-9099-C40C66FF867C}">
                  <a14:compatExt spid="_x0000_s123956"/>
                </a:ext>
                <a:ext uri="{FF2B5EF4-FFF2-40B4-BE49-F238E27FC236}">
                  <a16:creationId xmlns:a16="http://schemas.microsoft.com/office/drawing/2014/main" id="{00000000-0008-0000-3B00-000034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18</xdr:row>
          <xdr:rowOff>66675</xdr:rowOff>
        </xdr:from>
        <xdr:to>
          <xdr:col>30</xdr:col>
          <xdr:colOff>238125</xdr:colOff>
          <xdr:row>18</xdr:row>
          <xdr:rowOff>276225</xdr:rowOff>
        </xdr:to>
        <xdr:sp macro="" textlink="">
          <xdr:nvSpPr>
            <xdr:cNvPr id="123957" name="Check Box 53" hidden="1">
              <a:extLst>
                <a:ext uri="{63B3BB69-23CF-44E3-9099-C40C66FF867C}">
                  <a14:compatExt spid="_x0000_s123957"/>
                </a:ext>
                <a:ext uri="{FF2B5EF4-FFF2-40B4-BE49-F238E27FC236}">
                  <a16:creationId xmlns:a16="http://schemas.microsoft.com/office/drawing/2014/main" id="{00000000-0008-0000-3B00-000035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18</xdr:row>
          <xdr:rowOff>47625</xdr:rowOff>
        </xdr:from>
        <xdr:to>
          <xdr:col>33</xdr:col>
          <xdr:colOff>238125</xdr:colOff>
          <xdr:row>18</xdr:row>
          <xdr:rowOff>295275</xdr:rowOff>
        </xdr:to>
        <xdr:sp macro="" textlink="">
          <xdr:nvSpPr>
            <xdr:cNvPr id="123958" name="Check Box 54" hidden="1">
              <a:extLst>
                <a:ext uri="{63B3BB69-23CF-44E3-9099-C40C66FF867C}">
                  <a14:compatExt spid="_x0000_s123958"/>
                </a:ext>
                <a:ext uri="{FF2B5EF4-FFF2-40B4-BE49-F238E27FC236}">
                  <a16:creationId xmlns:a16="http://schemas.microsoft.com/office/drawing/2014/main" id="{00000000-0008-0000-3B00-000036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19</xdr:row>
          <xdr:rowOff>47625</xdr:rowOff>
        </xdr:from>
        <xdr:to>
          <xdr:col>18</xdr:col>
          <xdr:colOff>266700</xdr:colOff>
          <xdr:row>19</xdr:row>
          <xdr:rowOff>295275</xdr:rowOff>
        </xdr:to>
        <xdr:sp macro="" textlink="">
          <xdr:nvSpPr>
            <xdr:cNvPr id="123959" name="Check Box 55" hidden="1">
              <a:extLst>
                <a:ext uri="{63B3BB69-23CF-44E3-9099-C40C66FF867C}">
                  <a14:compatExt spid="_x0000_s123959"/>
                </a:ext>
                <a:ext uri="{FF2B5EF4-FFF2-40B4-BE49-F238E27FC236}">
                  <a16:creationId xmlns:a16="http://schemas.microsoft.com/office/drawing/2014/main" id="{00000000-0008-0000-3B00-000037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19</xdr:row>
          <xdr:rowOff>38100</xdr:rowOff>
        </xdr:from>
        <xdr:to>
          <xdr:col>21</xdr:col>
          <xdr:colOff>219075</xdr:colOff>
          <xdr:row>19</xdr:row>
          <xdr:rowOff>295275</xdr:rowOff>
        </xdr:to>
        <xdr:sp macro="" textlink="">
          <xdr:nvSpPr>
            <xdr:cNvPr id="123960" name="Check Box 56" hidden="1">
              <a:extLst>
                <a:ext uri="{63B3BB69-23CF-44E3-9099-C40C66FF867C}">
                  <a14:compatExt spid="_x0000_s123960"/>
                </a:ext>
                <a:ext uri="{FF2B5EF4-FFF2-40B4-BE49-F238E27FC236}">
                  <a16:creationId xmlns:a16="http://schemas.microsoft.com/office/drawing/2014/main" id="{00000000-0008-0000-3B00-000038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19</xdr:row>
          <xdr:rowOff>28575</xdr:rowOff>
        </xdr:from>
        <xdr:to>
          <xdr:col>24</xdr:col>
          <xdr:colOff>219075</xdr:colOff>
          <xdr:row>19</xdr:row>
          <xdr:rowOff>257175</xdr:rowOff>
        </xdr:to>
        <xdr:sp macro="" textlink="">
          <xdr:nvSpPr>
            <xdr:cNvPr id="123961" name="Check Box 57" hidden="1">
              <a:extLst>
                <a:ext uri="{63B3BB69-23CF-44E3-9099-C40C66FF867C}">
                  <a14:compatExt spid="_x0000_s123961"/>
                </a:ext>
                <a:ext uri="{FF2B5EF4-FFF2-40B4-BE49-F238E27FC236}">
                  <a16:creationId xmlns:a16="http://schemas.microsoft.com/office/drawing/2014/main" id="{00000000-0008-0000-3B00-000039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19</xdr:row>
          <xdr:rowOff>28575</xdr:rowOff>
        </xdr:from>
        <xdr:to>
          <xdr:col>27</xdr:col>
          <xdr:colOff>238125</xdr:colOff>
          <xdr:row>19</xdr:row>
          <xdr:rowOff>257175</xdr:rowOff>
        </xdr:to>
        <xdr:sp macro="" textlink="">
          <xdr:nvSpPr>
            <xdr:cNvPr id="123962" name="Check Box 58" hidden="1">
              <a:extLst>
                <a:ext uri="{63B3BB69-23CF-44E3-9099-C40C66FF867C}">
                  <a14:compatExt spid="_x0000_s123962"/>
                </a:ext>
                <a:ext uri="{FF2B5EF4-FFF2-40B4-BE49-F238E27FC236}">
                  <a16:creationId xmlns:a16="http://schemas.microsoft.com/office/drawing/2014/main" id="{00000000-0008-0000-3B00-00003A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19</xdr:row>
          <xdr:rowOff>66675</xdr:rowOff>
        </xdr:from>
        <xdr:to>
          <xdr:col>30</xdr:col>
          <xdr:colOff>200025</xdr:colOff>
          <xdr:row>19</xdr:row>
          <xdr:rowOff>257175</xdr:rowOff>
        </xdr:to>
        <xdr:sp macro="" textlink="">
          <xdr:nvSpPr>
            <xdr:cNvPr id="123963" name="Check Box 59" hidden="1">
              <a:extLst>
                <a:ext uri="{63B3BB69-23CF-44E3-9099-C40C66FF867C}">
                  <a14:compatExt spid="_x0000_s123963"/>
                </a:ext>
                <a:ext uri="{FF2B5EF4-FFF2-40B4-BE49-F238E27FC236}">
                  <a16:creationId xmlns:a16="http://schemas.microsoft.com/office/drawing/2014/main" id="{00000000-0008-0000-3B00-00003B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19</xdr:row>
          <xdr:rowOff>66675</xdr:rowOff>
        </xdr:from>
        <xdr:to>
          <xdr:col>33</xdr:col>
          <xdr:colOff>238125</xdr:colOff>
          <xdr:row>19</xdr:row>
          <xdr:rowOff>238125</xdr:rowOff>
        </xdr:to>
        <xdr:sp macro="" textlink="">
          <xdr:nvSpPr>
            <xdr:cNvPr id="123964" name="Check Box 60" hidden="1">
              <a:extLst>
                <a:ext uri="{63B3BB69-23CF-44E3-9099-C40C66FF867C}">
                  <a14:compatExt spid="_x0000_s123964"/>
                </a:ext>
                <a:ext uri="{FF2B5EF4-FFF2-40B4-BE49-F238E27FC236}">
                  <a16:creationId xmlns:a16="http://schemas.microsoft.com/office/drawing/2014/main" id="{00000000-0008-0000-3B00-00003C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29</xdr:row>
          <xdr:rowOff>47625</xdr:rowOff>
        </xdr:from>
        <xdr:to>
          <xdr:col>4</xdr:col>
          <xdr:colOff>9525</xdr:colOff>
          <xdr:row>29</xdr:row>
          <xdr:rowOff>257175</xdr:rowOff>
        </xdr:to>
        <xdr:sp macro="" textlink="">
          <xdr:nvSpPr>
            <xdr:cNvPr id="123965" name="Check Box 61" hidden="1">
              <a:extLst>
                <a:ext uri="{63B3BB69-23CF-44E3-9099-C40C66FF867C}">
                  <a14:compatExt spid="_x0000_s123965"/>
                </a:ext>
                <a:ext uri="{FF2B5EF4-FFF2-40B4-BE49-F238E27FC236}">
                  <a16:creationId xmlns:a16="http://schemas.microsoft.com/office/drawing/2014/main" id="{00000000-0008-0000-3B00-00003D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33</xdr:row>
          <xdr:rowOff>76200</xdr:rowOff>
        </xdr:from>
        <xdr:to>
          <xdr:col>4</xdr:col>
          <xdr:colOff>9525</xdr:colOff>
          <xdr:row>35</xdr:row>
          <xdr:rowOff>28575</xdr:rowOff>
        </xdr:to>
        <xdr:sp macro="" textlink="">
          <xdr:nvSpPr>
            <xdr:cNvPr id="123966" name="Check Box 62" hidden="1">
              <a:extLst>
                <a:ext uri="{63B3BB69-23CF-44E3-9099-C40C66FF867C}">
                  <a14:compatExt spid="_x0000_s123966"/>
                </a:ext>
                <a:ext uri="{FF2B5EF4-FFF2-40B4-BE49-F238E27FC236}">
                  <a16:creationId xmlns:a16="http://schemas.microsoft.com/office/drawing/2014/main" id="{00000000-0008-0000-3B00-00003E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37</xdr:row>
          <xdr:rowOff>66675</xdr:rowOff>
        </xdr:from>
        <xdr:to>
          <xdr:col>3</xdr:col>
          <xdr:colOff>257175</xdr:colOff>
          <xdr:row>39</xdr:row>
          <xdr:rowOff>9525</xdr:rowOff>
        </xdr:to>
        <xdr:sp macro="" textlink="">
          <xdr:nvSpPr>
            <xdr:cNvPr id="123967" name="Check Box 63" hidden="1">
              <a:extLst>
                <a:ext uri="{63B3BB69-23CF-44E3-9099-C40C66FF867C}">
                  <a14:compatExt spid="_x0000_s123967"/>
                </a:ext>
                <a:ext uri="{FF2B5EF4-FFF2-40B4-BE49-F238E27FC236}">
                  <a16:creationId xmlns:a16="http://schemas.microsoft.com/office/drawing/2014/main" id="{00000000-0008-0000-3B00-00003FE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46</xdr:row>
          <xdr:rowOff>47625</xdr:rowOff>
        </xdr:from>
        <xdr:to>
          <xdr:col>4</xdr:col>
          <xdr:colOff>28575</xdr:colOff>
          <xdr:row>46</xdr:row>
          <xdr:rowOff>295275</xdr:rowOff>
        </xdr:to>
        <xdr:sp macro="" textlink="">
          <xdr:nvSpPr>
            <xdr:cNvPr id="163841" name="Check Box 1" hidden="1">
              <a:extLst>
                <a:ext uri="{63B3BB69-23CF-44E3-9099-C40C66FF867C}">
                  <a14:compatExt spid="_x0000_s163841"/>
                </a:ext>
                <a:ext uri="{FF2B5EF4-FFF2-40B4-BE49-F238E27FC236}">
                  <a16:creationId xmlns:a16="http://schemas.microsoft.com/office/drawing/2014/main" id="{00000000-0008-0000-3D00-0000018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38100</xdr:colOff>
          <xdr:row>21</xdr:row>
          <xdr:rowOff>28575</xdr:rowOff>
        </xdr:from>
        <xdr:to>
          <xdr:col>4</xdr:col>
          <xdr:colOff>238125</xdr:colOff>
          <xdr:row>21</xdr:row>
          <xdr:rowOff>295275</xdr:rowOff>
        </xdr:to>
        <xdr:sp macro="" textlink="">
          <xdr:nvSpPr>
            <xdr:cNvPr id="126977" name="Check Box 1" hidden="1">
              <a:extLst>
                <a:ext uri="{63B3BB69-23CF-44E3-9099-C40C66FF867C}">
                  <a14:compatExt spid="_x0000_s126977"/>
                </a:ext>
                <a:ext uri="{FF2B5EF4-FFF2-40B4-BE49-F238E27FC236}">
                  <a16:creationId xmlns:a16="http://schemas.microsoft.com/office/drawing/2014/main" id="{00000000-0008-0000-3E00-000001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11</xdr:row>
          <xdr:rowOff>47625</xdr:rowOff>
        </xdr:from>
        <xdr:to>
          <xdr:col>4</xdr:col>
          <xdr:colOff>9525</xdr:colOff>
          <xdr:row>11</xdr:row>
          <xdr:rowOff>276225</xdr:rowOff>
        </xdr:to>
        <xdr:sp macro="" textlink="">
          <xdr:nvSpPr>
            <xdr:cNvPr id="195585" name="Check Box 1" hidden="1">
              <a:extLst>
                <a:ext uri="{63B3BB69-23CF-44E3-9099-C40C66FF867C}">
                  <a14:compatExt spid="_x0000_s195585"/>
                </a:ext>
                <a:ext uri="{FF2B5EF4-FFF2-40B4-BE49-F238E27FC236}">
                  <a16:creationId xmlns:a16="http://schemas.microsoft.com/office/drawing/2014/main" id="{00000000-0008-0000-3F00-000001F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35</xdr:col>
          <xdr:colOff>28575</xdr:colOff>
          <xdr:row>24</xdr:row>
          <xdr:rowOff>123825</xdr:rowOff>
        </xdr:from>
        <xdr:to>
          <xdr:col>35</xdr:col>
          <xdr:colOff>238125</xdr:colOff>
          <xdr:row>25</xdr:row>
          <xdr:rowOff>114300</xdr:rowOff>
        </xdr:to>
        <xdr:sp macro="" textlink="">
          <xdr:nvSpPr>
            <xdr:cNvPr id="129025" name="Check Box 1" hidden="1">
              <a:extLst>
                <a:ext uri="{63B3BB69-23CF-44E3-9099-C40C66FF867C}">
                  <a14:compatExt spid="_x0000_s129025"/>
                </a:ext>
                <a:ext uri="{FF2B5EF4-FFF2-40B4-BE49-F238E27FC236}">
                  <a16:creationId xmlns:a16="http://schemas.microsoft.com/office/drawing/2014/main" id="{00000000-0008-0000-4000-000001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47625</xdr:colOff>
          <xdr:row>24</xdr:row>
          <xdr:rowOff>142875</xdr:rowOff>
        </xdr:from>
        <xdr:to>
          <xdr:col>41</xdr:col>
          <xdr:colOff>9525</xdr:colOff>
          <xdr:row>25</xdr:row>
          <xdr:rowOff>142875</xdr:rowOff>
        </xdr:to>
        <xdr:sp macro="" textlink="">
          <xdr:nvSpPr>
            <xdr:cNvPr id="129026" name="Check Box 2" hidden="1">
              <a:extLst>
                <a:ext uri="{63B3BB69-23CF-44E3-9099-C40C66FF867C}">
                  <a14:compatExt spid="_x0000_s129026"/>
                </a:ext>
                <a:ext uri="{FF2B5EF4-FFF2-40B4-BE49-F238E27FC236}">
                  <a16:creationId xmlns:a16="http://schemas.microsoft.com/office/drawing/2014/main" id="{00000000-0008-0000-4000-000002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26</xdr:row>
          <xdr:rowOff>28575</xdr:rowOff>
        </xdr:from>
        <xdr:to>
          <xdr:col>13</xdr:col>
          <xdr:colOff>238125</xdr:colOff>
          <xdr:row>26</xdr:row>
          <xdr:rowOff>238125</xdr:rowOff>
        </xdr:to>
        <xdr:sp macro="" textlink="">
          <xdr:nvSpPr>
            <xdr:cNvPr id="129027" name="Check Box 3" hidden="1">
              <a:extLst>
                <a:ext uri="{63B3BB69-23CF-44E3-9099-C40C66FF867C}">
                  <a14:compatExt spid="_x0000_s129027"/>
                </a:ext>
                <a:ext uri="{FF2B5EF4-FFF2-40B4-BE49-F238E27FC236}">
                  <a16:creationId xmlns:a16="http://schemas.microsoft.com/office/drawing/2014/main" id="{00000000-0008-0000-4000-000003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27</xdr:row>
          <xdr:rowOff>28575</xdr:rowOff>
        </xdr:from>
        <xdr:to>
          <xdr:col>13</xdr:col>
          <xdr:colOff>266700</xdr:colOff>
          <xdr:row>27</xdr:row>
          <xdr:rowOff>238125</xdr:rowOff>
        </xdr:to>
        <xdr:sp macro="" textlink="">
          <xdr:nvSpPr>
            <xdr:cNvPr id="129028" name="Check Box 4" hidden="1">
              <a:extLst>
                <a:ext uri="{63B3BB69-23CF-44E3-9099-C40C66FF867C}">
                  <a14:compatExt spid="_x0000_s129028"/>
                </a:ext>
                <a:ext uri="{FF2B5EF4-FFF2-40B4-BE49-F238E27FC236}">
                  <a16:creationId xmlns:a16="http://schemas.microsoft.com/office/drawing/2014/main" id="{00000000-0008-0000-4000-000004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28</xdr:row>
          <xdr:rowOff>47625</xdr:rowOff>
        </xdr:from>
        <xdr:to>
          <xdr:col>13</xdr:col>
          <xdr:colOff>266700</xdr:colOff>
          <xdr:row>28</xdr:row>
          <xdr:rowOff>257175</xdr:rowOff>
        </xdr:to>
        <xdr:sp macro="" textlink="">
          <xdr:nvSpPr>
            <xdr:cNvPr id="129029" name="Check Box 5" hidden="1">
              <a:extLst>
                <a:ext uri="{63B3BB69-23CF-44E3-9099-C40C66FF867C}">
                  <a14:compatExt spid="_x0000_s129029"/>
                </a:ext>
                <a:ext uri="{FF2B5EF4-FFF2-40B4-BE49-F238E27FC236}">
                  <a16:creationId xmlns:a16="http://schemas.microsoft.com/office/drawing/2014/main" id="{00000000-0008-0000-4000-000005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26</xdr:row>
          <xdr:rowOff>9525</xdr:rowOff>
        </xdr:from>
        <xdr:to>
          <xdr:col>18</xdr:col>
          <xdr:colOff>266700</xdr:colOff>
          <xdr:row>26</xdr:row>
          <xdr:rowOff>257175</xdr:rowOff>
        </xdr:to>
        <xdr:sp macro="" textlink="">
          <xdr:nvSpPr>
            <xdr:cNvPr id="129030" name="Check Box 6" hidden="1">
              <a:extLst>
                <a:ext uri="{63B3BB69-23CF-44E3-9099-C40C66FF867C}">
                  <a14:compatExt spid="_x0000_s129030"/>
                </a:ext>
                <a:ext uri="{FF2B5EF4-FFF2-40B4-BE49-F238E27FC236}">
                  <a16:creationId xmlns:a16="http://schemas.microsoft.com/office/drawing/2014/main" id="{00000000-0008-0000-4000-000006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27</xdr:row>
          <xdr:rowOff>9525</xdr:rowOff>
        </xdr:from>
        <xdr:to>
          <xdr:col>19</xdr:col>
          <xdr:colOff>0</xdr:colOff>
          <xdr:row>27</xdr:row>
          <xdr:rowOff>238125</xdr:rowOff>
        </xdr:to>
        <xdr:sp macro="" textlink="">
          <xdr:nvSpPr>
            <xdr:cNvPr id="129031" name="Check Box 7" hidden="1">
              <a:extLst>
                <a:ext uri="{63B3BB69-23CF-44E3-9099-C40C66FF867C}">
                  <a14:compatExt spid="_x0000_s129031"/>
                </a:ext>
                <a:ext uri="{FF2B5EF4-FFF2-40B4-BE49-F238E27FC236}">
                  <a16:creationId xmlns:a16="http://schemas.microsoft.com/office/drawing/2014/main" id="{00000000-0008-0000-4000-000007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28</xdr:row>
          <xdr:rowOff>28575</xdr:rowOff>
        </xdr:from>
        <xdr:to>
          <xdr:col>19</xdr:col>
          <xdr:colOff>9525</xdr:colOff>
          <xdr:row>28</xdr:row>
          <xdr:rowOff>257175</xdr:rowOff>
        </xdr:to>
        <xdr:sp macro="" textlink="">
          <xdr:nvSpPr>
            <xdr:cNvPr id="129032" name="Check Box 8" hidden="1">
              <a:extLst>
                <a:ext uri="{63B3BB69-23CF-44E3-9099-C40C66FF867C}">
                  <a14:compatExt spid="_x0000_s129032"/>
                </a:ext>
                <a:ext uri="{FF2B5EF4-FFF2-40B4-BE49-F238E27FC236}">
                  <a16:creationId xmlns:a16="http://schemas.microsoft.com/office/drawing/2014/main" id="{00000000-0008-0000-4000-000008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29</xdr:row>
          <xdr:rowOff>28575</xdr:rowOff>
        </xdr:from>
        <xdr:to>
          <xdr:col>21</xdr:col>
          <xdr:colOff>228600</xdr:colOff>
          <xdr:row>29</xdr:row>
          <xdr:rowOff>219075</xdr:rowOff>
        </xdr:to>
        <xdr:sp macro="" textlink="">
          <xdr:nvSpPr>
            <xdr:cNvPr id="129033" name="Check Box 9" hidden="1">
              <a:extLst>
                <a:ext uri="{63B3BB69-23CF-44E3-9099-C40C66FF867C}">
                  <a14:compatExt spid="_x0000_s129033"/>
                </a:ext>
                <a:ext uri="{FF2B5EF4-FFF2-40B4-BE49-F238E27FC236}">
                  <a16:creationId xmlns:a16="http://schemas.microsoft.com/office/drawing/2014/main" id="{00000000-0008-0000-4000-000009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29</xdr:row>
          <xdr:rowOff>9525</xdr:rowOff>
        </xdr:from>
        <xdr:to>
          <xdr:col>24</xdr:col>
          <xdr:colOff>257175</xdr:colOff>
          <xdr:row>29</xdr:row>
          <xdr:rowOff>219075</xdr:rowOff>
        </xdr:to>
        <xdr:sp macro="" textlink="">
          <xdr:nvSpPr>
            <xdr:cNvPr id="129034" name="Check Box 10" hidden="1">
              <a:extLst>
                <a:ext uri="{63B3BB69-23CF-44E3-9099-C40C66FF867C}">
                  <a14:compatExt spid="_x0000_s129034"/>
                </a:ext>
                <a:ext uri="{FF2B5EF4-FFF2-40B4-BE49-F238E27FC236}">
                  <a16:creationId xmlns:a16="http://schemas.microsoft.com/office/drawing/2014/main" id="{00000000-0008-0000-4000-00000A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49</xdr:row>
          <xdr:rowOff>142875</xdr:rowOff>
        </xdr:from>
        <xdr:to>
          <xdr:col>15</xdr:col>
          <xdr:colOff>238125</xdr:colOff>
          <xdr:row>50</xdr:row>
          <xdr:rowOff>85725</xdr:rowOff>
        </xdr:to>
        <xdr:sp macro="" textlink="">
          <xdr:nvSpPr>
            <xdr:cNvPr id="129035" name="Check Box 11" hidden="1">
              <a:extLst>
                <a:ext uri="{63B3BB69-23CF-44E3-9099-C40C66FF867C}">
                  <a14:compatExt spid="_x0000_s129035"/>
                </a:ext>
                <a:ext uri="{FF2B5EF4-FFF2-40B4-BE49-F238E27FC236}">
                  <a16:creationId xmlns:a16="http://schemas.microsoft.com/office/drawing/2014/main" id="{00000000-0008-0000-4000-00000B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49</xdr:row>
          <xdr:rowOff>142875</xdr:rowOff>
        </xdr:from>
        <xdr:to>
          <xdr:col>20</xdr:col>
          <xdr:colOff>266700</xdr:colOff>
          <xdr:row>50</xdr:row>
          <xdr:rowOff>123825</xdr:rowOff>
        </xdr:to>
        <xdr:sp macro="" textlink="">
          <xdr:nvSpPr>
            <xdr:cNvPr id="129036" name="Check Box 12" hidden="1">
              <a:extLst>
                <a:ext uri="{63B3BB69-23CF-44E3-9099-C40C66FF867C}">
                  <a14:compatExt spid="_x0000_s129036"/>
                </a:ext>
                <a:ext uri="{FF2B5EF4-FFF2-40B4-BE49-F238E27FC236}">
                  <a16:creationId xmlns:a16="http://schemas.microsoft.com/office/drawing/2014/main" id="{00000000-0008-0000-4000-00000C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6</xdr:row>
          <xdr:rowOff>28575</xdr:rowOff>
        </xdr:from>
        <xdr:to>
          <xdr:col>3</xdr:col>
          <xdr:colOff>266700</xdr:colOff>
          <xdr:row>7</xdr:row>
          <xdr:rowOff>28575</xdr:rowOff>
        </xdr:to>
        <xdr:sp macro="" textlink="">
          <xdr:nvSpPr>
            <xdr:cNvPr id="129037" name="Check Box 13" hidden="1">
              <a:extLst>
                <a:ext uri="{63B3BB69-23CF-44E3-9099-C40C66FF867C}">
                  <a14:compatExt spid="_x0000_s129037"/>
                </a:ext>
                <a:ext uri="{FF2B5EF4-FFF2-40B4-BE49-F238E27FC236}">
                  <a16:creationId xmlns:a16="http://schemas.microsoft.com/office/drawing/2014/main" id="{00000000-0008-0000-4000-00000D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8</xdr:row>
          <xdr:rowOff>9525</xdr:rowOff>
        </xdr:from>
        <xdr:to>
          <xdr:col>4</xdr:col>
          <xdr:colOff>9525</xdr:colOff>
          <xdr:row>9</xdr:row>
          <xdr:rowOff>28575</xdr:rowOff>
        </xdr:to>
        <xdr:sp macro="" textlink="">
          <xdr:nvSpPr>
            <xdr:cNvPr id="129038" name="Check Box 14" hidden="1">
              <a:extLst>
                <a:ext uri="{63B3BB69-23CF-44E3-9099-C40C66FF867C}">
                  <a14:compatExt spid="_x0000_s129038"/>
                </a:ext>
                <a:ext uri="{FF2B5EF4-FFF2-40B4-BE49-F238E27FC236}">
                  <a16:creationId xmlns:a16="http://schemas.microsoft.com/office/drawing/2014/main" id="{00000000-0008-0000-4000-00000E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10</xdr:row>
          <xdr:rowOff>0</xdr:rowOff>
        </xdr:from>
        <xdr:to>
          <xdr:col>3</xdr:col>
          <xdr:colOff>257175</xdr:colOff>
          <xdr:row>11</xdr:row>
          <xdr:rowOff>9525</xdr:rowOff>
        </xdr:to>
        <xdr:sp macro="" textlink="">
          <xdr:nvSpPr>
            <xdr:cNvPr id="129039" name="Check Box 15" hidden="1">
              <a:extLst>
                <a:ext uri="{63B3BB69-23CF-44E3-9099-C40C66FF867C}">
                  <a14:compatExt spid="_x0000_s129039"/>
                </a:ext>
                <a:ext uri="{FF2B5EF4-FFF2-40B4-BE49-F238E27FC236}">
                  <a16:creationId xmlns:a16="http://schemas.microsoft.com/office/drawing/2014/main" id="{00000000-0008-0000-4000-00000FF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revisions/_rels/revisionHeaders.xml.rels><?xml version="1.0" encoding="UTF-8" standalone="yes"?>
<Relationships xmlns="http://schemas.openxmlformats.org/package/2006/relationships"><Relationship Id="rId6" Type="http://schemas.openxmlformats.org/officeDocument/2006/relationships/revisionLog" Target="revisionLog6.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3088530C-0199-4BD4-A7BE-5CBFB9E2CC8D}" diskRevisions="1" revisionId="67" version="6">
  <header guid="{3088530C-0199-4BD4-A7BE-5CBFB9E2CC8D}" dateTime="2023-04-13T22:23:36" maxSheetId="66" userName="User" r:id="rId6" minRId="59" maxRId="67">
    <sheetIdMap count="65">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 val="40"/>
      <sheetId val="41"/>
      <sheetId val="42"/>
      <sheetId val="43"/>
      <sheetId val="44"/>
      <sheetId val="45"/>
      <sheetId val="46"/>
      <sheetId val="47"/>
      <sheetId val="48"/>
      <sheetId val="49"/>
      <sheetId val="50"/>
      <sheetId val="51"/>
      <sheetId val="52"/>
      <sheetId val="53"/>
      <sheetId val="54"/>
      <sheetId val="55"/>
      <sheetId val="56"/>
      <sheetId val="57"/>
      <sheetId val="58"/>
      <sheetId val="59"/>
      <sheetId val="60"/>
      <sheetId val="61"/>
      <sheetId val="62"/>
      <sheetId val="63"/>
      <sheetId val="64"/>
      <sheetId val="65"/>
    </sheetIdMap>
  </header>
</header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 sId="5">
    <oc r="I25">
      <v>1</v>
    </oc>
    <nc r="I25" t="inlineStr">
      <is>
        <t>Purok 1</t>
      </is>
    </nc>
  </rcc>
  <rcc rId="60" sId="5">
    <oc r="AH24" t="inlineStr">
      <is>
        <t>088 545 4055</t>
      </is>
    </oc>
    <nc r="AH24" t="inlineStr">
      <is>
        <t>088-545-0181</t>
      </is>
    </nc>
  </rcc>
  <rcc rId="61" sId="5">
    <oc r="AH25" t="inlineStr">
      <is>
        <t>0998 793 1119</t>
      </is>
    </oc>
    <nc r="AH25">
      <v>9609006095</v>
    </nc>
  </rcc>
  <rcc rId="62" sId="5">
    <oc r="AH28" t="inlineStr">
      <is>
        <t>aths.educ@yahoo.com.ph</t>
      </is>
    </oc>
    <nc r="AH28" t="inlineStr">
      <is>
        <t>304024@deped.gov.ph</t>
      </is>
    </nc>
  </rcc>
  <rcc rId="63" sId="5">
    <oc r="AH29">
      <v>1947</v>
    </oc>
    <nc r="AH29">
      <v>2016</v>
    </nc>
  </rcc>
  <rcc rId="64" sId="23">
    <oc r="H13" t="b">
      <v>0</v>
    </oc>
    <nc r="H13" t="b">
      <v>1</v>
    </nc>
  </rcc>
  <rcc rId="65" sId="30">
    <oc r="M33" t="b">
      <v>0</v>
    </oc>
    <nc r="M33" t="b">
      <v>1</v>
    </nc>
  </rcc>
  <rcc rId="66" sId="29">
    <oc r="AL24" t="b">
      <v>1</v>
    </oc>
    <nc r="AL24" t="b">
      <v>0</v>
    </nc>
  </rcc>
  <rcc rId="67" sId="39">
    <oc r="AG10">
      <v>60</v>
    </oc>
    <nc r="AG10">
      <v>21</v>
    </nc>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7" Type="http://schemas.openxmlformats.org/officeDocument/2006/relationships/ctrlProp" Target="../ctrlProps/ctrlProp3.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18.xml.rels><?xml version="1.0" encoding="UTF-8" standalone="yes"?>
<Relationships xmlns="http://schemas.openxmlformats.org/package/2006/relationships"><Relationship Id="rId8" Type="http://schemas.openxmlformats.org/officeDocument/2006/relationships/ctrlProp" Target="../ctrlProps/ctrlProp7.xml"/><Relationship Id="rId3" Type="http://schemas.openxmlformats.org/officeDocument/2006/relationships/drawing" Target="../drawings/drawing2.xml"/><Relationship Id="rId7" Type="http://schemas.openxmlformats.org/officeDocument/2006/relationships/ctrlProp" Target="../ctrlProps/ctrlProp6.xml"/><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13" Type="http://schemas.openxmlformats.org/officeDocument/2006/relationships/ctrlProp" Target="../ctrlProps/ctrlProp16.xml"/><Relationship Id="rId18" Type="http://schemas.openxmlformats.org/officeDocument/2006/relationships/ctrlProp" Target="../ctrlProps/ctrlProp21.xml"/><Relationship Id="rId26" Type="http://schemas.openxmlformats.org/officeDocument/2006/relationships/ctrlProp" Target="../ctrlProps/ctrlProp29.xml"/><Relationship Id="rId39" Type="http://schemas.openxmlformats.org/officeDocument/2006/relationships/ctrlProp" Target="../ctrlProps/ctrlProp42.xml"/><Relationship Id="rId21" Type="http://schemas.openxmlformats.org/officeDocument/2006/relationships/ctrlProp" Target="../ctrlProps/ctrlProp24.xml"/><Relationship Id="rId34" Type="http://schemas.openxmlformats.org/officeDocument/2006/relationships/ctrlProp" Target="../ctrlProps/ctrlProp37.xml"/><Relationship Id="rId42" Type="http://schemas.openxmlformats.org/officeDocument/2006/relationships/ctrlProp" Target="../ctrlProps/ctrlProp45.xml"/><Relationship Id="rId47" Type="http://schemas.openxmlformats.org/officeDocument/2006/relationships/ctrlProp" Target="../ctrlProps/ctrlProp50.xml"/><Relationship Id="rId50" Type="http://schemas.openxmlformats.org/officeDocument/2006/relationships/ctrlProp" Target="../ctrlProps/ctrlProp53.xml"/><Relationship Id="rId55" Type="http://schemas.openxmlformats.org/officeDocument/2006/relationships/ctrlProp" Target="../ctrlProps/ctrlProp58.xml"/><Relationship Id="rId7" Type="http://schemas.openxmlformats.org/officeDocument/2006/relationships/ctrlProp" Target="../ctrlProps/ctrlProp10.xml"/><Relationship Id="rId12" Type="http://schemas.openxmlformats.org/officeDocument/2006/relationships/ctrlProp" Target="../ctrlProps/ctrlProp15.xml"/><Relationship Id="rId17" Type="http://schemas.openxmlformats.org/officeDocument/2006/relationships/ctrlProp" Target="../ctrlProps/ctrlProp20.xml"/><Relationship Id="rId25" Type="http://schemas.openxmlformats.org/officeDocument/2006/relationships/ctrlProp" Target="../ctrlProps/ctrlProp28.xml"/><Relationship Id="rId33" Type="http://schemas.openxmlformats.org/officeDocument/2006/relationships/ctrlProp" Target="../ctrlProps/ctrlProp36.xml"/><Relationship Id="rId38" Type="http://schemas.openxmlformats.org/officeDocument/2006/relationships/ctrlProp" Target="../ctrlProps/ctrlProp41.xml"/><Relationship Id="rId46" Type="http://schemas.openxmlformats.org/officeDocument/2006/relationships/ctrlProp" Target="../ctrlProps/ctrlProp49.xml"/><Relationship Id="rId2" Type="http://schemas.openxmlformats.org/officeDocument/2006/relationships/printerSettings" Target="../printerSettings/printerSettings38.bin"/><Relationship Id="rId16" Type="http://schemas.openxmlformats.org/officeDocument/2006/relationships/ctrlProp" Target="../ctrlProps/ctrlProp19.xml"/><Relationship Id="rId20" Type="http://schemas.openxmlformats.org/officeDocument/2006/relationships/ctrlProp" Target="../ctrlProps/ctrlProp23.xml"/><Relationship Id="rId29" Type="http://schemas.openxmlformats.org/officeDocument/2006/relationships/ctrlProp" Target="../ctrlProps/ctrlProp32.xml"/><Relationship Id="rId41" Type="http://schemas.openxmlformats.org/officeDocument/2006/relationships/ctrlProp" Target="../ctrlProps/ctrlProp44.xml"/><Relationship Id="rId54" Type="http://schemas.openxmlformats.org/officeDocument/2006/relationships/ctrlProp" Target="../ctrlProps/ctrlProp57.xml"/><Relationship Id="rId1" Type="http://schemas.openxmlformats.org/officeDocument/2006/relationships/printerSettings" Target="../printerSettings/printerSettings37.bin"/><Relationship Id="rId6" Type="http://schemas.openxmlformats.org/officeDocument/2006/relationships/ctrlProp" Target="../ctrlProps/ctrlProp9.xml"/><Relationship Id="rId11" Type="http://schemas.openxmlformats.org/officeDocument/2006/relationships/ctrlProp" Target="../ctrlProps/ctrlProp14.xml"/><Relationship Id="rId24" Type="http://schemas.openxmlformats.org/officeDocument/2006/relationships/ctrlProp" Target="../ctrlProps/ctrlProp27.xml"/><Relationship Id="rId32" Type="http://schemas.openxmlformats.org/officeDocument/2006/relationships/ctrlProp" Target="../ctrlProps/ctrlProp35.xml"/><Relationship Id="rId37" Type="http://schemas.openxmlformats.org/officeDocument/2006/relationships/ctrlProp" Target="../ctrlProps/ctrlProp40.xml"/><Relationship Id="rId40" Type="http://schemas.openxmlformats.org/officeDocument/2006/relationships/ctrlProp" Target="../ctrlProps/ctrlProp43.xml"/><Relationship Id="rId45" Type="http://schemas.openxmlformats.org/officeDocument/2006/relationships/ctrlProp" Target="../ctrlProps/ctrlProp48.xml"/><Relationship Id="rId53" Type="http://schemas.openxmlformats.org/officeDocument/2006/relationships/ctrlProp" Target="../ctrlProps/ctrlProp56.xml"/><Relationship Id="rId58" Type="http://schemas.openxmlformats.org/officeDocument/2006/relationships/ctrlProp" Target="../ctrlProps/ctrlProp61.xml"/><Relationship Id="rId5" Type="http://schemas.openxmlformats.org/officeDocument/2006/relationships/ctrlProp" Target="../ctrlProps/ctrlProp8.xml"/><Relationship Id="rId15" Type="http://schemas.openxmlformats.org/officeDocument/2006/relationships/ctrlProp" Target="../ctrlProps/ctrlProp18.xml"/><Relationship Id="rId23" Type="http://schemas.openxmlformats.org/officeDocument/2006/relationships/ctrlProp" Target="../ctrlProps/ctrlProp26.xml"/><Relationship Id="rId28" Type="http://schemas.openxmlformats.org/officeDocument/2006/relationships/ctrlProp" Target="../ctrlProps/ctrlProp31.xml"/><Relationship Id="rId36" Type="http://schemas.openxmlformats.org/officeDocument/2006/relationships/ctrlProp" Target="../ctrlProps/ctrlProp39.xml"/><Relationship Id="rId49" Type="http://schemas.openxmlformats.org/officeDocument/2006/relationships/ctrlProp" Target="../ctrlProps/ctrlProp52.xml"/><Relationship Id="rId57" Type="http://schemas.openxmlformats.org/officeDocument/2006/relationships/ctrlProp" Target="../ctrlProps/ctrlProp60.xml"/><Relationship Id="rId10" Type="http://schemas.openxmlformats.org/officeDocument/2006/relationships/ctrlProp" Target="../ctrlProps/ctrlProp13.xml"/><Relationship Id="rId19" Type="http://schemas.openxmlformats.org/officeDocument/2006/relationships/ctrlProp" Target="../ctrlProps/ctrlProp22.xml"/><Relationship Id="rId31" Type="http://schemas.openxmlformats.org/officeDocument/2006/relationships/ctrlProp" Target="../ctrlProps/ctrlProp34.xml"/><Relationship Id="rId44" Type="http://schemas.openxmlformats.org/officeDocument/2006/relationships/ctrlProp" Target="../ctrlProps/ctrlProp47.xml"/><Relationship Id="rId52" Type="http://schemas.openxmlformats.org/officeDocument/2006/relationships/ctrlProp" Target="../ctrlProps/ctrlProp55.xml"/><Relationship Id="rId4" Type="http://schemas.openxmlformats.org/officeDocument/2006/relationships/vmlDrawing" Target="../drawings/vmlDrawing3.vml"/><Relationship Id="rId9" Type="http://schemas.openxmlformats.org/officeDocument/2006/relationships/ctrlProp" Target="../ctrlProps/ctrlProp12.xml"/><Relationship Id="rId14" Type="http://schemas.openxmlformats.org/officeDocument/2006/relationships/ctrlProp" Target="../ctrlProps/ctrlProp17.xml"/><Relationship Id="rId22" Type="http://schemas.openxmlformats.org/officeDocument/2006/relationships/ctrlProp" Target="../ctrlProps/ctrlProp25.xml"/><Relationship Id="rId27" Type="http://schemas.openxmlformats.org/officeDocument/2006/relationships/ctrlProp" Target="../ctrlProps/ctrlProp30.xml"/><Relationship Id="rId30" Type="http://schemas.openxmlformats.org/officeDocument/2006/relationships/ctrlProp" Target="../ctrlProps/ctrlProp33.xml"/><Relationship Id="rId35" Type="http://schemas.openxmlformats.org/officeDocument/2006/relationships/ctrlProp" Target="../ctrlProps/ctrlProp38.xml"/><Relationship Id="rId43" Type="http://schemas.openxmlformats.org/officeDocument/2006/relationships/ctrlProp" Target="../ctrlProps/ctrlProp46.xml"/><Relationship Id="rId48" Type="http://schemas.openxmlformats.org/officeDocument/2006/relationships/ctrlProp" Target="../ctrlProps/ctrlProp51.xml"/><Relationship Id="rId56" Type="http://schemas.openxmlformats.org/officeDocument/2006/relationships/ctrlProp" Target="../ctrlProps/ctrlProp59.xml"/><Relationship Id="rId8" Type="http://schemas.openxmlformats.org/officeDocument/2006/relationships/ctrlProp" Target="../ctrlProps/ctrlProp11.xml"/><Relationship Id="rId51" Type="http://schemas.openxmlformats.org/officeDocument/2006/relationships/ctrlProp" Target="../ctrlProps/ctrlProp54.xml"/><Relationship Id="rId3"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65.xml"/><Relationship Id="rId13" Type="http://schemas.openxmlformats.org/officeDocument/2006/relationships/ctrlProp" Target="../ctrlProps/ctrlProp70.xml"/><Relationship Id="rId3" Type="http://schemas.openxmlformats.org/officeDocument/2006/relationships/drawing" Target="../drawings/drawing4.xml"/><Relationship Id="rId7" Type="http://schemas.openxmlformats.org/officeDocument/2006/relationships/ctrlProp" Target="../ctrlProps/ctrlProp64.xml"/><Relationship Id="rId12" Type="http://schemas.openxmlformats.org/officeDocument/2006/relationships/ctrlProp" Target="../ctrlProps/ctrlProp69.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ctrlProp" Target="../ctrlProps/ctrlProp63.xml"/><Relationship Id="rId11" Type="http://schemas.openxmlformats.org/officeDocument/2006/relationships/ctrlProp" Target="../ctrlProps/ctrlProp68.xml"/><Relationship Id="rId5" Type="http://schemas.openxmlformats.org/officeDocument/2006/relationships/ctrlProp" Target="../ctrlProps/ctrlProp62.xml"/><Relationship Id="rId15" Type="http://schemas.openxmlformats.org/officeDocument/2006/relationships/ctrlProp" Target="../ctrlProps/ctrlProp72.xml"/><Relationship Id="rId10" Type="http://schemas.openxmlformats.org/officeDocument/2006/relationships/ctrlProp" Target="../ctrlProps/ctrlProp67.xml"/><Relationship Id="rId4" Type="http://schemas.openxmlformats.org/officeDocument/2006/relationships/vmlDrawing" Target="../drawings/vmlDrawing4.vml"/><Relationship Id="rId9" Type="http://schemas.openxmlformats.org/officeDocument/2006/relationships/ctrlProp" Target="../ctrlProps/ctrlProp66.xml"/><Relationship Id="rId14" Type="http://schemas.openxmlformats.org/officeDocument/2006/relationships/ctrlProp" Target="../ctrlProps/ctrlProp71.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76.xml"/><Relationship Id="rId13" Type="http://schemas.openxmlformats.org/officeDocument/2006/relationships/ctrlProp" Target="../ctrlProps/ctrlProp81.xml"/><Relationship Id="rId18" Type="http://schemas.openxmlformats.org/officeDocument/2006/relationships/ctrlProp" Target="../ctrlProps/ctrlProp86.xml"/><Relationship Id="rId3" Type="http://schemas.openxmlformats.org/officeDocument/2006/relationships/drawing" Target="../drawings/drawing6.xml"/><Relationship Id="rId7" Type="http://schemas.openxmlformats.org/officeDocument/2006/relationships/ctrlProp" Target="../ctrlProps/ctrlProp75.xml"/><Relationship Id="rId12" Type="http://schemas.openxmlformats.org/officeDocument/2006/relationships/ctrlProp" Target="../ctrlProps/ctrlProp80.xml"/><Relationship Id="rId17" Type="http://schemas.openxmlformats.org/officeDocument/2006/relationships/ctrlProp" Target="../ctrlProps/ctrlProp85.xml"/><Relationship Id="rId2" Type="http://schemas.openxmlformats.org/officeDocument/2006/relationships/printerSettings" Target="../printerSettings/printerSettings46.bin"/><Relationship Id="rId16" Type="http://schemas.openxmlformats.org/officeDocument/2006/relationships/ctrlProp" Target="../ctrlProps/ctrlProp84.xml"/><Relationship Id="rId1" Type="http://schemas.openxmlformats.org/officeDocument/2006/relationships/printerSettings" Target="../printerSettings/printerSettings45.bin"/><Relationship Id="rId6" Type="http://schemas.openxmlformats.org/officeDocument/2006/relationships/ctrlProp" Target="../ctrlProps/ctrlProp74.xml"/><Relationship Id="rId11" Type="http://schemas.openxmlformats.org/officeDocument/2006/relationships/ctrlProp" Target="../ctrlProps/ctrlProp79.xml"/><Relationship Id="rId5" Type="http://schemas.openxmlformats.org/officeDocument/2006/relationships/ctrlProp" Target="../ctrlProps/ctrlProp73.xml"/><Relationship Id="rId15" Type="http://schemas.openxmlformats.org/officeDocument/2006/relationships/ctrlProp" Target="../ctrlProps/ctrlProp83.xml"/><Relationship Id="rId10" Type="http://schemas.openxmlformats.org/officeDocument/2006/relationships/ctrlProp" Target="../ctrlProps/ctrlProp78.xml"/><Relationship Id="rId4" Type="http://schemas.openxmlformats.org/officeDocument/2006/relationships/vmlDrawing" Target="../drawings/vmlDrawing5.vml"/><Relationship Id="rId9" Type="http://schemas.openxmlformats.org/officeDocument/2006/relationships/ctrlProp" Target="../ctrlProps/ctrlProp77.xml"/><Relationship Id="rId14" Type="http://schemas.openxmlformats.org/officeDocument/2006/relationships/ctrlProp" Target="../ctrlProps/ctrlProp82.xml"/></Relationships>
</file>

<file path=xl/worksheets/_rels/sheet24.xml.rels><?xml version="1.0" encoding="UTF-8" standalone="yes"?>
<Relationships xmlns="http://schemas.openxmlformats.org/package/2006/relationships"><Relationship Id="rId8" Type="http://schemas.openxmlformats.org/officeDocument/2006/relationships/ctrlProp" Target="../ctrlProps/ctrlProp90.xml"/><Relationship Id="rId13" Type="http://schemas.openxmlformats.org/officeDocument/2006/relationships/ctrlProp" Target="../ctrlProps/ctrlProp95.xml"/><Relationship Id="rId18" Type="http://schemas.openxmlformats.org/officeDocument/2006/relationships/ctrlProp" Target="../ctrlProps/ctrlProp100.xml"/><Relationship Id="rId26" Type="http://schemas.openxmlformats.org/officeDocument/2006/relationships/ctrlProp" Target="../ctrlProps/ctrlProp108.xml"/><Relationship Id="rId3" Type="http://schemas.openxmlformats.org/officeDocument/2006/relationships/drawing" Target="../drawings/drawing7.xml"/><Relationship Id="rId21" Type="http://schemas.openxmlformats.org/officeDocument/2006/relationships/ctrlProp" Target="../ctrlProps/ctrlProp103.xml"/><Relationship Id="rId7" Type="http://schemas.openxmlformats.org/officeDocument/2006/relationships/ctrlProp" Target="../ctrlProps/ctrlProp89.xml"/><Relationship Id="rId12" Type="http://schemas.openxmlformats.org/officeDocument/2006/relationships/ctrlProp" Target="../ctrlProps/ctrlProp94.xml"/><Relationship Id="rId17" Type="http://schemas.openxmlformats.org/officeDocument/2006/relationships/ctrlProp" Target="../ctrlProps/ctrlProp99.xml"/><Relationship Id="rId25" Type="http://schemas.openxmlformats.org/officeDocument/2006/relationships/ctrlProp" Target="../ctrlProps/ctrlProp107.xml"/><Relationship Id="rId2" Type="http://schemas.openxmlformats.org/officeDocument/2006/relationships/printerSettings" Target="../printerSettings/printerSettings48.bin"/><Relationship Id="rId16" Type="http://schemas.openxmlformats.org/officeDocument/2006/relationships/ctrlProp" Target="../ctrlProps/ctrlProp98.xml"/><Relationship Id="rId20" Type="http://schemas.openxmlformats.org/officeDocument/2006/relationships/ctrlProp" Target="../ctrlProps/ctrlProp102.xml"/><Relationship Id="rId29" Type="http://schemas.openxmlformats.org/officeDocument/2006/relationships/ctrlProp" Target="../ctrlProps/ctrlProp111.xml"/><Relationship Id="rId1" Type="http://schemas.openxmlformats.org/officeDocument/2006/relationships/printerSettings" Target="../printerSettings/printerSettings47.bin"/><Relationship Id="rId6" Type="http://schemas.openxmlformats.org/officeDocument/2006/relationships/ctrlProp" Target="../ctrlProps/ctrlProp88.xml"/><Relationship Id="rId11" Type="http://schemas.openxmlformats.org/officeDocument/2006/relationships/ctrlProp" Target="../ctrlProps/ctrlProp93.xml"/><Relationship Id="rId24" Type="http://schemas.openxmlformats.org/officeDocument/2006/relationships/ctrlProp" Target="../ctrlProps/ctrlProp106.xml"/><Relationship Id="rId5" Type="http://schemas.openxmlformats.org/officeDocument/2006/relationships/ctrlProp" Target="../ctrlProps/ctrlProp87.xml"/><Relationship Id="rId15" Type="http://schemas.openxmlformats.org/officeDocument/2006/relationships/ctrlProp" Target="../ctrlProps/ctrlProp97.xml"/><Relationship Id="rId23" Type="http://schemas.openxmlformats.org/officeDocument/2006/relationships/ctrlProp" Target="../ctrlProps/ctrlProp105.xml"/><Relationship Id="rId28" Type="http://schemas.openxmlformats.org/officeDocument/2006/relationships/ctrlProp" Target="../ctrlProps/ctrlProp110.xml"/><Relationship Id="rId10" Type="http://schemas.openxmlformats.org/officeDocument/2006/relationships/ctrlProp" Target="../ctrlProps/ctrlProp92.xml"/><Relationship Id="rId19" Type="http://schemas.openxmlformats.org/officeDocument/2006/relationships/ctrlProp" Target="../ctrlProps/ctrlProp101.xml"/><Relationship Id="rId4" Type="http://schemas.openxmlformats.org/officeDocument/2006/relationships/vmlDrawing" Target="../drawings/vmlDrawing6.vml"/><Relationship Id="rId9" Type="http://schemas.openxmlformats.org/officeDocument/2006/relationships/ctrlProp" Target="../ctrlProps/ctrlProp91.xml"/><Relationship Id="rId14" Type="http://schemas.openxmlformats.org/officeDocument/2006/relationships/ctrlProp" Target="../ctrlProps/ctrlProp96.xml"/><Relationship Id="rId22" Type="http://schemas.openxmlformats.org/officeDocument/2006/relationships/ctrlProp" Target="../ctrlProps/ctrlProp104.xml"/><Relationship Id="rId27" Type="http://schemas.openxmlformats.org/officeDocument/2006/relationships/ctrlProp" Target="../ctrlProps/ctrlProp109.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115.xml"/><Relationship Id="rId13" Type="http://schemas.openxmlformats.org/officeDocument/2006/relationships/ctrlProp" Target="../ctrlProps/ctrlProp120.xml"/><Relationship Id="rId3" Type="http://schemas.openxmlformats.org/officeDocument/2006/relationships/drawing" Target="../drawings/drawing11.xml"/><Relationship Id="rId7" Type="http://schemas.openxmlformats.org/officeDocument/2006/relationships/ctrlProp" Target="../ctrlProps/ctrlProp114.xml"/><Relationship Id="rId12" Type="http://schemas.openxmlformats.org/officeDocument/2006/relationships/ctrlProp" Target="../ctrlProps/ctrlProp119.xml"/><Relationship Id="rId2" Type="http://schemas.openxmlformats.org/officeDocument/2006/relationships/printerSettings" Target="../printerSettings/printerSettings56.bin"/><Relationship Id="rId16" Type="http://schemas.openxmlformats.org/officeDocument/2006/relationships/ctrlProp" Target="../ctrlProps/ctrlProp123.xml"/><Relationship Id="rId1" Type="http://schemas.openxmlformats.org/officeDocument/2006/relationships/printerSettings" Target="../printerSettings/printerSettings55.bin"/><Relationship Id="rId6" Type="http://schemas.openxmlformats.org/officeDocument/2006/relationships/ctrlProp" Target="../ctrlProps/ctrlProp113.xml"/><Relationship Id="rId11" Type="http://schemas.openxmlformats.org/officeDocument/2006/relationships/ctrlProp" Target="../ctrlProps/ctrlProp118.xml"/><Relationship Id="rId5" Type="http://schemas.openxmlformats.org/officeDocument/2006/relationships/ctrlProp" Target="../ctrlProps/ctrlProp112.xml"/><Relationship Id="rId15" Type="http://schemas.openxmlformats.org/officeDocument/2006/relationships/ctrlProp" Target="../ctrlProps/ctrlProp122.xml"/><Relationship Id="rId10" Type="http://schemas.openxmlformats.org/officeDocument/2006/relationships/ctrlProp" Target="../ctrlProps/ctrlProp117.xml"/><Relationship Id="rId4" Type="http://schemas.openxmlformats.org/officeDocument/2006/relationships/vmlDrawing" Target="../drawings/vmlDrawing7.vml"/><Relationship Id="rId9" Type="http://schemas.openxmlformats.org/officeDocument/2006/relationships/ctrlProp" Target="../ctrlProps/ctrlProp116.xml"/><Relationship Id="rId14" Type="http://schemas.openxmlformats.org/officeDocument/2006/relationships/ctrlProp" Target="../ctrlProps/ctrlProp121.xml"/></Relationships>
</file>

<file path=xl/worksheets/_rels/sheet29.xml.rels><?xml version="1.0" encoding="UTF-8" standalone="yes"?>
<Relationships xmlns="http://schemas.openxmlformats.org/package/2006/relationships"><Relationship Id="rId13" Type="http://schemas.openxmlformats.org/officeDocument/2006/relationships/ctrlProp" Target="../ctrlProps/ctrlProp132.xml"/><Relationship Id="rId18" Type="http://schemas.openxmlformats.org/officeDocument/2006/relationships/ctrlProp" Target="../ctrlProps/ctrlProp137.xml"/><Relationship Id="rId26" Type="http://schemas.openxmlformats.org/officeDocument/2006/relationships/ctrlProp" Target="../ctrlProps/ctrlProp145.xml"/><Relationship Id="rId39" Type="http://schemas.openxmlformats.org/officeDocument/2006/relationships/ctrlProp" Target="../ctrlProps/ctrlProp158.xml"/><Relationship Id="rId3" Type="http://schemas.openxmlformats.org/officeDocument/2006/relationships/drawing" Target="../drawings/drawing12.xml"/><Relationship Id="rId21" Type="http://schemas.openxmlformats.org/officeDocument/2006/relationships/ctrlProp" Target="../ctrlProps/ctrlProp140.xml"/><Relationship Id="rId34" Type="http://schemas.openxmlformats.org/officeDocument/2006/relationships/ctrlProp" Target="../ctrlProps/ctrlProp153.xml"/><Relationship Id="rId42" Type="http://schemas.openxmlformats.org/officeDocument/2006/relationships/ctrlProp" Target="../ctrlProps/ctrlProp161.xml"/><Relationship Id="rId47" Type="http://schemas.openxmlformats.org/officeDocument/2006/relationships/ctrlProp" Target="../ctrlProps/ctrlProp166.xml"/><Relationship Id="rId7" Type="http://schemas.openxmlformats.org/officeDocument/2006/relationships/ctrlProp" Target="../ctrlProps/ctrlProp126.xml"/><Relationship Id="rId12" Type="http://schemas.openxmlformats.org/officeDocument/2006/relationships/ctrlProp" Target="../ctrlProps/ctrlProp131.xml"/><Relationship Id="rId17" Type="http://schemas.openxmlformats.org/officeDocument/2006/relationships/ctrlProp" Target="../ctrlProps/ctrlProp136.xml"/><Relationship Id="rId25" Type="http://schemas.openxmlformats.org/officeDocument/2006/relationships/ctrlProp" Target="../ctrlProps/ctrlProp144.xml"/><Relationship Id="rId33" Type="http://schemas.openxmlformats.org/officeDocument/2006/relationships/ctrlProp" Target="../ctrlProps/ctrlProp152.xml"/><Relationship Id="rId38" Type="http://schemas.openxmlformats.org/officeDocument/2006/relationships/ctrlProp" Target="../ctrlProps/ctrlProp157.xml"/><Relationship Id="rId46" Type="http://schemas.openxmlformats.org/officeDocument/2006/relationships/ctrlProp" Target="../ctrlProps/ctrlProp165.xml"/><Relationship Id="rId2" Type="http://schemas.openxmlformats.org/officeDocument/2006/relationships/printerSettings" Target="../printerSettings/printerSettings58.bin"/><Relationship Id="rId16" Type="http://schemas.openxmlformats.org/officeDocument/2006/relationships/ctrlProp" Target="../ctrlProps/ctrlProp135.xml"/><Relationship Id="rId20" Type="http://schemas.openxmlformats.org/officeDocument/2006/relationships/ctrlProp" Target="../ctrlProps/ctrlProp139.xml"/><Relationship Id="rId29" Type="http://schemas.openxmlformats.org/officeDocument/2006/relationships/ctrlProp" Target="../ctrlProps/ctrlProp148.xml"/><Relationship Id="rId41" Type="http://schemas.openxmlformats.org/officeDocument/2006/relationships/ctrlProp" Target="../ctrlProps/ctrlProp160.xml"/><Relationship Id="rId1" Type="http://schemas.openxmlformats.org/officeDocument/2006/relationships/printerSettings" Target="../printerSettings/printerSettings57.bin"/><Relationship Id="rId6" Type="http://schemas.openxmlformats.org/officeDocument/2006/relationships/ctrlProp" Target="../ctrlProps/ctrlProp125.xml"/><Relationship Id="rId11" Type="http://schemas.openxmlformats.org/officeDocument/2006/relationships/ctrlProp" Target="../ctrlProps/ctrlProp130.xml"/><Relationship Id="rId24" Type="http://schemas.openxmlformats.org/officeDocument/2006/relationships/ctrlProp" Target="../ctrlProps/ctrlProp143.xml"/><Relationship Id="rId32" Type="http://schemas.openxmlformats.org/officeDocument/2006/relationships/ctrlProp" Target="../ctrlProps/ctrlProp151.xml"/><Relationship Id="rId37" Type="http://schemas.openxmlformats.org/officeDocument/2006/relationships/ctrlProp" Target="../ctrlProps/ctrlProp156.xml"/><Relationship Id="rId40" Type="http://schemas.openxmlformats.org/officeDocument/2006/relationships/ctrlProp" Target="../ctrlProps/ctrlProp159.xml"/><Relationship Id="rId45" Type="http://schemas.openxmlformats.org/officeDocument/2006/relationships/ctrlProp" Target="../ctrlProps/ctrlProp164.xml"/><Relationship Id="rId5" Type="http://schemas.openxmlformats.org/officeDocument/2006/relationships/ctrlProp" Target="../ctrlProps/ctrlProp124.xml"/><Relationship Id="rId15" Type="http://schemas.openxmlformats.org/officeDocument/2006/relationships/ctrlProp" Target="../ctrlProps/ctrlProp134.xml"/><Relationship Id="rId23" Type="http://schemas.openxmlformats.org/officeDocument/2006/relationships/ctrlProp" Target="../ctrlProps/ctrlProp142.xml"/><Relationship Id="rId28" Type="http://schemas.openxmlformats.org/officeDocument/2006/relationships/ctrlProp" Target="../ctrlProps/ctrlProp147.xml"/><Relationship Id="rId36" Type="http://schemas.openxmlformats.org/officeDocument/2006/relationships/ctrlProp" Target="../ctrlProps/ctrlProp155.xml"/><Relationship Id="rId49" Type="http://schemas.openxmlformats.org/officeDocument/2006/relationships/ctrlProp" Target="../ctrlProps/ctrlProp168.xml"/><Relationship Id="rId10" Type="http://schemas.openxmlformats.org/officeDocument/2006/relationships/ctrlProp" Target="../ctrlProps/ctrlProp129.xml"/><Relationship Id="rId19" Type="http://schemas.openxmlformats.org/officeDocument/2006/relationships/ctrlProp" Target="../ctrlProps/ctrlProp138.xml"/><Relationship Id="rId31" Type="http://schemas.openxmlformats.org/officeDocument/2006/relationships/ctrlProp" Target="../ctrlProps/ctrlProp150.xml"/><Relationship Id="rId44" Type="http://schemas.openxmlformats.org/officeDocument/2006/relationships/ctrlProp" Target="../ctrlProps/ctrlProp163.xml"/><Relationship Id="rId4" Type="http://schemas.openxmlformats.org/officeDocument/2006/relationships/vmlDrawing" Target="../drawings/vmlDrawing8.vml"/><Relationship Id="rId9" Type="http://schemas.openxmlformats.org/officeDocument/2006/relationships/ctrlProp" Target="../ctrlProps/ctrlProp128.xml"/><Relationship Id="rId14" Type="http://schemas.openxmlformats.org/officeDocument/2006/relationships/ctrlProp" Target="../ctrlProps/ctrlProp133.xml"/><Relationship Id="rId22" Type="http://schemas.openxmlformats.org/officeDocument/2006/relationships/ctrlProp" Target="../ctrlProps/ctrlProp141.xml"/><Relationship Id="rId27" Type="http://schemas.openxmlformats.org/officeDocument/2006/relationships/ctrlProp" Target="../ctrlProps/ctrlProp146.xml"/><Relationship Id="rId30" Type="http://schemas.openxmlformats.org/officeDocument/2006/relationships/ctrlProp" Target="../ctrlProps/ctrlProp149.xml"/><Relationship Id="rId35" Type="http://schemas.openxmlformats.org/officeDocument/2006/relationships/ctrlProp" Target="../ctrlProps/ctrlProp154.xml"/><Relationship Id="rId43" Type="http://schemas.openxmlformats.org/officeDocument/2006/relationships/ctrlProp" Target="../ctrlProps/ctrlProp162.xml"/><Relationship Id="rId48" Type="http://schemas.openxmlformats.org/officeDocument/2006/relationships/ctrlProp" Target="../ctrlProps/ctrlProp167.xml"/><Relationship Id="rId8" Type="http://schemas.openxmlformats.org/officeDocument/2006/relationships/ctrlProp" Target="../ctrlProps/ctrlProp127.xml"/></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172.xml"/><Relationship Id="rId3" Type="http://schemas.openxmlformats.org/officeDocument/2006/relationships/drawing" Target="../drawings/drawing13.xml"/><Relationship Id="rId7" Type="http://schemas.openxmlformats.org/officeDocument/2006/relationships/ctrlProp" Target="../ctrlProps/ctrlProp171.xml"/><Relationship Id="rId12" Type="http://schemas.openxmlformats.org/officeDocument/2006/relationships/ctrlProp" Target="../ctrlProps/ctrlProp176.xml"/><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 Id="rId6" Type="http://schemas.openxmlformats.org/officeDocument/2006/relationships/ctrlProp" Target="../ctrlProps/ctrlProp170.xml"/><Relationship Id="rId11" Type="http://schemas.openxmlformats.org/officeDocument/2006/relationships/ctrlProp" Target="../ctrlProps/ctrlProp175.xml"/><Relationship Id="rId5" Type="http://schemas.openxmlformats.org/officeDocument/2006/relationships/ctrlProp" Target="../ctrlProps/ctrlProp169.xml"/><Relationship Id="rId10" Type="http://schemas.openxmlformats.org/officeDocument/2006/relationships/ctrlProp" Target="../ctrlProps/ctrlProp174.xml"/><Relationship Id="rId4" Type="http://schemas.openxmlformats.org/officeDocument/2006/relationships/vmlDrawing" Target="../drawings/vmlDrawing9.vml"/><Relationship Id="rId9" Type="http://schemas.openxmlformats.org/officeDocument/2006/relationships/ctrlProp" Target="../ctrlProps/ctrlProp173.xm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180.xml"/><Relationship Id="rId13" Type="http://schemas.openxmlformats.org/officeDocument/2006/relationships/ctrlProp" Target="../ctrlProps/ctrlProp185.xml"/><Relationship Id="rId3" Type="http://schemas.openxmlformats.org/officeDocument/2006/relationships/drawing" Target="../drawings/drawing14.xml"/><Relationship Id="rId7" Type="http://schemas.openxmlformats.org/officeDocument/2006/relationships/ctrlProp" Target="../ctrlProps/ctrlProp179.xml"/><Relationship Id="rId12" Type="http://schemas.openxmlformats.org/officeDocument/2006/relationships/ctrlProp" Target="../ctrlProps/ctrlProp184.xml"/><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6" Type="http://schemas.openxmlformats.org/officeDocument/2006/relationships/ctrlProp" Target="../ctrlProps/ctrlProp178.xml"/><Relationship Id="rId11" Type="http://schemas.openxmlformats.org/officeDocument/2006/relationships/ctrlProp" Target="../ctrlProps/ctrlProp183.xml"/><Relationship Id="rId5" Type="http://schemas.openxmlformats.org/officeDocument/2006/relationships/ctrlProp" Target="../ctrlProps/ctrlProp177.xml"/><Relationship Id="rId10" Type="http://schemas.openxmlformats.org/officeDocument/2006/relationships/ctrlProp" Target="../ctrlProps/ctrlProp182.xml"/><Relationship Id="rId4" Type="http://schemas.openxmlformats.org/officeDocument/2006/relationships/vmlDrawing" Target="../drawings/vmlDrawing10.vml"/><Relationship Id="rId9" Type="http://schemas.openxmlformats.org/officeDocument/2006/relationships/ctrlProp" Target="../ctrlProps/ctrlProp181.xml"/></Relationships>
</file>

<file path=xl/worksheets/_rels/sheet33.xml.rels><?xml version="1.0" encoding="UTF-8" standalone="yes"?>
<Relationships xmlns="http://schemas.openxmlformats.org/package/2006/relationships"><Relationship Id="rId8" Type="http://schemas.openxmlformats.org/officeDocument/2006/relationships/ctrlProp" Target="../ctrlProps/ctrlProp189.xml"/><Relationship Id="rId13" Type="http://schemas.openxmlformats.org/officeDocument/2006/relationships/ctrlProp" Target="../ctrlProps/ctrlProp194.xml"/><Relationship Id="rId18" Type="http://schemas.openxmlformats.org/officeDocument/2006/relationships/ctrlProp" Target="../ctrlProps/ctrlProp199.xml"/><Relationship Id="rId26" Type="http://schemas.openxmlformats.org/officeDocument/2006/relationships/ctrlProp" Target="../ctrlProps/ctrlProp207.xml"/><Relationship Id="rId3" Type="http://schemas.openxmlformats.org/officeDocument/2006/relationships/drawing" Target="../drawings/drawing15.xml"/><Relationship Id="rId21" Type="http://schemas.openxmlformats.org/officeDocument/2006/relationships/ctrlProp" Target="../ctrlProps/ctrlProp202.xml"/><Relationship Id="rId34" Type="http://schemas.openxmlformats.org/officeDocument/2006/relationships/ctrlProp" Target="../ctrlProps/ctrlProp215.xml"/><Relationship Id="rId7" Type="http://schemas.openxmlformats.org/officeDocument/2006/relationships/ctrlProp" Target="../ctrlProps/ctrlProp188.xml"/><Relationship Id="rId12" Type="http://schemas.openxmlformats.org/officeDocument/2006/relationships/ctrlProp" Target="../ctrlProps/ctrlProp193.xml"/><Relationship Id="rId17" Type="http://schemas.openxmlformats.org/officeDocument/2006/relationships/ctrlProp" Target="../ctrlProps/ctrlProp198.xml"/><Relationship Id="rId25" Type="http://schemas.openxmlformats.org/officeDocument/2006/relationships/ctrlProp" Target="../ctrlProps/ctrlProp206.xml"/><Relationship Id="rId33" Type="http://schemas.openxmlformats.org/officeDocument/2006/relationships/ctrlProp" Target="../ctrlProps/ctrlProp214.xml"/><Relationship Id="rId2" Type="http://schemas.openxmlformats.org/officeDocument/2006/relationships/printerSettings" Target="../printerSettings/printerSettings66.bin"/><Relationship Id="rId16" Type="http://schemas.openxmlformats.org/officeDocument/2006/relationships/ctrlProp" Target="../ctrlProps/ctrlProp197.xml"/><Relationship Id="rId20" Type="http://schemas.openxmlformats.org/officeDocument/2006/relationships/ctrlProp" Target="../ctrlProps/ctrlProp201.xml"/><Relationship Id="rId29" Type="http://schemas.openxmlformats.org/officeDocument/2006/relationships/ctrlProp" Target="../ctrlProps/ctrlProp210.xml"/><Relationship Id="rId1" Type="http://schemas.openxmlformats.org/officeDocument/2006/relationships/printerSettings" Target="../printerSettings/printerSettings65.bin"/><Relationship Id="rId6" Type="http://schemas.openxmlformats.org/officeDocument/2006/relationships/ctrlProp" Target="../ctrlProps/ctrlProp187.xml"/><Relationship Id="rId11" Type="http://schemas.openxmlformats.org/officeDocument/2006/relationships/ctrlProp" Target="../ctrlProps/ctrlProp192.xml"/><Relationship Id="rId24" Type="http://schemas.openxmlformats.org/officeDocument/2006/relationships/ctrlProp" Target="../ctrlProps/ctrlProp205.xml"/><Relationship Id="rId32" Type="http://schemas.openxmlformats.org/officeDocument/2006/relationships/ctrlProp" Target="../ctrlProps/ctrlProp213.xml"/><Relationship Id="rId5" Type="http://schemas.openxmlformats.org/officeDocument/2006/relationships/ctrlProp" Target="../ctrlProps/ctrlProp186.xml"/><Relationship Id="rId15" Type="http://schemas.openxmlformats.org/officeDocument/2006/relationships/ctrlProp" Target="../ctrlProps/ctrlProp196.xml"/><Relationship Id="rId23" Type="http://schemas.openxmlformats.org/officeDocument/2006/relationships/ctrlProp" Target="../ctrlProps/ctrlProp204.xml"/><Relationship Id="rId28" Type="http://schemas.openxmlformats.org/officeDocument/2006/relationships/ctrlProp" Target="../ctrlProps/ctrlProp209.xml"/><Relationship Id="rId10" Type="http://schemas.openxmlformats.org/officeDocument/2006/relationships/ctrlProp" Target="../ctrlProps/ctrlProp191.xml"/><Relationship Id="rId19" Type="http://schemas.openxmlformats.org/officeDocument/2006/relationships/ctrlProp" Target="../ctrlProps/ctrlProp200.xml"/><Relationship Id="rId31" Type="http://schemas.openxmlformats.org/officeDocument/2006/relationships/ctrlProp" Target="../ctrlProps/ctrlProp212.xml"/><Relationship Id="rId4" Type="http://schemas.openxmlformats.org/officeDocument/2006/relationships/vmlDrawing" Target="../drawings/vmlDrawing11.vml"/><Relationship Id="rId9" Type="http://schemas.openxmlformats.org/officeDocument/2006/relationships/ctrlProp" Target="../ctrlProps/ctrlProp190.xml"/><Relationship Id="rId14" Type="http://schemas.openxmlformats.org/officeDocument/2006/relationships/ctrlProp" Target="../ctrlProps/ctrlProp195.xml"/><Relationship Id="rId22" Type="http://schemas.openxmlformats.org/officeDocument/2006/relationships/ctrlProp" Target="../ctrlProps/ctrlProp203.xml"/><Relationship Id="rId27" Type="http://schemas.openxmlformats.org/officeDocument/2006/relationships/ctrlProp" Target="../ctrlProps/ctrlProp208.xml"/><Relationship Id="rId30" Type="http://schemas.openxmlformats.org/officeDocument/2006/relationships/ctrlProp" Target="../ctrlProps/ctrlProp211.xml"/><Relationship Id="rId35" Type="http://schemas.openxmlformats.org/officeDocument/2006/relationships/ctrlProp" Target="../ctrlProps/ctrlProp216.xm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35.xml.rels><?xml version="1.0" encoding="UTF-8" standalone="yes"?>
<Relationships xmlns="http://schemas.openxmlformats.org/package/2006/relationships"><Relationship Id="rId8" Type="http://schemas.openxmlformats.org/officeDocument/2006/relationships/ctrlProp" Target="../ctrlProps/ctrlProp220.xml"/><Relationship Id="rId13" Type="http://schemas.openxmlformats.org/officeDocument/2006/relationships/ctrlProp" Target="../ctrlProps/ctrlProp225.xml"/><Relationship Id="rId3" Type="http://schemas.openxmlformats.org/officeDocument/2006/relationships/drawing" Target="../drawings/drawing16.xml"/><Relationship Id="rId7" Type="http://schemas.openxmlformats.org/officeDocument/2006/relationships/ctrlProp" Target="../ctrlProps/ctrlProp219.xml"/><Relationship Id="rId12" Type="http://schemas.openxmlformats.org/officeDocument/2006/relationships/ctrlProp" Target="../ctrlProps/ctrlProp224.xml"/><Relationship Id="rId2" Type="http://schemas.openxmlformats.org/officeDocument/2006/relationships/printerSettings" Target="../printerSettings/printerSettings70.bin"/><Relationship Id="rId16" Type="http://schemas.openxmlformats.org/officeDocument/2006/relationships/ctrlProp" Target="../ctrlProps/ctrlProp228.xml"/><Relationship Id="rId1" Type="http://schemas.openxmlformats.org/officeDocument/2006/relationships/printerSettings" Target="../printerSettings/printerSettings69.bin"/><Relationship Id="rId6" Type="http://schemas.openxmlformats.org/officeDocument/2006/relationships/ctrlProp" Target="../ctrlProps/ctrlProp218.xml"/><Relationship Id="rId11" Type="http://schemas.openxmlformats.org/officeDocument/2006/relationships/ctrlProp" Target="../ctrlProps/ctrlProp223.xml"/><Relationship Id="rId5" Type="http://schemas.openxmlformats.org/officeDocument/2006/relationships/ctrlProp" Target="../ctrlProps/ctrlProp217.xml"/><Relationship Id="rId15" Type="http://schemas.openxmlformats.org/officeDocument/2006/relationships/ctrlProp" Target="../ctrlProps/ctrlProp227.xml"/><Relationship Id="rId10" Type="http://schemas.openxmlformats.org/officeDocument/2006/relationships/ctrlProp" Target="../ctrlProps/ctrlProp222.xml"/><Relationship Id="rId4" Type="http://schemas.openxmlformats.org/officeDocument/2006/relationships/vmlDrawing" Target="../drawings/vmlDrawing12.vml"/><Relationship Id="rId9" Type="http://schemas.openxmlformats.org/officeDocument/2006/relationships/ctrlProp" Target="../ctrlProps/ctrlProp221.xml"/><Relationship Id="rId14" Type="http://schemas.openxmlformats.org/officeDocument/2006/relationships/ctrlProp" Target="../ctrlProps/ctrlProp226.xm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6" Type="http://schemas.openxmlformats.org/officeDocument/2006/relationships/ctrlProp" Target="../ctrlProps/ctrlProp230.xml"/><Relationship Id="rId5" Type="http://schemas.openxmlformats.org/officeDocument/2006/relationships/ctrlProp" Target="../ctrlProps/ctrlProp229.xml"/><Relationship Id="rId4" Type="http://schemas.openxmlformats.org/officeDocument/2006/relationships/vmlDrawing" Target="../drawings/vmlDrawing13.v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234.xml"/><Relationship Id="rId13" Type="http://schemas.openxmlformats.org/officeDocument/2006/relationships/ctrlProp" Target="../ctrlProps/ctrlProp239.xml"/><Relationship Id="rId3" Type="http://schemas.openxmlformats.org/officeDocument/2006/relationships/drawing" Target="../drawings/drawing18.xml"/><Relationship Id="rId7" Type="http://schemas.openxmlformats.org/officeDocument/2006/relationships/ctrlProp" Target="../ctrlProps/ctrlProp233.xml"/><Relationship Id="rId12" Type="http://schemas.openxmlformats.org/officeDocument/2006/relationships/ctrlProp" Target="../ctrlProps/ctrlProp238.xml"/><Relationship Id="rId2" Type="http://schemas.openxmlformats.org/officeDocument/2006/relationships/printerSettings" Target="../printerSettings/printerSettings76.bin"/><Relationship Id="rId16" Type="http://schemas.openxmlformats.org/officeDocument/2006/relationships/ctrlProp" Target="../ctrlProps/ctrlProp242.xml"/><Relationship Id="rId1" Type="http://schemas.openxmlformats.org/officeDocument/2006/relationships/printerSettings" Target="../printerSettings/printerSettings75.bin"/><Relationship Id="rId6" Type="http://schemas.openxmlformats.org/officeDocument/2006/relationships/ctrlProp" Target="../ctrlProps/ctrlProp232.xml"/><Relationship Id="rId11" Type="http://schemas.openxmlformats.org/officeDocument/2006/relationships/ctrlProp" Target="../ctrlProps/ctrlProp237.xml"/><Relationship Id="rId5" Type="http://schemas.openxmlformats.org/officeDocument/2006/relationships/ctrlProp" Target="../ctrlProps/ctrlProp231.xml"/><Relationship Id="rId15" Type="http://schemas.openxmlformats.org/officeDocument/2006/relationships/ctrlProp" Target="../ctrlProps/ctrlProp241.xml"/><Relationship Id="rId10" Type="http://schemas.openxmlformats.org/officeDocument/2006/relationships/ctrlProp" Target="../ctrlProps/ctrlProp236.xml"/><Relationship Id="rId4" Type="http://schemas.openxmlformats.org/officeDocument/2006/relationships/vmlDrawing" Target="../drawings/vmlDrawing14.vml"/><Relationship Id="rId9" Type="http://schemas.openxmlformats.org/officeDocument/2006/relationships/ctrlProp" Target="../ctrlProps/ctrlProp235.xml"/><Relationship Id="rId14" Type="http://schemas.openxmlformats.org/officeDocument/2006/relationships/ctrlProp" Target="../ctrlProps/ctrlProp240.xml"/></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246.xml"/><Relationship Id="rId13" Type="http://schemas.openxmlformats.org/officeDocument/2006/relationships/ctrlProp" Target="../ctrlProps/ctrlProp251.xml"/><Relationship Id="rId18" Type="http://schemas.openxmlformats.org/officeDocument/2006/relationships/ctrlProp" Target="../ctrlProps/ctrlProp256.xml"/><Relationship Id="rId3" Type="http://schemas.openxmlformats.org/officeDocument/2006/relationships/drawing" Target="../drawings/drawing19.xml"/><Relationship Id="rId7" Type="http://schemas.openxmlformats.org/officeDocument/2006/relationships/ctrlProp" Target="../ctrlProps/ctrlProp245.xml"/><Relationship Id="rId12" Type="http://schemas.openxmlformats.org/officeDocument/2006/relationships/ctrlProp" Target="../ctrlProps/ctrlProp250.xml"/><Relationship Id="rId17" Type="http://schemas.openxmlformats.org/officeDocument/2006/relationships/ctrlProp" Target="../ctrlProps/ctrlProp255.xml"/><Relationship Id="rId2" Type="http://schemas.openxmlformats.org/officeDocument/2006/relationships/printerSettings" Target="../printerSettings/printerSettings78.bin"/><Relationship Id="rId16" Type="http://schemas.openxmlformats.org/officeDocument/2006/relationships/ctrlProp" Target="../ctrlProps/ctrlProp254.xml"/><Relationship Id="rId20" Type="http://schemas.openxmlformats.org/officeDocument/2006/relationships/ctrlProp" Target="../ctrlProps/ctrlProp258.xml"/><Relationship Id="rId1" Type="http://schemas.openxmlformats.org/officeDocument/2006/relationships/printerSettings" Target="../printerSettings/printerSettings77.bin"/><Relationship Id="rId6" Type="http://schemas.openxmlformats.org/officeDocument/2006/relationships/ctrlProp" Target="../ctrlProps/ctrlProp244.xml"/><Relationship Id="rId11" Type="http://schemas.openxmlformats.org/officeDocument/2006/relationships/ctrlProp" Target="../ctrlProps/ctrlProp249.xml"/><Relationship Id="rId5" Type="http://schemas.openxmlformats.org/officeDocument/2006/relationships/ctrlProp" Target="../ctrlProps/ctrlProp243.xml"/><Relationship Id="rId15" Type="http://schemas.openxmlformats.org/officeDocument/2006/relationships/ctrlProp" Target="../ctrlProps/ctrlProp253.xml"/><Relationship Id="rId10" Type="http://schemas.openxmlformats.org/officeDocument/2006/relationships/ctrlProp" Target="../ctrlProps/ctrlProp248.xml"/><Relationship Id="rId19" Type="http://schemas.openxmlformats.org/officeDocument/2006/relationships/ctrlProp" Target="../ctrlProps/ctrlProp257.xml"/><Relationship Id="rId4" Type="http://schemas.openxmlformats.org/officeDocument/2006/relationships/vmlDrawing" Target="../drawings/vmlDrawing15.vml"/><Relationship Id="rId9" Type="http://schemas.openxmlformats.org/officeDocument/2006/relationships/ctrlProp" Target="../ctrlProps/ctrlProp247.xml"/><Relationship Id="rId14" Type="http://schemas.openxmlformats.org/officeDocument/2006/relationships/ctrlProp" Target="../ctrlProps/ctrlProp252.xml"/></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262.xml"/><Relationship Id="rId13" Type="http://schemas.openxmlformats.org/officeDocument/2006/relationships/ctrlProp" Target="../ctrlProps/ctrlProp267.xml"/><Relationship Id="rId18" Type="http://schemas.openxmlformats.org/officeDocument/2006/relationships/ctrlProp" Target="../ctrlProps/ctrlProp272.xml"/><Relationship Id="rId26" Type="http://schemas.openxmlformats.org/officeDocument/2006/relationships/ctrlProp" Target="../ctrlProps/ctrlProp280.xml"/><Relationship Id="rId39" Type="http://schemas.openxmlformats.org/officeDocument/2006/relationships/ctrlProp" Target="../ctrlProps/ctrlProp293.xml"/><Relationship Id="rId3" Type="http://schemas.openxmlformats.org/officeDocument/2006/relationships/drawing" Target="../drawings/drawing20.xml"/><Relationship Id="rId21" Type="http://schemas.openxmlformats.org/officeDocument/2006/relationships/ctrlProp" Target="../ctrlProps/ctrlProp275.xml"/><Relationship Id="rId34" Type="http://schemas.openxmlformats.org/officeDocument/2006/relationships/ctrlProp" Target="../ctrlProps/ctrlProp288.xml"/><Relationship Id="rId42" Type="http://schemas.openxmlformats.org/officeDocument/2006/relationships/ctrlProp" Target="../ctrlProps/ctrlProp296.xml"/><Relationship Id="rId7" Type="http://schemas.openxmlformats.org/officeDocument/2006/relationships/ctrlProp" Target="../ctrlProps/ctrlProp261.xml"/><Relationship Id="rId12" Type="http://schemas.openxmlformats.org/officeDocument/2006/relationships/ctrlProp" Target="../ctrlProps/ctrlProp266.xml"/><Relationship Id="rId17" Type="http://schemas.openxmlformats.org/officeDocument/2006/relationships/ctrlProp" Target="../ctrlProps/ctrlProp271.xml"/><Relationship Id="rId25" Type="http://schemas.openxmlformats.org/officeDocument/2006/relationships/ctrlProp" Target="../ctrlProps/ctrlProp279.xml"/><Relationship Id="rId33" Type="http://schemas.openxmlformats.org/officeDocument/2006/relationships/ctrlProp" Target="../ctrlProps/ctrlProp287.xml"/><Relationship Id="rId38" Type="http://schemas.openxmlformats.org/officeDocument/2006/relationships/ctrlProp" Target="../ctrlProps/ctrlProp292.xml"/><Relationship Id="rId2" Type="http://schemas.openxmlformats.org/officeDocument/2006/relationships/printerSettings" Target="../printerSettings/printerSettings80.bin"/><Relationship Id="rId16" Type="http://schemas.openxmlformats.org/officeDocument/2006/relationships/ctrlProp" Target="../ctrlProps/ctrlProp270.xml"/><Relationship Id="rId20" Type="http://schemas.openxmlformats.org/officeDocument/2006/relationships/ctrlProp" Target="../ctrlProps/ctrlProp274.xml"/><Relationship Id="rId29" Type="http://schemas.openxmlformats.org/officeDocument/2006/relationships/ctrlProp" Target="../ctrlProps/ctrlProp283.xml"/><Relationship Id="rId41" Type="http://schemas.openxmlformats.org/officeDocument/2006/relationships/ctrlProp" Target="../ctrlProps/ctrlProp295.xml"/><Relationship Id="rId1" Type="http://schemas.openxmlformats.org/officeDocument/2006/relationships/printerSettings" Target="../printerSettings/printerSettings79.bin"/><Relationship Id="rId6" Type="http://schemas.openxmlformats.org/officeDocument/2006/relationships/ctrlProp" Target="../ctrlProps/ctrlProp260.xml"/><Relationship Id="rId11" Type="http://schemas.openxmlformats.org/officeDocument/2006/relationships/ctrlProp" Target="../ctrlProps/ctrlProp265.xml"/><Relationship Id="rId24" Type="http://schemas.openxmlformats.org/officeDocument/2006/relationships/ctrlProp" Target="../ctrlProps/ctrlProp278.xml"/><Relationship Id="rId32" Type="http://schemas.openxmlformats.org/officeDocument/2006/relationships/ctrlProp" Target="../ctrlProps/ctrlProp286.xml"/><Relationship Id="rId37" Type="http://schemas.openxmlformats.org/officeDocument/2006/relationships/ctrlProp" Target="../ctrlProps/ctrlProp291.xml"/><Relationship Id="rId40" Type="http://schemas.openxmlformats.org/officeDocument/2006/relationships/ctrlProp" Target="../ctrlProps/ctrlProp294.xml"/><Relationship Id="rId5" Type="http://schemas.openxmlformats.org/officeDocument/2006/relationships/ctrlProp" Target="../ctrlProps/ctrlProp259.xml"/><Relationship Id="rId15" Type="http://schemas.openxmlformats.org/officeDocument/2006/relationships/ctrlProp" Target="../ctrlProps/ctrlProp269.xml"/><Relationship Id="rId23" Type="http://schemas.openxmlformats.org/officeDocument/2006/relationships/ctrlProp" Target="../ctrlProps/ctrlProp277.xml"/><Relationship Id="rId28" Type="http://schemas.openxmlformats.org/officeDocument/2006/relationships/ctrlProp" Target="../ctrlProps/ctrlProp282.xml"/><Relationship Id="rId36" Type="http://schemas.openxmlformats.org/officeDocument/2006/relationships/ctrlProp" Target="../ctrlProps/ctrlProp290.xml"/><Relationship Id="rId10" Type="http://schemas.openxmlformats.org/officeDocument/2006/relationships/ctrlProp" Target="../ctrlProps/ctrlProp264.xml"/><Relationship Id="rId19" Type="http://schemas.openxmlformats.org/officeDocument/2006/relationships/ctrlProp" Target="../ctrlProps/ctrlProp273.xml"/><Relationship Id="rId31" Type="http://schemas.openxmlformats.org/officeDocument/2006/relationships/ctrlProp" Target="../ctrlProps/ctrlProp285.xml"/><Relationship Id="rId44" Type="http://schemas.openxmlformats.org/officeDocument/2006/relationships/ctrlProp" Target="../ctrlProps/ctrlProp298.xml"/><Relationship Id="rId4" Type="http://schemas.openxmlformats.org/officeDocument/2006/relationships/vmlDrawing" Target="../drawings/vmlDrawing16.vml"/><Relationship Id="rId9" Type="http://schemas.openxmlformats.org/officeDocument/2006/relationships/ctrlProp" Target="../ctrlProps/ctrlProp263.xml"/><Relationship Id="rId14" Type="http://schemas.openxmlformats.org/officeDocument/2006/relationships/ctrlProp" Target="../ctrlProps/ctrlProp268.xml"/><Relationship Id="rId22" Type="http://schemas.openxmlformats.org/officeDocument/2006/relationships/ctrlProp" Target="../ctrlProps/ctrlProp276.xml"/><Relationship Id="rId27" Type="http://schemas.openxmlformats.org/officeDocument/2006/relationships/ctrlProp" Target="../ctrlProps/ctrlProp281.xml"/><Relationship Id="rId30" Type="http://schemas.openxmlformats.org/officeDocument/2006/relationships/ctrlProp" Target="../ctrlProps/ctrlProp284.xml"/><Relationship Id="rId35" Type="http://schemas.openxmlformats.org/officeDocument/2006/relationships/ctrlProp" Target="../ctrlProps/ctrlProp289.xml"/><Relationship Id="rId43" Type="http://schemas.openxmlformats.org/officeDocument/2006/relationships/ctrlProp" Target="../ctrlProps/ctrlProp297.xml"/></Relationships>
</file>

<file path=xl/worksheets/_rels/sheet41.xml.rels><?xml version="1.0" encoding="UTF-8" standalone="yes"?>
<Relationships xmlns="http://schemas.openxmlformats.org/package/2006/relationships"><Relationship Id="rId8" Type="http://schemas.openxmlformats.org/officeDocument/2006/relationships/ctrlProp" Target="../ctrlProps/ctrlProp302.xml"/><Relationship Id="rId13" Type="http://schemas.openxmlformats.org/officeDocument/2006/relationships/ctrlProp" Target="../ctrlProps/ctrlProp307.xml"/><Relationship Id="rId18" Type="http://schemas.openxmlformats.org/officeDocument/2006/relationships/ctrlProp" Target="../ctrlProps/ctrlProp312.xml"/><Relationship Id="rId26" Type="http://schemas.openxmlformats.org/officeDocument/2006/relationships/ctrlProp" Target="../ctrlProps/ctrlProp320.xml"/><Relationship Id="rId3" Type="http://schemas.openxmlformats.org/officeDocument/2006/relationships/drawing" Target="../drawings/drawing21.xml"/><Relationship Id="rId21" Type="http://schemas.openxmlformats.org/officeDocument/2006/relationships/ctrlProp" Target="../ctrlProps/ctrlProp315.xml"/><Relationship Id="rId34" Type="http://schemas.openxmlformats.org/officeDocument/2006/relationships/ctrlProp" Target="../ctrlProps/ctrlProp328.xml"/><Relationship Id="rId7" Type="http://schemas.openxmlformats.org/officeDocument/2006/relationships/ctrlProp" Target="../ctrlProps/ctrlProp301.xml"/><Relationship Id="rId12" Type="http://schemas.openxmlformats.org/officeDocument/2006/relationships/ctrlProp" Target="../ctrlProps/ctrlProp306.xml"/><Relationship Id="rId17" Type="http://schemas.openxmlformats.org/officeDocument/2006/relationships/ctrlProp" Target="../ctrlProps/ctrlProp311.xml"/><Relationship Id="rId25" Type="http://schemas.openxmlformats.org/officeDocument/2006/relationships/ctrlProp" Target="../ctrlProps/ctrlProp319.xml"/><Relationship Id="rId33" Type="http://schemas.openxmlformats.org/officeDocument/2006/relationships/ctrlProp" Target="../ctrlProps/ctrlProp327.xml"/><Relationship Id="rId2" Type="http://schemas.openxmlformats.org/officeDocument/2006/relationships/printerSettings" Target="../printerSettings/printerSettings82.bin"/><Relationship Id="rId16" Type="http://schemas.openxmlformats.org/officeDocument/2006/relationships/ctrlProp" Target="../ctrlProps/ctrlProp310.xml"/><Relationship Id="rId20" Type="http://schemas.openxmlformats.org/officeDocument/2006/relationships/ctrlProp" Target="../ctrlProps/ctrlProp314.xml"/><Relationship Id="rId29" Type="http://schemas.openxmlformats.org/officeDocument/2006/relationships/ctrlProp" Target="../ctrlProps/ctrlProp323.xml"/><Relationship Id="rId1" Type="http://schemas.openxmlformats.org/officeDocument/2006/relationships/printerSettings" Target="../printerSettings/printerSettings81.bin"/><Relationship Id="rId6" Type="http://schemas.openxmlformats.org/officeDocument/2006/relationships/ctrlProp" Target="../ctrlProps/ctrlProp300.xml"/><Relationship Id="rId11" Type="http://schemas.openxmlformats.org/officeDocument/2006/relationships/ctrlProp" Target="../ctrlProps/ctrlProp305.xml"/><Relationship Id="rId24" Type="http://schemas.openxmlformats.org/officeDocument/2006/relationships/ctrlProp" Target="../ctrlProps/ctrlProp318.xml"/><Relationship Id="rId32" Type="http://schemas.openxmlformats.org/officeDocument/2006/relationships/ctrlProp" Target="../ctrlProps/ctrlProp326.xml"/><Relationship Id="rId37" Type="http://schemas.openxmlformats.org/officeDocument/2006/relationships/ctrlProp" Target="../ctrlProps/ctrlProp331.xml"/><Relationship Id="rId5" Type="http://schemas.openxmlformats.org/officeDocument/2006/relationships/ctrlProp" Target="../ctrlProps/ctrlProp299.xml"/><Relationship Id="rId15" Type="http://schemas.openxmlformats.org/officeDocument/2006/relationships/ctrlProp" Target="../ctrlProps/ctrlProp309.xml"/><Relationship Id="rId23" Type="http://schemas.openxmlformats.org/officeDocument/2006/relationships/ctrlProp" Target="../ctrlProps/ctrlProp317.xml"/><Relationship Id="rId28" Type="http://schemas.openxmlformats.org/officeDocument/2006/relationships/ctrlProp" Target="../ctrlProps/ctrlProp322.xml"/><Relationship Id="rId36" Type="http://schemas.openxmlformats.org/officeDocument/2006/relationships/ctrlProp" Target="../ctrlProps/ctrlProp330.xml"/><Relationship Id="rId10" Type="http://schemas.openxmlformats.org/officeDocument/2006/relationships/ctrlProp" Target="../ctrlProps/ctrlProp304.xml"/><Relationship Id="rId19" Type="http://schemas.openxmlformats.org/officeDocument/2006/relationships/ctrlProp" Target="../ctrlProps/ctrlProp313.xml"/><Relationship Id="rId31" Type="http://schemas.openxmlformats.org/officeDocument/2006/relationships/ctrlProp" Target="../ctrlProps/ctrlProp325.xml"/><Relationship Id="rId4" Type="http://schemas.openxmlformats.org/officeDocument/2006/relationships/vmlDrawing" Target="../drawings/vmlDrawing17.vml"/><Relationship Id="rId9" Type="http://schemas.openxmlformats.org/officeDocument/2006/relationships/ctrlProp" Target="../ctrlProps/ctrlProp303.xml"/><Relationship Id="rId14" Type="http://schemas.openxmlformats.org/officeDocument/2006/relationships/ctrlProp" Target="../ctrlProps/ctrlProp308.xml"/><Relationship Id="rId22" Type="http://schemas.openxmlformats.org/officeDocument/2006/relationships/ctrlProp" Target="../ctrlProps/ctrlProp316.xml"/><Relationship Id="rId27" Type="http://schemas.openxmlformats.org/officeDocument/2006/relationships/ctrlProp" Target="../ctrlProps/ctrlProp321.xml"/><Relationship Id="rId30" Type="http://schemas.openxmlformats.org/officeDocument/2006/relationships/ctrlProp" Target="../ctrlProps/ctrlProp324.xml"/><Relationship Id="rId35" Type="http://schemas.openxmlformats.org/officeDocument/2006/relationships/ctrlProp" Target="../ctrlProps/ctrlProp329.xml"/></Relationships>
</file>

<file path=xl/worksheets/_rels/sheet42.xml.rels><?xml version="1.0" encoding="UTF-8" standalone="yes"?>
<Relationships xmlns="http://schemas.openxmlformats.org/package/2006/relationships"><Relationship Id="rId8" Type="http://schemas.openxmlformats.org/officeDocument/2006/relationships/ctrlProp" Target="../ctrlProps/ctrlProp335.xml"/><Relationship Id="rId3" Type="http://schemas.openxmlformats.org/officeDocument/2006/relationships/drawing" Target="../drawings/drawing22.xml"/><Relationship Id="rId7" Type="http://schemas.openxmlformats.org/officeDocument/2006/relationships/ctrlProp" Target="../ctrlProps/ctrlProp334.xml"/><Relationship Id="rId12" Type="http://schemas.openxmlformats.org/officeDocument/2006/relationships/ctrlProp" Target="../ctrlProps/ctrlProp339.xml"/><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6" Type="http://schemas.openxmlformats.org/officeDocument/2006/relationships/ctrlProp" Target="../ctrlProps/ctrlProp333.xml"/><Relationship Id="rId11" Type="http://schemas.openxmlformats.org/officeDocument/2006/relationships/ctrlProp" Target="../ctrlProps/ctrlProp338.xml"/><Relationship Id="rId5" Type="http://schemas.openxmlformats.org/officeDocument/2006/relationships/ctrlProp" Target="../ctrlProps/ctrlProp332.xml"/><Relationship Id="rId10" Type="http://schemas.openxmlformats.org/officeDocument/2006/relationships/ctrlProp" Target="../ctrlProps/ctrlProp337.xml"/><Relationship Id="rId4" Type="http://schemas.openxmlformats.org/officeDocument/2006/relationships/vmlDrawing" Target="../drawings/vmlDrawing18.vml"/><Relationship Id="rId9" Type="http://schemas.openxmlformats.org/officeDocument/2006/relationships/ctrlProp" Target="../ctrlProps/ctrlProp336.xml"/></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44.xml.rels><?xml version="1.0" encoding="UTF-8" standalone="yes"?>
<Relationships xmlns="http://schemas.openxmlformats.org/package/2006/relationships"><Relationship Id="rId13" Type="http://schemas.openxmlformats.org/officeDocument/2006/relationships/ctrlProp" Target="../ctrlProps/ctrlProp348.xml"/><Relationship Id="rId18" Type="http://schemas.openxmlformats.org/officeDocument/2006/relationships/ctrlProp" Target="../ctrlProps/ctrlProp353.xml"/><Relationship Id="rId26" Type="http://schemas.openxmlformats.org/officeDocument/2006/relationships/ctrlProp" Target="../ctrlProps/ctrlProp361.xml"/><Relationship Id="rId39" Type="http://schemas.openxmlformats.org/officeDocument/2006/relationships/ctrlProp" Target="../ctrlProps/ctrlProp374.xml"/><Relationship Id="rId21" Type="http://schemas.openxmlformats.org/officeDocument/2006/relationships/ctrlProp" Target="../ctrlProps/ctrlProp356.xml"/><Relationship Id="rId34" Type="http://schemas.openxmlformats.org/officeDocument/2006/relationships/ctrlProp" Target="../ctrlProps/ctrlProp369.xml"/><Relationship Id="rId42" Type="http://schemas.openxmlformats.org/officeDocument/2006/relationships/ctrlProp" Target="../ctrlProps/ctrlProp377.xml"/><Relationship Id="rId47" Type="http://schemas.openxmlformats.org/officeDocument/2006/relationships/ctrlProp" Target="../ctrlProps/ctrlProp382.xml"/><Relationship Id="rId50" Type="http://schemas.openxmlformats.org/officeDocument/2006/relationships/ctrlProp" Target="../ctrlProps/ctrlProp385.xml"/><Relationship Id="rId55" Type="http://schemas.openxmlformats.org/officeDocument/2006/relationships/ctrlProp" Target="../ctrlProps/ctrlProp390.xml"/><Relationship Id="rId63" Type="http://schemas.openxmlformats.org/officeDocument/2006/relationships/ctrlProp" Target="../ctrlProps/ctrlProp398.xml"/><Relationship Id="rId68" Type="http://schemas.openxmlformats.org/officeDocument/2006/relationships/ctrlProp" Target="../ctrlProps/ctrlProp403.xml"/><Relationship Id="rId76" Type="http://schemas.openxmlformats.org/officeDocument/2006/relationships/ctrlProp" Target="../ctrlProps/ctrlProp411.xml"/><Relationship Id="rId84" Type="http://schemas.openxmlformats.org/officeDocument/2006/relationships/ctrlProp" Target="../ctrlProps/ctrlProp419.xml"/><Relationship Id="rId89" Type="http://schemas.openxmlformats.org/officeDocument/2006/relationships/ctrlProp" Target="../ctrlProps/ctrlProp424.xml"/><Relationship Id="rId7" Type="http://schemas.openxmlformats.org/officeDocument/2006/relationships/ctrlProp" Target="../ctrlProps/ctrlProp342.xml"/><Relationship Id="rId71" Type="http://schemas.openxmlformats.org/officeDocument/2006/relationships/ctrlProp" Target="../ctrlProps/ctrlProp406.xml"/><Relationship Id="rId2" Type="http://schemas.openxmlformats.org/officeDocument/2006/relationships/printerSettings" Target="../printerSettings/printerSettings88.bin"/><Relationship Id="rId16" Type="http://schemas.openxmlformats.org/officeDocument/2006/relationships/ctrlProp" Target="../ctrlProps/ctrlProp351.xml"/><Relationship Id="rId29" Type="http://schemas.openxmlformats.org/officeDocument/2006/relationships/ctrlProp" Target="../ctrlProps/ctrlProp364.xml"/><Relationship Id="rId11" Type="http://schemas.openxmlformats.org/officeDocument/2006/relationships/ctrlProp" Target="../ctrlProps/ctrlProp346.xml"/><Relationship Id="rId24" Type="http://schemas.openxmlformats.org/officeDocument/2006/relationships/ctrlProp" Target="../ctrlProps/ctrlProp359.xml"/><Relationship Id="rId32" Type="http://schemas.openxmlformats.org/officeDocument/2006/relationships/ctrlProp" Target="../ctrlProps/ctrlProp367.xml"/><Relationship Id="rId37" Type="http://schemas.openxmlformats.org/officeDocument/2006/relationships/ctrlProp" Target="../ctrlProps/ctrlProp372.xml"/><Relationship Id="rId40" Type="http://schemas.openxmlformats.org/officeDocument/2006/relationships/ctrlProp" Target="../ctrlProps/ctrlProp375.xml"/><Relationship Id="rId45" Type="http://schemas.openxmlformats.org/officeDocument/2006/relationships/ctrlProp" Target="../ctrlProps/ctrlProp380.xml"/><Relationship Id="rId53" Type="http://schemas.openxmlformats.org/officeDocument/2006/relationships/ctrlProp" Target="../ctrlProps/ctrlProp388.xml"/><Relationship Id="rId58" Type="http://schemas.openxmlformats.org/officeDocument/2006/relationships/ctrlProp" Target="../ctrlProps/ctrlProp393.xml"/><Relationship Id="rId66" Type="http://schemas.openxmlformats.org/officeDocument/2006/relationships/ctrlProp" Target="../ctrlProps/ctrlProp401.xml"/><Relationship Id="rId74" Type="http://schemas.openxmlformats.org/officeDocument/2006/relationships/ctrlProp" Target="../ctrlProps/ctrlProp409.xml"/><Relationship Id="rId79" Type="http://schemas.openxmlformats.org/officeDocument/2006/relationships/ctrlProp" Target="../ctrlProps/ctrlProp414.xml"/><Relationship Id="rId87" Type="http://schemas.openxmlformats.org/officeDocument/2006/relationships/ctrlProp" Target="../ctrlProps/ctrlProp422.xml"/><Relationship Id="rId5" Type="http://schemas.openxmlformats.org/officeDocument/2006/relationships/ctrlProp" Target="../ctrlProps/ctrlProp340.xml"/><Relationship Id="rId61" Type="http://schemas.openxmlformats.org/officeDocument/2006/relationships/ctrlProp" Target="../ctrlProps/ctrlProp396.xml"/><Relationship Id="rId82" Type="http://schemas.openxmlformats.org/officeDocument/2006/relationships/ctrlProp" Target="../ctrlProps/ctrlProp417.xml"/><Relationship Id="rId90" Type="http://schemas.openxmlformats.org/officeDocument/2006/relationships/ctrlProp" Target="../ctrlProps/ctrlProp425.xml"/><Relationship Id="rId19" Type="http://schemas.openxmlformats.org/officeDocument/2006/relationships/ctrlProp" Target="../ctrlProps/ctrlProp354.xml"/><Relationship Id="rId14" Type="http://schemas.openxmlformats.org/officeDocument/2006/relationships/ctrlProp" Target="../ctrlProps/ctrlProp349.xml"/><Relationship Id="rId22" Type="http://schemas.openxmlformats.org/officeDocument/2006/relationships/ctrlProp" Target="../ctrlProps/ctrlProp357.xml"/><Relationship Id="rId27" Type="http://schemas.openxmlformats.org/officeDocument/2006/relationships/ctrlProp" Target="../ctrlProps/ctrlProp362.xml"/><Relationship Id="rId30" Type="http://schemas.openxmlformats.org/officeDocument/2006/relationships/ctrlProp" Target="../ctrlProps/ctrlProp365.xml"/><Relationship Id="rId35" Type="http://schemas.openxmlformats.org/officeDocument/2006/relationships/ctrlProp" Target="../ctrlProps/ctrlProp370.xml"/><Relationship Id="rId43" Type="http://schemas.openxmlformats.org/officeDocument/2006/relationships/ctrlProp" Target="../ctrlProps/ctrlProp378.xml"/><Relationship Id="rId48" Type="http://schemas.openxmlformats.org/officeDocument/2006/relationships/ctrlProp" Target="../ctrlProps/ctrlProp383.xml"/><Relationship Id="rId56" Type="http://schemas.openxmlformats.org/officeDocument/2006/relationships/ctrlProp" Target="../ctrlProps/ctrlProp391.xml"/><Relationship Id="rId64" Type="http://schemas.openxmlformats.org/officeDocument/2006/relationships/ctrlProp" Target="../ctrlProps/ctrlProp399.xml"/><Relationship Id="rId69" Type="http://schemas.openxmlformats.org/officeDocument/2006/relationships/ctrlProp" Target="../ctrlProps/ctrlProp404.xml"/><Relationship Id="rId77" Type="http://schemas.openxmlformats.org/officeDocument/2006/relationships/ctrlProp" Target="../ctrlProps/ctrlProp412.xml"/><Relationship Id="rId8" Type="http://schemas.openxmlformats.org/officeDocument/2006/relationships/ctrlProp" Target="../ctrlProps/ctrlProp343.xml"/><Relationship Id="rId51" Type="http://schemas.openxmlformats.org/officeDocument/2006/relationships/ctrlProp" Target="../ctrlProps/ctrlProp386.xml"/><Relationship Id="rId72" Type="http://schemas.openxmlformats.org/officeDocument/2006/relationships/ctrlProp" Target="../ctrlProps/ctrlProp407.xml"/><Relationship Id="rId80" Type="http://schemas.openxmlformats.org/officeDocument/2006/relationships/ctrlProp" Target="../ctrlProps/ctrlProp415.xml"/><Relationship Id="rId85" Type="http://schemas.openxmlformats.org/officeDocument/2006/relationships/ctrlProp" Target="../ctrlProps/ctrlProp420.xml"/><Relationship Id="rId3" Type="http://schemas.openxmlformats.org/officeDocument/2006/relationships/drawing" Target="../drawings/drawing23.xml"/><Relationship Id="rId12" Type="http://schemas.openxmlformats.org/officeDocument/2006/relationships/ctrlProp" Target="../ctrlProps/ctrlProp347.xml"/><Relationship Id="rId17" Type="http://schemas.openxmlformats.org/officeDocument/2006/relationships/ctrlProp" Target="../ctrlProps/ctrlProp352.xml"/><Relationship Id="rId25" Type="http://schemas.openxmlformats.org/officeDocument/2006/relationships/ctrlProp" Target="../ctrlProps/ctrlProp360.xml"/><Relationship Id="rId33" Type="http://schemas.openxmlformats.org/officeDocument/2006/relationships/ctrlProp" Target="../ctrlProps/ctrlProp368.xml"/><Relationship Id="rId38" Type="http://schemas.openxmlformats.org/officeDocument/2006/relationships/ctrlProp" Target="../ctrlProps/ctrlProp373.xml"/><Relationship Id="rId46" Type="http://schemas.openxmlformats.org/officeDocument/2006/relationships/ctrlProp" Target="../ctrlProps/ctrlProp381.xml"/><Relationship Id="rId59" Type="http://schemas.openxmlformats.org/officeDocument/2006/relationships/ctrlProp" Target="../ctrlProps/ctrlProp394.xml"/><Relationship Id="rId67" Type="http://schemas.openxmlformats.org/officeDocument/2006/relationships/ctrlProp" Target="../ctrlProps/ctrlProp402.xml"/><Relationship Id="rId20" Type="http://schemas.openxmlformats.org/officeDocument/2006/relationships/ctrlProp" Target="../ctrlProps/ctrlProp355.xml"/><Relationship Id="rId41" Type="http://schemas.openxmlformats.org/officeDocument/2006/relationships/ctrlProp" Target="../ctrlProps/ctrlProp376.xml"/><Relationship Id="rId54" Type="http://schemas.openxmlformats.org/officeDocument/2006/relationships/ctrlProp" Target="../ctrlProps/ctrlProp389.xml"/><Relationship Id="rId62" Type="http://schemas.openxmlformats.org/officeDocument/2006/relationships/ctrlProp" Target="../ctrlProps/ctrlProp397.xml"/><Relationship Id="rId70" Type="http://schemas.openxmlformats.org/officeDocument/2006/relationships/ctrlProp" Target="../ctrlProps/ctrlProp405.xml"/><Relationship Id="rId75" Type="http://schemas.openxmlformats.org/officeDocument/2006/relationships/ctrlProp" Target="../ctrlProps/ctrlProp410.xml"/><Relationship Id="rId83" Type="http://schemas.openxmlformats.org/officeDocument/2006/relationships/ctrlProp" Target="../ctrlProps/ctrlProp418.xml"/><Relationship Id="rId88" Type="http://schemas.openxmlformats.org/officeDocument/2006/relationships/ctrlProp" Target="../ctrlProps/ctrlProp423.xml"/><Relationship Id="rId91" Type="http://schemas.openxmlformats.org/officeDocument/2006/relationships/ctrlProp" Target="../ctrlProps/ctrlProp426.xml"/><Relationship Id="rId1" Type="http://schemas.openxmlformats.org/officeDocument/2006/relationships/printerSettings" Target="../printerSettings/printerSettings87.bin"/><Relationship Id="rId6" Type="http://schemas.openxmlformats.org/officeDocument/2006/relationships/ctrlProp" Target="../ctrlProps/ctrlProp341.xml"/><Relationship Id="rId15" Type="http://schemas.openxmlformats.org/officeDocument/2006/relationships/ctrlProp" Target="../ctrlProps/ctrlProp350.xml"/><Relationship Id="rId23" Type="http://schemas.openxmlformats.org/officeDocument/2006/relationships/ctrlProp" Target="../ctrlProps/ctrlProp358.xml"/><Relationship Id="rId28" Type="http://schemas.openxmlformats.org/officeDocument/2006/relationships/ctrlProp" Target="../ctrlProps/ctrlProp363.xml"/><Relationship Id="rId36" Type="http://schemas.openxmlformats.org/officeDocument/2006/relationships/ctrlProp" Target="../ctrlProps/ctrlProp371.xml"/><Relationship Id="rId49" Type="http://schemas.openxmlformats.org/officeDocument/2006/relationships/ctrlProp" Target="../ctrlProps/ctrlProp384.xml"/><Relationship Id="rId57" Type="http://schemas.openxmlformats.org/officeDocument/2006/relationships/ctrlProp" Target="../ctrlProps/ctrlProp392.xml"/><Relationship Id="rId10" Type="http://schemas.openxmlformats.org/officeDocument/2006/relationships/ctrlProp" Target="../ctrlProps/ctrlProp345.xml"/><Relationship Id="rId31" Type="http://schemas.openxmlformats.org/officeDocument/2006/relationships/ctrlProp" Target="../ctrlProps/ctrlProp366.xml"/><Relationship Id="rId44" Type="http://schemas.openxmlformats.org/officeDocument/2006/relationships/ctrlProp" Target="../ctrlProps/ctrlProp379.xml"/><Relationship Id="rId52" Type="http://schemas.openxmlformats.org/officeDocument/2006/relationships/ctrlProp" Target="../ctrlProps/ctrlProp387.xml"/><Relationship Id="rId60" Type="http://schemas.openxmlformats.org/officeDocument/2006/relationships/ctrlProp" Target="../ctrlProps/ctrlProp395.xml"/><Relationship Id="rId65" Type="http://schemas.openxmlformats.org/officeDocument/2006/relationships/ctrlProp" Target="../ctrlProps/ctrlProp400.xml"/><Relationship Id="rId73" Type="http://schemas.openxmlformats.org/officeDocument/2006/relationships/ctrlProp" Target="../ctrlProps/ctrlProp408.xml"/><Relationship Id="rId78" Type="http://schemas.openxmlformats.org/officeDocument/2006/relationships/ctrlProp" Target="../ctrlProps/ctrlProp413.xml"/><Relationship Id="rId81" Type="http://schemas.openxmlformats.org/officeDocument/2006/relationships/ctrlProp" Target="../ctrlProps/ctrlProp416.xml"/><Relationship Id="rId86" Type="http://schemas.openxmlformats.org/officeDocument/2006/relationships/ctrlProp" Target="../ctrlProps/ctrlProp421.xml"/><Relationship Id="rId4" Type="http://schemas.openxmlformats.org/officeDocument/2006/relationships/vmlDrawing" Target="../drawings/vmlDrawing19.vml"/><Relationship Id="rId9" Type="http://schemas.openxmlformats.org/officeDocument/2006/relationships/ctrlProp" Target="../ctrlProps/ctrlProp344.xm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50.xml.rels><?xml version="1.0" encoding="UTF-8" standalone="yes"?>
<Relationships xmlns="http://schemas.openxmlformats.org/package/2006/relationships"><Relationship Id="rId8" Type="http://schemas.openxmlformats.org/officeDocument/2006/relationships/ctrlProp" Target="../ctrlProps/ctrlProp430.xml"/><Relationship Id="rId13" Type="http://schemas.openxmlformats.org/officeDocument/2006/relationships/ctrlProp" Target="../ctrlProps/ctrlProp435.xml"/><Relationship Id="rId18" Type="http://schemas.openxmlformats.org/officeDocument/2006/relationships/ctrlProp" Target="../ctrlProps/ctrlProp440.xml"/><Relationship Id="rId3" Type="http://schemas.openxmlformats.org/officeDocument/2006/relationships/drawing" Target="../drawings/drawing24.xml"/><Relationship Id="rId7" Type="http://schemas.openxmlformats.org/officeDocument/2006/relationships/ctrlProp" Target="../ctrlProps/ctrlProp429.xml"/><Relationship Id="rId12" Type="http://schemas.openxmlformats.org/officeDocument/2006/relationships/ctrlProp" Target="../ctrlProps/ctrlProp434.xml"/><Relationship Id="rId17" Type="http://schemas.openxmlformats.org/officeDocument/2006/relationships/ctrlProp" Target="../ctrlProps/ctrlProp439.xml"/><Relationship Id="rId2" Type="http://schemas.openxmlformats.org/officeDocument/2006/relationships/printerSettings" Target="../printerSettings/printerSettings100.bin"/><Relationship Id="rId16" Type="http://schemas.openxmlformats.org/officeDocument/2006/relationships/ctrlProp" Target="../ctrlProps/ctrlProp438.xml"/><Relationship Id="rId20" Type="http://schemas.openxmlformats.org/officeDocument/2006/relationships/ctrlProp" Target="../ctrlProps/ctrlProp442.xml"/><Relationship Id="rId1" Type="http://schemas.openxmlformats.org/officeDocument/2006/relationships/printerSettings" Target="../printerSettings/printerSettings99.bin"/><Relationship Id="rId6" Type="http://schemas.openxmlformats.org/officeDocument/2006/relationships/ctrlProp" Target="../ctrlProps/ctrlProp428.xml"/><Relationship Id="rId11" Type="http://schemas.openxmlformats.org/officeDocument/2006/relationships/ctrlProp" Target="../ctrlProps/ctrlProp433.xml"/><Relationship Id="rId5" Type="http://schemas.openxmlformats.org/officeDocument/2006/relationships/ctrlProp" Target="../ctrlProps/ctrlProp427.xml"/><Relationship Id="rId15" Type="http://schemas.openxmlformats.org/officeDocument/2006/relationships/ctrlProp" Target="../ctrlProps/ctrlProp437.xml"/><Relationship Id="rId10" Type="http://schemas.openxmlformats.org/officeDocument/2006/relationships/ctrlProp" Target="../ctrlProps/ctrlProp432.xml"/><Relationship Id="rId19" Type="http://schemas.openxmlformats.org/officeDocument/2006/relationships/ctrlProp" Target="../ctrlProps/ctrlProp441.xml"/><Relationship Id="rId4" Type="http://schemas.openxmlformats.org/officeDocument/2006/relationships/vmlDrawing" Target="../drawings/vmlDrawing20.vml"/><Relationship Id="rId9" Type="http://schemas.openxmlformats.org/officeDocument/2006/relationships/ctrlProp" Target="../ctrlProps/ctrlProp431.xml"/><Relationship Id="rId14" Type="http://schemas.openxmlformats.org/officeDocument/2006/relationships/ctrlProp" Target="../ctrlProps/ctrlProp436.xml"/></Relationships>
</file>

<file path=xl/worksheets/_rels/sheet51.xml.rels><?xml version="1.0" encoding="UTF-8" standalone="yes"?>
<Relationships xmlns="http://schemas.openxmlformats.org/package/2006/relationships"><Relationship Id="rId8" Type="http://schemas.openxmlformats.org/officeDocument/2006/relationships/ctrlProp" Target="../ctrlProps/ctrlProp446.xml"/><Relationship Id="rId13" Type="http://schemas.openxmlformats.org/officeDocument/2006/relationships/ctrlProp" Target="../ctrlProps/ctrlProp451.xml"/><Relationship Id="rId3" Type="http://schemas.openxmlformats.org/officeDocument/2006/relationships/drawing" Target="../drawings/drawing25.xml"/><Relationship Id="rId7" Type="http://schemas.openxmlformats.org/officeDocument/2006/relationships/ctrlProp" Target="../ctrlProps/ctrlProp445.xml"/><Relationship Id="rId12" Type="http://schemas.openxmlformats.org/officeDocument/2006/relationships/ctrlProp" Target="../ctrlProps/ctrlProp450.xml"/><Relationship Id="rId2" Type="http://schemas.openxmlformats.org/officeDocument/2006/relationships/printerSettings" Target="../printerSettings/printerSettings102.bin"/><Relationship Id="rId16" Type="http://schemas.openxmlformats.org/officeDocument/2006/relationships/ctrlProp" Target="../ctrlProps/ctrlProp454.xml"/><Relationship Id="rId1" Type="http://schemas.openxmlformats.org/officeDocument/2006/relationships/printerSettings" Target="../printerSettings/printerSettings101.bin"/><Relationship Id="rId6" Type="http://schemas.openxmlformats.org/officeDocument/2006/relationships/ctrlProp" Target="../ctrlProps/ctrlProp444.xml"/><Relationship Id="rId11" Type="http://schemas.openxmlformats.org/officeDocument/2006/relationships/ctrlProp" Target="../ctrlProps/ctrlProp449.xml"/><Relationship Id="rId5" Type="http://schemas.openxmlformats.org/officeDocument/2006/relationships/ctrlProp" Target="../ctrlProps/ctrlProp443.xml"/><Relationship Id="rId15" Type="http://schemas.openxmlformats.org/officeDocument/2006/relationships/ctrlProp" Target="../ctrlProps/ctrlProp453.xml"/><Relationship Id="rId10" Type="http://schemas.openxmlformats.org/officeDocument/2006/relationships/ctrlProp" Target="../ctrlProps/ctrlProp448.xml"/><Relationship Id="rId4" Type="http://schemas.openxmlformats.org/officeDocument/2006/relationships/vmlDrawing" Target="../drawings/vmlDrawing21.vml"/><Relationship Id="rId9" Type="http://schemas.openxmlformats.org/officeDocument/2006/relationships/ctrlProp" Target="../ctrlProps/ctrlProp447.xml"/><Relationship Id="rId14" Type="http://schemas.openxmlformats.org/officeDocument/2006/relationships/ctrlProp" Target="../ctrlProps/ctrlProp452.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6" Type="http://schemas.openxmlformats.org/officeDocument/2006/relationships/ctrlProp" Target="../ctrlProps/ctrlProp456.xml"/><Relationship Id="rId5" Type="http://schemas.openxmlformats.org/officeDocument/2006/relationships/ctrlProp" Target="../ctrlProps/ctrlProp455.xml"/><Relationship Id="rId4" Type="http://schemas.openxmlformats.org/officeDocument/2006/relationships/vmlDrawing" Target="../drawings/vmlDrawing22.vml"/></Relationships>
</file>

<file path=xl/worksheets/_rels/sheet53.xml.rels><?xml version="1.0" encoding="UTF-8" standalone="yes"?>
<Relationships xmlns="http://schemas.openxmlformats.org/package/2006/relationships"><Relationship Id="rId8" Type="http://schemas.openxmlformats.org/officeDocument/2006/relationships/ctrlProp" Target="../ctrlProps/ctrlProp460.xml"/><Relationship Id="rId13" Type="http://schemas.openxmlformats.org/officeDocument/2006/relationships/ctrlProp" Target="../ctrlProps/ctrlProp465.xml"/><Relationship Id="rId18" Type="http://schemas.openxmlformats.org/officeDocument/2006/relationships/ctrlProp" Target="../ctrlProps/ctrlProp470.xml"/><Relationship Id="rId26" Type="http://schemas.openxmlformats.org/officeDocument/2006/relationships/ctrlProp" Target="../ctrlProps/ctrlProp478.xml"/><Relationship Id="rId3" Type="http://schemas.openxmlformats.org/officeDocument/2006/relationships/drawing" Target="../drawings/drawing27.xml"/><Relationship Id="rId21" Type="http://schemas.openxmlformats.org/officeDocument/2006/relationships/ctrlProp" Target="../ctrlProps/ctrlProp473.xml"/><Relationship Id="rId7" Type="http://schemas.openxmlformats.org/officeDocument/2006/relationships/ctrlProp" Target="../ctrlProps/ctrlProp459.xml"/><Relationship Id="rId12" Type="http://schemas.openxmlformats.org/officeDocument/2006/relationships/ctrlProp" Target="../ctrlProps/ctrlProp464.xml"/><Relationship Id="rId17" Type="http://schemas.openxmlformats.org/officeDocument/2006/relationships/ctrlProp" Target="../ctrlProps/ctrlProp469.xml"/><Relationship Id="rId25" Type="http://schemas.openxmlformats.org/officeDocument/2006/relationships/ctrlProp" Target="../ctrlProps/ctrlProp477.xml"/><Relationship Id="rId2" Type="http://schemas.openxmlformats.org/officeDocument/2006/relationships/printerSettings" Target="../printerSettings/printerSettings106.bin"/><Relationship Id="rId16" Type="http://schemas.openxmlformats.org/officeDocument/2006/relationships/ctrlProp" Target="../ctrlProps/ctrlProp468.xml"/><Relationship Id="rId20" Type="http://schemas.openxmlformats.org/officeDocument/2006/relationships/ctrlProp" Target="../ctrlProps/ctrlProp472.xml"/><Relationship Id="rId29" Type="http://schemas.openxmlformats.org/officeDocument/2006/relationships/ctrlProp" Target="../ctrlProps/ctrlProp481.xml"/><Relationship Id="rId1" Type="http://schemas.openxmlformats.org/officeDocument/2006/relationships/printerSettings" Target="../printerSettings/printerSettings105.bin"/><Relationship Id="rId6" Type="http://schemas.openxmlformats.org/officeDocument/2006/relationships/ctrlProp" Target="../ctrlProps/ctrlProp458.xml"/><Relationship Id="rId11" Type="http://schemas.openxmlformats.org/officeDocument/2006/relationships/ctrlProp" Target="../ctrlProps/ctrlProp463.xml"/><Relationship Id="rId24" Type="http://schemas.openxmlformats.org/officeDocument/2006/relationships/ctrlProp" Target="../ctrlProps/ctrlProp476.xml"/><Relationship Id="rId5" Type="http://schemas.openxmlformats.org/officeDocument/2006/relationships/ctrlProp" Target="../ctrlProps/ctrlProp457.xml"/><Relationship Id="rId15" Type="http://schemas.openxmlformats.org/officeDocument/2006/relationships/ctrlProp" Target="../ctrlProps/ctrlProp467.xml"/><Relationship Id="rId23" Type="http://schemas.openxmlformats.org/officeDocument/2006/relationships/ctrlProp" Target="../ctrlProps/ctrlProp475.xml"/><Relationship Id="rId28" Type="http://schemas.openxmlformats.org/officeDocument/2006/relationships/ctrlProp" Target="../ctrlProps/ctrlProp480.xml"/><Relationship Id="rId10" Type="http://schemas.openxmlformats.org/officeDocument/2006/relationships/ctrlProp" Target="../ctrlProps/ctrlProp462.xml"/><Relationship Id="rId19" Type="http://schemas.openxmlformats.org/officeDocument/2006/relationships/ctrlProp" Target="../ctrlProps/ctrlProp471.xml"/><Relationship Id="rId4" Type="http://schemas.openxmlformats.org/officeDocument/2006/relationships/vmlDrawing" Target="../drawings/vmlDrawing23.vml"/><Relationship Id="rId9" Type="http://schemas.openxmlformats.org/officeDocument/2006/relationships/ctrlProp" Target="../ctrlProps/ctrlProp461.xml"/><Relationship Id="rId14" Type="http://schemas.openxmlformats.org/officeDocument/2006/relationships/ctrlProp" Target="../ctrlProps/ctrlProp466.xml"/><Relationship Id="rId22" Type="http://schemas.openxmlformats.org/officeDocument/2006/relationships/ctrlProp" Target="../ctrlProps/ctrlProp474.xml"/><Relationship Id="rId27" Type="http://schemas.openxmlformats.org/officeDocument/2006/relationships/ctrlProp" Target="../ctrlProps/ctrlProp479.xm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5" Type="http://schemas.openxmlformats.org/officeDocument/2006/relationships/ctrlProp" Target="../ctrlProps/ctrlProp482.xml"/><Relationship Id="rId4" Type="http://schemas.openxmlformats.org/officeDocument/2006/relationships/vmlDrawing" Target="../drawings/vmlDrawing24.vml"/></Relationships>
</file>

<file path=xl/worksheets/_rels/sheet55.xml.rels><?xml version="1.0" encoding="UTF-8" standalone="yes"?>
<Relationships xmlns="http://schemas.openxmlformats.org/package/2006/relationships"><Relationship Id="rId13" Type="http://schemas.openxmlformats.org/officeDocument/2006/relationships/ctrlProp" Target="../ctrlProps/ctrlProp491.xml"/><Relationship Id="rId18" Type="http://schemas.openxmlformats.org/officeDocument/2006/relationships/ctrlProp" Target="../ctrlProps/ctrlProp496.xml"/><Relationship Id="rId26" Type="http://schemas.openxmlformats.org/officeDocument/2006/relationships/ctrlProp" Target="../ctrlProps/ctrlProp504.xml"/><Relationship Id="rId39" Type="http://schemas.openxmlformats.org/officeDocument/2006/relationships/ctrlProp" Target="../ctrlProps/ctrlProp517.xml"/><Relationship Id="rId3" Type="http://schemas.openxmlformats.org/officeDocument/2006/relationships/drawing" Target="../drawings/drawing29.xml"/><Relationship Id="rId21" Type="http://schemas.openxmlformats.org/officeDocument/2006/relationships/ctrlProp" Target="../ctrlProps/ctrlProp499.xml"/><Relationship Id="rId34" Type="http://schemas.openxmlformats.org/officeDocument/2006/relationships/ctrlProp" Target="../ctrlProps/ctrlProp512.xml"/><Relationship Id="rId42" Type="http://schemas.openxmlformats.org/officeDocument/2006/relationships/ctrlProp" Target="../ctrlProps/ctrlProp520.xml"/><Relationship Id="rId47" Type="http://schemas.openxmlformats.org/officeDocument/2006/relationships/ctrlProp" Target="../ctrlProps/ctrlProp525.xml"/><Relationship Id="rId50" Type="http://schemas.openxmlformats.org/officeDocument/2006/relationships/ctrlProp" Target="../ctrlProps/ctrlProp528.xml"/><Relationship Id="rId7" Type="http://schemas.openxmlformats.org/officeDocument/2006/relationships/ctrlProp" Target="../ctrlProps/ctrlProp485.xml"/><Relationship Id="rId12" Type="http://schemas.openxmlformats.org/officeDocument/2006/relationships/ctrlProp" Target="../ctrlProps/ctrlProp490.xml"/><Relationship Id="rId17" Type="http://schemas.openxmlformats.org/officeDocument/2006/relationships/ctrlProp" Target="../ctrlProps/ctrlProp495.xml"/><Relationship Id="rId25" Type="http://schemas.openxmlformats.org/officeDocument/2006/relationships/ctrlProp" Target="../ctrlProps/ctrlProp503.xml"/><Relationship Id="rId33" Type="http://schemas.openxmlformats.org/officeDocument/2006/relationships/ctrlProp" Target="../ctrlProps/ctrlProp511.xml"/><Relationship Id="rId38" Type="http://schemas.openxmlformats.org/officeDocument/2006/relationships/ctrlProp" Target="../ctrlProps/ctrlProp516.xml"/><Relationship Id="rId46" Type="http://schemas.openxmlformats.org/officeDocument/2006/relationships/ctrlProp" Target="../ctrlProps/ctrlProp524.xml"/><Relationship Id="rId2" Type="http://schemas.openxmlformats.org/officeDocument/2006/relationships/printerSettings" Target="../printerSettings/printerSettings110.bin"/><Relationship Id="rId16" Type="http://schemas.openxmlformats.org/officeDocument/2006/relationships/ctrlProp" Target="../ctrlProps/ctrlProp494.xml"/><Relationship Id="rId20" Type="http://schemas.openxmlformats.org/officeDocument/2006/relationships/ctrlProp" Target="../ctrlProps/ctrlProp498.xml"/><Relationship Id="rId29" Type="http://schemas.openxmlformats.org/officeDocument/2006/relationships/ctrlProp" Target="../ctrlProps/ctrlProp507.xml"/><Relationship Id="rId41" Type="http://schemas.openxmlformats.org/officeDocument/2006/relationships/ctrlProp" Target="../ctrlProps/ctrlProp519.xml"/><Relationship Id="rId1" Type="http://schemas.openxmlformats.org/officeDocument/2006/relationships/printerSettings" Target="../printerSettings/printerSettings109.bin"/><Relationship Id="rId6" Type="http://schemas.openxmlformats.org/officeDocument/2006/relationships/ctrlProp" Target="../ctrlProps/ctrlProp484.xml"/><Relationship Id="rId11" Type="http://schemas.openxmlformats.org/officeDocument/2006/relationships/ctrlProp" Target="../ctrlProps/ctrlProp489.xml"/><Relationship Id="rId24" Type="http://schemas.openxmlformats.org/officeDocument/2006/relationships/ctrlProp" Target="../ctrlProps/ctrlProp502.xml"/><Relationship Id="rId32" Type="http://schemas.openxmlformats.org/officeDocument/2006/relationships/ctrlProp" Target="../ctrlProps/ctrlProp510.xml"/><Relationship Id="rId37" Type="http://schemas.openxmlformats.org/officeDocument/2006/relationships/ctrlProp" Target="../ctrlProps/ctrlProp515.xml"/><Relationship Id="rId40" Type="http://schemas.openxmlformats.org/officeDocument/2006/relationships/ctrlProp" Target="../ctrlProps/ctrlProp518.xml"/><Relationship Id="rId45" Type="http://schemas.openxmlformats.org/officeDocument/2006/relationships/ctrlProp" Target="../ctrlProps/ctrlProp523.xml"/><Relationship Id="rId53" Type="http://schemas.openxmlformats.org/officeDocument/2006/relationships/ctrlProp" Target="../ctrlProps/ctrlProp531.xml"/><Relationship Id="rId5" Type="http://schemas.openxmlformats.org/officeDocument/2006/relationships/ctrlProp" Target="../ctrlProps/ctrlProp483.xml"/><Relationship Id="rId15" Type="http://schemas.openxmlformats.org/officeDocument/2006/relationships/ctrlProp" Target="../ctrlProps/ctrlProp493.xml"/><Relationship Id="rId23" Type="http://schemas.openxmlformats.org/officeDocument/2006/relationships/ctrlProp" Target="../ctrlProps/ctrlProp501.xml"/><Relationship Id="rId28" Type="http://schemas.openxmlformats.org/officeDocument/2006/relationships/ctrlProp" Target="../ctrlProps/ctrlProp506.xml"/><Relationship Id="rId36" Type="http://schemas.openxmlformats.org/officeDocument/2006/relationships/ctrlProp" Target="../ctrlProps/ctrlProp514.xml"/><Relationship Id="rId49" Type="http://schemas.openxmlformats.org/officeDocument/2006/relationships/ctrlProp" Target="../ctrlProps/ctrlProp527.xml"/><Relationship Id="rId10" Type="http://schemas.openxmlformats.org/officeDocument/2006/relationships/ctrlProp" Target="../ctrlProps/ctrlProp488.xml"/><Relationship Id="rId19" Type="http://schemas.openxmlformats.org/officeDocument/2006/relationships/ctrlProp" Target="../ctrlProps/ctrlProp497.xml"/><Relationship Id="rId31" Type="http://schemas.openxmlformats.org/officeDocument/2006/relationships/ctrlProp" Target="../ctrlProps/ctrlProp509.xml"/><Relationship Id="rId44" Type="http://schemas.openxmlformats.org/officeDocument/2006/relationships/ctrlProp" Target="../ctrlProps/ctrlProp522.xml"/><Relationship Id="rId52" Type="http://schemas.openxmlformats.org/officeDocument/2006/relationships/ctrlProp" Target="../ctrlProps/ctrlProp530.xml"/><Relationship Id="rId4" Type="http://schemas.openxmlformats.org/officeDocument/2006/relationships/vmlDrawing" Target="../drawings/vmlDrawing25.vml"/><Relationship Id="rId9" Type="http://schemas.openxmlformats.org/officeDocument/2006/relationships/ctrlProp" Target="../ctrlProps/ctrlProp487.xml"/><Relationship Id="rId14" Type="http://schemas.openxmlformats.org/officeDocument/2006/relationships/ctrlProp" Target="../ctrlProps/ctrlProp492.xml"/><Relationship Id="rId22" Type="http://schemas.openxmlformats.org/officeDocument/2006/relationships/ctrlProp" Target="../ctrlProps/ctrlProp500.xml"/><Relationship Id="rId27" Type="http://schemas.openxmlformats.org/officeDocument/2006/relationships/ctrlProp" Target="../ctrlProps/ctrlProp505.xml"/><Relationship Id="rId30" Type="http://schemas.openxmlformats.org/officeDocument/2006/relationships/ctrlProp" Target="../ctrlProps/ctrlProp508.xml"/><Relationship Id="rId35" Type="http://schemas.openxmlformats.org/officeDocument/2006/relationships/ctrlProp" Target="../ctrlProps/ctrlProp513.xml"/><Relationship Id="rId43" Type="http://schemas.openxmlformats.org/officeDocument/2006/relationships/ctrlProp" Target="../ctrlProps/ctrlProp521.xml"/><Relationship Id="rId48" Type="http://schemas.openxmlformats.org/officeDocument/2006/relationships/ctrlProp" Target="../ctrlProps/ctrlProp526.xml"/><Relationship Id="rId8" Type="http://schemas.openxmlformats.org/officeDocument/2006/relationships/ctrlProp" Target="../ctrlProps/ctrlProp486.xml"/><Relationship Id="rId51" Type="http://schemas.openxmlformats.org/officeDocument/2006/relationships/ctrlProp" Target="../ctrlProps/ctrlProp529.xm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30.xml"/><Relationship Id="rId7" Type="http://schemas.openxmlformats.org/officeDocument/2006/relationships/ctrlProp" Target="../ctrlProps/ctrlProp534.xml"/><Relationship Id="rId2" Type="http://schemas.openxmlformats.org/officeDocument/2006/relationships/printerSettings" Target="../printerSettings/printerSettings112.bin"/><Relationship Id="rId1" Type="http://schemas.openxmlformats.org/officeDocument/2006/relationships/printerSettings" Target="../printerSettings/printerSettings111.bin"/><Relationship Id="rId6" Type="http://schemas.openxmlformats.org/officeDocument/2006/relationships/ctrlProp" Target="../ctrlProps/ctrlProp533.xml"/><Relationship Id="rId5" Type="http://schemas.openxmlformats.org/officeDocument/2006/relationships/ctrlProp" Target="../ctrlProps/ctrlProp532.xml"/><Relationship Id="rId4" Type="http://schemas.openxmlformats.org/officeDocument/2006/relationships/vmlDrawing" Target="../drawings/vmlDrawing26.vml"/></Relationships>
</file>

<file path=xl/worksheets/_rels/sheet57.xml.rels><?xml version="1.0" encoding="UTF-8" standalone="yes"?>
<Relationships xmlns="http://schemas.openxmlformats.org/package/2006/relationships"><Relationship Id="rId8" Type="http://schemas.openxmlformats.org/officeDocument/2006/relationships/ctrlProp" Target="../ctrlProps/ctrlProp538.xml"/><Relationship Id="rId13" Type="http://schemas.openxmlformats.org/officeDocument/2006/relationships/ctrlProp" Target="../ctrlProps/ctrlProp543.xml"/><Relationship Id="rId18" Type="http://schemas.openxmlformats.org/officeDocument/2006/relationships/ctrlProp" Target="../ctrlProps/ctrlProp548.xml"/><Relationship Id="rId3" Type="http://schemas.openxmlformats.org/officeDocument/2006/relationships/drawing" Target="../drawings/drawing31.xml"/><Relationship Id="rId7" Type="http://schemas.openxmlformats.org/officeDocument/2006/relationships/ctrlProp" Target="../ctrlProps/ctrlProp537.xml"/><Relationship Id="rId12" Type="http://schemas.openxmlformats.org/officeDocument/2006/relationships/ctrlProp" Target="../ctrlProps/ctrlProp542.xml"/><Relationship Id="rId17" Type="http://schemas.openxmlformats.org/officeDocument/2006/relationships/ctrlProp" Target="../ctrlProps/ctrlProp547.xml"/><Relationship Id="rId2" Type="http://schemas.openxmlformats.org/officeDocument/2006/relationships/printerSettings" Target="../printerSettings/printerSettings114.bin"/><Relationship Id="rId16" Type="http://schemas.openxmlformats.org/officeDocument/2006/relationships/ctrlProp" Target="../ctrlProps/ctrlProp546.xml"/><Relationship Id="rId1" Type="http://schemas.openxmlformats.org/officeDocument/2006/relationships/printerSettings" Target="../printerSettings/printerSettings113.bin"/><Relationship Id="rId6" Type="http://schemas.openxmlformats.org/officeDocument/2006/relationships/ctrlProp" Target="../ctrlProps/ctrlProp536.xml"/><Relationship Id="rId11" Type="http://schemas.openxmlformats.org/officeDocument/2006/relationships/ctrlProp" Target="../ctrlProps/ctrlProp541.xml"/><Relationship Id="rId5" Type="http://schemas.openxmlformats.org/officeDocument/2006/relationships/ctrlProp" Target="../ctrlProps/ctrlProp535.xml"/><Relationship Id="rId15" Type="http://schemas.openxmlformats.org/officeDocument/2006/relationships/ctrlProp" Target="../ctrlProps/ctrlProp545.xml"/><Relationship Id="rId10" Type="http://schemas.openxmlformats.org/officeDocument/2006/relationships/ctrlProp" Target="../ctrlProps/ctrlProp540.xml"/><Relationship Id="rId19" Type="http://schemas.openxmlformats.org/officeDocument/2006/relationships/ctrlProp" Target="../ctrlProps/ctrlProp549.xml"/><Relationship Id="rId4" Type="http://schemas.openxmlformats.org/officeDocument/2006/relationships/vmlDrawing" Target="../drawings/vmlDrawing27.vml"/><Relationship Id="rId9" Type="http://schemas.openxmlformats.org/officeDocument/2006/relationships/ctrlProp" Target="../ctrlProps/ctrlProp539.xml"/><Relationship Id="rId14" Type="http://schemas.openxmlformats.org/officeDocument/2006/relationships/ctrlProp" Target="../ctrlProps/ctrlProp544.xml"/></Relationships>
</file>

<file path=xl/worksheets/_rels/sheet58.xml.rels><?xml version="1.0" encoding="UTF-8" standalone="yes"?>
<Relationships xmlns="http://schemas.openxmlformats.org/package/2006/relationships"><Relationship Id="rId8" Type="http://schemas.openxmlformats.org/officeDocument/2006/relationships/ctrlProp" Target="../ctrlProps/ctrlProp553.xml"/><Relationship Id="rId3" Type="http://schemas.openxmlformats.org/officeDocument/2006/relationships/drawing" Target="../drawings/drawing32.xml"/><Relationship Id="rId7" Type="http://schemas.openxmlformats.org/officeDocument/2006/relationships/ctrlProp" Target="../ctrlProps/ctrlProp552.xml"/><Relationship Id="rId2" Type="http://schemas.openxmlformats.org/officeDocument/2006/relationships/printerSettings" Target="../printerSettings/printerSettings116.bin"/><Relationship Id="rId1" Type="http://schemas.openxmlformats.org/officeDocument/2006/relationships/printerSettings" Target="../printerSettings/printerSettings115.bin"/><Relationship Id="rId6" Type="http://schemas.openxmlformats.org/officeDocument/2006/relationships/ctrlProp" Target="../ctrlProps/ctrlProp551.xml"/><Relationship Id="rId5" Type="http://schemas.openxmlformats.org/officeDocument/2006/relationships/ctrlProp" Target="../ctrlProps/ctrlProp550.xml"/><Relationship Id="rId4" Type="http://schemas.openxmlformats.org/officeDocument/2006/relationships/vmlDrawing" Target="../drawings/vmlDrawing28.vm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60.xml.rels><?xml version="1.0" encoding="UTF-8" standalone="yes"?>
<Relationships xmlns="http://schemas.openxmlformats.org/package/2006/relationships"><Relationship Id="rId13" Type="http://schemas.openxmlformats.org/officeDocument/2006/relationships/ctrlProp" Target="../ctrlProps/ctrlProp562.xml"/><Relationship Id="rId18" Type="http://schemas.openxmlformats.org/officeDocument/2006/relationships/ctrlProp" Target="../ctrlProps/ctrlProp567.xml"/><Relationship Id="rId26" Type="http://schemas.openxmlformats.org/officeDocument/2006/relationships/ctrlProp" Target="../ctrlProps/ctrlProp575.xml"/><Relationship Id="rId39" Type="http://schemas.openxmlformats.org/officeDocument/2006/relationships/ctrlProp" Target="../ctrlProps/ctrlProp588.xml"/><Relationship Id="rId21" Type="http://schemas.openxmlformats.org/officeDocument/2006/relationships/ctrlProp" Target="../ctrlProps/ctrlProp570.xml"/><Relationship Id="rId34" Type="http://schemas.openxmlformats.org/officeDocument/2006/relationships/ctrlProp" Target="../ctrlProps/ctrlProp583.xml"/><Relationship Id="rId42" Type="http://schemas.openxmlformats.org/officeDocument/2006/relationships/ctrlProp" Target="../ctrlProps/ctrlProp591.xml"/><Relationship Id="rId47" Type="http://schemas.openxmlformats.org/officeDocument/2006/relationships/ctrlProp" Target="../ctrlProps/ctrlProp596.xml"/><Relationship Id="rId50" Type="http://schemas.openxmlformats.org/officeDocument/2006/relationships/ctrlProp" Target="../ctrlProps/ctrlProp599.xml"/><Relationship Id="rId55" Type="http://schemas.openxmlformats.org/officeDocument/2006/relationships/ctrlProp" Target="../ctrlProps/ctrlProp604.xml"/><Relationship Id="rId63" Type="http://schemas.openxmlformats.org/officeDocument/2006/relationships/ctrlProp" Target="../ctrlProps/ctrlProp612.xml"/><Relationship Id="rId7" Type="http://schemas.openxmlformats.org/officeDocument/2006/relationships/ctrlProp" Target="../ctrlProps/ctrlProp556.xml"/><Relationship Id="rId2" Type="http://schemas.openxmlformats.org/officeDocument/2006/relationships/printerSettings" Target="../printerSettings/printerSettings120.bin"/><Relationship Id="rId16" Type="http://schemas.openxmlformats.org/officeDocument/2006/relationships/ctrlProp" Target="../ctrlProps/ctrlProp565.xml"/><Relationship Id="rId29" Type="http://schemas.openxmlformats.org/officeDocument/2006/relationships/ctrlProp" Target="../ctrlProps/ctrlProp578.xml"/><Relationship Id="rId1" Type="http://schemas.openxmlformats.org/officeDocument/2006/relationships/printerSettings" Target="../printerSettings/printerSettings119.bin"/><Relationship Id="rId6" Type="http://schemas.openxmlformats.org/officeDocument/2006/relationships/ctrlProp" Target="../ctrlProps/ctrlProp555.xml"/><Relationship Id="rId11" Type="http://schemas.openxmlformats.org/officeDocument/2006/relationships/ctrlProp" Target="../ctrlProps/ctrlProp560.xml"/><Relationship Id="rId24" Type="http://schemas.openxmlformats.org/officeDocument/2006/relationships/ctrlProp" Target="../ctrlProps/ctrlProp573.xml"/><Relationship Id="rId32" Type="http://schemas.openxmlformats.org/officeDocument/2006/relationships/ctrlProp" Target="../ctrlProps/ctrlProp581.xml"/><Relationship Id="rId37" Type="http://schemas.openxmlformats.org/officeDocument/2006/relationships/ctrlProp" Target="../ctrlProps/ctrlProp586.xml"/><Relationship Id="rId40" Type="http://schemas.openxmlformats.org/officeDocument/2006/relationships/ctrlProp" Target="../ctrlProps/ctrlProp589.xml"/><Relationship Id="rId45" Type="http://schemas.openxmlformats.org/officeDocument/2006/relationships/ctrlProp" Target="../ctrlProps/ctrlProp594.xml"/><Relationship Id="rId53" Type="http://schemas.openxmlformats.org/officeDocument/2006/relationships/ctrlProp" Target="../ctrlProps/ctrlProp602.xml"/><Relationship Id="rId58" Type="http://schemas.openxmlformats.org/officeDocument/2006/relationships/ctrlProp" Target="../ctrlProps/ctrlProp607.xml"/><Relationship Id="rId66" Type="http://schemas.openxmlformats.org/officeDocument/2006/relationships/ctrlProp" Target="../ctrlProps/ctrlProp615.xml"/><Relationship Id="rId5" Type="http://schemas.openxmlformats.org/officeDocument/2006/relationships/ctrlProp" Target="../ctrlProps/ctrlProp554.xml"/><Relationship Id="rId15" Type="http://schemas.openxmlformats.org/officeDocument/2006/relationships/ctrlProp" Target="../ctrlProps/ctrlProp564.xml"/><Relationship Id="rId23" Type="http://schemas.openxmlformats.org/officeDocument/2006/relationships/ctrlProp" Target="../ctrlProps/ctrlProp572.xml"/><Relationship Id="rId28" Type="http://schemas.openxmlformats.org/officeDocument/2006/relationships/ctrlProp" Target="../ctrlProps/ctrlProp577.xml"/><Relationship Id="rId36" Type="http://schemas.openxmlformats.org/officeDocument/2006/relationships/ctrlProp" Target="../ctrlProps/ctrlProp585.xml"/><Relationship Id="rId49" Type="http://schemas.openxmlformats.org/officeDocument/2006/relationships/ctrlProp" Target="../ctrlProps/ctrlProp598.xml"/><Relationship Id="rId57" Type="http://schemas.openxmlformats.org/officeDocument/2006/relationships/ctrlProp" Target="../ctrlProps/ctrlProp606.xml"/><Relationship Id="rId61" Type="http://schemas.openxmlformats.org/officeDocument/2006/relationships/ctrlProp" Target="../ctrlProps/ctrlProp610.xml"/><Relationship Id="rId10" Type="http://schemas.openxmlformats.org/officeDocument/2006/relationships/ctrlProp" Target="../ctrlProps/ctrlProp559.xml"/><Relationship Id="rId19" Type="http://schemas.openxmlformats.org/officeDocument/2006/relationships/ctrlProp" Target="../ctrlProps/ctrlProp568.xml"/><Relationship Id="rId31" Type="http://schemas.openxmlformats.org/officeDocument/2006/relationships/ctrlProp" Target="../ctrlProps/ctrlProp580.xml"/><Relationship Id="rId44" Type="http://schemas.openxmlformats.org/officeDocument/2006/relationships/ctrlProp" Target="../ctrlProps/ctrlProp593.xml"/><Relationship Id="rId52" Type="http://schemas.openxmlformats.org/officeDocument/2006/relationships/ctrlProp" Target="../ctrlProps/ctrlProp601.xml"/><Relationship Id="rId60" Type="http://schemas.openxmlformats.org/officeDocument/2006/relationships/ctrlProp" Target="../ctrlProps/ctrlProp609.xml"/><Relationship Id="rId65" Type="http://schemas.openxmlformats.org/officeDocument/2006/relationships/ctrlProp" Target="../ctrlProps/ctrlProp614.xml"/><Relationship Id="rId4" Type="http://schemas.openxmlformats.org/officeDocument/2006/relationships/vmlDrawing" Target="../drawings/vmlDrawing29.vml"/><Relationship Id="rId9" Type="http://schemas.openxmlformats.org/officeDocument/2006/relationships/ctrlProp" Target="../ctrlProps/ctrlProp558.xml"/><Relationship Id="rId14" Type="http://schemas.openxmlformats.org/officeDocument/2006/relationships/ctrlProp" Target="../ctrlProps/ctrlProp563.xml"/><Relationship Id="rId22" Type="http://schemas.openxmlformats.org/officeDocument/2006/relationships/ctrlProp" Target="../ctrlProps/ctrlProp571.xml"/><Relationship Id="rId27" Type="http://schemas.openxmlformats.org/officeDocument/2006/relationships/ctrlProp" Target="../ctrlProps/ctrlProp576.xml"/><Relationship Id="rId30" Type="http://schemas.openxmlformats.org/officeDocument/2006/relationships/ctrlProp" Target="../ctrlProps/ctrlProp579.xml"/><Relationship Id="rId35" Type="http://schemas.openxmlformats.org/officeDocument/2006/relationships/ctrlProp" Target="../ctrlProps/ctrlProp584.xml"/><Relationship Id="rId43" Type="http://schemas.openxmlformats.org/officeDocument/2006/relationships/ctrlProp" Target="../ctrlProps/ctrlProp592.xml"/><Relationship Id="rId48" Type="http://schemas.openxmlformats.org/officeDocument/2006/relationships/ctrlProp" Target="../ctrlProps/ctrlProp597.xml"/><Relationship Id="rId56" Type="http://schemas.openxmlformats.org/officeDocument/2006/relationships/ctrlProp" Target="../ctrlProps/ctrlProp605.xml"/><Relationship Id="rId64" Type="http://schemas.openxmlformats.org/officeDocument/2006/relationships/ctrlProp" Target="../ctrlProps/ctrlProp613.xml"/><Relationship Id="rId8" Type="http://schemas.openxmlformats.org/officeDocument/2006/relationships/ctrlProp" Target="../ctrlProps/ctrlProp557.xml"/><Relationship Id="rId51" Type="http://schemas.openxmlformats.org/officeDocument/2006/relationships/ctrlProp" Target="../ctrlProps/ctrlProp600.xml"/><Relationship Id="rId3" Type="http://schemas.openxmlformats.org/officeDocument/2006/relationships/drawing" Target="../drawings/drawing33.xml"/><Relationship Id="rId12" Type="http://schemas.openxmlformats.org/officeDocument/2006/relationships/ctrlProp" Target="../ctrlProps/ctrlProp561.xml"/><Relationship Id="rId17" Type="http://schemas.openxmlformats.org/officeDocument/2006/relationships/ctrlProp" Target="../ctrlProps/ctrlProp566.xml"/><Relationship Id="rId25" Type="http://schemas.openxmlformats.org/officeDocument/2006/relationships/ctrlProp" Target="../ctrlProps/ctrlProp574.xml"/><Relationship Id="rId33" Type="http://schemas.openxmlformats.org/officeDocument/2006/relationships/ctrlProp" Target="../ctrlProps/ctrlProp582.xml"/><Relationship Id="rId38" Type="http://schemas.openxmlformats.org/officeDocument/2006/relationships/ctrlProp" Target="../ctrlProps/ctrlProp587.xml"/><Relationship Id="rId46" Type="http://schemas.openxmlformats.org/officeDocument/2006/relationships/ctrlProp" Target="../ctrlProps/ctrlProp595.xml"/><Relationship Id="rId59" Type="http://schemas.openxmlformats.org/officeDocument/2006/relationships/ctrlProp" Target="../ctrlProps/ctrlProp608.xml"/><Relationship Id="rId67" Type="http://schemas.openxmlformats.org/officeDocument/2006/relationships/ctrlProp" Target="../ctrlProps/ctrlProp616.xml"/><Relationship Id="rId20" Type="http://schemas.openxmlformats.org/officeDocument/2006/relationships/ctrlProp" Target="../ctrlProps/ctrlProp569.xml"/><Relationship Id="rId41" Type="http://schemas.openxmlformats.org/officeDocument/2006/relationships/ctrlProp" Target="../ctrlProps/ctrlProp590.xml"/><Relationship Id="rId54" Type="http://schemas.openxmlformats.org/officeDocument/2006/relationships/ctrlProp" Target="../ctrlProps/ctrlProp603.xml"/><Relationship Id="rId62" Type="http://schemas.openxmlformats.org/officeDocument/2006/relationships/ctrlProp" Target="../ctrlProps/ctrlProp611.xml"/></Relationships>
</file>

<file path=xl/worksheets/_rels/sheet61.xml.rels><?xml version="1.0" encoding="UTF-8" standalone="yes"?>
<Relationships xmlns="http://schemas.openxmlformats.org/package/2006/relationships"><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5" Type="http://schemas.openxmlformats.org/officeDocument/2006/relationships/ctrlProp" Target="../ctrlProps/ctrlProp617.xml"/><Relationship Id="rId4" Type="http://schemas.openxmlformats.org/officeDocument/2006/relationships/vmlDrawing" Target="../drawings/vmlDrawing30.vm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26.bin"/><Relationship Id="rId1" Type="http://schemas.openxmlformats.org/officeDocument/2006/relationships/printerSettings" Target="../printerSettings/printerSettings125.bin"/><Relationship Id="rId5" Type="http://schemas.openxmlformats.org/officeDocument/2006/relationships/ctrlProp" Target="../ctrlProps/ctrlProp618.xml"/><Relationship Id="rId4" Type="http://schemas.openxmlformats.org/officeDocument/2006/relationships/vmlDrawing" Target="../drawings/vmlDrawing31.vm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5" Type="http://schemas.openxmlformats.org/officeDocument/2006/relationships/ctrlProp" Target="../ctrlProps/ctrlProp619.xml"/><Relationship Id="rId4" Type="http://schemas.openxmlformats.org/officeDocument/2006/relationships/vmlDrawing" Target="../drawings/vmlDrawing32.vml"/></Relationships>
</file>

<file path=xl/worksheets/_rels/sheet65.xml.rels><?xml version="1.0" encoding="UTF-8" standalone="yes"?>
<Relationships xmlns="http://schemas.openxmlformats.org/package/2006/relationships"><Relationship Id="rId8" Type="http://schemas.openxmlformats.org/officeDocument/2006/relationships/ctrlProp" Target="../ctrlProps/ctrlProp623.xml"/><Relationship Id="rId13" Type="http://schemas.openxmlformats.org/officeDocument/2006/relationships/ctrlProp" Target="../ctrlProps/ctrlProp628.xml"/><Relationship Id="rId18" Type="http://schemas.openxmlformats.org/officeDocument/2006/relationships/ctrlProp" Target="../ctrlProps/ctrlProp633.xml"/><Relationship Id="rId3" Type="http://schemas.openxmlformats.org/officeDocument/2006/relationships/drawing" Target="../drawings/drawing37.xml"/><Relationship Id="rId7" Type="http://schemas.openxmlformats.org/officeDocument/2006/relationships/ctrlProp" Target="../ctrlProps/ctrlProp622.xml"/><Relationship Id="rId12" Type="http://schemas.openxmlformats.org/officeDocument/2006/relationships/ctrlProp" Target="../ctrlProps/ctrlProp627.xml"/><Relationship Id="rId17" Type="http://schemas.openxmlformats.org/officeDocument/2006/relationships/ctrlProp" Target="../ctrlProps/ctrlProp632.xml"/><Relationship Id="rId2" Type="http://schemas.openxmlformats.org/officeDocument/2006/relationships/printerSettings" Target="../printerSettings/printerSettings130.bin"/><Relationship Id="rId16" Type="http://schemas.openxmlformats.org/officeDocument/2006/relationships/ctrlProp" Target="../ctrlProps/ctrlProp631.xml"/><Relationship Id="rId1" Type="http://schemas.openxmlformats.org/officeDocument/2006/relationships/printerSettings" Target="../printerSettings/printerSettings129.bin"/><Relationship Id="rId6" Type="http://schemas.openxmlformats.org/officeDocument/2006/relationships/ctrlProp" Target="../ctrlProps/ctrlProp621.xml"/><Relationship Id="rId11" Type="http://schemas.openxmlformats.org/officeDocument/2006/relationships/ctrlProp" Target="../ctrlProps/ctrlProp626.xml"/><Relationship Id="rId5" Type="http://schemas.openxmlformats.org/officeDocument/2006/relationships/ctrlProp" Target="../ctrlProps/ctrlProp620.xml"/><Relationship Id="rId15" Type="http://schemas.openxmlformats.org/officeDocument/2006/relationships/ctrlProp" Target="../ctrlProps/ctrlProp630.xml"/><Relationship Id="rId10" Type="http://schemas.openxmlformats.org/officeDocument/2006/relationships/ctrlProp" Target="../ctrlProps/ctrlProp625.xml"/><Relationship Id="rId19" Type="http://schemas.openxmlformats.org/officeDocument/2006/relationships/ctrlProp" Target="../ctrlProps/ctrlProp634.xml"/><Relationship Id="rId4" Type="http://schemas.openxmlformats.org/officeDocument/2006/relationships/vmlDrawing" Target="../drawings/vmlDrawing33.vml"/><Relationship Id="rId9" Type="http://schemas.openxmlformats.org/officeDocument/2006/relationships/ctrlProp" Target="../ctrlProps/ctrlProp624.xml"/><Relationship Id="rId14" Type="http://schemas.openxmlformats.org/officeDocument/2006/relationships/ctrlProp" Target="../ctrlProps/ctrlProp6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C8216-94D7-482C-874A-D7A598889C0D}">
  <sheetPr codeName="Sheet2"/>
  <dimension ref="A1:Q23"/>
  <sheetViews>
    <sheetView workbookViewId="0"/>
  </sheetViews>
  <sheetFormatPr defaultColWidth="8.625" defaultRowHeight="15.75"/>
  <cols>
    <col min="1" max="1" width="21.125" style="220" bestFit="1" customWidth="1"/>
    <col min="2" max="2" width="14.125" style="220" bestFit="1" customWidth="1"/>
    <col min="3" max="3" width="20.375" style="220" bestFit="1" customWidth="1"/>
    <col min="4" max="4" width="15.125" style="220" bestFit="1" customWidth="1"/>
    <col min="5" max="5" width="17.375" style="220" bestFit="1" customWidth="1"/>
    <col min="6" max="6" width="14.625" style="220" bestFit="1" customWidth="1"/>
    <col min="7" max="8" width="15.875" style="220" bestFit="1" customWidth="1"/>
    <col min="9" max="9" width="20.125" style="220" bestFit="1" customWidth="1"/>
    <col min="10" max="10" width="18.625" style="220" bestFit="1" customWidth="1"/>
    <col min="11" max="11" width="17.5" style="220" bestFit="1" customWidth="1"/>
    <col min="12" max="12" width="23.5" style="220" bestFit="1" customWidth="1"/>
    <col min="13" max="13" width="16.875" style="220" bestFit="1" customWidth="1"/>
    <col min="14" max="14" width="15.125" style="220" bestFit="1" customWidth="1"/>
    <col min="15" max="15" width="23.125" style="220" customWidth="1"/>
    <col min="16" max="16" width="11.125" style="220" bestFit="1" customWidth="1"/>
    <col min="17" max="17" width="15.875" style="220" bestFit="1" customWidth="1"/>
    <col min="18" max="16384" width="8.625" style="220"/>
  </cols>
  <sheetData>
    <row r="1" spans="1:17">
      <c r="A1" s="218" t="s">
        <v>1978</v>
      </c>
      <c r="B1" s="218" t="s">
        <v>1979</v>
      </c>
      <c r="C1" s="218" t="s">
        <v>1980</v>
      </c>
      <c r="D1" s="218" t="s">
        <v>1981</v>
      </c>
      <c r="E1" s="218" t="s">
        <v>1982</v>
      </c>
      <c r="F1" s="218" t="s">
        <v>1983</v>
      </c>
      <c r="G1" s="218" t="s">
        <v>1984</v>
      </c>
      <c r="H1" s="218" t="s">
        <v>1985</v>
      </c>
      <c r="I1" s="218" t="s">
        <v>1986</v>
      </c>
      <c r="J1" s="218" t="s">
        <v>1987</v>
      </c>
      <c r="K1" s="218" t="s">
        <v>1988</v>
      </c>
      <c r="L1" s="218" t="s">
        <v>1989</v>
      </c>
      <c r="M1" s="218" t="s">
        <v>1990</v>
      </c>
      <c r="N1" s="218" t="s">
        <v>1991</v>
      </c>
      <c r="O1" s="218" t="s">
        <v>1992</v>
      </c>
      <c r="P1" s="218" t="s">
        <v>1993</v>
      </c>
      <c r="Q1" s="218" t="s">
        <v>1994</v>
      </c>
    </row>
    <row r="2" spans="1:17">
      <c r="A2" s="219" t="s">
        <v>1995</v>
      </c>
      <c r="B2" s="219" t="s">
        <v>1996</v>
      </c>
      <c r="C2" s="219" t="s">
        <v>1997</v>
      </c>
      <c r="D2" s="219" t="s">
        <v>1998</v>
      </c>
      <c r="E2" s="219" t="s">
        <v>1999</v>
      </c>
      <c r="F2" s="219" t="s">
        <v>2000</v>
      </c>
      <c r="G2" s="219" t="s">
        <v>2001</v>
      </c>
      <c r="H2" s="219" t="s">
        <v>2002</v>
      </c>
      <c r="I2" s="219" t="s">
        <v>2003</v>
      </c>
      <c r="J2" s="219" t="s">
        <v>2004</v>
      </c>
      <c r="K2" s="219" t="s">
        <v>2005</v>
      </c>
      <c r="L2" s="219" t="s">
        <v>2006</v>
      </c>
      <c r="M2" s="219" t="s">
        <v>2024</v>
      </c>
      <c r="N2" s="219" t="s">
        <v>2008</v>
      </c>
      <c r="O2" s="219" t="s">
        <v>2009</v>
      </c>
      <c r="P2" s="219" t="s">
        <v>2010</v>
      </c>
      <c r="Q2" s="219" t="s">
        <v>2011</v>
      </c>
    </row>
    <row r="3" spans="1:17">
      <c r="A3" s="219" t="s">
        <v>2012</v>
      </c>
      <c r="B3" s="219" t="s">
        <v>2013</v>
      </c>
      <c r="C3" s="219" t="s">
        <v>2014</v>
      </c>
      <c r="D3" s="219" t="s">
        <v>2015</v>
      </c>
      <c r="E3" s="219" t="s">
        <v>2016</v>
      </c>
      <c r="F3" s="219" t="s">
        <v>2017</v>
      </c>
      <c r="G3" s="219" t="s">
        <v>2018</v>
      </c>
      <c r="H3" s="219" t="s">
        <v>2019</v>
      </c>
      <c r="I3" s="219" t="s">
        <v>2020</v>
      </c>
      <c r="J3" s="219" t="s">
        <v>2021</v>
      </c>
      <c r="K3" s="219" t="s">
        <v>2022</v>
      </c>
      <c r="L3" s="219" t="s">
        <v>2023</v>
      </c>
      <c r="M3" s="219" t="s">
        <v>2041</v>
      </c>
      <c r="N3" s="219" t="s">
        <v>2025</v>
      </c>
      <c r="O3" s="219" t="s">
        <v>2007</v>
      </c>
      <c r="P3" s="219" t="s">
        <v>2027</v>
      </c>
      <c r="Q3" s="219" t="s">
        <v>2028</v>
      </c>
    </row>
    <row r="4" spans="1:17">
      <c r="A4" s="219" t="s">
        <v>2029</v>
      </c>
      <c r="B4" s="219" t="s">
        <v>2030</v>
      </c>
      <c r="C4" s="219" t="s">
        <v>2031</v>
      </c>
      <c r="D4" s="219" t="s">
        <v>2032</v>
      </c>
      <c r="E4" s="219" t="s">
        <v>2033</v>
      </c>
      <c r="F4" s="219" t="s">
        <v>2034</v>
      </c>
      <c r="G4" s="219" t="s">
        <v>2035</v>
      </c>
      <c r="H4" s="219" t="s">
        <v>2036</v>
      </c>
      <c r="I4" s="219" t="s">
        <v>2037</v>
      </c>
      <c r="J4" s="219" t="s">
        <v>2038</v>
      </c>
      <c r="K4" s="219" t="s">
        <v>2039</v>
      </c>
      <c r="L4" s="219" t="s">
        <v>2040</v>
      </c>
      <c r="M4" s="219" t="s">
        <v>2058</v>
      </c>
      <c r="N4" s="219" t="s">
        <v>2042</v>
      </c>
      <c r="O4" s="219" t="s">
        <v>2026</v>
      </c>
      <c r="P4" s="219" t="s">
        <v>2044</v>
      </c>
      <c r="Q4" s="219" t="s">
        <v>2045</v>
      </c>
    </row>
    <row r="5" spans="1:17">
      <c r="A5" s="219" t="s">
        <v>2046</v>
      </c>
      <c r="B5" s="219" t="s">
        <v>2047</v>
      </c>
      <c r="C5" s="219" t="s">
        <v>2048</v>
      </c>
      <c r="D5" s="219" t="s">
        <v>2049</v>
      </c>
      <c r="E5" s="219" t="s">
        <v>2050</v>
      </c>
      <c r="F5" s="219" t="s">
        <v>2051</v>
      </c>
      <c r="G5" s="219" t="s">
        <v>2052</v>
      </c>
      <c r="H5" s="219" t="s">
        <v>2053</v>
      </c>
      <c r="I5" s="219" t="s">
        <v>2054</v>
      </c>
      <c r="J5" s="219" t="s">
        <v>2055</v>
      </c>
      <c r="K5" s="219" t="s">
        <v>2056</v>
      </c>
      <c r="L5" s="219" t="s">
        <v>2057</v>
      </c>
      <c r="M5" s="219" t="s">
        <v>2075</v>
      </c>
      <c r="N5" s="219" t="s">
        <v>2059</v>
      </c>
      <c r="O5" s="219" t="s">
        <v>2043</v>
      </c>
      <c r="P5" s="219" t="s">
        <v>2061</v>
      </c>
      <c r="Q5" s="219" t="s">
        <v>2062</v>
      </c>
    </row>
    <row r="6" spans="1:17">
      <c r="A6" s="219" t="s">
        <v>2063</v>
      </c>
      <c r="B6" s="219" t="s">
        <v>2064</v>
      </c>
      <c r="C6" s="219" t="s">
        <v>2065</v>
      </c>
      <c r="D6" s="219" t="s">
        <v>2066</v>
      </c>
      <c r="E6" s="219" t="s">
        <v>2067</v>
      </c>
      <c r="F6" s="219" t="s">
        <v>2068</v>
      </c>
      <c r="G6" s="219" t="s">
        <v>2069</v>
      </c>
      <c r="H6" s="219" t="s">
        <v>2070</v>
      </c>
      <c r="I6" s="219" t="s">
        <v>2071</v>
      </c>
      <c r="J6" s="219" t="s">
        <v>2072</v>
      </c>
      <c r="K6" s="219" t="s">
        <v>2073</v>
      </c>
      <c r="L6" s="219" t="s">
        <v>2074</v>
      </c>
      <c r="M6" s="219" t="s">
        <v>2092</v>
      </c>
      <c r="N6" s="219" t="s">
        <v>2076</v>
      </c>
      <c r="O6" s="219" t="s">
        <v>2060</v>
      </c>
      <c r="P6" s="219" t="s">
        <v>2078</v>
      </c>
      <c r="Q6" s="219" t="s">
        <v>2079</v>
      </c>
    </row>
    <row r="7" spans="1:17">
      <c r="A7" s="219" t="s">
        <v>2080</v>
      </c>
      <c r="B7" s="219" t="s">
        <v>2081</v>
      </c>
      <c r="C7" s="219" t="s">
        <v>2082</v>
      </c>
      <c r="D7" s="219" t="s">
        <v>2083</v>
      </c>
      <c r="E7" s="219" t="s">
        <v>2084</v>
      </c>
      <c r="F7" s="219" t="s">
        <v>2085</v>
      </c>
      <c r="G7" s="219" t="s">
        <v>2086</v>
      </c>
      <c r="H7" s="219" t="s">
        <v>2087</v>
      </c>
      <c r="I7" s="219" t="s">
        <v>2088</v>
      </c>
      <c r="J7" s="219" t="s">
        <v>2089</v>
      </c>
      <c r="K7" s="219" t="s">
        <v>2090</v>
      </c>
      <c r="L7" s="219" t="s">
        <v>2091</v>
      </c>
      <c r="M7" s="219" t="s">
        <v>2109</v>
      </c>
      <c r="N7" s="219" t="s">
        <v>2093</v>
      </c>
      <c r="O7" s="219" t="s">
        <v>2077</v>
      </c>
      <c r="P7" s="219" t="s">
        <v>2095</v>
      </c>
      <c r="Q7" s="219" t="s">
        <v>2096</v>
      </c>
    </row>
    <row r="8" spans="1:17">
      <c r="A8" s="219" t="s">
        <v>2097</v>
      </c>
      <c r="B8" s="219" t="s">
        <v>2098</v>
      </c>
      <c r="C8" s="219" t="s">
        <v>2099</v>
      </c>
      <c r="D8" s="219" t="s">
        <v>2100</v>
      </c>
      <c r="E8" s="219" t="s">
        <v>2101</v>
      </c>
      <c r="F8" s="219" t="s">
        <v>2102</v>
      </c>
      <c r="G8" s="219" t="s">
        <v>2103</v>
      </c>
      <c r="H8" s="219" t="s">
        <v>2104</v>
      </c>
      <c r="I8" s="219" t="s">
        <v>2105</v>
      </c>
      <c r="J8" s="219" t="s">
        <v>2106</v>
      </c>
      <c r="K8" s="219" t="s">
        <v>2107</v>
      </c>
      <c r="L8" s="219" t="s">
        <v>2108</v>
      </c>
      <c r="M8" s="219" t="s">
        <v>2125</v>
      </c>
      <c r="N8" s="219" t="s">
        <v>2110</v>
      </c>
      <c r="O8" s="219" t="s">
        <v>2094</v>
      </c>
      <c r="P8" s="219" t="s">
        <v>2112</v>
      </c>
      <c r="Q8" s="219" t="s">
        <v>2113</v>
      </c>
    </row>
    <row r="9" spans="1:17">
      <c r="A9" s="219" t="s">
        <v>2114</v>
      </c>
      <c r="B9" s="219" t="s">
        <v>2115</v>
      </c>
      <c r="C9" s="219" t="s">
        <v>2116</v>
      </c>
      <c r="D9" s="219" t="s">
        <v>2117</v>
      </c>
      <c r="E9" s="219"/>
      <c r="F9" s="219" t="s">
        <v>2118</v>
      </c>
      <c r="G9" s="219" t="s">
        <v>2119</v>
      </c>
      <c r="H9" s="219" t="s">
        <v>2120</v>
      </c>
      <c r="I9" s="219" t="s">
        <v>2121</v>
      </c>
      <c r="J9" s="219" t="s">
        <v>2122</v>
      </c>
      <c r="K9" s="219" t="s">
        <v>2123</v>
      </c>
      <c r="L9" s="219" t="s">
        <v>2124</v>
      </c>
      <c r="M9" s="219" t="s">
        <v>2140</v>
      </c>
      <c r="N9" s="219" t="s">
        <v>2126</v>
      </c>
      <c r="O9" s="219" t="s">
        <v>2111</v>
      </c>
      <c r="P9" s="219" t="s">
        <v>2128</v>
      </c>
      <c r="Q9" s="219" t="s">
        <v>2129</v>
      </c>
    </row>
    <row r="10" spans="1:17">
      <c r="A10" s="219" t="s">
        <v>2130</v>
      </c>
      <c r="B10" s="219" t="s">
        <v>2131</v>
      </c>
      <c r="C10" s="219" t="s">
        <v>2132</v>
      </c>
      <c r="D10" s="219" t="s">
        <v>2133</v>
      </c>
      <c r="E10" s="219"/>
      <c r="F10" s="219" t="s">
        <v>2134</v>
      </c>
      <c r="G10" s="219" t="s">
        <v>2135</v>
      </c>
      <c r="H10" s="219" t="s">
        <v>2136</v>
      </c>
      <c r="I10" s="219" t="s">
        <v>2137</v>
      </c>
      <c r="J10" s="219"/>
      <c r="K10" s="219" t="s">
        <v>2138</v>
      </c>
      <c r="L10" s="219" t="s">
        <v>2139</v>
      </c>
      <c r="M10" s="219"/>
      <c r="N10" s="219" t="s">
        <v>2141</v>
      </c>
      <c r="O10" s="219" t="s">
        <v>2127</v>
      </c>
      <c r="P10" s="219"/>
      <c r="Q10" s="219" t="s">
        <v>2143</v>
      </c>
    </row>
    <row r="11" spans="1:17">
      <c r="A11" s="219" t="s">
        <v>2144</v>
      </c>
      <c r="B11" s="219"/>
      <c r="C11" s="219" t="s">
        <v>2145</v>
      </c>
      <c r="D11" s="219" t="s">
        <v>2146</v>
      </c>
      <c r="E11" s="219"/>
      <c r="F11" s="219" t="s">
        <v>2147</v>
      </c>
      <c r="G11" s="219" t="s">
        <v>2148</v>
      </c>
      <c r="H11" s="219" t="s">
        <v>2149</v>
      </c>
      <c r="I11" s="219" t="s">
        <v>2150</v>
      </c>
      <c r="J11" s="219"/>
      <c r="K11" s="219" t="s">
        <v>2151</v>
      </c>
      <c r="L11" s="219" t="s">
        <v>2152</v>
      </c>
      <c r="M11" s="219"/>
      <c r="N11" s="219" t="s">
        <v>2153</v>
      </c>
      <c r="O11" s="219" t="s">
        <v>2142</v>
      </c>
      <c r="P11" s="219"/>
      <c r="Q11" s="219" t="s">
        <v>2155</v>
      </c>
    </row>
    <row r="12" spans="1:17">
      <c r="A12" s="219" t="s">
        <v>2156</v>
      </c>
      <c r="B12" s="219"/>
      <c r="C12" s="219" t="s">
        <v>2157</v>
      </c>
      <c r="D12" s="219" t="s">
        <v>2158</v>
      </c>
      <c r="E12" s="219"/>
      <c r="F12" s="219" t="s">
        <v>2159</v>
      </c>
      <c r="G12" s="219" t="s">
        <v>2160</v>
      </c>
      <c r="H12" s="219" t="s">
        <v>2161</v>
      </c>
      <c r="I12" s="219" t="s">
        <v>2162</v>
      </c>
      <c r="J12" s="219"/>
      <c r="K12" s="219" t="s">
        <v>2163</v>
      </c>
      <c r="L12" s="219" t="s">
        <v>2164</v>
      </c>
      <c r="M12" s="219"/>
      <c r="N12" s="219" t="s">
        <v>2165</v>
      </c>
      <c r="O12" s="219" t="s">
        <v>2154</v>
      </c>
      <c r="P12" s="219"/>
      <c r="Q12" s="219" t="s">
        <v>2167</v>
      </c>
    </row>
    <row r="13" spans="1:17">
      <c r="A13" s="219" t="s">
        <v>2168</v>
      </c>
      <c r="B13" s="219"/>
      <c r="C13" s="219" t="s">
        <v>2169</v>
      </c>
      <c r="D13" s="219" t="s">
        <v>2170</v>
      </c>
      <c r="E13" s="219"/>
      <c r="F13" s="219" t="s">
        <v>2171</v>
      </c>
      <c r="G13" s="219" t="s">
        <v>2172</v>
      </c>
      <c r="H13" s="219" t="s">
        <v>2173</v>
      </c>
      <c r="I13" s="219" t="s">
        <v>2174</v>
      </c>
      <c r="J13" s="219"/>
      <c r="K13" s="219" t="s">
        <v>2175</v>
      </c>
      <c r="L13" s="219"/>
      <c r="M13" s="219"/>
      <c r="N13" s="219" t="s">
        <v>2176</v>
      </c>
      <c r="O13" s="1776" t="s">
        <v>2454</v>
      </c>
      <c r="P13" s="219"/>
      <c r="Q13" s="219" t="s">
        <v>2178</v>
      </c>
    </row>
    <row r="14" spans="1:17">
      <c r="A14" s="219" t="s">
        <v>2179</v>
      </c>
      <c r="B14" s="219"/>
      <c r="C14" s="219" t="s">
        <v>2180</v>
      </c>
      <c r="D14" s="219" t="s">
        <v>2181</v>
      </c>
      <c r="E14" s="219"/>
      <c r="F14" s="219" t="s">
        <v>2182</v>
      </c>
      <c r="G14" s="219" t="s">
        <v>2183</v>
      </c>
      <c r="H14" s="219" t="s">
        <v>2184</v>
      </c>
      <c r="I14" s="219" t="s">
        <v>2185</v>
      </c>
      <c r="J14" s="219"/>
      <c r="K14" s="219" t="s">
        <v>2186</v>
      </c>
      <c r="L14" s="219"/>
      <c r="M14" s="219"/>
      <c r="N14" s="219"/>
      <c r="O14" s="219" t="s">
        <v>2166</v>
      </c>
      <c r="P14" s="219"/>
      <c r="Q14" s="219" t="s">
        <v>2188</v>
      </c>
    </row>
    <row r="15" spans="1:17">
      <c r="A15" s="219" t="s">
        <v>2189</v>
      </c>
      <c r="B15" s="219"/>
      <c r="C15" s="219" t="s">
        <v>2190</v>
      </c>
      <c r="D15" s="219" t="s">
        <v>2191</v>
      </c>
      <c r="E15" s="219"/>
      <c r="F15" s="219"/>
      <c r="G15" s="219" t="s">
        <v>2192</v>
      </c>
      <c r="H15" s="219" t="s">
        <v>2193</v>
      </c>
      <c r="I15" s="219"/>
      <c r="J15" s="219"/>
      <c r="K15" s="219" t="s">
        <v>2194</v>
      </c>
      <c r="L15" s="219"/>
      <c r="M15" s="219"/>
      <c r="N15" s="219"/>
      <c r="O15" s="219" t="s">
        <v>2177</v>
      </c>
      <c r="P15" s="219"/>
      <c r="Q15" s="219" t="s">
        <v>2195</v>
      </c>
    </row>
    <row r="16" spans="1:17">
      <c r="A16" s="219"/>
      <c r="B16" s="219"/>
      <c r="C16" s="219" t="s">
        <v>2168</v>
      </c>
      <c r="D16" s="219" t="s">
        <v>2196</v>
      </c>
      <c r="E16" s="219"/>
      <c r="F16" s="219"/>
      <c r="G16" s="219" t="s">
        <v>2197</v>
      </c>
      <c r="H16" s="219" t="s">
        <v>2198</v>
      </c>
      <c r="I16" s="219"/>
      <c r="J16" s="219"/>
      <c r="K16" s="219"/>
      <c r="L16" s="219"/>
      <c r="M16" s="219"/>
      <c r="N16" s="219"/>
      <c r="O16" s="219" t="s">
        <v>2187</v>
      </c>
      <c r="P16" s="219"/>
      <c r="Q16" s="219" t="s">
        <v>2199</v>
      </c>
    </row>
    <row r="17" spans="1:17">
      <c r="A17" s="219"/>
      <c r="B17" s="219"/>
      <c r="C17" s="219" t="s">
        <v>2200</v>
      </c>
      <c r="D17" s="219" t="s">
        <v>2201</v>
      </c>
      <c r="E17" s="219"/>
      <c r="F17" s="219"/>
      <c r="G17" s="219" t="s">
        <v>2202</v>
      </c>
      <c r="H17" s="219" t="s">
        <v>2203</v>
      </c>
      <c r="I17" s="219"/>
      <c r="J17" s="219"/>
      <c r="K17" s="219"/>
      <c r="L17" s="219"/>
      <c r="M17" s="219"/>
      <c r="N17" s="219"/>
      <c r="O17" s="219"/>
      <c r="P17" s="219"/>
      <c r="Q17" s="219" t="s">
        <v>2204</v>
      </c>
    </row>
    <row r="18" spans="1:17">
      <c r="A18" s="219"/>
      <c r="B18" s="219"/>
      <c r="C18" s="219" t="s">
        <v>2205</v>
      </c>
      <c r="D18" s="219" t="s">
        <v>2206</v>
      </c>
      <c r="E18" s="219"/>
      <c r="F18" s="219"/>
      <c r="G18" s="219" t="s">
        <v>2207</v>
      </c>
      <c r="H18" s="219" t="s">
        <v>2208</v>
      </c>
      <c r="I18" s="219"/>
      <c r="J18" s="219"/>
      <c r="K18" s="219"/>
      <c r="L18" s="219"/>
      <c r="M18" s="219"/>
      <c r="N18" s="219"/>
      <c r="O18" s="219"/>
      <c r="P18" s="219"/>
      <c r="Q18" s="219"/>
    </row>
    <row r="19" spans="1:17">
      <c r="A19" s="219"/>
      <c r="B19" s="219"/>
      <c r="C19" s="219" t="s">
        <v>2209</v>
      </c>
      <c r="D19" s="220" t="s">
        <v>11486</v>
      </c>
      <c r="E19" s="219"/>
      <c r="F19" s="219"/>
      <c r="G19" s="219" t="s">
        <v>2156</v>
      </c>
      <c r="H19" s="219" t="s">
        <v>2211</v>
      </c>
      <c r="I19" s="219"/>
      <c r="J19" s="219"/>
      <c r="K19" s="219"/>
      <c r="L19" s="219"/>
      <c r="M19" s="219"/>
      <c r="N19" s="219"/>
      <c r="O19" s="219"/>
      <c r="P19" s="219"/>
      <c r="Q19" s="219"/>
    </row>
    <row r="20" spans="1:17">
      <c r="A20" s="219"/>
      <c r="B20" s="219"/>
      <c r="C20" s="219" t="s">
        <v>2212</v>
      </c>
      <c r="D20" s="219" t="s">
        <v>2210</v>
      </c>
      <c r="E20" s="219"/>
      <c r="F20" s="219"/>
      <c r="G20" s="219" t="s">
        <v>2214</v>
      </c>
      <c r="H20" s="219" t="s">
        <v>2215</v>
      </c>
      <c r="I20" s="219"/>
      <c r="J20" s="219"/>
      <c r="K20" s="219"/>
      <c r="L20" s="219"/>
      <c r="M20" s="219"/>
      <c r="N20" s="219"/>
      <c r="O20" s="219"/>
      <c r="P20" s="219"/>
      <c r="Q20" s="219"/>
    </row>
    <row r="21" spans="1:17">
      <c r="A21" s="219"/>
      <c r="B21" s="219"/>
      <c r="C21" s="219" t="s">
        <v>2216</v>
      </c>
      <c r="D21" s="219" t="s">
        <v>2213</v>
      </c>
      <c r="E21" s="219"/>
      <c r="F21" s="219"/>
      <c r="G21" s="219" t="s">
        <v>2218</v>
      </c>
      <c r="H21" s="219"/>
      <c r="I21" s="219"/>
      <c r="J21" s="219"/>
      <c r="K21" s="219"/>
      <c r="L21" s="219"/>
      <c r="M21" s="219"/>
      <c r="N21" s="219"/>
      <c r="O21" s="219"/>
      <c r="P21" s="219"/>
      <c r="Q21" s="219"/>
    </row>
    <row r="22" spans="1:17">
      <c r="A22" s="219"/>
      <c r="B22" s="219"/>
      <c r="C22" s="219"/>
      <c r="D22" s="219" t="s">
        <v>2217</v>
      </c>
      <c r="E22" s="219"/>
      <c r="F22" s="219"/>
      <c r="G22" s="219" t="s">
        <v>11358</v>
      </c>
      <c r="H22" s="219"/>
      <c r="I22" s="219"/>
      <c r="J22" s="219"/>
      <c r="K22" s="219"/>
      <c r="L22" s="219"/>
      <c r="M22" s="219"/>
      <c r="N22" s="219"/>
      <c r="O22" s="219"/>
      <c r="P22" s="219"/>
      <c r="Q22" s="219"/>
    </row>
    <row r="23" spans="1:17">
      <c r="A23" s="219"/>
      <c r="B23" s="219"/>
      <c r="C23" s="219"/>
      <c r="D23" s="219" t="s">
        <v>2219</v>
      </c>
      <c r="E23" s="219"/>
      <c r="F23" s="219"/>
      <c r="G23" s="219"/>
      <c r="H23" s="219"/>
      <c r="I23" s="219"/>
      <c r="J23" s="219"/>
      <c r="K23" s="219"/>
      <c r="L23" s="219"/>
      <c r="M23" s="219"/>
      <c r="N23" s="219"/>
      <c r="O23" s="219"/>
      <c r="P23" s="219"/>
      <c r="Q23" s="219"/>
    </row>
  </sheetData>
  <sheetProtection algorithmName="SHA-512" hashValue="879hEuDYDrDGlXpIEw4HZgRbwhPFszZD1goi0D8tMFRCADK5fWb2f5J1OSDo5SOBs7+jofqhpKWPHuAjUKgpuQ==" saltValue="r6nikvuC1kT7LJvyx+F5Iw==" spinCount="100000" sheet="1" objects="1" scenarios="1"/>
  <customSheetViews>
    <customSheetView guid="{6EFEFCA0-BF14-457A-85A3-29CBF2A862A5}" state="hidden">
      <pageMargins left="0.7" right="0.7" top="0.75" bottom="0.75" header="0.3" footer="0.3"/>
      <pageSetup orientation="portrait" r:id="rId1"/>
    </customSheetView>
  </customSheetView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CDEA-87A3-49CD-86F0-150BC525C43D}">
  <sheetPr codeName="Sheet3"/>
  <dimension ref="A1:BL33"/>
  <sheetViews>
    <sheetView workbookViewId="0"/>
  </sheetViews>
  <sheetFormatPr defaultColWidth="8.875" defaultRowHeight="18.95" customHeight="1"/>
  <cols>
    <col min="1" max="1" width="14" style="1724" customWidth="1"/>
    <col min="2" max="3" width="8.875" style="1724"/>
    <col min="4" max="4" width="16.875" style="1724" bestFit="1" customWidth="1"/>
    <col min="5" max="6" width="8.875" style="1724"/>
    <col min="7" max="7" width="22.5" style="1724" bestFit="1" customWidth="1"/>
    <col min="8" max="9" width="8.875" style="1724"/>
    <col min="10" max="10" width="17.375" style="1724" customWidth="1"/>
    <col min="11" max="12" width="8.875" style="1724"/>
    <col min="13" max="13" width="21.375" style="1724" customWidth="1"/>
    <col min="14" max="14" width="17.625" style="1724" customWidth="1"/>
    <col min="15" max="15" width="39.375" style="1724" customWidth="1"/>
    <col min="16" max="16" width="8.875" style="1724"/>
    <col min="17" max="17" width="32.625" style="1724" customWidth="1"/>
    <col min="18" max="16384" width="8.875" style="1724"/>
  </cols>
  <sheetData>
    <row r="1" spans="1:64" ht="18.95" customHeight="1">
      <c r="B1" s="1724">
        <v>0</v>
      </c>
      <c r="E1" s="1724">
        <v>0</v>
      </c>
      <c r="H1" s="1724">
        <v>0</v>
      </c>
      <c r="K1" s="1724">
        <v>0</v>
      </c>
    </row>
    <row r="2" spans="1:64" ht="18.95" customHeight="1">
      <c r="A2" s="1724" t="s">
        <v>2220</v>
      </c>
      <c r="B2" s="1724">
        <v>2</v>
      </c>
      <c r="D2" s="1724" t="s">
        <v>2221</v>
      </c>
      <c r="E2" s="1724">
        <v>1</v>
      </c>
      <c r="G2" s="1725" t="s">
        <v>2222</v>
      </c>
      <c r="H2" s="1724">
        <v>1</v>
      </c>
      <c r="J2" s="1724" t="s">
        <v>6190</v>
      </c>
      <c r="K2" s="1724">
        <v>1</v>
      </c>
      <c r="M2" s="1725"/>
      <c r="N2" s="1725"/>
      <c r="O2" s="1726"/>
      <c r="P2" s="1727"/>
      <c r="Q2" s="1728"/>
      <c r="R2" s="1729"/>
      <c r="S2" s="1729"/>
      <c r="T2" s="1729"/>
      <c r="U2" s="1729"/>
      <c r="V2" s="1729"/>
      <c r="W2" s="1729"/>
      <c r="X2" s="1729"/>
      <c r="Y2" s="1729"/>
      <c r="Z2" s="1729"/>
      <c r="AA2" s="1729"/>
      <c r="AB2" s="1729"/>
      <c r="AC2" s="1729"/>
      <c r="AD2" s="1729"/>
      <c r="AE2" s="1729"/>
      <c r="AF2" s="1729"/>
      <c r="AG2" s="1729"/>
      <c r="AH2" s="1729"/>
      <c r="AI2" s="1729"/>
      <c r="AJ2" s="1729"/>
      <c r="AK2" s="1729"/>
      <c r="AL2" s="1729"/>
      <c r="AM2" s="1729"/>
      <c r="AN2" s="1729"/>
      <c r="AO2" s="1729"/>
      <c r="AP2" s="1729"/>
      <c r="AQ2" s="1729"/>
      <c r="AR2" s="1729"/>
      <c r="AS2" s="1729"/>
      <c r="AT2" s="1729"/>
      <c r="AU2" s="1729"/>
      <c r="AV2" s="1729"/>
      <c r="AW2" s="1729"/>
      <c r="AX2" s="1729"/>
      <c r="AY2" s="1729"/>
      <c r="AZ2" s="1729"/>
      <c r="BA2" s="1729"/>
      <c r="BB2" s="1729"/>
      <c r="BC2" s="1729"/>
      <c r="BD2" s="1729"/>
      <c r="BE2" s="1729"/>
      <c r="BF2" s="1729"/>
      <c r="BG2" s="1729"/>
      <c r="BH2" s="1729"/>
      <c r="BI2" s="1729"/>
      <c r="BJ2" s="1729"/>
      <c r="BK2" s="1729"/>
      <c r="BL2" s="1729"/>
    </row>
    <row r="3" spans="1:64" ht="18.95" customHeight="1">
      <c r="A3" s="1724" t="s">
        <v>2223</v>
      </c>
      <c r="B3" s="1724">
        <v>3</v>
      </c>
      <c r="D3" s="1724" t="s">
        <v>2224</v>
      </c>
      <c r="E3" s="1724">
        <v>2</v>
      </c>
      <c r="G3" s="1725" t="s">
        <v>426</v>
      </c>
      <c r="H3" s="1724">
        <v>4</v>
      </c>
      <c r="J3" s="1724" t="s">
        <v>11266</v>
      </c>
      <c r="K3" s="1724">
        <v>2</v>
      </c>
      <c r="M3" s="1725"/>
      <c r="N3" s="1725"/>
      <c r="O3" s="1726"/>
      <c r="P3" s="1727"/>
      <c r="Q3" s="1728"/>
      <c r="R3" s="1729"/>
      <c r="S3" s="1729"/>
      <c r="T3" s="1729"/>
      <c r="U3" s="1729"/>
      <c r="V3" s="1729"/>
      <c r="W3" s="1729"/>
      <c r="X3" s="1729"/>
      <c r="Y3" s="1729"/>
      <c r="Z3" s="1729"/>
      <c r="AA3" s="1729"/>
      <c r="AB3" s="1729"/>
      <c r="AC3" s="1729"/>
      <c r="AD3" s="1729"/>
      <c r="AE3" s="1729"/>
      <c r="AF3" s="1729"/>
      <c r="AG3" s="1729"/>
      <c r="AH3" s="1729"/>
      <c r="AI3" s="1729"/>
      <c r="AJ3" s="1729"/>
      <c r="AK3" s="1729"/>
      <c r="AL3" s="1729"/>
      <c r="AM3" s="1729"/>
      <c r="AN3" s="1729"/>
      <c r="AO3" s="1729"/>
      <c r="AP3" s="1729"/>
      <c r="AQ3" s="1729"/>
      <c r="AR3" s="1729"/>
      <c r="AS3" s="1729"/>
      <c r="AT3" s="1729"/>
      <c r="AU3" s="1729"/>
      <c r="AV3" s="1729"/>
      <c r="AW3" s="1729"/>
      <c r="AX3" s="1729"/>
      <c r="AY3" s="1729"/>
      <c r="AZ3" s="1729"/>
      <c r="BA3" s="1729"/>
      <c r="BB3" s="1729"/>
      <c r="BC3" s="1729"/>
      <c r="BD3" s="1729"/>
      <c r="BE3" s="1729"/>
      <c r="BF3" s="1729"/>
      <c r="BG3" s="1729"/>
      <c r="BH3" s="1729"/>
      <c r="BI3" s="1729"/>
      <c r="BJ3" s="1729"/>
      <c r="BK3" s="1729"/>
      <c r="BL3" s="1729"/>
    </row>
    <row r="4" spans="1:64" ht="18.95" customHeight="1">
      <c r="A4" s="1724" t="s">
        <v>2225</v>
      </c>
      <c r="B4" s="1724">
        <v>4</v>
      </c>
      <c r="D4" s="1724" t="s">
        <v>2226</v>
      </c>
      <c r="E4" s="1724">
        <v>3</v>
      </c>
      <c r="G4" s="1724" t="s">
        <v>403</v>
      </c>
      <c r="H4" s="1724">
        <v>2</v>
      </c>
      <c r="J4" s="1724" t="s">
        <v>11267</v>
      </c>
      <c r="K4" s="1724">
        <v>3</v>
      </c>
      <c r="M4" s="1725"/>
      <c r="N4" s="1725"/>
      <c r="O4" s="1726"/>
      <c r="P4" s="1727"/>
      <c r="Q4" s="1728"/>
      <c r="R4" s="1729"/>
      <c r="S4" s="1729"/>
      <c r="T4" s="1729"/>
      <c r="U4" s="1729"/>
      <c r="V4" s="1729"/>
      <c r="W4" s="1729"/>
      <c r="X4" s="1729"/>
      <c r="Y4" s="1729"/>
      <c r="Z4" s="1729"/>
      <c r="AA4" s="1729"/>
      <c r="AB4" s="1729"/>
      <c r="AC4" s="1729"/>
      <c r="AD4" s="1729"/>
      <c r="AE4" s="1729"/>
      <c r="AF4" s="1729"/>
      <c r="AG4" s="1729"/>
      <c r="AH4" s="1729"/>
      <c r="AI4" s="1729"/>
      <c r="AJ4" s="1729"/>
      <c r="AK4" s="1729"/>
      <c r="AL4" s="1729"/>
      <c r="AM4" s="1729"/>
      <c r="AN4" s="1729"/>
      <c r="AO4" s="1729"/>
      <c r="AP4" s="1729"/>
      <c r="AQ4" s="1729"/>
      <c r="AR4" s="1729"/>
      <c r="AS4" s="1729"/>
      <c r="AT4" s="1729"/>
      <c r="AU4" s="1729"/>
      <c r="AV4" s="1729"/>
      <c r="AW4" s="1729"/>
      <c r="AX4" s="1729"/>
      <c r="AY4" s="1729"/>
      <c r="AZ4" s="1729"/>
      <c r="BA4" s="1729"/>
      <c r="BB4" s="1729"/>
      <c r="BC4" s="1729"/>
      <c r="BD4" s="1729"/>
      <c r="BE4" s="1729"/>
      <c r="BF4" s="1729"/>
      <c r="BG4" s="1729"/>
      <c r="BH4" s="1729"/>
      <c r="BI4" s="1729"/>
      <c r="BJ4" s="1729"/>
      <c r="BK4" s="1729"/>
      <c r="BL4" s="1729"/>
    </row>
    <row r="5" spans="1:64" ht="18.95" customHeight="1">
      <c r="A5" s="1724" t="s">
        <v>2227</v>
      </c>
      <c r="B5" s="1724">
        <v>1</v>
      </c>
      <c r="D5" s="1724" t="s">
        <v>272</v>
      </c>
      <c r="E5" s="1724">
        <v>8</v>
      </c>
      <c r="G5" s="1725" t="s">
        <v>2228</v>
      </c>
      <c r="H5" s="1724">
        <v>7</v>
      </c>
      <c r="J5" s="1724" t="s">
        <v>6191</v>
      </c>
      <c r="K5" s="1724">
        <v>4</v>
      </c>
      <c r="M5" s="1725"/>
      <c r="N5" s="1725"/>
      <c r="O5" s="1726"/>
      <c r="P5" s="1727"/>
      <c r="Q5" s="1728"/>
      <c r="R5" s="1729"/>
      <c r="S5" s="1729"/>
      <c r="T5" s="1729"/>
      <c r="U5" s="1729"/>
      <c r="V5" s="1729"/>
      <c r="W5" s="1729"/>
      <c r="X5" s="1729"/>
      <c r="Y5" s="1729"/>
      <c r="Z5" s="1729"/>
      <c r="AA5" s="1729"/>
      <c r="AB5" s="1729"/>
      <c r="AC5" s="1729"/>
      <c r="AD5" s="1729"/>
      <c r="AE5" s="1729"/>
      <c r="AF5" s="1729"/>
      <c r="AG5" s="1729"/>
      <c r="AH5" s="1729"/>
      <c r="AI5" s="1729"/>
      <c r="AJ5" s="1729"/>
      <c r="AK5" s="1729"/>
      <c r="AL5" s="1729"/>
      <c r="AM5" s="1729"/>
      <c r="AN5" s="1729"/>
      <c r="AO5" s="1729"/>
      <c r="AP5" s="1729"/>
      <c r="AQ5" s="1729"/>
      <c r="AR5" s="1729"/>
      <c r="AS5" s="1729"/>
      <c r="AT5" s="1729"/>
      <c r="AU5" s="1729"/>
      <c r="AV5" s="1729"/>
      <c r="AW5" s="1729"/>
      <c r="AX5" s="1729"/>
      <c r="AY5" s="1729"/>
      <c r="AZ5" s="1729"/>
      <c r="BA5" s="1729"/>
      <c r="BB5" s="1729"/>
      <c r="BC5" s="1729"/>
      <c r="BD5" s="1729"/>
      <c r="BE5" s="1729"/>
      <c r="BF5" s="1729"/>
      <c r="BG5" s="1729"/>
      <c r="BH5" s="1729"/>
      <c r="BI5" s="1729"/>
      <c r="BJ5" s="1729"/>
      <c r="BK5" s="1729"/>
      <c r="BL5" s="1729"/>
    </row>
    <row r="6" spans="1:64" ht="18.95" customHeight="1">
      <c r="A6" s="1724">
        <v>0</v>
      </c>
      <c r="B6" s="1724">
        <v>0</v>
      </c>
      <c r="D6" s="1724" t="s">
        <v>1705</v>
      </c>
      <c r="E6" s="1724">
        <v>4</v>
      </c>
      <c r="G6" s="1724" t="s">
        <v>427</v>
      </c>
      <c r="H6" s="1724">
        <v>6</v>
      </c>
      <c r="J6" s="1724" t="s">
        <v>11268</v>
      </c>
      <c r="K6" s="1724">
        <v>5</v>
      </c>
      <c r="O6" s="1726"/>
      <c r="P6" s="1727"/>
      <c r="Q6" s="1728"/>
      <c r="R6" s="1728"/>
      <c r="S6" s="1728"/>
      <c r="T6" s="1728"/>
      <c r="U6" s="1728"/>
      <c r="V6" s="1728"/>
      <c r="W6" s="1728"/>
      <c r="X6" s="1728"/>
      <c r="Y6" s="1728"/>
      <c r="Z6" s="1728"/>
      <c r="AA6" s="1728"/>
      <c r="AB6" s="1728"/>
      <c r="AC6" s="1728"/>
      <c r="AD6" s="1728"/>
      <c r="AE6" s="1728"/>
      <c r="AF6" s="1728"/>
      <c r="AG6" s="1728"/>
      <c r="AH6" s="1728"/>
      <c r="AI6" s="1728"/>
      <c r="AJ6" s="1728"/>
      <c r="AK6" s="1728"/>
      <c r="AL6" s="1728"/>
      <c r="AM6" s="1728"/>
      <c r="AN6" s="1728"/>
      <c r="AO6" s="1728"/>
      <c r="AP6" s="1728"/>
      <c r="AQ6" s="1728"/>
      <c r="AR6" s="1728"/>
      <c r="AS6" s="1728"/>
      <c r="AT6" s="1728"/>
      <c r="AU6" s="1728"/>
      <c r="AV6" s="1728"/>
      <c r="AW6" s="1728"/>
      <c r="AX6" s="1728"/>
      <c r="AY6" s="1728"/>
      <c r="AZ6" s="1728"/>
      <c r="BA6" s="1728"/>
      <c r="BB6" s="1728"/>
      <c r="BC6" s="1728"/>
      <c r="BD6" s="1728"/>
      <c r="BE6" s="1728"/>
      <c r="BF6" s="1728"/>
      <c r="BG6" s="1728"/>
      <c r="BH6" s="1728"/>
      <c r="BI6" s="1728"/>
      <c r="BJ6" s="1728"/>
      <c r="BK6" s="1728"/>
      <c r="BL6" s="1728"/>
    </row>
    <row r="7" spans="1:64" ht="18.95" customHeight="1">
      <c r="D7" s="1724" t="s">
        <v>2229</v>
      </c>
      <c r="E7" s="1724">
        <v>5</v>
      </c>
      <c r="G7" s="1724" t="s">
        <v>419</v>
      </c>
      <c r="H7" s="1724">
        <v>5</v>
      </c>
      <c r="J7" s="1724">
        <v>0</v>
      </c>
      <c r="K7" s="1724">
        <v>0</v>
      </c>
      <c r="O7" s="1726"/>
      <c r="P7" s="1727"/>
      <c r="Q7" s="1726"/>
      <c r="R7" s="1727"/>
      <c r="S7" s="1727"/>
      <c r="T7" s="1727"/>
      <c r="U7" s="1727"/>
      <c r="V7" s="1727"/>
      <c r="W7" s="1727"/>
      <c r="X7" s="1727"/>
      <c r="Y7" s="1727"/>
      <c r="Z7" s="1727"/>
      <c r="AA7" s="1727"/>
      <c r="AB7" s="1727"/>
      <c r="AC7" s="1727"/>
      <c r="AD7" s="1727"/>
      <c r="AE7" s="1727"/>
      <c r="AF7" s="1727"/>
      <c r="AG7" s="1727"/>
      <c r="AH7" s="1727"/>
      <c r="AI7" s="1727"/>
      <c r="AJ7" s="1727"/>
      <c r="AK7" s="1727"/>
      <c r="AL7" s="1727"/>
      <c r="AM7" s="1727"/>
      <c r="AN7" s="1727"/>
      <c r="AO7" s="1727"/>
      <c r="AP7" s="1727"/>
      <c r="AQ7" s="1727"/>
      <c r="AR7" s="1727"/>
      <c r="AS7" s="1727"/>
      <c r="AT7" s="1727"/>
      <c r="AU7" s="1727"/>
      <c r="AV7" s="1727"/>
      <c r="AW7" s="1727"/>
      <c r="AX7" s="1727"/>
      <c r="AY7" s="1727"/>
      <c r="AZ7" s="1727"/>
    </row>
    <row r="8" spans="1:64" ht="18.95" customHeight="1">
      <c r="D8" s="1724" t="s">
        <v>2230</v>
      </c>
      <c r="E8" s="1724">
        <v>6</v>
      </c>
      <c r="G8" s="1725" t="s">
        <v>2231</v>
      </c>
      <c r="H8" s="1724">
        <v>3</v>
      </c>
      <c r="O8" s="1726"/>
      <c r="P8" s="1727"/>
      <c r="Q8" s="1727"/>
      <c r="R8" s="1727"/>
      <c r="S8" s="1727"/>
      <c r="T8" s="1727"/>
      <c r="U8" s="1727"/>
      <c r="V8" s="1727"/>
      <c r="W8" s="1727"/>
      <c r="X8" s="1727"/>
      <c r="Y8" s="1727"/>
      <c r="Z8" s="1727"/>
      <c r="AA8" s="1727"/>
      <c r="AB8" s="1727"/>
      <c r="AC8" s="1727"/>
      <c r="AD8" s="1727"/>
      <c r="AE8" s="1727"/>
      <c r="AF8" s="1727"/>
      <c r="AG8" s="1727"/>
      <c r="AH8" s="1727"/>
      <c r="AI8" s="1727"/>
      <c r="AJ8" s="1727"/>
      <c r="AK8" s="1727"/>
      <c r="AL8" s="1727"/>
      <c r="AM8" s="1727"/>
      <c r="AN8" s="1727"/>
      <c r="AO8" s="1727"/>
      <c r="AP8" s="1727"/>
      <c r="AQ8" s="1727"/>
      <c r="AR8" s="1727"/>
      <c r="AS8" s="1727"/>
      <c r="AT8" s="1727"/>
      <c r="AU8" s="1727"/>
      <c r="AV8" s="1727"/>
      <c r="AW8" s="1727"/>
      <c r="AX8" s="1727"/>
      <c r="AY8" s="1727"/>
      <c r="AZ8" s="1727"/>
    </row>
    <row r="9" spans="1:64" ht="18.95" customHeight="1">
      <c r="D9" s="1724" t="s">
        <v>462</v>
      </c>
      <c r="E9" s="1724">
        <v>7</v>
      </c>
      <c r="G9" s="1724" t="s">
        <v>272</v>
      </c>
      <c r="H9" s="1724">
        <v>8</v>
      </c>
      <c r="Q9" s="1730"/>
      <c r="R9" s="1731"/>
      <c r="S9" s="1731"/>
      <c r="T9" s="1731"/>
      <c r="U9" s="1731"/>
      <c r="V9" s="1731"/>
      <c r="W9" s="1731"/>
      <c r="X9" s="1731"/>
      <c r="Y9" s="1731"/>
      <c r="Z9" s="1731"/>
      <c r="AA9" s="1731"/>
      <c r="AB9" s="1731"/>
      <c r="AC9" s="1731"/>
      <c r="AD9" s="1731"/>
      <c r="AE9" s="1731"/>
      <c r="AF9" s="1731"/>
      <c r="AG9" s="1731"/>
      <c r="AH9" s="1731"/>
      <c r="AI9" s="1731"/>
      <c r="AJ9" s="1731"/>
      <c r="AK9" s="1731"/>
      <c r="AL9" s="1731"/>
      <c r="AM9" s="1731"/>
      <c r="AN9" s="1731"/>
      <c r="AO9" s="1731"/>
      <c r="AP9" s="1731"/>
      <c r="AQ9" s="1731"/>
      <c r="AR9" s="1731"/>
      <c r="AS9" s="1731"/>
      <c r="AT9" s="1731"/>
      <c r="AU9" s="1731"/>
      <c r="AV9" s="1731"/>
      <c r="AW9" s="1731"/>
      <c r="AX9" s="1731"/>
      <c r="AY9" s="1731"/>
      <c r="AZ9" s="1731"/>
      <c r="BA9" s="1731"/>
      <c r="BB9" s="1731"/>
    </row>
    <row r="10" spans="1:64" ht="18.95" customHeight="1">
      <c r="D10" s="1724">
        <v>0</v>
      </c>
      <c r="E10" s="1724">
        <v>0</v>
      </c>
      <c r="G10" s="1724">
        <v>0</v>
      </c>
      <c r="H10" s="1724">
        <v>0</v>
      </c>
      <c r="Q10" s="1730"/>
      <c r="R10" s="1731"/>
      <c r="S10" s="1731"/>
      <c r="T10" s="1731"/>
      <c r="U10" s="1731"/>
      <c r="V10" s="1731"/>
      <c r="W10" s="1731"/>
      <c r="X10" s="1731"/>
      <c r="Y10" s="1731"/>
      <c r="Z10" s="1731"/>
      <c r="AA10" s="1731"/>
      <c r="AB10" s="1731"/>
      <c r="AC10" s="1731"/>
      <c r="AD10" s="1731"/>
      <c r="AE10" s="1731"/>
      <c r="AF10" s="1731"/>
      <c r="AG10" s="1731"/>
      <c r="AH10" s="1731"/>
      <c r="AI10" s="1731"/>
      <c r="AJ10" s="1731"/>
      <c r="AK10" s="1731"/>
      <c r="AL10" s="1731"/>
      <c r="AM10" s="1731"/>
      <c r="AN10" s="1731"/>
      <c r="AO10" s="1731"/>
      <c r="AP10" s="1731"/>
      <c r="AQ10" s="1731"/>
      <c r="AR10" s="1731"/>
      <c r="AS10" s="1731"/>
      <c r="AT10" s="1731"/>
      <c r="AU10" s="1731"/>
      <c r="AV10" s="1731"/>
      <c r="AW10" s="1731"/>
      <c r="AX10" s="1731"/>
      <c r="AY10" s="1731"/>
      <c r="AZ10" s="1731"/>
      <c r="BA10" s="1731"/>
      <c r="BB10" s="1731"/>
    </row>
    <row r="11" spans="1:64" ht="18.95" customHeight="1">
      <c r="O11" s="1732"/>
      <c r="P11" s="1720"/>
      <c r="Q11" s="1720"/>
      <c r="R11" s="1720"/>
      <c r="S11" s="1720"/>
      <c r="T11" s="1720"/>
      <c r="U11" s="1720"/>
      <c r="V11" s="1721"/>
    </row>
    <row r="12" spans="1:64" ht="18.95" customHeight="1">
      <c r="O12" s="1733"/>
      <c r="P12" s="1722"/>
      <c r="Q12" s="1732"/>
      <c r="R12" s="1722"/>
      <c r="S12" s="1722"/>
      <c r="T12" s="1722"/>
      <c r="U12" s="1722"/>
      <c r="V12" s="1723"/>
    </row>
    <row r="13" spans="1:64" ht="18.95" customHeight="1">
      <c r="A13" s="1734" t="s">
        <v>2232</v>
      </c>
      <c r="E13" s="1724">
        <v>0</v>
      </c>
      <c r="H13" s="1724">
        <v>0</v>
      </c>
      <c r="K13" s="1724">
        <v>0</v>
      </c>
      <c r="Q13" s="1733"/>
    </row>
    <row r="14" spans="1:64" ht="18.95" customHeight="1">
      <c r="A14" s="1734" t="s">
        <v>2233</v>
      </c>
      <c r="D14" s="1724" t="s">
        <v>1246</v>
      </c>
      <c r="E14" s="1724">
        <v>1</v>
      </c>
      <c r="G14" s="1724" t="s">
        <v>11269</v>
      </c>
      <c r="H14" s="1724">
        <v>1</v>
      </c>
      <c r="J14" s="1724" t="s">
        <v>1003</v>
      </c>
      <c r="K14" s="1724">
        <v>1</v>
      </c>
    </row>
    <row r="15" spans="1:64" ht="18.95" customHeight="1">
      <c r="A15" s="1734" t="s">
        <v>2234</v>
      </c>
      <c r="D15" s="1724" t="s">
        <v>1247</v>
      </c>
      <c r="E15" s="1724">
        <v>2</v>
      </c>
      <c r="G15" s="1724" t="s">
        <v>11270</v>
      </c>
      <c r="H15" s="1724">
        <v>2</v>
      </c>
      <c r="J15" s="1724" t="s">
        <v>1004</v>
      </c>
      <c r="K15" s="1724">
        <v>2</v>
      </c>
      <c r="O15" s="1725"/>
    </row>
    <row r="16" spans="1:64" ht="18.95" customHeight="1">
      <c r="A16" s="1734" t="s">
        <v>2235</v>
      </c>
      <c r="D16" s="1724" t="s">
        <v>11271</v>
      </c>
      <c r="E16" s="1724">
        <v>3</v>
      </c>
      <c r="G16" s="1724" t="s">
        <v>11272</v>
      </c>
      <c r="H16" s="1724">
        <v>3</v>
      </c>
      <c r="J16" s="1724" t="s">
        <v>11273</v>
      </c>
      <c r="K16" s="1724">
        <v>3</v>
      </c>
      <c r="O16" s="1725"/>
    </row>
    <row r="17" spans="1:15" ht="18.95" customHeight="1">
      <c r="A17" s="1734" t="s">
        <v>2236</v>
      </c>
      <c r="D17" s="1724" t="s">
        <v>1248</v>
      </c>
      <c r="E17" s="1724">
        <v>4</v>
      </c>
      <c r="G17" s="1724" t="s">
        <v>11274</v>
      </c>
      <c r="H17" s="1724">
        <v>4</v>
      </c>
      <c r="J17" s="1724">
        <v>0</v>
      </c>
      <c r="K17" s="1724">
        <v>0</v>
      </c>
      <c r="O17" s="1725"/>
    </row>
    <row r="18" spans="1:15" ht="18.95" customHeight="1">
      <c r="A18" s="1734" t="s">
        <v>2237</v>
      </c>
      <c r="D18" s="1724" t="s">
        <v>11275</v>
      </c>
      <c r="E18" s="1724">
        <v>5</v>
      </c>
      <c r="G18" s="1724">
        <v>0</v>
      </c>
      <c r="H18" s="1724">
        <v>0</v>
      </c>
      <c r="O18" s="1725"/>
    </row>
    <row r="19" spans="1:15" ht="18.95" customHeight="1">
      <c r="A19" s="1734" t="s">
        <v>2238</v>
      </c>
      <c r="D19" s="1724" t="s">
        <v>11276</v>
      </c>
      <c r="E19" s="1724">
        <v>6</v>
      </c>
    </row>
    <row r="20" spans="1:15" ht="18.95" customHeight="1">
      <c r="A20" s="1724" t="s">
        <v>2239</v>
      </c>
      <c r="D20" s="1724" t="s">
        <v>11277</v>
      </c>
      <c r="E20" s="1724">
        <v>7</v>
      </c>
    </row>
    <row r="21" spans="1:15" ht="18.95" customHeight="1">
      <c r="A21" s="1734" t="s">
        <v>2240</v>
      </c>
      <c r="D21" s="1724" t="s">
        <v>11278</v>
      </c>
      <c r="E21" s="1724">
        <v>8</v>
      </c>
    </row>
    <row r="22" spans="1:15" ht="18.95" customHeight="1">
      <c r="D22" s="1724">
        <v>0</v>
      </c>
      <c r="E22" s="1724">
        <v>0</v>
      </c>
    </row>
    <row r="25" spans="1:15" ht="18.95" customHeight="1">
      <c r="E25" s="1724">
        <v>0</v>
      </c>
      <c r="H25" s="1724">
        <v>0</v>
      </c>
      <c r="K25" s="1724">
        <v>0</v>
      </c>
    </row>
    <row r="26" spans="1:15" ht="18.95" customHeight="1">
      <c r="D26" s="1724" t="s">
        <v>11279</v>
      </c>
      <c r="E26" s="1724">
        <v>1</v>
      </c>
      <c r="G26" s="1724" t="s">
        <v>11361</v>
      </c>
      <c r="H26" s="1724">
        <v>1</v>
      </c>
      <c r="J26" s="1724" t="s">
        <v>11280</v>
      </c>
      <c r="K26" s="1724">
        <v>1</v>
      </c>
    </row>
    <row r="27" spans="1:15" ht="18.95" customHeight="1">
      <c r="D27" s="1724" t="s">
        <v>11281</v>
      </c>
      <c r="E27" s="1724">
        <v>2</v>
      </c>
      <c r="G27" s="1724" t="s">
        <v>11282</v>
      </c>
      <c r="H27" s="1724">
        <v>2</v>
      </c>
      <c r="J27" s="1724" t="s">
        <v>11283</v>
      </c>
      <c r="K27" s="1724">
        <v>2</v>
      </c>
    </row>
    <row r="28" spans="1:15" ht="18.95" customHeight="1">
      <c r="D28" s="1724" t="s">
        <v>11284</v>
      </c>
      <c r="E28" s="1724">
        <v>3</v>
      </c>
      <c r="G28" s="1724" t="s">
        <v>11362</v>
      </c>
      <c r="H28" s="1724">
        <v>3</v>
      </c>
      <c r="J28" s="1724">
        <v>0</v>
      </c>
      <c r="K28" s="1724">
        <v>0</v>
      </c>
    </row>
    <row r="29" spans="1:15" ht="18.95" customHeight="1">
      <c r="D29" s="1724" t="s">
        <v>11285</v>
      </c>
      <c r="E29" s="1724">
        <v>4</v>
      </c>
      <c r="G29" s="1724">
        <v>0</v>
      </c>
      <c r="H29" s="1724">
        <v>0</v>
      </c>
    </row>
    <row r="30" spans="1:15" ht="18.95" customHeight="1">
      <c r="D30" s="1724" t="s">
        <v>11286</v>
      </c>
      <c r="E30" s="1724">
        <v>5</v>
      </c>
    </row>
    <row r="31" spans="1:15" ht="18.95" customHeight="1">
      <c r="D31" s="1724" t="s">
        <v>11287</v>
      </c>
      <c r="E31" s="1724">
        <v>6</v>
      </c>
    </row>
    <row r="32" spans="1:15" ht="18.95" customHeight="1">
      <c r="D32" s="1724" t="s">
        <v>272</v>
      </c>
      <c r="E32" s="1724">
        <v>7</v>
      </c>
    </row>
    <row r="33" spans="4:5" ht="18.95" customHeight="1">
      <c r="D33" s="1724">
        <v>0</v>
      </c>
      <c r="E33" s="1724">
        <v>0</v>
      </c>
    </row>
  </sheetData>
  <sheetProtection algorithmName="SHA-512" hashValue="TUyZXcdYQbRJIaNNNdmK62MHqzFo+Q8LvFY+LEQpdCfU/iD1vgTHa2L8ZiSUfLNZbq2V995uuqIOlCeZU9eT8A==" saltValue="3JfLi2P5dSCL0JZo+bOo+A==" spinCount="100000" sheet="1" objects="1" scenarios="1"/>
  <sortState ref="G2:H9">
    <sortCondition ref="H2:H9"/>
  </sortState>
  <customSheetViews>
    <customSheetView guid="{6EFEFCA0-BF14-457A-85A3-29CBF2A862A5}" state="hidden">
      <pageMargins left="0.7" right="0.7" top="0.75" bottom="0.75" header="0.3" footer="0.3"/>
      <pageSetup orientation="portrait" r:id="rId1"/>
    </customSheetView>
  </customSheetView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56FA2-BBBD-43F7-B780-DD48D3969422}">
  <sheetPr codeName="Sheet40">
    <tabColor rgb="FFFF0000"/>
  </sheetPr>
  <dimension ref="A1:H4700"/>
  <sheetViews>
    <sheetView zoomScaleNormal="100" workbookViewId="0">
      <pane ySplit="1" topLeftCell="A2" activePane="bottomLeft" state="frozen"/>
      <selection pane="bottomLeft"/>
    </sheetView>
  </sheetViews>
  <sheetFormatPr defaultColWidth="8.875" defaultRowHeight="15.75"/>
  <cols>
    <col min="1" max="1" width="55" style="46" customWidth="1"/>
    <col min="2" max="2" width="34.875" style="46" customWidth="1"/>
    <col min="3" max="3" width="49.625" style="46" customWidth="1"/>
    <col min="4" max="4" width="25" style="46" customWidth="1"/>
    <col min="5" max="5" width="42.625" style="46" customWidth="1"/>
    <col min="6" max="6" width="16.875" style="46" customWidth="1"/>
    <col min="7" max="7" width="30.125" style="46" bestFit="1" customWidth="1"/>
    <col min="8" max="16384" width="8.875" style="46"/>
  </cols>
  <sheetData>
    <row r="1" spans="1:8">
      <c r="A1" s="1755" t="s">
        <v>2241</v>
      </c>
      <c r="B1" s="1755" t="s">
        <v>2242</v>
      </c>
      <c r="C1" s="1755" t="s">
        <v>2243</v>
      </c>
      <c r="D1" s="1755" t="s">
        <v>2244</v>
      </c>
      <c r="E1" s="1755" t="s">
        <v>2245</v>
      </c>
      <c r="F1" s="1755" t="s">
        <v>2246</v>
      </c>
      <c r="G1" s="1755" t="s">
        <v>2247</v>
      </c>
      <c r="H1" s="1755" t="s">
        <v>2248</v>
      </c>
    </row>
    <row r="2" spans="1:8">
      <c r="A2" s="46" t="s">
        <v>11340</v>
      </c>
      <c r="B2" s="46" t="s">
        <v>11341</v>
      </c>
      <c r="C2" s="46" t="s">
        <v>2452</v>
      </c>
      <c r="D2" s="46" t="s">
        <v>2453</v>
      </c>
      <c r="E2" s="46" t="str">
        <f>SchInfo!A2</f>
        <v>GSHSPv2022.12.02</v>
      </c>
      <c r="F2" s="46" t="b">
        <f>E2="GSHSPv2022.01.19"</f>
        <v>0</v>
      </c>
      <c r="G2" s="1755"/>
      <c r="H2" s="1755"/>
    </row>
    <row r="3" spans="1:8">
      <c r="A3" s="46" t="s">
        <v>2249</v>
      </c>
      <c r="B3" s="46" t="s">
        <v>2250</v>
      </c>
      <c r="C3" s="46" t="s">
        <v>2249</v>
      </c>
      <c r="D3" s="46" t="s">
        <v>2251</v>
      </c>
      <c r="E3" s="46">
        <f>sch_id</f>
        <v>304024</v>
      </c>
      <c r="F3" s="1756" t="b">
        <f>AND(LEN(E3)=6, OR(E3&gt;300000, E3&lt;590000))</f>
        <v>1</v>
      </c>
      <c r="G3" s="46" t="s">
        <v>11357</v>
      </c>
    </row>
    <row r="4" spans="1:8">
      <c r="A4" s="46" t="s">
        <v>2252</v>
      </c>
      <c r="B4" s="46" t="s">
        <v>2250</v>
      </c>
      <c r="C4" s="46" t="s">
        <v>2252</v>
      </c>
      <c r="D4" s="46" t="s">
        <v>2253</v>
      </c>
      <c r="E4" s="46" t="str">
        <f>sch_name</f>
        <v>ALORAN TRADE HIGH SCHOOL</v>
      </c>
      <c r="F4" s="1756" t="b">
        <f>AND(E4&lt;&gt;"",E4&lt;&gt;0,LEN(E4)&gt;2)</f>
        <v>1</v>
      </c>
      <c r="G4" s="46" t="s">
        <v>2254</v>
      </c>
    </row>
    <row r="5" spans="1:8">
      <c r="A5" s="46" t="s">
        <v>2255</v>
      </c>
      <c r="B5" s="46" t="s">
        <v>2250</v>
      </c>
      <c r="C5" s="46" t="s">
        <v>2255</v>
      </c>
      <c r="D5" s="46" t="s">
        <v>2256</v>
      </c>
      <c r="E5" s="46" t="str">
        <f>sch_prev_name</f>
        <v>ALORAN NATIONAL HIGH SCHOOL</v>
      </c>
      <c r="F5" s="46" t="b">
        <v>1</v>
      </c>
    </row>
    <row r="6" spans="1:8">
      <c r="A6" s="46" t="s">
        <v>2257</v>
      </c>
      <c r="B6" s="46" t="s">
        <v>2250</v>
      </c>
      <c r="C6" s="46" t="s">
        <v>2257</v>
      </c>
      <c r="D6" s="46" t="s">
        <v>2258</v>
      </c>
      <c r="E6" s="46">
        <f>sch_add_no</f>
        <v>0</v>
      </c>
      <c r="F6" s="46" t="b">
        <v>1</v>
      </c>
    </row>
    <row r="7" spans="1:8">
      <c r="A7" s="46" t="s">
        <v>2259</v>
      </c>
      <c r="B7" s="46" t="s">
        <v>2250</v>
      </c>
      <c r="C7" s="46" t="s">
        <v>2259</v>
      </c>
      <c r="D7" s="46" t="s">
        <v>2260</v>
      </c>
      <c r="E7" s="46" t="str">
        <f>sch_add_street</f>
        <v>Purok 1</v>
      </c>
      <c r="F7" s="46" t="b">
        <v>1</v>
      </c>
    </row>
    <row r="8" spans="1:8">
      <c r="A8" s="46" t="s">
        <v>2261</v>
      </c>
      <c r="B8" s="46" t="s">
        <v>2250</v>
      </c>
      <c r="C8" s="46" t="s">
        <v>2261</v>
      </c>
      <c r="D8" s="46" t="s">
        <v>2262</v>
      </c>
      <c r="E8" s="46" t="str">
        <f>sch_add_brgy</f>
        <v>LABO</v>
      </c>
      <c r="F8" s="46" t="b">
        <v>1</v>
      </c>
    </row>
    <row r="9" spans="1:8">
      <c r="A9" s="46" t="s">
        <v>2263</v>
      </c>
      <c r="B9" s="46" t="s">
        <v>2250</v>
      </c>
      <c r="C9" s="46" t="s">
        <v>2263</v>
      </c>
      <c r="D9" s="46" t="s">
        <v>2264</v>
      </c>
      <c r="E9" s="46" t="str">
        <f>sch_add_mun_city</f>
        <v>ALORAN</v>
      </c>
      <c r="F9" s="46" t="b">
        <v>1</v>
      </c>
    </row>
    <row r="10" spans="1:8">
      <c r="A10" s="46" t="s">
        <v>2265</v>
      </c>
      <c r="B10" s="46" t="s">
        <v>2250</v>
      </c>
      <c r="C10" s="46" t="s">
        <v>2265</v>
      </c>
      <c r="D10" s="46" t="s">
        <v>2266</v>
      </c>
      <c r="E10" s="46" t="str">
        <f>sch_add_prov</f>
        <v>MISAMIS OCCIDENTAL</v>
      </c>
      <c r="F10" s="46" t="b">
        <v>1</v>
      </c>
    </row>
    <row r="11" spans="1:8">
      <c r="A11" s="46" t="s">
        <v>2267</v>
      </c>
      <c r="B11" s="46" t="s">
        <v>2250</v>
      </c>
      <c r="C11" s="46" t="s">
        <v>2267</v>
      </c>
      <c r="D11" s="46" t="s">
        <v>2268</v>
      </c>
      <c r="E11" s="46">
        <f>sch_add_zip</f>
        <v>7206</v>
      </c>
      <c r="F11" s="46" t="b">
        <v>1</v>
      </c>
    </row>
    <row r="12" spans="1:8">
      <c r="A12" s="46" t="s">
        <v>2269</v>
      </c>
      <c r="B12" s="46" t="s">
        <v>2250</v>
      </c>
      <c r="C12" s="46" t="s">
        <v>2269</v>
      </c>
      <c r="D12" s="46" t="s">
        <v>2270</v>
      </c>
      <c r="E12" s="46" t="str">
        <f>sch_region</f>
        <v>X</v>
      </c>
      <c r="F12" s="46" t="b">
        <v>1</v>
      </c>
    </row>
    <row r="13" spans="1:8">
      <c r="A13" s="46" t="s">
        <v>2271</v>
      </c>
      <c r="B13" s="46" t="s">
        <v>2250</v>
      </c>
      <c r="C13" s="46" t="s">
        <v>2271</v>
      </c>
      <c r="D13" s="46" t="s">
        <v>2272</v>
      </c>
      <c r="E13" s="46" t="str">
        <f>sch_division</f>
        <v>Misamis Occidental</v>
      </c>
      <c r="F13" s="46" t="b">
        <v>1</v>
      </c>
    </row>
    <row r="14" spans="1:8">
      <c r="A14" s="46" t="s">
        <v>2273</v>
      </c>
      <c r="B14" s="46" t="s">
        <v>2250</v>
      </c>
      <c r="C14" s="46" t="s">
        <v>2273</v>
      </c>
      <c r="D14" s="46" t="s">
        <v>2274</v>
      </c>
      <c r="E14" s="46" t="str">
        <f>sch_leg_dist</f>
        <v>1st District</v>
      </c>
      <c r="F14" s="46" t="b">
        <v>1</v>
      </c>
    </row>
    <row r="15" spans="1:8">
      <c r="A15" s="46" t="s">
        <v>2275</v>
      </c>
      <c r="B15" s="46" t="s">
        <v>2250</v>
      </c>
      <c r="C15" s="46" t="s">
        <v>2275</v>
      </c>
      <c r="D15" s="46" t="s">
        <v>2276</v>
      </c>
      <c r="E15" s="46" t="str">
        <f>sch_tel_no</f>
        <v>088-545-0181</v>
      </c>
      <c r="F15" s="46" t="b">
        <v>1</v>
      </c>
    </row>
    <row r="16" spans="1:8">
      <c r="A16" s="46" t="s">
        <v>2277</v>
      </c>
      <c r="B16" s="46" t="s">
        <v>2250</v>
      </c>
      <c r="C16" s="46" t="s">
        <v>2277</v>
      </c>
      <c r="D16" s="46" t="s">
        <v>2278</v>
      </c>
      <c r="E16" s="46">
        <f>sch_mob_no</f>
        <v>9609006095</v>
      </c>
      <c r="F16" s="46" t="b">
        <v>1</v>
      </c>
    </row>
    <row r="17" spans="1:8">
      <c r="A17" s="46" t="s">
        <v>2279</v>
      </c>
      <c r="B17" s="46" t="s">
        <v>2250</v>
      </c>
      <c r="C17" s="46" t="s">
        <v>2279</v>
      </c>
      <c r="D17" s="46" t="s">
        <v>2278</v>
      </c>
      <c r="E17" s="46" t="str">
        <f>sch_fax_no</f>
        <v>N/A</v>
      </c>
      <c r="F17" s="46" t="b">
        <v>1</v>
      </c>
    </row>
    <row r="18" spans="1:8">
      <c r="A18" s="46" t="s">
        <v>2280</v>
      </c>
      <c r="B18" s="46" t="s">
        <v>2250</v>
      </c>
      <c r="C18" s="46" t="s">
        <v>2280</v>
      </c>
      <c r="D18" s="46" t="s">
        <v>2281</v>
      </c>
      <c r="E18" s="46" t="str">
        <f>sch_web_add</f>
        <v>N/A</v>
      </c>
      <c r="F18" s="46" t="b">
        <v>1</v>
      </c>
    </row>
    <row r="19" spans="1:8">
      <c r="A19" s="46" t="s">
        <v>2282</v>
      </c>
      <c r="B19" s="46" t="s">
        <v>2250</v>
      </c>
      <c r="C19" s="46" t="s">
        <v>2282</v>
      </c>
      <c r="D19" s="46" t="s">
        <v>2283</v>
      </c>
      <c r="E19" s="46" t="str">
        <f>sch_email_add</f>
        <v>304024@deped.gov.ph</v>
      </c>
      <c r="F19" s="46" t="b">
        <v>1</v>
      </c>
    </row>
    <row r="20" spans="1:8">
      <c r="A20" s="46" t="s">
        <v>2284</v>
      </c>
      <c r="B20" s="46" t="s">
        <v>2250</v>
      </c>
      <c r="C20" s="46" t="s">
        <v>2284</v>
      </c>
      <c r="D20" s="46" t="s">
        <v>2285</v>
      </c>
      <c r="E20" s="46">
        <f>sch_date_est</f>
        <v>2016</v>
      </c>
      <c r="F20" s="46" t="b">
        <v>1</v>
      </c>
    </row>
    <row r="21" spans="1:8">
      <c r="A21" s="46" t="s">
        <v>2286</v>
      </c>
      <c r="B21" s="46" t="s">
        <v>2250</v>
      </c>
      <c r="C21" s="46" t="s">
        <v>2286</v>
      </c>
      <c r="D21" s="46" t="s">
        <v>2287</v>
      </c>
      <c r="E21" s="46" t="str">
        <f>sch_head_name</f>
        <v>MELCHESIEDICK Q. BOLANIO / March 17, 2023</v>
      </c>
      <c r="F21" s="1446" t="b">
        <v>1</v>
      </c>
      <c r="G21" s="221"/>
      <c r="H21" s="221"/>
    </row>
    <row r="22" spans="1:8">
      <c r="A22" s="46" t="s">
        <v>2288</v>
      </c>
      <c r="B22" s="46" t="s">
        <v>2250</v>
      </c>
      <c r="C22" s="46" t="s">
        <v>2288</v>
      </c>
      <c r="D22" s="46" t="s">
        <v>2289</v>
      </c>
      <c r="E22" s="46" t="str">
        <f>sch_head_pos_title</f>
        <v>SECONDARY SCHOOL PRINCIPAL IV</v>
      </c>
      <c r="F22" s="46" t="b">
        <v>1</v>
      </c>
    </row>
    <row r="23" spans="1:8">
      <c r="A23" s="46" t="s">
        <v>2290</v>
      </c>
      <c r="B23" s="46" t="s">
        <v>2250</v>
      </c>
      <c r="C23" s="46" t="s">
        <v>2290</v>
      </c>
      <c r="D23" s="46" t="s">
        <v>2291</v>
      </c>
      <c r="E23" s="46" t="str">
        <f>sch_sdo_head_name</f>
        <v>EDWIN R. MARIBOJOC / March 17, 2023</v>
      </c>
      <c r="F23" s="46" t="b">
        <v>1</v>
      </c>
    </row>
    <row r="24" spans="1:8">
      <c r="A24" s="46" t="s">
        <v>2292</v>
      </c>
      <c r="B24" s="46" t="s">
        <v>2250</v>
      </c>
      <c r="C24" s="46" t="s">
        <v>2292</v>
      </c>
      <c r="D24" s="46" t="s">
        <v>2293</v>
      </c>
      <c r="E24" s="46" t="str">
        <f>sch_sdo_pos_title</f>
        <v>SCHOOLS DIVISION SUPERINTENDENT</v>
      </c>
      <c r="F24" s="46" t="b">
        <v>1</v>
      </c>
    </row>
    <row r="25" spans="1:8">
      <c r="A25" s="46" t="s">
        <v>2294</v>
      </c>
      <c r="B25" s="46" t="s">
        <v>2250</v>
      </c>
      <c r="C25" s="46" t="s">
        <v>2294</v>
      </c>
      <c r="D25" s="46" t="s">
        <v>2295</v>
      </c>
      <c r="E25" s="46" t="str">
        <f>sch_po3_name</f>
        <v>MICHAEL T. JAMIS / March 17, 2023</v>
      </c>
      <c r="F25" s="46" t="b">
        <v>1</v>
      </c>
    </row>
    <row r="26" spans="1:8">
      <c r="A26" s="46" t="s">
        <v>11342</v>
      </c>
      <c r="B26" s="46" t="s">
        <v>2250</v>
      </c>
      <c r="C26" s="46" t="s">
        <v>11342</v>
      </c>
      <c r="D26" s="46" t="s">
        <v>2296</v>
      </c>
      <c r="E26" s="46" t="b" cm="1">
        <f t="array" ref="E26">sch_annex_extension_sch</f>
        <v>0</v>
      </c>
      <c r="F26" s="1696" t="b">
        <f>OR(E26=TRUE, E26=FALSE)</f>
        <v>1</v>
      </c>
      <c r="G26" s="46" t="s">
        <v>11265</v>
      </c>
    </row>
    <row r="27" spans="1:8">
      <c r="A27" s="46" t="s">
        <v>11343</v>
      </c>
      <c r="B27" s="46" t="s">
        <v>2250</v>
      </c>
      <c r="C27" s="46" t="s">
        <v>11343</v>
      </c>
      <c r="D27" s="46" t="s">
        <v>2297</v>
      </c>
      <c r="E27" s="46" cm="1">
        <f t="array" ref="E27">sch_mother_sch_id</f>
        <v>0</v>
      </c>
      <c r="F27" s="46" t="b">
        <v>1</v>
      </c>
    </row>
    <row r="28" spans="1:8">
      <c r="A28" s="46" t="s">
        <v>2300</v>
      </c>
      <c r="B28" s="46" t="s">
        <v>2250</v>
      </c>
      <c r="C28" s="46" t="s">
        <v>2300</v>
      </c>
      <c r="D28" s="46" t="s">
        <v>2299</v>
      </c>
      <c r="E28" s="46" t="b">
        <f>sch_farm</f>
        <v>0</v>
      </c>
      <c r="F28" s="1696" t="b">
        <f t="shared" ref="F28:F29" si="0">OR(E28=TRUE, E28=FALSE)</f>
        <v>1</v>
      </c>
      <c r="G28" s="46" t="s">
        <v>11265</v>
      </c>
    </row>
    <row r="29" spans="1:8" ht="16.5" thickBot="1">
      <c r="A29" s="479" t="s">
        <v>2298</v>
      </c>
      <c r="B29" s="479" t="s">
        <v>2250</v>
      </c>
      <c r="C29" s="479" t="s">
        <v>2298</v>
      </c>
      <c r="D29" s="479" t="s">
        <v>2301</v>
      </c>
      <c r="E29" s="479" t="b">
        <f>sch_iu</f>
        <v>1</v>
      </c>
      <c r="F29" s="1697" t="b">
        <f t="shared" si="0"/>
        <v>1</v>
      </c>
      <c r="G29" s="479" t="s">
        <v>11265</v>
      </c>
      <c r="H29" s="479"/>
    </row>
    <row r="30" spans="1:8" ht="16.5" thickTop="1">
      <c r="A30" s="46" t="s">
        <v>2302</v>
      </c>
      <c r="B30" s="46" t="s">
        <v>2303</v>
      </c>
      <c r="C30" s="46" t="s">
        <v>2302</v>
      </c>
      <c r="D30" s="46" t="s">
        <v>2304</v>
      </c>
      <c r="E30" s="46">
        <f>arts_music_m_gr11</f>
        <v>0</v>
      </c>
      <c r="F30" s="46" t="b">
        <v>1</v>
      </c>
    </row>
    <row r="31" spans="1:8">
      <c r="A31" s="46" t="s">
        <v>2305</v>
      </c>
      <c r="B31" s="46" t="s">
        <v>2303</v>
      </c>
      <c r="C31" s="46" t="s">
        <v>2305</v>
      </c>
      <c r="D31" s="46" t="s">
        <v>2306</v>
      </c>
      <c r="E31" s="46">
        <f>arts_music_f_gr11</f>
        <v>0</v>
      </c>
      <c r="F31" s="46" t="b">
        <v>1</v>
      </c>
    </row>
    <row r="32" spans="1:8">
      <c r="A32" s="46" t="s">
        <v>2307</v>
      </c>
      <c r="B32" s="46" t="s">
        <v>2303</v>
      </c>
      <c r="C32" s="46" t="s">
        <v>2307</v>
      </c>
      <c r="D32" s="46" t="s">
        <v>2308</v>
      </c>
      <c r="E32" s="46">
        <f>arts_music_m_gr12</f>
        <v>0</v>
      </c>
      <c r="F32" s="46" t="b">
        <v>1</v>
      </c>
    </row>
    <row r="33" spans="1:6">
      <c r="A33" s="46" t="s">
        <v>2309</v>
      </c>
      <c r="B33" s="46" t="s">
        <v>2303</v>
      </c>
      <c r="C33" s="46" t="s">
        <v>2309</v>
      </c>
      <c r="D33" s="46" t="s">
        <v>2310</v>
      </c>
      <c r="E33" s="46">
        <f>arts_music_f_gr12</f>
        <v>0</v>
      </c>
      <c r="F33" s="46" t="b">
        <v>1</v>
      </c>
    </row>
    <row r="34" spans="1:6">
      <c r="A34" s="46" t="s">
        <v>2311</v>
      </c>
      <c r="B34" s="46" t="s">
        <v>2303</v>
      </c>
      <c r="C34" s="46" t="s">
        <v>2311</v>
      </c>
      <c r="D34" s="46" t="s">
        <v>2312</v>
      </c>
      <c r="E34" s="46">
        <f>arts_dance_m_gr11</f>
        <v>0</v>
      </c>
      <c r="F34" s="46" t="b">
        <v>1</v>
      </c>
    </row>
    <row r="35" spans="1:6">
      <c r="A35" s="46" t="s">
        <v>2313</v>
      </c>
      <c r="B35" s="46" t="s">
        <v>2303</v>
      </c>
      <c r="C35" s="46" t="s">
        <v>2313</v>
      </c>
      <c r="D35" s="46" t="s">
        <v>2314</v>
      </c>
      <c r="E35" s="46">
        <f>arts_dance_f_gr11</f>
        <v>0</v>
      </c>
      <c r="F35" s="46" t="b">
        <v>1</v>
      </c>
    </row>
    <row r="36" spans="1:6">
      <c r="A36" s="46" t="s">
        <v>2315</v>
      </c>
      <c r="B36" s="46" t="s">
        <v>2303</v>
      </c>
      <c r="C36" s="46" t="s">
        <v>2315</v>
      </c>
      <c r="D36" s="46" t="s">
        <v>2316</v>
      </c>
      <c r="E36" s="46">
        <f>arts_dance_m_gr12</f>
        <v>0</v>
      </c>
      <c r="F36" s="46" t="b">
        <v>1</v>
      </c>
    </row>
    <row r="37" spans="1:6">
      <c r="A37" s="46" t="s">
        <v>2317</v>
      </c>
      <c r="B37" s="46" t="s">
        <v>2303</v>
      </c>
      <c r="C37" s="46" t="s">
        <v>2317</v>
      </c>
      <c r="D37" s="46" t="s">
        <v>2318</v>
      </c>
      <c r="E37" s="46">
        <f>arts_dance_f_gr12</f>
        <v>0</v>
      </c>
      <c r="F37" s="46" t="b">
        <v>1</v>
      </c>
    </row>
    <row r="38" spans="1:6">
      <c r="A38" s="46" t="s">
        <v>2319</v>
      </c>
      <c r="B38" s="46" t="s">
        <v>2303</v>
      </c>
      <c r="C38" s="46" t="s">
        <v>2319</v>
      </c>
      <c r="D38" s="46" t="s">
        <v>2320</v>
      </c>
      <c r="E38" s="46">
        <f>arts_thtr_m_gr11</f>
        <v>0</v>
      </c>
      <c r="F38" s="46" t="b">
        <v>1</v>
      </c>
    </row>
    <row r="39" spans="1:6">
      <c r="A39" s="46" t="s">
        <v>2321</v>
      </c>
      <c r="B39" s="46" t="s">
        <v>2303</v>
      </c>
      <c r="C39" s="46" t="s">
        <v>2321</v>
      </c>
      <c r="D39" s="46" t="s">
        <v>2322</v>
      </c>
      <c r="E39" s="46">
        <f>arts_thtr_f_gr11</f>
        <v>0</v>
      </c>
      <c r="F39" s="46" t="b">
        <v>1</v>
      </c>
    </row>
    <row r="40" spans="1:6">
      <c r="A40" s="46" t="s">
        <v>2323</v>
      </c>
      <c r="B40" s="46" t="s">
        <v>2303</v>
      </c>
      <c r="C40" s="46" t="s">
        <v>2323</v>
      </c>
      <c r="D40" s="46" t="s">
        <v>2324</v>
      </c>
      <c r="E40" s="46">
        <f>arts_thtr_m_gr12</f>
        <v>0</v>
      </c>
      <c r="F40" s="46" t="b">
        <v>1</v>
      </c>
    </row>
    <row r="41" spans="1:6">
      <c r="A41" s="46" t="s">
        <v>2325</v>
      </c>
      <c r="B41" s="46" t="s">
        <v>2303</v>
      </c>
      <c r="C41" s="46" t="s">
        <v>2325</v>
      </c>
      <c r="D41" s="46" t="s">
        <v>2326</v>
      </c>
      <c r="E41" s="46">
        <f>arts_thtr_f_gr12</f>
        <v>0</v>
      </c>
      <c r="F41" s="46" t="b">
        <v>1</v>
      </c>
    </row>
    <row r="42" spans="1:6">
      <c r="A42" s="46" t="s">
        <v>2327</v>
      </c>
      <c r="B42" s="46" t="s">
        <v>2303</v>
      </c>
      <c r="C42" s="46" t="s">
        <v>2327</v>
      </c>
      <c r="D42" s="46" t="s">
        <v>2328</v>
      </c>
      <c r="E42" s="46">
        <f>arts_cw_m_gr11</f>
        <v>0</v>
      </c>
      <c r="F42" s="46" t="b">
        <v>1</v>
      </c>
    </row>
    <row r="43" spans="1:6">
      <c r="A43" s="46" t="s">
        <v>2329</v>
      </c>
      <c r="B43" s="46" t="s">
        <v>2303</v>
      </c>
      <c r="C43" s="46" t="s">
        <v>2329</v>
      </c>
      <c r="D43" s="46" t="s">
        <v>2330</v>
      </c>
      <c r="E43" s="46">
        <f>arts_cw_f_gr11</f>
        <v>0</v>
      </c>
      <c r="F43" s="46" t="b">
        <v>1</v>
      </c>
    </row>
    <row r="44" spans="1:6">
      <c r="A44" s="46" t="s">
        <v>2331</v>
      </c>
      <c r="B44" s="46" t="s">
        <v>2303</v>
      </c>
      <c r="C44" s="46" t="s">
        <v>2331</v>
      </c>
      <c r="D44" s="46" t="s">
        <v>2332</v>
      </c>
      <c r="E44" s="46">
        <f>arts_cw_m_gr12</f>
        <v>0</v>
      </c>
      <c r="F44" s="46" t="b">
        <v>1</v>
      </c>
    </row>
    <row r="45" spans="1:6">
      <c r="A45" s="46" t="s">
        <v>2333</v>
      </c>
      <c r="B45" s="46" t="s">
        <v>2303</v>
      </c>
      <c r="C45" s="46" t="s">
        <v>2333</v>
      </c>
      <c r="D45" s="46" t="s">
        <v>2334</v>
      </c>
      <c r="E45" s="46">
        <f>arts_cw_f_gr12</f>
        <v>0</v>
      </c>
      <c r="F45" s="46" t="b">
        <v>1</v>
      </c>
    </row>
    <row r="46" spans="1:6">
      <c r="A46" s="46" t="s">
        <v>2335</v>
      </c>
      <c r="B46" s="46" t="s">
        <v>2303</v>
      </c>
      <c r="C46" s="46" t="s">
        <v>2335</v>
      </c>
      <c r="D46" s="46" t="s">
        <v>2336</v>
      </c>
      <c r="E46" s="46">
        <f>arts_media_m_gr11</f>
        <v>0</v>
      </c>
      <c r="F46" s="46" t="b">
        <v>1</v>
      </c>
    </row>
    <row r="47" spans="1:6">
      <c r="A47" s="46" t="s">
        <v>2337</v>
      </c>
      <c r="B47" s="46" t="s">
        <v>2303</v>
      </c>
      <c r="C47" s="46" t="s">
        <v>2337</v>
      </c>
      <c r="D47" s="46" t="s">
        <v>2338</v>
      </c>
      <c r="E47" s="46">
        <f>arts_media_f_gr11</f>
        <v>0</v>
      </c>
      <c r="F47" s="46" t="b">
        <v>1</v>
      </c>
    </row>
    <row r="48" spans="1:6">
      <c r="A48" s="46" t="s">
        <v>2339</v>
      </c>
      <c r="B48" s="46" t="s">
        <v>2303</v>
      </c>
      <c r="C48" s="46" t="s">
        <v>2339</v>
      </c>
      <c r="D48" s="46" t="s">
        <v>2340</v>
      </c>
      <c r="E48" s="46">
        <f>arts_media_m_gr12</f>
        <v>0</v>
      </c>
      <c r="F48" s="46" t="b">
        <v>1</v>
      </c>
    </row>
    <row r="49" spans="1:8">
      <c r="A49" s="46" t="s">
        <v>2341</v>
      </c>
      <c r="B49" s="46" t="s">
        <v>2303</v>
      </c>
      <c r="C49" s="46" t="s">
        <v>2341</v>
      </c>
      <c r="D49" s="46" t="s">
        <v>2342</v>
      </c>
      <c r="E49" s="46">
        <f>arts_media_f_gr12</f>
        <v>0</v>
      </c>
      <c r="F49" s="46" t="b">
        <v>1</v>
      </c>
    </row>
    <row r="50" spans="1:8">
      <c r="A50" s="46" t="s">
        <v>2343</v>
      </c>
      <c r="B50" s="46" t="s">
        <v>2303</v>
      </c>
      <c r="C50" s="46" t="s">
        <v>2343</v>
      </c>
      <c r="D50" s="46" t="s">
        <v>2344</v>
      </c>
      <c r="E50" s="46">
        <f>arts_visual_m_gr11</f>
        <v>0</v>
      </c>
      <c r="F50" s="46" t="b">
        <v>1</v>
      </c>
    </row>
    <row r="51" spans="1:8">
      <c r="A51" s="46" t="s">
        <v>2345</v>
      </c>
      <c r="B51" s="46" t="s">
        <v>2303</v>
      </c>
      <c r="C51" s="46" t="s">
        <v>2345</v>
      </c>
      <c r="D51" s="46" t="s">
        <v>2346</v>
      </c>
      <c r="E51" s="46">
        <f>arts_visual_f_gr11</f>
        <v>0</v>
      </c>
      <c r="F51" s="46" t="b">
        <v>1</v>
      </c>
    </row>
    <row r="52" spans="1:8">
      <c r="A52" s="46" t="s">
        <v>2347</v>
      </c>
      <c r="B52" s="46" t="s">
        <v>2303</v>
      </c>
      <c r="C52" s="46" t="s">
        <v>2347</v>
      </c>
      <c r="D52" s="46" t="s">
        <v>2348</v>
      </c>
      <c r="E52" s="46">
        <f>arts_visual_m_gr12</f>
        <v>0</v>
      </c>
      <c r="F52" s="46" t="b">
        <v>1</v>
      </c>
    </row>
    <row r="53" spans="1:8" ht="16.5" thickBot="1">
      <c r="A53" s="479" t="s">
        <v>2349</v>
      </c>
      <c r="B53" s="479" t="s">
        <v>2303</v>
      </c>
      <c r="C53" s="479" t="s">
        <v>2349</v>
      </c>
      <c r="D53" s="479" t="s">
        <v>2350</v>
      </c>
      <c r="E53" s="479">
        <f>arts_visual_f_gr12</f>
        <v>0</v>
      </c>
      <c r="F53" s="479" t="b">
        <v>1</v>
      </c>
      <c r="G53" s="479"/>
      <c r="H53" s="479"/>
    </row>
    <row r="54" spans="1:8" ht="16.5" thickTop="1">
      <c r="A54" s="46" t="s">
        <v>2351</v>
      </c>
      <c r="B54" s="46" t="s">
        <v>2352</v>
      </c>
      <c r="C54" s="46" t="s">
        <v>2351</v>
      </c>
      <c r="D54" s="46" t="s">
        <v>2353</v>
      </c>
      <c r="E54" s="46">
        <f>devices_assist_tech</f>
        <v>0</v>
      </c>
      <c r="F54" s="46" t="b">
        <v>1</v>
      </c>
    </row>
    <row r="55" spans="1:8">
      <c r="A55" s="46" t="s">
        <v>2354</v>
      </c>
      <c r="B55" s="46" t="s">
        <v>2352</v>
      </c>
      <c r="C55" s="46" t="s">
        <v>2354</v>
      </c>
      <c r="D55" s="46" t="s">
        <v>2355</v>
      </c>
      <c r="E55" s="46">
        <f>devices_adaptive</f>
        <v>0</v>
      </c>
      <c r="F55" s="46" t="b">
        <v>1</v>
      </c>
    </row>
    <row r="56" spans="1:8">
      <c r="A56" s="46" t="s">
        <v>2356</v>
      </c>
      <c r="B56" s="46" t="s">
        <v>2352</v>
      </c>
      <c r="C56" s="46" t="s">
        <v>2356</v>
      </c>
      <c r="D56" s="46" t="s">
        <v>2357</v>
      </c>
      <c r="E56" s="46" t="str">
        <f>sch_divsped_name</f>
        <v>RONE RAY M. PORTACION / March 17, 2023</v>
      </c>
      <c r="F56" s="46" t="b">
        <v>1</v>
      </c>
    </row>
    <row r="57" spans="1:8" ht="16.5" thickBot="1">
      <c r="A57" s="479" t="s">
        <v>2358</v>
      </c>
      <c r="B57" s="479" t="s">
        <v>2352</v>
      </c>
      <c r="C57" s="479" t="s">
        <v>2358</v>
      </c>
      <c r="D57" s="479" t="s">
        <v>2359</v>
      </c>
      <c r="E57" s="479" t="str">
        <f>sch_divsped_postion</f>
        <v>EDUCATION PROGRAM SUPERVISOR</v>
      </c>
      <c r="F57" s="479" t="b">
        <v>1</v>
      </c>
      <c r="G57" s="479"/>
      <c r="H57" s="479"/>
    </row>
    <row r="58" spans="1:8" ht="16.5" thickTop="1">
      <c r="A58" s="1757" t="s">
        <v>2360</v>
      </c>
      <c r="B58" s="46" t="s">
        <v>11262</v>
      </c>
      <c r="C58" s="1757" t="s">
        <v>2360</v>
      </c>
      <c r="D58" s="46" t="s">
        <v>11493</v>
      </c>
      <c r="E58" s="1757">
        <f>tvl_attractions_nc2_m_tkrs_2021</f>
        <v>0</v>
      </c>
      <c r="F58" s="46" t="b">
        <v>1</v>
      </c>
    </row>
    <row r="59" spans="1:8">
      <c r="A59" s="1757" t="s">
        <v>2361</v>
      </c>
      <c r="B59" s="46" t="s">
        <v>11262</v>
      </c>
      <c r="C59" s="1757" t="s">
        <v>2361</v>
      </c>
      <c r="D59" s="46" t="s">
        <v>11587</v>
      </c>
      <c r="E59" s="1757">
        <f>tvl_attractions_nc2_f_tkrs_2021</f>
        <v>0</v>
      </c>
      <c r="F59" s="46" t="b">
        <v>1</v>
      </c>
    </row>
    <row r="60" spans="1:8">
      <c r="A60" s="1757" t="s">
        <v>2362</v>
      </c>
      <c r="B60" s="46" t="s">
        <v>11262</v>
      </c>
      <c r="C60" s="1757" t="s">
        <v>2362</v>
      </c>
      <c r="D60" s="46" t="s">
        <v>11681</v>
      </c>
      <c r="E60" s="1757">
        <f>tvl_attractions_nc2_m_psrs_2021</f>
        <v>0</v>
      </c>
      <c r="F60" s="46" t="b">
        <v>1</v>
      </c>
    </row>
    <row r="61" spans="1:8">
      <c r="A61" s="1757" t="s">
        <v>2363</v>
      </c>
      <c r="B61" s="46" t="s">
        <v>11262</v>
      </c>
      <c r="C61" s="1757" t="s">
        <v>2363</v>
      </c>
      <c r="D61" s="46" t="s">
        <v>11775</v>
      </c>
      <c r="E61" s="1757">
        <f>tvl_attractions_nc2_f_psrs_2021</f>
        <v>0</v>
      </c>
      <c r="F61" s="46" t="b">
        <v>1</v>
      </c>
    </row>
    <row r="62" spans="1:8">
      <c r="A62" s="1757" t="s">
        <v>2364</v>
      </c>
      <c r="B62" s="46" t="s">
        <v>11262</v>
      </c>
      <c r="C62" s="1757" t="s">
        <v>2364</v>
      </c>
      <c r="D62" s="46" t="s">
        <v>11494</v>
      </c>
      <c r="E62" s="1757">
        <f>tvl_barbering_nc2_m_tkrs_2021</f>
        <v>0</v>
      </c>
      <c r="F62" s="46" t="b">
        <v>1</v>
      </c>
    </row>
    <row r="63" spans="1:8">
      <c r="A63" s="1757" t="s">
        <v>2365</v>
      </c>
      <c r="B63" s="46" t="s">
        <v>11262</v>
      </c>
      <c r="C63" s="1757" t="s">
        <v>2365</v>
      </c>
      <c r="D63" s="46" t="s">
        <v>11588</v>
      </c>
      <c r="E63" s="1757">
        <f>tvl_barbering_nc2_f_tkrs_2021</f>
        <v>0</v>
      </c>
      <c r="F63" s="46" t="b">
        <v>1</v>
      </c>
    </row>
    <row r="64" spans="1:8">
      <c r="A64" s="1757" t="s">
        <v>2366</v>
      </c>
      <c r="B64" s="46" t="s">
        <v>11262</v>
      </c>
      <c r="C64" s="1757" t="s">
        <v>2366</v>
      </c>
      <c r="D64" s="46" t="s">
        <v>11682</v>
      </c>
      <c r="E64" s="1757">
        <f>tvl_barbering_nc2_m_psrs_2021</f>
        <v>0</v>
      </c>
      <c r="F64" s="46" t="b">
        <v>1</v>
      </c>
    </row>
    <row r="65" spans="1:6">
      <c r="A65" s="1757" t="s">
        <v>2367</v>
      </c>
      <c r="B65" s="46" t="s">
        <v>11262</v>
      </c>
      <c r="C65" s="1757" t="s">
        <v>2367</v>
      </c>
      <c r="D65" s="46" t="s">
        <v>11776</v>
      </c>
      <c r="E65" s="1757">
        <f>tvl_barbering_nc2_f_psrs_2021</f>
        <v>0</v>
      </c>
      <c r="F65" s="46" t="b">
        <v>1</v>
      </c>
    </row>
    <row r="66" spans="1:6">
      <c r="A66" s="1757" t="s">
        <v>2368</v>
      </c>
      <c r="B66" s="46" t="s">
        <v>11262</v>
      </c>
      <c r="C66" s="1757" t="s">
        <v>2368</v>
      </c>
      <c r="D66" s="46" t="s">
        <v>11495</v>
      </c>
      <c r="E66" s="1757">
        <f>tvl_bartending_nc2_m_tkrs_2021</f>
        <v>0</v>
      </c>
      <c r="F66" s="46" t="b">
        <v>1</v>
      </c>
    </row>
    <row r="67" spans="1:6">
      <c r="A67" s="1757" t="s">
        <v>2369</v>
      </c>
      <c r="B67" s="46" t="s">
        <v>11262</v>
      </c>
      <c r="C67" s="1757" t="s">
        <v>2369</v>
      </c>
      <c r="D67" s="46" t="s">
        <v>11589</v>
      </c>
      <c r="E67" s="1757">
        <f>tvl_bartending_nc2_f_tkrs_2021</f>
        <v>0</v>
      </c>
      <c r="F67" s="46" t="b">
        <v>1</v>
      </c>
    </row>
    <row r="68" spans="1:6">
      <c r="A68" s="1757" t="s">
        <v>2370</v>
      </c>
      <c r="B68" s="46" t="s">
        <v>11262</v>
      </c>
      <c r="C68" s="1757" t="s">
        <v>2370</v>
      </c>
      <c r="D68" s="46" t="s">
        <v>11683</v>
      </c>
      <c r="E68" s="1757">
        <f>tvl_bartending_nc2_m_psrs_2021</f>
        <v>0</v>
      </c>
      <c r="F68" s="46" t="b">
        <v>1</v>
      </c>
    </row>
    <row r="69" spans="1:6">
      <c r="A69" s="1757" t="s">
        <v>2371</v>
      </c>
      <c r="B69" s="46" t="s">
        <v>11262</v>
      </c>
      <c r="C69" s="1757" t="s">
        <v>2371</v>
      </c>
      <c r="D69" s="46" t="s">
        <v>11777</v>
      </c>
      <c r="E69" s="1757">
        <f>tvl_bartending_nc2_f_psrs_2021</f>
        <v>0</v>
      </c>
      <c r="F69" s="46" t="b">
        <v>1</v>
      </c>
    </row>
    <row r="70" spans="1:6">
      <c r="A70" s="1757" t="s">
        <v>2372</v>
      </c>
      <c r="B70" s="46" t="s">
        <v>11262</v>
      </c>
      <c r="C70" s="1757" t="s">
        <v>2372</v>
      </c>
      <c r="D70" s="46" t="s">
        <v>11496</v>
      </c>
      <c r="E70" s="1757">
        <f>tvl_beautynnail_nc2_m_tkrs_2021</f>
        <v>0</v>
      </c>
      <c r="F70" s="46" t="b">
        <v>1</v>
      </c>
    </row>
    <row r="71" spans="1:6">
      <c r="A71" s="1757" t="s">
        <v>2373</v>
      </c>
      <c r="B71" s="46" t="s">
        <v>11262</v>
      </c>
      <c r="C71" s="1757" t="s">
        <v>2373</v>
      </c>
      <c r="D71" s="46" t="s">
        <v>11590</v>
      </c>
      <c r="E71" s="1757">
        <f>tvl_beautynnail_nc2_f_tkrs_2021</f>
        <v>0</v>
      </c>
      <c r="F71" s="46" t="b">
        <v>1</v>
      </c>
    </row>
    <row r="72" spans="1:6">
      <c r="A72" s="1757" t="s">
        <v>2374</v>
      </c>
      <c r="B72" s="46" t="s">
        <v>11262</v>
      </c>
      <c r="C72" s="1757" t="s">
        <v>2374</v>
      </c>
      <c r="D72" s="46" t="s">
        <v>11684</v>
      </c>
      <c r="E72" s="1757">
        <f>tvl_beautynnail_nc2_m_psrs_2021</f>
        <v>0</v>
      </c>
      <c r="F72" s="46" t="b">
        <v>1</v>
      </c>
    </row>
    <row r="73" spans="1:6">
      <c r="A73" s="1757" t="s">
        <v>2375</v>
      </c>
      <c r="B73" s="46" t="s">
        <v>11262</v>
      </c>
      <c r="C73" s="1757" t="s">
        <v>2375</v>
      </c>
      <c r="D73" s="46" t="s">
        <v>11778</v>
      </c>
      <c r="E73" s="1757">
        <f>tvl_beautynnail_nc2_f_psrs_2021</f>
        <v>0</v>
      </c>
      <c r="F73" s="46" t="b">
        <v>1</v>
      </c>
    </row>
    <row r="74" spans="1:6">
      <c r="A74" s="1757" t="s">
        <v>2376</v>
      </c>
      <c r="B74" s="46" t="s">
        <v>11262</v>
      </c>
      <c r="C74" s="1757" t="s">
        <v>2376</v>
      </c>
      <c r="D74" s="46" t="s">
        <v>11497</v>
      </c>
      <c r="E74" s="1757">
        <f>tvl_breadpastry_nc2_m_tkrs_2021</f>
        <v>0</v>
      </c>
      <c r="F74" s="46" t="b">
        <v>1</v>
      </c>
    </row>
    <row r="75" spans="1:6">
      <c r="A75" s="1757" t="s">
        <v>2377</v>
      </c>
      <c r="B75" s="46" t="s">
        <v>11262</v>
      </c>
      <c r="C75" s="1757" t="s">
        <v>2377</v>
      </c>
      <c r="D75" s="46" t="s">
        <v>11591</v>
      </c>
      <c r="E75" s="1757">
        <f>tvl_breadpastry_nc2_f_tkrs_2021</f>
        <v>0</v>
      </c>
      <c r="F75" s="46" t="b">
        <v>1</v>
      </c>
    </row>
    <row r="76" spans="1:6">
      <c r="A76" s="1757" t="s">
        <v>2378</v>
      </c>
      <c r="B76" s="46" t="s">
        <v>11262</v>
      </c>
      <c r="C76" s="1757" t="s">
        <v>2378</v>
      </c>
      <c r="D76" s="46" t="s">
        <v>11685</v>
      </c>
      <c r="E76" s="1757">
        <f>tvl_breadpastry_nc2_m_psrs_2021</f>
        <v>0</v>
      </c>
      <c r="F76" s="46" t="b">
        <v>1</v>
      </c>
    </row>
    <row r="77" spans="1:6">
      <c r="A77" s="1757" t="s">
        <v>2379</v>
      </c>
      <c r="B77" s="46" t="s">
        <v>11262</v>
      </c>
      <c r="C77" s="1757" t="s">
        <v>2379</v>
      </c>
      <c r="D77" s="46" t="s">
        <v>11779</v>
      </c>
      <c r="E77" s="1757">
        <f>tvl_breadpastry_nc2_f_psrs_2021</f>
        <v>0</v>
      </c>
      <c r="F77" s="46" t="b">
        <v>1</v>
      </c>
    </row>
    <row r="78" spans="1:6">
      <c r="A78" s="1757" t="s">
        <v>2380</v>
      </c>
      <c r="B78" s="46" t="s">
        <v>11262</v>
      </c>
      <c r="C78" s="1757" t="s">
        <v>2380</v>
      </c>
      <c r="D78" s="46" t="s">
        <v>11498</v>
      </c>
      <c r="E78" s="1757">
        <f>tvl_caregiving_nc2_m_tkrs_2021</f>
        <v>0</v>
      </c>
      <c r="F78" s="46" t="b">
        <v>1</v>
      </c>
    </row>
    <row r="79" spans="1:6">
      <c r="A79" s="1757" t="s">
        <v>2381</v>
      </c>
      <c r="B79" s="46" t="s">
        <v>11262</v>
      </c>
      <c r="C79" s="1757" t="s">
        <v>2381</v>
      </c>
      <c r="D79" s="46" t="s">
        <v>11592</v>
      </c>
      <c r="E79" s="1757">
        <f>tvl_caregiving_nc2_f_tkrs_2021</f>
        <v>0</v>
      </c>
      <c r="F79" s="46" t="b">
        <v>1</v>
      </c>
    </row>
    <row r="80" spans="1:6">
      <c r="A80" s="1757" t="s">
        <v>2382</v>
      </c>
      <c r="B80" s="46" t="s">
        <v>11262</v>
      </c>
      <c r="C80" s="1757" t="s">
        <v>2382</v>
      </c>
      <c r="D80" s="46" t="s">
        <v>11686</v>
      </c>
      <c r="E80" s="1757">
        <f>tvl_caregiving_nc2_m_psrs_2021</f>
        <v>0</v>
      </c>
      <c r="F80" s="46" t="b">
        <v>1</v>
      </c>
    </row>
    <row r="81" spans="1:6">
      <c r="A81" s="1757" t="s">
        <v>2383</v>
      </c>
      <c r="B81" s="46" t="s">
        <v>11262</v>
      </c>
      <c r="C81" s="1757" t="s">
        <v>2383</v>
      </c>
      <c r="D81" s="46" t="s">
        <v>11780</v>
      </c>
      <c r="E81" s="1757">
        <f>tvl_caregiving_nc2_f_psrs_2021</f>
        <v>0</v>
      </c>
      <c r="F81" s="46" t="b">
        <v>1</v>
      </c>
    </row>
    <row r="82" spans="1:6">
      <c r="A82" s="1757" t="s">
        <v>2384</v>
      </c>
      <c r="B82" s="46" t="s">
        <v>11262</v>
      </c>
      <c r="C82" s="1757" t="s">
        <v>2384</v>
      </c>
      <c r="D82" s="46" t="s">
        <v>11499</v>
      </c>
      <c r="E82" s="1757">
        <f>tvl_commercialcooking_nc2_m_tkrs_2021</f>
        <v>0</v>
      </c>
      <c r="F82" s="46" t="b">
        <v>1</v>
      </c>
    </row>
    <row r="83" spans="1:6">
      <c r="A83" s="1757" t="s">
        <v>2385</v>
      </c>
      <c r="B83" s="46" t="s">
        <v>11262</v>
      </c>
      <c r="C83" s="1757" t="s">
        <v>2385</v>
      </c>
      <c r="D83" s="46" t="s">
        <v>11593</v>
      </c>
      <c r="E83" s="1757">
        <f>tvl_commercialcooking_nc2_f_tkrs_2021</f>
        <v>0</v>
      </c>
      <c r="F83" s="46" t="b">
        <v>1</v>
      </c>
    </row>
    <row r="84" spans="1:6">
      <c r="A84" s="1757" t="s">
        <v>2386</v>
      </c>
      <c r="B84" s="46" t="s">
        <v>11262</v>
      </c>
      <c r="C84" s="1757" t="s">
        <v>2386</v>
      </c>
      <c r="D84" s="46" t="s">
        <v>11687</v>
      </c>
      <c r="E84" s="1757">
        <f>tvl_commercialcooking_nc2_m_psrs_2021</f>
        <v>0</v>
      </c>
      <c r="F84" s="46" t="b">
        <v>1</v>
      </c>
    </row>
    <row r="85" spans="1:6">
      <c r="A85" s="1757" t="s">
        <v>2387</v>
      </c>
      <c r="B85" s="46" t="s">
        <v>11262</v>
      </c>
      <c r="C85" s="1757" t="s">
        <v>2387</v>
      </c>
      <c r="D85" s="46" t="s">
        <v>11781</v>
      </c>
      <c r="E85" s="1757">
        <f>tvl_commercialcooking_nc2_f_psrs_2021</f>
        <v>0</v>
      </c>
      <c r="F85" s="46" t="b">
        <v>1</v>
      </c>
    </row>
    <row r="86" spans="1:6">
      <c r="A86" s="1757" t="s">
        <v>2388</v>
      </c>
      <c r="B86" s="46" t="s">
        <v>11262</v>
      </c>
      <c r="C86" s="1757" t="s">
        <v>2388</v>
      </c>
      <c r="D86" s="46" t="s">
        <v>11500</v>
      </c>
      <c r="E86" s="1757">
        <f>tvl_cookery_nc2_m_tkrs_2021</f>
        <v>0</v>
      </c>
      <c r="F86" s="46" t="b">
        <v>1</v>
      </c>
    </row>
    <row r="87" spans="1:6">
      <c r="A87" s="1757" t="s">
        <v>2389</v>
      </c>
      <c r="B87" s="46" t="s">
        <v>11262</v>
      </c>
      <c r="C87" s="1757" t="s">
        <v>2389</v>
      </c>
      <c r="D87" s="46" t="s">
        <v>11594</v>
      </c>
      <c r="E87" s="1757">
        <f>tvl_cookery_nc2_f_tkrs_2021</f>
        <v>0</v>
      </c>
      <c r="F87" s="46" t="b">
        <v>1</v>
      </c>
    </row>
    <row r="88" spans="1:6">
      <c r="A88" s="1757" t="s">
        <v>2390</v>
      </c>
      <c r="B88" s="46" t="s">
        <v>11262</v>
      </c>
      <c r="C88" s="1757" t="s">
        <v>2390</v>
      </c>
      <c r="D88" s="46" t="s">
        <v>11688</v>
      </c>
      <c r="E88" s="1757">
        <f>tvl_cookery_nc2_m_psrs_2021</f>
        <v>0</v>
      </c>
      <c r="F88" s="46" t="b">
        <v>1</v>
      </c>
    </row>
    <row r="89" spans="1:6">
      <c r="A89" s="1757" t="s">
        <v>2391</v>
      </c>
      <c r="B89" s="46" t="s">
        <v>11262</v>
      </c>
      <c r="C89" s="1757" t="s">
        <v>2391</v>
      </c>
      <c r="D89" s="46" t="s">
        <v>11782</v>
      </c>
      <c r="E89" s="1757">
        <f>tvl_cookery_nc2_f_psrs_2021</f>
        <v>0</v>
      </c>
      <c r="F89" s="46" t="b">
        <v>1</v>
      </c>
    </row>
    <row r="90" spans="1:6">
      <c r="A90" s="1757" t="s">
        <v>2392</v>
      </c>
      <c r="B90" s="46" t="s">
        <v>11262</v>
      </c>
      <c r="C90" s="1757" t="s">
        <v>2392</v>
      </c>
      <c r="D90" s="46" t="s">
        <v>11501</v>
      </c>
      <c r="E90" s="1757">
        <f>tvl_dressmaking_nc2_m_tkrs_2021</f>
        <v>0</v>
      </c>
      <c r="F90" s="46" t="b">
        <v>1</v>
      </c>
    </row>
    <row r="91" spans="1:6">
      <c r="A91" s="1757" t="s">
        <v>2393</v>
      </c>
      <c r="B91" s="46" t="s">
        <v>11262</v>
      </c>
      <c r="C91" s="1757" t="s">
        <v>2393</v>
      </c>
      <c r="D91" s="46" t="s">
        <v>11595</v>
      </c>
      <c r="E91" s="1757">
        <f>tvl_dressmaking_nc2_f_tkrs_2021</f>
        <v>0</v>
      </c>
      <c r="F91" s="46" t="b">
        <v>1</v>
      </c>
    </row>
    <row r="92" spans="1:6">
      <c r="A92" s="1757" t="s">
        <v>2394</v>
      </c>
      <c r="B92" s="46" t="s">
        <v>11262</v>
      </c>
      <c r="C92" s="1757" t="s">
        <v>2394</v>
      </c>
      <c r="D92" s="46" t="s">
        <v>11689</v>
      </c>
      <c r="E92" s="1757">
        <f>tvl_dressmaking_nc2_m_psrs_2021</f>
        <v>0</v>
      </c>
      <c r="F92" s="46" t="b">
        <v>1</v>
      </c>
    </row>
    <row r="93" spans="1:6">
      <c r="A93" s="1757" t="s">
        <v>2395</v>
      </c>
      <c r="B93" s="46" t="s">
        <v>11262</v>
      </c>
      <c r="C93" s="1757" t="s">
        <v>2395</v>
      </c>
      <c r="D93" s="46" t="s">
        <v>11783</v>
      </c>
      <c r="E93" s="1757">
        <f>tvl_dressmaking_nc2_f_psrs_2021</f>
        <v>0</v>
      </c>
      <c r="F93" s="46" t="b">
        <v>1</v>
      </c>
    </row>
    <row r="94" spans="1:6">
      <c r="A94" s="1757" t="s">
        <v>2396</v>
      </c>
      <c r="B94" s="46" t="s">
        <v>11262</v>
      </c>
      <c r="C94" s="1757" t="s">
        <v>2396</v>
      </c>
      <c r="D94" s="46" t="s">
        <v>11502</v>
      </c>
      <c r="E94" s="1757">
        <f>tvl_eventsmgt_nc3_m_tkrs_2021</f>
        <v>0</v>
      </c>
      <c r="F94" s="46" t="b">
        <v>1</v>
      </c>
    </row>
    <row r="95" spans="1:6">
      <c r="A95" s="1757" t="s">
        <v>2397</v>
      </c>
      <c r="B95" s="46" t="s">
        <v>11262</v>
      </c>
      <c r="C95" s="1757" t="s">
        <v>2397</v>
      </c>
      <c r="D95" s="46" t="s">
        <v>11596</v>
      </c>
      <c r="E95" s="1757">
        <f>tvl_eventsmgt_nc3_f_tkrs_2021</f>
        <v>0</v>
      </c>
      <c r="F95" s="46" t="b">
        <v>1</v>
      </c>
    </row>
    <row r="96" spans="1:6">
      <c r="A96" s="1757" t="s">
        <v>2398</v>
      </c>
      <c r="B96" s="46" t="s">
        <v>11262</v>
      </c>
      <c r="C96" s="1757" t="s">
        <v>2398</v>
      </c>
      <c r="D96" s="46" t="s">
        <v>11690</v>
      </c>
      <c r="E96" s="1757">
        <f>tvl_eventsmgt_nc3_m_psrs_2021</f>
        <v>0</v>
      </c>
      <c r="F96" s="46" t="b">
        <v>1</v>
      </c>
    </row>
    <row r="97" spans="1:6">
      <c r="A97" s="1757" t="s">
        <v>2399</v>
      </c>
      <c r="B97" s="46" t="s">
        <v>11262</v>
      </c>
      <c r="C97" s="1757" t="s">
        <v>2399</v>
      </c>
      <c r="D97" s="46" t="s">
        <v>11784</v>
      </c>
      <c r="E97" s="1757">
        <f>tvl_eventsmgt_nc3_f_psrs_2021</f>
        <v>0</v>
      </c>
      <c r="F97" s="46" t="b">
        <v>1</v>
      </c>
    </row>
    <row r="98" spans="1:6">
      <c r="A98" s="1757" t="s">
        <v>2400</v>
      </c>
      <c r="B98" s="46" t="s">
        <v>11262</v>
      </c>
      <c r="C98" s="1757" t="s">
        <v>2400</v>
      </c>
      <c r="D98" s="46" t="s">
        <v>11503</v>
      </c>
      <c r="E98" s="1757">
        <f>tvl_fashiondesign_nc3_m_tkrs_2021</f>
        <v>0</v>
      </c>
      <c r="F98" s="46" t="b">
        <v>1</v>
      </c>
    </row>
    <row r="99" spans="1:6">
      <c r="A99" s="1757" t="s">
        <v>2401</v>
      </c>
      <c r="B99" s="46" t="s">
        <v>11262</v>
      </c>
      <c r="C99" s="1757" t="s">
        <v>2401</v>
      </c>
      <c r="D99" s="46" t="s">
        <v>11597</v>
      </c>
      <c r="E99" s="1757">
        <f>tvl_fashiondesign_nc3_f_tkrs_2021</f>
        <v>0</v>
      </c>
      <c r="F99" s="46" t="b">
        <v>1</v>
      </c>
    </row>
    <row r="100" spans="1:6">
      <c r="A100" s="1757" t="s">
        <v>2402</v>
      </c>
      <c r="B100" s="46" t="s">
        <v>11262</v>
      </c>
      <c r="C100" s="1757" t="s">
        <v>2402</v>
      </c>
      <c r="D100" s="46" t="s">
        <v>11691</v>
      </c>
      <c r="E100" s="1757">
        <f>tvl_fashiondesign_nc3_m_psrs_2021</f>
        <v>0</v>
      </c>
      <c r="F100" s="46" t="b">
        <v>1</v>
      </c>
    </row>
    <row r="101" spans="1:6">
      <c r="A101" s="1757" t="s">
        <v>2403</v>
      </c>
      <c r="B101" s="46" t="s">
        <v>11262</v>
      </c>
      <c r="C101" s="1757" t="s">
        <v>2403</v>
      </c>
      <c r="D101" s="46" t="s">
        <v>11785</v>
      </c>
      <c r="E101" s="1757">
        <f>tvl_fashiondesign_nc3_f_psrs_2021</f>
        <v>0</v>
      </c>
      <c r="F101" s="46" t="b">
        <v>1</v>
      </c>
    </row>
    <row r="102" spans="1:6">
      <c r="A102" s="1757" t="s">
        <v>2404</v>
      </c>
      <c r="B102" s="46" t="s">
        <v>11262</v>
      </c>
      <c r="C102" s="1757" t="s">
        <v>2404</v>
      </c>
      <c r="D102" s="46" t="s">
        <v>11504</v>
      </c>
      <c r="E102" s="1757">
        <f>tvl_foodnbeverage_nc2_m_tkrs_2021</f>
        <v>0</v>
      </c>
      <c r="F102" s="46" t="b">
        <v>1</v>
      </c>
    </row>
    <row r="103" spans="1:6">
      <c r="A103" s="1757" t="s">
        <v>2405</v>
      </c>
      <c r="B103" s="46" t="s">
        <v>11262</v>
      </c>
      <c r="C103" s="1757" t="s">
        <v>2405</v>
      </c>
      <c r="D103" s="46" t="s">
        <v>11598</v>
      </c>
      <c r="E103" s="1757">
        <f>tvl_foodnbeverage_nc2_f_tkrs_2021</f>
        <v>0</v>
      </c>
      <c r="F103" s="46" t="b">
        <v>1</v>
      </c>
    </row>
    <row r="104" spans="1:6">
      <c r="A104" s="1757" t="s">
        <v>2406</v>
      </c>
      <c r="B104" s="46" t="s">
        <v>11262</v>
      </c>
      <c r="C104" s="1757" t="s">
        <v>2406</v>
      </c>
      <c r="D104" s="46" t="s">
        <v>11692</v>
      </c>
      <c r="E104" s="1757">
        <f>tvl_foodnbeverage_nc2_m_psrs_2021</f>
        <v>0</v>
      </c>
      <c r="F104" s="46" t="b">
        <v>1</v>
      </c>
    </row>
    <row r="105" spans="1:6">
      <c r="A105" s="1757" t="s">
        <v>2407</v>
      </c>
      <c r="B105" s="46" t="s">
        <v>11262</v>
      </c>
      <c r="C105" s="1757" t="s">
        <v>2407</v>
      </c>
      <c r="D105" s="46" t="s">
        <v>11786</v>
      </c>
      <c r="E105" s="1757">
        <f>tvl_foodnbeverage_nc2_f_psrs_2021</f>
        <v>0</v>
      </c>
      <c r="F105" s="46" t="b">
        <v>1</v>
      </c>
    </row>
    <row r="106" spans="1:6">
      <c r="A106" s="1757" t="s">
        <v>2408</v>
      </c>
      <c r="B106" s="46" t="s">
        <v>11262</v>
      </c>
      <c r="C106" s="1757" t="s">
        <v>2408</v>
      </c>
      <c r="D106" s="46" t="s">
        <v>11505</v>
      </c>
      <c r="E106" s="1757">
        <f>tvl_frontoffice_nc2_m_tkrs_2021</f>
        <v>0</v>
      </c>
      <c r="F106" s="46" t="b">
        <v>1</v>
      </c>
    </row>
    <row r="107" spans="1:6">
      <c r="A107" s="1757" t="s">
        <v>2409</v>
      </c>
      <c r="B107" s="46" t="s">
        <v>11262</v>
      </c>
      <c r="C107" s="1757" t="s">
        <v>2409</v>
      </c>
      <c r="D107" s="46" t="s">
        <v>11599</v>
      </c>
      <c r="E107" s="1757">
        <f>tvl_frontoffice_nc2_f_tkrs_2021</f>
        <v>0</v>
      </c>
      <c r="F107" s="46" t="b">
        <v>1</v>
      </c>
    </row>
    <row r="108" spans="1:6">
      <c r="A108" s="1757" t="s">
        <v>2410</v>
      </c>
      <c r="B108" s="46" t="s">
        <v>11262</v>
      </c>
      <c r="C108" s="1757" t="s">
        <v>2410</v>
      </c>
      <c r="D108" s="46" t="s">
        <v>11693</v>
      </c>
      <c r="E108" s="1757">
        <f>tvl_frontoffice_nc2_m_psrs_2021</f>
        <v>0</v>
      </c>
      <c r="F108" s="46" t="b">
        <v>1</v>
      </c>
    </row>
    <row r="109" spans="1:6">
      <c r="A109" s="1757" t="s">
        <v>2411</v>
      </c>
      <c r="B109" s="46" t="s">
        <v>11262</v>
      </c>
      <c r="C109" s="1757" t="s">
        <v>2411</v>
      </c>
      <c r="D109" s="46" t="s">
        <v>11787</v>
      </c>
      <c r="E109" s="1757">
        <f>tvl_frontoffice_nc2_f_psrs_2021</f>
        <v>0</v>
      </c>
      <c r="F109" s="46" t="b">
        <v>1</v>
      </c>
    </row>
    <row r="110" spans="1:6">
      <c r="A110" s="1757" t="s">
        <v>2412</v>
      </c>
      <c r="B110" s="46" t="s">
        <v>11262</v>
      </c>
      <c r="C110" s="1757" t="s">
        <v>2412</v>
      </c>
      <c r="D110" s="46" t="s">
        <v>11506</v>
      </c>
      <c r="E110" s="1757">
        <f>tvl_hairdressing_nc2_m_tkrs_2021</f>
        <v>0</v>
      </c>
      <c r="F110" s="46" t="b">
        <v>1</v>
      </c>
    </row>
    <row r="111" spans="1:6">
      <c r="A111" s="1757" t="s">
        <v>2413</v>
      </c>
      <c r="B111" s="46" t="s">
        <v>11262</v>
      </c>
      <c r="C111" s="1757" t="s">
        <v>2413</v>
      </c>
      <c r="D111" s="46" t="s">
        <v>11600</v>
      </c>
      <c r="E111" s="1757">
        <f>tvl_hairdressing_nc2_f_tkrs_2021</f>
        <v>0</v>
      </c>
      <c r="F111" s="46" t="b">
        <v>1</v>
      </c>
    </row>
    <row r="112" spans="1:6">
      <c r="A112" s="1757" t="s">
        <v>2414</v>
      </c>
      <c r="B112" s="46" t="s">
        <v>11262</v>
      </c>
      <c r="C112" s="1757" t="s">
        <v>2414</v>
      </c>
      <c r="D112" s="46" t="s">
        <v>11694</v>
      </c>
      <c r="E112" s="1757">
        <f>tvl_hairdressing_nc2_m_psrs_2021</f>
        <v>0</v>
      </c>
      <c r="F112" s="46" t="b">
        <v>1</v>
      </c>
    </row>
    <row r="113" spans="1:6">
      <c r="A113" s="1757" t="s">
        <v>2415</v>
      </c>
      <c r="B113" s="46" t="s">
        <v>11262</v>
      </c>
      <c r="C113" s="1757" t="s">
        <v>2415</v>
      </c>
      <c r="D113" s="46" t="s">
        <v>11788</v>
      </c>
      <c r="E113" s="1757">
        <f>tvl_hairdressing_nc2_f_psrs_2021</f>
        <v>0</v>
      </c>
      <c r="F113" s="46" t="b">
        <v>1</v>
      </c>
    </row>
    <row r="114" spans="1:6">
      <c r="A114" s="1757" t="s">
        <v>2416</v>
      </c>
      <c r="B114" s="46" t="s">
        <v>11262</v>
      </c>
      <c r="C114" s="1757" t="s">
        <v>2416</v>
      </c>
      <c r="D114" s="46" t="s">
        <v>11507</v>
      </c>
      <c r="E114" s="1757">
        <f>tvl_hairdressing_nc3_m_tkrs_2021</f>
        <v>0</v>
      </c>
      <c r="F114" s="46" t="b">
        <v>1</v>
      </c>
    </row>
    <row r="115" spans="1:6">
      <c r="A115" s="1757" t="s">
        <v>2417</v>
      </c>
      <c r="B115" s="46" t="s">
        <v>11262</v>
      </c>
      <c r="C115" s="1757" t="s">
        <v>2417</v>
      </c>
      <c r="D115" s="46" t="s">
        <v>11601</v>
      </c>
      <c r="E115" s="1757">
        <f>tvl_hairdressing_nc3_f_tkrs_2021</f>
        <v>0</v>
      </c>
      <c r="F115" s="46" t="b">
        <v>1</v>
      </c>
    </row>
    <row r="116" spans="1:6">
      <c r="A116" s="1757" t="s">
        <v>2418</v>
      </c>
      <c r="B116" s="46" t="s">
        <v>11262</v>
      </c>
      <c r="C116" s="1757" t="s">
        <v>2418</v>
      </c>
      <c r="D116" s="46" t="s">
        <v>11695</v>
      </c>
      <c r="E116" s="1757">
        <f>tvl_hairdressing_nc3_m_psrs_2021</f>
        <v>0</v>
      </c>
      <c r="F116" s="46" t="b">
        <v>1</v>
      </c>
    </row>
    <row r="117" spans="1:6">
      <c r="A117" s="1757" t="s">
        <v>2419</v>
      </c>
      <c r="B117" s="46" t="s">
        <v>11262</v>
      </c>
      <c r="C117" s="1757" t="s">
        <v>2419</v>
      </c>
      <c r="D117" s="46" t="s">
        <v>11789</v>
      </c>
      <c r="E117" s="1757">
        <f>tvl_hairdressing_nc3_f_psrs_2021</f>
        <v>0</v>
      </c>
      <c r="F117" s="46" t="b">
        <v>1</v>
      </c>
    </row>
    <row r="118" spans="1:6">
      <c r="A118" s="1757" t="s">
        <v>2420</v>
      </c>
      <c r="B118" s="46" t="s">
        <v>11262</v>
      </c>
      <c r="C118" s="1757" t="s">
        <v>2420</v>
      </c>
      <c r="D118" s="46" t="s">
        <v>11508</v>
      </c>
      <c r="E118" s="1757">
        <f>tvl_handibasketry_nonnc_m_tkrs_2021</f>
        <v>0</v>
      </c>
      <c r="F118" s="46" t="b">
        <v>1</v>
      </c>
    </row>
    <row r="119" spans="1:6">
      <c r="A119" s="1757" t="s">
        <v>2421</v>
      </c>
      <c r="B119" s="46" t="s">
        <v>11262</v>
      </c>
      <c r="C119" s="1757" t="s">
        <v>2421</v>
      </c>
      <c r="D119" s="46" t="s">
        <v>11602</v>
      </c>
      <c r="E119" s="1757">
        <f>tvl_handibasketry_nonnc_f_tkrs_2021</f>
        <v>0</v>
      </c>
      <c r="F119" s="46" t="b">
        <v>1</v>
      </c>
    </row>
    <row r="120" spans="1:6">
      <c r="A120" s="1757" t="s">
        <v>2422</v>
      </c>
      <c r="B120" s="46" t="s">
        <v>11262</v>
      </c>
      <c r="C120" s="1757" t="s">
        <v>2422</v>
      </c>
      <c r="D120" s="46" t="s">
        <v>11696</v>
      </c>
      <c r="E120" s="1757">
        <f>tvl_handibasketry_nonnc_m_psrs_2021</f>
        <v>0</v>
      </c>
      <c r="F120" s="46" t="b">
        <v>1</v>
      </c>
    </row>
    <row r="121" spans="1:6">
      <c r="A121" s="1757" t="s">
        <v>2423</v>
      </c>
      <c r="B121" s="46" t="s">
        <v>11262</v>
      </c>
      <c r="C121" s="1757" t="s">
        <v>2423</v>
      </c>
      <c r="D121" s="46" t="s">
        <v>11790</v>
      </c>
      <c r="E121" s="1757">
        <f>tvl_handibasketry_nonnc_f_psrs_2021</f>
        <v>0</v>
      </c>
      <c r="F121" s="46" t="b">
        <v>1</v>
      </c>
    </row>
    <row r="122" spans="1:6">
      <c r="A122" s="1757" t="s">
        <v>2424</v>
      </c>
      <c r="B122" s="46" t="s">
        <v>11262</v>
      </c>
      <c r="C122" s="1757" t="s">
        <v>2424</v>
      </c>
      <c r="D122" s="46" t="s">
        <v>11509</v>
      </c>
      <c r="E122" s="1757">
        <f>tvl_handifashion_nonnc_m_tkrs_2021</f>
        <v>0</v>
      </c>
      <c r="F122" s="46" t="b">
        <v>1</v>
      </c>
    </row>
    <row r="123" spans="1:6">
      <c r="A123" s="1757" t="s">
        <v>2425</v>
      </c>
      <c r="B123" s="46" t="s">
        <v>11262</v>
      </c>
      <c r="C123" s="1757" t="s">
        <v>2425</v>
      </c>
      <c r="D123" s="46" t="s">
        <v>11603</v>
      </c>
      <c r="E123" s="1757">
        <f>tvl_handifashion_nonnc_f_tkrs_2021</f>
        <v>0</v>
      </c>
      <c r="F123" s="46" t="b">
        <v>1</v>
      </c>
    </row>
    <row r="124" spans="1:6">
      <c r="A124" s="1757" t="s">
        <v>2426</v>
      </c>
      <c r="B124" s="46" t="s">
        <v>11262</v>
      </c>
      <c r="C124" s="1757" t="s">
        <v>2426</v>
      </c>
      <c r="D124" s="46" t="s">
        <v>11697</v>
      </c>
      <c r="E124" s="1757">
        <f>tvl_handifashion_nonnc_m_psrs_2021</f>
        <v>0</v>
      </c>
      <c r="F124" s="46" t="b">
        <v>1</v>
      </c>
    </row>
    <row r="125" spans="1:6">
      <c r="A125" s="1757" t="s">
        <v>2427</v>
      </c>
      <c r="B125" s="46" t="s">
        <v>11262</v>
      </c>
      <c r="C125" s="1757" t="s">
        <v>2427</v>
      </c>
      <c r="D125" s="46" t="s">
        <v>11791</v>
      </c>
      <c r="E125" s="1757">
        <f>tvl_handifashion_nonnc_f_psrs_2021</f>
        <v>0</v>
      </c>
      <c r="F125" s="46" t="b">
        <v>1</v>
      </c>
    </row>
    <row r="126" spans="1:6">
      <c r="A126" s="1757" t="s">
        <v>2428</v>
      </c>
      <c r="B126" s="46" t="s">
        <v>11262</v>
      </c>
      <c r="C126" s="1757" t="s">
        <v>2428</v>
      </c>
      <c r="D126" s="46" t="s">
        <v>11510</v>
      </c>
      <c r="E126" s="1757">
        <f>tvl_handineedlecraft_nonnc_m_tkrs_2021</f>
        <v>0</v>
      </c>
      <c r="F126" s="46" t="b">
        <v>1</v>
      </c>
    </row>
    <row r="127" spans="1:6">
      <c r="A127" s="1757" t="s">
        <v>2429</v>
      </c>
      <c r="B127" s="46" t="s">
        <v>11262</v>
      </c>
      <c r="C127" s="1757" t="s">
        <v>2429</v>
      </c>
      <c r="D127" s="46" t="s">
        <v>11604</v>
      </c>
      <c r="E127" s="1757">
        <f>tvl_handineedlecraft_nonnc_f_tkrs_2021</f>
        <v>0</v>
      </c>
      <c r="F127" s="46" t="b">
        <v>1</v>
      </c>
    </row>
    <row r="128" spans="1:6">
      <c r="A128" s="1757" t="s">
        <v>2430</v>
      </c>
      <c r="B128" s="46" t="s">
        <v>11262</v>
      </c>
      <c r="C128" s="1757" t="s">
        <v>2430</v>
      </c>
      <c r="D128" s="46" t="s">
        <v>11698</v>
      </c>
      <c r="E128" s="1757">
        <f>tvl_handineedlecraft_nonnc_m_psrs_2021</f>
        <v>0</v>
      </c>
      <c r="F128" s="46" t="b">
        <v>1</v>
      </c>
    </row>
    <row r="129" spans="1:6">
      <c r="A129" s="1757" t="s">
        <v>2431</v>
      </c>
      <c r="B129" s="46" t="s">
        <v>11262</v>
      </c>
      <c r="C129" s="1757" t="s">
        <v>2431</v>
      </c>
      <c r="D129" s="46" t="s">
        <v>11792</v>
      </c>
      <c r="E129" s="1757">
        <f>tvl_handineedlecraft_nonnc_f_psrs_2021</f>
        <v>0</v>
      </c>
      <c r="F129" s="46" t="b">
        <v>1</v>
      </c>
    </row>
    <row r="130" spans="1:6">
      <c r="A130" s="1757" t="s">
        <v>2432</v>
      </c>
      <c r="B130" s="46" t="s">
        <v>11262</v>
      </c>
      <c r="C130" s="1757" t="s">
        <v>2432</v>
      </c>
      <c r="D130" s="46" t="s">
        <v>11511</v>
      </c>
      <c r="E130" s="1757">
        <f>tvl_handiwoodcraft_nonnc_m_tkrs_2021</f>
        <v>0</v>
      </c>
      <c r="F130" s="46" t="b">
        <v>1</v>
      </c>
    </row>
    <row r="131" spans="1:6">
      <c r="A131" s="1757" t="s">
        <v>2433</v>
      </c>
      <c r="B131" s="46" t="s">
        <v>11262</v>
      </c>
      <c r="C131" s="1757" t="s">
        <v>2433</v>
      </c>
      <c r="D131" s="46" t="s">
        <v>11605</v>
      </c>
      <c r="E131" s="1757">
        <f>tvl_handiwoodcraft_nonnc_f_tkrs_2021</f>
        <v>0</v>
      </c>
      <c r="F131" s="46" t="b">
        <v>1</v>
      </c>
    </row>
    <row r="132" spans="1:6">
      <c r="A132" s="1757" t="s">
        <v>2434</v>
      </c>
      <c r="B132" s="46" t="s">
        <v>11262</v>
      </c>
      <c r="C132" s="1757" t="s">
        <v>2434</v>
      </c>
      <c r="D132" s="46" t="s">
        <v>11699</v>
      </c>
      <c r="E132" s="1757">
        <f>tvl_handiwoodcraft_nonnc_m_psrs_2021</f>
        <v>0</v>
      </c>
      <c r="F132" s="46" t="b">
        <v>1</v>
      </c>
    </row>
    <row r="133" spans="1:6">
      <c r="A133" s="1757" t="s">
        <v>2435</v>
      </c>
      <c r="B133" s="46" t="s">
        <v>11262</v>
      </c>
      <c r="C133" s="1757" t="s">
        <v>2435</v>
      </c>
      <c r="D133" s="46" t="s">
        <v>11793</v>
      </c>
      <c r="E133" s="1757">
        <f>tvl_handiwoodcraft_nonnc_f_psrs_2021</f>
        <v>0</v>
      </c>
      <c r="F133" s="46" t="b">
        <v>1</v>
      </c>
    </row>
    <row r="134" spans="1:6">
      <c r="A134" s="1757" t="s">
        <v>2436</v>
      </c>
      <c r="B134" s="46" t="s">
        <v>11262</v>
      </c>
      <c r="C134" s="1757" t="s">
        <v>2436</v>
      </c>
      <c r="D134" s="46" t="s">
        <v>11512</v>
      </c>
      <c r="E134" s="1757">
        <f>tvl_housekeeping_nc2_m_tkrs_2021</f>
        <v>0</v>
      </c>
      <c r="F134" s="46" t="b">
        <v>1</v>
      </c>
    </row>
    <row r="135" spans="1:6">
      <c r="A135" s="1757" t="s">
        <v>2437</v>
      </c>
      <c r="B135" s="46" t="s">
        <v>11262</v>
      </c>
      <c r="C135" s="1757" t="s">
        <v>2437</v>
      </c>
      <c r="D135" s="46" t="s">
        <v>11606</v>
      </c>
      <c r="E135" s="1757">
        <f>tvl_housekeeping_nc2_f_tkrs_2021</f>
        <v>0</v>
      </c>
      <c r="F135" s="46" t="b">
        <v>1</v>
      </c>
    </row>
    <row r="136" spans="1:6">
      <c r="A136" s="1757" t="s">
        <v>2438</v>
      </c>
      <c r="B136" s="46" t="s">
        <v>11262</v>
      </c>
      <c r="C136" s="1757" t="s">
        <v>2438</v>
      </c>
      <c r="D136" s="46" t="s">
        <v>11700</v>
      </c>
      <c r="E136" s="1757">
        <f>tvl_housekeeping_nc2_m_psrs_2021</f>
        <v>0</v>
      </c>
      <c r="F136" s="46" t="b">
        <v>1</v>
      </c>
    </row>
    <row r="137" spans="1:6">
      <c r="A137" s="1757" t="s">
        <v>2439</v>
      </c>
      <c r="B137" s="46" t="s">
        <v>11262</v>
      </c>
      <c r="C137" s="1757" t="s">
        <v>2439</v>
      </c>
      <c r="D137" s="46" t="s">
        <v>11794</v>
      </c>
      <c r="E137" s="1757">
        <f>tvl_housekeeping_nc2_f_psrs_2021</f>
        <v>0</v>
      </c>
      <c r="F137" s="46" t="b">
        <v>1</v>
      </c>
    </row>
    <row r="138" spans="1:6">
      <c r="A138" s="1757" t="s">
        <v>2440</v>
      </c>
      <c r="B138" s="46" t="s">
        <v>11262</v>
      </c>
      <c r="C138" s="1757" t="s">
        <v>2440</v>
      </c>
      <c r="D138" s="46" t="s">
        <v>11513</v>
      </c>
      <c r="E138" s="1757">
        <f>tvl_localguiding_nc2_m_tkrs_2021</f>
        <v>0</v>
      </c>
      <c r="F138" s="46" t="b">
        <v>1</v>
      </c>
    </row>
    <row r="139" spans="1:6">
      <c r="A139" s="1757" t="s">
        <v>2441</v>
      </c>
      <c r="B139" s="46" t="s">
        <v>11262</v>
      </c>
      <c r="C139" s="1757" t="s">
        <v>2441</v>
      </c>
      <c r="D139" s="46" t="s">
        <v>11607</v>
      </c>
      <c r="E139" s="1757">
        <f>tvl_localguiding_nc2_f_tkrs_2021</f>
        <v>0</v>
      </c>
      <c r="F139" s="46" t="b">
        <v>1</v>
      </c>
    </row>
    <row r="140" spans="1:6">
      <c r="A140" s="1757" t="s">
        <v>2442</v>
      </c>
      <c r="B140" s="46" t="s">
        <v>11262</v>
      </c>
      <c r="C140" s="1757" t="s">
        <v>2442</v>
      </c>
      <c r="D140" s="46" t="s">
        <v>11701</v>
      </c>
      <c r="E140" s="1757">
        <f>tvl_localguiding_nc2_m_psrs_2021</f>
        <v>0</v>
      </c>
      <c r="F140" s="46" t="b">
        <v>1</v>
      </c>
    </row>
    <row r="141" spans="1:6">
      <c r="A141" s="1757" t="s">
        <v>2443</v>
      </c>
      <c r="B141" s="46" t="s">
        <v>11262</v>
      </c>
      <c r="C141" s="1757" t="s">
        <v>2443</v>
      </c>
      <c r="D141" s="46" t="s">
        <v>11795</v>
      </c>
      <c r="E141" s="1757">
        <f>tvl_localguiding_nc2_f_psrs_2021</f>
        <v>0</v>
      </c>
      <c r="F141" s="46" t="b">
        <v>1</v>
      </c>
    </row>
    <row r="142" spans="1:6">
      <c r="A142" s="1757" t="s">
        <v>2444</v>
      </c>
      <c r="B142" s="46" t="s">
        <v>11262</v>
      </c>
      <c r="C142" s="1757" t="s">
        <v>2444</v>
      </c>
      <c r="D142" s="46" t="s">
        <v>11514</v>
      </c>
      <c r="E142" s="1757">
        <f>tvl_tailoring_nc2_m_tkrs_2021</f>
        <v>0</v>
      </c>
      <c r="F142" s="46" t="b">
        <v>1</v>
      </c>
    </row>
    <row r="143" spans="1:6">
      <c r="A143" s="1757" t="s">
        <v>2445</v>
      </c>
      <c r="B143" s="46" t="s">
        <v>11262</v>
      </c>
      <c r="C143" s="1757" t="s">
        <v>2445</v>
      </c>
      <c r="D143" s="46" t="s">
        <v>11608</v>
      </c>
      <c r="E143" s="1757">
        <f>tvl_tailoring_nc2_f_tkrs_2021</f>
        <v>0</v>
      </c>
      <c r="F143" s="46" t="b">
        <v>1</v>
      </c>
    </row>
    <row r="144" spans="1:6">
      <c r="A144" s="1757" t="s">
        <v>2446</v>
      </c>
      <c r="B144" s="46" t="s">
        <v>11262</v>
      </c>
      <c r="C144" s="1757" t="s">
        <v>2446</v>
      </c>
      <c r="D144" s="46" t="s">
        <v>11702</v>
      </c>
      <c r="E144" s="1757">
        <f>tvl_tailoring_nc2_m_psrs_2021</f>
        <v>0</v>
      </c>
      <c r="F144" s="46" t="b">
        <v>1</v>
      </c>
    </row>
    <row r="145" spans="1:6">
      <c r="A145" s="1757" t="s">
        <v>2447</v>
      </c>
      <c r="B145" s="46" t="s">
        <v>11262</v>
      </c>
      <c r="C145" s="1757" t="s">
        <v>2447</v>
      </c>
      <c r="D145" s="46" t="s">
        <v>11796</v>
      </c>
      <c r="E145" s="1757">
        <f>tvl_tailoring_nc2_f_psrs_2021</f>
        <v>0</v>
      </c>
      <c r="F145" s="46" t="b">
        <v>1</v>
      </c>
    </row>
    <row r="146" spans="1:6">
      <c r="A146" s="1757" t="s">
        <v>2448</v>
      </c>
      <c r="B146" s="46" t="s">
        <v>11262</v>
      </c>
      <c r="C146" s="1757" t="s">
        <v>2448</v>
      </c>
      <c r="D146" s="46" t="s">
        <v>11515</v>
      </c>
      <c r="E146" s="1757">
        <f>tvl_tourismpromotion_nc2_m_tkrs_2021</f>
        <v>0</v>
      </c>
      <c r="F146" s="46" t="b">
        <v>1</v>
      </c>
    </row>
    <row r="147" spans="1:6">
      <c r="A147" s="1757" t="s">
        <v>2449</v>
      </c>
      <c r="B147" s="46" t="s">
        <v>11262</v>
      </c>
      <c r="C147" s="1757" t="s">
        <v>2449</v>
      </c>
      <c r="D147" s="46" t="s">
        <v>11609</v>
      </c>
      <c r="E147" s="1757">
        <f>tvl_tourismpromotion_nc2_f_tkrs_2021</f>
        <v>0</v>
      </c>
      <c r="F147" s="46" t="b">
        <v>1</v>
      </c>
    </row>
    <row r="148" spans="1:6">
      <c r="A148" s="1757" t="s">
        <v>2450</v>
      </c>
      <c r="B148" s="46" t="s">
        <v>11262</v>
      </c>
      <c r="C148" s="1757" t="s">
        <v>2450</v>
      </c>
      <c r="D148" s="46" t="s">
        <v>11703</v>
      </c>
      <c r="E148" s="1757">
        <f>tvl_tourismpromotion_nc2_m_psrs_2021</f>
        <v>0</v>
      </c>
      <c r="F148" s="46" t="b">
        <v>1</v>
      </c>
    </row>
    <row r="149" spans="1:6">
      <c r="A149" s="1757" t="s">
        <v>2451</v>
      </c>
      <c r="B149" s="46" t="s">
        <v>11262</v>
      </c>
      <c r="C149" s="1757" t="s">
        <v>2451</v>
      </c>
      <c r="D149" s="46" t="s">
        <v>11797</v>
      </c>
      <c r="E149" s="1757">
        <f>tvl_tourismpromotion_nc2_f_psrs_2021</f>
        <v>0</v>
      </c>
      <c r="F149" s="46" t="b">
        <v>1</v>
      </c>
    </row>
    <row r="150" spans="1:6">
      <c r="A150" s="1757" t="s">
        <v>2455</v>
      </c>
      <c r="B150" s="46" t="s">
        <v>11262</v>
      </c>
      <c r="C150" s="1757" t="s">
        <v>2455</v>
      </c>
      <c r="D150" s="46" t="s">
        <v>11516</v>
      </c>
      <c r="E150" s="1757">
        <f>tvl_travelservices_nc2_m_tkrs_2021</f>
        <v>0</v>
      </c>
      <c r="F150" s="46" t="b">
        <v>1</v>
      </c>
    </row>
    <row r="151" spans="1:6">
      <c r="A151" s="1757" t="s">
        <v>2456</v>
      </c>
      <c r="B151" s="46" t="s">
        <v>11262</v>
      </c>
      <c r="C151" s="1757" t="s">
        <v>2456</v>
      </c>
      <c r="D151" s="46" t="s">
        <v>11610</v>
      </c>
      <c r="E151" s="1757">
        <f>tvl_travelservices_nc2_f_tkrs_2021</f>
        <v>0</v>
      </c>
      <c r="F151" s="46" t="b">
        <v>1</v>
      </c>
    </row>
    <row r="152" spans="1:6">
      <c r="A152" s="1757" t="s">
        <v>2457</v>
      </c>
      <c r="B152" s="46" t="s">
        <v>11262</v>
      </c>
      <c r="C152" s="1757" t="s">
        <v>2457</v>
      </c>
      <c r="D152" s="46" t="s">
        <v>11704</v>
      </c>
      <c r="E152" s="1757">
        <f>tvl_travelservices_nc2_m_psrs_2021</f>
        <v>0</v>
      </c>
      <c r="F152" s="46" t="b">
        <v>1</v>
      </c>
    </row>
    <row r="153" spans="1:6">
      <c r="A153" s="1757" t="s">
        <v>2458</v>
      </c>
      <c r="B153" s="46" t="s">
        <v>11262</v>
      </c>
      <c r="C153" s="1757" t="s">
        <v>2458</v>
      </c>
      <c r="D153" s="46" t="s">
        <v>11798</v>
      </c>
      <c r="E153" s="1757">
        <f>tvl_travelservices_nc2_f_psrs_2021</f>
        <v>0</v>
      </c>
      <c r="F153" s="46" t="b">
        <v>1</v>
      </c>
    </row>
    <row r="154" spans="1:6">
      <c r="A154" s="1757" t="s">
        <v>2459</v>
      </c>
      <c r="B154" s="46" t="s">
        <v>11262</v>
      </c>
      <c r="C154" s="1757" t="s">
        <v>2459</v>
      </c>
      <c r="D154" s="46" t="s">
        <v>11517</v>
      </c>
      <c r="E154" s="1757">
        <f>tvl_wellness_nc2_m_tkrs_2021</f>
        <v>0</v>
      </c>
      <c r="F154" s="46" t="b">
        <v>1</v>
      </c>
    </row>
    <row r="155" spans="1:6">
      <c r="A155" s="1757" t="s">
        <v>2460</v>
      </c>
      <c r="B155" s="46" t="s">
        <v>11262</v>
      </c>
      <c r="C155" s="1757" t="s">
        <v>2460</v>
      </c>
      <c r="D155" s="46" t="s">
        <v>11611</v>
      </c>
      <c r="E155" s="1757">
        <f>tvl_wellness_nc2_f_tkrs_2021</f>
        <v>0</v>
      </c>
      <c r="F155" s="46" t="b">
        <v>1</v>
      </c>
    </row>
    <row r="156" spans="1:6">
      <c r="A156" s="1757" t="s">
        <v>2461</v>
      </c>
      <c r="B156" s="46" t="s">
        <v>11262</v>
      </c>
      <c r="C156" s="1757" t="s">
        <v>2461</v>
      </c>
      <c r="D156" s="46" t="s">
        <v>11705</v>
      </c>
      <c r="E156" s="1757">
        <f>tvl_wellness_nc2_m_psrs_2021</f>
        <v>0</v>
      </c>
      <c r="F156" s="46" t="b">
        <v>1</v>
      </c>
    </row>
    <row r="157" spans="1:6">
      <c r="A157" s="1757" t="s">
        <v>2462</v>
      </c>
      <c r="B157" s="46" t="s">
        <v>11262</v>
      </c>
      <c r="C157" s="1757" t="s">
        <v>2462</v>
      </c>
      <c r="D157" s="46" t="s">
        <v>11799</v>
      </c>
      <c r="E157" s="1757">
        <f>tvl_wellness_nc2_f_psrs_2021</f>
        <v>0</v>
      </c>
      <c r="F157" s="46" t="b">
        <v>1</v>
      </c>
    </row>
    <row r="158" spans="1:6">
      <c r="A158" s="1757" t="s">
        <v>2463</v>
      </c>
      <c r="B158" s="46" t="s">
        <v>11262</v>
      </c>
      <c r="C158" s="1757" t="s">
        <v>2463</v>
      </c>
      <c r="D158" s="46" t="s">
        <v>11518</v>
      </c>
      <c r="E158" s="1757">
        <f>tvl_agricrops_nc1_m_tkrs_2021</f>
        <v>0</v>
      </c>
      <c r="F158" s="46" t="b">
        <v>1</v>
      </c>
    </row>
    <row r="159" spans="1:6">
      <c r="A159" s="1757" t="s">
        <v>2464</v>
      </c>
      <c r="B159" s="46" t="s">
        <v>11262</v>
      </c>
      <c r="C159" s="1757" t="s">
        <v>2464</v>
      </c>
      <c r="D159" s="46" t="s">
        <v>11612</v>
      </c>
      <c r="E159" s="1757">
        <f>tvl_agricrops_nc1_f_tkrs_2021</f>
        <v>0</v>
      </c>
      <c r="F159" s="46" t="b">
        <v>1</v>
      </c>
    </row>
    <row r="160" spans="1:6">
      <c r="A160" s="1757" t="s">
        <v>2465</v>
      </c>
      <c r="B160" s="46" t="s">
        <v>11262</v>
      </c>
      <c r="C160" s="1757" t="s">
        <v>2465</v>
      </c>
      <c r="D160" s="46" t="s">
        <v>11706</v>
      </c>
      <c r="E160" s="1757">
        <f>tvl_agricrops_nc1_m_psrs_2021</f>
        <v>0</v>
      </c>
      <c r="F160" s="46" t="b">
        <v>1</v>
      </c>
    </row>
    <row r="161" spans="1:6">
      <c r="A161" s="1757" t="s">
        <v>2466</v>
      </c>
      <c r="B161" s="46" t="s">
        <v>11262</v>
      </c>
      <c r="C161" s="1757" t="s">
        <v>2466</v>
      </c>
      <c r="D161" s="46" t="s">
        <v>11800</v>
      </c>
      <c r="E161" s="1757">
        <f>tvl_agricrops_nc1_f_psrs_2021</f>
        <v>0</v>
      </c>
      <c r="F161" s="46" t="b">
        <v>1</v>
      </c>
    </row>
    <row r="162" spans="1:6">
      <c r="A162" s="1757" t="s">
        <v>2467</v>
      </c>
      <c r="B162" s="46" t="s">
        <v>11262</v>
      </c>
      <c r="C162" s="1757" t="s">
        <v>2467</v>
      </c>
      <c r="D162" s="46" t="s">
        <v>11519</v>
      </c>
      <c r="E162" s="1757">
        <f>tvl_agricrops_nc2_m_tkrs_2021</f>
        <v>0</v>
      </c>
      <c r="F162" s="46" t="b">
        <v>1</v>
      </c>
    </row>
    <row r="163" spans="1:6">
      <c r="A163" s="1757" t="s">
        <v>2468</v>
      </c>
      <c r="B163" s="46" t="s">
        <v>11262</v>
      </c>
      <c r="C163" s="1757" t="s">
        <v>2468</v>
      </c>
      <c r="D163" s="46" t="s">
        <v>11613</v>
      </c>
      <c r="E163" s="1757">
        <f>tvl_agricrops_nc2_f_tkrs_2021</f>
        <v>0</v>
      </c>
      <c r="F163" s="46" t="b">
        <v>1</v>
      </c>
    </row>
    <row r="164" spans="1:6">
      <c r="A164" s="1757" t="s">
        <v>2469</v>
      </c>
      <c r="B164" s="46" t="s">
        <v>11262</v>
      </c>
      <c r="C164" s="1757" t="s">
        <v>2469</v>
      </c>
      <c r="D164" s="46" t="s">
        <v>11707</v>
      </c>
      <c r="E164" s="1757">
        <f>tvl_agricrops_nc2_m_psrs_2021</f>
        <v>0</v>
      </c>
      <c r="F164" s="46" t="b">
        <v>1</v>
      </c>
    </row>
    <row r="165" spans="1:6">
      <c r="A165" s="1757" t="s">
        <v>2470</v>
      </c>
      <c r="B165" s="46" t="s">
        <v>11262</v>
      </c>
      <c r="C165" s="1757" t="s">
        <v>2470</v>
      </c>
      <c r="D165" s="46" t="s">
        <v>11801</v>
      </c>
      <c r="E165" s="1757">
        <f>tvl_agricrops_nc2_f_psrs_2021</f>
        <v>0</v>
      </c>
      <c r="F165" s="46" t="b">
        <v>1</v>
      </c>
    </row>
    <row r="166" spans="1:6">
      <c r="A166" s="1757" t="s">
        <v>2471</v>
      </c>
      <c r="B166" s="46" t="s">
        <v>11262</v>
      </c>
      <c r="C166" s="1757" t="s">
        <v>2471</v>
      </c>
      <c r="D166" s="46" t="s">
        <v>11520</v>
      </c>
      <c r="E166" s="1757">
        <f>tvl_agricrops_nc3_m_tkrs_2021</f>
        <v>0</v>
      </c>
      <c r="F166" s="46" t="b">
        <v>1</v>
      </c>
    </row>
    <row r="167" spans="1:6">
      <c r="A167" s="1757" t="s">
        <v>2472</v>
      </c>
      <c r="B167" s="46" t="s">
        <v>11262</v>
      </c>
      <c r="C167" s="1757" t="s">
        <v>2472</v>
      </c>
      <c r="D167" s="46" t="s">
        <v>11614</v>
      </c>
      <c r="E167" s="1757">
        <f>tvl_agricrops_nc3_f_tkrs_2021</f>
        <v>0</v>
      </c>
      <c r="F167" s="46" t="b">
        <v>1</v>
      </c>
    </row>
    <row r="168" spans="1:6">
      <c r="A168" s="1757" t="s">
        <v>2473</v>
      </c>
      <c r="B168" s="46" t="s">
        <v>11262</v>
      </c>
      <c r="C168" s="1757" t="s">
        <v>2473</v>
      </c>
      <c r="D168" s="46" t="s">
        <v>11708</v>
      </c>
      <c r="E168" s="1757">
        <f>tvl_agricrops_nc3_m_psrs_2021</f>
        <v>0</v>
      </c>
      <c r="F168" s="46" t="b">
        <v>1</v>
      </c>
    </row>
    <row r="169" spans="1:6">
      <c r="A169" s="1757" t="s">
        <v>2474</v>
      </c>
      <c r="B169" s="46" t="s">
        <v>11262</v>
      </c>
      <c r="C169" s="1757" t="s">
        <v>2474</v>
      </c>
      <c r="D169" s="46" t="s">
        <v>11802</v>
      </c>
      <c r="E169" s="1757">
        <f>tvl_agricrops_nc3_f_psrs_2021</f>
        <v>0</v>
      </c>
      <c r="F169" s="46" t="b">
        <v>1</v>
      </c>
    </row>
    <row r="170" spans="1:6">
      <c r="A170" s="1757" t="s">
        <v>2475</v>
      </c>
      <c r="B170" s="46" t="s">
        <v>11262</v>
      </c>
      <c r="C170" s="1757" t="s">
        <v>2475</v>
      </c>
      <c r="D170" s="46" t="s">
        <v>11521</v>
      </c>
      <c r="E170" s="1757">
        <f>tvl_animalhealthcare_nc3_m_tkrs_2021</f>
        <v>0</v>
      </c>
      <c r="F170" s="46" t="b">
        <v>1</v>
      </c>
    </row>
    <row r="171" spans="1:6">
      <c r="A171" s="1757" t="s">
        <v>2476</v>
      </c>
      <c r="B171" s="46" t="s">
        <v>11262</v>
      </c>
      <c r="C171" s="1757" t="s">
        <v>2476</v>
      </c>
      <c r="D171" s="46" t="s">
        <v>11615</v>
      </c>
      <c r="E171" s="1757">
        <f>tvl_animalhealthcare_nc3_f_tkrs_2021</f>
        <v>0</v>
      </c>
      <c r="F171" s="46" t="b">
        <v>1</v>
      </c>
    </row>
    <row r="172" spans="1:6">
      <c r="A172" s="1757" t="s">
        <v>2477</v>
      </c>
      <c r="B172" s="46" t="s">
        <v>11262</v>
      </c>
      <c r="C172" s="1757" t="s">
        <v>2477</v>
      </c>
      <c r="D172" s="46" t="s">
        <v>11709</v>
      </c>
      <c r="E172" s="1757">
        <f>tvl_animalhealthcare_nc3_m_psrs_2021</f>
        <v>0</v>
      </c>
      <c r="F172" s="46" t="b">
        <v>1</v>
      </c>
    </row>
    <row r="173" spans="1:6">
      <c r="A173" s="1757" t="s">
        <v>2478</v>
      </c>
      <c r="B173" s="46" t="s">
        <v>11262</v>
      </c>
      <c r="C173" s="1757" t="s">
        <v>2478</v>
      </c>
      <c r="D173" s="46" t="s">
        <v>11803</v>
      </c>
      <c r="E173" s="1757">
        <f>tvl_animalhealthcare_nc3_f_psrs_2021</f>
        <v>0</v>
      </c>
      <c r="F173" s="46" t="b">
        <v>1</v>
      </c>
    </row>
    <row r="174" spans="1:6">
      <c r="A174" s="1757" t="s">
        <v>2479</v>
      </c>
      <c r="B174" s="46" t="s">
        <v>11262</v>
      </c>
      <c r="C174" s="1757" t="s">
        <v>2479</v>
      </c>
      <c r="D174" s="46" t="s">
        <v>11522</v>
      </c>
      <c r="E174" s="1757">
        <f>tvl_animalprodpoultry_nc2_m_tkrs_2021</f>
        <v>0</v>
      </c>
      <c r="F174" s="46" t="b">
        <v>1</v>
      </c>
    </row>
    <row r="175" spans="1:6">
      <c r="A175" s="1757" t="s">
        <v>2480</v>
      </c>
      <c r="B175" s="46" t="s">
        <v>11262</v>
      </c>
      <c r="C175" s="1757" t="s">
        <v>2480</v>
      </c>
      <c r="D175" s="46" t="s">
        <v>11616</v>
      </c>
      <c r="E175" s="1757">
        <f>tvl_animalprodpoultry_nc2_f_tkrs_2021</f>
        <v>0</v>
      </c>
      <c r="F175" s="46" t="b">
        <v>1</v>
      </c>
    </row>
    <row r="176" spans="1:6">
      <c r="A176" s="1757" t="s">
        <v>2481</v>
      </c>
      <c r="B176" s="46" t="s">
        <v>11262</v>
      </c>
      <c r="C176" s="1757" t="s">
        <v>2481</v>
      </c>
      <c r="D176" s="46" t="s">
        <v>11710</v>
      </c>
      <c r="E176" s="1757">
        <f>tvl_animalprodpoultry_nc2_m_psrs_2021</f>
        <v>0</v>
      </c>
      <c r="F176" s="46" t="b">
        <v>1</v>
      </c>
    </row>
    <row r="177" spans="1:6">
      <c r="A177" s="1757" t="s">
        <v>2482</v>
      </c>
      <c r="B177" s="46" t="s">
        <v>11262</v>
      </c>
      <c r="C177" s="1757" t="s">
        <v>2482</v>
      </c>
      <c r="D177" s="46" t="s">
        <v>11804</v>
      </c>
      <c r="E177" s="1757">
        <f>tvl_animalprodpoultry_nc2_f_psrs_2021</f>
        <v>0</v>
      </c>
      <c r="F177" s="46" t="b">
        <v>1</v>
      </c>
    </row>
    <row r="178" spans="1:6">
      <c r="A178" s="1757" t="s">
        <v>2483</v>
      </c>
      <c r="B178" s="46" t="s">
        <v>11262</v>
      </c>
      <c r="C178" s="1757" t="s">
        <v>2483</v>
      </c>
      <c r="D178" s="46" t="s">
        <v>11523</v>
      </c>
      <c r="E178" s="1757">
        <f>tvl_animalprodruminants_nc2_m_tkrs_2021</f>
        <v>0</v>
      </c>
      <c r="F178" s="46" t="b">
        <v>1</v>
      </c>
    </row>
    <row r="179" spans="1:6">
      <c r="A179" s="1757" t="s">
        <v>2484</v>
      </c>
      <c r="B179" s="46" t="s">
        <v>11262</v>
      </c>
      <c r="C179" s="1757" t="s">
        <v>2484</v>
      </c>
      <c r="D179" s="46" t="s">
        <v>11617</v>
      </c>
      <c r="E179" s="1757">
        <f>tvl_animalprodruminants_nc2_f_tkrs_2021</f>
        <v>0</v>
      </c>
      <c r="F179" s="46" t="b">
        <v>1</v>
      </c>
    </row>
    <row r="180" spans="1:6">
      <c r="A180" s="1757" t="s">
        <v>2485</v>
      </c>
      <c r="B180" s="46" t="s">
        <v>11262</v>
      </c>
      <c r="C180" s="1757" t="s">
        <v>2485</v>
      </c>
      <c r="D180" s="46" t="s">
        <v>11711</v>
      </c>
      <c r="E180" s="1757">
        <f>tvl_animalprodruminants_nc2_m_psrs_2021</f>
        <v>0</v>
      </c>
      <c r="F180" s="46" t="b">
        <v>1</v>
      </c>
    </row>
    <row r="181" spans="1:6">
      <c r="A181" s="1757" t="s">
        <v>2486</v>
      </c>
      <c r="B181" s="46" t="s">
        <v>11262</v>
      </c>
      <c r="C181" s="1757" t="s">
        <v>2486</v>
      </c>
      <c r="D181" s="46" t="s">
        <v>11805</v>
      </c>
      <c r="E181" s="1757">
        <f>tvl_animalprodruminants_nc2_f_psrs_2021</f>
        <v>0</v>
      </c>
      <c r="F181" s="46" t="b">
        <v>1</v>
      </c>
    </row>
    <row r="182" spans="1:6">
      <c r="A182" s="1757" t="s">
        <v>2487</v>
      </c>
      <c r="B182" s="46" t="s">
        <v>11262</v>
      </c>
      <c r="C182" s="1757" t="s">
        <v>2487</v>
      </c>
      <c r="D182" s="46" t="s">
        <v>11524</v>
      </c>
      <c r="E182" s="1757">
        <f>tvl_animalprodswine_nc2_m_tkrs_2021</f>
        <v>0</v>
      </c>
      <c r="F182" s="46" t="b">
        <v>1</v>
      </c>
    </row>
    <row r="183" spans="1:6">
      <c r="A183" s="1757" t="s">
        <v>2488</v>
      </c>
      <c r="B183" s="46" t="s">
        <v>11262</v>
      </c>
      <c r="C183" s="1757" t="s">
        <v>2488</v>
      </c>
      <c r="D183" s="46" t="s">
        <v>11618</v>
      </c>
      <c r="E183" s="1757">
        <f>tvl_animalprodswine_nc2_f_tkrs_2021</f>
        <v>0</v>
      </c>
      <c r="F183" s="46" t="b">
        <v>1</v>
      </c>
    </row>
    <row r="184" spans="1:6">
      <c r="A184" s="1757" t="s">
        <v>2489</v>
      </c>
      <c r="B184" s="46" t="s">
        <v>11262</v>
      </c>
      <c r="C184" s="1757" t="s">
        <v>2489</v>
      </c>
      <c r="D184" s="46" t="s">
        <v>11712</v>
      </c>
      <c r="E184" s="1757">
        <f>tvl_animalprodswine_nc2_m_psrs_2021</f>
        <v>0</v>
      </c>
      <c r="F184" s="46" t="b">
        <v>1</v>
      </c>
    </row>
    <row r="185" spans="1:6">
      <c r="A185" s="1757" t="s">
        <v>2490</v>
      </c>
      <c r="B185" s="46" t="s">
        <v>11262</v>
      </c>
      <c r="C185" s="1757" t="s">
        <v>2490</v>
      </c>
      <c r="D185" s="46" t="s">
        <v>11806</v>
      </c>
      <c r="E185" s="1757">
        <f>tvl_animalprodswine_nc2_f_psrs_2021</f>
        <v>0</v>
      </c>
      <c r="F185" s="46" t="b">
        <v>1</v>
      </c>
    </row>
    <row r="186" spans="1:6">
      <c r="A186" s="1757" t="s">
        <v>2491</v>
      </c>
      <c r="B186" s="46" t="s">
        <v>11262</v>
      </c>
      <c r="C186" s="1757" t="s">
        <v>2491</v>
      </c>
      <c r="D186" s="46" t="s">
        <v>11525</v>
      </c>
      <c r="E186" s="1757">
        <f>tvl_aquaculture_nc2_m_tkrs_2021</f>
        <v>0</v>
      </c>
      <c r="F186" s="46" t="b">
        <v>1</v>
      </c>
    </row>
    <row r="187" spans="1:6">
      <c r="A187" s="1757" t="s">
        <v>2492</v>
      </c>
      <c r="B187" s="46" t="s">
        <v>11262</v>
      </c>
      <c r="C187" s="1757" t="s">
        <v>2492</v>
      </c>
      <c r="D187" s="46" t="s">
        <v>11619</v>
      </c>
      <c r="E187" s="1757">
        <f>tvl_aquaculture_nc2_f_tkrs_2021</f>
        <v>0</v>
      </c>
      <c r="F187" s="46" t="b">
        <v>1</v>
      </c>
    </row>
    <row r="188" spans="1:6">
      <c r="A188" s="1757" t="s">
        <v>2493</v>
      </c>
      <c r="B188" s="46" t="s">
        <v>11262</v>
      </c>
      <c r="C188" s="1757" t="s">
        <v>2493</v>
      </c>
      <c r="D188" s="46" t="s">
        <v>11713</v>
      </c>
      <c r="E188" s="1757">
        <f>tvl_aquaculture_nc2_m_psrs_2021</f>
        <v>0</v>
      </c>
      <c r="F188" s="46" t="b">
        <v>1</v>
      </c>
    </row>
    <row r="189" spans="1:6">
      <c r="A189" s="1757" t="s">
        <v>2494</v>
      </c>
      <c r="B189" s="46" t="s">
        <v>11262</v>
      </c>
      <c r="C189" s="1757" t="s">
        <v>2494</v>
      </c>
      <c r="D189" s="46" t="s">
        <v>11807</v>
      </c>
      <c r="E189" s="1757">
        <f>tvl_aquaculture_nc2_f_psrs_2021</f>
        <v>0</v>
      </c>
      <c r="F189" s="46" t="b">
        <v>1</v>
      </c>
    </row>
    <row r="190" spans="1:6">
      <c r="A190" s="1757" t="s">
        <v>2495</v>
      </c>
      <c r="B190" s="46" t="s">
        <v>11262</v>
      </c>
      <c r="C190" s="1757" t="s">
        <v>2495</v>
      </c>
      <c r="D190" s="46" t="s">
        <v>11526</v>
      </c>
      <c r="E190" s="1757">
        <f>tvl_artificialinseminationruminants_nc2_m_tkrs_2021</f>
        <v>0</v>
      </c>
      <c r="F190" s="46" t="b">
        <v>1</v>
      </c>
    </row>
    <row r="191" spans="1:6">
      <c r="A191" s="1757" t="s">
        <v>2496</v>
      </c>
      <c r="B191" s="46" t="s">
        <v>11262</v>
      </c>
      <c r="C191" s="1757" t="s">
        <v>2496</v>
      </c>
      <c r="D191" s="46" t="s">
        <v>11620</v>
      </c>
      <c r="E191" s="1757">
        <f>tvl_artificialinseminationruminants_nc2_f_tkrs_2021</f>
        <v>0</v>
      </c>
      <c r="F191" s="46" t="b">
        <v>1</v>
      </c>
    </row>
    <row r="192" spans="1:6">
      <c r="A192" s="1757" t="s">
        <v>2497</v>
      </c>
      <c r="B192" s="46" t="s">
        <v>11262</v>
      </c>
      <c r="C192" s="1757" t="s">
        <v>2497</v>
      </c>
      <c r="D192" s="46" t="s">
        <v>11714</v>
      </c>
      <c r="E192" s="1757">
        <f>tvl_artificialinseminationruminants_nc2_m_psrs_2021</f>
        <v>0</v>
      </c>
      <c r="F192" s="46" t="b">
        <v>1</v>
      </c>
    </row>
    <row r="193" spans="1:6">
      <c r="A193" s="1757" t="s">
        <v>2498</v>
      </c>
      <c r="B193" s="46" t="s">
        <v>11262</v>
      </c>
      <c r="C193" s="1757" t="s">
        <v>2498</v>
      </c>
      <c r="D193" s="46" t="s">
        <v>11808</v>
      </c>
      <c r="E193" s="1757">
        <f>tvl_artificialinseminationruminants_nc2_f_psrs_2021</f>
        <v>0</v>
      </c>
      <c r="F193" s="46" t="b">
        <v>1</v>
      </c>
    </row>
    <row r="194" spans="1:6">
      <c r="A194" s="1757" t="s">
        <v>2499</v>
      </c>
      <c r="B194" s="46" t="s">
        <v>11262</v>
      </c>
      <c r="C194" s="1757" t="s">
        <v>2499</v>
      </c>
      <c r="D194" s="46" t="s">
        <v>11527</v>
      </c>
      <c r="E194" s="1757">
        <f>tvl_artificialinseminationswine_nc2_m_tkrs_2021</f>
        <v>0</v>
      </c>
      <c r="F194" s="46" t="b">
        <v>1</v>
      </c>
    </row>
    <row r="195" spans="1:6">
      <c r="A195" s="1757" t="s">
        <v>2500</v>
      </c>
      <c r="B195" s="46" t="s">
        <v>11262</v>
      </c>
      <c r="C195" s="1757" t="s">
        <v>2500</v>
      </c>
      <c r="D195" s="46" t="s">
        <v>11621</v>
      </c>
      <c r="E195" s="1757">
        <f>tvl_artificialinseminationswine_nc2_f_tkrs_2021</f>
        <v>0</v>
      </c>
      <c r="F195" s="46" t="b">
        <v>1</v>
      </c>
    </row>
    <row r="196" spans="1:6">
      <c r="A196" s="1757" t="s">
        <v>2501</v>
      </c>
      <c r="B196" s="46" t="s">
        <v>11262</v>
      </c>
      <c r="C196" s="1757" t="s">
        <v>2501</v>
      </c>
      <c r="D196" s="46" t="s">
        <v>11715</v>
      </c>
      <c r="E196" s="1757">
        <f>tvl_artificialinseminationswine_nc2_m_psrs_2021</f>
        <v>0</v>
      </c>
      <c r="F196" s="46" t="b">
        <v>1</v>
      </c>
    </row>
    <row r="197" spans="1:6">
      <c r="A197" s="1757" t="s">
        <v>2502</v>
      </c>
      <c r="B197" s="46" t="s">
        <v>11262</v>
      </c>
      <c r="C197" s="1757" t="s">
        <v>2502</v>
      </c>
      <c r="D197" s="46" t="s">
        <v>11809</v>
      </c>
      <c r="E197" s="1757">
        <f>tvl_artificialinseminationswine_nc2_f_psrs_2021</f>
        <v>0</v>
      </c>
      <c r="F197" s="46" t="b">
        <v>1</v>
      </c>
    </row>
    <row r="198" spans="1:6">
      <c r="A198" s="1757" t="s">
        <v>2503</v>
      </c>
      <c r="B198" s="46" t="s">
        <v>11262</v>
      </c>
      <c r="C198" s="1757" t="s">
        <v>2503</v>
      </c>
      <c r="D198" s="46" t="s">
        <v>11528</v>
      </c>
      <c r="E198" s="1757">
        <f>tvl_fishcapture_nc2_m_tkrs_2021</f>
        <v>0</v>
      </c>
      <c r="F198" s="46" t="b">
        <v>1</v>
      </c>
    </row>
    <row r="199" spans="1:6">
      <c r="A199" s="1757" t="s">
        <v>2504</v>
      </c>
      <c r="B199" s="46" t="s">
        <v>11262</v>
      </c>
      <c r="C199" s="1757" t="s">
        <v>2504</v>
      </c>
      <c r="D199" s="46" t="s">
        <v>11622</v>
      </c>
      <c r="E199" s="1757">
        <f>tvl_fishcapture_nc2_f_tkrs_2021</f>
        <v>0</v>
      </c>
      <c r="F199" s="46" t="b">
        <v>1</v>
      </c>
    </row>
    <row r="200" spans="1:6">
      <c r="A200" s="1757" t="s">
        <v>2505</v>
      </c>
      <c r="B200" s="46" t="s">
        <v>11262</v>
      </c>
      <c r="C200" s="1757" t="s">
        <v>2505</v>
      </c>
      <c r="D200" s="46" t="s">
        <v>11716</v>
      </c>
      <c r="E200" s="1757">
        <f>tvl_fishcapture_nc2_m_psrs_2021</f>
        <v>0</v>
      </c>
      <c r="F200" s="46" t="b">
        <v>1</v>
      </c>
    </row>
    <row r="201" spans="1:6">
      <c r="A201" s="1757" t="s">
        <v>2506</v>
      </c>
      <c r="B201" s="46" t="s">
        <v>11262</v>
      </c>
      <c r="C201" s="1757" t="s">
        <v>2506</v>
      </c>
      <c r="D201" s="46" t="s">
        <v>11810</v>
      </c>
      <c r="E201" s="1757">
        <f>tvl_fishcapture_nc2_f_psrs_2021</f>
        <v>0</v>
      </c>
      <c r="F201" s="46" t="b">
        <v>1</v>
      </c>
    </row>
    <row r="202" spans="1:6">
      <c r="A202" s="1757" t="s">
        <v>2507</v>
      </c>
      <c r="B202" s="46" t="s">
        <v>11262</v>
      </c>
      <c r="C202" s="1757" t="s">
        <v>2507</v>
      </c>
      <c r="D202" s="46" t="s">
        <v>11529</v>
      </c>
      <c r="E202" s="1757">
        <f>tvl_fishinggearrepair_nc3_m_tkrs_2021</f>
        <v>0</v>
      </c>
      <c r="F202" s="46" t="b">
        <v>1</v>
      </c>
    </row>
    <row r="203" spans="1:6">
      <c r="A203" s="1757" t="s">
        <v>2508</v>
      </c>
      <c r="B203" s="46" t="s">
        <v>11262</v>
      </c>
      <c r="C203" s="1757" t="s">
        <v>2508</v>
      </c>
      <c r="D203" s="46" t="s">
        <v>11623</v>
      </c>
      <c r="E203" s="1757">
        <f>tvl_fishinggearrepair_nc3_f_tkrs_2021</f>
        <v>0</v>
      </c>
      <c r="F203" s="46" t="b">
        <v>1</v>
      </c>
    </row>
    <row r="204" spans="1:6">
      <c r="A204" s="1757" t="s">
        <v>2509</v>
      </c>
      <c r="B204" s="46" t="s">
        <v>11262</v>
      </c>
      <c r="C204" s="1757" t="s">
        <v>2509</v>
      </c>
      <c r="D204" s="46" t="s">
        <v>11717</v>
      </c>
      <c r="E204" s="1757">
        <f>tvl_fishinggearrepair_nc3_m_psrs_2021</f>
        <v>0</v>
      </c>
      <c r="F204" s="46" t="b">
        <v>1</v>
      </c>
    </row>
    <row r="205" spans="1:6">
      <c r="A205" s="1757" t="s">
        <v>2510</v>
      </c>
      <c r="B205" s="46" t="s">
        <v>11262</v>
      </c>
      <c r="C205" s="1757" t="s">
        <v>2510</v>
      </c>
      <c r="D205" s="46" t="s">
        <v>11811</v>
      </c>
      <c r="E205" s="1757">
        <f>tvl_fishinggearrepair_nc3_f_psrs_2021</f>
        <v>0</v>
      </c>
      <c r="F205" s="46" t="b">
        <v>1</v>
      </c>
    </row>
    <row r="206" spans="1:6">
      <c r="A206" s="1757" t="s">
        <v>2511</v>
      </c>
      <c r="B206" s="46" t="s">
        <v>11262</v>
      </c>
      <c r="C206" s="1757" t="s">
        <v>2511</v>
      </c>
      <c r="D206" s="46" t="s">
        <v>11530</v>
      </c>
      <c r="E206" s="1757">
        <f>tvl_fishproductspackaging_nc2_m_tkrs_2021</f>
        <v>0</v>
      </c>
      <c r="F206" s="46" t="b">
        <v>1</v>
      </c>
    </row>
    <row r="207" spans="1:6">
      <c r="A207" s="1757" t="s">
        <v>2512</v>
      </c>
      <c r="B207" s="46" t="s">
        <v>11262</v>
      </c>
      <c r="C207" s="1757" t="s">
        <v>2512</v>
      </c>
      <c r="D207" s="46" t="s">
        <v>11624</v>
      </c>
      <c r="E207" s="1757">
        <f>tvl_fishproductspackaging_nc2_f_tkrs_2021</f>
        <v>0</v>
      </c>
      <c r="F207" s="46" t="b">
        <v>1</v>
      </c>
    </row>
    <row r="208" spans="1:6">
      <c r="A208" s="1757" t="s">
        <v>2513</v>
      </c>
      <c r="B208" s="46" t="s">
        <v>11262</v>
      </c>
      <c r="C208" s="1757" t="s">
        <v>2513</v>
      </c>
      <c r="D208" s="46" t="s">
        <v>11718</v>
      </c>
      <c r="E208" s="1757">
        <f>tvl_fishproductspackaging_nc2_m_psrs_2021</f>
        <v>0</v>
      </c>
      <c r="F208" s="46" t="b">
        <v>1</v>
      </c>
    </row>
    <row r="209" spans="1:6">
      <c r="A209" s="1757" t="s">
        <v>2514</v>
      </c>
      <c r="B209" s="46" t="s">
        <v>11262</v>
      </c>
      <c r="C209" s="1757" t="s">
        <v>2514</v>
      </c>
      <c r="D209" s="46" t="s">
        <v>11812</v>
      </c>
      <c r="E209" s="1757">
        <f>tvl_fishproductspackaging_nc2_f_psrs_2021</f>
        <v>0</v>
      </c>
      <c r="F209" s="46" t="b">
        <v>1</v>
      </c>
    </row>
    <row r="210" spans="1:6">
      <c r="A210" s="1757" t="s">
        <v>2515</v>
      </c>
      <c r="B210" s="46" t="s">
        <v>11262</v>
      </c>
      <c r="C210" s="1757" t="s">
        <v>2515</v>
      </c>
      <c r="D210" s="46" t="s">
        <v>11531</v>
      </c>
      <c r="E210" s="1757">
        <f>tvl_fishwharfop_nc1_m_tkrs_2021</f>
        <v>0</v>
      </c>
      <c r="F210" s="46" t="b">
        <v>1</v>
      </c>
    </row>
    <row r="211" spans="1:6">
      <c r="A211" s="1757" t="s">
        <v>2516</v>
      </c>
      <c r="B211" s="46" t="s">
        <v>11262</v>
      </c>
      <c r="C211" s="1757" t="s">
        <v>2516</v>
      </c>
      <c r="D211" s="46" t="s">
        <v>11625</v>
      </c>
      <c r="E211" s="1757">
        <f>tvl_fishwharfop_nc1_f_tkrs_2021</f>
        <v>0</v>
      </c>
      <c r="F211" s="46" t="b">
        <v>1</v>
      </c>
    </row>
    <row r="212" spans="1:6">
      <c r="A212" s="1757" t="s">
        <v>2517</v>
      </c>
      <c r="B212" s="46" t="s">
        <v>11262</v>
      </c>
      <c r="C212" s="1757" t="s">
        <v>2517</v>
      </c>
      <c r="D212" s="46" t="s">
        <v>11719</v>
      </c>
      <c r="E212" s="1757">
        <f>tvl_fishwharfop_nc1_m_psrs_2021</f>
        <v>0</v>
      </c>
      <c r="F212" s="46" t="b">
        <v>1</v>
      </c>
    </row>
    <row r="213" spans="1:6">
      <c r="A213" s="1757" t="s">
        <v>2518</v>
      </c>
      <c r="B213" s="46" t="s">
        <v>11262</v>
      </c>
      <c r="C213" s="1757" t="s">
        <v>2518</v>
      </c>
      <c r="D213" s="46" t="s">
        <v>11813</v>
      </c>
      <c r="E213" s="1757">
        <f>tvl_fishwharfop_nc1_f_psrs_2021</f>
        <v>0</v>
      </c>
      <c r="F213" s="46" t="b">
        <v>1</v>
      </c>
    </row>
    <row r="214" spans="1:6">
      <c r="A214" s="1757" t="s">
        <v>2519</v>
      </c>
      <c r="B214" s="46" t="s">
        <v>11262</v>
      </c>
      <c r="C214" s="1757" t="s">
        <v>2519</v>
      </c>
      <c r="D214" s="46" t="s">
        <v>11532</v>
      </c>
      <c r="E214" s="1757">
        <f>tvl_foodprocessing_nc2_m_tkrs_2021</f>
        <v>0</v>
      </c>
      <c r="F214" s="46" t="b">
        <v>1</v>
      </c>
    </row>
    <row r="215" spans="1:6">
      <c r="A215" s="1757" t="s">
        <v>2520</v>
      </c>
      <c r="B215" s="46" t="s">
        <v>11262</v>
      </c>
      <c r="C215" s="1757" t="s">
        <v>2520</v>
      </c>
      <c r="D215" s="46" t="s">
        <v>11626</v>
      </c>
      <c r="E215" s="1757">
        <f>tvl_foodprocessing_nc2_f_tkrs_2021</f>
        <v>0</v>
      </c>
      <c r="F215" s="46" t="b">
        <v>1</v>
      </c>
    </row>
    <row r="216" spans="1:6">
      <c r="A216" s="1757" t="s">
        <v>2521</v>
      </c>
      <c r="B216" s="46" t="s">
        <v>11262</v>
      </c>
      <c r="C216" s="1757" t="s">
        <v>2521</v>
      </c>
      <c r="D216" s="46" t="s">
        <v>11720</v>
      </c>
      <c r="E216" s="1757">
        <f>tvl_foodprocessing_nc2_m_psrs_2021</f>
        <v>0</v>
      </c>
      <c r="F216" s="46" t="b">
        <v>1</v>
      </c>
    </row>
    <row r="217" spans="1:6">
      <c r="A217" s="1757" t="s">
        <v>2522</v>
      </c>
      <c r="B217" s="46" t="s">
        <v>11262</v>
      </c>
      <c r="C217" s="1757" t="s">
        <v>2522</v>
      </c>
      <c r="D217" s="46" t="s">
        <v>11814</v>
      </c>
      <c r="E217" s="1757">
        <f>tvl_foodprocessing_nc2_f_psrs_2021</f>
        <v>0</v>
      </c>
      <c r="F217" s="46" t="b">
        <v>1</v>
      </c>
    </row>
    <row r="218" spans="1:6">
      <c r="A218" s="1757" t="s">
        <v>2523</v>
      </c>
      <c r="B218" s="46" t="s">
        <v>11262</v>
      </c>
      <c r="C218" s="1757" t="s">
        <v>2523</v>
      </c>
      <c r="D218" s="46" t="s">
        <v>11533</v>
      </c>
      <c r="E218" s="1757">
        <f>tvl_horticulture_nc3_m_tkrs_2021</f>
        <v>0</v>
      </c>
      <c r="F218" s="46" t="b">
        <v>1</v>
      </c>
    </row>
    <row r="219" spans="1:6">
      <c r="A219" s="1757" t="s">
        <v>2524</v>
      </c>
      <c r="B219" s="46" t="s">
        <v>11262</v>
      </c>
      <c r="C219" s="1757" t="s">
        <v>2524</v>
      </c>
      <c r="D219" s="46" t="s">
        <v>11627</v>
      </c>
      <c r="E219" s="1757">
        <f>tvl_horticulture_nc3_f_tkrs_2021</f>
        <v>0</v>
      </c>
      <c r="F219" s="46" t="b">
        <v>1</v>
      </c>
    </row>
    <row r="220" spans="1:6">
      <c r="A220" s="1757" t="s">
        <v>2525</v>
      </c>
      <c r="B220" s="46" t="s">
        <v>11262</v>
      </c>
      <c r="C220" s="1757" t="s">
        <v>2525</v>
      </c>
      <c r="D220" s="46" t="s">
        <v>11721</v>
      </c>
      <c r="E220" s="1757">
        <f>tvl_horticulture_nc3_m_psrs_2021</f>
        <v>0</v>
      </c>
      <c r="F220" s="46" t="b">
        <v>1</v>
      </c>
    </row>
    <row r="221" spans="1:6">
      <c r="A221" s="1757" t="s">
        <v>2526</v>
      </c>
      <c r="B221" s="46" t="s">
        <v>11262</v>
      </c>
      <c r="C221" s="1757" t="s">
        <v>2526</v>
      </c>
      <c r="D221" s="46" t="s">
        <v>11815</v>
      </c>
      <c r="E221" s="1757">
        <f>tvl_horticulture_nc3_f_psrs_2021</f>
        <v>0</v>
      </c>
      <c r="F221" s="46" t="b">
        <v>1</v>
      </c>
    </row>
    <row r="222" spans="1:6">
      <c r="A222" s="1757" t="s">
        <v>2527</v>
      </c>
      <c r="B222" s="46" t="s">
        <v>11262</v>
      </c>
      <c r="C222" s="1757" t="s">
        <v>2527</v>
      </c>
      <c r="D222" s="46" t="s">
        <v>11534</v>
      </c>
      <c r="E222" s="1757">
        <f>tvl_landscapeinstallation_nc2_m_tkrs_2021</f>
        <v>0</v>
      </c>
      <c r="F222" s="46" t="b">
        <v>1</v>
      </c>
    </row>
    <row r="223" spans="1:6">
      <c r="A223" s="1757" t="s">
        <v>2528</v>
      </c>
      <c r="B223" s="46" t="s">
        <v>11262</v>
      </c>
      <c r="C223" s="1757" t="s">
        <v>2528</v>
      </c>
      <c r="D223" s="46" t="s">
        <v>11628</v>
      </c>
      <c r="E223" s="1757">
        <f>tvl_landscapeinstallation_nc2_f_tkrs_2021</f>
        <v>0</v>
      </c>
      <c r="F223" s="46" t="b">
        <v>1</v>
      </c>
    </row>
    <row r="224" spans="1:6">
      <c r="A224" s="1757" t="s">
        <v>2529</v>
      </c>
      <c r="B224" s="46" t="s">
        <v>11262</v>
      </c>
      <c r="C224" s="1757" t="s">
        <v>2529</v>
      </c>
      <c r="D224" s="46" t="s">
        <v>11722</v>
      </c>
      <c r="E224" s="1757">
        <f>tvl_landscapeinstallation_nc2_m_psrs_2021</f>
        <v>0</v>
      </c>
      <c r="F224" s="46" t="b">
        <v>1</v>
      </c>
    </row>
    <row r="225" spans="1:6">
      <c r="A225" s="1757" t="s">
        <v>2530</v>
      </c>
      <c r="B225" s="46" t="s">
        <v>11262</v>
      </c>
      <c r="C225" s="1757" t="s">
        <v>2530</v>
      </c>
      <c r="D225" s="46" t="s">
        <v>11816</v>
      </c>
      <c r="E225" s="1757">
        <f>tvl_landscapeinstallation_nc2_f_psrs_2021</f>
        <v>0</v>
      </c>
      <c r="F225" s="46" t="b">
        <v>1</v>
      </c>
    </row>
    <row r="226" spans="1:6">
      <c r="A226" s="1757" t="s">
        <v>2531</v>
      </c>
      <c r="B226" s="46" t="s">
        <v>11262</v>
      </c>
      <c r="C226" s="1757" t="s">
        <v>2531</v>
      </c>
      <c r="D226" s="46" t="s">
        <v>11535</v>
      </c>
      <c r="E226" s="1757">
        <f>tvl_organicagri_nc2_m_tkrs_2021</f>
        <v>0</v>
      </c>
      <c r="F226" s="46" t="b">
        <v>1</v>
      </c>
    </row>
    <row r="227" spans="1:6">
      <c r="A227" s="1757" t="s">
        <v>2532</v>
      </c>
      <c r="B227" s="46" t="s">
        <v>11262</v>
      </c>
      <c r="C227" s="1757" t="s">
        <v>2532</v>
      </c>
      <c r="D227" s="46" t="s">
        <v>11629</v>
      </c>
      <c r="E227" s="1757">
        <f>tvl_organicagri_nc2_f_tkrs_2021</f>
        <v>0</v>
      </c>
      <c r="F227" s="46" t="b">
        <v>1</v>
      </c>
    </row>
    <row r="228" spans="1:6">
      <c r="A228" s="1757" t="s">
        <v>2533</v>
      </c>
      <c r="B228" s="46" t="s">
        <v>11262</v>
      </c>
      <c r="C228" s="1757" t="s">
        <v>2533</v>
      </c>
      <c r="D228" s="46" t="s">
        <v>11723</v>
      </c>
      <c r="E228" s="1757">
        <f>tvl_organicagri_nc2_m_psrs_2021</f>
        <v>0</v>
      </c>
      <c r="F228" s="46" t="b">
        <v>1</v>
      </c>
    </row>
    <row r="229" spans="1:6">
      <c r="A229" s="1757" t="s">
        <v>2534</v>
      </c>
      <c r="B229" s="46" t="s">
        <v>11262</v>
      </c>
      <c r="C229" s="1757" t="s">
        <v>2534</v>
      </c>
      <c r="D229" s="46" t="s">
        <v>11817</v>
      </c>
      <c r="E229" s="1757">
        <f>tvl_organicagri_nc2_f_psrs_2021</f>
        <v>0</v>
      </c>
      <c r="F229" s="46" t="b">
        <v>1</v>
      </c>
    </row>
    <row r="230" spans="1:6">
      <c r="A230" s="1757" t="s">
        <v>2535</v>
      </c>
      <c r="B230" s="46" t="s">
        <v>11262</v>
      </c>
      <c r="C230" s="1757" t="s">
        <v>2535</v>
      </c>
      <c r="D230" s="46" t="s">
        <v>11536</v>
      </c>
      <c r="E230" s="1757">
        <f>tvl_pestmgt_nc2_m_tkrs_2021</f>
        <v>0</v>
      </c>
      <c r="F230" s="46" t="b">
        <v>1</v>
      </c>
    </row>
    <row r="231" spans="1:6">
      <c r="A231" s="1757" t="s">
        <v>2536</v>
      </c>
      <c r="B231" s="46" t="s">
        <v>11262</v>
      </c>
      <c r="C231" s="1757" t="s">
        <v>2536</v>
      </c>
      <c r="D231" s="46" t="s">
        <v>11630</v>
      </c>
      <c r="E231" s="1757">
        <f>tvl_pestmgt_nc2_f_tkrs_2021</f>
        <v>0</v>
      </c>
      <c r="F231" s="46" t="b">
        <v>1</v>
      </c>
    </row>
    <row r="232" spans="1:6">
      <c r="A232" s="1757" t="s">
        <v>2537</v>
      </c>
      <c r="B232" s="46" t="s">
        <v>11262</v>
      </c>
      <c r="C232" s="1757" t="s">
        <v>2537</v>
      </c>
      <c r="D232" s="46" t="s">
        <v>11724</v>
      </c>
      <c r="E232" s="1757">
        <f>tvl_pestmgt_nc2_m_psrs_2021</f>
        <v>0</v>
      </c>
      <c r="F232" s="46" t="b">
        <v>1</v>
      </c>
    </row>
    <row r="233" spans="1:6">
      <c r="A233" s="1757" t="s">
        <v>2538</v>
      </c>
      <c r="B233" s="46" t="s">
        <v>11262</v>
      </c>
      <c r="C233" s="1757" t="s">
        <v>2538</v>
      </c>
      <c r="D233" s="46" t="s">
        <v>11818</v>
      </c>
      <c r="E233" s="1757">
        <f>tvl_pestmgt_nc2_f_psrs_2021</f>
        <v>0</v>
      </c>
      <c r="F233" s="46" t="b">
        <v>1</v>
      </c>
    </row>
    <row r="234" spans="1:6">
      <c r="A234" s="1757" t="s">
        <v>2539</v>
      </c>
      <c r="B234" s="46" t="s">
        <v>11262</v>
      </c>
      <c r="C234" s="1757" t="s">
        <v>2539</v>
      </c>
      <c r="D234" s="46" t="s">
        <v>11537</v>
      </c>
      <c r="E234" s="1757">
        <f>tvl_ricemachinery_nc2_m_tkrs_2021</f>
        <v>0</v>
      </c>
      <c r="F234" s="46" t="b">
        <v>1</v>
      </c>
    </row>
    <row r="235" spans="1:6">
      <c r="A235" s="1757" t="s">
        <v>2540</v>
      </c>
      <c r="B235" s="46" t="s">
        <v>11262</v>
      </c>
      <c r="C235" s="1757" t="s">
        <v>2540</v>
      </c>
      <c r="D235" s="46" t="s">
        <v>11631</v>
      </c>
      <c r="E235" s="1757">
        <f>tvl_ricemachinery_nc2_f_tkrs_2021</f>
        <v>0</v>
      </c>
      <c r="F235" s="46" t="b">
        <v>1</v>
      </c>
    </row>
    <row r="236" spans="1:6">
      <c r="A236" s="1757" t="s">
        <v>2541</v>
      </c>
      <c r="B236" s="46" t="s">
        <v>11262</v>
      </c>
      <c r="C236" s="1757" t="s">
        <v>2541</v>
      </c>
      <c r="D236" s="46" t="s">
        <v>11725</v>
      </c>
      <c r="E236" s="1757">
        <f>tvl_ricemachinery_nc2_m_psrs_2021</f>
        <v>0</v>
      </c>
      <c r="F236" s="46" t="b">
        <v>1</v>
      </c>
    </row>
    <row r="237" spans="1:6">
      <c r="A237" s="1757" t="s">
        <v>2542</v>
      </c>
      <c r="B237" s="46" t="s">
        <v>11262</v>
      </c>
      <c r="C237" s="1757" t="s">
        <v>2542</v>
      </c>
      <c r="D237" s="46" t="s">
        <v>11819</v>
      </c>
      <c r="E237" s="1757">
        <f>tvl_ricemachinery_nc2_f_psrs_2021</f>
        <v>0</v>
      </c>
      <c r="F237" s="46" t="b">
        <v>1</v>
      </c>
    </row>
    <row r="238" spans="1:6">
      <c r="A238" s="1757" t="s">
        <v>2543</v>
      </c>
      <c r="B238" s="46" t="s">
        <v>11262</v>
      </c>
      <c r="C238" s="1757" t="s">
        <v>2543</v>
      </c>
      <c r="D238" s="46" t="s">
        <v>11538</v>
      </c>
      <c r="E238" s="1757">
        <f>tvl_rubberprocessing_nc2_m_tkrs_2021</f>
        <v>0</v>
      </c>
      <c r="F238" s="46" t="b">
        <v>1</v>
      </c>
    </row>
    <row r="239" spans="1:6">
      <c r="A239" s="1757" t="s">
        <v>2544</v>
      </c>
      <c r="B239" s="46" t="s">
        <v>11262</v>
      </c>
      <c r="C239" s="1757" t="s">
        <v>2544</v>
      </c>
      <c r="D239" s="46" t="s">
        <v>11632</v>
      </c>
      <c r="E239" s="1757">
        <f>tvl_rubberprocessing_nc2_f_tkrs_2021</f>
        <v>0</v>
      </c>
      <c r="F239" s="46" t="b">
        <v>1</v>
      </c>
    </row>
    <row r="240" spans="1:6">
      <c r="A240" s="1757" t="s">
        <v>2545</v>
      </c>
      <c r="B240" s="46" t="s">
        <v>11262</v>
      </c>
      <c r="C240" s="1757" t="s">
        <v>2545</v>
      </c>
      <c r="D240" s="46" t="s">
        <v>11726</v>
      </c>
      <c r="E240" s="1757">
        <f>tvl_rubberprocessing_nc2_m_psrs_2021</f>
        <v>0</v>
      </c>
      <c r="F240" s="46" t="b">
        <v>1</v>
      </c>
    </row>
    <row r="241" spans="1:8">
      <c r="A241" s="1757" t="s">
        <v>2546</v>
      </c>
      <c r="B241" s="46" t="s">
        <v>11262</v>
      </c>
      <c r="C241" s="1757" t="s">
        <v>2546</v>
      </c>
      <c r="D241" s="46" t="s">
        <v>11820</v>
      </c>
      <c r="E241" s="1757">
        <f>tvl_rubberprocessing_nc2_f_psrs_2021</f>
        <v>0</v>
      </c>
      <c r="F241" s="46" t="b">
        <v>1</v>
      </c>
    </row>
    <row r="242" spans="1:8">
      <c r="A242" s="1757" t="s">
        <v>2547</v>
      </c>
      <c r="B242" s="46" t="s">
        <v>11262</v>
      </c>
      <c r="C242" s="1757" t="s">
        <v>2547</v>
      </c>
      <c r="D242" s="46" t="s">
        <v>11539</v>
      </c>
      <c r="E242" s="1757">
        <f>tvl_rubberproduction_nc2_m_tkrs_2021</f>
        <v>0</v>
      </c>
      <c r="F242" s="46" t="b">
        <v>1</v>
      </c>
    </row>
    <row r="243" spans="1:8">
      <c r="A243" s="1757" t="s">
        <v>2548</v>
      </c>
      <c r="B243" s="46" t="s">
        <v>11262</v>
      </c>
      <c r="C243" s="1757" t="s">
        <v>2548</v>
      </c>
      <c r="D243" s="46" t="s">
        <v>11633</v>
      </c>
      <c r="E243" s="1757">
        <f>tvl_rubberproduction_nc2_f_tkrs_2021</f>
        <v>0</v>
      </c>
      <c r="F243" s="46" t="b">
        <v>1</v>
      </c>
    </row>
    <row r="244" spans="1:8">
      <c r="A244" s="1757" t="s">
        <v>2549</v>
      </c>
      <c r="B244" s="46" t="s">
        <v>11262</v>
      </c>
      <c r="C244" s="1757" t="s">
        <v>2549</v>
      </c>
      <c r="D244" s="46" t="s">
        <v>11727</v>
      </c>
      <c r="E244" s="1757">
        <f>tvl_rubberproduction_nc2_m_psrs_2021</f>
        <v>0</v>
      </c>
      <c r="F244" s="46" t="b">
        <v>1</v>
      </c>
    </row>
    <row r="245" spans="1:8">
      <c r="A245" s="1757" t="s">
        <v>2550</v>
      </c>
      <c r="B245" s="46" t="s">
        <v>11262</v>
      </c>
      <c r="C245" s="1757" t="s">
        <v>2550</v>
      </c>
      <c r="D245" s="46" t="s">
        <v>11821</v>
      </c>
      <c r="E245" s="1757">
        <f>tvl_rubberproduction_nc2_f_psrs_2021</f>
        <v>0</v>
      </c>
      <c r="F245" s="46" t="b">
        <v>1</v>
      </c>
    </row>
    <row r="246" spans="1:8">
      <c r="A246" s="1757" t="s">
        <v>2551</v>
      </c>
      <c r="B246" s="46" t="s">
        <v>11262</v>
      </c>
      <c r="C246" s="1757" t="s">
        <v>2551</v>
      </c>
      <c r="D246" s="46" t="s">
        <v>11540</v>
      </c>
      <c r="E246" s="1757">
        <f>tvl_slaughteringops_nc2_m_tkrs_2021</f>
        <v>0</v>
      </c>
      <c r="F246" s="46" t="b">
        <v>1</v>
      </c>
    </row>
    <row r="247" spans="1:8">
      <c r="A247" s="1757" t="s">
        <v>2552</v>
      </c>
      <c r="B247" s="46" t="s">
        <v>11262</v>
      </c>
      <c r="C247" s="1757" t="s">
        <v>2552</v>
      </c>
      <c r="D247" s="46" t="s">
        <v>11634</v>
      </c>
      <c r="E247" s="1757">
        <f>tvl_slaughteringops_nc2_f_tkrs_2021</f>
        <v>0</v>
      </c>
      <c r="F247" s="46" t="b">
        <v>1</v>
      </c>
    </row>
    <row r="248" spans="1:8">
      <c r="A248" s="1757" t="s">
        <v>2553</v>
      </c>
      <c r="B248" s="46" t="s">
        <v>11262</v>
      </c>
      <c r="C248" s="1757" t="s">
        <v>2553</v>
      </c>
      <c r="D248" s="46" t="s">
        <v>11728</v>
      </c>
      <c r="E248" s="1757">
        <f>tvl_slaughteringops_nc2_m_psrs_2021</f>
        <v>0</v>
      </c>
      <c r="F248" s="46" t="b">
        <v>1</v>
      </c>
    </row>
    <row r="249" spans="1:8" ht="16.5" thickBot="1">
      <c r="A249" s="1758" t="s">
        <v>2554</v>
      </c>
      <c r="B249" s="479" t="s">
        <v>11262</v>
      </c>
      <c r="C249" s="1758" t="s">
        <v>2554</v>
      </c>
      <c r="D249" s="479" t="s">
        <v>11822</v>
      </c>
      <c r="E249" s="1758">
        <f>tvl_slaughteringops_nc2_f_psrs_2021</f>
        <v>0</v>
      </c>
      <c r="F249" s="46" t="b">
        <v>1</v>
      </c>
      <c r="G249" s="479"/>
      <c r="H249" s="479"/>
    </row>
    <row r="250" spans="1:8" ht="16.5" thickTop="1">
      <c r="A250" s="1757" t="s">
        <v>2555</v>
      </c>
      <c r="B250" s="46" t="s">
        <v>11262</v>
      </c>
      <c r="C250" s="1757" t="s">
        <v>2555</v>
      </c>
      <c r="D250" s="46" t="s">
        <v>11541</v>
      </c>
      <c r="E250" s="1757">
        <f>tvl_automotiveservicing_nc1_m_tkrs_2021</f>
        <v>0</v>
      </c>
      <c r="F250" s="46" t="b">
        <v>1</v>
      </c>
    </row>
    <row r="251" spans="1:8">
      <c r="A251" s="1757" t="s">
        <v>2556</v>
      </c>
      <c r="B251" s="46" t="s">
        <v>11262</v>
      </c>
      <c r="C251" s="1757" t="s">
        <v>2556</v>
      </c>
      <c r="D251" s="46" t="s">
        <v>11635</v>
      </c>
      <c r="E251" s="1757" cm="1">
        <f t="array" ref="E251">tvl_automotiveservicing_nc1_f_tkrs_2021</f>
        <v>0</v>
      </c>
      <c r="F251" s="46" t="b">
        <v>1</v>
      </c>
    </row>
    <row r="252" spans="1:8">
      <c r="A252" s="1757" t="s">
        <v>2557</v>
      </c>
      <c r="B252" s="46" t="s">
        <v>11262</v>
      </c>
      <c r="C252" s="1757" t="s">
        <v>2557</v>
      </c>
      <c r="D252" s="46" t="s">
        <v>11729</v>
      </c>
      <c r="E252" s="1757">
        <f>tvl_automotiveservicing_nc1_m_psrs_2021</f>
        <v>0</v>
      </c>
      <c r="F252" s="46" t="b">
        <v>1</v>
      </c>
    </row>
    <row r="253" spans="1:8">
      <c r="A253" s="1757" t="s">
        <v>2558</v>
      </c>
      <c r="B253" s="46" t="s">
        <v>11262</v>
      </c>
      <c r="C253" s="1757" t="s">
        <v>2558</v>
      </c>
      <c r="D253" s="46" t="s">
        <v>11823</v>
      </c>
      <c r="E253" s="1757">
        <f>tvl_automotiveservicing_nc1_f_psrs_2021</f>
        <v>0</v>
      </c>
      <c r="F253" s="46" t="b">
        <v>1</v>
      </c>
    </row>
    <row r="254" spans="1:8">
      <c r="A254" s="1757" t="s">
        <v>2559</v>
      </c>
      <c r="B254" s="46" t="s">
        <v>11262</v>
      </c>
      <c r="C254" s="1757" t="s">
        <v>2559</v>
      </c>
      <c r="D254" s="46" t="s">
        <v>11542</v>
      </c>
      <c r="E254" s="1757">
        <f>tvl_automotiveservicing_nc2_m_tkrs_2021</f>
        <v>0</v>
      </c>
      <c r="F254" s="46" t="b">
        <v>1</v>
      </c>
    </row>
    <row r="255" spans="1:8">
      <c r="A255" s="1757" t="s">
        <v>2560</v>
      </c>
      <c r="B255" s="46" t="s">
        <v>11262</v>
      </c>
      <c r="C255" s="1757" t="s">
        <v>2560</v>
      </c>
      <c r="D255" s="46" t="s">
        <v>11636</v>
      </c>
      <c r="E255" s="1757" cm="1">
        <f t="array" ref="E255">tvl_automotiveservicing_nc2_f_tkrs_2021</f>
        <v>0</v>
      </c>
      <c r="F255" s="46" t="b">
        <v>1</v>
      </c>
    </row>
    <row r="256" spans="1:8">
      <c r="A256" s="1757" t="s">
        <v>2561</v>
      </c>
      <c r="B256" s="46" t="s">
        <v>11262</v>
      </c>
      <c r="C256" s="1757" t="s">
        <v>2561</v>
      </c>
      <c r="D256" s="46" t="s">
        <v>11730</v>
      </c>
      <c r="E256" s="1757">
        <f>tvl_automotiveservicing_nc2_m_psrs_2021</f>
        <v>0</v>
      </c>
      <c r="F256" s="46" t="b">
        <v>1</v>
      </c>
    </row>
    <row r="257" spans="1:6">
      <c r="A257" s="1757" t="s">
        <v>2562</v>
      </c>
      <c r="B257" s="46" t="s">
        <v>11262</v>
      </c>
      <c r="C257" s="1757" t="s">
        <v>2562</v>
      </c>
      <c r="D257" s="46" t="s">
        <v>11824</v>
      </c>
      <c r="E257" s="1757">
        <f>tvl_automotiveservicing_nc2_f_psrs_2021</f>
        <v>0</v>
      </c>
      <c r="F257" s="46" t="b">
        <v>1</v>
      </c>
    </row>
    <row r="258" spans="1:6">
      <c r="A258" s="1757" t="s">
        <v>2563</v>
      </c>
      <c r="B258" s="46" t="s">
        <v>11262</v>
      </c>
      <c r="C258" s="1757" t="s">
        <v>2563</v>
      </c>
      <c r="D258" s="46" t="s">
        <v>11543</v>
      </c>
      <c r="E258" s="1757">
        <f>tvl_carpentry_nc2_m_tkrs_2021</f>
        <v>0</v>
      </c>
      <c r="F258" s="46" t="b">
        <v>1</v>
      </c>
    </row>
    <row r="259" spans="1:6">
      <c r="A259" s="1757" t="s">
        <v>2564</v>
      </c>
      <c r="B259" s="46" t="s">
        <v>11262</v>
      </c>
      <c r="C259" s="1757" t="s">
        <v>2564</v>
      </c>
      <c r="D259" s="46" t="s">
        <v>11637</v>
      </c>
      <c r="E259" s="1757">
        <f>tvl_carpentry_nc2_f_tkrs_2021</f>
        <v>0</v>
      </c>
      <c r="F259" s="46" t="b">
        <v>1</v>
      </c>
    </row>
    <row r="260" spans="1:6">
      <c r="A260" s="1757" t="s">
        <v>2565</v>
      </c>
      <c r="B260" s="46" t="s">
        <v>11262</v>
      </c>
      <c r="C260" s="1757" t="s">
        <v>2565</v>
      </c>
      <c r="D260" s="46" t="s">
        <v>11731</v>
      </c>
      <c r="E260" s="1757">
        <f>tvl_carpentry_nc2_m_psrs_2021</f>
        <v>0</v>
      </c>
      <c r="F260" s="46" t="b">
        <v>1</v>
      </c>
    </row>
    <row r="261" spans="1:6">
      <c r="A261" s="1757" t="s">
        <v>2566</v>
      </c>
      <c r="B261" s="46" t="s">
        <v>11262</v>
      </c>
      <c r="C261" s="1757" t="s">
        <v>2566</v>
      </c>
      <c r="D261" s="46" t="s">
        <v>11825</v>
      </c>
      <c r="E261" s="1757">
        <f>tvl_carpentry_nc2_f_psrs_2021</f>
        <v>0</v>
      </c>
      <c r="F261" s="46" t="b">
        <v>1</v>
      </c>
    </row>
    <row r="262" spans="1:6">
      <c r="A262" s="1757" t="s">
        <v>2567</v>
      </c>
      <c r="B262" s="46" t="s">
        <v>11262</v>
      </c>
      <c r="C262" s="1757" t="s">
        <v>2567</v>
      </c>
      <c r="D262" s="46" t="s">
        <v>11544</v>
      </c>
      <c r="E262" s="1757">
        <f>tvl_carpentry_nc3_m_tkrs_2021</f>
        <v>0</v>
      </c>
      <c r="F262" s="46" t="b">
        <v>1</v>
      </c>
    </row>
    <row r="263" spans="1:6">
      <c r="A263" s="1757" t="s">
        <v>2568</v>
      </c>
      <c r="B263" s="46" t="s">
        <v>11262</v>
      </c>
      <c r="C263" s="1757" t="s">
        <v>2568</v>
      </c>
      <c r="D263" s="46" t="s">
        <v>11638</v>
      </c>
      <c r="E263" s="1757">
        <f>tvl_carpentry_nc3_f_tkrs_2021</f>
        <v>0</v>
      </c>
      <c r="F263" s="46" t="b">
        <v>1</v>
      </c>
    </row>
    <row r="264" spans="1:6">
      <c r="A264" s="1757" t="s">
        <v>2569</v>
      </c>
      <c r="B264" s="46" t="s">
        <v>11262</v>
      </c>
      <c r="C264" s="1757" t="s">
        <v>2569</v>
      </c>
      <c r="D264" s="46" t="s">
        <v>11732</v>
      </c>
      <c r="E264" s="1757">
        <f>tvl_carpentry_nc3_m_psrs_2021</f>
        <v>0</v>
      </c>
      <c r="F264" s="46" t="b">
        <v>1</v>
      </c>
    </row>
    <row r="265" spans="1:6">
      <c r="A265" s="1757" t="s">
        <v>2570</v>
      </c>
      <c r="B265" s="46" t="s">
        <v>11262</v>
      </c>
      <c r="C265" s="1757" t="s">
        <v>2570</v>
      </c>
      <c r="D265" s="46" t="s">
        <v>11826</v>
      </c>
      <c r="E265" s="1757">
        <f>tvl_carpentry_nc3_f_psrs_2021</f>
        <v>0</v>
      </c>
      <c r="F265" s="46" t="b">
        <v>1</v>
      </c>
    </row>
    <row r="266" spans="1:6">
      <c r="A266" s="1757" t="s">
        <v>2571</v>
      </c>
      <c r="B266" s="46" t="s">
        <v>11262</v>
      </c>
      <c r="C266" s="1757" t="s">
        <v>2571</v>
      </c>
      <c r="D266" s="46" t="s">
        <v>11545</v>
      </c>
      <c r="E266" s="1757">
        <f>tvl_constructionpainting_nc2_m_tkrs_2021</f>
        <v>0</v>
      </c>
      <c r="F266" s="46" t="b">
        <v>1</v>
      </c>
    </row>
    <row r="267" spans="1:6">
      <c r="A267" s="1757" t="s">
        <v>2572</v>
      </c>
      <c r="B267" s="46" t="s">
        <v>11262</v>
      </c>
      <c r="C267" s="1757" t="s">
        <v>2572</v>
      </c>
      <c r="D267" s="46" t="s">
        <v>11639</v>
      </c>
      <c r="E267" s="1757">
        <f>tvl_constructionpainting_nc2_f_tkrs_2021</f>
        <v>0</v>
      </c>
      <c r="F267" s="46" t="b">
        <v>1</v>
      </c>
    </row>
    <row r="268" spans="1:6">
      <c r="A268" s="1757" t="s">
        <v>2573</v>
      </c>
      <c r="B268" s="46" t="s">
        <v>11262</v>
      </c>
      <c r="C268" s="1757" t="s">
        <v>2573</v>
      </c>
      <c r="D268" s="46" t="s">
        <v>11733</v>
      </c>
      <c r="E268" s="1757">
        <f>tvl_constructionpainting_nc2_m_psrs_2021</f>
        <v>0</v>
      </c>
      <c r="F268" s="46" t="b">
        <v>1</v>
      </c>
    </row>
    <row r="269" spans="1:6">
      <c r="A269" s="1757" t="s">
        <v>2574</v>
      </c>
      <c r="B269" s="46" t="s">
        <v>11262</v>
      </c>
      <c r="C269" s="1757" t="s">
        <v>2574</v>
      </c>
      <c r="D269" s="46" t="s">
        <v>11827</v>
      </c>
      <c r="E269" s="1757">
        <f>tvl_constructionpainting_nc2_f_psrs_2021</f>
        <v>0</v>
      </c>
      <c r="F269" s="46" t="b">
        <v>1</v>
      </c>
    </row>
    <row r="270" spans="1:6">
      <c r="A270" s="1757" t="s">
        <v>2575</v>
      </c>
      <c r="B270" s="46" t="s">
        <v>11262</v>
      </c>
      <c r="C270" s="1757" t="s">
        <v>2575</v>
      </c>
      <c r="D270" s="46" t="s">
        <v>11546</v>
      </c>
      <c r="E270" s="1757">
        <f>tvl_domrefrigeration_nc2_m_tkrs_2021</f>
        <v>0</v>
      </c>
      <c r="F270" s="46" t="b">
        <v>1</v>
      </c>
    </row>
    <row r="271" spans="1:6">
      <c r="A271" s="1757" t="s">
        <v>2576</v>
      </c>
      <c r="B271" s="46" t="s">
        <v>11262</v>
      </c>
      <c r="C271" s="1757" t="s">
        <v>2576</v>
      </c>
      <c r="D271" s="46" t="s">
        <v>11640</v>
      </c>
      <c r="E271" s="1757">
        <f>tvl_domrefrigeration_nc2_f_tkrs_2021</f>
        <v>0</v>
      </c>
      <c r="F271" s="46" t="b">
        <v>1</v>
      </c>
    </row>
    <row r="272" spans="1:6">
      <c r="A272" s="1757" t="s">
        <v>2577</v>
      </c>
      <c r="B272" s="46" t="s">
        <v>11262</v>
      </c>
      <c r="C272" s="1757" t="s">
        <v>2577</v>
      </c>
      <c r="D272" s="46" t="s">
        <v>11734</v>
      </c>
      <c r="E272" s="1757">
        <f>tvl_domrefrigeration_nc2_m_psrs_2021</f>
        <v>0</v>
      </c>
      <c r="F272" s="46" t="b">
        <v>1</v>
      </c>
    </row>
    <row r="273" spans="1:6">
      <c r="A273" s="1757" t="s">
        <v>2578</v>
      </c>
      <c r="B273" s="46" t="s">
        <v>11262</v>
      </c>
      <c r="C273" s="1757" t="s">
        <v>2578</v>
      </c>
      <c r="D273" s="46" t="s">
        <v>11828</v>
      </c>
      <c r="E273" s="1757">
        <f>tvl_domrefrigeration_nc2_f_psrs_2021</f>
        <v>0</v>
      </c>
      <c r="F273" s="46" t="b">
        <v>1</v>
      </c>
    </row>
    <row r="274" spans="1:6">
      <c r="A274" s="1757" t="s">
        <v>2579</v>
      </c>
      <c r="B274" s="46" t="s">
        <v>11262</v>
      </c>
      <c r="C274" s="1757" t="s">
        <v>2579</v>
      </c>
      <c r="D274" s="46" t="s">
        <v>11547</v>
      </c>
      <c r="E274" s="1757">
        <f>tvl_driving_nc2_m_tkrs_2021</f>
        <v>0</v>
      </c>
      <c r="F274" s="46" t="b">
        <v>1</v>
      </c>
    </row>
    <row r="275" spans="1:6">
      <c r="A275" s="1757" t="s">
        <v>2580</v>
      </c>
      <c r="B275" s="46" t="s">
        <v>11262</v>
      </c>
      <c r="C275" s="1757" t="s">
        <v>2580</v>
      </c>
      <c r="D275" s="46" t="s">
        <v>11641</v>
      </c>
      <c r="E275" s="1757">
        <f>tvl_driving_nc2_f_tkrs_2021</f>
        <v>0</v>
      </c>
      <c r="F275" s="46" t="b">
        <v>1</v>
      </c>
    </row>
    <row r="276" spans="1:6">
      <c r="A276" s="1757" t="s">
        <v>2581</v>
      </c>
      <c r="B276" s="46" t="s">
        <v>11262</v>
      </c>
      <c r="C276" s="1757" t="s">
        <v>2581</v>
      </c>
      <c r="D276" s="46" t="s">
        <v>11735</v>
      </c>
      <c r="E276" s="1757">
        <f>tvl_driving_nc2_m_psrs_2021</f>
        <v>0</v>
      </c>
      <c r="F276" s="46" t="b">
        <v>1</v>
      </c>
    </row>
    <row r="277" spans="1:6">
      <c r="A277" s="1757" t="s">
        <v>2582</v>
      </c>
      <c r="B277" s="46" t="s">
        <v>11262</v>
      </c>
      <c r="C277" s="1757" t="s">
        <v>2582</v>
      </c>
      <c r="D277" s="46" t="s">
        <v>11829</v>
      </c>
      <c r="E277" s="1757">
        <f>tvl_driving_nc2_f_psrs_2021</f>
        <v>0</v>
      </c>
      <c r="F277" s="46" t="b">
        <v>1</v>
      </c>
    </row>
    <row r="278" spans="1:6">
      <c r="A278" s="1757" t="s">
        <v>2583</v>
      </c>
      <c r="B278" s="46" t="s">
        <v>11262</v>
      </c>
      <c r="C278" s="1757" t="s">
        <v>2583</v>
      </c>
      <c r="D278" s="46" t="s">
        <v>11548</v>
      </c>
      <c r="E278" s="1757">
        <f>tvl_elecinstallation_nc2_m_tkrs_2021</f>
        <v>0</v>
      </c>
      <c r="F278" s="46" t="b">
        <v>1</v>
      </c>
    </row>
    <row r="279" spans="1:6">
      <c r="A279" s="1757" t="s">
        <v>2584</v>
      </c>
      <c r="B279" s="46" t="s">
        <v>11262</v>
      </c>
      <c r="C279" s="1757" t="s">
        <v>2584</v>
      </c>
      <c r="D279" s="46" t="s">
        <v>11642</v>
      </c>
      <c r="E279" s="1757">
        <f>tvl_elecinstallation_nc2_f_tkrs_2021</f>
        <v>0</v>
      </c>
      <c r="F279" s="46" t="b">
        <v>1</v>
      </c>
    </row>
    <row r="280" spans="1:6">
      <c r="A280" s="1757" t="s">
        <v>2585</v>
      </c>
      <c r="B280" s="46" t="s">
        <v>11262</v>
      </c>
      <c r="C280" s="1757" t="s">
        <v>2585</v>
      </c>
      <c r="D280" s="46" t="s">
        <v>11736</v>
      </c>
      <c r="E280" s="1757">
        <f>tvl_elecinstallation_nc2_m_psrs_2021</f>
        <v>0</v>
      </c>
      <c r="F280" s="46" t="b">
        <v>1</v>
      </c>
    </row>
    <row r="281" spans="1:6">
      <c r="A281" s="1757" t="s">
        <v>2586</v>
      </c>
      <c r="B281" s="46" t="s">
        <v>11262</v>
      </c>
      <c r="C281" s="1757" t="s">
        <v>2586</v>
      </c>
      <c r="D281" s="46" t="s">
        <v>11830</v>
      </c>
      <c r="E281" s="1757">
        <f>tvl_elecinstallation_nc2_f_psrs_2021</f>
        <v>0</v>
      </c>
      <c r="F281" s="46" t="b">
        <v>1</v>
      </c>
    </row>
    <row r="282" spans="1:6">
      <c r="A282" s="1757" t="s">
        <v>2587</v>
      </c>
      <c r="B282" s="46" t="s">
        <v>11262</v>
      </c>
      <c r="C282" s="1757" t="s">
        <v>2587</v>
      </c>
      <c r="D282" s="46" t="s">
        <v>11549</v>
      </c>
      <c r="E282" s="1757">
        <f>tvl_elecpowerdist_nc2_m_tkrs_2021</f>
        <v>0</v>
      </c>
      <c r="F282" s="46" t="b">
        <v>1</v>
      </c>
    </row>
    <row r="283" spans="1:6">
      <c r="A283" s="1757" t="s">
        <v>2588</v>
      </c>
      <c r="B283" s="46" t="s">
        <v>11262</v>
      </c>
      <c r="C283" s="1757" t="s">
        <v>2588</v>
      </c>
      <c r="D283" s="46" t="s">
        <v>11643</v>
      </c>
      <c r="E283" s="1757">
        <f>tvl_elecpowerdist_nc2_f_tkrs_2021</f>
        <v>0</v>
      </c>
      <c r="F283" s="46" t="b">
        <v>1</v>
      </c>
    </row>
    <row r="284" spans="1:6">
      <c r="A284" s="1757" t="s">
        <v>2589</v>
      </c>
      <c r="B284" s="46" t="s">
        <v>11262</v>
      </c>
      <c r="C284" s="1757" t="s">
        <v>2589</v>
      </c>
      <c r="D284" s="46" t="s">
        <v>11737</v>
      </c>
      <c r="E284" s="1757">
        <f>tvl_elecpowerdist_nc2_m_psrs_2021</f>
        <v>0</v>
      </c>
      <c r="F284" s="46" t="b">
        <v>1</v>
      </c>
    </row>
    <row r="285" spans="1:6">
      <c r="A285" s="1757" t="s">
        <v>2590</v>
      </c>
      <c r="B285" s="46" t="s">
        <v>11262</v>
      </c>
      <c r="C285" s="1757" t="s">
        <v>2590</v>
      </c>
      <c r="D285" s="46" t="s">
        <v>11831</v>
      </c>
      <c r="E285" s="1757">
        <f>tvl_elecpowerdist_nc2_f_psrs_2021</f>
        <v>0</v>
      </c>
      <c r="F285" s="46" t="b">
        <v>1</v>
      </c>
    </row>
    <row r="286" spans="1:6">
      <c r="A286" s="1757" t="s">
        <v>2591</v>
      </c>
      <c r="B286" s="46" t="s">
        <v>11262</v>
      </c>
      <c r="C286" s="1757" t="s">
        <v>2591</v>
      </c>
      <c r="D286" s="46" t="s">
        <v>11550</v>
      </c>
      <c r="E286" s="1757">
        <f>tvl_elecproduction_nc2_m_tkrs_2021</f>
        <v>0</v>
      </c>
      <c r="F286" s="46" t="b">
        <v>1</v>
      </c>
    </row>
    <row r="287" spans="1:6">
      <c r="A287" s="1757" t="s">
        <v>2592</v>
      </c>
      <c r="B287" s="46" t="s">
        <v>11262</v>
      </c>
      <c r="C287" s="1757" t="s">
        <v>2592</v>
      </c>
      <c r="D287" s="46" t="s">
        <v>11644</v>
      </c>
      <c r="E287" s="1757">
        <f>tvl_elecproduction_nc2_f_tkrs_2021</f>
        <v>0</v>
      </c>
      <c r="F287" s="46" t="b">
        <v>1</v>
      </c>
    </row>
    <row r="288" spans="1:6">
      <c r="A288" s="1757" t="s">
        <v>2593</v>
      </c>
      <c r="B288" s="46" t="s">
        <v>11262</v>
      </c>
      <c r="C288" s="1757" t="s">
        <v>2593</v>
      </c>
      <c r="D288" s="46" t="s">
        <v>11738</v>
      </c>
      <c r="E288" s="1757">
        <f>tvl_elecproduction_nc2_m_psrs_2021</f>
        <v>0</v>
      </c>
      <c r="F288" s="46" t="b">
        <v>1</v>
      </c>
    </row>
    <row r="289" spans="1:6">
      <c r="A289" s="1757" t="s">
        <v>2594</v>
      </c>
      <c r="B289" s="46" t="s">
        <v>11262</v>
      </c>
      <c r="C289" s="1757" t="s">
        <v>2594</v>
      </c>
      <c r="D289" s="46" t="s">
        <v>11832</v>
      </c>
      <c r="E289" s="1757">
        <f>tvl_elecproduction_nc2_f_psrs_2021</f>
        <v>0</v>
      </c>
      <c r="F289" s="46" t="b">
        <v>1</v>
      </c>
    </row>
    <row r="290" spans="1:6">
      <c r="A290" s="1757" t="s">
        <v>2595</v>
      </c>
      <c r="B290" s="46" t="s">
        <v>11262</v>
      </c>
      <c r="C290" s="1757" t="s">
        <v>2595</v>
      </c>
      <c r="D290" s="46" t="s">
        <v>11551</v>
      </c>
      <c r="E290" s="1757">
        <f>tvl_furnituremaking_nc2_m_tkrs_2021</f>
        <v>0</v>
      </c>
      <c r="F290" s="46" t="b">
        <v>1</v>
      </c>
    </row>
    <row r="291" spans="1:6">
      <c r="A291" s="1757" t="s">
        <v>2596</v>
      </c>
      <c r="B291" s="46" t="s">
        <v>11262</v>
      </c>
      <c r="C291" s="1757" t="s">
        <v>2596</v>
      </c>
      <c r="D291" s="46" t="s">
        <v>11645</v>
      </c>
      <c r="E291" s="1757">
        <f>tvl_furnituremaking_nc2_f_tkrs_2021</f>
        <v>0</v>
      </c>
      <c r="F291" s="46" t="b">
        <v>1</v>
      </c>
    </row>
    <row r="292" spans="1:6">
      <c r="A292" s="1757" t="s">
        <v>2597</v>
      </c>
      <c r="B292" s="46" t="s">
        <v>11262</v>
      </c>
      <c r="C292" s="1757" t="s">
        <v>2597</v>
      </c>
      <c r="D292" s="46" t="s">
        <v>11739</v>
      </c>
      <c r="E292" s="1757">
        <f>tvl_furnituremaking_nc2_m_psrs_2021</f>
        <v>0</v>
      </c>
      <c r="F292" s="46" t="b">
        <v>1</v>
      </c>
    </row>
    <row r="293" spans="1:6">
      <c r="A293" s="1757" t="s">
        <v>2598</v>
      </c>
      <c r="B293" s="46" t="s">
        <v>11262</v>
      </c>
      <c r="C293" s="1757" t="s">
        <v>2598</v>
      </c>
      <c r="D293" s="46" t="s">
        <v>11833</v>
      </c>
      <c r="E293" s="1757">
        <f>tvl_furnituremaking_nc2_f_psrs_2021</f>
        <v>0</v>
      </c>
      <c r="F293" s="46" t="b">
        <v>1</v>
      </c>
    </row>
    <row r="294" spans="1:6">
      <c r="A294" s="1757" t="s">
        <v>2599</v>
      </c>
      <c r="B294" s="46" t="s">
        <v>11262</v>
      </c>
      <c r="C294" s="1757" t="s">
        <v>2599</v>
      </c>
      <c r="D294" s="46" t="s">
        <v>11552</v>
      </c>
      <c r="E294" s="1757">
        <f>tvl_instncontrol_nc2_m_tkrs_2021</f>
        <v>0</v>
      </c>
      <c r="F294" s="46" t="b">
        <v>1</v>
      </c>
    </row>
    <row r="295" spans="1:6">
      <c r="A295" s="1757" t="s">
        <v>2600</v>
      </c>
      <c r="B295" s="46" t="s">
        <v>11262</v>
      </c>
      <c r="C295" s="1757" t="s">
        <v>2600</v>
      </c>
      <c r="D295" s="46" t="s">
        <v>11646</v>
      </c>
      <c r="E295" s="1757">
        <f>tvl_instncontrol_nc2_f_tkrs_2021</f>
        <v>0</v>
      </c>
      <c r="F295" s="46" t="b">
        <v>1</v>
      </c>
    </row>
    <row r="296" spans="1:6">
      <c r="A296" s="1757" t="s">
        <v>2601</v>
      </c>
      <c r="B296" s="46" t="s">
        <v>11262</v>
      </c>
      <c r="C296" s="1757" t="s">
        <v>2601</v>
      </c>
      <c r="D296" s="46" t="s">
        <v>11740</v>
      </c>
      <c r="E296" s="1757">
        <f>tvl_instncontrol_nc2_m_psrs_2021</f>
        <v>0</v>
      </c>
      <c r="F296" s="46" t="b">
        <v>1</v>
      </c>
    </row>
    <row r="297" spans="1:6">
      <c r="A297" s="1757" t="s">
        <v>2602</v>
      </c>
      <c r="B297" s="46" t="s">
        <v>11262</v>
      </c>
      <c r="C297" s="1757" t="s">
        <v>2602</v>
      </c>
      <c r="D297" s="46" t="s">
        <v>11834</v>
      </c>
      <c r="E297" s="1757">
        <f>tvl_instncontrol_nc2_f_psrs_2021</f>
        <v>0</v>
      </c>
      <c r="F297" s="46" t="b">
        <v>1</v>
      </c>
    </row>
    <row r="298" spans="1:6">
      <c r="A298" s="1757" t="s">
        <v>2603</v>
      </c>
      <c r="B298" s="46" t="s">
        <v>11262</v>
      </c>
      <c r="C298" s="1757" t="s">
        <v>2603</v>
      </c>
      <c r="D298" s="46" t="s">
        <v>11553</v>
      </c>
      <c r="E298" s="1757">
        <f>tvl_gasmetalwelding_nc2_m_tkrs_2021</f>
        <v>0</v>
      </c>
      <c r="F298" s="46" t="b">
        <v>1</v>
      </c>
    </row>
    <row r="299" spans="1:6">
      <c r="A299" s="1757" t="s">
        <v>2604</v>
      </c>
      <c r="B299" s="46" t="s">
        <v>11262</v>
      </c>
      <c r="C299" s="1757" t="s">
        <v>2604</v>
      </c>
      <c r="D299" s="46" t="s">
        <v>11647</v>
      </c>
      <c r="E299" s="1757">
        <f>tvl_gasmetalwelding_nc2_f_tkrs_2021</f>
        <v>0</v>
      </c>
      <c r="F299" s="46" t="b">
        <v>1</v>
      </c>
    </row>
    <row r="300" spans="1:6">
      <c r="A300" s="1757" t="s">
        <v>2605</v>
      </c>
      <c r="B300" s="46" t="s">
        <v>11262</v>
      </c>
      <c r="C300" s="1757" t="s">
        <v>2605</v>
      </c>
      <c r="D300" s="46" t="s">
        <v>11741</v>
      </c>
      <c r="E300" s="1757">
        <f>tvl_gasmetalwelding_nc2_m_psrs_2021</f>
        <v>0</v>
      </c>
      <c r="F300" s="46" t="b">
        <v>1</v>
      </c>
    </row>
    <row r="301" spans="1:6">
      <c r="A301" s="1757" t="s">
        <v>2606</v>
      </c>
      <c r="B301" s="46" t="s">
        <v>11262</v>
      </c>
      <c r="C301" s="1757" t="s">
        <v>2606</v>
      </c>
      <c r="D301" s="46" t="s">
        <v>11835</v>
      </c>
      <c r="E301" s="1757">
        <f>tvl_gasmetalwelding_nc2_f_psrs_2021</f>
        <v>0</v>
      </c>
      <c r="F301" s="46" t="b">
        <v>1</v>
      </c>
    </row>
    <row r="302" spans="1:6">
      <c r="A302" s="1757" t="s">
        <v>2607</v>
      </c>
      <c r="B302" s="46" t="s">
        <v>11262</v>
      </c>
      <c r="C302" s="1757" t="s">
        <v>2607</v>
      </c>
      <c r="D302" s="46" t="s">
        <v>11554</v>
      </c>
      <c r="E302" s="1757">
        <f>tvl_gastungstenwelding_nc2_m_tkrs_2021</f>
        <v>0</v>
      </c>
      <c r="F302" s="46" t="b">
        <v>1</v>
      </c>
    </row>
    <row r="303" spans="1:6">
      <c r="A303" s="1757" t="s">
        <v>2608</v>
      </c>
      <c r="B303" s="46" t="s">
        <v>11262</v>
      </c>
      <c r="C303" s="1757" t="s">
        <v>2608</v>
      </c>
      <c r="D303" s="46" t="s">
        <v>11648</v>
      </c>
      <c r="E303" s="1757">
        <f>tvl_gastungstenwelding_nc2_f_tkrs_2021</f>
        <v>0</v>
      </c>
      <c r="F303" s="46" t="b">
        <v>1</v>
      </c>
    </row>
    <row r="304" spans="1:6">
      <c r="A304" s="1757" t="s">
        <v>2609</v>
      </c>
      <c r="B304" s="46" t="s">
        <v>11262</v>
      </c>
      <c r="C304" s="1757" t="s">
        <v>2609</v>
      </c>
      <c r="D304" s="46" t="s">
        <v>11742</v>
      </c>
      <c r="E304" s="1757">
        <f>tvl_gastungstenwelding_nc2_m_psrs_2021</f>
        <v>0</v>
      </c>
      <c r="F304" s="46" t="b">
        <v>1</v>
      </c>
    </row>
    <row r="305" spans="1:6">
      <c r="A305" s="1757" t="s">
        <v>2610</v>
      </c>
      <c r="B305" s="46" t="s">
        <v>11262</v>
      </c>
      <c r="C305" s="1757" t="s">
        <v>2610</v>
      </c>
      <c r="D305" s="46" t="s">
        <v>11836</v>
      </c>
      <c r="E305" s="1757">
        <f>tvl_gastungstenwelding_nc2_f_psrs_2021</f>
        <v>0</v>
      </c>
      <c r="F305" s="46" t="b">
        <v>1</v>
      </c>
    </row>
    <row r="306" spans="1:6">
      <c r="A306" s="1757" t="s">
        <v>2611</v>
      </c>
      <c r="B306" s="46" t="s">
        <v>11262</v>
      </c>
      <c r="C306" s="1757" t="s">
        <v>2611</v>
      </c>
      <c r="D306" s="46" t="s">
        <v>11555</v>
      </c>
      <c r="E306" s="1757">
        <f>tvl_machining_nc1_m_tkrs_2021</f>
        <v>0</v>
      </c>
      <c r="F306" s="46" t="b">
        <v>1</v>
      </c>
    </row>
    <row r="307" spans="1:6">
      <c r="A307" s="1757" t="s">
        <v>2612</v>
      </c>
      <c r="B307" s="46" t="s">
        <v>11262</v>
      </c>
      <c r="C307" s="1757" t="s">
        <v>2612</v>
      </c>
      <c r="D307" s="46" t="s">
        <v>11649</v>
      </c>
      <c r="E307" s="1757">
        <f>tvl_machining_nc1_f_tkrs_2021</f>
        <v>0</v>
      </c>
      <c r="F307" s="46" t="b">
        <v>1</v>
      </c>
    </row>
    <row r="308" spans="1:6">
      <c r="A308" s="1757" t="s">
        <v>2613</v>
      </c>
      <c r="B308" s="46" t="s">
        <v>11262</v>
      </c>
      <c r="C308" s="1757" t="s">
        <v>2613</v>
      </c>
      <c r="D308" s="46" t="s">
        <v>11743</v>
      </c>
      <c r="E308" s="1757">
        <f>tvl_machining_nc1_m_psrs_2021</f>
        <v>0</v>
      </c>
      <c r="F308" s="46" t="b">
        <v>1</v>
      </c>
    </row>
    <row r="309" spans="1:6">
      <c r="A309" s="1757" t="s">
        <v>2614</v>
      </c>
      <c r="B309" s="46" t="s">
        <v>11262</v>
      </c>
      <c r="C309" s="1757" t="s">
        <v>2614</v>
      </c>
      <c r="D309" s="46" t="s">
        <v>11837</v>
      </c>
      <c r="E309" s="1757">
        <f>tvl_machining_nc1_f_psrs_2021</f>
        <v>0</v>
      </c>
      <c r="F309" s="46" t="b">
        <v>1</v>
      </c>
    </row>
    <row r="310" spans="1:6">
      <c r="A310" s="1757" t="s">
        <v>2615</v>
      </c>
      <c r="B310" s="46" t="s">
        <v>11262</v>
      </c>
      <c r="C310" s="1757" t="s">
        <v>2615</v>
      </c>
      <c r="D310" s="46" t="s">
        <v>11556</v>
      </c>
      <c r="E310" s="1757">
        <f>tvl_machining_nc2_m_tkrs_2021</f>
        <v>0</v>
      </c>
      <c r="F310" s="46" t="b">
        <v>1</v>
      </c>
    </row>
    <row r="311" spans="1:6">
      <c r="A311" s="1757" t="s">
        <v>2616</v>
      </c>
      <c r="B311" s="46" t="s">
        <v>11262</v>
      </c>
      <c r="C311" s="1757" t="s">
        <v>2616</v>
      </c>
      <c r="D311" s="46" t="s">
        <v>11650</v>
      </c>
      <c r="E311" s="1757">
        <f>tvl_machining_nc2_f_tkrs_2021</f>
        <v>0</v>
      </c>
      <c r="F311" s="46" t="b">
        <v>1</v>
      </c>
    </row>
    <row r="312" spans="1:6">
      <c r="A312" s="1757" t="s">
        <v>2617</v>
      </c>
      <c r="B312" s="46" t="s">
        <v>11262</v>
      </c>
      <c r="C312" s="1757" t="s">
        <v>2617</v>
      </c>
      <c r="D312" s="46" t="s">
        <v>11744</v>
      </c>
      <c r="E312" s="1757">
        <f>tvl_machining_nc2_m_psrs_2021</f>
        <v>0</v>
      </c>
      <c r="F312" s="46" t="b">
        <v>1</v>
      </c>
    </row>
    <row r="313" spans="1:6">
      <c r="A313" s="1757" t="s">
        <v>2618</v>
      </c>
      <c r="B313" s="46" t="s">
        <v>11262</v>
      </c>
      <c r="C313" s="1757" t="s">
        <v>2618</v>
      </c>
      <c r="D313" s="46" t="s">
        <v>11838</v>
      </c>
      <c r="E313" s="1757">
        <f>tvl_machining_nc2_f_psrs_2021</f>
        <v>0</v>
      </c>
      <c r="F313" s="46" t="b">
        <v>1</v>
      </c>
    </row>
    <row r="314" spans="1:6">
      <c r="A314" s="1757" t="s">
        <v>2619</v>
      </c>
      <c r="B314" s="46" t="s">
        <v>11262</v>
      </c>
      <c r="C314" s="1757" t="s">
        <v>2619</v>
      </c>
      <c r="D314" s="46" t="s">
        <v>11557</v>
      </c>
      <c r="E314" s="1757">
        <f>tvl_masonry_nc2_m_tkrs_2021</f>
        <v>0</v>
      </c>
      <c r="F314" s="46" t="b">
        <v>1</v>
      </c>
    </row>
    <row r="315" spans="1:6">
      <c r="A315" s="1757" t="s">
        <v>2620</v>
      </c>
      <c r="B315" s="46" t="s">
        <v>11262</v>
      </c>
      <c r="C315" s="1757" t="s">
        <v>2620</v>
      </c>
      <c r="D315" s="46" t="s">
        <v>11651</v>
      </c>
      <c r="E315" s="1757">
        <f>tvl_masonry_nc2_f_tkrs_2021</f>
        <v>0</v>
      </c>
      <c r="F315" s="46" t="b">
        <v>1</v>
      </c>
    </row>
    <row r="316" spans="1:6">
      <c r="A316" s="1757" t="s">
        <v>2621</v>
      </c>
      <c r="B316" s="46" t="s">
        <v>11262</v>
      </c>
      <c r="C316" s="1757" t="s">
        <v>2621</v>
      </c>
      <c r="D316" s="46" t="s">
        <v>11745</v>
      </c>
      <c r="E316" s="1757">
        <f>tvl_masonry_nc2_m_psrs_2021</f>
        <v>0</v>
      </c>
      <c r="F316" s="46" t="b">
        <v>1</v>
      </c>
    </row>
    <row r="317" spans="1:6">
      <c r="A317" s="1757" t="s">
        <v>2622</v>
      </c>
      <c r="B317" s="46" t="s">
        <v>11262</v>
      </c>
      <c r="C317" s="1757" t="s">
        <v>2622</v>
      </c>
      <c r="D317" s="46" t="s">
        <v>11839</v>
      </c>
      <c r="E317" s="1757">
        <f>tvl_masonry_nc2_f_psrs_2021</f>
        <v>0</v>
      </c>
      <c r="F317" s="46" t="b">
        <v>1</v>
      </c>
    </row>
    <row r="318" spans="1:6">
      <c r="A318" s="1757" t="s">
        <v>2623</v>
      </c>
      <c r="B318" s="46" t="s">
        <v>11262</v>
      </c>
      <c r="C318" s="1757" t="s">
        <v>2623</v>
      </c>
      <c r="D318" s="46" t="s">
        <v>11558</v>
      </c>
      <c r="E318" s="1757">
        <f>tvl_mechservicing_nc2_m_tkrs_2021</f>
        <v>0</v>
      </c>
      <c r="F318" s="46" t="b">
        <v>1</v>
      </c>
    </row>
    <row r="319" spans="1:6">
      <c r="A319" s="1757" t="s">
        <v>2624</v>
      </c>
      <c r="B319" s="46" t="s">
        <v>11262</v>
      </c>
      <c r="C319" s="1757" t="s">
        <v>2624</v>
      </c>
      <c r="D319" s="46" t="s">
        <v>11652</v>
      </c>
      <c r="E319" s="1757">
        <f>tvl_mechservicing_nc2_f_tkrs_2021</f>
        <v>0</v>
      </c>
      <c r="F319" s="46" t="b">
        <v>1</v>
      </c>
    </row>
    <row r="320" spans="1:6">
      <c r="A320" s="1757" t="s">
        <v>2625</v>
      </c>
      <c r="B320" s="46" t="s">
        <v>11262</v>
      </c>
      <c r="C320" s="1757" t="s">
        <v>2625</v>
      </c>
      <c r="D320" s="46" t="s">
        <v>11746</v>
      </c>
      <c r="E320" s="1757">
        <f>tvl_mechservicing_nc2_m_psrs_2021</f>
        <v>0</v>
      </c>
      <c r="F320" s="46" t="b">
        <v>1</v>
      </c>
    </row>
    <row r="321" spans="1:6">
      <c r="A321" s="1757" t="s">
        <v>2626</v>
      </c>
      <c r="B321" s="46" t="s">
        <v>11262</v>
      </c>
      <c r="C321" s="1757" t="s">
        <v>2626</v>
      </c>
      <c r="D321" s="46" t="s">
        <v>11840</v>
      </c>
      <c r="E321" s="1757">
        <f>tvl_mechservicing_nc2_f_psrs_2021</f>
        <v>0</v>
      </c>
      <c r="F321" s="46" t="b">
        <v>1</v>
      </c>
    </row>
    <row r="322" spans="1:6">
      <c r="A322" s="1757" t="s">
        <v>2627</v>
      </c>
      <c r="B322" s="46" t="s">
        <v>11262</v>
      </c>
      <c r="C322" s="1757" t="s">
        <v>2627</v>
      </c>
      <c r="D322" s="46" t="s">
        <v>11559</v>
      </c>
      <c r="E322" s="1757">
        <f>tvl_motorcyclservicing_nc2_m_tkrs_2021</f>
        <v>0</v>
      </c>
      <c r="F322" s="46" t="b">
        <v>1</v>
      </c>
    </row>
    <row r="323" spans="1:6">
      <c r="A323" s="1757" t="s">
        <v>2628</v>
      </c>
      <c r="B323" s="46" t="s">
        <v>11262</v>
      </c>
      <c r="C323" s="1757" t="s">
        <v>2628</v>
      </c>
      <c r="D323" s="46" t="s">
        <v>11653</v>
      </c>
      <c r="E323" s="1757">
        <f>tvl_motorcyclservicing_nc2_f_tkrs_2021</f>
        <v>0</v>
      </c>
      <c r="F323" s="46" t="b">
        <v>1</v>
      </c>
    </row>
    <row r="324" spans="1:6">
      <c r="A324" s="1757" t="s">
        <v>2629</v>
      </c>
      <c r="B324" s="46" t="s">
        <v>11262</v>
      </c>
      <c r="C324" s="1757" t="s">
        <v>2629</v>
      </c>
      <c r="D324" s="46" t="s">
        <v>11747</v>
      </c>
      <c r="E324" s="1757">
        <f>tvl_motorcyclservicing_nc2_m_psrs_2021</f>
        <v>0</v>
      </c>
      <c r="F324" s="46" t="b">
        <v>1</v>
      </c>
    </row>
    <row r="325" spans="1:6">
      <c r="A325" s="1757" t="s">
        <v>2630</v>
      </c>
      <c r="B325" s="46" t="s">
        <v>11262</v>
      </c>
      <c r="C325" s="1757" t="s">
        <v>2630</v>
      </c>
      <c r="D325" s="46" t="s">
        <v>11841</v>
      </c>
      <c r="E325" s="1757">
        <f>tvl_motorcyclservicing_nc2_f_psrs_2021</f>
        <v>0</v>
      </c>
      <c r="F325" s="46" t="b">
        <v>1</v>
      </c>
    </row>
    <row r="326" spans="1:6">
      <c r="A326" s="1757" t="s">
        <v>2631</v>
      </c>
      <c r="B326" s="46" t="s">
        <v>11262</v>
      </c>
      <c r="C326" s="1757" t="s">
        <v>2631</v>
      </c>
      <c r="D326" s="46" t="s">
        <v>11560</v>
      </c>
      <c r="E326" s="1757">
        <f>tvl_plumbing_nc1_m_tkrs_2021</f>
        <v>0</v>
      </c>
      <c r="F326" s="46" t="b">
        <v>1</v>
      </c>
    </row>
    <row r="327" spans="1:6">
      <c r="A327" s="1757" t="s">
        <v>2632</v>
      </c>
      <c r="B327" s="46" t="s">
        <v>11262</v>
      </c>
      <c r="C327" s="1757" t="s">
        <v>2632</v>
      </c>
      <c r="D327" s="46" t="s">
        <v>11654</v>
      </c>
      <c r="E327" s="1757">
        <f>tvl_plumbing_nc1_f_tkrs_2021</f>
        <v>0</v>
      </c>
      <c r="F327" s="46" t="b">
        <v>1</v>
      </c>
    </row>
    <row r="328" spans="1:6">
      <c r="A328" s="1757" t="s">
        <v>2633</v>
      </c>
      <c r="B328" s="46" t="s">
        <v>11262</v>
      </c>
      <c r="C328" s="1757" t="s">
        <v>2633</v>
      </c>
      <c r="D328" s="46" t="s">
        <v>11748</v>
      </c>
      <c r="E328" s="1757">
        <f>tvl_plumbing_nc1_m_psrs_2021</f>
        <v>0</v>
      </c>
      <c r="F328" s="46" t="b">
        <v>1</v>
      </c>
    </row>
    <row r="329" spans="1:6">
      <c r="A329" s="1757" t="s">
        <v>2634</v>
      </c>
      <c r="B329" s="46" t="s">
        <v>11262</v>
      </c>
      <c r="C329" s="1757" t="s">
        <v>2634</v>
      </c>
      <c r="D329" s="46" t="s">
        <v>11842</v>
      </c>
      <c r="E329" s="1757">
        <f>tvl_plumbing_nc1_f_psrs_2021</f>
        <v>0</v>
      </c>
      <c r="F329" s="46" t="b">
        <v>1</v>
      </c>
    </row>
    <row r="330" spans="1:6">
      <c r="A330" s="1757" t="s">
        <v>2635</v>
      </c>
      <c r="B330" s="46" t="s">
        <v>11262</v>
      </c>
      <c r="C330" s="1757" t="s">
        <v>2635</v>
      </c>
      <c r="D330" s="46" t="s">
        <v>11561</v>
      </c>
      <c r="E330" s="1757">
        <f>tvl_plumbing_nc2_m_tkrs_2021</f>
        <v>0</v>
      </c>
      <c r="F330" s="46" t="b">
        <v>1</v>
      </c>
    </row>
    <row r="331" spans="1:6">
      <c r="A331" s="1757" t="s">
        <v>2636</v>
      </c>
      <c r="B331" s="46" t="s">
        <v>11262</v>
      </c>
      <c r="C331" s="1757" t="s">
        <v>2636</v>
      </c>
      <c r="D331" s="46" t="s">
        <v>11655</v>
      </c>
      <c r="E331" s="1757">
        <f>tvl_plumbing_nc2_f_tkrs_2021</f>
        <v>0</v>
      </c>
      <c r="F331" s="46" t="b">
        <v>1</v>
      </c>
    </row>
    <row r="332" spans="1:6">
      <c r="A332" s="1757" t="s">
        <v>2637</v>
      </c>
      <c r="B332" s="46" t="s">
        <v>11262</v>
      </c>
      <c r="C332" s="1757" t="s">
        <v>2637</v>
      </c>
      <c r="D332" s="46" t="s">
        <v>11749</v>
      </c>
      <c r="E332" s="1757">
        <f>tvl_plumbing_nc2_m_psrs_2021</f>
        <v>0</v>
      </c>
      <c r="F332" s="46" t="b">
        <v>1</v>
      </c>
    </row>
    <row r="333" spans="1:6">
      <c r="A333" s="1757" t="s">
        <v>2638</v>
      </c>
      <c r="B333" s="46" t="s">
        <v>11262</v>
      </c>
      <c r="C333" s="1757" t="s">
        <v>2638</v>
      </c>
      <c r="D333" s="46" t="s">
        <v>11843</v>
      </c>
      <c r="E333" s="1757">
        <f>tvl_plumbing_nc2_f_psrs_2021</f>
        <v>0</v>
      </c>
      <c r="F333" s="46" t="b">
        <v>1</v>
      </c>
    </row>
    <row r="334" spans="1:6">
      <c r="A334" s="1757" t="s">
        <v>2639</v>
      </c>
      <c r="B334" s="46" t="s">
        <v>11262</v>
      </c>
      <c r="C334" s="1757" t="s">
        <v>2639</v>
      </c>
      <c r="D334" s="46" t="s">
        <v>11562</v>
      </c>
      <c r="E334" s="1757">
        <f>tvl_refnairconservicing_nc3_m_tkrs_2021</f>
        <v>0</v>
      </c>
      <c r="F334" s="46" t="b">
        <v>1</v>
      </c>
    </row>
    <row r="335" spans="1:6">
      <c r="A335" s="1757" t="s">
        <v>2640</v>
      </c>
      <c r="B335" s="46" t="s">
        <v>11262</v>
      </c>
      <c r="C335" s="1757" t="s">
        <v>2640</v>
      </c>
      <c r="D335" s="46" t="s">
        <v>11656</v>
      </c>
      <c r="E335" s="1757">
        <f>tvl_refnairconservicing_nc3_f_tkrs_2021</f>
        <v>0</v>
      </c>
      <c r="F335" s="46" t="b">
        <v>1</v>
      </c>
    </row>
    <row r="336" spans="1:6">
      <c r="A336" s="1757" t="s">
        <v>2641</v>
      </c>
      <c r="B336" s="46" t="s">
        <v>11262</v>
      </c>
      <c r="C336" s="1757" t="s">
        <v>2641</v>
      </c>
      <c r="D336" s="46" t="s">
        <v>11750</v>
      </c>
      <c r="E336" s="1757">
        <f>tvl_refnairconservicing_nc3_m_psrs_2021</f>
        <v>0</v>
      </c>
      <c r="F336" s="46" t="b">
        <v>1</v>
      </c>
    </row>
    <row r="337" spans="1:6">
      <c r="A337" s="1757" t="s">
        <v>2642</v>
      </c>
      <c r="B337" s="46" t="s">
        <v>11262</v>
      </c>
      <c r="C337" s="1757" t="s">
        <v>2642</v>
      </c>
      <c r="D337" s="46" t="s">
        <v>11844</v>
      </c>
      <c r="E337" s="1757">
        <f>tvl_refnairconservicing_nc3_f_psrs_2021</f>
        <v>0</v>
      </c>
      <c r="F337" s="46" t="b">
        <v>1</v>
      </c>
    </row>
    <row r="338" spans="1:6">
      <c r="A338" s="1757" t="s">
        <v>2643</v>
      </c>
      <c r="B338" s="46" t="s">
        <v>11262</v>
      </c>
      <c r="C338" s="1757" t="s">
        <v>2643</v>
      </c>
      <c r="D338" s="46" t="s">
        <v>11563</v>
      </c>
      <c r="E338" s="1757">
        <f>tvl_shieldedmetalwelding_nc1_m_tkrs_2021</f>
        <v>0</v>
      </c>
      <c r="F338" s="46" t="b">
        <v>1</v>
      </c>
    </row>
    <row r="339" spans="1:6">
      <c r="A339" s="1757" t="s">
        <v>2644</v>
      </c>
      <c r="B339" s="46" t="s">
        <v>11262</v>
      </c>
      <c r="C339" s="1757" t="s">
        <v>2644</v>
      </c>
      <c r="D339" s="46" t="s">
        <v>11657</v>
      </c>
      <c r="E339" s="1757">
        <f>tvl_shieldedmetalwelding_nc1_f_tkrs_2021</f>
        <v>0</v>
      </c>
      <c r="F339" s="46" t="b">
        <v>1</v>
      </c>
    </row>
    <row r="340" spans="1:6">
      <c r="A340" s="1757" t="s">
        <v>2645</v>
      </c>
      <c r="B340" s="46" t="s">
        <v>11262</v>
      </c>
      <c r="C340" s="1757" t="s">
        <v>2645</v>
      </c>
      <c r="D340" s="46" t="s">
        <v>11751</v>
      </c>
      <c r="E340" s="1757">
        <f>tvl_shieldedmetalwelding_nc1_m_psrs_2021</f>
        <v>0</v>
      </c>
      <c r="F340" s="46" t="b">
        <v>1</v>
      </c>
    </row>
    <row r="341" spans="1:6">
      <c r="A341" s="1757" t="s">
        <v>2646</v>
      </c>
      <c r="B341" s="46" t="s">
        <v>11262</v>
      </c>
      <c r="C341" s="1757" t="s">
        <v>2646</v>
      </c>
      <c r="D341" s="46" t="s">
        <v>11845</v>
      </c>
      <c r="E341" s="1757">
        <f>tvl_shieldedmetalwelding_nc1_f_psrs_2021</f>
        <v>0</v>
      </c>
      <c r="F341" s="46" t="b">
        <v>1</v>
      </c>
    </row>
    <row r="342" spans="1:6">
      <c r="A342" s="1757" t="s">
        <v>2647</v>
      </c>
      <c r="B342" s="46" t="s">
        <v>11262</v>
      </c>
      <c r="C342" s="1757" t="s">
        <v>2647</v>
      </c>
      <c r="D342" s="46" t="s">
        <v>11564</v>
      </c>
      <c r="E342" s="1757">
        <f>tvl_shieldedmetalwelding_nc2_m_tkrs_2021</f>
        <v>0</v>
      </c>
      <c r="F342" s="46" t="b">
        <v>1</v>
      </c>
    </row>
    <row r="343" spans="1:6">
      <c r="A343" s="1757" t="s">
        <v>2648</v>
      </c>
      <c r="B343" s="46" t="s">
        <v>11262</v>
      </c>
      <c r="C343" s="1757" t="s">
        <v>2648</v>
      </c>
      <c r="D343" s="46" t="s">
        <v>11658</v>
      </c>
      <c r="E343" s="1757">
        <f>tvl_shieldedmetalwelding_nc2_f_tkrs_2021</f>
        <v>0</v>
      </c>
      <c r="F343" s="46" t="b">
        <v>1</v>
      </c>
    </row>
    <row r="344" spans="1:6">
      <c r="A344" s="1757" t="s">
        <v>2649</v>
      </c>
      <c r="B344" s="46" t="s">
        <v>11262</v>
      </c>
      <c r="C344" s="1757" t="s">
        <v>2649</v>
      </c>
      <c r="D344" s="46" t="s">
        <v>11752</v>
      </c>
      <c r="E344" s="1757">
        <f>tvl_shieldedmetalwelding_nc2_m_psrs_2021</f>
        <v>0</v>
      </c>
      <c r="F344" s="46" t="b">
        <v>1</v>
      </c>
    </row>
    <row r="345" spans="1:6">
      <c r="A345" s="1757" t="s">
        <v>2650</v>
      </c>
      <c r="B345" s="46" t="s">
        <v>11262</v>
      </c>
      <c r="C345" s="1757" t="s">
        <v>2650</v>
      </c>
      <c r="D345" s="46" t="s">
        <v>11846</v>
      </c>
      <c r="E345" s="1757">
        <f>tvl_shieldedmetalwelding_nc2_f_psrs_2021</f>
        <v>0</v>
      </c>
      <c r="F345" s="46" t="b">
        <v>1</v>
      </c>
    </row>
    <row r="346" spans="1:6">
      <c r="A346" s="1757" t="s">
        <v>2651</v>
      </c>
      <c r="B346" s="46" t="s">
        <v>11262</v>
      </c>
      <c r="C346" s="1757" t="s">
        <v>2651</v>
      </c>
      <c r="D346" s="46" t="s">
        <v>11565</v>
      </c>
      <c r="E346" s="1757">
        <f>tvl_tilesetting_nc2_m_tkrs_2021</f>
        <v>0</v>
      </c>
      <c r="F346" s="46" t="b">
        <v>1</v>
      </c>
    </row>
    <row r="347" spans="1:6">
      <c r="A347" s="1757" t="s">
        <v>2652</v>
      </c>
      <c r="B347" s="46" t="s">
        <v>11262</v>
      </c>
      <c r="C347" s="1757" t="s">
        <v>2652</v>
      </c>
      <c r="D347" s="46" t="s">
        <v>11659</v>
      </c>
      <c r="E347" s="1757">
        <f>tvl_tilesetting_nc2_f_tkrs_2021</f>
        <v>0</v>
      </c>
      <c r="F347" s="46" t="b">
        <v>1</v>
      </c>
    </row>
    <row r="348" spans="1:6">
      <c r="A348" s="1757" t="s">
        <v>2653</v>
      </c>
      <c r="B348" s="46" t="s">
        <v>11262</v>
      </c>
      <c r="C348" s="1757" t="s">
        <v>2653</v>
      </c>
      <c r="D348" s="46" t="s">
        <v>11753</v>
      </c>
      <c r="E348" s="1757">
        <f>tvl_tilesetting_nc2_m_psrs_2021</f>
        <v>0</v>
      </c>
      <c r="F348" s="46" t="b">
        <v>1</v>
      </c>
    </row>
    <row r="349" spans="1:6">
      <c r="A349" s="1757" t="s">
        <v>2654</v>
      </c>
      <c r="B349" s="46" t="s">
        <v>11262</v>
      </c>
      <c r="C349" s="1757" t="s">
        <v>2654</v>
      </c>
      <c r="D349" s="46" t="s">
        <v>11847</v>
      </c>
      <c r="E349" s="1757">
        <f>tvl_tilesetting_nc2_f_psrs_2021</f>
        <v>0</v>
      </c>
      <c r="F349" s="46" t="b">
        <v>1</v>
      </c>
    </row>
    <row r="350" spans="1:6">
      <c r="A350" s="1757" t="s">
        <v>2655</v>
      </c>
      <c r="B350" s="46" t="s">
        <v>11262</v>
      </c>
      <c r="C350" s="1757" t="s">
        <v>2655</v>
      </c>
      <c r="D350" s="46" t="s">
        <v>11566</v>
      </c>
      <c r="E350" s="1757">
        <f>tvl_translineinstallation_nc2_m_tkrs_2021</f>
        <v>0</v>
      </c>
      <c r="F350" s="46" t="b">
        <v>1</v>
      </c>
    </row>
    <row r="351" spans="1:6">
      <c r="A351" s="1757" t="s">
        <v>2656</v>
      </c>
      <c r="B351" s="46" t="s">
        <v>11262</v>
      </c>
      <c r="C351" s="1757" t="s">
        <v>2656</v>
      </c>
      <c r="D351" s="46" t="s">
        <v>11660</v>
      </c>
      <c r="E351" s="1757">
        <f>tvl_translineinstallation_nc2_f_tkrs_2021</f>
        <v>0</v>
      </c>
      <c r="F351" s="46" t="b">
        <v>1</v>
      </c>
    </row>
    <row r="352" spans="1:6">
      <c r="A352" s="1757" t="s">
        <v>2657</v>
      </c>
      <c r="B352" s="46" t="s">
        <v>11262</v>
      </c>
      <c r="C352" s="1757" t="s">
        <v>2657</v>
      </c>
      <c r="D352" s="46" t="s">
        <v>11754</v>
      </c>
      <c r="E352" s="1757">
        <f>tvl_translineinstallation_nc2_m_psrs_2021</f>
        <v>0</v>
      </c>
      <c r="F352" s="46" t="b">
        <v>1</v>
      </c>
    </row>
    <row r="353" spans="1:6">
      <c r="A353" s="1757" t="s">
        <v>2658</v>
      </c>
      <c r="B353" s="46" t="s">
        <v>11262</v>
      </c>
      <c r="C353" s="1757" t="s">
        <v>2658</v>
      </c>
      <c r="D353" s="46" t="s">
        <v>11848</v>
      </c>
      <c r="E353" s="1757">
        <f>tvl_translineinstallation_nc2_f_psrs_2021</f>
        <v>0</v>
      </c>
      <c r="F353" s="46" t="b">
        <v>1</v>
      </c>
    </row>
    <row r="354" spans="1:6">
      <c r="A354" s="1757" t="s">
        <v>2659</v>
      </c>
      <c r="B354" s="46" t="s">
        <v>11262</v>
      </c>
      <c r="C354" s="1757" t="s">
        <v>2659</v>
      </c>
      <c r="D354" s="46" t="s">
        <v>11567</v>
      </c>
      <c r="E354" s="1757">
        <f>tvl_animation_nc2_m_tkrs_2021</f>
        <v>0</v>
      </c>
      <c r="F354" s="46" t="b">
        <v>1</v>
      </c>
    </row>
    <row r="355" spans="1:6">
      <c r="A355" s="1757" t="s">
        <v>2660</v>
      </c>
      <c r="B355" s="46" t="s">
        <v>11262</v>
      </c>
      <c r="C355" s="1757" t="s">
        <v>2660</v>
      </c>
      <c r="D355" s="46" t="s">
        <v>11661</v>
      </c>
      <c r="E355" s="1757">
        <f>tvl_animation_nc2_f_tkrs_2021</f>
        <v>0</v>
      </c>
      <c r="F355" s="46" t="b">
        <v>1</v>
      </c>
    </row>
    <row r="356" spans="1:6">
      <c r="A356" s="1757" t="s">
        <v>2661</v>
      </c>
      <c r="B356" s="46" t="s">
        <v>11262</v>
      </c>
      <c r="C356" s="1757" t="s">
        <v>2661</v>
      </c>
      <c r="D356" s="46" t="s">
        <v>11755</v>
      </c>
      <c r="E356" s="1757">
        <f>tvl_animation_nc2_m_psrs_2021</f>
        <v>0</v>
      </c>
      <c r="F356" s="46" t="b">
        <v>1</v>
      </c>
    </row>
    <row r="357" spans="1:6">
      <c r="A357" s="1757" t="s">
        <v>2662</v>
      </c>
      <c r="B357" s="46" t="s">
        <v>11262</v>
      </c>
      <c r="C357" s="1757" t="s">
        <v>2662</v>
      </c>
      <c r="D357" s="46" t="s">
        <v>11849</v>
      </c>
      <c r="E357" s="1757">
        <f>tvl_animation_nc2_f_psrs_2021</f>
        <v>0</v>
      </c>
      <c r="F357" s="46" t="b">
        <v>1</v>
      </c>
    </row>
    <row r="358" spans="1:6">
      <c r="A358" s="1757" t="s">
        <v>2663</v>
      </c>
      <c r="B358" s="46" t="s">
        <v>11262</v>
      </c>
      <c r="C358" s="1757" t="s">
        <v>2663</v>
      </c>
      <c r="D358" s="46" t="s">
        <v>11568</v>
      </c>
      <c r="E358" s="1757">
        <f>tvl_broadbandinsatallation_nc2_m_tkrs_2021</f>
        <v>0</v>
      </c>
      <c r="F358" s="46" t="b">
        <v>1</v>
      </c>
    </row>
    <row r="359" spans="1:6">
      <c r="A359" s="1757" t="s">
        <v>2664</v>
      </c>
      <c r="B359" s="46" t="s">
        <v>11262</v>
      </c>
      <c r="C359" s="1757" t="s">
        <v>2664</v>
      </c>
      <c r="D359" s="46" t="s">
        <v>11662</v>
      </c>
      <c r="E359" s="1757">
        <f>tvl_broadbandinsatallation_nc2_f_tkrs_2021</f>
        <v>0</v>
      </c>
      <c r="F359" s="46" t="b">
        <v>1</v>
      </c>
    </row>
    <row r="360" spans="1:6">
      <c r="A360" s="1757" t="s">
        <v>2665</v>
      </c>
      <c r="B360" s="46" t="s">
        <v>11262</v>
      </c>
      <c r="C360" s="1757" t="s">
        <v>2665</v>
      </c>
      <c r="D360" s="46" t="s">
        <v>11756</v>
      </c>
      <c r="E360" s="1757">
        <f>tvl_broadbandinsatallation_nc2_m_psrs_2021</f>
        <v>0</v>
      </c>
      <c r="F360" s="46" t="b">
        <v>1</v>
      </c>
    </row>
    <row r="361" spans="1:6">
      <c r="A361" s="1757" t="s">
        <v>2666</v>
      </c>
      <c r="B361" s="46" t="s">
        <v>11262</v>
      </c>
      <c r="C361" s="1757" t="s">
        <v>2666</v>
      </c>
      <c r="D361" s="46" t="s">
        <v>11850</v>
      </c>
      <c r="E361" s="1757">
        <f>tvl_broadbandinsatallation_nc2_f_psrs_2021</f>
        <v>0</v>
      </c>
      <c r="F361" s="46" t="b">
        <v>1</v>
      </c>
    </row>
    <row r="362" spans="1:6">
      <c r="A362" s="1757" t="s">
        <v>2667</v>
      </c>
      <c r="B362" s="46" t="s">
        <v>11262</v>
      </c>
      <c r="C362" s="1757" t="s">
        <v>2667</v>
      </c>
      <c r="D362" s="46" t="s">
        <v>11569</v>
      </c>
      <c r="E362" s="1757">
        <f>tvl_compprogrammingnettech_nc3_m_tkrs_2021</f>
        <v>0</v>
      </c>
      <c r="F362" s="46" t="b">
        <v>1</v>
      </c>
    </row>
    <row r="363" spans="1:6">
      <c r="A363" s="1757" t="s">
        <v>2668</v>
      </c>
      <c r="B363" s="46" t="s">
        <v>11262</v>
      </c>
      <c r="C363" s="1757" t="s">
        <v>2668</v>
      </c>
      <c r="D363" s="46" t="s">
        <v>11663</v>
      </c>
      <c r="E363" s="1757" cm="1">
        <f t="array" ref="E363">tvl_compprogrammingnettech_nc3_f_tkrs_2021</f>
        <v>0</v>
      </c>
      <c r="F363" s="46" t="b">
        <v>1</v>
      </c>
    </row>
    <row r="364" spans="1:6">
      <c r="A364" s="1757" t="s">
        <v>2669</v>
      </c>
      <c r="B364" s="46" t="s">
        <v>11262</v>
      </c>
      <c r="C364" s="1757" t="s">
        <v>2669</v>
      </c>
      <c r="D364" s="46" t="s">
        <v>11757</v>
      </c>
      <c r="E364" s="1757">
        <f>tvl_compprogrammingnettech_nc3_m_psrs_2021</f>
        <v>0</v>
      </c>
      <c r="F364" s="46" t="b">
        <v>1</v>
      </c>
    </row>
    <row r="365" spans="1:6">
      <c r="A365" s="1757" t="s">
        <v>2670</v>
      </c>
      <c r="B365" s="46" t="s">
        <v>11262</v>
      </c>
      <c r="C365" s="1757" t="s">
        <v>2670</v>
      </c>
      <c r="D365" s="46" t="s">
        <v>11851</v>
      </c>
      <c r="E365" s="1757">
        <f>tvl_compprogrammingnettech_nc3_f_psrs_2021</f>
        <v>0</v>
      </c>
      <c r="F365" s="46" t="b">
        <v>1</v>
      </c>
    </row>
    <row r="366" spans="1:6">
      <c r="A366" s="1757" t="s">
        <v>2671</v>
      </c>
      <c r="B366" s="46" t="s">
        <v>11262</v>
      </c>
      <c r="C366" s="1757" t="s">
        <v>2671</v>
      </c>
      <c r="D366" s="46" t="s">
        <v>11570</v>
      </c>
      <c r="E366" s="1757">
        <f>tvl_compprogrammingjava_nc3_m_tkrs_2021</f>
        <v>0</v>
      </c>
      <c r="F366" s="46" t="b">
        <v>1</v>
      </c>
    </row>
    <row r="367" spans="1:6">
      <c r="A367" s="1757" t="s">
        <v>2672</v>
      </c>
      <c r="B367" s="46" t="s">
        <v>11262</v>
      </c>
      <c r="C367" s="1757" t="s">
        <v>2672</v>
      </c>
      <c r="D367" s="46" t="s">
        <v>11664</v>
      </c>
      <c r="E367" s="1757" cm="1">
        <f t="array" ref="E367">tvl_compprogrammingjava_nc3_f_tkrs_2021</f>
        <v>0</v>
      </c>
      <c r="F367" s="46" t="b">
        <v>1</v>
      </c>
    </row>
    <row r="368" spans="1:6">
      <c r="A368" s="1757" t="s">
        <v>2673</v>
      </c>
      <c r="B368" s="46" t="s">
        <v>11262</v>
      </c>
      <c r="C368" s="1757" t="s">
        <v>2673</v>
      </c>
      <c r="D368" s="46" t="s">
        <v>11758</v>
      </c>
      <c r="E368" s="1757">
        <f>tvl_compprogrammingjava_nc3_m_psrs_2021</f>
        <v>0</v>
      </c>
      <c r="F368" s="46" t="b">
        <v>1</v>
      </c>
    </row>
    <row r="369" spans="1:6">
      <c r="A369" s="1757" t="s">
        <v>2674</v>
      </c>
      <c r="B369" s="46" t="s">
        <v>11262</v>
      </c>
      <c r="C369" s="1757" t="s">
        <v>2674</v>
      </c>
      <c r="D369" s="46" t="s">
        <v>11852</v>
      </c>
      <c r="E369" s="1757">
        <f>tvl_compprogrammingjava_nc3_f_psrs_2021</f>
        <v>0</v>
      </c>
      <c r="F369" s="46" t="b">
        <v>1</v>
      </c>
    </row>
    <row r="370" spans="1:6">
      <c r="A370" s="1757" t="s">
        <v>2675</v>
      </c>
      <c r="B370" s="46" t="s">
        <v>11262</v>
      </c>
      <c r="C370" s="1757" t="s">
        <v>2675</v>
      </c>
      <c r="D370" s="46" t="s">
        <v>11571</v>
      </c>
      <c r="E370" s="1757">
        <f>tvl_compprogrammingoracle_nc3_m_tkrs_2021</f>
        <v>0</v>
      </c>
      <c r="F370" s="46" t="b">
        <v>1</v>
      </c>
    </row>
    <row r="371" spans="1:6">
      <c r="A371" s="1757" t="s">
        <v>2676</v>
      </c>
      <c r="B371" s="46" t="s">
        <v>11262</v>
      </c>
      <c r="C371" s="1757" t="s">
        <v>2676</v>
      </c>
      <c r="D371" s="46" t="s">
        <v>11665</v>
      </c>
      <c r="E371" s="1757" cm="1">
        <f t="array" ref="E371">tvl_compprogrammingoracle_nc3_f_tkrs_2021</f>
        <v>0</v>
      </c>
      <c r="F371" s="46" t="b">
        <v>1</v>
      </c>
    </row>
    <row r="372" spans="1:6">
      <c r="A372" s="1757" t="s">
        <v>2677</v>
      </c>
      <c r="B372" s="46" t="s">
        <v>11262</v>
      </c>
      <c r="C372" s="1757" t="s">
        <v>2677</v>
      </c>
      <c r="D372" s="46" t="s">
        <v>11759</v>
      </c>
      <c r="E372" s="1757">
        <f>tvl_compprogrammingoracle_nc3_m_psrs_2021</f>
        <v>0</v>
      </c>
      <c r="F372" s="46" t="b">
        <v>1</v>
      </c>
    </row>
    <row r="373" spans="1:6">
      <c r="A373" s="1757" t="s">
        <v>2678</v>
      </c>
      <c r="B373" s="46" t="s">
        <v>11262</v>
      </c>
      <c r="C373" s="1757" t="s">
        <v>2678</v>
      </c>
      <c r="D373" s="46" t="s">
        <v>11853</v>
      </c>
      <c r="E373" s="1757">
        <f>tvl_compprogrammingoracle_nc3_f_psrs_2021</f>
        <v>0</v>
      </c>
      <c r="F373" s="46" t="b">
        <v>1</v>
      </c>
    </row>
    <row r="374" spans="1:6">
      <c r="A374" s="1757" t="s">
        <v>2679</v>
      </c>
      <c r="B374" s="46" t="s">
        <v>11262</v>
      </c>
      <c r="C374" s="1757" t="s">
        <v>2679</v>
      </c>
      <c r="D374" s="46" t="s">
        <v>11572</v>
      </c>
      <c r="E374" s="1757">
        <f>tvl_compsystemservicing_nc2_m_tkrs_2021</f>
        <v>0</v>
      </c>
      <c r="F374" s="46" t="b">
        <v>1</v>
      </c>
    </row>
    <row r="375" spans="1:6">
      <c r="A375" s="1757" t="s">
        <v>2680</v>
      </c>
      <c r="B375" s="46" t="s">
        <v>11262</v>
      </c>
      <c r="C375" s="1757" t="s">
        <v>2680</v>
      </c>
      <c r="D375" s="46" t="s">
        <v>11666</v>
      </c>
      <c r="E375" s="1757" cm="1">
        <f t="array" ref="E375">tvl_compsystemservicing_nc2_f_tkrs_2021</f>
        <v>0</v>
      </c>
      <c r="F375" s="46" t="b">
        <v>1</v>
      </c>
    </row>
    <row r="376" spans="1:6">
      <c r="A376" s="1757" t="s">
        <v>2681</v>
      </c>
      <c r="B376" s="46" t="s">
        <v>11262</v>
      </c>
      <c r="C376" s="1757" t="s">
        <v>2681</v>
      </c>
      <c r="D376" s="46" t="s">
        <v>11760</v>
      </c>
      <c r="E376" s="1757">
        <f>tvl_compsystemservicing_nc2_m_psrs_2021</f>
        <v>0</v>
      </c>
      <c r="F376" s="46" t="b">
        <v>1</v>
      </c>
    </row>
    <row r="377" spans="1:6">
      <c r="A377" s="1757" t="s">
        <v>2682</v>
      </c>
      <c r="B377" s="46" t="s">
        <v>11262</v>
      </c>
      <c r="C377" s="1757" t="s">
        <v>2682</v>
      </c>
      <c r="D377" s="46" t="s">
        <v>11854</v>
      </c>
      <c r="E377" s="1757">
        <f>tvl_compsystemservicing_nc2_f_psrs_2021</f>
        <v>0</v>
      </c>
      <c r="F377" s="46" t="b">
        <v>1</v>
      </c>
    </row>
    <row r="378" spans="1:6">
      <c r="A378" s="1757" t="s">
        <v>2683</v>
      </c>
      <c r="B378" s="46" t="s">
        <v>11262</v>
      </c>
      <c r="C378" s="1757" t="s">
        <v>2683</v>
      </c>
      <c r="D378" s="46" t="s">
        <v>11573</v>
      </c>
      <c r="E378" s="1757">
        <f>tvl_contactcenterservices_nc2_m_tkrs_2021</f>
        <v>0</v>
      </c>
      <c r="F378" s="46" t="b">
        <v>1</v>
      </c>
    </row>
    <row r="379" spans="1:6">
      <c r="A379" s="1757" t="s">
        <v>2684</v>
      </c>
      <c r="B379" s="46" t="s">
        <v>11262</v>
      </c>
      <c r="C379" s="1757" t="s">
        <v>2684</v>
      </c>
      <c r="D379" s="46" t="s">
        <v>11667</v>
      </c>
      <c r="E379" s="1757" cm="1">
        <f t="array" ref="E379">tvl_contactcenterservices_nc2_f_tkrs_2021</f>
        <v>0</v>
      </c>
      <c r="F379" s="46" t="b">
        <v>1</v>
      </c>
    </row>
    <row r="380" spans="1:6">
      <c r="A380" s="1757" t="s">
        <v>2685</v>
      </c>
      <c r="B380" s="46" t="s">
        <v>11262</v>
      </c>
      <c r="C380" s="1757" t="s">
        <v>2685</v>
      </c>
      <c r="D380" s="46" t="s">
        <v>11761</v>
      </c>
      <c r="E380" s="1757">
        <f>tvl_contactcenterservices_nc2_m_psrs_2021</f>
        <v>0</v>
      </c>
      <c r="F380" s="46" t="b">
        <v>1</v>
      </c>
    </row>
    <row r="381" spans="1:6">
      <c r="A381" s="1757" t="s">
        <v>2686</v>
      </c>
      <c r="B381" s="46" t="s">
        <v>11262</v>
      </c>
      <c r="C381" s="1757" t="s">
        <v>2686</v>
      </c>
      <c r="D381" s="46" t="s">
        <v>11855</v>
      </c>
      <c r="E381" s="1757">
        <f>tvl_contactcenterservices_nc2_f_psrs_2021</f>
        <v>0</v>
      </c>
      <c r="F381" s="46" t="b">
        <v>1</v>
      </c>
    </row>
    <row r="382" spans="1:6">
      <c r="A382" s="1757" t="s">
        <v>2687</v>
      </c>
      <c r="B382" s="46" t="s">
        <v>11262</v>
      </c>
      <c r="C382" s="1757" t="s">
        <v>2687</v>
      </c>
      <c r="D382" s="46" t="s">
        <v>11574</v>
      </c>
      <c r="E382" s="1757">
        <f>tvl_illustration_nc2_m_tkrs_2021</f>
        <v>0</v>
      </c>
      <c r="F382" s="46" t="b">
        <v>1</v>
      </c>
    </row>
    <row r="383" spans="1:6">
      <c r="A383" s="1757" t="s">
        <v>2688</v>
      </c>
      <c r="B383" s="46" t="s">
        <v>11262</v>
      </c>
      <c r="C383" s="1757" t="s">
        <v>2688</v>
      </c>
      <c r="D383" s="46" t="s">
        <v>11668</v>
      </c>
      <c r="E383" s="1757" cm="1">
        <f t="array" ref="E383">tvl_illustration_nc2_f_tkrs_2021</f>
        <v>0</v>
      </c>
      <c r="F383" s="46" t="b">
        <v>1</v>
      </c>
    </row>
    <row r="384" spans="1:6">
      <c r="A384" s="1757" t="s">
        <v>2689</v>
      </c>
      <c r="B384" s="46" t="s">
        <v>11262</v>
      </c>
      <c r="C384" s="1757" t="s">
        <v>2689</v>
      </c>
      <c r="D384" s="46" t="s">
        <v>11762</v>
      </c>
      <c r="E384" s="1757">
        <f>tvl_illustration_nc2_m_psrs_2021</f>
        <v>0</v>
      </c>
      <c r="F384" s="46" t="b">
        <v>1</v>
      </c>
    </row>
    <row r="385" spans="1:6">
      <c r="A385" s="1757" t="s">
        <v>2690</v>
      </c>
      <c r="B385" s="46" t="s">
        <v>11262</v>
      </c>
      <c r="C385" s="1757" t="s">
        <v>2690</v>
      </c>
      <c r="D385" s="46" t="s">
        <v>11856</v>
      </c>
      <c r="E385" s="1757">
        <f>tvl_illustration_nc2_f_psrs_2021</f>
        <v>0</v>
      </c>
      <c r="F385" s="46" t="b">
        <v>1</v>
      </c>
    </row>
    <row r="386" spans="1:6">
      <c r="A386" s="1757" t="s">
        <v>2691</v>
      </c>
      <c r="B386" s="46" t="s">
        <v>11262</v>
      </c>
      <c r="C386" s="1757" t="s">
        <v>2691</v>
      </c>
      <c r="D386" s="46" t="s">
        <v>11575</v>
      </c>
      <c r="E386" s="1757">
        <f>tvl_medicaltranscription_nc2_m_tkrs_2021</f>
        <v>0</v>
      </c>
      <c r="F386" s="46" t="b">
        <v>1</v>
      </c>
    </row>
    <row r="387" spans="1:6">
      <c r="A387" s="1757" t="s">
        <v>2692</v>
      </c>
      <c r="B387" s="46" t="s">
        <v>11262</v>
      </c>
      <c r="C387" s="1757" t="s">
        <v>2692</v>
      </c>
      <c r="D387" s="46" t="s">
        <v>11669</v>
      </c>
      <c r="E387" s="1757" cm="1">
        <f t="array" ref="E387">tvl_medicaltranscription_nc2_f_tkrs_2021</f>
        <v>0</v>
      </c>
      <c r="F387" s="46" t="b">
        <v>1</v>
      </c>
    </row>
    <row r="388" spans="1:6">
      <c r="A388" s="1757" t="s">
        <v>2693</v>
      </c>
      <c r="B388" s="46" t="s">
        <v>11262</v>
      </c>
      <c r="C388" s="1757" t="s">
        <v>2693</v>
      </c>
      <c r="D388" s="46" t="s">
        <v>11763</v>
      </c>
      <c r="E388" s="1757">
        <f>tvl_medicaltranscription_nc2_m_psrs_2021</f>
        <v>0</v>
      </c>
      <c r="F388" s="46" t="b">
        <v>1</v>
      </c>
    </row>
    <row r="389" spans="1:6">
      <c r="A389" s="1757" t="s">
        <v>2694</v>
      </c>
      <c r="B389" s="46" t="s">
        <v>11262</v>
      </c>
      <c r="C389" s="1757" t="s">
        <v>2694</v>
      </c>
      <c r="D389" s="46" t="s">
        <v>11857</v>
      </c>
      <c r="E389" s="1757">
        <f>tvl_medicaltranscription_nc2_f_psrs_2021</f>
        <v>0</v>
      </c>
      <c r="F389" s="46" t="b">
        <v>1</v>
      </c>
    </row>
    <row r="390" spans="1:6">
      <c r="A390" s="1757" t="s">
        <v>2695</v>
      </c>
      <c r="B390" s="46" t="s">
        <v>11262</v>
      </c>
      <c r="C390" s="1757" t="s">
        <v>2695</v>
      </c>
      <c r="D390" s="46" t="s">
        <v>11576</v>
      </c>
      <c r="E390" s="1757">
        <f>tvl_techdrafting_nc2_m_tkrs_2021</f>
        <v>0</v>
      </c>
      <c r="F390" s="46" t="b">
        <v>1</v>
      </c>
    </row>
    <row r="391" spans="1:6">
      <c r="A391" s="1757" t="s">
        <v>2696</v>
      </c>
      <c r="B391" s="46" t="s">
        <v>11262</v>
      </c>
      <c r="C391" s="1757" t="s">
        <v>2696</v>
      </c>
      <c r="D391" s="46" t="s">
        <v>11670</v>
      </c>
      <c r="E391" s="1757" cm="1">
        <f t="array" ref="E391">tvl_techdrafting_nc2_f_tkrs_2021</f>
        <v>0</v>
      </c>
      <c r="F391" s="46" t="b">
        <v>1</v>
      </c>
    </row>
    <row r="392" spans="1:6">
      <c r="A392" s="1757" t="s">
        <v>2697</v>
      </c>
      <c r="B392" s="46" t="s">
        <v>11262</v>
      </c>
      <c r="C392" s="1757" t="s">
        <v>2697</v>
      </c>
      <c r="D392" s="46" t="s">
        <v>11764</v>
      </c>
      <c r="E392" s="1757">
        <f>tvl_techdrafting_nc2_m_psrs_2021</f>
        <v>0</v>
      </c>
      <c r="F392" s="46" t="b">
        <v>1</v>
      </c>
    </row>
    <row r="393" spans="1:6">
      <c r="A393" s="1757" t="s">
        <v>2698</v>
      </c>
      <c r="B393" s="46" t="s">
        <v>11262</v>
      </c>
      <c r="C393" s="1757" t="s">
        <v>2698</v>
      </c>
      <c r="D393" s="46" t="s">
        <v>11858</v>
      </c>
      <c r="E393" s="1757">
        <f>tvl_techdrafting_nc2_f_psrs_2021</f>
        <v>0</v>
      </c>
      <c r="F393" s="46" t="b">
        <v>1</v>
      </c>
    </row>
    <row r="394" spans="1:6">
      <c r="A394" s="1757" t="s">
        <v>2699</v>
      </c>
      <c r="B394" s="46" t="s">
        <v>11262</v>
      </c>
      <c r="C394" s="1757" t="s">
        <v>2699</v>
      </c>
      <c r="D394" s="46" t="s">
        <v>11577</v>
      </c>
      <c r="E394" s="1757">
        <f>tvl_telcomospnsubslineinst_nc2_m_tkrs_2021</f>
        <v>0</v>
      </c>
      <c r="F394" s="46" t="b">
        <v>1</v>
      </c>
    </row>
    <row r="395" spans="1:6">
      <c r="A395" s="1757" t="s">
        <v>2700</v>
      </c>
      <c r="B395" s="46" t="s">
        <v>11262</v>
      </c>
      <c r="C395" s="1757" t="s">
        <v>2700</v>
      </c>
      <c r="D395" s="46" t="s">
        <v>11671</v>
      </c>
      <c r="E395" s="1757" cm="1">
        <f t="array" ref="E395">tvl_telcomospnsubslineinst_nc2_f_tkrs_2021</f>
        <v>0</v>
      </c>
      <c r="F395" s="46" t="b">
        <v>1</v>
      </c>
    </row>
    <row r="396" spans="1:6">
      <c r="A396" s="1757" t="s">
        <v>2701</v>
      </c>
      <c r="B396" s="46" t="s">
        <v>11262</v>
      </c>
      <c r="C396" s="1757" t="s">
        <v>2701</v>
      </c>
      <c r="D396" s="46" t="s">
        <v>11765</v>
      </c>
      <c r="E396" s="1757">
        <f>tvl_telcomospnsubslineinst_nc2_m_psrs_2021</f>
        <v>0</v>
      </c>
      <c r="F396" s="46" t="b">
        <v>1</v>
      </c>
    </row>
    <row r="397" spans="1:6">
      <c r="A397" s="1757" t="s">
        <v>2702</v>
      </c>
      <c r="B397" s="46" t="s">
        <v>11262</v>
      </c>
      <c r="C397" s="1757" t="s">
        <v>2702</v>
      </c>
      <c r="D397" s="46" t="s">
        <v>11859</v>
      </c>
      <c r="E397" s="1757">
        <f>tvl_telcomospnsubslineinst_nc2_f_psrs_2021</f>
        <v>0</v>
      </c>
      <c r="F397" s="46" t="b">
        <v>1</v>
      </c>
    </row>
    <row r="398" spans="1:6">
      <c r="A398" s="1757" t="s">
        <v>2703</v>
      </c>
      <c r="B398" s="46" t="s">
        <v>11262</v>
      </c>
      <c r="C398" s="1757" t="s">
        <v>2703</v>
      </c>
      <c r="D398" s="46" t="s">
        <v>11578</v>
      </c>
      <c r="E398" s="1757">
        <f>tvl_telcomospinstfiber_nc2_m_tkrs_2021</f>
        <v>0</v>
      </c>
      <c r="F398" s="46" t="b">
        <v>1</v>
      </c>
    </row>
    <row r="399" spans="1:6">
      <c r="A399" s="1757" t="s">
        <v>2704</v>
      </c>
      <c r="B399" s="46" t="s">
        <v>11262</v>
      </c>
      <c r="C399" s="1757" t="s">
        <v>2704</v>
      </c>
      <c r="D399" s="46" t="s">
        <v>11672</v>
      </c>
      <c r="E399" s="1757" cm="1">
        <f t="array" ref="E399">tvl_telcomospinstfiber_nc2_f_tkrs_2021</f>
        <v>0</v>
      </c>
      <c r="F399" s="46" t="b">
        <v>1</v>
      </c>
    </row>
    <row r="400" spans="1:6">
      <c r="A400" s="1757" t="s">
        <v>2705</v>
      </c>
      <c r="B400" s="46" t="s">
        <v>11262</v>
      </c>
      <c r="C400" s="1757" t="s">
        <v>2705</v>
      </c>
      <c r="D400" s="46" t="s">
        <v>11766</v>
      </c>
      <c r="E400" s="1757">
        <f>tvl_telcomospinstfiber_nc2_m_psrs_2021</f>
        <v>0</v>
      </c>
      <c r="F400" s="46" t="b">
        <v>1</v>
      </c>
    </row>
    <row r="401" spans="1:6">
      <c r="A401" s="1757" t="s">
        <v>2706</v>
      </c>
      <c r="B401" s="46" t="s">
        <v>11262</v>
      </c>
      <c r="C401" s="1757" t="s">
        <v>2706</v>
      </c>
      <c r="D401" s="46" t="s">
        <v>11860</v>
      </c>
      <c r="E401" s="1757">
        <f>tvl_telcomospinstfiber_nc2_f_psrs_2021</f>
        <v>0</v>
      </c>
      <c r="F401" s="46" t="b">
        <v>1</v>
      </c>
    </row>
    <row r="402" spans="1:6">
      <c r="A402" s="1757" t="s">
        <v>2707</v>
      </c>
      <c r="B402" s="46" t="s">
        <v>11262</v>
      </c>
      <c r="C402" s="1757" t="s">
        <v>2707</v>
      </c>
      <c r="D402" s="46" t="s">
        <v>11579</v>
      </c>
      <c r="E402" s="1757">
        <f>tvl_navigationalwatch1_m_tkrs_2021</f>
        <v>0</v>
      </c>
      <c r="F402" s="46" t="b">
        <v>1</v>
      </c>
    </row>
    <row r="403" spans="1:6">
      <c r="A403" s="1757" t="s">
        <v>2708</v>
      </c>
      <c r="B403" s="46" t="s">
        <v>11262</v>
      </c>
      <c r="C403" s="1757" t="s">
        <v>2708</v>
      </c>
      <c r="D403" s="46" t="s">
        <v>11673</v>
      </c>
      <c r="E403" s="1757" cm="1">
        <f t="array" ref="E403">tvl_navigationalwatch1_f_tkrs_2021</f>
        <v>0</v>
      </c>
      <c r="F403" s="46" t="b">
        <v>1</v>
      </c>
    </row>
    <row r="404" spans="1:6">
      <c r="A404" s="1757" t="s">
        <v>2709</v>
      </c>
      <c r="B404" s="46" t="s">
        <v>11262</v>
      </c>
      <c r="C404" s="1757" t="s">
        <v>2709</v>
      </c>
      <c r="D404" s="46" t="s">
        <v>11767</v>
      </c>
      <c r="E404" s="1757">
        <f>tvl_navigationalwatch1_m_psrs_2021</f>
        <v>0</v>
      </c>
      <c r="F404" s="46" t="b">
        <v>1</v>
      </c>
    </row>
    <row r="405" spans="1:6">
      <c r="A405" s="1757" t="s">
        <v>2710</v>
      </c>
      <c r="B405" s="46" t="s">
        <v>11262</v>
      </c>
      <c r="C405" s="1757" t="s">
        <v>2710</v>
      </c>
      <c r="D405" s="46" t="s">
        <v>11861</v>
      </c>
      <c r="E405" s="1757">
        <f>tvl_navigationalwatch1_f_psrs_2021</f>
        <v>0</v>
      </c>
      <c r="F405" s="46" t="b">
        <v>1</v>
      </c>
    </row>
    <row r="406" spans="1:6">
      <c r="A406" s="1757" t="s">
        <v>2711</v>
      </c>
      <c r="B406" s="46" t="s">
        <v>11262</v>
      </c>
      <c r="C406" s="1757" t="s">
        <v>2711</v>
      </c>
      <c r="D406" s="46" t="s">
        <v>11580</v>
      </c>
      <c r="E406" s="1757">
        <f>tvl_navigationalwatch2_m_tkrs_2021</f>
        <v>0</v>
      </c>
      <c r="F406" s="46" t="b">
        <v>1</v>
      </c>
    </row>
    <row r="407" spans="1:6">
      <c r="A407" s="1757" t="s">
        <v>2712</v>
      </c>
      <c r="B407" s="46" t="s">
        <v>11262</v>
      </c>
      <c r="C407" s="1757" t="s">
        <v>2712</v>
      </c>
      <c r="D407" s="46" t="s">
        <v>11674</v>
      </c>
      <c r="E407" s="1757" cm="1">
        <f t="array" ref="E407">tvl_navigationalwatch2_f_tkrs_2021</f>
        <v>0</v>
      </c>
      <c r="F407" s="46" t="b">
        <v>1</v>
      </c>
    </row>
    <row r="408" spans="1:6">
      <c r="A408" s="1757" t="s">
        <v>2713</v>
      </c>
      <c r="B408" s="46" t="s">
        <v>11262</v>
      </c>
      <c r="C408" s="1757" t="s">
        <v>2713</v>
      </c>
      <c r="D408" s="46" t="s">
        <v>11768</v>
      </c>
      <c r="E408" s="1757">
        <f>tvl_navigationalwatch2_m_psrs_2021</f>
        <v>0</v>
      </c>
      <c r="F408" s="46" t="b">
        <v>1</v>
      </c>
    </row>
    <row r="409" spans="1:6">
      <c r="A409" s="1757" t="s">
        <v>2714</v>
      </c>
      <c r="B409" s="46" t="s">
        <v>11262</v>
      </c>
      <c r="C409" s="1757" t="s">
        <v>2714</v>
      </c>
      <c r="D409" s="46" t="s">
        <v>11862</v>
      </c>
      <c r="E409" s="1757">
        <f>tvl_navigationalwatch2_f_psrs_2021</f>
        <v>0</v>
      </c>
      <c r="F409" s="46" t="b">
        <v>1</v>
      </c>
    </row>
    <row r="410" spans="1:6">
      <c r="A410" s="1757" t="s">
        <v>2715</v>
      </c>
      <c r="B410" s="46" t="s">
        <v>11262</v>
      </c>
      <c r="C410" s="1757" t="s">
        <v>2715</v>
      </c>
      <c r="D410" s="46" t="s">
        <v>11581</v>
      </c>
      <c r="E410" s="1757">
        <f>tvl_navigationalwatch3_m_tkrs_2021</f>
        <v>0</v>
      </c>
      <c r="F410" s="46" t="b">
        <v>1</v>
      </c>
    </row>
    <row r="411" spans="1:6">
      <c r="A411" s="1757" t="s">
        <v>2716</v>
      </c>
      <c r="B411" s="46" t="s">
        <v>11262</v>
      </c>
      <c r="C411" s="1757" t="s">
        <v>2716</v>
      </c>
      <c r="D411" s="46" t="s">
        <v>11675</v>
      </c>
      <c r="E411" s="1757" cm="1">
        <f t="array" ref="E411">tvl_navigationalwatch3_f_tkrs_2021</f>
        <v>0</v>
      </c>
      <c r="F411" s="46" t="b">
        <v>1</v>
      </c>
    </row>
    <row r="412" spans="1:6">
      <c r="A412" s="1757" t="s">
        <v>2717</v>
      </c>
      <c r="B412" s="46" t="s">
        <v>11262</v>
      </c>
      <c r="C412" s="1757" t="s">
        <v>2717</v>
      </c>
      <c r="D412" s="46" t="s">
        <v>11769</v>
      </c>
      <c r="E412" s="1757">
        <f>tvl_navigationalwatch3_m_psrs_2021</f>
        <v>0</v>
      </c>
      <c r="F412" s="46" t="b">
        <v>1</v>
      </c>
    </row>
    <row r="413" spans="1:6">
      <c r="A413" s="1757" t="s">
        <v>2718</v>
      </c>
      <c r="B413" s="46" t="s">
        <v>11262</v>
      </c>
      <c r="C413" s="1757" t="s">
        <v>2718</v>
      </c>
      <c r="D413" s="46" t="s">
        <v>11863</v>
      </c>
      <c r="E413" s="1757">
        <f>tvl_navigationalwatch3_f_psrs_2021</f>
        <v>0</v>
      </c>
      <c r="F413" s="46" t="b">
        <v>1</v>
      </c>
    </row>
    <row r="414" spans="1:6">
      <c r="A414" s="1757" t="s">
        <v>2719</v>
      </c>
      <c r="B414" s="46" t="s">
        <v>11262</v>
      </c>
      <c r="C414" s="1757" t="s">
        <v>2719</v>
      </c>
      <c r="D414" s="46" t="s">
        <v>11582</v>
      </c>
      <c r="E414" s="1757">
        <f>tvl_enginewatch1_m_tkrs_2021</f>
        <v>0</v>
      </c>
      <c r="F414" s="46" t="b">
        <v>1</v>
      </c>
    </row>
    <row r="415" spans="1:6">
      <c r="A415" s="1757" t="s">
        <v>2720</v>
      </c>
      <c r="B415" s="46" t="s">
        <v>11262</v>
      </c>
      <c r="C415" s="1757" t="s">
        <v>2720</v>
      </c>
      <c r="D415" s="46" t="s">
        <v>11676</v>
      </c>
      <c r="E415" s="1757" cm="1">
        <f t="array" ref="E415">tvl_enginewatch1_f_tkrs_2021</f>
        <v>0</v>
      </c>
      <c r="F415" s="46" t="b">
        <v>1</v>
      </c>
    </row>
    <row r="416" spans="1:6">
      <c r="A416" s="1757" t="s">
        <v>2721</v>
      </c>
      <c r="B416" s="46" t="s">
        <v>11262</v>
      </c>
      <c r="C416" s="1757" t="s">
        <v>2721</v>
      </c>
      <c r="D416" s="46" t="s">
        <v>11770</v>
      </c>
      <c r="E416" s="1757">
        <f>tvl_enginewatch1_m_psrs_2021</f>
        <v>0</v>
      </c>
      <c r="F416" s="46" t="b">
        <v>1</v>
      </c>
    </row>
    <row r="417" spans="1:6">
      <c r="A417" s="1757" t="s">
        <v>2722</v>
      </c>
      <c r="B417" s="46" t="s">
        <v>11262</v>
      </c>
      <c r="C417" s="1757" t="s">
        <v>2722</v>
      </c>
      <c r="D417" s="46" t="s">
        <v>11864</v>
      </c>
      <c r="E417" s="1757">
        <f>tvl_enginewatch1_f_psrs_2021</f>
        <v>0</v>
      </c>
      <c r="F417" s="46" t="b">
        <v>1</v>
      </c>
    </row>
    <row r="418" spans="1:6">
      <c r="A418" s="1757" t="s">
        <v>2723</v>
      </c>
      <c r="B418" s="46" t="s">
        <v>11262</v>
      </c>
      <c r="C418" s="1757" t="s">
        <v>2723</v>
      </c>
      <c r="D418" s="46" t="s">
        <v>11583</v>
      </c>
      <c r="E418" s="1757">
        <f>tvl_enginewatch2_m_tkrs_2021</f>
        <v>0</v>
      </c>
      <c r="F418" s="46" t="b">
        <v>1</v>
      </c>
    </row>
    <row r="419" spans="1:6">
      <c r="A419" s="1757" t="s">
        <v>2724</v>
      </c>
      <c r="B419" s="46" t="s">
        <v>11262</v>
      </c>
      <c r="C419" s="1757" t="s">
        <v>2724</v>
      </c>
      <c r="D419" s="46" t="s">
        <v>11677</v>
      </c>
      <c r="E419" s="1757" cm="1">
        <f t="array" ref="E419">tvl_enginewatch2_f_tkrs_2021</f>
        <v>0</v>
      </c>
      <c r="F419" s="46" t="b">
        <v>1</v>
      </c>
    </row>
    <row r="420" spans="1:6">
      <c r="A420" s="1757" t="s">
        <v>2725</v>
      </c>
      <c r="B420" s="46" t="s">
        <v>11262</v>
      </c>
      <c r="C420" s="1757" t="s">
        <v>2725</v>
      </c>
      <c r="D420" s="46" t="s">
        <v>11771</v>
      </c>
      <c r="E420" s="1757">
        <f>tvl_enginewatch2_m_psrs_2021</f>
        <v>0</v>
      </c>
      <c r="F420" s="46" t="b">
        <v>1</v>
      </c>
    </row>
    <row r="421" spans="1:6">
      <c r="A421" s="1757" t="s">
        <v>2726</v>
      </c>
      <c r="B421" s="46" t="s">
        <v>11262</v>
      </c>
      <c r="C421" s="1757" t="s">
        <v>2726</v>
      </c>
      <c r="D421" s="46" t="s">
        <v>11865</v>
      </c>
      <c r="E421" s="1757">
        <f>tvl_enginewatch2_f_psrs_2021</f>
        <v>0</v>
      </c>
      <c r="F421" s="46" t="b">
        <v>1</v>
      </c>
    </row>
    <row r="422" spans="1:6">
      <c r="A422" s="1757" t="s">
        <v>2727</v>
      </c>
      <c r="B422" s="46" t="s">
        <v>11262</v>
      </c>
      <c r="C422" s="1757" t="s">
        <v>2727</v>
      </c>
      <c r="D422" s="46" t="s">
        <v>11584</v>
      </c>
      <c r="E422" s="1757">
        <f>tvl_safety1_m_tkrs_2021</f>
        <v>0</v>
      </c>
      <c r="F422" s="46" t="b">
        <v>1</v>
      </c>
    </row>
    <row r="423" spans="1:6">
      <c r="A423" s="1757" t="s">
        <v>2728</v>
      </c>
      <c r="B423" s="46" t="s">
        <v>11262</v>
      </c>
      <c r="C423" s="1757" t="s">
        <v>2728</v>
      </c>
      <c r="D423" s="46" t="s">
        <v>11678</v>
      </c>
      <c r="E423" s="1757" cm="1">
        <f t="array" ref="E423">tvl_safety1_f_tkrs_2021</f>
        <v>0</v>
      </c>
      <c r="F423" s="46" t="b">
        <v>1</v>
      </c>
    </row>
    <row r="424" spans="1:6">
      <c r="A424" s="1757" t="s">
        <v>2729</v>
      </c>
      <c r="B424" s="46" t="s">
        <v>11262</v>
      </c>
      <c r="C424" s="1757" t="s">
        <v>2729</v>
      </c>
      <c r="D424" s="46" t="s">
        <v>11772</v>
      </c>
      <c r="E424" s="1757">
        <f>tvl_safety1_m_psrs_2021</f>
        <v>0</v>
      </c>
      <c r="F424" s="46" t="b">
        <v>1</v>
      </c>
    </row>
    <row r="425" spans="1:6">
      <c r="A425" s="1757" t="s">
        <v>2730</v>
      </c>
      <c r="B425" s="46" t="s">
        <v>11262</v>
      </c>
      <c r="C425" s="1757" t="s">
        <v>2730</v>
      </c>
      <c r="D425" s="46" t="s">
        <v>11866</v>
      </c>
      <c r="E425" s="1757">
        <f>tvl_safety1_f_psrs_2021</f>
        <v>0</v>
      </c>
      <c r="F425" s="46" t="b">
        <v>1</v>
      </c>
    </row>
    <row r="426" spans="1:6">
      <c r="A426" s="1757" t="s">
        <v>2731</v>
      </c>
      <c r="B426" s="46" t="s">
        <v>11262</v>
      </c>
      <c r="C426" s="1757" t="s">
        <v>2731</v>
      </c>
      <c r="D426" s="46" t="s">
        <v>11585</v>
      </c>
      <c r="E426" s="1757">
        <f>tvl_safety2_m_tkrs_2021</f>
        <v>0</v>
      </c>
      <c r="F426" s="46" t="b">
        <v>1</v>
      </c>
    </row>
    <row r="427" spans="1:6">
      <c r="A427" s="1757" t="s">
        <v>2732</v>
      </c>
      <c r="B427" s="46" t="s">
        <v>11262</v>
      </c>
      <c r="C427" s="1757" t="s">
        <v>2732</v>
      </c>
      <c r="D427" s="46" t="s">
        <v>11679</v>
      </c>
      <c r="E427" s="1757" cm="1">
        <f t="array" ref="E427">tvl_safety2_f_tkrs_2021</f>
        <v>0</v>
      </c>
      <c r="F427" s="46" t="b">
        <v>1</v>
      </c>
    </row>
    <row r="428" spans="1:6">
      <c r="A428" s="1757" t="s">
        <v>2733</v>
      </c>
      <c r="B428" s="46" t="s">
        <v>11262</v>
      </c>
      <c r="C428" s="1757" t="s">
        <v>2733</v>
      </c>
      <c r="D428" s="46" t="s">
        <v>11773</v>
      </c>
      <c r="E428" s="1757">
        <f>tvl_safety2_m_psrs_2021</f>
        <v>0</v>
      </c>
      <c r="F428" s="46" t="b">
        <v>1</v>
      </c>
    </row>
    <row r="429" spans="1:6">
      <c r="A429" s="1757" t="s">
        <v>2734</v>
      </c>
      <c r="B429" s="46" t="s">
        <v>11262</v>
      </c>
      <c r="C429" s="1757" t="s">
        <v>2734</v>
      </c>
      <c r="D429" s="46" t="s">
        <v>11867</v>
      </c>
      <c r="E429" s="1757">
        <f>tvl_safety2_f_psrs_2021</f>
        <v>0</v>
      </c>
      <c r="F429" s="46" t="b">
        <v>1</v>
      </c>
    </row>
    <row r="430" spans="1:6">
      <c r="A430" s="1757" t="s">
        <v>2735</v>
      </c>
      <c r="B430" s="46" t="s">
        <v>11262</v>
      </c>
      <c r="C430" s="1757" t="s">
        <v>2735</v>
      </c>
      <c r="D430" s="46" t="s">
        <v>11586</v>
      </c>
      <c r="E430" s="1757">
        <f>tvl_shipcateringservices_nc1_m_tkrs_2021</f>
        <v>0</v>
      </c>
      <c r="F430" s="46" t="b">
        <v>1</v>
      </c>
    </row>
    <row r="431" spans="1:6">
      <c r="A431" s="1757" t="s">
        <v>2736</v>
      </c>
      <c r="B431" s="46" t="s">
        <v>11262</v>
      </c>
      <c r="C431" s="1757" t="s">
        <v>2736</v>
      </c>
      <c r="D431" s="46" t="s">
        <v>11680</v>
      </c>
      <c r="E431" s="1757" cm="1">
        <f t="array" ref="E431">tvl_shipcateringservices_nc1_f_tkrs_2021</f>
        <v>0</v>
      </c>
      <c r="F431" s="46" t="b">
        <v>1</v>
      </c>
    </row>
    <row r="432" spans="1:6">
      <c r="A432" s="1757" t="s">
        <v>2737</v>
      </c>
      <c r="B432" s="46" t="s">
        <v>11262</v>
      </c>
      <c r="C432" s="1757" t="s">
        <v>2737</v>
      </c>
      <c r="D432" s="46" t="s">
        <v>11774</v>
      </c>
      <c r="E432" s="1757">
        <f>tvl_shipcateringservices_nc1_m_psrs_2021</f>
        <v>0</v>
      </c>
      <c r="F432" s="46" t="b">
        <v>1</v>
      </c>
    </row>
    <row r="433" spans="1:8" ht="16.5" thickBot="1">
      <c r="A433" s="1758" t="s">
        <v>2738</v>
      </c>
      <c r="B433" s="479" t="s">
        <v>11262</v>
      </c>
      <c r="C433" s="1758" t="s">
        <v>2738</v>
      </c>
      <c r="D433" s="479" t="s">
        <v>11868</v>
      </c>
      <c r="E433" s="1758">
        <f>tvl_shipcateringservices_nc1_f_psrs_2021</f>
        <v>0</v>
      </c>
      <c r="F433" s="479" t="b">
        <v>1</v>
      </c>
      <c r="G433" s="479"/>
      <c r="H433" s="479"/>
    </row>
    <row r="434" spans="1:8" ht="16.5" thickTop="1">
      <c r="A434" s="46" t="s">
        <v>2739</v>
      </c>
      <c r="B434" s="46" t="s">
        <v>2740</v>
      </c>
      <c r="C434" s="46" t="s">
        <v>2739</v>
      </c>
      <c r="D434" s="46" t="s">
        <v>2752</v>
      </c>
      <c r="E434" s="46" cm="1">
        <f t="array" ref="E434">teach_local_fund_provincial</f>
        <v>0</v>
      </c>
      <c r="F434" s="46" t="b">
        <v>1</v>
      </c>
    </row>
    <row r="435" spans="1:8">
      <c r="A435" s="46" t="s">
        <v>2741</v>
      </c>
      <c r="B435" s="46" t="s">
        <v>2740</v>
      </c>
      <c r="C435" s="46" t="s">
        <v>2741</v>
      </c>
      <c r="D435" s="46" t="s">
        <v>2753</v>
      </c>
      <c r="E435" s="46" cm="1">
        <f t="array" ref="E435">teach_local_fund_city</f>
        <v>0</v>
      </c>
      <c r="F435" s="46" t="b">
        <v>1</v>
      </c>
    </row>
    <row r="436" spans="1:8">
      <c r="A436" s="46" t="s">
        <v>2742</v>
      </c>
      <c r="B436" s="46" t="s">
        <v>2740</v>
      </c>
      <c r="C436" s="46" t="s">
        <v>2742</v>
      </c>
      <c r="D436" s="46" t="s">
        <v>2754</v>
      </c>
      <c r="E436" s="46" cm="1">
        <f t="array" ref="E436">teach_local_fund_lgu</f>
        <v>0</v>
      </c>
      <c r="F436" s="46" t="b">
        <v>1</v>
      </c>
    </row>
    <row r="437" spans="1:8">
      <c r="A437" s="46" t="s">
        <v>2743</v>
      </c>
      <c r="B437" s="46" t="s">
        <v>2740</v>
      </c>
      <c r="C437" s="46" t="s">
        <v>2743</v>
      </c>
      <c r="D437" s="46" t="s">
        <v>2755</v>
      </c>
      <c r="E437" s="46" cm="1">
        <f t="array" ref="E437">teach_local_fund_others</f>
        <v>0</v>
      </c>
      <c r="F437" s="46" t="b">
        <v>1</v>
      </c>
    </row>
    <row r="438" spans="1:8">
      <c r="A438" s="478" t="s">
        <v>2749</v>
      </c>
      <c r="B438" s="46" t="s">
        <v>2740</v>
      </c>
      <c r="C438" s="478" t="s">
        <v>2749</v>
      </c>
      <c r="D438" s="46" t="s">
        <v>2760</v>
      </c>
      <c r="E438" s="478" t="str" cm="1">
        <f t="array" ref="E438">sch_dhr_name</f>
        <v>ELMA CEZARIE Y. ROMERO / March 17, 2023</v>
      </c>
      <c r="F438" s="46" t="b">
        <v>1</v>
      </c>
    </row>
    <row r="439" spans="1:8" s="479" customFormat="1" ht="16.5" thickBot="1">
      <c r="A439" s="480" t="s">
        <v>2750</v>
      </c>
      <c r="B439" s="479" t="s">
        <v>2740</v>
      </c>
      <c r="C439" s="480" t="s">
        <v>2750</v>
      </c>
      <c r="D439" s="479" t="s">
        <v>2761</v>
      </c>
      <c r="E439" s="480" t="str" cm="1">
        <f t="array" ref="E439">sch_dhr_position</f>
        <v>ADMINISTRATIVE OFFICER IV</v>
      </c>
      <c r="F439" s="479" t="b">
        <v>1</v>
      </c>
    </row>
    <row r="440" spans="1:8" ht="16.5" thickTop="1">
      <c r="A440" s="478" t="s">
        <v>2744</v>
      </c>
      <c r="B440" s="478" t="s">
        <v>2745</v>
      </c>
      <c r="C440" s="478" t="s">
        <v>2744</v>
      </c>
      <c r="D440" s="46" t="s">
        <v>2756</v>
      </c>
      <c r="E440" s="478" cm="1">
        <f t="array" ref="E440">teach_qualified_m</f>
        <v>0</v>
      </c>
      <c r="F440" s="46" t="b">
        <v>1</v>
      </c>
    </row>
    <row r="441" spans="1:8">
      <c r="A441" s="478" t="s">
        <v>2746</v>
      </c>
      <c r="B441" s="478" t="s">
        <v>2745</v>
      </c>
      <c r="C441" s="478" t="s">
        <v>2746</v>
      </c>
      <c r="D441" s="46" t="s">
        <v>2757</v>
      </c>
      <c r="E441" s="478" cm="1">
        <f t="array" ref="E441">teach_qualified_f</f>
        <v>0</v>
      </c>
      <c r="F441" s="46" t="b">
        <v>1</v>
      </c>
    </row>
    <row r="442" spans="1:8">
      <c r="A442" s="478" t="s">
        <v>2747</v>
      </c>
      <c r="B442" s="478" t="s">
        <v>2745</v>
      </c>
      <c r="C442" s="478" t="s">
        <v>2747</v>
      </c>
      <c r="D442" s="46" t="s">
        <v>2758</v>
      </c>
      <c r="E442" s="478" cm="1">
        <f t="array" ref="E442">teach_trained_m</f>
        <v>0</v>
      </c>
      <c r="F442" s="46" t="b">
        <v>1</v>
      </c>
    </row>
    <row r="443" spans="1:8">
      <c r="A443" s="478" t="s">
        <v>2748</v>
      </c>
      <c r="B443" s="478" t="s">
        <v>2745</v>
      </c>
      <c r="C443" s="478" t="s">
        <v>2748</v>
      </c>
      <c r="D443" s="46" t="s">
        <v>2759</v>
      </c>
      <c r="E443" s="478" cm="1">
        <f t="array" ref="E443">teach_trained_f</f>
        <v>0</v>
      </c>
      <c r="F443" s="46" t="b">
        <v>1</v>
      </c>
    </row>
    <row r="444" spans="1:8" ht="16.5" thickBot="1">
      <c r="A444" s="480" t="s">
        <v>2751</v>
      </c>
      <c r="B444" s="479" t="s">
        <v>2745</v>
      </c>
      <c r="C444" s="480" t="s">
        <v>2751</v>
      </c>
      <c r="D444" s="479" t="s">
        <v>2762</v>
      </c>
      <c r="E444" s="480" t="str" cm="1">
        <f t="array" ref="E444">sch_seps_name</f>
        <v>ELMA CEZARIE Y. ROMERO / March 17, 2023</v>
      </c>
      <c r="F444" s="479" t="b">
        <v>1</v>
      </c>
      <c r="G444" s="479"/>
      <c r="H444" s="479"/>
    </row>
    <row r="445" spans="1:8" ht="16.5" thickTop="1">
      <c r="A445" s="46" t="s">
        <v>2763</v>
      </c>
      <c r="B445" s="46" t="s">
        <v>2764</v>
      </c>
      <c r="C445" s="46" t="s">
        <v>2763</v>
      </c>
      <c r="D445" s="46" t="s">
        <v>3134</v>
      </c>
      <c r="E445" s="46" cm="1">
        <f t="array" ref="E445">personnel_nonteach_sp4_psipop</f>
        <v>0</v>
      </c>
      <c r="F445" s="46" t="b">
        <v>1</v>
      </c>
    </row>
    <row r="446" spans="1:8">
      <c r="A446" s="46" t="s">
        <v>2765</v>
      </c>
      <c r="B446" s="46" t="s">
        <v>2764</v>
      </c>
      <c r="C446" s="46" t="s">
        <v>2765</v>
      </c>
      <c r="D446" s="46" t="s">
        <v>3135</v>
      </c>
      <c r="E446" s="46" cm="1">
        <f t="array" ref="E446">personnel_nonteach_sp4_actual_m</f>
        <v>0</v>
      </c>
      <c r="F446" s="46" t="b">
        <v>1</v>
      </c>
    </row>
    <row r="447" spans="1:8">
      <c r="A447" s="46" t="s">
        <v>2766</v>
      </c>
      <c r="B447" s="46" t="s">
        <v>2764</v>
      </c>
      <c r="C447" s="46" t="s">
        <v>2766</v>
      </c>
      <c r="D447" s="46" t="s">
        <v>3136</v>
      </c>
      <c r="E447" s="46" cm="1">
        <f t="array" ref="E447">personnel_nonteach_sp4_actual_f</f>
        <v>0</v>
      </c>
      <c r="F447" s="46" t="b">
        <v>1</v>
      </c>
    </row>
    <row r="448" spans="1:8">
      <c r="A448" s="46" t="s">
        <v>2767</v>
      </c>
      <c r="B448" s="46" t="s">
        <v>2764</v>
      </c>
      <c r="C448" s="46" t="s">
        <v>2767</v>
      </c>
      <c r="D448" s="46" t="s">
        <v>3137</v>
      </c>
      <c r="E448" s="46" cm="1">
        <f t="array" ref="E448">personnel_nonteach_sp4_onleave</f>
        <v>0</v>
      </c>
      <c r="F448" s="46" t="b">
        <v>1</v>
      </c>
    </row>
    <row r="449" spans="1:6">
      <c r="A449" s="46" t="s">
        <v>2768</v>
      </c>
      <c r="B449" s="46" t="s">
        <v>2764</v>
      </c>
      <c r="C449" s="46" t="s">
        <v>2768</v>
      </c>
      <c r="D449" s="46" t="s">
        <v>3138</v>
      </c>
      <c r="E449" s="46" cm="1">
        <f t="array" ref="E449">personnel_nonteach_sp4_vacant</f>
        <v>0</v>
      </c>
      <c r="F449" s="46" t="b">
        <v>1</v>
      </c>
    </row>
    <row r="450" spans="1:6">
      <c r="A450" s="46" t="s">
        <v>2769</v>
      </c>
      <c r="B450" s="46" t="s">
        <v>2764</v>
      </c>
      <c r="C450" s="46" t="s">
        <v>2769</v>
      </c>
      <c r="D450" s="46" t="s">
        <v>3139</v>
      </c>
      <c r="E450" s="46" cm="1">
        <f t="array" ref="E450">personnel_nonteach_sp4_detailed_hs</f>
        <v>0</v>
      </c>
      <c r="F450" s="46" t="b">
        <v>1</v>
      </c>
    </row>
    <row r="451" spans="1:6">
      <c r="A451" s="46" t="s">
        <v>2770</v>
      </c>
      <c r="B451" s="46" t="s">
        <v>2764</v>
      </c>
      <c r="C451" s="46" t="s">
        <v>2770</v>
      </c>
      <c r="D451" s="46" t="s">
        <v>3140</v>
      </c>
      <c r="E451" s="46" cm="1">
        <f t="array" ref="E451">personnel_nonteach_sp4_detailed_es</f>
        <v>0</v>
      </c>
      <c r="F451" s="46" t="b">
        <v>1</v>
      </c>
    </row>
    <row r="452" spans="1:6">
      <c r="A452" s="46" t="s">
        <v>2771</v>
      </c>
      <c r="B452" s="46" t="s">
        <v>2764</v>
      </c>
      <c r="C452" s="46" t="s">
        <v>2771</v>
      </c>
      <c r="D452" s="46" t="s">
        <v>3141</v>
      </c>
      <c r="E452" s="46" cm="1">
        <f t="array" ref="E452">personnel_nonteach_sp4_detailed_outdiv</f>
        <v>0</v>
      </c>
      <c r="F452" s="46" t="b">
        <v>1</v>
      </c>
    </row>
    <row r="453" spans="1:6">
      <c r="A453" s="46" t="s">
        <v>2772</v>
      </c>
      <c r="B453" s="46" t="s">
        <v>2764</v>
      </c>
      <c r="C453" s="46" t="s">
        <v>2772</v>
      </c>
      <c r="D453" s="46" t="s">
        <v>3142</v>
      </c>
      <c r="E453" s="46" cm="1">
        <f t="array" ref="E453">personnel_nonteach_sp4_borrowed_m</f>
        <v>0</v>
      </c>
      <c r="F453" s="46" t="b">
        <v>1</v>
      </c>
    </row>
    <row r="454" spans="1:6">
      <c r="A454" s="46" t="s">
        <v>2773</v>
      </c>
      <c r="B454" s="46" t="s">
        <v>2764</v>
      </c>
      <c r="C454" s="46" t="s">
        <v>2773</v>
      </c>
      <c r="D454" s="46" t="s">
        <v>3143</v>
      </c>
      <c r="E454" s="46" cm="1">
        <f t="array" ref="E454">personnel_nonteach_sp4_borrowed_f</f>
        <v>0</v>
      </c>
      <c r="F454" s="46" t="b">
        <v>1</v>
      </c>
    </row>
    <row r="455" spans="1:6">
      <c r="A455" s="46" t="s">
        <v>2774</v>
      </c>
      <c r="B455" s="46" t="s">
        <v>2764</v>
      </c>
      <c r="C455" s="46" t="s">
        <v>2774</v>
      </c>
      <c r="D455" s="46" t="s">
        <v>3144</v>
      </c>
      <c r="E455" s="46" cm="1">
        <f t="array" ref="E455">personnel_nonteach_sp3_psipop</f>
        <v>0</v>
      </c>
      <c r="F455" s="46" t="b">
        <v>1</v>
      </c>
    </row>
    <row r="456" spans="1:6">
      <c r="A456" s="46" t="s">
        <v>2775</v>
      </c>
      <c r="B456" s="46" t="s">
        <v>2764</v>
      </c>
      <c r="C456" s="46" t="s">
        <v>2775</v>
      </c>
      <c r="D456" s="46" t="s">
        <v>3145</v>
      </c>
      <c r="E456" s="46" cm="1">
        <f t="array" ref="E456">personnel_nonteach_sp3_actual_m</f>
        <v>0</v>
      </c>
      <c r="F456" s="46" t="b">
        <v>1</v>
      </c>
    </row>
    <row r="457" spans="1:6">
      <c r="A457" s="46" t="s">
        <v>2776</v>
      </c>
      <c r="B457" s="46" t="s">
        <v>2764</v>
      </c>
      <c r="C457" s="46" t="s">
        <v>2776</v>
      </c>
      <c r="D457" s="46" t="s">
        <v>3146</v>
      </c>
      <c r="E457" s="46" cm="1">
        <f t="array" ref="E457">personnel_nonteach_sp3_actual_f</f>
        <v>0</v>
      </c>
      <c r="F457" s="46" t="b">
        <v>1</v>
      </c>
    </row>
    <row r="458" spans="1:6">
      <c r="A458" s="46" t="s">
        <v>2777</v>
      </c>
      <c r="B458" s="46" t="s">
        <v>2764</v>
      </c>
      <c r="C458" s="46" t="s">
        <v>2777</v>
      </c>
      <c r="D458" s="46" t="s">
        <v>3147</v>
      </c>
      <c r="E458" s="46" cm="1">
        <f t="array" ref="E458">personnel_nonteach_sp3_onleave</f>
        <v>0</v>
      </c>
      <c r="F458" s="46" t="b">
        <v>1</v>
      </c>
    </row>
    <row r="459" spans="1:6">
      <c r="A459" s="46" t="s">
        <v>2778</v>
      </c>
      <c r="B459" s="46" t="s">
        <v>2764</v>
      </c>
      <c r="C459" s="46" t="s">
        <v>2778</v>
      </c>
      <c r="D459" s="46" t="s">
        <v>3148</v>
      </c>
      <c r="E459" s="46" cm="1">
        <f t="array" ref="E459">personnel_nonteach_sp3_vacant</f>
        <v>0</v>
      </c>
      <c r="F459" s="46" t="b">
        <v>1</v>
      </c>
    </row>
    <row r="460" spans="1:6">
      <c r="A460" s="46" t="s">
        <v>2779</v>
      </c>
      <c r="B460" s="46" t="s">
        <v>2764</v>
      </c>
      <c r="C460" s="46" t="s">
        <v>2779</v>
      </c>
      <c r="D460" s="46" t="s">
        <v>3149</v>
      </c>
      <c r="E460" s="46" cm="1">
        <f t="array" ref="E460">personnel_nonteach_sp3_detailed_hs</f>
        <v>0</v>
      </c>
      <c r="F460" s="46" t="b">
        <v>1</v>
      </c>
    </row>
    <row r="461" spans="1:6">
      <c r="A461" s="46" t="s">
        <v>2780</v>
      </c>
      <c r="B461" s="46" t="s">
        <v>2764</v>
      </c>
      <c r="C461" s="46" t="s">
        <v>2780</v>
      </c>
      <c r="D461" s="46" t="s">
        <v>3150</v>
      </c>
      <c r="E461" s="46" cm="1">
        <f t="array" ref="E461">personnel_nonteach_sp3_detailed_es</f>
        <v>0</v>
      </c>
      <c r="F461" s="46" t="b">
        <v>1</v>
      </c>
    </row>
    <row r="462" spans="1:6">
      <c r="A462" s="46" t="s">
        <v>2781</v>
      </c>
      <c r="B462" s="46" t="s">
        <v>2764</v>
      </c>
      <c r="C462" s="46" t="s">
        <v>2781</v>
      </c>
      <c r="D462" s="46" t="s">
        <v>3151</v>
      </c>
      <c r="E462" s="46" cm="1">
        <f t="array" ref="E462">personnel_nonteach_sp3_detailed_outdiv</f>
        <v>0</v>
      </c>
      <c r="F462" s="46" t="b">
        <v>1</v>
      </c>
    </row>
    <row r="463" spans="1:6">
      <c r="A463" s="46" t="s">
        <v>2782</v>
      </c>
      <c r="B463" s="46" t="s">
        <v>2764</v>
      </c>
      <c r="C463" s="46" t="s">
        <v>2782</v>
      </c>
      <c r="D463" s="46" t="s">
        <v>3152</v>
      </c>
      <c r="E463" s="46" cm="1">
        <f t="array" ref="E463">personnel_nonteach_sp3_borrowed_m</f>
        <v>0</v>
      </c>
      <c r="F463" s="46" t="b">
        <v>1</v>
      </c>
    </row>
    <row r="464" spans="1:6">
      <c r="A464" s="46" t="s">
        <v>2783</v>
      </c>
      <c r="B464" s="46" t="s">
        <v>2764</v>
      </c>
      <c r="C464" s="46" t="s">
        <v>2783</v>
      </c>
      <c r="D464" s="46" t="s">
        <v>3153</v>
      </c>
      <c r="E464" s="46" cm="1">
        <f t="array" ref="E464">personnel_nonteach_sp3_borrowed_f</f>
        <v>0</v>
      </c>
      <c r="F464" s="46" t="b">
        <v>1</v>
      </c>
    </row>
    <row r="465" spans="1:6">
      <c r="A465" s="46" t="s">
        <v>2784</v>
      </c>
      <c r="B465" s="46" t="s">
        <v>2764</v>
      </c>
      <c r="C465" s="46" t="s">
        <v>2784</v>
      </c>
      <c r="D465" s="46" t="s">
        <v>3154</v>
      </c>
      <c r="E465" s="46" cm="1">
        <f t="array" ref="E465">personnel_nonteach_sp2_psipop</f>
        <v>0</v>
      </c>
      <c r="F465" s="46" t="b">
        <v>1</v>
      </c>
    </row>
    <row r="466" spans="1:6">
      <c r="A466" s="46" t="s">
        <v>2785</v>
      </c>
      <c r="B466" s="46" t="s">
        <v>2764</v>
      </c>
      <c r="C466" s="46" t="s">
        <v>2785</v>
      </c>
      <c r="D466" s="46" t="s">
        <v>3155</v>
      </c>
      <c r="E466" s="46" cm="1">
        <f t="array" ref="E466">personnel_nonteach_sp2_actual_m</f>
        <v>0</v>
      </c>
      <c r="F466" s="46" t="b">
        <v>1</v>
      </c>
    </row>
    <row r="467" spans="1:6">
      <c r="A467" s="46" t="s">
        <v>2786</v>
      </c>
      <c r="B467" s="46" t="s">
        <v>2764</v>
      </c>
      <c r="C467" s="46" t="s">
        <v>2786</v>
      </c>
      <c r="D467" s="46" t="s">
        <v>3156</v>
      </c>
      <c r="E467" s="46" cm="1">
        <f t="array" ref="E467">personnel_nonteach_sp2_actual_f</f>
        <v>0</v>
      </c>
      <c r="F467" s="46" t="b">
        <v>1</v>
      </c>
    </row>
    <row r="468" spans="1:6">
      <c r="A468" s="46" t="s">
        <v>2787</v>
      </c>
      <c r="B468" s="46" t="s">
        <v>2764</v>
      </c>
      <c r="C468" s="46" t="s">
        <v>2787</v>
      </c>
      <c r="D468" s="46" t="s">
        <v>3157</v>
      </c>
      <c r="E468" s="46" cm="1">
        <f t="array" ref="E468">personnel_nonteach_sp2_onleave</f>
        <v>0</v>
      </c>
      <c r="F468" s="46" t="b">
        <v>1</v>
      </c>
    </row>
    <row r="469" spans="1:6">
      <c r="A469" s="46" t="s">
        <v>2788</v>
      </c>
      <c r="B469" s="46" t="s">
        <v>2764</v>
      </c>
      <c r="C469" s="46" t="s">
        <v>2788</v>
      </c>
      <c r="D469" s="46" t="s">
        <v>3158</v>
      </c>
      <c r="E469" s="46" cm="1">
        <f t="array" ref="E469">personnel_nonteach_sp2_vacant</f>
        <v>0</v>
      </c>
      <c r="F469" s="46" t="b">
        <v>1</v>
      </c>
    </row>
    <row r="470" spans="1:6">
      <c r="A470" s="46" t="s">
        <v>2789</v>
      </c>
      <c r="B470" s="46" t="s">
        <v>2764</v>
      </c>
      <c r="C470" s="46" t="s">
        <v>2789</v>
      </c>
      <c r="D470" s="46" t="s">
        <v>3159</v>
      </c>
      <c r="E470" s="46" cm="1">
        <f t="array" ref="E470">personnel_nonteach_sp2_detailed_hs</f>
        <v>0</v>
      </c>
      <c r="F470" s="46" t="b">
        <v>1</v>
      </c>
    </row>
    <row r="471" spans="1:6">
      <c r="A471" s="46" t="s">
        <v>2790</v>
      </c>
      <c r="B471" s="46" t="s">
        <v>2764</v>
      </c>
      <c r="C471" s="46" t="s">
        <v>2790</v>
      </c>
      <c r="D471" s="46" t="s">
        <v>3160</v>
      </c>
      <c r="E471" s="46" cm="1">
        <f t="array" ref="E471">personnel_nonteach_sp2_detailed_es</f>
        <v>0</v>
      </c>
      <c r="F471" s="46" t="b">
        <v>1</v>
      </c>
    </row>
    <row r="472" spans="1:6">
      <c r="A472" s="46" t="s">
        <v>2791</v>
      </c>
      <c r="B472" s="46" t="s">
        <v>2764</v>
      </c>
      <c r="C472" s="46" t="s">
        <v>2791</v>
      </c>
      <c r="D472" s="46" t="s">
        <v>3161</v>
      </c>
      <c r="E472" s="46" cm="1">
        <f t="array" ref="E472">personnel_nonteach_sp2_detailed_outdiv</f>
        <v>0</v>
      </c>
      <c r="F472" s="46" t="b">
        <v>1</v>
      </c>
    </row>
    <row r="473" spans="1:6">
      <c r="A473" s="46" t="s">
        <v>2792</v>
      </c>
      <c r="B473" s="46" t="s">
        <v>2764</v>
      </c>
      <c r="C473" s="46" t="s">
        <v>2792</v>
      </c>
      <c r="D473" s="46" t="s">
        <v>3162</v>
      </c>
      <c r="E473" s="46" cm="1">
        <f t="array" ref="E473">personnel_nonteach_sp2_borrowed_m</f>
        <v>0</v>
      </c>
      <c r="F473" s="46" t="b">
        <v>1</v>
      </c>
    </row>
    <row r="474" spans="1:6">
      <c r="A474" s="46" t="s">
        <v>2793</v>
      </c>
      <c r="B474" s="46" t="s">
        <v>2764</v>
      </c>
      <c r="C474" s="46" t="s">
        <v>2793</v>
      </c>
      <c r="D474" s="46" t="s">
        <v>3163</v>
      </c>
      <c r="E474" s="46" cm="1">
        <f t="array" ref="E474">personnel_nonteach_sp2_borrowed_f</f>
        <v>0</v>
      </c>
      <c r="F474" s="46" t="b">
        <v>1</v>
      </c>
    </row>
    <row r="475" spans="1:6">
      <c r="A475" s="46" t="s">
        <v>2794</v>
      </c>
      <c r="B475" s="46" t="s">
        <v>2764</v>
      </c>
      <c r="C475" s="46" t="s">
        <v>2794</v>
      </c>
      <c r="D475" s="46" t="s">
        <v>3164</v>
      </c>
      <c r="E475" s="46" cm="1">
        <f t="array" ref="E475">personnel_nonteach_sp1_psipop</f>
        <v>0</v>
      </c>
      <c r="F475" s="46" t="b">
        <v>1</v>
      </c>
    </row>
    <row r="476" spans="1:6">
      <c r="A476" s="46" t="s">
        <v>2795</v>
      </c>
      <c r="B476" s="46" t="s">
        <v>2764</v>
      </c>
      <c r="C476" s="46" t="s">
        <v>2795</v>
      </c>
      <c r="D476" s="46" t="s">
        <v>3165</v>
      </c>
      <c r="E476" s="46" cm="1">
        <f t="array" ref="E476">personnel_nonteach_sp1_actual_m</f>
        <v>0</v>
      </c>
      <c r="F476" s="46" t="b">
        <v>1</v>
      </c>
    </row>
    <row r="477" spans="1:6">
      <c r="A477" s="46" t="s">
        <v>2796</v>
      </c>
      <c r="B477" s="46" t="s">
        <v>2764</v>
      </c>
      <c r="C477" s="46" t="s">
        <v>2796</v>
      </c>
      <c r="D477" s="46" t="s">
        <v>3166</v>
      </c>
      <c r="E477" s="46" cm="1">
        <f t="array" ref="E477">personnel_nonteach_sp1_actual_f</f>
        <v>0</v>
      </c>
      <c r="F477" s="46" t="b">
        <v>1</v>
      </c>
    </row>
    <row r="478" spans="1:6">
      <c r="A478" s="46" t="s">
        <v>2797</v>
      </c>
      <c r="B478" s="46" t="s">
        <v>2764</v>
      </c>
      <c r="C478" s="46" t="s">
        <v>2797</v>
      </c>
      <c r="D478" s="46" t="s">
        <v>3167</v>
      </c>
      <c r="E478" s="46" cm="1">
        <f t="array" ref="E478">personnel_nonteach_sp1_onleave</f>
        <v>0</v>
      </c>
      <c r="F478" s="46" t="b">
        <v>1</v>
      </c>
    </row>
    <row r="479" spans="1:6">
      <c r="A479" s="46" t="s">
        <v>2798</v>
      </c>
      <c r="B479" s="46" t="s">
        <v>2764</v>
      </c>
      <c r="C479" s="46" t="s">
        <v>2798</v>
      </c>
      <c r="D479" s="46" t="s">
        <v>3168</v>
      </c>
      <c r="E479" s="46" cm="1">
        <f t="array" ref="E479">personnel_nonteach_sp1_vacant</f>
        <v>0</v>
      </c>
      <c r="F479" s="46" t="b">
        <v>1</v>
      </c>
    </row>
    <row r="480" spans="1:6">
      <c r="A480" s="46" t="s">
        <v>2799</v>
      </c>
      <c r="B480" s="46" t="s">
        <v>2764</v>
      </c>
      <c r="C480" s="46" t="s">
        <v>2799</v>
      </c>
      <c r="D480" s="46" t="s">
        <v>3169</v>
      </c>
      <c r="E480" s="46" cm="1">
        <f t="array" ref="E480">personnel_nonteach_sp1_detailed_hs</f>
        <v>0</v>
      </c>
      <c r="F480" s="46" t="b">
        <v>1</v>
      </c>
    </row>
    <row r="481" spans="1:6">
      <c r="A481" s="46" t="s">
        <v>2800</v>
      </c>
      <c r="B481" s="46" t="s">
        <v>2764</v>
      </c>
      <c r="C481" s="46" t="s">
        <v>2800</v>
      </c>
      <c r="D481" s="46" t="s">
        <v>3170</v>
      </c>
      <c r="E481" s="46" cm="1">
        <f t="array" ref="E481">personnel_nonteach_sp1_detailed_es</f>
        <v>0</v>
      </c>
      <c r="F481" s="46" t="b">
        <v>1</v>
      </c>
    </row>
    <row r="482" spans="1:6">
      <c r="A482" s="46" t="s">
        <v>2801</v>
      </c>
      <c r="B482" s="46" t="s">
        <v>2764</v>
      </c>
      <c r="C482" s="46" t="s">
        <v>2801</v>
      </c>
      <c r="D482" s="46" t="s">
        <v>3171</v>
      </c>
      <c r="E482" s="46" cm="1">
        <f t="array" ref="E482">personnel_nonteach_sp1_detailed_outdiv</f>
        <v>0</v>
      </c>
      <c r="F482" s="46" t="b">
        <v>1</v>
      </c>
    </row>
    <row r="483" spans="1:6">
      <c r="A483" s="46" t="s">
        <v>2802</v>
      </c>
      <c r="B483" s="46" t="s">
        <v>2764</v>
      </c>
      <c r="C483" s="46" t="s">
        <v>2802</v>
      </c>
      <c r="D483" s="46" t="s">
        <v>3172</v>
      </c>
      <c r="E483" s="46" cm="1">
        <f t="array" ref="E483">personnel_nonteach_sp1_borrowed_m</f>
        <v>0</v>
      </c>
      <c r="F483" s="46" t="b">
        <v>1</v>
      </c>
    </row>
    <row r="484" spans="1:6">
      <c r="A484" s="46" t="s">
        <v>2803</v>
      </c>
      <c r="B484" s="46" t="s">
        <v>2764</v>
      </c>
      <c r="C484" s="46" t="s">
        <v>2803</v>
      </c>
      <c r="D484" s="46" t="s">
        <v>3173</v>
      </c>
      <c r="E484" s="46" cm="1">
        <f t="array" ref="E484">personnel_nonteach_sp1_borrowed_f</f>
        <v>0</v>
      </c>
      <c r="F484" s="46" t="b">
        <v>1</v>
      </c>
    </row>
    <row r="485" spans="1:6">
      <c r="A485" s="46" t="s">
        <v>2804</v>
      </c>
      <c r="B485" s="46" t="s">
        <v>2764</v>
      </c>
      <c r="C485" s="46" t="s">
        <v>2804</v>
      </c>
      <c r="D485" s="46" t="s">
        <v>3174</v>
      </c>
      <c r="E485" s="46" cm="1">
        <f t="array" ref="E485">personnel_nonteach_sap3_psipop</f>
        <v>0</v>
      </c>
      <c r="F485" s="46" t="b">
        <v>1</v>
      </c>
    </row>
    <row r="486" spans="1:6">
      <c r="A486" s="46" t="s">
        <v>2805</v>
      </c>
      <c r="B486" s="46" t="s">
        <v>2764</v>
      </c>
      <c r="C486" s="46" t="s">
        <v>2805</v>
      </c>
      <c r="D486" s="46" t="s">
        <v>3175</v>
      </c>
      <c r="E486" s="46" cm="1">
        <f t="array" ref="E486">personnel_nonteach_sap3_actual_m</f>
        <v>0</v>
      </c>
      <c r="F486" s="46" t="b">
        <v>1</v>
      </c>
    </row>
    <row r="487" spans="1:6">
      <c r="A487" s="46" t="s">
        <v>2806</v>
      </c>
      <c r="B487" s="46" t="s">
        <v>2764</v>
      </c>
      <c r="C487" s="46" t="s">
        <v>2806</v>
      </c>
      <c r="D487" s="46" t="s">
        <v>3176</v>
      </c>
      <c r="E487" s="46" cm="1">
        <f t="array" ref="E487">personnel_nonteach_sap3_actual_f</f>
        <v>0</v>
      </c>
      <c r="F487" s="46" t="b">
        <v>1</v>
      </c>
    </row>
    <row r="488" spans="1:6">
      <c r="A488" s="46" t="s">
        <v>2807</v>
      </c>
      <c r="B488" s="46" t="s">
        <v>2764</v>
      </c>
      <c r="C488" s="46" t="s">
        <v>2807</v>
      </c>
      <c r="D488" s="46" t="s">
        <v>3177</v>
      </c>
      <c r="E488" s="46" cm="1">
        <f t="array" ref="E488">personnel_nonteach_sap3_onleave</f>
        <v>0</v>
      </c>
      <c r="F488" s="46" t="b">
        <v>1</v>
      </c>
    </row>
    <row r="489" spans="1:6">
      <c r="A489" s="46" t="s">
        <v>2808</v>
      </c>
      <c r="B489" s="46" t="s">
        <v>2764</v>
      </c>
      <c r="C489" s="46" t="s">
        <v>2808</v>
      </c>
      <c r="D489" s="46" t="s">
        <v>3178</v>
      </c>
      <c r="E489" s="46" cm="1">
        <f t="array" ref="E489">personnel_nonteach_sap3_vacant</f>
        <v>0</v>
      </c>
      <c r="F489" s="46" t="b">
        <v>1</v>
      </c>
    </row>
    <row r="490" spans="1:6">
      <c r="A490" s="46" t="s">
        <v>2809</v>
      </c>
      <c r="B490" s="46" t="s">
        <v>2764</v>
      </c>
      <c r="C490" s="46" t="s">
        <v>2809</v>
      </c>
      <c r="D490" s="46" t="s">
        <v>3179</v>
      </c>
      <c r="E490" s="46" cm="1">
        <f t="array" ref="E490">personnel_nonteach_sap3_detailed_hs</f>
        <v>0</v>
      </c>
      <c r="F490" s="46" t="b">
        <v>1</v>
      </c>
    </row>
    <row r="491" spans="1:6">
      <c r="A491" s="46" t="s">
        <v>2810</v>
      </c>
      <c r="B491" s="46" t="s">
        <v>2764</v>
      </c>
      <c r="C491" s="46" t="s">
        <v>2810</v>
      </c>
      <c r="D491" s="46" t="s">
        <v>3180</v>
      </c>
      <c r="E491" s="46" cm="1">
        <f t="array" ref="E491">personnel_nonteach_sap3_detailed_es</f>
        <v>0</v>
      </c>
      <c r="F491" s="46" t="b">
        <v>1</v>
      </c>
    </row>
    <row r="492" spans="1:6">
      <c r="A492" s="46" t="s">
        <v>2811</v>
      </c>
      <c r="B492" s="46" t="s">
        <v>2764</v>
      </c>
      <c r="C492" s="46" t="s">
        <v>2811</v>
      </c>
      <c r="D492" s="46" t="s">
        <v>3181</v>
      </c>
      <c r="E492" s="46" cm="1">
        <f t="array" ref="E492">personnel_nonteach_sap3_detailed_outdiv</f>
        <v>0</v>
      </c>
      <c r="F492" s="46" t="b">
        <v>1</v>
      </c>
    </row>
    <row r="493" spans="1:6">
      <c r="A493" s="46" t="s">
        <v>2812</v>
      </c>
      <c r="B493" s="46" t="s">
        <v>2764</v>
      </c>
      <c r="C493" s="46" t="s">
        <v>2812</v>
      </c>
      <c r="D493" s="46" t="s">
        <v>3182</v>
      </c>
      <c r="E493" s="46" cm="1">
        <f t="array" ref="E493">personnel_nonteach_sap3_borrowed_m</f>
        <v>0</v>
      </c>
      <c r="F493" s="46" t="b">
        <v>1</v>
      </c>
    </row>
    <row r="494" spans="1:6">
      <c r="A494" s="46" t="s">
        <v>2813</v>
      </c>
      <c r="B494" s="46" t="s">
        <v>2764</v>
      </c>
      <c r="C494" s="46" t="s">
        <v>2813</v>
      </c>
      <c r="D494" s="46" t="s">
        <v>3183</v>
      </c>
      <c r="E494" s="46" cm="1">
        <f t="array" ref="E494">personnel_nonteach_sap3_borrowed_f</f>
        <v>0</v>
      </c>
      <c r="F494" s="46" t="b">
        <v>1</v>
      </c>
    </row>
    <row r="495" spans="1:6">
      <c r="A495" s="46" t="s">
        <v>2814</v>
      </c>
      <c r="B495" s="46" t="s">
        <v>2764</v>
      </c>
      <c r="C495" s="46" t="s">
        <v>2814</v>
      </c>
      <c r="D495" s="46" t="s">
        <v>3184</v>
      </c>
      <c r="E495" s="46" cm="1">
        <f t="array" ref="E495">personnel_nonteach_sap2_psipop</f>
        <v>0</v>
      </c>
      <c r="F495" s="46" t="b">
        <v>1</v>
      </c>
    </row>
    <row r="496" spans="1:6">
      <c r="A496" s="46" t="s">
        <v>2815</v>
      </c>
      <c r="B496" s="46" t="s">
        <v>2764</v>
      </c>
      <c r="C496" s="46" t="s">
        <v>2815</v>
      </c>
      <c r="D496" s="46" t="s">
        <v>3185</v>
      </c>
      <c r="E496" s="46" cm="1">
        <f t="array" ref="E496">personnel_nonteach_sap2_actual_m</f>
        <v>0</v>
      </c>
      <c r="F496" s="46" t="b">
        <v>1</v>
      </c>
    </row>
    <row r="497" spans="1:6">
      <c r="A497" s="46" t="s">
        <v>2816</v>
      </c>
      <c r="B497" s="46" t="s">
        <v>2764</v>
      </c>
      <c r="C497" s="46" t="s">
        <v>2816</v>
      </c>
      <c r="D497" s="46" t="s">
        <v>3186</v>
      </c>
      <c r="E497" s="46" cm="1">
        <f t="array" ref="E497">personnel_nonteach_sap2_actual_f</f>
        <v>0</v>
      </c>
      <c r="F497" s="46" t="b">
        <v>1</v>
      </c>
    </row>
    <row r="498" spans="1:6">
      <c r="A498" s="46" t="s">
        <v>2817</v>
      </c>
      <c r="B498" s="46" t="s">
        <v>2764</v>
      </c>
      <c r="C498" s="46" t="s">
        <v>2817</v>
      </c>
      <c r="D498" s="46" t="s">
        <v>3187</v>
      </c>
      <c r="E498" s="46" cm="1">
        <f t="array" ref="E498">personnel_nonteach_sap2_onleave</f>
        <v>0</v>
      </c>
      <c r="F498" s="46" t="b">
        <v>1</v>
      </c>
    </row>
    <row r="499" spans="1:6">
      <c r="A499" s="46" t="s">
        <v>2818</v>
      </c>
      <c r="B499" s="46" t="s">
        <v>2764</v>
      </c>
      <c r="C499" s="46" t="s">
        <v>2818</v>
      </c>
      <c r="D499" s="46" t="s">
        <v>3188</v>
      </c>
      <c r="E499" s="46" cm="1">
        <f t="array" ref="E499">personnel_nonteach_sap2_vacant</f>
        <v>0</v>
      </c>
      <c r="F499" s="46" t="b">
        <v>1</v>
      </c>
    </row>
    <row r="500" spans="1:6">
      <c r="A500" s="46" t="s">
        <v>2819</v>
      </c>
      <c r="B500" s="46" t="s">
        <v>2764</v>
      </c>
      <c r="C500" s="46" t="s">
        <v>2819</v>
      </c>
      <c r="D500" s="46" t="s">
        <v>3189</v>
      </c>
      <c r="E500" s="46" cm="1">
        <f t="array" ref="E500">personnel_nonteach_sap2_detailed_hs</f>
        <v>0</v>
      </c>
      <c r="F500" s="46" t="b">
        <v>1</v>
      </c>
    </row>
    <row r="501" spans="1:6">
      <c r="A501" s="46" t="s">
        <v>2820</v>
      </c>
      <c r="B501" s="46" t="s">
        <v>2764</v>
      </c>
      <c r="C501" s="46" t="s">
        <v>2820</v>
      </c>
      <c r="D501" s="46" t="s">
        <v>3190</v>
      </c>
      <c r="E501" s="46" cm="1">
        <f t="array" ref="E501">personnel_nonteach_sap2_detailed_es</f>
        <v>0</v>
      </c>
      <c r="F501" s="46" t="b">
        <v>1</v>
      </c>
    </row>
    <row r="502" spans="1:6">
      <c r="A502" s="46" t="s">
        <v>2821</v>
      </c>
      <c r="B502" s="46" t="s">
        <v>2764</v>
      </c>
      <c r="C502" s="46" t="s">
        <v>2821</v>
      </c>
      <c r="D502" s="46" t="s">
        <v>3191</v>
      </c>
      <c r="E502" s="46" cm="1">
        <f t="array" ref="E502">personnel_nonteach_sap2_detailed_outdiv</f>
        <v>0</v>
      </c>
      <c r="F502" s="46" t="b">
        <v>1</v>
      </c>
    </row>
    <row r="503" spans="1:6">
      <c r="A503" s="46" t="s">
        <v>2822</v>
      </c>
      <c r="B503" s="46" t="s">
        <v>2764</v>
      </c>
      <c r="C503" s="46" t="s">
        <v>2822</v>
      </c>
      <c r="D503" s="46" t="s">
        <v>3192</v>
      </c>
      <c r="E503" s="46" cm="1">
        <f t="array" ref="E503">personnel_nonteach_sap2_borrowed_m</f>
        <v>0</v>
      </c>
      <c r="F503" s="46" t="b">
        <v>1</v>
      </c>
    </row>
    <row r="504" spans="1:6">
      <c r="A504" s="46" t="s">
        <v>2823</v>
      </c>
      <c r="B504" s="46" t="s">
        <v>2764</v>
      </c>
      <c r="C504" s="46" t="s">
        <v>2823</v>
      </c>
      <c r="D504" s="46" t="s">
        <v>3193</v>
      </c>
      <c r="E504" s="46" cm="1">
        <f t="array" ref="E504">personnel_nonteach_sap2_borrowed_f</f>
        <v>0</v>
      </c>
      <c r="F504" s="46" t="b">
        <v>1</v>
      </c>
    </row>
    <row r="505" spans="1:6">
      <c r="A505" s="46" t="s">
        <v>2824</v>
      </c>
      <c r="B505" s="46" t="s">
        <v>2764</v>
      </c>
      <c r="C505" s="46" t="s">
        <v>2824</v>
      </c>
      <c r="D505" s="46" t="s">
        <v>3194</v>
      </c>
      <c r="E505" s="46" cm="1">
        <f t="array" ref="E505">personnel_nonteach_sap1_psipop</f>
        <v>0</v>
      </c>
      <c r="F505" s="46" t="b">
        <v>1</v>
      </c>
    </row>
    <row r="506" spans="1:6">
      <c r="A506" s="46" t="s">
        <v>2825</v>
      </c>
      <c r="B506" s="46" t="s">
        <v>2764</v>
      </c>
      <c r="C506" s="46" t="s">
        <v>2825</v>
      </c>
      <c r="D506" s="46" t="s">
        <v>3195</v>
      </c>
      <c r="E506" s="46" cm="1">
        <f t="array" ref="E506">personnel_nonteach_sap1_actual_m</f>
        <v>0</v>
      </c>
      <c r="F506" s="46" t="b">
        <v>1</v>
      </c>
    </row>
    <row r="507" spans="1:6">
      <c r="A507" s="46" t="s">
        <v>2826</v>
      </c>
      <c r="B507" s="46" t="s">
        <v>2764</v>
      </c>
      <c r="C507" s="46" t="s">
        <v>2826</v>
      </c>
      <c r="D507" s="46" t="s">
        <v>3196</v>
      </c>
      <c r="E507" s="46" cm="1">
        <f t="array" ref="E507">personnel_nonteach_sap1_actual_f</f>
        <v>0</v>
      </c>
      <c r="F507" s="46" t="b">
        <v>1</v>
      </c>
    </row>
    <row r="508" spans="1:6">
      <c r="A508" s="46" t="s">
        <v>2827</v>
      </c>
      <c r="B508" s="46" t="s">
        <v>2764</v>
      </c>
      <c r="C508" s="46" t="s">
        <v>2827</v>
      </c>
      <c r="D508" s="46" t="s">
        <v>3197</v>
      </c>
      <c r="E508" s="46" cm="1">
        <f t="array" ref="E508">personnel_nonteach_sap1_onleave</f>
        <v>0</v>
      </c>
      <c r="F508" s="46" t="b">
        <v>1</v>
      </c>
    </row>
    <row r="509" spans="1:6">
      <c r="A509" s="46" t="s">
        <v>2828</v>
      </c>
      <c r="B509" s="46" t="s">
        <v>2764</v>
      </c>
      <c r="C509" s="46" t="s">
        <v>2828</v>
      </c>
      <c r="D509" s="46" t="s">
        <v>3198</v>
      </c>
      <c r="E509" s="46" cm="1">
        <f t="array" ref="E509">personnel_nonteach_sap1_vacant</f>
        <v>0</v>
      </c>
      <c r="F509" s="46" t="b">
        <v>1</v>
      </c>
    </row>
    <row r="510" spans="1:6">
      <c r="A510" s="46" t="s">
        <v>2829</v>
      </c>
      <c r="B510" s="46" t="s">
        <v>2764</v>
      </c>
      <c r="C510" s="46" t="s">
        <v>2829</v>
      </c>
      <c r="D510" s="46" t="s">
        <v>3199</v>
      </c>
      <c r="E510" s="46" cm="1">
        <f t="array" ref="E510">personnel_nonteach_sap1_detailed_hs</f>
        <v>0</v>
      </c>
      <c r="F510" s="46" t="b">
        <v>1</v>
      </c>
    </row>
    <row r="511" spans="1:6">
      <c r="A511" s="46" t="s">
        <v>2830</v>
      </c>
      <c r="B511" s="46" t="s">
        <v>2764</v>
      </c>
      <c r="C511" s="46" t="s">
        <v>2830</v>
      </c>
      <c r="D511" s="46" t="s">
        <v>3200</v>
      </c>
      <c r="E511" s="46" cm="1">
        <f t="array" ref="E511">personnel_nonteach_sap1_detailed_es</f>
        <v>0</v>
      </c>
      <c r="F511" s="46" t="b">
        <v>1</v>
      </c>
    </row>
    <row r="512" spans="1:6">
      <c r="A512" s="46" t="s">
        <v>2831</v>
      </c>
      <c r="B512" s="46" t="s">
        <v>2764</v>
      </c>
      <c r="C512" s="46" t="s">
        <v>2831</v>
      </c>
      <c r="D512" s="46" t="s">
        <v>3201</v>
      </c>
      <c r="E512" s="46" cm="1">
        <f t="array" ref="E512">personnel_nonteach_sap1_detailed_outdiv</f>
        <v>0</v>
      </c>
      <c r="F512" s="46" t="b">
        <v>1</v>
      </c>
    </row>
    <row r="513" spans="1:6">
      <c r="A513" s="46" t="s">
        <v>2832</v>
      </c>
      <c r="B513" s="46" t="s">
        <v>2764</v>
      </c>
      <c r="C513" s="46" t="s">
        <v>2832</v>
      </c>
      <c r="D513" s="46" t="s">
        <v>3202</v>
      </c>
      <c r="E513" s="46" cm="1">
        <f t="array" ref="E513">personnel_nonteach_sap1_borrowed_m</f>
        <v>0</v>
      </c>
      <c r="F513" s="46" t="b">
        <v>1</v>
      </c>
    </row>
    <row r="514" spans="1:6">
      <c r="A514" s="46" t="s">
        <v>2833</v>
      </c>
      <c r="B514" s="46" t="s">
        <v>2764</v>
      </c>
      <c r="C514" s="46" t="s">
        <v>2833</v>
      </c>
      <c r="D514" s="46" t="s">
        <v>3203</v>
      </c>
      <c r="E514" s="46" cm="1">
        <f t="array" ref="E514">personnel_nonteach_sap1_borrowed_f</f>
        <v>0</v>
      </c>
      <c r="F514" s="46" t="b">
        <v>1</v>
      </c>
    </row>
    <row r="515" spans="1:6">
      <c r="A515" s="46" t="s">
        <v>2834</v>
      </c>
      <c r="B515" s="46" t="s">
        <v>2764</v>
      </c>
      <c r="C515" s="46" t="s">
        <v>2834</v>
      </c>
      <c r="D515" s="46" t="s">
        <v>3204</v>
      </c>
      <c r="E515" s="46" cm="1">
        <f t="array" ref="E515">personnel_nonteach_ht6_psipop</f>
        <v>0</v>
      </c>
      <c r="F515" s="46" t="b">
        <v>1</v>
      </c>
    </row>
    <row r="516" spans="1:6">
      <c r="A516" s="46" t="s">
        <v>2835</v>
      </c>
      <c r="B516" s="46" t="s">
        <v>2764</v>
      </c>
      <c r="C516" s="46" t="s">
        <v>2835</v>
      </c>
      <c r="D516" s="46" t="s">
        <v>3205</v>
      </c>
      <c r="E516" s="46" cm="1">
        <f t="array" ref="E516">personnel_nonteach_ht6_actual_m</f>
        <v>0</v>
      </c>
      <c r="F516" s="46" t="b">
        <v>1</v>
      </c>
    </row>
    <row r="517" spans="1:6">
      <c r="A517" s="46" t="s">
        <v>2836</v>
      </c>
      <c r="B517" s="46" t="s">
        <v>2764</v>
      </c>
      <c r="C517" s="46" t="s">
        <v>2836</v>
      </c>
      <c r="D517" s="46" t="s">
        <v>3206</v>
      </c>
      <c r="E517" s="46" cm="1">
        <f t="array" ref="E517">personnel_nonteach_ht6_actual_f</f>
        <v>0</v>
      </c>
      <c r="F517" s="46" t="b">
        <v>1</v>
      </c>
    </row>
    <row r="518" spans="1:6">
      <c r="A518" s="46" t="s">
        <v>2837</v>
      </c>
      <c r="B518" s="46" t="s">
        <v>2764</v>
      </c>
      <c r="C518" s="46" t="s">
        <v>2837</v>
      </c>
      <c r="D518" s="46" t="s">
        <v>3207</v>
      </c>
      <c r="E518" s="46" cm="1">
        <f t="array" ref="E518">personnel_nonteach_ht6_onleave</f>
        <v>0</v>
      </c>
      <c r="F518" s="46" t="b">
        <v>1</v>
      </c>
    </row>
    <row r="519" spans="1:6">
      <c r="A519" s="46" t="s">
        <v>2838</v>
      </c>
      <c r="B519" s="46" t="s">
        <v>2764</v>
      </c>
      <c r="C519" s="46" t="s">
        <v>2838</v>
      </c>
      <c r="D519" s="46" t="s">
        <v>3208</v>
      </c>
      <c r="E519" s="46" cm="1">
        <f t="array" ref="E519">personnel_nonteach_ht6_vacant</f>
        <v>0</v>
      </c>
      <c r="F519" s="46" t="b">
        <v>1</v>
      </c>
    </row>
    <row r="520" spans="1:6">
      <c r="A520" s="46" t="s">
        <v>2839</v>
      </c>
      <c r="B520" s="46" t="s">
        <v>2764</v>
      </c>
      <c r="C520" s="46" t="s">
        <v>2839</v>
      </c>
      <c r="D520" s="46" t="s">
        <v>3209</v>
      </c>
      <c r="E520" s="46" cm="1">
        <f t="array" ref="E520">personnel_nonteach_ht6_detailed_hs</f>
        <v>0</v>
      </c>
      <c r="F520" s="46" t="b">
        <v>1</v>
      </c>
    </row>
    <row r="521" spans="1:6">
      <c r="A521" s="46" t="s">
        <v>2840</v>
      </c>
      <c r="B521" s="46" t="s">
        <v>2764</v>
      </c>
      <c r="C521" s="46" t="s">
        <v>2840</v>
      </c>
      <c r="D521" s="46" t="s">
        <v>3210</v>
      </c>
      <c r="E521" s="46" cm="1">
        <f t="array" ref="E521">personnel_nonteach_ht6_detailed_es</f>
        <v>0</v>
      </c>
      <c r="F521" s="46" t="b">
        <v>1</v>
      </c>
    </row>
    <row r="522" spans="1:6">
      <c r="A522" s="46" t="s">
        <v>2841</v>
      </c>
      <c r="B522" s="46" t="s">
        <v>2764</v>
      </c>
      <c r="C522" s="46" t="s">
        <v>2841</v>
      </c>
      <c r="D522" s="46" t="s">
        <v>3211</v>
      </c>
      <c r="E522" s="46" cm="1">
        <f t="array" ref="E522">personnel_nonteach_ht6_detailed_outdiv</f>
        <v>0</v>
      </c>
      <c r="F522" s="46" t="b">
        <v>1</v>
      </c>
    </row>
    <row r="523" spans="1:6">
      <c r="A523" s="46" t="s">
        <v>2842</v>
      </c>
      <c r="B523" s="46" t="s">
        <v>2764</v>
      </c>
      <c r="C523" s="46" t="s">
        <v>2842</v>
      </c>
      <c r="D523" s="46" t="s">
        <v>3212</v>
      </c>
      <c r="E523" s="46" cm="1">
        <f t="array" ref="E523">personnel_nonteach_ht6_borrowed_m</f>
        <v>0</v>
      </c>
      <c r="F523" s="46" t="b">
        <v>1</v>
      </c>
    </row>
    <row r="524" spans="1:6">
      <c r="A524" s="46" t="s">
        <v>2843</v>
      </c>
      <c r="B524" s="46" t="s">
        <v>2764</v>
      </c>
      <c r="C524" s="46" t="s">
        <v>2843</v>
      </c>
      <c r="D524" s="46" t="s">
        <v>3213</v>
      </c>
      <c r="E524" s="46" cm="1">
        <f t="array" ref="E524">personnel_nonteach_ht6_borrowed_f</f>
        <v>0</v>
      </c>
      <c r="F524" s="46" t="b">
        <v>1</v>
      </c>
    </row>
    <row r="525" spans="1:6">
      <c r="A525" s="46" t="s">
        <v>2844</v>
      </c>
      <c r="B525" s="46" t="s">
        <v>2764</v>
      </c>
      <c r="C525" s="46" t="s">
        <v>2844</v>
      </c>
      <c r="D525" s="46" t="s">
        <v>3214</v>
      </c>
      <c r="E525" s="46" cm="1">
        <f t="array" ref="E525">personnel_nonteach_ht5_psipop</f>
        <v>0</v>
      </c>
      <c r="F525" s="46" t="b">
        <v>1</v>
      </c>
    </row>
    <row r="526" spans="1:6">
      <c r="A526" s="46" t="s">
        <v>2845</v>
      </c>
      <c r="B526" s="46" t="s">
        <v>2764</v>
      </c>
      <c r="C526" s="46" t="s">
        <v>2845</v>
      </c>
      <c r="D526" s="46" t="s">
        <v>3215</v>
      </c>
      <c r="E526" s="46" cm="1">
        <f t="array" ref="E526">personnel_nonteach_ht5_actual_m</f>
        <v>0</v>
      </c>
      <c r="F526" s="46" t="b">
        <v>1</v>
      </c>
    </row>
    <row r="527" spans="1:6">
      <c r="A527" s="46" t="s">
        <v>2846</v>
      </c>
      <c r="B527" s="46" t="s">
        <v>2764</v>
      </c>
      <c r="C527" s="46" t="s">
        <v>2846</v>
      </c>
      <c r="D527" s="46" t="s">
        <v>3216</v>
      </c>
      <c r="E527" s="46" cm="1">
        <f t="array" ref="E527">personnel_nonteach_ht5_actual_f</f>
        <v>0</v>
      </c>
      <c r="F527" s="46" t="b">
        <v>1</v>
      </c>
    </row>
    <row r="528" spans="1:6">
      <c r="A528" s="46" t="s">
        <v>2847</v>
      </c>
      <c r="B528" s="46" t="s">
        <v>2764</v>
      </c>
      <c r="C528" s="46" t="s">
        <v>2847</v>
      </c>
      <c r="D528" s="46" t="s">
        <v>3217</v>
      </c>
      <c r="E528" s="46" cm="1">
        <f t="array" ref="E528">personnel_nonteach_ht5_onleave</f>
        <v>0</v>
      </c>
      <c r="F528" s="46" t="b">
        <v>1</v>
      </c>
    </row>
    <row r="529" spans="1:6">
      <c r="A529" s="46" t="s">
        <v>2848</v>
      </c>
      <c r="B529" s="46" t="s">
        <v>2764</v>
      </c>
      <c r="C529" s="46" t="s">
        <v>2848</v>
      </c>
      <c r="D529" s="46" t="s">
        <v>3218</v>
      </c>
      <c r="E529" s="46" cm="1">
        <f t="array" ref="E529">personnel_nonteach_ht5_vacant</f>
        <v>0</v>
      </c>
      <c r="F529" s="46" t="b">
        <v>1</v>
      </c>
    </row>
    <row r="530" spans="1:6">
      <c r="A530" s="46" t="s">
        <v>2849</v>
      </c>
      <c r="B530" s="46" t="s">
        <v>2764</v>
      </c>
      <c r="C530" s="46" t="s">
        <v>2849</v>
      </c>
      <c r="D530" s="46" t="s">
        <v>3219</v>
      </c>
      <c r="E530" s="46" cm="1">
        <f t="array" ref="E530">personnel_nonteach_ht5_detailed_hs</f>
        <v>0</v>
      </c>
      <c r="F530" s="46" t="b">
        <v>1</v>
      </c>
    </row>
    <row r="531" spans="1:6">
      <c r="A531" s="46" t="s">
        <v>2850</v>
      </c>
      <c r="B531" s="46" t="s">
        <v>2764</v>
      </c>
      <c r="C531" s="46" t="s">
        <v>2850</v>
      </c>
      <c r="D531" s="46" t="s">
        <v>3220</v>
      </c>
      <c r="E531" s="46" cm="1">
        <f t="array" ref="E531">personnel_nonteach_ht5_detailed_es</f>
        <v>0</v>
      </c>
      <c r="F531" s="46" t="b">
        <v>1</v>
      </c>
    </row>
    <row r="532" spans="1:6">
      <c r="A532" s="46" t="s">
        <v>2851</v>
      </c>
      <c r="B532" s="46" t="s">
        <v>2764</v>
      </c>
      <c r="C532" s="46" t="s">
        <v>2851</v>
      </c>
      <c r="D532" s="46" t="s">
        <v>3221</v>
      </c>
      <c r="E532" s="46" cm="1">
        <f t="array" ref="E532">personnel_nonteach_ht5_detailed_outdiv</f>
        <v>0</v>
      </c>
      <c r="F532" s="46" t="b">
        <v>1</v>
      </c>
    </row>
    <row r="533" spans="1:6">
      <c r="A533" s="46" t="s">
        <v>2852</v>
      </c>
      <c r="B533" s="46" t="s">
        <v>2764</v>
      </c>
      <c r="C533" s="46" t="s">
        <v>2852</v>
      </c>
      <c r="D533" s="46" t="s">
        <v>3222</v>
      </c>
      <c r="E533" s="46" cm="1">
        <f t="array" ref="E533">personnel_nonteach_ht5_borrowed_m</f>
        <v>0</v>
      </c>
      <c r="F533" s="46" t="b">
        <v>1</v>
      </c>
    </row>
    <row r="534" spans="1:6">
      <c r="A534" s="46" t="s">
        <v>2853</v>
      </c>
      <c r="B534" s="46" t="s">
        <v>2764</v>
      </c>
      <c r="C534" s="46" t="s">
        <v>2853</v>
      </c>
      <c r="D534" s="46" t="s">
        <v>3223</v>
      </c>
      <c r="E534" s="46" cm="1">
        <f t="array" ref="E534">personnel_nonteach_ht5_borrowed_f</f>
        <v>0</v>
      </c>
      <c r="F534" s="46" t="b">
        <v>1</v>
      </c>
    </row>
    <row r="535" spans="1:6">
      <c r="A535" s="46" t="s">
        <v>2854</v>
      </c>
      <c r="B535" s="46" t="s">
        <v>2764</v>
      </c>
      <c r="C535" s="46" t="s">
        <v>2854</v>
      </c>
      <c r="D535" s="46" t="s">
        <v>3224</v>
      </c>
      <c r="E535" s="46" cm="1">
        <f t="array" ref="E535">personnel_nonteach_ht4_psipop</f>
        <v>0</v>
      </c>
      <c r="F535" s="46" t="b">
        <v>1</v>
      </c>
    </row>
    <row r="536" spans="1:6">
      <c r="A536" s="46" t="s">
        <v>2855</v>
      </c>
      <c r="B536" s="46" t="s">
        <v>2764</v>
      </c>
      <c r="C536" s="46" t="s">
        <v>2855</v>
      </c>
      <c r="D536" s="46" t="s">
        <v>3225</v>
      </c>
      <c r="E536" s="46" cm="1">
        <f t="array" ref="E536">personnel_nonteach_ht4_actual_m</f>
        <v>0</v>
      </c>
      <c r="F536" s="46" t="b">
        <v>1</v>
      </c>
    </row>
    <row r="537" spans="1:6">
      <c r="A537" s="46" t="s">
        <v>2856</v>
      </c>
      <c r="B537" s="46" t="s">
        <v>2764</v>
      </c>
      <c r="C537" s="46" t="s">
        <v>2856</v>
      </c>
      <c r="D537" s="46" t="s">
        <v>3226</v>
      </c>
      <c r="E537" s="46" cm="1">
        <f t="array" ref="E537">personnel_nonteach_ht4_actual_f</f>
        <v>0</v>
      </c>
      <c r="F537" s="46" t="b">
        <v>1</v>
      </c>
    </row>
    <row r="538" spans="1:6">
      <c r="A538" s="46" t="s">
        <v>2857</v>
      </c>
      <c r="B538" s="46" t="s">
        <v>2764</v>
      </c>
      <c r="C538" s="46" t="s">
        <v>2857</v>
      </c>
      <c r="D538" s="46" t="s">
        <v>3227</v>
      </c>
      <c r="E538" s="46" cm="1">
        <f t="array" ref="E538">personnel_nonteach_ht4_onleave</f>
        <v>0</v>
      </c>
      <c r="F538" s="46" t="b">
        <v>1</v>
      </c>
    </row>
    <row r="539" spans="1:6">
      <c r="A539" s="46" t="s">
        <v>2858</v>
      </c>
      <c r="B539" s="46" t="s">
        <v>2764</v>
      </c>
      <c r="C539" s="46" t="s">
        <v>2858</v>
      </c>
      <c r="D539" s="46" t="s">
        <v>3228</v>
      </c>
      <c r="E539" s="46" cm="1">
        <f t="array" ref="E539">personnel_nonteach_ht4_vacant</f>
        <v>0</v>
      </c>
      <c r="F539" s="46" t="b">
        <v>1</v>
      </c>
    </row>
    <row r="540" spans="1:6">
      <c r="A540" s="46" t="s">
        <v>2859</v>
      </c>
      <c r="B540" s="46" t="s">
        <v>2764</v>
      </c>
      <c r="C540" s="46" t="s">
        <v>2859</v>
      </c>
      <c r="D540" s="46" t="s">
        <v>3229</v>
      </c>
      <c r="E540" s="46" cm="1">
        <f t="array" ref="E540">personnel_nonteach_ht4_detailed_hs</f>
        <v>0</v>
      </c>
      <c r="F540" s="46" t="b">
        <v>1</v>
      </c>
    </row>
    <row r="541" spans="1:6">
      <c r="A541" s="46" t="s">
        <v>2860</v>
      </c>
      <c r="B541" s="46" t="s">
        <v>2764</v>
      </c>
      <c r="C541" s="46" t="s">
        <v>2860</v>
      </c>
      <c r="D541" s="46" t="s">
        <v>3230</v>
      </c>
      <c r="E541" s="46" cm="1">
        <f t="array" ref="E541">personnel_nonteach_ht4_detailed_es</f>
        <v>0</v>
      </c>
      <c r="F541" s="46" t="b">
        <v>1</v>
      </c>
    </row>
    <row r="542" spans="1:6">
      <c r="A542" s="46" t="s">
        <v>2861</v>
      </c>
      <c r="B542" s="46" t="s">
        <v>2764</v>
      </c>
      <c r="C542" s="46" t="s">
        <v>2861</v>
      </c>
      <c r="D542" s="46" t="s">
        <v>3231</v>
      </c>
      <c r="E542" s="46" cm="1">
        <f t="array" ref="E542">personnel_nonteach_ht4_detailed_outdiv</f>
        <v>0</v>
      </c>
      <c r="F542" s="46" t="b">
        <v>1</v>
      </c>
    </row>
    <row r="543" spans="1:6">
      <c r="A543" s="46" t="s">
        <v>2862</v>
      </c>
      <c r="B543" s="46" t="s">
        <v>2764</v>
      </c>
      <c r="C543" s="46" t="s">
        <v>2862</v>
      </c>
      <c r="D543" s="46" t="s">
        <v>3232</v>
      </c>
      <c r="E543" s="46" cm="1">
        <f t="array" ref="E543">personnel_nonteach_ht4_borrowed_m</f>
        <v>0</v>
      </c>
      <c r="F543" s="46" t="b">
        <v>1</v>
      </c>
    </row>
    <row r="544" spans="1:6">
      <c r="A544" s="46" t="s">
        <v>2863</v>
      </c>
      <c r="B544" s="46" t="s">
        <v>2764</v>
      </c>
      <c r="C544" s="46" t="s">
        <v>2863</v>
      </c>
      <c r="D544" s="46" t="s">
        <v>3233</v>
      </c>
      <c r="E544" s="46" cm="1">
        <f t="array" ref="E544">personnel_nonteach_ht4_borrowed_f</f>
        <v>0</v>
      </c>
      <c r="F544" s="46" t="b">
        <v>1</v>
      </c>
    </row>
    <row r="545" spans="1:6">
      <c r="A545" s="46" t="s">
        <v>2864</v>
      </c>
      <c r="B545" s="46" t="s">
        <v>2764</v>
      </c>
      <c r="C545" s="46" t="s">
        <v>2864</v>
      </c>
      <c r="D545" s="46" t="s">
        <v>3234</v>
      </c>
      <c r="E545" s="46" cm="1">
        <f t="array" ref="E545">personnel_nonteach_ht3_psipop</f>
        <v>0</v>
      </c>
      <c r="F545" s="46" t="b">
        <v>1</v>
      </c>
    </row>
    <row r="546" spans="1:6">
      <c r="A546" s="46" t="s">
        <v>2865</v>
      </c>
      <c r="B546" s="46" t="s">
        <v>2764</v>
      </c>
      <c r="C546" s="46" t="s">
        <v>2865</v>
      </c>
      <c r="D546" s="46" t="s">
        <v>3235</v>
      </c>
      <c r="E546" s="46" cm="1">
        <f t="array" ref="E546">personnel_nonteach_ht3_actual_m</f>
        <v>0</v>
      </c>
      <c r="F546" s="46" t="b">
        <v>1</v>
      </c>
    </row>
    <row r="547" spans="1:6">
      <c r="A547" s="46" t="s">
        <v>2866</v>
      </c>
      <c r="B547" s="46" t="s">
        <v>2764</v>
      </c>
      <c r="C547" s="46" t="s">
        <v>2866</v>
      </c>
      <c r="D547" s="46" t="s">
        <v>3236</v>
      </c>
      <c r="E547" s="46" cm="1">
        <f t="array" ref="E547">personnel_nonteach_ht3_actual_f</f>
        <v>0</v>
      </c>
      <c r="F547" s="46" t="b">
        <v>1</v>
      </c>
    </row>
    <row r="548" spans="1:6">
      <c r="A548" s="46" t="s">
        <v>2867</v>
      </c>
      <c r="B548" s="46" t="s">
        <v>2764</v>
      </c>
      <c r="C548" s="46" t="s">
        <v>2867</v>
      </c>
      <c r="D548" s="46" t="s">
        <v>3237</v>
      </c>
      <c r="E548" s="46" cm="1">
        <f t="array" ref="E548">personnel_nonteach_ht3_onleave</f>
        <v>0</v>
      </c>
      <c r="F548" s="46" t="b">
        <v>1</v>
      </c>
    </row>
    <row r="549" spans="1:6">
      <c r="A549" s="46" t="s">
        <v>2868</v>
      </c>
      <c r="B549" s="46" t="s">
        <v>2764</v>
      </c>
      <c r="C549" s="46" t="s">
        <v>2868</v>
      </c>
      <c r="D549" s="46" t="s">
        <v>3238</v>
      </c>
      <c r="E549" s="46" cm="1">
        <f t="array" ref="E549">personnel_nonteach_ht3_vacant</f>
        <v>0</v>
      </c>
      <c r="F549" s="46" t="b">
        <v>1</v>
      </c>
    </row>
    <row r="550" spans="1:6">
      <c r="A550" s="46" t="s">
        <v>2869</v>
      </c>
      <c r="B550" s="46" t="s">
        <v>2764</v>
      </c>
      <c r="C550" s="46" t="s">
        <v>2869</v>
      </c>
      <c r="D550" s="46" t="s">
        <v>3239</v>
      </c>
      <c r="E550" s="46" cm="1">
        <f t="array" ref="E550">personnel_nonteach_ht3_detailed_hs</f>
        <v>0</v>
      </c>
      <c r="F550" s="46" t="b">
        <v>1</v>
      </c>
    </row>
    <row r="551" spans="1:6">
      <c r="A551" s="46" t="s">
        <v>2870</v>
      </c>
      <c r="B551" s="46" t="s">
        <v>2764</v>
      </c>
      <c r="C551" s="46" t="s">
        <v>2870</v>
      </c>
      <c r="D551" s="46" t="s">
        <v>3240</v>
      </c>
      <c r="E551" s="46" cm="1">
        <f t="array" ref="E551">personnel_nonteach_ht3_detailed_es</f>
        <v>0</v>
      </c>
      <c r="F551" s="46" t="b">
        <v>1</v>
      </c>
    </row>
    <row r="552" spans="1:6">
      <c r="A552" s="46" t="s">
        <v>2871</v>
      </c>
      <c r="B552" s="46" t="s">
        <v>2764</v>
      </c>
      <c r="C552" s="46" t="s">
        <v>2871</v>
      </c>
      <c r="D552" s="46" t="s">
        <v>3241</v>
      </c>
      <c r="E552" s="46" cm="1">
        <f t="array" ref="E552">personnel_nonteach_ht3_detailed_outdiv</f>
        <v>0</v>
      </c>
      <c r="F552" s="46" t="b">
        <v>1</v>
      </c>
    </row>
    <row r="553" spans="1:6">
      <c r="A553" s="46" t="s">
        <v>2872</v>
      </c>
      <c r="B553" s="46" t="s">
        <v>2764</v>
      </c>
      <c r="C553" s="46" t="s">
        <v>2872</v>
      </c>
      <c r="D553" s="46" t="s">
        <v>3242</v>
      </c>
      <c r="E553" s="46" cm="1">
        <f t="array" ref="E553">personnel_nonteach_ht3_borrowed_m</f>
        <v>0</v>
      </c>
      <c r="F553" s="46" t="b">
        <v>1</v>
      </c>
    </row>
    <row r="554" spans="1:6">
      <c r="A554" s="46" t="s">
        <v>2873</v>
      </c>
      <c r="B554" s="46" t="s">
        <v>2764</v>
      </c>
      <c r="C554" s="46" t="s">
        <v>2873</v>
      </c>
      <c r="D554" s="46" t="s">
        <v>3243</v>
      </c>
      <c r="E554" s="46" cm="1">
        <f t="array" ref="E554">personnel_nonteach_ht3_borrowed_f</f>
        <v>0</v>
      </c>
      <c r="F554" s="46" t="b">
        <v>1</v>
      </c>
    </row>
    <row r="555" spans="1:6">
      <c r="A555" s="46" t="s">
        <v>2874</v>
      </c>
      <c r="B555" s="46" t="s">
        <v>2764</v>
      </c>
      <c r="C555" s="46" t="s">
        <v>2874</v>
      </c>
      <c r="D555" s="46" t="s">
        <v>3244</v>
      </c>
      <c r="E555" s="46" cm="1">
        <f t="array" ref="E555">personnel_nonteach_ht2_psipop</f>
        <v>0</v>
      </c>
      <c r="F555" s="46" t="b">
        <v>1</v>
      </c>
    </row>
    <row r="556" spans="1:6">
      <c r="A556" s="46" t="s">
        <v>2875</v>
      </c>
      <c r="B556" s="46" t="s">
        <v>2764</v>
      </c>
      <c r="C556" s="46" t="s">
        <v>2875</v>
      </c>
      <c r="D556" s="46" t="s">
        <v>3245</v>
      </c>
      <c r="E556" s="46" cm="1">
        <f t="array" ref="E556">personnel_nonteach_ht2_actual_m</f>
        <v>0</v>
      </c>
      <c r="F556" s="46" t="b">
        <v>1</v>
      </c>
    </row>
    <row r="557" spans="1:6">
      <c r="A557" s="46" t="s">
        <v>2876</v>
      </c>
      <c r="B557" s="46" t="s">
        <v>2764</v>
      </c>
      <c r="C557" s="46" t="s">
        <v>2876</v>
      </c>
      <c r="D557" s="46" t="s">
        <v>3246</v>
      </c>
      <c r="E557" s="46" cm="1">
        <f t="array" ref="E557">personnel_nonteach_ht2_actual_f</f>
        <v>0</v>
      </c>
      <c r="F557" s="46" t="b">
        <v>1</v>
      </c>
    </row>
    <row r="558" spans="1:6">
      <c r="A558" s="46" t="s">
        <v>2877</v>
      </c>
      <c r="B558" s="46" t="s">
        <v>2764</v>
      </c>
      <c r="C558" s="46" t="s">
        <v>2877</v>
      </c>
      <c r="D558" s="46" t="s">
        <v>3247</v>
      </c>
      <c r="E558" s="46" cm="1">
        <f t="array" ref="E558">personnel_nonteach_ht2_onleave</f>
        <v>0</v>
      </c>
      <c r="F558" s="46" t="b">
        <v>1</v>
      </c>
    </row>
    <row r="559" spans="1:6">
      <c r="A559" s="46" t="s">
        <v>2878</v>
      </c>
      <c r="B559" s="46" t="s">
        <v>2764</v>
      </c>
      <c r="C559" s="46" t="s">
        <v>2878</v>
      </c>
      <c r="D559" s="46" t="s">
        <v>3248</v>
      </c>
      <c r="E559" s="46" cm="1">
        <f t="array" ref="E559">personnel_nonteach_ht2_vacant</f>
        <v>0</v>
      </c>
      <c r="F559" s="46" t="b">
        <v>1</v>
      </c>
    </row>
    <row r="560" spans="1:6">
      <c r="A560" s="46" t="s">
        <v>2879</v>
      </c>
      <c r="B560" s="46" t="s">
        <v>2764</v>
      </c>
      <c r="C560" s="46" t="s">
        <v>2879</v>
      </c>
      <c r="D560" s="46" t="s">
        <v>3249</v>
      </c>
      <c r="E560" s="46" cm="1">
        <f t="array" ref="E560">personnel_nonteach_ht2_detailed_hs</f>
        <v>0</v>
      </c>
      <c r="F560" s="46" t="b">
        <v>1</v>
      </c>
    </row>
    <row r="561" spans="1:6">
      <c r="A561" s="46" t="s">
        <v>2880</v>
      </c>
      <c r="B561" s="46" t="s">
        <v>2764</v>
      </c>
      <c r="C561" s="46" t="s">
        <v>2880</v>
      </c>
      <c r="D561" s="46" t="s">
        <v>3250</v>
      </c>
      <c r="E561" s="46" cm="1">
        <f t="array" ref="E561">personnel_nonteach_ht2_detailed_es</f>
        <v>0</v>
      </c>
      <c r="F561" s="46" t="b">
        <v>1</v>
      </c>
    </row>
    <row r="562" spans="1:6">
      <c r="A562" s="46" t="s">
        <v>2881</v>
      </c>
      <c r="B562" s="46" t="s">
        <v>2764</v>
      </c>
      <c r="C562" s="46" t="s">
        <v>2881</v>
      </c>
      <c r="D562" s="46" t="s">
        <v>3251</v>
      </c>
      <c r="E562" s="46" cm="1">
        <f t="array" ref="E562">personnel_nonteach_ht2_detailed_outdiv</f>
        <v>0</v>
      </c>
      <c r="F562" s="46" t="b">
        <v>1</v>
      </c>
    </row>
    <row r="563" spans="1:6">
      <c r="A563" s="46" t="s">
        <v>2882</v>
      </c>
      <c r="B563" s="46" t="s">
        <v>2764</v>
      </c>
      <c r="C563" s="46" t="s">
        <v>2882</v>
      </c>
      <c r="D563" s="46" t="s">
        <v>3252</v>
      </c>
      <c r="E563" s="46" cm="1">
        <f t="array" ref="E563">personnel_nonteach_ht2_borrowed_m</f>
        <v>0</v>
      </c>
      <c r="F563" s="46" t="b">
        <v>1</v>
      </c>
    </row>
    <row r="564" spans="1:6">
      <c r="A564" s="46" t="s">
        <v>2883</v>
      </c>
      <c r="B564" s="46" t="s">
        <v>2764</v>
      </c>
      <c r="C564" s="46" t="s">
        <v>2883</v>
      </c>
      <c r="D564" s="46" t="s">
        <v>3253</v>
      </c>
      <c r="E564" s="46" cm="1">
        <f t="array" ref="E564">personnel_nonteach_ht2_borrowed_f</f>
        <v>0</v>
      </c>
      <c r="F564" s="46" t="b">
        <v>1</v>
      </c>
    </row>
    <row r="565" spans="1:6">
      <c r="A565" s="46" t="s">
        <v>2884</v>
      </c>
      <c r="B565" s="46" t="s">
        <v>2764</v>
      </c>
      <c r="C565" s="46" t="s">
        <v>2884</v>
      </c>
      <c r="D565" s="46" t="s">
        <v>3254</v>
      </c>
      <c r="E565" s="46" cm="1">
        <f t="array" ref="E565">personnel_nonteach_ht1_psipop</f>
        <v>0</v>
      </c>
      <c r="F565" s="46" t="b">
        <v>1</v>
      </c>
    </row>
    <row r="566" spans="1:6">
      <c r="A566" s="46" t="s">
        <v>2885</v>
      </c>
      <c r="B566" s="46" t="s">
        <v>2764</v>
      </c>
      <c r="C566" s="46" t="s">
        <v>2885</v>
      </c>
      <c r="D566" s="46" t="s">
        <v>3255</v>
      </c>
      <c r="E566" s="46" cm="1">
        <f t="array" ref="E566">personnel_nonteach_ht1_actual_m</f>
        <v>0</v>
      </c>
      <c r="F566" s="46" t="b">
        <v>1</v>
      </c>
    </row>
    <row r="567" spans="1:6">
      <c r="A567" s="46" t="s">
        <v>2886</v>
      </c>
      <c r="B567" s="46" t="s">
        <v>2764</v>
      </c>
      <c r="C567" s="46" t="s">
        <v>2886</v>
      </c>
      <c r="D567" s="46" t="s">
        <v>3256</v>
      </c>
      <c r="E567" s="46" cm="1">
        <f t="array" ref="E567">personnel_nonteach_ht1_actual_f</f>
        <v>0</v>
      </c>
      <c r="F567" s="46" t="b">
        <v>1</v>
      </c>
    </row>
    <row r="568" spans="1:6">
      <c r="A568" s="46" t="s">
        <v>2887</v>
      </c>
      <c r="B568" s="46" t="s">
        <v>2764</v>
      </c>
      <c r="C568" s="46" t="s">
        <v>2887</v>
      </c>
      <c r="D568" s="46" t="s">
        <v>3257</v>
      </c>
      <c r="E568" s="46" cm="1">
        <f t="array" ref="E568">personnel_nonteach_ht1_onleave</f>
        <v>0</v>
      </c>
      <c r="F568" s="46" t="b">
        <v>1</v>
      </c>
    </row>
    <row r="569" spans="1:6">
      <c r="A569" s="46" t="s">
        <v>2888</v>
      </c>
      <c r="B569" s="46" t="s">
        <v>2764</v>
      </c>
      <c r="C569" s="46" t="s">
        <v>2888</v>
      </c>
      <c r="D569" s="46" t="s">
        <v>3258</v>
      </c>
      <c r="E569" s="46" cm="1">
        <f t="array" ref="E569">personnel_nonteach_ht1_vacant</f>
        <v>0</v>
      </c>
      <c r="F569" s="46" t="b">
        <v>1</v>
      </c>
    </row>
    <row r="570" spans="1:6">
      <c r="A570" s="46" t="s">
        <v>2889</v>
      </c>
      <c r="B570" s="46" t="s">
        <v>2764</v>
      </c>
      <c r="C570" s="46" t="s">
        <v>2889</v>
      </c>
      <c r="D570" s="46" t="s">
        <v>3259</v>
      </c>
      <c r="E570" s="46" cm="1">
        <f t="array" ref="E570">personnel_nonteach_ht1_detailed_hs</f>
        <v>0</v>
      </c>
      <c r="F570" s="46" t="b">
        <v>1</v>
      </c>
    </row>
    <row r="571" spans="1:6">
      <c r="A571" s="46" t="s">
        <v>2890</v>
      </c>
      <c r="B571" s="46" t="s">
        <v>2764</v>
      </c>
      <c r="C571" s="46" t="s">
        <v>2890</v>
      </c>
      <c r="D571" s="46" t="s">
        <v>3260</v>
      </c>
      <c r="E571" s="46" cm="1">
        <f t="array" ref="E571">personnel_nonteach_ht1_detailed_es</f>
        <v>0</v>
      </c>
      <c r="F571" s="46" t="b">
        <v>1</v>
      </c>
    </row>
    <row r="572" spans="1:6">
      <c r="A572" s="46" t="s">
        <v>2891</v>
      </c>
      <c r="B572" s="46" t="s">
        <v>2764</v>
      </c>
      <c r="C572" s="46" t="s">
        <v>2891</v>
      </c>
      <c r="D572" s="46" t="s">
        <v>3261</v>
      </c>
      <c r="E572" s="46" cm="1">
        <f t="array" ref="E572">personnel_nonteach_ht1_detailed_outdiv</f>
        <v>0</v>
      </c>
      <c r="F572" s="46" t="b">
        <v>1</v>
      </c>
    </row>
    <row r="573" spans="1:6">
      <c r="A573" s="46" t="s">
        <v>2892</v>
      </c>
      <c r="B573" s="46" t="s">
        <v>2764</v>
      </c>
      <c r="C573" s="46" t="s">
        <v>2892</v>
      </c>
      <c r="D573" s="46" t="s">
        <v>3262</v>
      </c>
      <c r="E573" s="46" cm="1">
        <f t="array" ref="E573">personnel_nonteach_ht1_borrowed_m</f>
        <v>0</v>
      </c>
      <c r="F573" s="46" t="b">
        <v>1</v>
      </c>
    </row>
    <row r="574" spans="1:6">
      <c r="A574" s="46" t="s">
        <v>2893</v>
      </c>
      <c r="B574" s="46" t="s">
        <v>2764</v>
      </c>
      <c r="C574" s="46" t="s">
        <v>2893</v>
      </c>
      <c r="D574" s="46" t="s">
        <v>3263</v>
      </c>
      <c r="E574" s="46" cm="1">
        <f t="array" ref="E574">personnel_nonteach_ht1_borrowed_f</f>
        <v>0</v>
      </c>
      <c r="F574" s="46" t="b">
        <v>1</v>
      </c>
    </row>
    <row r="575" spans="1:6">
      <c r="A575" s="46" t="s">
        <v>2894</v>
      </c>
      <c r="B575" s="46" t="s">
        <v>2764</v>
      </c>
      <c r="C575" s="46" t="s">
        <v>2894</v>
      </c>
      <c r="D575" s="46" t="s">
        <v>3264</v>
      </c>
      <c r="E575" s="46" cm="1">
        <f t="array" ref="E575">personnel_nonteach_schnurse_psipop</f>
        <v>0</v>
      </c>
      <c r="F575" s="46" t="b">
        <v>1</v>
      </c>
    </row>
    <row r="576" spans="1:6">
      <c r="A576" s="46" t="s">
        <v>2895</v>
      </c>
      <c r="B576" s="46" t="s">
        <v>2764</v>
      </c>
      <c r="C576" s="46" t="s">
        <v>2895</v>
      </c>
      <c r="D576" s="46" t="s">
        <v>3265</v>
      </c>
      <c r="E576" s="46" cm="1">
        <f t="array" ref="E576">personnel_nonteach_schnurse_actual_m</f>
        <v>0</v>
      </c>
      <c r="F576" s="46" t="b">
        <v>1</v>
      </c>
    </row>
    <row r="577" spans="1:6">
      <c r="A577" s="46" t="s">
        <v>2896</v>
      </c>
      <c r="B577" s="46" t="s">
        <v>2764</v>
      </c>
      <c r="C577" s="46" t="s">
        <v>2896</v>
      </c>
      <c r="D577" s="46" t="s">
        <v>3266</v>
      </c>
      <c r="E577" s="46" cm="1">
        <f t="array" ref="E577">personnel_nonteach_schnurse_actual_f</f>
        <v>0</v>
      </c>
      <c r="F577" s="46" t="b">
        <v>1</v>
      </c>
    </row>
    <row r="578" spans="1:6">
      <c r="A578" s="46" t="s">
        <v>2897</v>
      </c>
      <c r="B578" s="46" t="s">
        <v>2764</v>
      </c>
      <c r="C578" s="46" t="s">
        <v>2897</v>
      </c>
      <c r="D578" s="46" t="s">
        <v>3267</v>
      </c>
      <c r="E578" s="46" cm="1">
        <f t="array" ref="E578">personnel_nonteach_schnurse_onleave</f>
        <v>0</v>
      </c>
      <c r="F578" s="46" t="b">
        <v>1</v>
      </c>
    </row>
    <row r="579" spans="1:6">
      <c r="A579" s="46" t="s">
        <v>2898</v>
      </c>
      <c r="B579" s="46" t="s">
        <v>2764</v>
      </c>
      <c r="C579" s="46" t="s">
        <v>2898</v>
      </c>
      <c r="D579" s="46" t="s">
        <v>3268</v>
      </c>
      <c r="E579" s="46" cm="1">
        <f t="array" ref="E579">personnel_nonteach_schnurse_vacant</f>
        <v>0</v>
      </c>
      <c r="F579" s="46" t="b">
        <v>1</v>
      </c>
    </row>
    <row r="580" spans="1:6">
      <c r="A580" s="46" t="s">
        <v>2899</v>
      </c>
      <c r="B580" s="46" t="s">
        <v>2764</v>
      </c>
      <c r="C580" s="46" t="s">
        <v>2899</v>
      </c>
      <c r="D580" s="46" t="s">
        <v>3269</v>
      </c>
      <c r="E580" s="46" cm="1">
        <f t="array" ref="E580">personnel_nonteach_schnurse_detailed_hs</f>
        <v>0</v>
      </c>
      <c r="F580" s="46" t="b">
        <v>1</v>
      </c>
    </row>
    <row r="581" spans="1:6">
      <c r="A581" s="46" t="s">
        <v>2900</v>
      </c>
      <c r="B581" s="46" t="s">
        <v>2764</v>
      </c>
      <c r="C581" s="46" t="s">
        <v>2900</v>
      </c>
      <c r="D581" s="46" t="s">
        <v>3270</v>
      </c>
      <c r="E581" s="46" cm="1">
        <f t="array" ref="E581">personnel_nonteach_schnurse_detailed_es</f>
        <v>0</v>
      </c>
      <c r="F581" s="46" t="b">
        <v>1</v>
      </c>
    </row>
    <row r="582" spans="1:6">
      <c r="A582" s="46" t="s">
        <v>2901</v>
      </c>
      <c r="B582" s="46" t="s">
        <v>2764</v>
      </c>
      <c r="C582" s="46" t="s">
        <v>2901</v>
      </c>
      <c r="D582" s="46" t="s">
        <v>3271</v>
      </c>
      <c r="E582" s="46" cm="1">
        <f t="array" ref="E582">personnel_nonteach_schnurse_detailed_outdiv</f>
        <v>0</v>
      </c>
      <c r="F582" s="46" t="b">
        <v>1</v>
      </c>
    </row>
    <row r="583" spans="1:6">
      <c r="A583" s="46" t="s">
        <v>2902</v>
      </c>
      <c r="B583" s="46" t="s">
        <v>2764</v>
      </c>
      <c r="C583" s="46" t="s">
        <v>2902</v>
      </c>
      <c r="D583" s="46" t="s">
        <v>3272</v>
      </c>
      <c r="E583" s="46" cm="1">
        <f t="array" ref="E583">personnel_nonteach_schnurse_borrowed_m</f>
        <v>0</v>
      </c>
      <c r="F583" s="46" t="b">
        <v>1</v>
      </c>
    </row>
    <row r="584" spans="1:6">
      <c r="A584" s="46" t="s">
        <v>2903</v>
      </c>
      <c r="B584" s="46" t="s">
        <v>2764</v>
      </c>
      <c r="C584" s="46" t="s">
        <v>2903</v>
      </c>
      <c r="D584" s="46" t="s">
        <v>3273</v>
      </c>
      <c r="E584" s="46" cm="1">
        <f t="array" ref="E584">personnel_nonteach_schnurse_borrowed_f</f>
        <v>0</v>
      </c>
      <c r="F584" s="46" t="b">
        <v>1</v>
      </c>
    </row>
    <row r="585" spans="1:6">
      <c r="A585" s="46" t="s">
        <v>2904</v>
      </c>
      <c r="B585" s="46" t="s">
        <v>2764</v>
      </c>
      <c r="C585" s="46" t="s">
        <v>2904</v>
      </c>
      <c r="D585" s="46" t="s">
        <v>3274</v>
      </c>
      <c r="E585" s="46" cm="1">
        <f t="array" ref="E585">personnel_nonteach_adminofcr4_psipop</f>
        <v>0</v>
      </c>
      <c r="F585" s="46" t="b">
        <v>1</v>
      </c>
    </row>
    <row r="586" spans="1:6">
      <c r="A586" s="46" t="s">
        <v>2905</v>
      </c>
      <c r="B586" s="46" t="s">
        <v>2764</v>
      </c>
      <c r="C586" s="46" t="s">
        <v>2905</v>
      </c>
      <c r="D586" s="46" t="s">
        <v>3275</v>
      </c>
      <c r="E586" s="46" cm="1">
        <f t="array" ref="E586">personnel_nonteach_adminofcr4_actual_m</f>
        <v>0</v>
      </c>
      <c r="F586" s="46" t="b">
        <v>1</v>
      </c>
    </row>
    <row r="587" spans="1:6">
      <c r="A587" s="46" t="s">
        <v>2906</v>
      </c>
      <c r="B587" s="46" t="s">
        <v>2764</v>
      </c>
      <c r="C587" s="46" t="s">
        <v>2906</v>
      </c>
      <c r="D587" s="46" t="s">
        <v>3276</v>
      </c>
      <c r="E587" s="46" cm="1">
        <f t="array" ref="E587">personnel_nonteach_adminofcr4_actual_f</f>
        <v>0</v>
      </c>
      <c r="F587" s="46" t="b">
        <v>1</v>
      </c>
    </row>
    <row r="588" spans="1:6">
      <c r="A588" s="46" t="s">
        <v>2907</v>
      </c>
      <c r="B588" s="46" t="s">
        <v>2764</v>
      </c>
      <c r="C588" s="46" t="s">
        <v>2907</v>
      </c>
      <c r="D588" s="46" t="s">
        <v>3277</v>
      </c>
      <c r="E588" s="46" cm="1">
        <f t="array" ref="E588">personnel_nonteach_adminofcr4_onleave</f>
        <v>0</v>
      </c>
      <c r="F588" s="46" t="b">
        <v>1</v>
      </c>
    </row>
    <row r="589" spans="1:6">
      <c r="A589" s="46" t="s">
        <v>2908</v>
      </c>
      <c r="B589" s="46" t="s">
        <v>2764</v>
      </c>
      <c r="C589" s="46" t="s">
        <v>2908</v>
      </c>
      <c r="D589" s="46" t="s">
        <v>3278</v>
      </c>
      <c r="E589" s="46" cm="1">
        <f t="array" ref="E589">personnel_nonteach_adminofcr4_vacant</f>
        <v>0</v>
      </c>
      <c r="F589" s="46" t="b">
        <v>1</v>
      </c>
    </row>
    <row r="590" spans="1:6">
      <c r="A590" s="46" t="s">
        <v>2909</v>
      </c>
      <c r="B590" s="46" t="s">
        <v>2764</v>
      </c>
      <c r="C590" s="46" t="s">
        <v>2909</v>
      </c>
      <c r="D590" s="46" t="s">
        <v>3279</v>
      </c>
      <c r="E590" s="46" cm="1">
        <f t="array" ref="E590">personnel_nonteach_adminofcr4_detailed_hs</f>
        <v>0</v>
      </c>
      <c r="F590" s="46" t="b">
        <v>1</v>
      </c>
    </row>
    <row r="591" spans="1:6">
      <c r="A591" s="46" t="s">
        <v>2910</v>
      </c>
      <c r="B591" s="46" t="s">
        <v>2764</v>
      </c>
      <c r="C591" s="46" t="s">
        <v>2910</v>
      </c>
      <c r="D591" s="46" t="s">
        <v>3280</v>
      </c>
      <c r="E591" s="46" cm="1">
        <f t="array" ref="E591">personnel_nonteach_adminofcr4_detailed_es</f>
        <v>0</v>
      </c>
      <c r="F591" s="46" t="b">
        <v>1</v>
      </c>
    </row>
    <row r="592" spans="1:6">
      <c r="A592" s="46" t="s">
        <v>2911</v>
      </c>
      <c r="B592" s="46" t="s">
        <v>2764</v>
      </c>
      <c r="C592" s="46" t="s">
        <v>2911</v>
      </c>
      <c r="D592" s="46" t="s">
        <v>3281</v>
      </c>
      <c r="E592" s="46" cm="1">
        <f t="array" ref="E592">personnel_nonteach_adminofcr4_detailed_outdiv</f>
        <v>0</v>
      </c>
      <c r="F592" s="46" t="b">
        <v>1</v>
      </c>
    </row>
    <row r="593" spans="1:6">
      <c r="A593" s="46" t="s">
        <v>2912</v>
      </c>
      <c r="B593" s="46" t="s">
        <v>2764</v>
      </c>
      <c r="C593" s="46" t="s">
        <v>2912</v>
      </c>
      <c r="D593" s="46" t="s">
        <v>3282</v>
      </c>
      <c r="E593" s="46" cm="1">
        <f t="array" ref="E593">personnel_nonteach_adminofcr4_borrowed_m</f>
        <v>0</v>
      </c>
      <c r="F593" s="46" t="b">
        <v>1</v>
      </c>
    </row>
    <row r="594" spans="1:6">
      <c r="A594" s="46" t="s">
        <v>2913</v>
      </c>
      <c r="B594" s="46" t="s">
        <v>2764</v>
      </c>
      <c r="C594" s="46" t="s">
        <v>2913</v>
      </c>
      <c r="D594" s="46" t="s">
        <v>3283</v>
      </c>
      <c r="E594" s="46" cm="1">
        <f t="array" ref="E594">personnel_nonteach_adminofcr4_borrowed_f</f>
        <v>0</v>
      </c>
      <c r="F594" s="46" t="b">
        <v>1</v>
      </c>
    </row>
    <row r="595" spans="1:6">
      <c r="A595" s="46" t="s">
        <v>2914</v>
      </c>
      <c r="B595" s="46" t="s">
        <v>2764</v>
      </c>
      <c r="C595" s="46" t="s">
        <v>2914</v>
      </c>
      <c r="D595" s="46" t="s">
        <v>3284</v>
      </c>
      <c r="E595" s="46" cm="1">
        <f t="array" ref="E595">personnel_nonteach_adminofcr2_psipop</f>
        <v>1</v>
      </c>
      <c r="F595" s="46" t="b">
        <v>1</v>
      </c>
    </row>
    <row r="596" spans="1:6">
      <c r="A596" s="46" t="s">
        <v>2915</v>
      </c>
      <c r="B596" s="46" t="s">
        <v>2764</v>
      </c>
      <c r="C596" s="46" t="s">
        <v>2915</v>
      </c>
      <c r="D596" s="46" t="s">
        <v>3285</v>
      </c>
      <c r="E596" s="46" cm="1">
        <f t="array" ref="E596">personnel_nonteach_adminofcr2_actual_m</f>
        <v>0</v>
      </c>
      <c r="F596" s="46" t="b">
        <v>1</v>
      </c>
    </row>
    <row r="597" spans="1:6">
      <c r="A597" s="46" t="s">
        <v>2916</v>
      </c>
      <c r="B597" s="46" t="s">
        <v>2764</v>
      </c>
      <c r="C597" s="46" t="s">
        <v>2916</v>
      </c>
      <c r="D597" s="46" t="s">
        <v>3286</v>
      </c>
      <c r="E597" s="46" cm="1">
        <f t="array" ref="E597">personnel_nonteach_adminofcr2_actual_f</f>
        <v>1</v>
      </c>
      <c r="F597" s="46" t="b">
        <v>1</v>
      </c>
    </row>
    <row r="598" spans="1:6">
      <c r="A598" s="46" t="s">
        <v>2917</v>
      </c>
      <c r="B598" s="46" t="s">
        <v>2764</v>
      </c>
      <c r="C598" s="46" t="s">
        <v>2917</v>
      </c>
      <c r="D598" s="46" t="s">
        <v>3287</v>
      </c>
      <c r="E598" s="46" cm="1">
        <f t="array" ref="E598">personnel_nonteach_adminofcr2_onleave</f>
        <v>0</v>
      </c>
      <c r="F598" s="46" t="b">
        <v>1</v>
      </c>
    </row>
    <row r="599" spans="1:6">
      <c r="A599" s="46" t="s">
        <v>2918</v>
      </c>
      <c r="B599" s="46" t="s">
        <v>2764</v>
      </c>
      <c r="C599" s="46" t="s">
        <v>2918</v>
      </c>
      <c r="D599" s="46" t="s">
        <v>3288</v>
      </c>
      <c r="E599" s="46" cm="1">
        <f t="array" ref="E599">personnel_nonteach_adminofcr2_vacant</f>
        <v>0</v>
      </c>
      <c r="F599" s="46" t="b">
        <v>1</v>
      </c>
    </row>
    <row r="600" spans="1:6">
      <c r="A600" s="46" t="s">
        <v>2919</v>
      </c>
      <c r="B600" s="46" t="s">
        <v>2764</v>
      </c>
      <c r="C600" s="46" t="s">
        <v>2919</v>
      </c>
      <c r="D600" s="46" t="s">
        <v>3289</v>
      </c>
      <c r="E600" s="46" cm="1">
        <f t="array" ref="E600">personnel_nonteach_adminofcr2_detailed_hs</f>
        <v>0</v>
      </c>
      <c r="F600" s="46" t="b">
        <v>1</v>
      </c>
    </row>
    <row r="601" spans="1:6">
      <c r="A601" s="46" t="s">
        <v>2920</v>
      </c>
      <c r="B601" s="46" t="s">
        <v>2764</v>
      </c>
      <c r="C601" s="46" t="s">
        <v>2920</v>
      </c>
      <c r="D601" s="46" t="s">
        <v>3290</v>
      </c>
      <c r="E601" s="46" cm="1">
        <f t="array" ref="E601">personnel_nonteach_adminofcr2_detailed_es</f>
        <v>0</v>
      </c>
      <c r="F601" s="46" t="b">
        <v>1</v>
      </c>
    </row>
    <row r="602" spans="1:6">
      <c r="A602" s="46" t="s">
        <v>2921</v>
      </c>
      <c r="B602" s="46" t="s">
        <v>2764</v>
      </c>
      <c r="C602" s="46" t="s">
        <v>2921</v>
      </c>
      <c r="D602" s="46" t="s">
        <v>3291</v>
      </c>
      <c r="E602" s="46" cm="1">
        <f t="array" ref="E602">personnel_nonteach_adminofcr2_detailed_outdiv</f>
        <v>0</v>
      </c>
      <c r="F602" s="46" t="b">
        <v>1</v>
      </c>
    </row>
    <row r="603" spans="1:6">
      <c r="A603" s="46" t="s">
        <v>2922</v>
      </c>
      <c r="B603" s="46" t="s">
        <v>2764</v>
      </c>
      <c r="C603" s="46" t="s">
        <v>2922</v>
      </c>
      <c r="D603" s="46" t="s">
        <v>3292</v>
      </c>
      <c r="E603" s="46" cm="1">
        <f t="array" ref="E603">personnel_nonteach_adminofcr2_borrowed_m</f>
        <v>0</v>
      </c>
      <c r="F603" s="46" t="b">
        <v>1</v>
      </c>
    </row>
    <row r="604" spans="1:6">
      <c r="A604" s="46" t="s">
        <v>2923</v>
      </c>
      <c r="B604" s="46" t="s">
        <v>2764</v>
      </c>
      <c r="C604" s="46" t="s">
        <v>2923</v>
      </c>
      <c r="D604" s="46" t="s">
        <v>3293</v>
      </c>
      <c r="E604" s="46" cm="1">
        <f t="array" ref="E604">personnel_nonteach_adminofcr2_borrowed_f</f>
        <v>0</v>
      </c>
      <c r="F604" s="46" t="b">
        <v>1</v>
      </c>
    </row>
    <row r="605" spans="1:6">
      <c r="A605" s="46" t="s">
        <v>2924</v>
      </c>
      <c r="B605" s="46" t="s">
        <v>2764</v>
      </c>
      <c r="C605" s="46" t="s">
        <v>2924</v>
      </c>
      <c r="D605" s="46" t="s">
        <v>3294</v>
      </c>
      <c r="E605" s="46" cm="1">
        <f t="array" ref="E605">personnel_nonteach_schlibr3_psipop</f>
        <v>0</v>
      </c>
      <c r="F605" s="46" t="b">
        <v>1</v>
      </c>
    </row>
    <row r="606" spans="1:6">
      <c r="A606" s="46" t="s">
        <v>2925</v>
      </c>
      <c r="B606" s="46" t="s">
        <v>2764</v>
      </c>
      <c r="C606" s="46" t="s">
        <v>2925</v>
      </c>
      <c r="D606" s="46" t="s">
        <v>3295</v>
      </c>
      <c r="E606" s="46" cm="1">
        <f t="array" ref="E606">personnel_nonteach_schlibr3_actual_m</f>
        <v>0</v>
      </c>
      <c r="F606" s="46" t="b">
        <v>1</v>
      </c>
    </row>
    <row r="607" spans="1:6">
      <c r="A607" s="46" t="s">
        <v>2926</v>
      </c>
      <c r="B607" s="46" t="s">
        <v>2764</v>
      </c>
      <c r="C607" s="46" t="s">
        <v>2926</v>
      </c>
      <c r="D607" s="46" t="s">
        <v>3296</v>
      </c>
      <c r="E607" s="46" cm="1">
        <f t="array" ref="E607">personnel_nonteach_schlibr3_actual_f</f>
        <v>0</v>
      </c>
      <c r="F607" s="46" t="b">
        <v>1</v>
      </c>
    </row>
    <row r="608" spans="1:6">
      <c r="A608" s="46" t="s">
        <v>2927</v>
      </c>
      <c r="B608" s="46" t="s">
        <v>2764</v>
      </c>
      <c r="C608" s="46" t="s">
        <v>2927</v>
      </c>
      <c r="D608" s="46" t="s">
        <v>3297</v>
      </c>
      <c r="E608" s="46" cm="1">
        <f t="array" ref="E608">personnel_nonteach_schlibr3_onleave</f>
        <v>0</v>
      </c>
      <c r="F608" s="46" t="b">
        <v>1</v>
      </c>
    </row>
    <row r="609" spans="1:6">
      <c r="A609" s="46" t="s">
        <v>2928</v>
      </c>
      <c r="B609" s="46" t="s">
        <v>2764</v>
      </c>
      <c r="C609" s="46" t="s">
        <v>2928</v>
      </c>
      <c r="D609" s="46" t="s">
        <v>3298</v>
      </c>
      <c r="E609" s="46" cm="1">
        <f t="array" ref="E609">personnel_nonteach_schlibr3_vacant</f>
        <v>0</v>
      </c>
      <c r="F609" s="46" t="b">
        <v>1</v>
      </c>
    </row>
    <row r="610" spans="1:6">
      <c r="A610" s="46" t="s">
        <v>2929</v>
      </c>
      <c r="B610" s="46" t="s">
        <v>2764</v>
      </c>
      <c r="C610" s="46" t="s">
        <v>2929</v>
      </c>
      <c r="D610" s="46" t="s">
        <v>3299</v>
      </c>
      <c r="E610" s="46" cm="1">
        <f t="array" ref="E610">personnel_nonteach_schlibr3_detailed_hs</f>
        <v>0</v>
      </c>
      <c r="F610" s="46" t="b">
        <v>1</v>
      </c>
    </row>
    <row r="611" spans="1:6">
      <c r="A611" s="46" t="s">
        <v>2930</v>
      </c>
      <c r="B611" s="46" t="s">
        <v>2764</v>
      </c>
      <c r="C611" s="46" t="s">
        <v>2930</v>
      </c>
      <c r="D611" s="46" t="s">
        <v>3300</v>
      </c>
      <c r="E611" s="46" cm="1">
        <f t="array" ref="E611">personnel_nonteach_schlibr3_detailed_es</f>
        <v>0</v>
      </c>
      <c r="F611" s="46" t="b">
        <v>1</v>
      </c>
    </row>
    <row r="612" spans="1:6">
      <c r="A612" s="46" t="s">
        <v>2931</v>
      </c>
      <c r="B612" s="46" t="s">
        <v>2764</v>
      </c>
      <c r="C612" s="46" t="s">
        <v>2931</v>
      </c>
      <c r="D612" s="46" t="s">
        <v>3301</v>
      </c>
      <c r="E612" s="46" cm="1">
        <f t="array" ref="E612">personnel_nonteach_schlibr3_detailed_outdiv</f>
        <v>0</v>
      </c>
      <c r="F612" s="46" t="b">
        <v>1</v>
      </c>
    </row>
    <row r="613" spans="1:6">
      <c r="A613" s="46" t="s">
        <v>2932</v>
      </c>
      <c r="B613" s="46" t="s">
        <v>2764</v>
      </c>
      <c r="C613" s="46" t="s">
        <v>2932</v>
      </c>
      <c r="D613" s="46" t="s">
        <v>3302</v>
      </c>
      <c r="E613" s="46" cm="1">
        <f t="array" ref="E613">personnel_nonteach_schlibr3_borrowed_m</f>
        <v>0</v>
      </c>
      <c r="F613" s="46" t="b">
        <v>1</v>
      </c>
    </row>
    <row r="614" spans="1:6">
      <c r="A614" s="46" t="s">
        <v>2933</v>
      </c>
      <c r="B614" s="46" t="s">
        <v>2764</v>
      </c>
      <c r="C614" s="46" t="s">
        <v>2933</v>
      </c>
      <c r="D614" s="46" t="s">
        <v>3303</v>
      </c>
      <c r="E614" s="46" cm="1">
        <f t="array" ref="E614">personnel_nonteach_schlibr3_borrowed_f</f>
        <v>0</v>
      </c>
      <c r="F614" s="46" t="b">
        <v>1</v>
      </c>
    </row>
    <row r="615" spans="1:6">
      <c r="A615" s="46" t="s">
        <v>2934</v>
      </c>
      <c r="B615" s="46" t="s">
        <v>2764</v>
      </c>
      <c r="C615" s="46" t="s">
        <v>2934</v>
      </c>
      <c r="D615" s="46" t="s">
        <v>3304</v>
      </c>
      <c r="E615" s="46" cm="1">
        <f t="array" ref="E615">personnel_nonteach_schlibr2_psipop</f>
        <v>0</v>
      </c>
      <c r="F615" s="46" t="b">
        <v>1</v>
      </c>
    </row>
    <row r="616" spans="1:6">
      <c r="A616" s="46" t="s">
        <v>2935</v>
      </c>
      <c r="B616" s="46" t="s">
        <v>2764</v>
      </c>
      <c r="C616" s="46" t="s">
        <v>2935</v>
      </c>
      <c r="D616" s="46" t="s">
        <v>3305</v>
      </c>
      <c r="E616" s="46" cm="1">
        <f t="array" ref="E616">personnel_nonteach_schlibr2_actual_m</f>
        <v>0</v>
      </c>
      <c r="F616" s="46" t="b">
        <v>1</v>
      </c>
    </row>
    <row r="617" spans="1:6">
      <c r="A617" s="46" t="s">
        <v>2936</v>
      </c>
      <c r="B617" s="46" t="s">
        <v>2764</v>
      </c>
      <c r="C617" s="46" t="s">
        <v>2936</v>
      </c>
      <c r="D617" s="46" t="s">
        <v>3306</v>
      </c>
      <c r="E617" s="46" cm="1">
        <f t="array" ref="E617">personnel_nonteach_schlibr2_actual_f</f>
        <v>0</v>
      </c>
      <c r="F617" s="46" t="b">
        <v>1</v>
      </c>
    </row>
    <row r="618" spans="1:6">
      <c r="A618" s="46" t="s">
        <v>2937</v>
      </c>
      <c r="B618" s="46" t="s">
        <v>2764</v>
      </c>
      <c r="C618" s="46" t="s">
        <v>2937</v>
      </c>
      <c r="D618" s="46" t="s">
        <v>3307</v>
      </c>
      <c r="E618" s="46" cm="1">
        <f t="array" ref="E618">personnel_nonteach_schlibr2_onleave</f>
        <v>0</v>
      </c>
      <c r="F618" s="46" t="b">
        <v>1</v>
      </c>
    </row>
    <row r="619" spans="1:6">
      <c r="A619" s="46" t="s">
        <v>2938</v>
      </c>
      <c r="B619" s="46" t="s">
        <v>2764</v>
      </c>
      <c r="C619" s="46" t="s">
        <v>2938</v>
      </c>
      <c r="D619" s="46" t="s">
        <v>3308</v>
      </c>
      <c r="E619" s="46" cm="1">
        <f t="array" ref="E619">personnel_nonteach_schlibr2_vacant</f>
        <v>0</v>
      </c>
      <c r="F619" s="46" t="b">
        <v>1</v>
      </c>
    </row>
    <row r="620" spans="1:6">
      <c r="A620" s="46" t="s">
        <v>2939</v>
      </c>
      <c r="B620" s="46" t="s">
        <v>2764</v>
      </c>
      <c r="C620" s="46" t="s">
        <v>2939</v>
      </c>
      <c r="D620" s="46" t="s">
        <v>3309</v>
      </c>
      <c r="E620" s="46" cm="1">
        <f t="array" ref="E620">personnel_nonteach_schlibr2_detailed_hs</f>
        <v>0</v>
      </c>
      <c r="F620" s="46" t="b">
        <v>1</v>
      </c>
    </row>
    <row r="621" spans="1:6">
      <c r="A621" s="46" t="s">
        <v>2940</v>
      </c>
      <c r="B621" s="46" t="s">
        <v>2764</v>
      </c>
      <c r="C621" s="46" t="s">
        <v>2940</v>
      </c>
      <c r="D621" s="46" t="s">
        <v>3310</v>
      </c>
      <c r="E621" s="46" cm="1">
        <f t="array" ref="E621">personnel_nonteach_schlibr2_detailed_es</f>
        <v>0</v>
      </c>
      <c r="F621" s="46" t="b">
        <v>1</v>
      </c>
    </row>
    <row r="622" spans="1:6">
      <c r="A622" s="46" t="s">
        <v>2941</v>
      </c>
      <c r="B622" s="46" t="s">
        <v>2764</v>
      </c>
      <c r="C622" s="46" t="s">
        <v>2941</v>
      </c>
      <c r="D622" s="46" t="s">
        <v>3311</v>
      </c>
      <c r="E622" s="46" cm="1">
        <f t="array" ref="E622">personnel_nonteach_schlibr2_detailed_outdiv</f>
        <v>0</v>
      </c>
      <c r="F622" s="46" t="b">
        <v>1</v>
      </c>
    </row>
    <row r="623" spans="1:6">
      <c r="A623" s="46" t="s">
        <v>2942</v>
      </c>
      <c r="B623" s="46" t="s">
        <v>2764</v>
      </c>
      <c r="C623" s="46" t="s">
        <v>2942</v>
      </c>
      <c r="D623" s="46" t="s">
        <v>3312</v>
      </c>
      <c r="E623" s="46" cm="1">
        <f t="array" ref="E623">personnel_nonteach_schlibr2_borrowed_m</f>
        <v>0</v>
      </c>
      <c r="F623" s="46" t="b">
        <v>1</v>
      </c>
    </row>
    <row r="624" spans="1:6">
      <c r="A624" s="46" t="s">
        <v>2943</v>
      </c>
      <c r="B624" s="46" t="s">
        <v>2764</v>
      </c>
      <c r="C624" s="46" t="s">
        <v>2943</v>
      </c>
      <c r="D624" s="46" t="s">
        <v>3313</v>
      </c>
      <c r="E624" s="46" cm="1">
        <f t="array" ref="E624">personnel_nonteach_schlibr2_borrowed_f</f>
        <v>0</v>
      </c>
      <c r="F624" s="46" t="b">
        <v>1</v>
      </c>
    </row>
    <row r="625" spans="1:6">
      <c r="A625" s="46" t="s">
        <v>2944</v>
      </c>
      <c r="B625" s="46" t="s">
        <v>2764</v>
      </c>
      <c r="C625" s="46" t="s">
        <v>2944</v>
      </c>
      <c r="D625" s="46" t="s">
        <v>3304</v>
      </c>
      <c r="E625" s="46" cm="1">
        <f t="array" ref="E625">personnel_nonteach_schlibr1_psipop</f>
        <v>0</v>
      </c>
      <c r="F625" s="46" t="b">
        <v>1</v>
      </c>
    </row>
    <row r="626" spans="1:6">
      <c r="A626" s="46" t="s">
        <v>2945</v>
      </c>
      <c r="B626" s="46" t="s">
        <v>2764</v>
      </c>
      <c r="C626" s="46" t="s">
        <v>2945</v>
      </c>
      <c r="D626" s="46" t="s">
        <v>3314</v>
      </c>
      <c r="E626" s="46" cm="1">
        <f t="array" ref="E626">personnel_nonteach_schlibr1_actual_m</f>
        <v>0</v>
      </c>
      <c r="F626" s="46" t="b">
        <v>1</v>
      </c>
    </row>
    <row r="627" spans="1:6">
      <c r="A627" s="46" t="s">
        <v>2946</v>
      </c>
      <c r="B627" s="46" t="s">
        <v>2764</v>
      </c>
      <c r="C627" s="46" t="s">
        <v>2946</v>
      </c>
      <c r="D627" s="46" t="s">
        <v>3315</v>
      </c>
      <c r="E627" s="46" cm="1">
        <f t="array" ref="E627">personnel_nonteach_schlibr1_actual_f</f>
        <v>0</v>
      </c>
      <c r="F627" s="46" t="b">
        <v>1</v>
      </c>
    </row>
    <row r="628" spans="1:6">
      <c r="A628" s="46" t="s">
        <v>2947</v>
      </c>
      <c r="B628" s="46" t="s">
        <v>2764</v>
      </c>
      <c r="C628" s="46" t="s">
        <v>2947</v>
      </c>
      <c r="D628" s="46" t="s">
        <v>3316</v>
      </c>
      <c r="E628" s="46" cm="1">
        <f t="array" ref="E628">personnel_nonteach_schlibr1_onleave</f>
        <v>0</v>
      </c>
      <c r="F628" s="46" t="b">
        <v>1</v>
      </c>
    </row>
    <row r="629" spans="1:6">
      <c r="A629" s="46" t="s">
        <v>2948</v>
      </c>
      <c r="B629" s="46" t="s">
        <v>2764</v>
      </c>
      <c r="C629" s="46" t="s">
        <v>2948</v>
      </c>
      <c r="D629" s="46" t="s">
        <v>3317</v>
      </c>
      <c r="E629" s="46" cm="1">
        <f t="array" ref="E629">personnel_nonteach_schlibr1_vacant</f>
        <v>0</v>
      </c>
      <c r="F629" s="46" t="b">
        <v>1</v>
      </c>
    </row>
    <row r="630" spans="1:6">
      <c r="A630" s="46" t="s">
        <v>2949</v>
      </c>
      <c r="B630" s="46" t="s">
        <v>2764</v>
      </c>
      <c r="C630" s="46" t="s">
        <v>2949</v>
      </c>
      <c r="D630" s="46" t="s">
        <v>3318</v>
      </c>
      <c r="E630" s="46" cm="1">
        <f t="array" ref="E630">personnel_nonteach_schlibr1_detailed_hs</f>
        <v>0</v>
      </c>
      <c r="F630" s="46" t="b">
        <v>1</v>
      </c>
    </row>
    <row r="631" spans="1:6">
      <c r="A631" s="46" t="s">
        <v>2950</v>
      </c>
      <c r="B631" s="46" t="s">
        <v>2764</v>
      </c>
      <c r="C631" s="46" t="s">
        <v>2950</v>
      </c>
      <c r="D631" s="46" t="s">
        <v>3319</v>
      </c>
      <c r="E631" s="46" cm="1">
        <f t="array" ref="E631">personnel_nonteach_schlibr1_detailed_es</f>
        <v>0</v>
      </c>
      <c r="F631" s="46" t="b">
        <v>1</v>
      </c>
    </row>
    <row r="632" spans="1:6">
      <c r="A632" s="46" t="s">
        <v>2951</v>
      </c>
      <c r="B632" s="46" t="s">
        <v>2764</v>
      </c>
      <c r="C632" s="46" t="s">
        <v>2951</v>
      </c>
      <c r="D632" s="46" t="s">
        <v>3320</v>
      </c>
      <c r="E632" s="46" cm="1">
        <f t="array" ref="E632">personnel_nonteach_schlibr1_detailed_outdiv</f>
        <v>0</v>
      </c>
      <c r="F632" s="46" t="b">
        <v>1</v>
      </c>
    </row>
    <row r="633" spans="1:6">
      <c r="A633" s="46" t="s">
        <v>2952</v>
      </c>
      <c r="B633" s="46" t="s">
        <v>2764</v>
      </c>
      <c r="C633" s="46" t="s">
        <v>2952</v>
      </c>
      <c r="D633" s="46" t="s">
        <v>3321</v>
      </c>
      <c r="E633" s="46" cm="1">
        <f t="array" ref="E633">personnel_nonteach_schlibr1_borrowed_m</f>
        <v>0</v>
      </c>
      <c r="F633" s="46" t="b">
        <v>1</v>
      </c>
    </row>
    <row r="634" spans="1:6">
      <c r="A634" s="46" t="s">
        <v>2953</v>
      </c>
      <c r="B634" s="46" t="s">
        <v>2764</v>
      </c>
      <c r="C634" s="46" t="s">
        <v>2953</v>
      </c>
      <c r="D634" s="46" t="s">
        <v>3322</v>
      </c>
      <c r="E634" s="46" cm="1">
        <f t="array" ref="E634">personnel_nonteach_schlibr1_borrowed_f</f>
        <v>0</v>
      </c>
      <c r="F634" s="46" t="b">
        <v>1</v>
      </c>
    </row>
    <row r="635" spans="1:6">
      <c r="A635" s="46" t="s">
        <v>2954</v>
      </c>
      <c r="B635" s="46" t="s">
        <v>2764</v>
      </c>
      <c r="C635" s="46" t="s">
        <v>2954</v>
      </c>
      <c r="D635" s="46" t="s">
        <v>3323</v>
      </c>
      <c r="E635" s="46" cm="1">
        <f t="array" ref="E635">personnel_nonteach_guidancesrvspcl2_psipop</f>
        <v>0</v>
      </c>
      <c r="F635" s="46" t="b">
        <v>1</v>
      </c>
    </row>
    <row r="636" spans="1:6">
      <c r="A636" s="46" t="s">
        <v>2955</v>
      </c>
      <c r="B636" s="46" t="s">
        <v>2764</v>
      </c>
      <c r="C636" s="46" t="s">
        <v>2955</v>
      </c>
      <c r="D636" s="46" t="s">
        <v>3324</v>
      </c>
      <c r="E636" s="46" cm="1">
        <f t="array" ref="E636">personnel_nonteach_guidancesrvspcl2_actual_m</f>
        <v>0</v>
      </c>
      <c r="F636" s="46" t="b">
        <v>1</v>
      </c>
    </row>
    <row r="637" spans="1:6">
      <c r="A637" s="46" t="s">
        <v>2956</v>
      </c>
      <c r="B637" s="46" t="s">
        <v>2764</v>
      </c>
      <c r="C637" s="46" t="s">
        <v>2956</v>
      </c>
      <c r="D637" s="46" t="s">
        <v>3325</v>
      </c>
      <c r="E637" s="46" cm="1">
        <f t="array" ref="E637">personnel_nonteach_guidancesrvspcl2_actual_f</f>
        <v>0</v>
      </c>
      <c r="F637" s="46" t="b">
        <v>1</v>
      </c>
    </row>
    <row r="638" spans="1:6">
      <c r="A638" s="46" t="s">
        <v>2957</v>
      </c>
      <c r="B638" s="46" t="s">
        <v>2764</v>
      </c>
      <c r="C638" s="46" t="s">
        <v>2957</v>
      </c>
      <c r="D638" s="46" t="s">
        <v>3326</v>
      </c>
      <c r="E638" s="46" cm="1">
        <f t="array" ref="E638">personnel_nonteach_guidancespcl2_onleave</f>
        <v>0</v>
      </c>
      <c r="F638" s="46" t="b">
        <v>1</v>
      </c>
    </row>
    <row r="639" spans="1:6">
      <c r="A639" s="46" t="s">
        <v>2958</v>
      </c>
      <c r="B639" s="46" t="s">
        <v>2764</v>
      </c>
      <c r="C639" s="46" t="s">
        <v>2958</v>
      </c>
      <c r="D639" s="46" t="s">
        <v>3327</v>
      </c>
      <c r="E639" s="46" cm="1">
        <f t="array" ref="E639">personnel_nonteach_guidancespcl2_vacant</f>
        <v>0</v>
      </c>
      <c r="F639" s="46" t="b">
        <v>1</v>
      </c>
    </row>
    <row r="640" spans="1:6">
      <c r="A640" s="46" t="s">
        <v>2959</v>
      </c>
      <c r="B640" s="46" t="s">
        <v>2764</v>
      </c>
      <c r="C640" s="46" t="s">
        <v>2959</v>
      </c>
      <c r="D640" s="46" t="s">
        <v>3328</v>
      </c>
      <c r="E640" s="46" cm="1">
        <f t="array" ref="E640">personnel_nonteach_guidancespcl2_detailed_hs</f>
        <v>0</v>
      </c>
      <c r="F640" s="46" t="b">
        <v>1</v>
      </c>
    </row>
    <row r="641" spans="1:6">
      <c r="A641" s="46" t="s">
        <v>2960</v>
      </c>
      <c r="B641" s="46" t="s">
        <v>2764</v>
      </c>
      <c r="C641" s="46" t="s">
        <v>2960</v>
      </c>
      <c r="D641" s="46" t="s">
        <v>3329</v>
      </c>
      <c r="E641" s="46" cm="1">
        <f t="array" ref="E641">personnel_nonteach_guidancespcl2_detailed_es</f>
        <v>0</v>
      </c>
      <c r="F641" s="46" t="b">
        <v>1</v>
      </c>
    </row>
    <row r="642" spans="1:6">
      <c r="A642" s="46" t="s">
        <v>2961</v>
      </c>
      <c r="B642" s="46" t="s">
        <v>2764</v>
      </c>
      <c r="C642" s="46" t="s">
        <v>2961</v>
      </c>
      <c r="D642" s="46" t="s">
        <v>3330</v>
      </c>
      <c r="E642" s="46" cm="1">
        <f t="array" ref="E642">personnel_nonteach_guidancespcl2_detailed_outdiv</f>
        <v>0</v>
      </c>
      <c r="F642" s="46" t="b">
        <v>1</v>
      </c>
    </row>
    <row r="643" spans="1:6">
      <c r="A643" s="46" t="s">
        <v>2962</v>
      </c>
      <c r="B643" s="46" t="s">
        <v>2764</v>
      </c>
      <c r="C643" s="46" t="s">
        <v>2962</v>
      </c>
      <c r="D643" s="46" t="s">
        <v>3331</v>
      </c>
      <c r="E643" s="46" cm="1">
        <f t="array" ref="E643">personnel_nonteach_guidancespcl2_borrowed_m</f>
        <v>0</v>
      </c>
      <c r="F643" s="46" t="b">
        <v>1</v>
      </c>
    </row>
    <row r="644" spans="1:6">
      <c r="A644" s="46" t="s">
        <v>2963</v>
      </c>
      <c r="B644" s="46" t="s">
        <v>2764</v>
      </c>
      <c r="C644" s="46" t="s">
        <v>2963</v>
      </c>
      <c r="D644" s="46" t="s">
        <v>3332</v>
      </c>
      <c r="E644" s="46" cm="1">
        <f t="array" ref="E644">personnel_nonteach_guidancespcl2_borrowed_f</f>
        <v>0</v>
      </c>
      <c r="F644" s="46" t="b">
        <v>1</v>
      </c>
    </row>
    <row r="645" spans="1:6">
      <c r="A645" s="46" t="s">
        <v>2964</v>
      </c>
      <c r="B645" s="46" t="s">
        <v>2764</v>
      </c>
      <c r="C645" s="46" t="s">
        <v>2964</v>
      </c>
      <c r="D645" s="46" t="s">
        <v>3333</v>
      </c>
      <c r="E645" s="46" cm="1">
        <f t="array" ref="E645">personnel_nonteach_guidancesrvspcl1_psipop</f>
        <v>0</v>
      </c>
      <c r="F645" s="46" t="b">
        <v>1</v>
      </c>
    </row>
    <row r="646" spans="1:6">
      <c r="A646" s="46" t="s">
        <v>2965</v>
      </c>
      <c r="B646" s="46" t="s">
        <v>2764</v>
      </c>
      <c r="C646" s="46" t="s">
        <v>2965</v>
      </c>
      <c r="D646" s="46" t="s">
        <v>3334</v>
      </c>
      <c r="E646" s="46" cm="1">
        <f t="array" ref="E646">personnel_nonteach_guidancesrvspcl1_actual_m</f>
        <v>0</v>
      </c>
      <c r="F646" s="46" t="b">
        <v>1</v>
      </c>
    </row>
    <row r="647" spans="1:6">
      <c r="A647" s="46" t="s">
        <v>2966</v>
      </c>
      <c r="B647" s="46" t="s">
        <v>2764</v>
      </c>
      <c r="C647" s="46" t="s">
        <v>2966</v>
      </c>
      <c r="D647" s="46" t="s">
        <v>3335</v>
      </c>
      <c r="E647" s="46" cm="1">
        <f t="array" ref="E647">personnel_nonteach_guidancesrvspcl1_actual_f</f>
        <v>0</v>
      </c>
      <c r="F647" s="46" t="b">
        <v>1</v>
      </c>
    </row>
    <row r="648" spans="1:6">
      <c r="A648" s="46" t="s">
        <v>2967</v>
      </c>
      <c r="B648" s="46" t="s">
        <v>2764</v>
      </c>
      <c r="C648" s="46" t="s">
        <v>2967</v>
      </c>
      <c r="D648" s="46" t="s">
        <v>3336</v>
      </c>
      <c r="E648" s="46" cm="1">
        <f t="array" ref="E648">personnel_nonteach_guidancesrvspcl1_onleave</f>
        <v>0</v>
      </c>
      <c r="F648" s="46" t="b">
        <v>1</v>
      </c>
    </row>
    <row r="649" spans="1:6">
      <c r="A649" s="46" t="s">
        <v>2968</v>
      </c>
      <c r="B649" s="46" t="s">
        <v>2764</v>
      </c>
      <c r="C649" s="46" t="s">
        <v>2968</v>
      </c>
      <c r="D649" s="46" t="s">
        <v>3337</v>
      </c>
      <c r="E649" s="46" cm="1">
        <f t="array" ref="E649">personnel_nonteach_guidancesrvspcl1_vacant</f>
        <v>0</v>
      </c>
      <c r="F649" s="46" t="b">
        <v>1</v>
      </c>
    </row>
    <row r="650" spans="1:6">
      <c r="A650" s="46" t="s">
        <v>2969</v>
      </c>
      <c r="B650" s="46" t="s">
        <v>2764</v>
      </c>
      <c r="C650" s="46" t="s">
        <v>2969</v>
      </c>
      <c r="D650" s="46" t="s">
        <v>3338</v>
      </c>
      <c r="E650" s="46" cm="1">
        <f t="array" ref="E650">personnel_nonteach_guidancesrvspcl1_detailed_hs</f>
        <v>0</v>
      </c>
      <c r="F650" s="46" t="b">
        <v>1</v>
      </c>
    </row>
    <row r="651" spans="1:6">
      <c r="A651" s="46" t="s">
        <v>2970</v>
      </c>
      <c r="B651" s="46" t="s">
        <v>2764</v>
      </c>
      <c r="C651" s="46" t="s">
        <v>2970</v>
      </c>
      <c r="D651" s="46" t="s">
        <v>3339</v>
      </c>
      <c r="E651" s="46" cm="1">
        <f t="array" ref="E651">personnel_nonteach_guidancesrvspcl1_detailed_es</f>
        <v>0</v>
      </c>
      <c r="F651" s="46" t="b">
        <v>1</v>
      </c>
    </row>
    <row r="652" spans="1:6">
      <c r="A652" s="46" t="s">
        <v>2971</v>
      </c>
      <c r="B652" s="46" t="s">
        <v>2764</v>
      </c>
      <c r="C652" s="46" t="s">
        <v>2971</v>
      </c>
      <c r="D652" s="46" t="s">
        <v>3340</v>
      </c>
      <c r="E652" s="46" cm="1">
        <f t="array" ref="E652">personnel_nonteach_guidancesrvspcl1_detailed_outdiv</f>
        <v>0</v>
      </c>
      <c r="F652" s="46" t="b">
        <v>1</v>
      </c>
    </row>
    <row r="653" spans="1:6">
      <c r="A653" s="46" t="s">
        <v>2972</v>
      </c>
      <c r="B653" s="46" t="s">
        <v>2764</v>
      </c>
      <c r="C653" s="46" t="s">
        <v>2972</v>
      </c>
      <c r="D653" s="46" t="s">
        <v>3341</v>
      </c>
      <c r="E653" s="46" cm="1">
        <f t="array" ref="E653">personnel_nonteach_guidancesrvspcl1_borrowed_m</f>
        <v>0</v>
      </c>
      <c r="F653" s="46" t="b">
        <v>1</v>
      </c>
    </row>
    <row r="654" spans="1:6">
      <c r="A654" s="46" t="s">
        <v>2973</v>
      </c>
      <c r="B654" s="46" t="s">
        <v>2764</v>
      </c>
      <c r="C654" s="46" t="s">
        <v>2973</v>
      </c>
      <c r="D654" s="46" t="s">
        <v>3342</v>
      </c>
      <c r="E654" s="46" cm="1">
        <f t="array" ref="E654">personnel_nonteach_guidancesrvspcl1_borrowed_f</f>
        <v>0</v>
      </c>
      <c r="F654" s="46" t="b">
        <v>1</v>
      </c>
    </row>
    <row r="655" spans="1:6">
      <c r="A655" s="46" t="s">
        <v>2974</v>
      </c>
      <c r="B655" s="46" t="s">
        <v>2764</v>
      </c>
      <c r="C655" s="46" t="s">
        <v>2974</v>
      </c>
      <c r="D655" s="46" t="s">
        <v>3343</v>
      </c>
      <c r="E655" s="46" cm="1">
        <f t="array" ref="E655">personnel_nonteach_guidancecounsel3_psipop</f>
        <v>0</v>
      </c>
      <c r="F655" s="46" t="b">
        <v>1</v>
      </c>
    </row>
    <row r="656" spans="1:6">
      <c r="A656" s="46" t="s">
        <v>2975</v>
      </c>
      <c r="B656" s="46" t="s">
        <v>2764</v>
      </c>
      <c r="C656" s="46" t="s">
        <v>2975</v>
      </c>
      <c r="D656" s="46" t="s">
        <v>3344</v>
      </c>
      <c r="E656" s="46" cm="1">
        <f t="array" ref="E656">personnel_nonteach_guidancecounsel3_actual_m</f>
        <v>0</v>
      </c>
      <c r="F656" s="46" t="b">
        <v>1</v>
      </c>
    </row>
    <row r="657" spans="1:6">
      <c r="A657" s="46" t="s">
        <v>2976</v>
      </c>
      <c r="B657" s="46" t="s">
        <v>2764</v>
      </c>
      <c r="C657" s="46" t="s">
        <v>2976</v>
      </c>
      <c r="D657" s="46" t="s">
        <v>3345</v>
      </c>
      <c r="E657" s="46" cm="1">
        <f t="array" ref="E657">personnel_nonteach_guidancecounsel3_actual_f</f>
        <v>0</v>
      </c>
      <c r="F657" s="46" t="b">
        <v>1</v>
      </c>
    </row>
    <row r="658" spans="1:6">
      <c r="A658" s="46" t="s">
        <v>2977</v>
      </c>
      <c r="B658" s="46" t="s">
        <v>2764</v>
      </c>
      <c r="C658" s="46" t="s">
        <v>2977</v>
      </c>
      <c r="D658" s="46" t="s">
        <v>3346</v>
      </c>
      <c r="E658" s="46" cm="1">
        <f t="array" ref="E658">personnel_nonteach_guidancecounsel3_onleave</f>
        <v>0</v>
      </c>
      <c r="F658" s="46" t="b">
        <v>1</v>
      </c>
    </row>
    <row r="659" spans="1:6">
      <c r="A659" s="46" t="s">
        <v>2978</v>
      </c>
      <c r="B659" s="46" t="s">
        <v>2764</v>
      </c>
      <c r="C659" s="46" t="s">
        <v>2978</v>
      </c>
      <c r="D659" s="46" t="s">
        <v>3347</v>
      </c>
      <c r="E659" s="46" cm="1">
        <f t="array" ref="E659">personnel_nonteach_guidancecounsel3_vacant</f>
        <v>0</v>
      </c>
      <c r="F659" s="46" t="b">
        <v>1</v>
      </c>
    </row>
    <row r="660" spans="1:6">
      <c r="A660" s="46" t="s">
        <v>2979</v>
      </c>
      <c r="B660" s="46" t="s">
        <v>2764</v>
      </c>
      <c r="C660" s="46" t="s">
        <v>2979</v>
      </c>
      <c r="D660" s="46" t="s">
        <v>3348</v>
      </c>
      <c r="E660" s="46" cm="1">
        <f t="array" ref="E660">personnel_nonteach_guidancecounsel3_detailed_hs</f>
        <v>0</v>
      </c>
      <c r="F660" s="46" t="b">
        <v>1</v>
      </c>
    </row>
    <row r="661" spans="1:6">
      <c r="A661" s="46" t="s">
        <v>2980</v>
      </c>
      <c r="B661" s="46" t="s">
        <v>2764</v>
      </c>
      <c r="C661" s="46" t="s">
        <v>2980</v>
      </c>
      <c r="D661" s="46" t="s">
        <v>3349</v>
      </c>
      <c r="E661" s="46" cm="1">
        <f t="array" ref="E661">personnel_nonteach_guidancecounsel3_detailed_es</f>
        <v>0</v>
      </c>
      <c r="F661" s="46" t="b">
        <v>1</v>
      </c>
    </row>
    <row r="662" spans="1:6">
      <c r="A662" s="46" t="s">
        <v>2981</v>
      </c>
      <c r="B662" s="46" t="s">
        <v>2764</v>
      </c>
      <c r="C662" s="46" t="s">
        <v>2981</v>
      </c>
      <c r="D662" s="46" t="s">
        <v>3350</v>
      </c>
      <c r="E662" s="46" cm="1">
        <f t="array" ref="E662">personnel_nonteach_guidancecounsel3_detailed_outdiv</f>
        <v>0</v>
      </c>
      <c r="F662" s="46" t="b">
        <v>1</v>
      </c>
    </row>
    <row r="663" spans="1:6">
      <c r="A663" s="46" t="s">
        <v>2982</v>
      </c>
      <c r="B663" s="46" t="s">
        <v>2764</v>
      </c>
      <c r="C663" s="46" t="s">
        <v>2982</v>
      </c>
      <c r="D663" s="46" t="s">
        <v>3351</v>
      </c>
      <c r="E663" s="46" cm="1">
        <f t="array" ref="E663">personnel_nonteach_guidancecounsel3_borrowed_m</f>
        <v>0</v>
      </c>
      <c r="F663" s="46" t="b">
        <v>1</v>
      </c>
    </row>
    <row r="664" spans="1:6">
      <c r="A664" s="46" t="s">
        <v>2983</v>
      </c>
      <c r="B664" s="46" t="s">
        <v>2764</v>
      </c>
      <c r="C664" s="46" t="s">
        <v>2983</v>
      </c>
      <c r="D664" s="46" t="s">
        <v>3352</v>
      </c>
      <c r="E664" s="46" cm="1">
        <f t="array" ref="E664">personnel_nonteach_guidancecounsel3_borrowed_f</f>
        <v>0</v>
      </c>
      <c r="F664" s="46" t="b">
        <v>1</v>
      </c>
    </row>
    <row r="665" spans="1:6">
      <c r="A665" s="46" t="s">
        <v>2984</v>
      </c>
      <c r="B665" s="46" t="s">
        <v>2764</v>
      </c>
      <c r="C665" s="46" t="s">
        <v>2984</v>
      </c>
      <c r="D665" s="46" t="s">
        <v>3353</v>
      </c>
      <c r="E665" s="46" cm="1">
        <f t="array" ref="E665">personnel_nonteach_guidancecounsel2_psipop</f>
        <v>0</v>
      </c>
      <c r="F665" s="46" t="b">
        <v>1</v>
      </c>
    </row>
    <row r="666" spans="1:6">
      <c r="A666" s="46" t="s">
        <v>2985</v>
      </c>
      <c r="B666" s="46" t="s">
        <v>2764</v>
      </c>
      <c r="C666" s="46" t="s">
        <v>2985</v>
      </c>
      <c r="D666" s="46" t="s">
        <v>3354</v>
      </c>
      <c r="E666" s="46" cm="1">
        <f t="array" ref="E666">personnel_nonteach_guidancecounsel2_actual_m</f>
        <v>0</v>
      </c>
      <c r="F666" s="46" t="b">
        <v>1</v>
      </c>
    </row>
    <row r="667" spans="1:6">
      <c r="A667" s="46" t="s">
        <v>2986</v>
      </c>
      <c r="B667" s="46" t="s">
        <v>2764</v>
      </c>
      <c r="C667" s="46" t="s">
        <v>2986</v>
      </c>
      <c r="D667" s="46" t="s">
        <v>3355</v>
      </c>
      <c r="E667" s="46" cm="1">
        <f t="array" ref="E667">personnel_nonteach_guidancecounsel2_actual_f</f>
        <v>0</v>
      </c>
      <c r="F667" s="46" t="b">
        <v>1</v>
      </c>
    </row>
    <row r="668" spans="1:6">
      <c r="A668" s="46" t="s">
        <v>2987</v>
      </c>
      <c r="B668" s="46" t="s">
        <v>2764</v>
      </c>
      <c r="C668" s="46" t="s">
        <v>2987</v>
      </c>
      <c r="D668" s="46" t="s">
        <v>3356</v>
      </c>
      <c r="E668" s="46" cm="1">
        <f t="array" ref="E668">personnel_nonteach_guidancecounsel2_onleave</f>
        <v>0</v>
      </c>
      <c r="F668" s="46" t="b">
        <v>1</v>
      </c>
    </row>
    <row r="669" spans="1:6">
      <c r="A669" s="46" t="s">
        <v>2988</v>
      </c>
      <c r="B669" s="46" t="s">
        <v>2764</v>
      </c>
      <c r="C669" s="46" t="s">
        <v>2988</v>
      </c>
      <c r="D669" s="46" t="s">
        <v>3357</v>
      </c>
      <c r="E669" s="46" cm="1">
        <f t="array" ref="E669">personnel_nonteach_guidancecounsel2_vacant</f>
        <v>0</v>
      </c>
      <c r="F669" s="46" t="b">
        <v>1</v>
      </c>
    </row>
    <row r="670" spans="1:6">
      <c r="A670" s="46" t="s">
        <v>2989</v>
      </c>
      <c r="B670" s="46" t="s">
        <v>2764</v>
      </c>
      <c r="C670" s="46" t="s">
        <v>2989</v>
      </c>
      <c r="D670" s="46" t="s">
        <v>3358</v>
      </c>
      <c r="E670" s="46" cm="1">
        <f t="array" ref="E670">personnel_nonteach_guidancecounsel2_detailed_hs</f>
        <v>0</v>
      </c>
      <c r="F670" s="46" t="b">
        <v>1</v>
      </c>
    </row>
    <row r="671" spans="1:6">
      <c r="A671" s="46" t="s">
        <v>2990</v>
      </c>
      <c r="B671" s="46" t="s">
        <v>2764</v>
      </c>
      <c r="C671" s="46" t="s">
        <v>2990</v>
      </c>
      <c r="D671" s="46" t="s">
        <v>3359</v>
      </c>
      <c r="E671" s="46" cm="1">
        <f t="array" ref="E671">personnel_nonteach_guidancecounsel2_detailed_es</f>
        <v>0</v>
      </c>
      <c r="F671" s="46" t="b">
        <v>1</v>
      </c>
    </row>
    <row r="672" spans="1:6">
      <c r="A672" s="46" t="s">
        <v>2991</v>
      </c>
      <c r="B672" s="46" t="s">
        <v>2764</v>
      </c>
      <c r="C672" s="46" t="s">
        <v>2991</v>
      </c>
      <c r="D672" s="46" t="s">
        <v>3360</v>
      </c>
      <c r="E672" s="46" cm="1">
        <f t="array" ref="E672">personnel_nonteach_guidancecounsel2_detailed_outdiv</f>
        <v>0</v>
      </c>
      <c r="F672" s="46" t="b">
        <v>1</v>
      </c>
    </row>
    <row r="673" spans="1:6">
      <c r="A673" s="46" t="s">
        <v>2992</v>
      </c>
      <c r="B673" s="46" t="s">
        <v>2764</v>
      </c>
      <c r="C673" s="46" t="s">
        <v>2992</v>
      </c>
      <c r="D673" s="46" t="s">
        <v>3361</v>
      </c>
      <c r="E673" s="46" cm="1">
        <f t="array" ref="E673">personnel_nonteach_guidancecounsel2_borrowed_m</f>
        <v>0</v>
      </c>
      <c r="F673" s="46" t="b">
        <v>1</v>
      </c>
    </row>
    <row r="674" spans="1:6">
      <c r="A674" s="46" t="s">
        <v>2993</v>
      </c>
      <c r="B674" s="46" t="s">
        <v>2764</v>
      </c>
      <c r="C674" s="46" t="s">
        <v>2993</v>
      </c>
      <c r="D674" s="46" t="s">
        <v>3362</v>
      </c>
      <c r="E674" s="46" cm="1">
        <f t="array" ref="E674">personnel_nonteach_guidancecounsel2_borrowed_f</f>
        <v>0</v>
      </c>
      <c r="F674" s="46" t="b">
        <v>1</v>
      </c>
    </row>
    <row r="675" spans="1:6">
      <c r="A675" s="46" t="s">
        <v>2994</v>
      </c>
      <c r="B675" s="46" t="s">
        <v>2764</v>
      </c>
      <c r="C675" s="46" t="s">
        <v>2994</v>
      </c>
      <c r="D675" s="46" t="s">
        <v>3363</v>
      </c>
      <c r="E675" s="46" cm="1">
        <f t="array" ref="E675">personnel_nonteach_guidancecounsel1_psipop</f>
        <v>0</v>
      </c>
      <c r="F675" s="46" t="b">
        <v>1</v>
      </c>
    </row>
    <row r="676" spans="1:6">
      <c r="A676" s="46" t="s">
        <v>2995</v>
      </c>
      <c r="B676" s="46" t="s">
        <v>2764</v>
      </c>
      <c r="C676" s="46" t="s">
        <v>2995</v>
      </c>
      <c r="D676" s="46" t="s">
        <v>3364</v>
      </c>
      <c r="E676" s="46" cm="1">
        <f t="array" ref="E676">personnel_nonteach_guidancecounsel1_actual_m</f>
        <v>0</v>
      </c>
      <c r="F676" s="46" t="b">
        <v>1</v>
      </c>
    </row>
    <row r="677" spans="1:6">
      <c r="A677" s="46" t="s">
        <v>2996</v>
      </c>
      <c r="B677" s="46" t="s">
        <v>2764</v>
      </c>
      <c r="C677" s="46" t="s">
        <v>2996</v>
      </c>
      <c r="D677" s="46" t="s">
        <v>3365</v>
      </c>
      <c r="E677" s="46" cm="1">
        <f t="array" ref="E677">personnel_nonteach_guidancecounsel1_actual_f</f>
        <v>0</v>
      </c>
      <c r="F677" s="46" t="b">
        <v>1</v>
      </c>
    </row>
    <row r="678" spans="1:6">
      <c r="A678" s="46" t="s">
        <v>2997</v>
      </c>
      <c r="B678" s="46" t="s">
        <v>2764</v>
      </c>
      <c r="C678" s="46" t="s">
        <v>2997</v>
      </c>
      <c r="D678" s="46" t="s">
        <v>3366</v>
      </c>
      <c r="E678" s="46" cm="1">
        <f t="array" ref="E678">personnel_nonteach_guidancecounsel1_onleave</f>
        <v>0</v>
      </c>
      <c r="F678" s="46" t="b">
        <v>1</v>
      </c>
    </row>
    <row r="679" spans="1:6">
      <c r="A679" s="46" t="s">
        <v>2998</v>
      </c>
      <c r="B679" s="46" t="s">
        <v>2764</v>
      </c>
      <c r="C679" s="46" t="s">
        <v>2998</v>
      </c>
      <c r="D679" s="46" t="s">
        <v>3367</v>
      </c>
      <c r="E679" s="46" cm="1">
        <f t="array" ref="E679">personnel_nonteach_guidancecounsel1_vacant</f>
        <v>0</v>
      </c>
      <c r="F679" s="46" t="b">
        <v>1</v>
      </c>
    </row>
    <row r="680" spans="1:6">
      <c r="A680" s="46" t="s">
        <v>2999</v>
      </c>
      <c r="B680" s="46" t="s">
        <v>2764</v>
      </c>
      <c r="C680" s="46" t="s">
        <v>2999</v>
      </c>
      <c r="D680" s="46" t="s">
        <v>3368</v>
      </c>
      <c r="E680" s="46" cm="1">
        <f t="array" ref="E680">personnel_nonteach_guidancecounsel1_detailed_hs</f>
        <v>0</v>
      </c>
      <c r="F680" s="46" t="b">
        <v>1</v>
      </c>
    </row>
    <row r="681" spans="1:6">
      <c r="A681" s="46" t="s">
        <v>3000</v>
      </c>
      <c r="B681" s="46" t="s">
        <v>2764</v>
      </c>
      <c r="C681" s="46" t="s">
        <v>3000</v>
      </c>
      <c r="D681" s="46" t="s">
        <v>3369</v>
      </c>
      <c r="E681" s="46" cm="1">
        <f t="array" ref="E681">personnel_nonteach_guidancecounsel1_detailed_es</f>
        <v>0</v>
      </c>
      <c r="F681" s="46" t="b">
        <v>1</v>
      </c>
    </row>
    <row r="682" spans="1:6">
      <c r="A682" s="46" t="s">
        <v>3001</v>
      </c>
      <c r="B682" s="46" t="s">
        <v>2764</v>
      </c>
      <c r="C682" s="46" t="s">
        <v>3001</v>
      </c>
      <c r="D682" s="46" t="s">
        <v>3370</v>
      </c>
      <c r="E682" s="46" cm="1">
        <f t="array" ref="E682">personnel_nonteach_guidancecounsel1_detailed_outdiv</f>
        <v>0</v>
      </c>
      <c r="F682" s="46" t="b">
        <v>1</v>
      </c>
    </row>
    <row r="683" spans="1:6">
      <c r="A683" s="46" t="s">
        <v>3002</v>
      </c>
      <c r="B683" s="46" t="s">
        <v>2764</v>
      </c>
      <c r="C683" s="46" t="s">
        <v>3002</v>
      </c>
      <c r="D683" s="46" t="s">
        <v>3371</v>
      </c>
      <c r="E683" s="46" cm="1">
        <f t="array" ref="E683">personnel_nonteach_guidancecounsel1_borrowed_m</f>
        <v>0</v>
      </c>
      <c r="F683" s="46" t="b">
        <v>1</v>
      </c>
    </row>
    <row r="684" spans="1:6">
      <c r="A684" s="46" t="s">
        <v>3003</v>
      </c>
      <c r="B684" s="46" t="s">
        <v>2764</v>
      </c>
      <c r="C684" s="46" t="s">
        <v>3003</v>
      </c>
      <c r="D684" s="46" t="s">
        <v>3372</v>
      </c>
      <c r="E684" s="46" cm="1">
        <f t="array" ref="E684">personnel_nonteach_guidancecounsel1_borrowed_f</f>
        <v>0</v>
      </c>
      <c r="F684" s="46" t="b">
        <v>1</v>
      </c>
    </row>
    <row r="685" spans="1:6">
      <c r="A685" s="46" t="s">
        <v>3004</v>
      </c>
      <c r="B685" s="46" t="s">
        <v>2764</v>
      </c>
      <c r="C685" s="46" t="s">
        <v>3004</v>
      </c>
      <c r="D685" s="46" t="s">
        <v>3373</v>
      </c>
      <c r="E685" s="46" cm="1">
        <f t="array" ref="E685">personnel_nonteach_acct1_psipop</f>
        <v>0</v>
      </c>
      <c r="F685" s="46" t="b">
        <v>1</v>
      </c>
    </row>
    <row r="686" spans="1:6">
      <c r="A686" s="46" t="s">
        <v>3005</v>
      </c>
      <c r="B686" s="46" t="s">
        <v>2764</v>
      </c>
      <c r="C686" s="46" t="s">
        <v>3005</v>
      </c>
      <c r="D686" s="46" t="s">
        <v>3374</v>
      </c>
      <c r="E686" s="46" cm="1">
        <f t="array" ref="E686">personnel_nonteach_acct1_actual_m</f>
        <v>0</v>
      </c>
      <c r="F686" s="46" t="b">
        <v>1</v>
      </c>
    </row>
    <row r="687" spans="1:6">
      <c r="A687" s="46" t="s">
        <v>3006</v>
      </c>
      <c r="B687" s="46" t="s">
        <v>2764</v>
      </c>
      <c r="C687" s="46" t="s">
        <v>3006</v>
      </c>
      <c r="D687" s="46" t="s">
        <v>3375</v>
      </c>
      <c r="E687" s="46" cm="1">
        <f t="array" ref="E687">personnel_nonteach_acct1_actual_f</f>
        <v>0</v>
      </c>
      <c r="F687" s="46" t="b">
        <v>1</v>
      </c>
    </row>
    <row r="688" spans="1:6">
      <c r="A688" s="46" t="s">
        <v>3007</v>
      </c>
      <c r="B688" s="46" t="s">
        <v>2764</v>
      </c>
      <c r="C688" s="46" t="s">
        <v>3007</v>
      </c>
      <c r="D688" s="46" t="s">
        <v>3376</v>
      </c>
      <c r="E688" s="46" cm="1">
        <f t="array" ref="E688">personnel_nonteach_acct1_onleave</f>
        <v>0</v>
      </c>
      <c r="F688" s="46" t="b">
        <v>1</v>
      </c>
    </row>
    <row r="689" spans="1:6">
      <c r="A689" s="46" t="s">
        <v>3008</v>
      </c>
      <c r="B689" s="46" t="s">
        <v>2764</v>
      </c>
      <c r="C689" s="46" t="s">
        <v>3008</v>
      </c>
      <c r="D689" s="46" t="s">
        <v>3377</v>
      </c>
      <c r="E689" s="46" cm="1">
        <f t="array" ref="E689">personnel_nonteach_acct1_vacant</f>
        <v>0</v>
      </c>
      <c r="F689" s="46" t="b">
        <v>1</v>
      </c>
    </row>
    <row r="690" spans="1:6">
      <c r="A690" s="46" t="s">
        <v>3009</v>
      </c>
      <c r="B690" s="46" t="s">
        <v>2764</v>
      </c>
      <c r="C690" s="46" t="s">
        <v>3009</v>
      </c>
      <c r="D690" s="46" t="s">
        <v>3378</v>
      </c>
      <c r="E690" s="46" cm="1">
        <f t="array" ref="E690">personnel_nonteach_acct1_detailed_hs</f>
        <v>0</v>
      </c>
      <c r="F690" s="46" t="b">
        <v>1</v>
      </c>
    </row>
    <row r="691" spans="1:6">
      <c r="A691" s="46" t="s">
        <v>3010</v>
      </c>
      <c r="B691" s="46" t="s">
        <v>2764</v>
      </c>
      <c r="C691" s="46" t="s">
        <v>3010</v>
      </c>
      <c r="D691" s="46" t="s">
        <v>3379</v>
      </c>
      <c r="E691" s="46" cm="1">
        <f t="array" ref="E691">personnel_nonteach_acct1_detailed_es</f>
        <v>0</v>
      </c>
      <c r="F691" s="46" t="b">
        <v>1</v>
      </c>
    </row>
    <row r="692" spans="1:6">
      <c r="A692" s="46" t="s">
        <v>3011</v>
      </c>
      <c r="B692" s="46" t="s">
        <v>2764</v>
      </c>
      <c r="C692" s="46" t="s">
        <v>3011</v>
      </c>
      <c r="D692" s="46" t="s">
        <v>3380</v>
      </c>
      <c r="E692" s="46" cm="1">
        <f t="array" ref="E692">personnel_nonteach_acct1_detailed_outdiv</f>
        <v>0</v>
      </c>
      <c r="F692" s="46" t="b">
        <v>1</v>
      </c>
    </row>
    <row r="693" spans="1:6">
      <c r="A693" s="46" t="s">
        <v>3012</v>
      </c>
      <c r="B693" s="46" t="s">
        <v>2764</v>
      </c>
      <c r="C693" s="46" t="s">
        <v>3012</v>
      </c>
      <c r="D693" s="46" t="s">
        <v>3381</v>
      </c>
      <c r="E693" s="46" cm="1">
        <f t="array" ref="E693">personnel_nonteach_acct1_borrowed_m</f>
        <v>0</v>
      </c>
      <c r="F693" s="46" t="b">
        <v>1</v>
      </c>
    </row>
    <row r="694" spans="1:6">
      <c r="A694" s="46" t="s">
        <v>3013</v>
      </c>
      <c r="B694" s="46" t="s">
        <v>2764</v>
      </c>
      <c r="C694" s="46" t="s">
        <v>3013</v>
      </c>
      <c r="D694" s="46" t="s">
        <v>3382</v>
      </c>
      <c r="E694" s="46" cm="1">
        <f t="array" ref="E694">personnel_nonteach_acct1_borrowed_f</f>
        <v>0</v>
      </c>
      <c r="F694" s="46" t="b">
        <v>1</v>
      </c>
    </row>
    <row r="695" spans="1:6">
      <c r="A695" s="46" t="s">
        <v>3014</v>
      </c>
      <c r="B695" s="46" t="s">
        <v>2764</v>
      </c>
      <c r="C695" s="46" t="s">
        <v>3014</v>
      </c>
      <c r="D695" s="46" t="s">
        <v>3383</v>
      </c>
      <c r="E695" s="46" cm="1">
        <f t="array" ref="E695">personnel_nonteach_pdo1_psipop</f>
        <v>0</v>
      </c>
      <c r="F695" s="46" t="b">
        <v>1</v>
      </c>
    </row>
    <row r="696" spans="1:6">
      <c r="A696" s="46" t="s">
        <v>3015</v>
      </c>
      <c r="B696" s="46" t="s">
        <v>2764</v>
      </c>
      <c r="C696" s="46" t="s">
        <v>3015</v>
      </c>
      <c r="D696" s="46" t="s">
        <v>3384</v>
      </c>
      <c r="E696" s="46" cm="1">
        <f t="array" ref="E696">personnel_nonteach_pdo1_actual_m</f>
        <v>0</v>
      </c>
      <c r="F696" s="46" t="b">
        <v>1</v>
      </c>
    </row>
    <row r="697" spans="1:6">
      <c r="A697" s="46" t="s">
        <v>3016</v>
      </c>
      <c r="B697" s="46" t="s">
        <v>2764</v>
      </c>
      <c r="C697" s="46" t="s">
        <v>3016</v>
      </c>
      <c r="D697" s="46" t="s">
        <v>3385</v>
      </c>
      <c r="E697" s="46" cm="1">
        <f t="array" ref="E697">personnel_nonteach_pdo1_actual_f</f>
        <v>0</v>
      </c>
      <c r="F697" s="46" t="b">
        <v>1</v>
      </c>
    </row>
    <row r="698" spans="1:6">
      <c r="A698" s="46" t="s">
        <v>3017</v>
      </c>
      <c r="B698" s="46" t="s">
        <v>2764</v>
      </c>
      <c r="C698" s="46" t="s">
        <v>3017</v>
      </c>
      <c r="D698" s="46" t="s">
        <v>3386</v>
      </c>
      <c r="E698" s="46" cm="1">
        <f t="array" ref="E698">personnel_nonteach_pdo1_onleave</f>
        <v>0</v>
      </c>
      <c r="F698" s="46" t="b">
        <v>1</v>
      </c>
    </row>
    <row r="699" spans="1:6">
      <c r="A699" s="46" t="s">
        <v>3018</v>
      </c>
      <c r="B699" s="46" t="s">
        <v>2764</v>
      </c>
      <c r="C699" s="46" t="s">
        <v>3018</v>
      </c>
      <c r="D699" s="46" t="s">
        <v>3387</v>
      </c>
      <c r="E699" s="46" cm="1">
        <f t="array" ref="E699">personnel_nonteach_pdo1_vacant</f>
        <v>0</v>
      </c>
      <c r="F699" s="46" t="b">
        <v>1</v>
      </c>
    </row>
    <row r="700" spans="1:6">
      <c r="A700" s="46" t="s">
        <v>3019</v>
      </c>
      <c r="B700" s="46" t="s">
        <v>2764</v>
      </c>
      <c r="C700" s="46" t="s">
        <v>3019</v>
      </c>
      <c r="D700" s="46" t="s">
        <v>3388</v>
      </c>
      <c r="E700" s="46" cm="1">
        <f t="array" ref="E700">personnel_nonteach_pdo1_detailed_hs</f>
        <v>0</v>
      </c>
      <c r="F700" s="46" t="b">
        <v>1</v>
      </c>
    </row>
    <row r="701" spans="1:6">
      <c r="A701" s="46" t="s">
        <v>3020</v>
      </c>
      <c r="B701" s="46" t="s">
        <v>2764</v>
      </c>
      <c r="C701" s="46" t="s">
        <v>3020</v>
      </c>
      <c r="D701" s="46" t="s">
        <v>3389</v>
      </c>
      <c r="E701" s="46" cm="1">
        <f t="array" ref="E701">personnel_nonteach_pdo1_detailed_es</f>
        <v>0</v>
      </c>
      <c r="F701" s="46" t="b">
        <v>1</v>
      </c>
    </row>
    <row r="702" spans="1:6">
      <c r="A702" s="46" t="s">
        <v>3021</v>
      </c>
      <c r="B702" s="46" t="s">
        <v>2764</v>
      </c>
      <c r="C702" s="46" t="s">
        <v>3021</v>
      </c>
      <c r="D702" s="46" t="s">
        <v>3390</v>
      </c>
      <c r="E702" s="46" cm="1">
        <f t="array" ref="E702">personnel_nonteach_pdo1_detailed_outdiv</f>
        <v>0</v>
      </c>
      <c r="F702" s="46" t="b">
        <v>1</v>
      </c>
    </row>
    <row r="703" spans="1:6">
      <c r="A703" s="46" t="s">
        <v>3022</v>
      </c>
      <c r="B703" s="46" t="s">
        <v>2764</v>
      </c>
      <c r="C703" s="46" t="s">
        <v>3022</v>
      </c>
      <c r="D703" s="46" t="s">
        <v>3391</v>
      </c>
      <c r="E703" s="46" cm="1">
        <f t="array" ref="E703">personnel_nonteach_pdo1_borrowed_m</f>
        <v>0</v>
      </c>
      <c r="F703" s="46" t="b">
        <v>1</v>
      </c>
    </row>
    <row r="704" spans="1:6">
      <c r="A704" s="46" t="s">
        <v>3023</v>
      </c>
      <c r="B704" s="46" t="s">
        <v>2764</v>
      </c>
      <c r="C704" s="46" t="s">
        <v>3023</v>
      </c>
      <c r="D704" s="46" t="s">
        <v>3392</v>
      </c>
      <c r="E704" s="46" cm="1">
        <f t="array" ref="E704">personnel_nonteach_pdo1_borrowed_f</f>
        <v>0</v>
      </c>
      <c r="F704" s="46" t="b">
        <v>1</v>
      </c>
    </row>
    <row r="705" spans="1:6">
      <c r="A705" s="46" t="s">
        <v>3024</v>
      </c>
      <c r="B705" s="46" t="s">
        <v>2764</v>
      </c>
      <c r="C705" s="46" t="s">
        <v>3024</v>
      </c>
      <c r="D705" s="46" t="s">
        <v>3393</v>
      </c>
      <c r="E705" s="46" cm="1">
        <f t="array" ref="E705">personnel_nonteach_registrar1_psipop</f>
        <v>0</v>
      </c>
      <c r="F705" s="46" t="b">
        <v>1</v>
      </c>
    </row>
    <row r="706" spans="1:6">
      <c r="A706" s="46" t="s">
        <v>3025</v>
      </c>
      <c r="B706" s="46" t="s">
        <v>2764</v>
      </c>
      <c r="C706" s="46" t="s">
        <v>3025</v>
      </c>
      <c r="D706" s="46" t="s">
        <v>3394</v>
      </c>
      <c r="E706" s="46" cm="1">
        <f t="array" ref="E706">personnel_nonteach_registrar1_actual_m</f>
        <v>0</v>
      </c>
      <c r="F706" s="46" t="b">
        <v>1</v>
      </c>
    </row>
    <row r="707" spans="1:6">
      <c r="A707" s="46" t="s">
        <v>3026</v>
      </c>
      <c r="B707" s="46" t="s">
        <v>2764</v>
      </c>
      <c r="C707" s="46" t="s">
        <v>3026</v>
      </c>
      <c r="D707" s="46" t="s">
        <v>3395</v>
      </c>
      <c r="E707" s="46" cm="1">
        <f t="array" ref="E707">personnel_nonteach_registrar1_actual_f</f>
        <v>0</v>
      </c>
      <c r="F707" s="46" t="b">
        <v>1</v>
      </c>
    </row>
    <row r="708" spans="1:6">
      <c r="A708" s="46" t="s">
        <v>3027</v>
      </c>
      <c r="B708" s="46" t="s">
        <v>2764</v>
      </c>
      <c r="C708" s="46" t="s">
        <v>3027</v>
      </c>
      <c r="D708" s="46" t="s">
        <v>3396</v>
      </c>
      <c r="E708" s="46" cm="1">
        <f t="array" ref="E708">personnel_nonteach_registrar1_onleave</f>
        <v>0</v>
      </c>
      <c r="F708" s="46" t="b">
        <v>1</v>
      </c>
    </row>
    <row r="709" spans="1:6">
      <c r="A709" s="46" t="s">
        <v>3028</v>
      </c>
      <c r="B709" s="46" t="s">
        <v>2764</v>
      </c>
      <c r="C709" s="46" t="s">
        <v>3028</v>
      </c>
      <c r="D709" s="46" t="s">
        <v>3397</v>
      </c>
      <c r="E709" s="46" cm="1">
        <f t="array" ref="E709">personnel_nonteach_registrar1_vacant</f>
        <v>0</v>
      </c>
      <c r="F709" s="46" t="b">
        <v>1</v>
      </c>
    </row>
    <row r="710" spans="1:6">
      <c r="A710" s="46" t="s">
        <v>3029</v>
      </c>
      <c r="B710" s="46" t="s">
        <v>2764</v>
      </c>
      <c r="C710" s="46" t="s">
        <v>3029</v>
      </c>
      <c r="D710" s="46" t="s">
        <v>3398</v>
      </c>
      <c r="E710" s="46" cm="1">
        <f t="array" ref="E710">personnel_nonteach_registrar1_detailed_hs</f>
        <v>0</v>
      </c>
      <c r="F710" s="46" t="b">
        <v>1</v>
      </c>
    </row>
    <row r="711" spans="1:6">
      <c r="A711" s="46" t="s">
        <v>3030</v>
      </c>
      <c r="B711" s="46" t="s">
        <v>2764</v>
      </c>
      <c r="C711" s="46" t="s">
        <v>3030</v>
      </c>
      <c r="D711" s="46" t="s">
        <v>3399</v>
      </c>
      <c r="E711" s="46" cm="1">
        <f t="array" ref="E711">personnel_nonteach_registrar1_detailed_es</f>
        <v>0</v>
      </c>
      <c r="F711" s="46" t="b">
        <v>1</v>
      </c>
    </row>
    <row r="712" spans="1:6">
      <c r="A712" s="46" t="s">
        <v>3031</v>
      </c>
      <c r="B712" s="46" t="s">
        <v>2764</v>
      </c>
      <c r="C712" s="46" t="s">
        <v>3031</v>
      </c>
      <c r="D712" s="46" t="s">
        <v>3400</v>
      </c>
      <c r="E712" s="46" cm="1">
        <f t="array" ref="E712">personnel_nonteach_registrar1_detailed_outdiv</f>
        <v>0</v>
      </c>
      <c r="F712" s="46" t="b">
        <v>1</v>
      </c>
    </row>
    <row r="713" spans="1:6">
      <c r="A713" s="46" t="s">
        <v>3032</v>
      </c>
      <c r="B713" s="46" t="s">
        <v>2764</v>
      </c>
      <c r="C713" s="46" t="s">
        <v>3032</v>
      </c>
      <c r="D713" s="46" t="s">
        <v>3401</v>
      </c>
      <c r="E713" s="46" cm="1">
        <f t="array" ref="E713">personnel_nonteach_registrar1_borrowed_m</f>
        <v>0</v>
      </c>
      <c r="F713" s="46" t="b">
        <v>1</v>
      </c>
    </row>
    <row r="714" spans="1:6">
      <c r="A714" s="46" t="s">
        <v>3033</v>
      </c>
      <c r="B714" s="46" t="s">
        <v>2764</v>
      </c>
      <c r="C714" s="46" t="s">
        <v>3033</v>
      </c>
      <c r="D714" s="46" t="s">
        <v>3402</v>
      </c>
      <c r="E714" s="46" cm="1">
        <f t="array" ref="E714">personnel_nonteach_registrar1_borrowed_f</f>
        <v>0</v>
      </c>
      <c r="F714" s="46" t="b">
        <v>1</v>
      </c>
    </row>
    <row r="715" spans="1:6">
      <c r="A715" s="46" t="s">
        <v>3034</v>
      </c>
      <c r="B715" s="46" t="s">
        <v>2764</v>
      </c>
      <c r="C715" s="46" t="s">
        <v>3034</v>
      </c>
      <c r="D715" s="46" t="s">
        <v>3403</v>
      </c>
      <c r="E715" s="46" cm="1">
        <f t="array" ref="E715">personnel_nonteach_chsr1_psipop</f>
        <v>0</v>
      </c>
      <c r="F715" s="46" t="b">
        <v>1</v>
      </c>
    </row>
    <row r="716" spans="1:6">
      <c r="A716" s="46" t="s">
        <v>3035</v>
      </c>
      <c r="B716" s="46" t="s">
        <v>2764</v>
      </c>
      <c r="C716" s="46" t="s">
        <v>3035</v>
      </c>
      <c r="D716" s="46" t="s">
        <v>3404</v>
      </c>
      <c r="E716" s="46" cm="1">
        <f t="array" ref="E716">personnel_nonteach_chsr1_actual_m</f>
        <v>0</v>
      </c>
      <c r="F716" s="46" t="b">
        <v>1</v>
      </c>
    </row>
    <row r="717" spans="1:6">
      <c r="A717" s="46" t="s">
        <v>3036</v>
      </c>
      <c r="B717" s="46" t="s">
        <v>2764</v>
      </c>
      <c r="C717" s="46" t="s">
        <v>3036</v>
      </c>
      <c r="D717" s="46" t="s">
        <v>3405</v>
      </c>
      <c r="E717" s="46" cm="1">
        <f t="array" ref="E717">personnel_nonteach_chsr1_actual_f</f>
        <v>0</v>
      </c>
      <c r="F717" s="46" t="b">
        <v>1</v>
      </c>
    </row>
    <row r="718" spans="1:6">
      <c r="A718" s="46" t="s">
        <v>3037</v>
      </c>
      <c r="B718" s="46" t="s">
        <v>2764</v>
      </c>
      <c r="C718" s="46" t="s">
        <v>3037</v>
      </c>
      <c r="D718" s="46" t="s">
        <v>3406</v>
      </c>
      <c r="E718" s="46" cm="1">
        <f t="array" ref="E718">personnel_nonteach_chsr1_onleave</f>
        <v>0</v>
      </c>
      <c r="F718" s="46" t="b">
        <v>1</v>
      </c>
    </row>
    <row r="719" spans="1:6">
      <c r="A719" s="46" t="s">
        <v>3038</v>
      </c>
      <c r="B719" s="46" t="s">
        <v>2764</v>
      </c>
      <c r="C719" s="46" t="s">
        <v>3038</v>
      </c>
      <c r="D719" s="46" t="s">
        <v>3407</v>
      </c>
      <c r="E719" s="46" cm="1">
        <f t="array" ref="E719">personnel_nonteach_chsr1_vacant</f>
        <v>0</v>
      </c>
      <c r="F719" s="46" t="b">
        <v>1</v>
      </c>
    </row>
    <row r="720" spans="1:6">
      <c r="A720" s="46" t="s">
        <v>3039</v>
      </c>
      <c r="B720" s="46" t="s">
        <v>2764</v>
      </c>
      <c r="C720" s="46" t="s">
        <v>3039</v>
      </c>
      <c r="D720" s="46" t="s">
        <v>3408</v>
      </c>
      <c r="E720" s="46" cm="1">
        <f t="array" ref="E720">personnel_nonteach_chsr1_detailed_hs</f>
        <v>0</v>
      </c>
      <c r="F720" s="46" t="b">
        <v>1</v>
      </c>
    </row>
    <row r="721" spans="1:6">
      <c r="A721" s="46" t="s">
        <v>3040</v>
      </c>
      <c r="B721" s="46" t="s">
        <v>2764</v>
      </c>
      <c r="C721" s="46" t="s">
        <v>3040</v>
      </c>
      <c r="D721" s="46" t="s">
        <v>3409</v>
      </c>
      <c r="E721" s="46" cm="1">
        <f t="array" ref="E721">personnel_nonteach_chsr1_detailed_es</f>
        <v>0</v>
      </c>
      <c r="F721" s="46" t="b">
        <v>1</v>
      </c>
    </row>
    <row r="722" spans="1:6">
      <c r="A722" s="46" t="s">
        <v>3041</v>
      </c>
      <c r="B722" s="46" t="s">
        <v>2764</v>
      </c>
      <c r="C722" s="46" t="s">
        <v>3041</v>
      </c>
      <c r="D722" s="46" t="s">
        <v>3410</v>
      </c>
      <c r="E722" s="46" cm="1">
        <f t="array" ref="E722">personnel_nonteach_chsr1_detailed_outdiv</f>
        <v>0</v>
      </c>
      <c r="F722" s="46" t="b">
        <v>1</v>
      </c>
    </row>
    <row r="723" spans="1:6">
      <c r="A723" s="46" t="s">
        <v>3042</v>
      </c>
      <c r="B723" s="46" t="s">
        <v>2764</v>
      </c>
      <c r="C723" s="46" t="s">
        <v>3042</v>
      </c>
      <c r="D723" s="46" t="s">
        <v>3411</v>
      </c>
      <c r="E723" s="46" cm="1">
        <f t="array" ref="E723">personnel_nonteach_chsr1_borrowed_m</f>
        <v>0</v>
      </c>
      <c r="F723" s="46" t="b">
        <v>1</v>
      </c>
    </row>
    <row r="724" spans="1:6">
      <c r="A724" s="46" t="s">
        <v>3043</v>
      </c>
      <c r="B724" s="46" t="s">
        <v>2764</v>
      </c>
      <c r="C724" s="46" t="s">
        <v>3043</v>
      </c>
      <c r="D724" s="46" t="s">
        <v>3412</v>
      </c>
      <c r="E724" s="46" cm="1">
        <f t="array" ref="E724">personnel_nonteach_chsr1_borrowed_f</f>
        <v>0</v>
      </c>
      <c r="F724" s="46" t="b">
        <v>1</v>
      </c>
    </row>
    <row r="725" spans="1:6">
      <c r="A725" s="46" t="s">
        <v>3044</v>
      </c>
      <c r="B725" s="46" t="s">
        <v>2764</v>
      </c>
      <c r="C725" s="46" t="s">
        <v>3044</v>
      </c>
      <c r="D725" s="46" t="s">
        <v>3413</v>
      </c>
      <c r="E725" s="46" cm="1">
        <f t="array" ref="E725">personnel_nonteach_supplofcr1_psipop</f>
        <v>0</v>
      </c>
      <c r="F725" s="46" t="b">
        <v>1</v>
      </c>
    </row>
    <row r="726" spans="1:6">
      <c r="A726" s="46" t="s">
        <v>3045</v>
      </c>
      <c r="B726" s="46" t="s">
        <v>2764</v>
      </c>
      <c r="C726" s="46" t="s">
        <v>3045</v>
      </c>
      <c r="D726" s="46" t="s">
        <v>3414</v>
      </c>
      <c r="E726" s="46" cm="1">
        <f t="array" ref="E726">personnel_nonteach_supplofcr1_actual_m</f>
        <v>0</v>
      </c>
      <c r="F726" s="46" t="b">
        <v>1</v>
      </c>
    </row>
    <row r="727" spans="1:6">
      <c r="A727" s="46" t="s">
        <v>3046</v>
      </c>
      <c r="B727" s="46" t="s">
        <v>2764</v>
      </c>
      <c r="C727" s="46" t="s">
        <v>3046</v>
      </c>
      <c r="D727" s="46" t="s">
        <v>3415</v>
      </c>
      <c r="E727" s="46" cm="1">
        <f t="array" ref="E727">personnel_nonteach_supplofcr1_actual_f</f>
        <v>0</v>
      </c>
      <c r="F727" s="46" t="b">
        <v>1</v>
      </c>
    </row>
    <row r="728" spans="1:6">
      <c r="A728" s="46" t="s">
        <v>3047</v>
      </c>
      <c r="B728" s="46" t="s">
        <v>2764</v>
      </c>
      <c r="C728" s="46" t="s">
        <v>3047</v>
      </c>
      <c r="D728" s="46" t="s">
        <v>3416</v>
      </c>
      <c r="E728" s="46" cm="1">
        <f t="array" ref="E728">personnel_nonteach_supplofcr1_onleave</f>
        <v>0</v>
      </c>
      <c r="F728" s="46" t="b">
        <v>1</v>
      </c>
    </row>
    <row r="729" spans="1:6">
      <c r="A729" s="46" t="s">
        <v>3048</v>
      </c>
      <c r="B729" s="46" t="s">
        <v>2764</v>
      </c>
      <c r="C729" s="46" t="s">
        <v>3048</v>
      </c>
      <c r="D729" s="46" t="s">
        <v>3417</v>
      </c>
      <c r="E729" s="46" cm="1">
        <f t="array" ref="E729">personnel_nonteach_supplofcr1_vacant</f>
        <v>0</v>
      </c>
      <c r="F729" s="46" t="b">
        <v>1</v>
      </c>
    </row>
    <row r="730" spans="1:6">
      <c r="A730" s="46" t="s">
        <v>3049</v>
      </c>
      <c r="B730" s="46" t="s">
        <v>2764</v>
      </c>
      <c r="C730" s="46" t="s">
        <v>3049</v>
      </c>
      <c r="D730" s="46" t="s">
        <v>3418</v>
      </c>
      <c r="E730" s="46" cm="1">
        <f t="array" ref="E730">personnel_nonteach_supplofcr1_detailed_hs</f>
        <v>0</v>
      </c>
      <c r="F730" s="46" t="b">
        <v>1</v>
      </c>
    </row>
    <row r="731" spans="1:6">
      <c r="A731" s="46" t="s">
        <v>3050</v>
      </c>
      <c r="B731" s="46" t="s">
        <v>2764</v>
      </c>
      <c r="C731" s="46" t="s">
        <v>3050</v>
      </c>
      <c r="D731" s="46" t="s">
        <v>3419</v>
      </c>
      <c r="E731" s="46" cm="1">
        <f t="array" ref="E731">personnel_nonteach_supplofcr1_detailed_es</f>
        <v>0</v>
      </c>
      <c r="F731" s="46" t="b">
        <v>1</v>
      </c>
    </row>
    <row r="732" spans="1:6">
      <c r="A732" s="46" t="s">
        <v>3051</v>
      </c>
      <c r="B732" s="46" t="s">
        <v>2764</v>
      </c>
      <c r="C732" s="46" t="s">
        <v>3051</v>
      </c>
      <c r="D732" s="46" t="s">
        <v>3420</v>
      </c>
      <c r="E732" s="46" cm="1">
        <f t="array" ref="E732">personnel_nonteach_supplofcr1_detailed_outdiv</f>
        <v>0</v>
      </c>
      <c r="F732" s="46" t="b">
        <v>1</v>
      </c>
    </row>
    <row r="733" spans="1:6">
      <c r="A733" s="46" t="s">
        <v>3052</v>
      </c>
      <c r="B733" s="46" t="s">
        <v>2764</v>
      </c>
      <c r="C733" s="46" t="s">
        <v>3052</v>
      </c>
      <c r="D733" s="46" t="s">
        <v>3421</v>
      </c>
      <c r="E733" s="46" cm="1">
        <f t="array" ref="E733">personnel_nonteach_supplofcr1_borrowed_m</f>
        <v>0</v>
      </c>
      <c r="F733" s="46" t="b">
        <v>1</v>
      </c>
    </row>
    <row r="734" spans="1:6">
      <c r="A734" s="46" t="s">
        <v>3053</v>
      </c>
      <c r="B734" s="46" t="s">
        <v>2764</v>
      </c>
      <c r="C734" s="46" t="s">
        <v>3053</v>
      </c>
      <c r="D734" s="46" t="s">
        <v>3422</v>
      </c>
      <c r="E734" s="46" cm="1">
        <f t="array" ref="E734">personnel_nonteach_supplofcr1_borrowed_f</f>
        <v>0</v>
      </c>
      <c r="F734" s="46" t="b">
        <v>1</v>
      </c>
    </row>
    <row r="735" spans="1:6">
      <c r="A735" s="46" t="s">
        <v>3054</v>
      </c>
      <c r="B735" s="46" t="s">
        <v>2764</v>
      </c>
      <c r="C735" s="46" t="s">
        <v>3054</v>
      </c>
      <c r="D735" s="46" t="s">
        <v>3423</v>
      </c>
      <c r="E735" s="46" cm="1">
        <f t="array" ref="E735">personnel_nonteach_seniorbk_psipop</f>
        <v>0</v>
      </c>
      <c r="F735" s="46" t="b">
        <v>1</v>
      </c>
    </row>
    <row r="736" spans="1:6">
      <c r="A736" s="46" t="s">
        <v>3055</v>
      </c>
      <c r="B736" s="46" t="s">
        <v>2764</v>
      </c>
      <c r="C736" s="46" t="s">
        <v>3055</v>
      </c>
      <c r="D736" s="46" t="s">
        <v>3424</v>
      </c>
      <c r="E736" s="46" cm="1">
        <f t="array" ref="E736">personnel_nonteach_seniorbk_actual_m</f>
        <v>0</v>
      </c>
      <c r="F736" s="46" t="b">
        <v>1</v>
      </c>
    </row>
    <row r="737" spans="1:6">
      <c r="A737" s="46" t="s">
        <v>3056</v>
      </c>
      <c r="B737" s="46" t="s">
        <v>2764</v>
      </c>
      <c r="C737" s="46" t="s">
        <v>3056</v>
      </c>
      <c r="D737" s="46" t="s">
        <v>3425</v>
      </c>
      <c r="E737" s="46" cm="1">
        <f t="array" ref="E737">personnel_nonteach_seniorbk_actual_f</f>
        <v>0</v>
      </c>
      <c r="F737" s="46" t="b">
        <v>1</v>
      </c>
    </row>
    <row r="738" spans="1:6">
      <c r="A738" s="46" t="s">
        <v>3057</v>
      </c>
      <c r="B738" s="46" t="s">
        <v>2764</v>
      </c>
      <c r="C738" s="46" t="s">
        <v>3057</v>
      </c>
      <c r="D738" s="46" t="s">
        <v>3426</v>
      </c>
      <c r="E738" s="46" cm="1">
        <f t="array" ref="E738">personnel_nonteach_seniorbk_onleave</f>
        <v>0</v>
      </c>
      <c r="F738" s="46" t="b">
        <v>1</v>
      </c>
    </row>
    <row r="739" spans="1:6">
      <c r="A739" s="46" t="s">
        <v>3058</v>
      </c>
      <c r="B739" s="46" t="s">
        <v>2764</v>
      </c>
      <c r="C739" s="46" t="s">
        <v>3058</v>
      </c>
      <c r="D739" s="46" t="s">
        <v>3427</v>
      </c>
      <c r="E739" s="46" cm="1">
        <f t="array" ref="E739">personnel_nonteach_seniorbk_vacant</f>
        <v>0</v>
      </c>
      <c r="F739" s="46" t="b">
        <v>1</v>
      </c>
    </row>
    <row r="740" spans="1:6">
      <c r="A740" s="46" t="s">
        <v>3059</v>
      </c>
      <c r="B740" s="46" t="s">
        <v>2764</v>
      </c>
      <c r="C740" s="46" t="s">
        <v>3059</v>
      </c>
      <c r="D740" s="46" t="s">
        <v>3428</v>
      </c>
      <c r="E740" s="46" cm="1">
        <f t="array" ref="E740">personnel_nonteach_seniorbk_detailed_hs</f>
        <v>0</v>
      </c>
      <c r="F740" s="46" t="b">
        <v>1</v>
      </c>
    </row>
    <row r="741" spans="1:6">
      <c r="A741" s="46" t="s">
        <v>3060</v>
      </c>
      <c r="B741" s="46" t="s">
        <v>2764</v>
      </c>
      <c r="C741" s="46" t="s">
        <v>3060</v>
      </c>
      <c r="D741" s="46" t="s">
        <v>3429</v>
      </c>
      <c r="E741" s="46" cm="1">
        <f t="array" ref="E741">personnel_nonteach_seniorbk_detailed_es</f>
        <v>0</v>
      </c>
      <c r="F741" s="46" t="b">
        <v>1</v>
      </c>
    </row>
    <row r="742" spans="1:6">
      <c r="A742" s="46" t="s">
        <v>3061</v>
      </c>
      <c r="B742" s="46" t="s">
        <v>2764</v>
      </c>
      <c r="C742" s="46" t="s">
        <v>3061</v>
      </c>
      <c r="D742" s="46" t="s">
        <v>3430</v>
      </c>
      <c r="E742" s="46" cm="1">
        <f t="array" ref="E742">personnel_nonteach_seniorbk_detailed_outdiv</f>
        <v>0</v>
      </c>
      <c r="F742" s="46" t="b">
        <v>1</v>
      </c>
    </row>
    <row r="743" spans="1:6">
      <c r="A743" s="46" t="s">
        <v>3062</v>
      </c>
      <c r="B743" s="46" t="s">
        <v>2764</v>
      </c>
      <c r="C743" s="46" t="s">
        <v>3062</v>
      </c>
      <c r="D743" s="46" t="s">
        <v>3431</v>
      </c>
      <c r="E743" s="46" cm="1">
        <f t="array" ref="E743">personnel_nonteach_seniorbk_borrowed_m</f>
        <v>0</v>
      </c>
      <c r="F743" s="46" t="b">
        <v>1</v>
      </c>
    </row>
    <row r="744" spans="1:6">
      <c r="A744" s="46" t="s">
        <v>3063</v>
      </c>
      <c r="B744" s="46" t="s">
        <v>2764</v>
      </c>
      <c r="C744" s="46" t="s">
        <v>3063</v>
      </c>
      <c r="D744" s="46" t="s">
        <v>3432</v>
      </c>
      <c r="E744" s="46" cm="1">
        <f t="array" ref="E744">personnel_nonteach_seniorbk_borrowed_f</f>
        <v>0</v>
      </c>
      <c r="F744" s="46" t="b">
        <v>1</v>
      </c>
    </row>
    <row r="745" spans="1:6">
      <c r="A745" s="46" t="s">
        <v>3064</v>
      </c>
      <c r="B745" s="46" t="s">
        <v>2764</v>
      </c>
      <c r="C745" s="46" t="s">
        <v>3064</v>
      </c>
      <c r="D745" s="46" t="s">
        <v>3433</v>
      </c>
      <c r="E745" s="46" cm="1">
        <f t="array" ref="E745">personnel_nonteach_adminasst2_psipop</f>
        <v>1</v>
      </c>
      <c r="F745" s="46" t="b">
        <v>1</v>
      </c>
    </row>
    <row r="746" spans="1:6">
      <c r="A746" s="46" t="s">
        <v>3065</v>
      </c>
      <c r="B746" s="46" t="s">
        <v>2764</v>
      </c>
      <c r="C746" s="46" t="s">
        <v>3065</v>
      </c>
      <c r="D746" s="46" t="s">
        <v>3434</v>
      </c>
      <c r="E746" s="46" cm="1">
        <f t="array" ref="E746">personnel_nonteach_adminasst2_actual_m</f>
        <v>1</v>
      </c>
      <c r="F746" s="46" t="b">
        <v>1</v>
      </c>
    </row>
    <row r="747" spans="1:6">
      <c r="A747" s="46" t="s">
        <v>3066</v>
      </c>
      <c r="B747" s="46" t="s">
        <v>2764</v>
      </c>
      <c r="C747" s="46" t="s">
        <v>3066</v>
      </c>
      <c r="D747" s="46" t="s">
        <v>3435</v>
      </c>
      <c r="E747" s="46" cm="1">
        <f t="array" ref="E747">personnel_nonteach_adminasst2_actual_f</f>
        <v>0</v>
      </c>
      <c r="F747" s="46" t="b">
        <v>1</v>
      </c>
    </row>
    <row r="748" spans="1:6">
      <c r="A748" s="46" t="s">
        <v>3067</v>
      </c>
      <c r="B748" s="46" t="s">
        <v>2764</v>
      </c>
      <c r="C748" s="46" t="s">
        <v>3067</v>
      </c>
      <c r="D748" s="46" t="s">
        <v>3436</v>
      </c>
      <c r="E748" s="46" cm="1">
        <f t="array" ref="E748">personnel_nonteach_adminasst2_onleave</f>
        <v>0</v>
      </c>
      <c r="F748" s="46" t="b">
        <v>1</v>
      </c>
    </row>
    <row r="749" spans="1:6">
      <c r="A749" s="46" t="s">
        <v>3068</v>
      </c>
      <c r="B749" s="46" t="s">
        <v>2764</v>
      </c>
      <c r="C749" s="46" t="s">
        <v>3068</v>
      </c>
      <c r="D749" s="46" t="s">
        <v>3437</v>
      </c>
      <c r="E749" s="46" cm="1">
        <f t="array" ref="E749">personnel_nonteach_adminasst2_vacant</f>
        <v>0</v>
      </c>
      <c r="F749" s="46" t="b">
        <v>1</v>
      </c>
    </row>
    <row r="750" spans="1:6">
      <c r="A750" s="46" t="s">
        <v>3069</v>
      </c>
      <c r="B750" s="46" t="s">
        <v>2764</v>
      </c>
      <c r="C750" s="46" t="s">
        <v>3069</v>
      </c>
      <c r="D750" s="46" t="s">
        <v>3438</v>
      </c>
      <c r="E750" s="46" cm="1">
        <f t="array" ref="E750">personnel_nonteach_adminasst2_detailed_hs</f>
        <v>0</v>
      </c>
      <c r="F750" s="46" t="b">
        <v>1</v>
      </c>
    </row>
    <row r="751" spans="1:6">
      <c r="A751" s="46" t="s">
        <v>3070</v>
      </c>
      <c r="B751" s="46" t="s">
        <v>2764</v>
      </c>
      <c r="C751" s="46" t="s">
        <v>3070</v>
      </c>
      <c r="D751" s="46" t="s">
        <v>3439</v>
      </c>
      <c r="E751" s="46" cm="1">
        <f t="array" ref="E751">personnel_nonteach_adminasst2_detailed_es</f>
        <v>0</v>
      </c>
      <c r="F751" s="46" t="b">
        <v>1</v>
      </c>
    </row>
    <row r="752" spans="1:6">
      <c r="A752" s="46" t="s">
        <v>3071</v>
      </c>
      <c r="B752" s="46" t="s">
        <v>2764</v>
      </c>
      <c r="C752" s="46" t="s">
        <v>3071</v>
      </c>
      <c r="D752" s="46" t="s">
        <v>3440</v>
      </c>
      <c r="E752" s="46" cm="1">
        <f t="array" ref="E752">personnel_nonteach_adminasst2_detailed_outdiv</f>
        <v>0</v>
      </c>
      <c r="F752" s="46" t="b">
        <v>1</v>
      </c>
    </row>
    <row r="753" spans="1:6">
      <c r="A753" s="46" t="s">
        <v>3072</v>
      </c>
      <c r="B753" s="46" t="s">
        <v>2764</v>
      </c>
      <c r="C753" s="46" t="s">
        <v>3072</v>
      </c>
      <c r="D753" s="46" t="s">
        <v>3441</v>
      </c>
      <c r="E753" s="46" cm="1">
        <f t="array" ref="E753">personnel_nonteach_adminasst2_borrowed_m</f>
        <v>0</v>
      </c>
      <c r="F753" s="46" t="b">
        <v>1</v>
      </c>
    </row>
    <row r="754" spans="1:6">
      <c r="A754" s="46" t="s">
        <v>3073</v>
      </c>
      <c r="B754" s="46" t="s">
        <v>2764</v>
      </c>
      <c r="C754" s="46" t="s">
        <v>3073</v>
      </c>
      <c r="D754" s="46" t="s">
        <v>3442</v>
      </c>
      <c r="E754" s="46" cm="1">
        <f t="array" ref="E754">personnel_nonteach_adminasst2_borrowed_f</f>
        <v>0</v>
      </c>
      <c r="F754" s="46" t="b">
        <v>1</v>
      </c>
    </row>
    <row r="755" spans="1:6">
      <c r="A755" s="46" t="s">
        <v>3074</v>
      </c>
      <c r="B755" s="46" t="s">
        <v>2764</v>
      </c>
      <c r="C755" s="46" t="s">
        <v>3074</v>
      </c>
      <c r="D755" s="46" t="s">
        <v>3443</v>
      </c>
      <c r="E755" s="46" cm="1">
        <f t="array" ref="E755">personnel_nonteach_adminasst1_psipop</f>
        <v>0</v>
      </c>
      <c r="F755" s="46" t="b">
        <v>1</v>
      </c>
    </row>
    <row r="756" spans="1:6">
      <c r="A756" s="46" t="s">
        <v>3075</v>
      </c>
      <c r="B756" s="46" t="s">
        <v>2764</v>
      </c>
      <c r="C756" s="46" t="s">
        <v>3075</v>
      </c>
      <c r="D756" s="46" t="s">
        <v>3444</v>
      </c>
      <c r="E756" s="46" cm="1">
        <f t="array" ref="E756">personnel_nonteach_adminasst1_actual_m</f>
        <v>0</v>
      </c>
      <c r="F756" s="46" t="b">
        <v>1</v>
      </c>
    </row>
    <row r="757" spans="1:6">
      <c r="A757" s="46" t="s">
        <v>3076</v>
      </c>
      <c r="B757" s="46" t="s">
        <v>2764</v>
      </c>
      <c r="C757" s="46" t="s">
        <v>3076</v>
      </c>
      <c r="D757" s="46" t="s">
        <v>3445</v>
      </c>
      <c r="E757" s="46" cm="1">
        <f t="array" ref="E757">personnel_nonteach_adminasst1_actual_f</f>
        <v>0</v>
      </c>
      <c r="F757" s="46" t="b">
        <v>1</v>
      </c>
    </row>
    <row r="758" spans="1:6">
      <c r="A758" s="46" t="s">
        <v>3077</v>
      </c>
      <c r="B758" s="46" t="s">
        <v>2764</v>
      </c>
      <c r="C758" s="46" t="s">
        <v>3077</v>
      </c>
      <c r="D758" s="46" t="s">
        <v>3446</v>
      </c>
      <c r="E758" s="46" cm="1">
        <f t="array" ref="E758">personnel_nonteach_adminasst1_onleave</f>
        <v>0</v>
      </c>
      <c r="F758" s="46" t="b">
        <v>1</v>
      </c>
    </row>
    <row r="759" spans="1:6">
      <c r="A759" s="46" t="s">
        <v>3078</v>
      </c>
      <c r="B759" s="46" t="s">
        <v>2764</v>
      </c>
      <c r="C759" s="46" t="s">
        <v>3078</v>
      </c>
      <c r="D759" s="46" t="s">
        <v>3447</v>
      </c>
      <c r="E759" s="46" cm="1">
        <f t="array" ref="E759">personnel_nonteach_adminasst1_vacant</f>
        <v>0</v>
      </c>
      <c r="F759" s="46" t="b">
        <v>1</v>
      </c>
    </row>
    <row r="760" spans="1:6">
      <c r="A760" s="46" t="s">
        <v>3079</v>
      </c>
      <c r="B760" s="46" t="s">
        <v>2764</v>
      </c>
      <c r="C760" s="46" t="s">
        <v>3079</v>
      </c>
      <c r="D760" s="46" t="s">
        <v>3448</v>
      </c>
      <c r="E760" s="46" cm="1">
        <f t="array" ref="E760">personnel_nonteach_adminasst1_detailed_hs</f>
        <v>0</v>
      </c>
      <c r="F760" s="46" t="b">
        <v>1</v>
      </c>
    </row>
    <row r="761" spans="1:6">
      <c r="A761" s="46" t="s">
        <v>3080</v>
      </c>
      <c r="B761" s="46" t="s">
        <v>2764</v>
      </c>
      <c r="C761" s="46" t="s">
        <v>3080</v>
      </c>
      <c r="D761" s="46" t="s">
        <v>3449</v>
      </c>
      <c r="E761" s="46" cm="1">
        <f t="array" ref="E761">personnel_nonteach_adminasst1_detailed_es</f>
        <v>0</v>
      </c>
      <c r="F761" s="46" t="b">
        <v>1</v>
      </c>
    </row>
    <row r="762" spans="1:6">
      <c r="A762" s="46" t="s">
        <v>3081</v>
      </c>
      <c r="B762" s="46" t="s">
        <v>2764</v>
      </c>
      <c r="C762" s="46" t="s">
        <v>3081</v>
      </c>
      <c r="D762" s="46" t="s">
        <v>3450</v>
      </c>
      <c r="E762" s="46" cm="1">
        <f t="array" ref="E762">personnel_nonteach_adminasst1_detailed_outdiv</f>
        <v>0</v>
      </c>
      <c r="F762" s="46" t="b">
        <v>1</v>
      </c>
    </row>
    <row r="763" spans="1:6">
      <c r="A763" s="46" t="s">
        <v>3082</v>
      </c>
      <c r="B763" s="46" t="s">
        <v>2764</v>
      </c>
      <c r="C763" s="46" t="s">
        <v>3082</v>
      </c>
      <c r="D763" s="46" t="s">
        <v>3451</v>
      </c>
      <c r="E763" s="46" cm="1">
        <f t="array" ref="E763">personnel_nonteach_adminasst1_borrowed_m</f>
        <v>0</v>
      </c>
      <c r="F763" s="46" t="b">
        <v>1</v>
      </c>
    </row>
    <row r="764" spans="1:6">
      <c r="A764" s="46" t="s">
        <v>3083</v>
      </c>
      <c r="B764" s="46" t="s">
        <v>2764</v>
      </c>
      <c r="C764" s="46" t="s">
        <v>3083</v>
      </c>
      <c r="D764" s="46" t="s">
        <v>3452</v>
      </c>
      <c r="E764" s="46" cm="1">
        <f t="array" ref="E764">personnel_nonteach_adminasst1_borrowed_f</f>
        <v>0</v>
      </c>
      <c r="F764" s="46" t="b">
        <v>1</v>
      </c>
    </row>
    <row r="765" spans="1:6">
      <c r="A765" s="46" t="s">
        <v>3084</v>
      </c>
      <c r="B765" s="46" t="s">
        <v>2764</v>
      </c>
      <c r="C765" s="46" t="s">
        <v>3084</v>
      </c>
      <c r="D765" s="46" t="s">
        <v>3453</v>
      </c>
      <c r="E765" s="46" cm="1">
        <f t="array" ref="E765">personnel_nonteach_adminaide6_psipop</f>
        <v>0</v>
      </c>
      <c r="F765" s="46" t="b">
        <v>1</v>
      </c>
    </row>
    <row r="766" spans="1:6">
      <c r="A766" s="46" t="s">
        <v>3085</v>
      </c>
      <c r="B766" s="46" t="s">
        <v>2764</v>
      </c>
      <c r="C766" s="46" t="s">
        <v>3085</v>
      </c>
      <c r="D766" s="46" t="s">
        <v>3454</v>
      </c>
      <c r="E766" s="46" cm="1">
        <f t="array" ref="E766">personnel_nonteach_adminaide6_actual_m</f>
        <v>0</v>
      </c>
      <c r="F766" s="46" t="b">
        <v>1</v>
      </c>
    </row>
    <row r="767" spans="1:6">
      <c r="A767" s="46" t="s">
        <v>3086</v>
      </c>
      <c r="B767" s="46" t="s">
        <v>2764</v>
      </c>
      <c r="C767" s="46" t="s">
        <v>3086</v>
      </c>
      <c r="D767" s="46" t="s">
        <v>3455</v>
      </c>
      <c r="E767" s="46" cm="1">
        <f t="array" ref="E767">personnel_nonteach_adminaide6_actual_f</f>
        <v>0</v>
      </c>
      <c r="F767" s="46" t="b">
        <v>1</v>
      </c>
    </row>
    <row r="768" spans="1:6">
      <c r="A768" s="46" t="s">
        <v>3087</v>
      </c>
      <c r="B768" s="46" t="s">
        <v>2764</v>
      </c>
      <c r="C768" s="46" t="s">
        <v>3087</v>
      </c>
      <c r="D768" s="46" t="s">
        <v>3456</v>
      </c>
      <c r="E768" s="46" cm="1">
        <f t="array" ref="E768">personnel_nonteach_adminaide6_onleave</f>
        <v>0</v>
      </c>
      <c r="F768" s="46" t="b">
        <v>1</v>
      </c>
    </row>
    <row r="769" spans="1:6">
      <c r="A769" s="46" t="s">
        <v>3088</v>
      </c>
      <c r="B769" s="46" t="s">
        <v>2764</v>
      </c>
      <c r="C769" s="46" t="s">
        <v>3088</v>
      </c>
      <c r="D769" s="46" t="s">
        <v>3457</v>
      </c>
      <c r="E769" s="46" cm="1">
        <f t="array" ref="E769">personnel_nonteach_adminaide6_vacant</f>
        <v>0</v>
      </c>
      <c r="F769" s="46" t="b">
        <v>1</v>
      </c>
    </row>
    <row r="770" spans="1:6">
      <c r="A770" s="46" t="s">
        <v>3089</v>
      </c>
      <c r="B770" s="46" t="s">
        <v>2764</v>
      </c>
      <c r="C770" s="46" t="s">
        <v>3089</v>
      </c>
      <c r="D770" s="46" t="s">
        <v>3458</v>
      </c>
      <c r="E770" s="46" cm="1">
        <f t="array" ref="E770">personnel_nonteach_adminaide6_detailed_hs</f>
        <v>0</v>
      </c>
      <c r="F770" s="46" t="b">
        <v>1</v>
      </c>
    </row>
    <row r="771" spans="1:6">
      <c r="A771" s="46" t="s">
        <v>3090</v>
      </c>
      <c r="B771" s="46" t="s">
        <v>2764</v>
      </c>
      <c r="C771" s="46" t="s">
        <v>3090</v>
      </c>
      <c r="D771" s="46" t="s">
        <v>3459</v>
      </c>
      <c r="E771" s="46" cm="1">
        <f t="array" ref="E771">personnel_nonteach_adminaide6_detailed_es</f>
        <v>0</v>
      </c>
      <c r="F771" s="46" t="b">
        <v>1</v>
      </c>
    </row>
    <row r="772" spans="1:6">
      <c r="A772" s="46" t="s">
        <v>3091</v>
      </c>
      <c r="B772" s="46" t="s">
        <v>2764</v>
      </c>
      <c r="C772" s="46" t="s">
        <v>3091</v>
      </c>
      <c r="D772" s="46" t="s">
        <v>3460</v>
      </c>
      <c r="E772" s="46" cm="1">
        <f t="array" ref="E772">personnel_nonteach_adminaide6_detailed_outdiv</f>
        <v>0</v>
      </c>
      <c r="F772" s="46" t="b">
        <v>1</v>
      </c>
    </row>
    <row r="773" spans="1:6">
      <c r="A773" s="46" t="s">
        <v>3092</v>
      </c>
      <c r="B773" s="46" t="s">
        <v>2764</v>
      </c>
      <c r="C773" s="46" t="s">
        <v>3092</v>
      </c>
      <c r="D773" s="46" t="s">
        <v>3461</v>
      </c>
      <c r="E773" s="46" cm="1">
        <f t="array" ref="E773">personnel_nonteach_adminaide6_borrowed_m</f>
        <v>0</v>
      </c>
      <c r="F773" s="46" t="b">
        <v>1</v>
      </c>
    </row>
    <row r="774" spans="1:6">
      <c r="A774" s="46" t="s">
        <v>3093</v>
      </c>
      <c r="B774" s="46" t="s">
        <v>2764</v>
      </c>
      <c r="C774" s="46" t="s">
        <v>3093</v>
      </c>
      <c r="D774" s="46" t="s">
        <v>3462</v>
      </c>
      <c r="E774" s="46" cm="1">
        <f t="array" ref="E774">personnel_nonteach_adminaide6_borrowed_f</f>
        <v>0</v>
      </c>
      <c r="F774" s="46" t="b">
        <v>1</v>
      </c>
    </row>
    <row r="775" spans="1:6">
      <c r="A775" s="46" t="s">
        <v>3094</v>
      </c>
      <c r="B775" s="46" t="s">
        <v>2764</v>
      </c>
      <c r="C775" s="46" t="s">
        <v>3094</v>
      </c>
      <c r="D775" s="46" t="s">
        <v>3463</v>
      </c>
      <c r="E775" s="46" cm="1">
        <f t="array" ref="E775">personnel_nonteach_heo1_psipop</f>
        <v>0</v>
      </c>
      <c r="F775" s="46" t="b">
        <v>1</v>
      </c>
    </row>
    <row r="776" spans="1:6">
      <c r="A776" s="46" t="s">
        <v>3095</v>
      </c>
      <c r="B776" s="46" t="s">
        <v>2764</v>
      </c>
      <c r="C776" s="46" t="s">
        <v>3095</v>
      </c>
      <c r="D776" s="46" t="s">
        <v>3464</v>
      </c>
      <c r="E776" s="46" cm="1">
        <f t="array" ref="E776">personnel_nonteach_heo1_actual_m</f>
        <v>0</v>
      </c>
      <c r="F776" s="46" t="b">
        <v>1</v>
      </c>
    </row>
    <row r="777" spans="1:6">
      <c r="A777" s="46" t="s">
        <v>3096</v>
      </c>
      <c r="B777" s="46" t="s">
        <v>2764</v>
      </c>
      <c r="C777" s="46" t="s">
        <v>3096</v>
      </c>
      <c r="D777" s="46" t="s">
        <v>3465</v>
      </c>
      <c r="E777" s="46" cm="1">
        <f t="array" ref="E777">personnel_nonteach_heo1_actual_f</f>
        <v>0</v>
      </c>
      <c r="F777" s="46" t="b">
        <v>1</v>
      </c>
    </row>
    <row r="778" spans="1:6">
      <c r="A778" s="46" t="s">
        <v>3097</v>
      </c>
      <c r="B778" s="46" t="s">
        <v>2764</v>
      </c>
      <c r="C778" s="46" t="s">
        <v>3097</v>
      </c>
      <c r="D778" s="46" t="s">
        <v>3466</v>
      </c>
      <c r="E778" s="46" cm="1">
        <f t="array" ref="E778">personnel_nonteach_heo1_onleave</f>
        <v>0</v>
      </c>
      <c r="F778" s="46" t="b">
        <v>1</v>
      </c>
    </row>
    <row r="779" spans="1:6">
      <c r="A779" s="46" t="s">
        <v>3098</v>
      </c>
      <c r="B779" s="46" t="s">
        <v>2764</v>
      </c>
      <c r="C779" s="46" t="s">
        <v>3098</v>
      </c>
      <c r="D779" s="46" t="s">
        <v>3467</v>
      </c>
      <c r="E779" s="46" cm="1">
        <f t="array" ref="E779">personnel_nonteach_heo1_vacant</f>
        <v>0</v>
      </c>
      <c r="F779" s="46" t="b">
        <v>1</v>
      </c>
    </row>
    <row r="780" spans="1:6">
      <c r="A780" s="46" t="s">
        <v>3099</v>
      </c>
      <c r="B780" s="46" t="s">
        <v>2764</v>
      </c>
      <c r="C780" s="46" t="s">
        <v>3099</v>
      </c>
      <c r="D780" s="46" t="s">
        <v>3468</v>
      </c>
      <c r="E780" s="46" cm="1">
        <f t="array" ref="E780">personnel_nonteach_heo1_detailed_hs</f>
        <v>0</v>
      </c>
      <c r="F780" s="46" t="b">
        <v>1</v>
      </c>
    </row>
    <row r="781" spans="1:6">
      <c r="A781" s="46" t="s">
        <v>3100</v>
      </c>
      <c r="B781" s="46" t="s">
        <v>2764</v>
      </c>
      <c r="C781" s="46" t="s">
        <v>3100</v>
      </c>
      <c r="D781" s="46" t="s">
        <v>3469</v>
      </c>
      <c r="E781" s="46" cm="1">
        <f t="array" ref="E781">personnel_nonteach_heo1_detailed_es</f>
        <v>0</v>
      </c>
      <c r="F781" s="46" t="b">
        <v>1</v>
      </c>
    </row>
    <row r="782" spans="1:6">
      <c r="A782" s="46" t="s">
        <v>3101</v>
      </c>
      <c r="B782" s="46" t="s">
        <v>2764</v>
      </c>
      <c r="C782" s="46" t="s">
        <v>3101</v>
      </c>
      <c r="D782" s="46" t="s">
        <v>3470</v>
      </c>
      <c r="E782" s="46" cm="1">
        <f t="array" ref="E782">personnel_nonteach_heo1_detailed_outdiv</f>
        <v>0</v>
      </c>
      <c r="F782" s="46" t="b">
        <v>1</v>
      </c>
    </row>
    <row r="783" spans="1:6">
      <c r="A783" s="46" t="s">
        <v>3102</v>
      </c>
      <c r="B783" s="46" t="s">
        <v>2764</v>
      </c>
      <c r="C783" s="46" t="s">
        <v>3102</v>
      </c>
      <c r="D783" s="46" t="s">
        <v>3471</v>
      </c>
      <c r="E783" s="46" cm="1">
        <f t="array" ref="E783">personnel_nonteach_heo1_borrowed_m</f>
        <v>0</v>
      </c>
      <c r="F783" s="46" t="b">
        <v>1</v>
      </c>
    </row>
    <row r="784" spans="1:6">
      <c r="A784" s="46" t="s">
        <v>3103</v>
      </c>
      <c r="B784" s="46" t="s">
        <v>2764</v>
      </c>
      <c r="C784" s="46" t="s">
        <v>3103</v>
      </c>
      <c r="D784" s="46" t="s">
        <v>3472</v>
      </c>
      <c r="E784" s="46" cm="1">
        <f t="array" ref="E784">personnel_nonteach_heo1_borrowed_f</f>
        <v>0</v>
      </c>
      <c r="F784" s="46" t="b">
        <v>1</v>
      </c>
    </row>
    <row r="785" spans="1:6">
      <c r="A785" s="46" t="s">
        <v>3104</v>
      </c>
      <c r="B785" s="46" t="s">
        <v>2764</v>
      </c>
      <c r="C785" s="46" t="s">
        <v>3104</v>
      </c>
      <c r="D785" s="46" t="s">
        <v>3473</v>
      </c>
      <c r="E785" s="46" cm="1">
        <f t="array" ref="E785">personnel_nonteach_sg1_psipop</f>
        <v>0</v>
      </c>
      <c r="F785" s="46" t="b">
        <v>1</v>
      </c>
    </row>
    <row r="786" spans="1:6">
      <c r="A786" s="46" t="s">
        <v>3105</v>
      </c>
      <c r="B786" s="46" t="s">
        <v>2764</v>
      </c>
      <c r="C786" s="46" t="s">
        <v>3105</v>
      </c>
      <c r="D786" s="46" t="s">
        <v>3474</v>
      </c>
      <c r="E786" s="46" cm="1">
        <f t="array" ref="E786">personnel_nonteach_sg1_actual_m</f>
        <v>0</v>
      </c>
      <c r="F786" s="46" t="b">
        <v>1</v>
      </c>
    </row>
    <row r="787" spans="1:6">
      <c r="A787" s="46" t="s">
        <v>3106</v>
      </c>
      <c r="B787" s="46" t="s">
        <v>2764</v>
      </c>
      <c r="C787" s="46" t="s">
        <v>3106</v>
      </c>
      <c r="D787" s="46" t="s">
        <v>3475</v>
      </c>
      <c r="E787" s="46" cm="1">
        <f t="array" ref="E787">personnel_nonteach_sg1_actual_f</f>
        <v>0</v>
      </c>
      <c r="F787" s="46" t="b">
        <v>1</v>
      </c>
    </row>
    <row r="788" spans="1:6">
      <c r="A788" s="46" t="s">
        <v>3107</v>
      </c>
      <c r="B788" s="46" t="s">
        <v>2764</v>
      </c>
      <c r="C788" s="46" t="s">
        <v>3107</v>
      </c>
      <c r="D788" s="46" t="s">
        <v>3476</v>
      </c>
      <c r="E788" s="46" cm="1">
        <f t="array" ref="E788">personnel_nonteach_sg1_onleave</f>
        <v>0</v>
      </c>
      <c r="F788" s="46" t="b">
        <v>1</v>
      </c>
    </row>
    <row r="789" spans="1:6">
      <c r="A789" s="46" t="s">
        <v>3108</v>
      </c>
      <c r="B789" s="46" t="s">
        <v>2764</v>
      </c>
      <c r="C789" s="46" t="s">
        <v>3108</v>
      </c>
      <c r="D789" s="46" t="s">
        <v>3477</v>
      </c>
      <c r="E789" s="46" cm="1">
        <f t="array" ref="E789">personnel_nonteach_sg1_vacant</f>
        <v>0</v>
      </c>
      <c r="F789" s="46" t="b">
        <v>1</v>
      </c>
    </row>
    <row r="790" spans="1:6">
      <c r="A790" s="46" t="s">
        <v>3109</v>
      </c>
      <c r="B790" s="46" t="s">
        <v>2764</v>
      </c>
      <c r="C790" s="46" t="s">
        <v>3109</v>
      </c>
      <c r="D790" s="46" t="s">
        <v>3478</v>
      </c>
      <c r="E790" s="46" cm="1">
        <f t="array" ref="E790">personnel_nonteach_sg1_detailed_hs</f>
        <v>0</v>
      </c>
      <c r="F790" s="46" t="b">
        <v>1</v>
      </c>
    </row>
    <row r="791" spans="1:6">
      <c r="A791" s="46" t="s">
        <v>3110</v>
      </c>
      <c r="B791" s="46" t="s">
        <v>2764</v>
      </c>
      <c r="C791" s="46" t="s">
        <v>3110</v>
      </c>
      <c r="D791" s="46" t="s">
        <v>3479</v>
      </c>
      <c r="E791" s="46" cm="1">
        <f t="array" ref="E791">personnel_nonteach_sg1_detailed_es</f>
        <v>0</v>
      </c>
      <c r="F791" s="46" t="b">
        <v>1</v>
      </c>
    </row>
    <row r="792" spans="1:6">
      <c r="A792" s="46" t="s">
        <v>3111</v>
      </c>
      <c r="B792" s="46" t="s">
        <v>2764</v>
      </c>
      <c r="C792" s="46" t="s">
        <v>3111</v>
      </c>
      <c r="D792" s="46" t="s">
        <v>3480</v>
      </c>
      <c r="E792" s="46" cm="1">
        <f t="array" ref="E792">personnel_nonteach_sg1_detailed_outdiv</f>
        <v>0</v>
      </c>
      <c r="F792" s="46" t="b">
        <v>1</v>
      </c>
    </row>
    <row r="793" spans="1:6">
      <c r="A793" s="46" t="s">
        <v>3112</v>
      </c>
      <c r="B793" s="46" t="s">
        <v>2764</v>
      </c>
      <c r="C793" s="46" t="s">
        <v>3112</v>
      </c>
      <c r="D793" s="46" t="s">
        <v>3481</v>
      </c>
      <c r="E793" s="46" cm="1">
        <f t="array" ref="E793">personnel_nonteach_sg1_borrowed_m</f>
        <v>0</v>
      </c>
      <c r="F793" s="46" t="b">
        <v>1</v>
      </c>
    </row>
    <row r="794" spans="1:6">
      <c r="A794" s="46" t="s">
        <v>3113</v>
      </c>
      <c r="B794" s="46" t="s">
        <v>2764</v>
      </c>
      <c r="C794" s="46" t="s">
        <v>3113</v>
      </c>
      <c r="D794" s="46" t="s">
        <v>3482</v>
      </c>
      <c r="E794" s="46" cm="1">
        <f t="array" ref="E794">personnel_nonteach_sg1_borrowed_f</f>
        <v>0</v>
      </c>
      <c r="F794" s="46" t="b">
        <v>1</v>
      </c>
    </row>
    <row r="795" spans="1:6">
      <c r="A795" s="46" t="s">
        <v>3114</v>
      </c>
      <c r="B795" s="46" t="s">
        <v>2764</v>
      </c>
      <c r="C795" s="46" t="s">
        <v>3114</v>
      </c>
      <c r="D795" s="46" t="s">
        <v>3483</v>
      </c>
      <c r="E795" s="46" cm="1">
        <f t="array" ref="E795">personnel_nonteach_leo1_psipop</f>
        <v>0</v>
      </c>
      <c r="F795" s="46" t="b">
        <v>1</v>
      </c>
    </row>
    <row r="796" spans="1:6">
      <c r="A796" s="46" t="s">
        <v>3115</v>
      </c>
      <c r="B796" s="46" t="s">
        <v>2764</v>
      </c>
      <c r="C796" s="46" t="s">
        <v>3115</v>
      </c>
      <c r="D796" s="46" t="s">
        <v>3484</v>
      </c>
      <c r="E796" s="46" cm="1">
        <f t="array" ref="E796">personnel_nonteach_leo1_actual_m</f>
        <v>0</v>
      </c>
      <c r="F796" s="46" t="b">
        <v>1</v>
      </c>
    </row>
    <row r="797" spans="1:6">
      <c r="A797" s="46" t="s">
        <v>3116</v>
      </c>
      <c r="B797" s="46" t="s">
        <v>2764</v>
      </c>
      <c r="C797" s="46" t="s">
        <v>3116</v>
      </c>
      <c r="D797" s="46" t="s">
        <v>3485</v>
      </c>
      <c r="E797" s="46" cm="1">
        <f t="array" ref="E797">personnel_nonteach_leo1_actual_f</f>
        <v>0</v>
      </c>
      <c r="F797" s="46" t="b">
        <v>1</v>
      </c>
    </row>
    <row r="798" spans="1:6">
      <c r="A798" s="46" t="s">
        <v>3117</v>
      </c>
      <c r="B798" s="46" t="s">
        <v>2764</v>
      </c>
      <c r="C798" s="46" t="s">
        <v>3117</v>
      </c>
      <c r="D798" s="46" t="s">
        <v>3486</v>
      </c>
      <c r="E798" s="46" cm="1">
        <f t="array" ref="E798">personnel_nonteach_leo1_onleave</f>
        <v>0</v>
      </c>
      <c r="F798" s="46" t="b">
        <v>1</v>
      </c>
    </row>
    <row r="799" spans="1:6">
      <c r="A799" s="46" t="s">
        <v>3118</v>
      </c>
      <c r="B799" s="46" t="s">
        <v>2764</v>
      </c>
      <c r="C799" s="46" t="s">
        <v>3118</v>
      </c>
      <c r="D799" s="46" t="s">
        <v>3487</v>
      </c>
      <c r="E799" s="46" cm="1">
        <f t="array" ref="E799">personnel_nonteach_leo1_vacant</f>
        <v>0</v>
      </c>
      <c r="F799" s="46" t="b">
        <v>1</v>
      </c>
    </row>
    <row r="800" spans="1:6">
      <c r="A800" s="46" t="s">
        <v>3119</v>
      </c>
      <c r="B800" s="46" t="s">
        <v>2764</v>
      </c>
      <c r="C800" s="46" t="s">
        <v>3119</v>
      </c>
      <c r="D800" s="46" t="s">
        <v>3488</v>
      </c>
      <c r="E800" s="46" cm="1">
        <f t="array" ref="E800">personnel_nonteach_leo1_detailed_hs</f>
        <v>0</v>
      </c>
      <c r="F800" s="46" t="b">
        <v>1</v>
      </c>
    </row>
    <row r="801" spans="1:8">
      <c r="A801" s="46" t="s">
        <v>3120</v>
      </c>
      <c r="B801" s="46" t="s">
        <v>2764</v>
      </c>
      <c r="C801" s="46" t="s">
        <v>3120</v>
      </c>
      <c r="D801" s="46" t="s">
        <v>3489</v>
      </c>
      <c r="E801" s="46" cm="1">
        <f t="array" ref="E801">personnel_nonteach_leo1_detailed_es</f>
        <v>0</v>
      </c>
      <c r="F801" s="46" t="b">
        <v>1</v>
      </c>
    </row>
    <row r="802" spans="1:8">
      <c r="A802" s="46" t="s">
        <v>3121</v>
      </c>
      <c r="B802" s="46" t="s">
        <v>2764</v>
      </c>
      <c r="C802" s="46" t="s">
        <v>3121</v>
      </c>
      <c r="D802" s="46" t="s">
        <v>3490</v>
      </c>
      <c r="E802" s="46" cm="1">
        <f t="array" ref="E802">personnel_nonteach_leo1_detailed_outdiv</f>
        <v>0</v>
      </c>
      <c r="F802" s="46" t="b">
        <v>1</v>
      </c>
    </row>
    <row r="803" spans="1:8">
      <c r="A803" s="46" t="s">
        <v>3122</v>
      </c>
      <c r="B803" s="46" t="s">
        <v>2764</v>
      </c>
      <c r="C803" s="46" t="s">
        <v>3122</v>
      </c>
      <c r="D803" s="46" t="s">
        <v>3491</v>
      </c>
      <c r="E803" s="46" cm="1">
        <f t="array" ref="E803">personnel_nonteach_leo1_borrowed_m</f>
        <v>0</v>
      </c>
      <c r="F803" s="46" t="b">
        <v>1</v>
      </c>
    </row>
    <row r="804" spans="1:8">
      <c r="A804" s="46" t="s">
        <v>3123</v>
      </c>
      <c r="B804" s="46" t="s">
        <v>2764</v>
      </c>
      <c r="C804" s="46" t="s">
        <v>3123</v>
      </c>
      <c r="D804" s="46" t="s">
        <v>3492</v>
      </c>
      <c r="E804" s="46" cm="1">
        <f t="array" ref="E804">personnel_nonteach_leo1_borrowed_f</f>
        <v>0</v>
      </c>
      <c r="F804" s="46" t="b">
        <v>1</v>
      </c>
    </row>
    <row r="805" spans="1:8">
      <c r="A805" s="46" t="s">
        <v>3124</v>
      </c>
      <c r="B805" s="46" t="s">
        <v>2764</v>
      </c>
      <c r="C805" s="46" t="s">
        <v>3124</v>
      </c>
      <c r="D805" s="46" t="s">
        <v>3493</v>
      </c>
      <c r="E805" s="46" cm="1">
        <f t="array" ref="E805">personnel_nonteach_uw1_psipop</f>
        <v>0</v>
      </c>
      <c r="F805" s="46" t="b">
        <v>1</v>
      </c>
    </row>
    <row r="806" spans="1:8">
      <c r="A806" s="46" t="s">
        <v>3125</v>
      </c>
      <c r="B806" s="46" t="s">
        <v>2764</v>
      </c>
      <c r="C806" s="46" t="s">
        <v>3125</v>
      </c>
      <c r="D806" s="46" t="s">
        <v>3494</v>
      </c>
      <c r="E806" s="46" cm="1">
        <f t="array" ref="E806">personnel_nonteach_uw1_actual_m</f>
        <v>0</v>
      </c>
      <c r="F806" s="46" t="b">
        <v>1</v>
      </c>
    </row>
    <row r="807" spans="1:8">
      <c r="A807" s="46" t="s">
        <v>3126</v>
      </c>
      <c r="B807" s="46" t="s">
        <v>2764</v>
      </c>
      <c r="C807" s="46" t="s">
        <v>3126</v>
      </c>
      <c r="D807" s="46" t="s">
        <v>3495</v>
      </c>
      <c r="E807" s="46" cm="1">
        <f t="array" ref="E807">personnel_nonteach_uw1_actual_f</f>
        <v>0</v>
      </c>
      <c r="F807" s="46" t="b">
        <v>1</v>
      </c>
    </row>
    <row r="808" spans="1:8">
      <c r="A808" s="46" t="s">
        <v>3127</v>
      </c>
      <c r="B808" s="46" t="s">
        <v>2764</v>
      </c>
      <c r="C808" s="46" t="s">
        <v>3127</v>
      </c>
      <c r="D808" s="46" t="s">
        <v>3496</v>
      </c>
      <c r="E808" s="46" cm="1">
        <f t="array" ref="E808">personnel_nonteach_uw1_onleave</f>
        <v>0</v>
      </c>
      <c r="F808" s="46" t="b">
        <v>1</v>
      </c>
    </row>
    <row r="809" spans="1:8">
      <c r="A809" s="46" t="s">
        <v>3128</v>
      </c>
      <c r="B809" s="46" t="s">
        <v>2764</v>
      </c>
      <c r="C809" s="46" t="s">
        <v>3128</v>
      </c>
      <c r="D809" s="46" t="s">
        <v>3497</v>
      </c>
      <c r="E809" s="46" cm="1">
        <f t="array" ref="E809">personnel_nonteach_uw1_vacant</f>
        <v>0</v>
      </c>
      <c r="F809" s="46" t="b">
        <v>1</v>
      </c>
    </row>
    <row r="810" spans="1:8">
      <c r="A810" s="46" t="s">
        <v>3129</v>
      </c>
      <c r="B810" s="46" t="s">
        <v>2764</v>
      </c>
      <c r="C810" s="46" t="s">
        <v>3129</v>
      </c>
      <c r="D810" s="46" t="s">
        <v>3498</v>
      </c>
      <c r="E810" s="46" cm="1">
        <f t="array" ref="E810">personnel_nonteach_uw1_detailed_hs</f>
        <v>0</v>
      </c>
      <c r="F810" s="46" t="b">
        <v>1</v>
      </c>
    </row>
    <row r="811" spans="1:8">
      <c r="A811" s="46" t="s">
        <v>3130</v>
      </c>
      <c r="B811" s="46" t="s">
        <v>2764</v>
      </c>
      <c r="C811" s="46" t="s">
        <v>3130</v>
      </c>
      <c r="D811" s="46" t="s">
        <v>3499</v>
      </c>
      <c r="E811" s="46" cm="1">
        <f t="array" ref="E811">personnel_nonteach_uw1_detailed_es</f>
        <v>0</v>
      </c>
      <c r="F811" s="46" t="b">
        <v>1</v>
      </c>
    </row>
    <row r="812" spans="1:8">
      <c r="A812" s="46" t="s">
        <v>3131</v>
      </c>
      <c r="B812" s="46" t="s">
        <v>2764</v>
      </c>
      <c r="C812" s="46" t="s">
        <v>3131</v>
      </c>
      <c r="D812" s="46" t="s">
        <v>3500</v>
      </c>
      <c r="E812" s="46" cm="1">
        <f t="array" ref="E812">personnel_nonteach_uw1_detailed_outdiv</f>
        <v>0</v>
      </c>
      <c r="F812" s="46" t="b">
        <v>1</v>
      </c>
    </row>
    <row r="813" spans="1:8">
      <c r="A813" s="46" t="s">
        <v>3132</v>
      </c>
      <c r="B813" s="46" t="s">
        <v>2764</v>
      </c>
      <c r="C813" s="46" t="s">
        <v>3132</v>
      </c>
      <c r="D813" s="46" t="s">
        <v>3501</v>
      </c>
      <c r="E813" s="46" cm="1">
        <f t="array" ref="E813">personnel_nonteach_uw1_borrowed_m</f>
        <v>0</v>
      </c>
      <c r="F813" s="46" t="b">
        <v>1</v>
      </c>
    </row>
    <row r="814" spans="1:8" ht="16.5" thickBot="1">
      <c r="A814" s="479" t="s">
        <v>3133</v>
      </c>
      <c r="B814" s="479" t="s">
        <v>2764</v>
      </c>
      <c r="C814" s="479" t="s">
        <v>3133</v>
      </c>
      <c r="D814" s="479" t="s">
        <v>3502</v>
      </c>
      <c r="E814" s="479" cm="1">
        <f t="array" ref="E814">personnel_nonteach_uw1_borrowed_f</f>
        <v>0</v>
      </c>
      <c r="F814" s="479" t="b">
        <v>1</v>
      </c>
      <c r="G814" s="479"/>
      <c r="H814" s="479"/>
    </row>
    <row r="815" spans="1:8" ht="16.5" thickTop="1">
      <c r="A815" s="46" t="s">
        <v>3576</v>
      </c>
      <c r="B815" s="46" t="s">
        <v>3503</v>
      </c>
      <c r="C815" s="46" t="s">
        <v>3576</v>
      </c>
      <c r="D815" s="46" t="s">
        <v>3624</v>
      </c>
      <c r="E815" s="46">
        <f>personnel_teach_mt4_psipop_latest</f>
        <v>0</v>
      </c>
      <c r="F815" s="46" t="b">
        <v>1</v>
      </c>
    </row>
    <row r="816" spans="1:8">
      <c r="A816" s="46" t="s">
        <v>3504</v>
      </c>
      <c r="B816" s="46" t="s">
        <v>3503</v>
      </c>
      <c r="C816" s="46" t="s">
        <v>3504</v>
      </c>
      <c r="D816" s="46" t="s">
        <v>3584</v>
      </c>
      <c r="E816" s="46">
        <f>personnel_teach_mt4_actual_m</f>
        <v>0</v>
      </c>
      <c r="F816" s="46" t="b">
        <v>1</v>
      </c>
    </row>
    <row r="817" spans="1:6">
      <c r="A817" s="46" t="s">
        <v>3505</v>
      </c>
      <c r="B817" s="46" t="s">
        <v>3503</v>
      </c>
      <c r="C817" s="46" t="s">
        <v>3505</v>
      </c>
      <c r="D817" s="46" t="s">
        <v>3625</v>
      </c>
      <c r="E817" s="46">
        <f>personnel_teach_mt4_actual_f</f>
        <v>0</v>
      </c>
      <c r="F817" s="46" t="b">
        <v>1</v>
      </c>
    </row>
    <row r="818" spans="1:6">
      <c r="A818" s="46" t="s">
        <v>3506</v>
      </c>
      <c r="B818" s="46" t="s">
        <v>3503</v>
      </c>
      <c r="C818" s="46" t="s">
        <v>3506</v>
      </c>
      <c r="D818" s="46" t="s">
        <v>3585</v>
      </c>
      <c r="E818" s="46">
        <f>personnel_teach_mt4_onleave</f>
        <v>0</v>
      </c>
      <c r="F818" s="46" t="b">
        <v>1</v>
      </c>
    </row>
    <row r="819" spans="1:6">
      <c r="A819" s="46" t="s">
        <v>3507</v>
      </c>
      <c r="B819" s="46" t="s">
        <v>3503</v>
      </c>
      <c r="C819" s="46" t="s">
        <v>3507</v>
      </c>
      <c r="D819" s="46" t="s">
        <v>3626</v>
      </c>
      <c r="E819" s="46">
        <f>personnel_teach_mt4_vacant</f>
        <v>0</v>
      </c>
      <c r="F819" s="46" t="b">
        <v>1</v>
      </c>
    </row>
    <row r="820" spans="1:6">
      <c r="A820" s="46" t="s">
        <v>3508</v>
      </c>
      <c r="B820" s="46" t="s">
        <v>3503</v>
      </c>
      <c r="C820" s="46" t="s">
        <v>3508</v>
      </c>
      <c r="D820" s="46" t="s">
        <v>3586</v>
      </c>
      <c r="E820" s="46">
        <f>personnel_teach_mt4_detailed_hs</f>
        <v>0</v>
      </c>
      <c r="F820" s="46" t="b">
        <v>1</v>
      </c>
    </row>
    <row r="821" spans="1:6">
      <c r="A821" s="46" t="s">
        <v>3509</v>
      </c>
      <c r="B821" s="46" t="s">
        <v>3503</v>
      </c>
      <c r="C821" s="46" t="s">
        <v>3509</v>
      </c>
      <c r="D821" s="46" t="s">
        <v>3587</v>
      </c>
      <c r="E821" s="46">
        <f>personnel_teach_mt4_detailed_es</f>
        <v>0</v>
      </c>
      <c r="F821" s="46" t="b">
        <v>1</v>
      </c>
    </row>
    <row r="822" spans="1:6">
      <c r="A822" s="46" t="s">
        <v>3510</v>
      </c>
      <c r="B822" s="46" t="s">
        <v>3503</v>
      </c>
      <c r="C822" s="46" t="s">
        <v>3510</v>
      </c>
      <c r="D822" s="46" t="s">
        <v>3588</v>
      </c>
      <c r="E822" s="46">
        <f>personnel_teach_mt4_detailed_outdiv</f>
        <v>0</v>
      </c>
      <c r="F822" s="46" t="b">
        <v>1</v>
      </c>
    </row>
    <row r="823" spans="1:6">
      <c r="A823" s="46" t="s">
        <v>3511</v>
      </c>
      <c r="B823" s="46" t="s">
        <v>3503</v>
      </c>
      <c r="C823" s="46" t="s">
        <v>3511</v>
      </c>
      <c r="D823" s="46" t="s">
        <v>3627</v>
      </c>
      <c r="E823" s="46">
        <f>personnel_teach_mt4_borrowed_m</f>
        <v>0</v>
      </c>
      <c r="F823" s="46" t="b">
        <v>1</v>
      </c>
    </row>
    <row r="824" spans="1:6">
      <c r="A824" s="46" t="s">
        <v>3512</v>
      </c>
      <c r="B824" s="46" t="s">
        <v>3503</v>
      </c>
      <c r="C824" s="46" t="s">
        <v>3512</v>
      </c>
      <c r="D824" s="46" t="s">
        <v>3628</v>
      </c>
      <c r="E824" s="46">
        <f>personnel_teach_mt4_borrowed_f</f>
        <v>0</v>
      </c>
      <c r="F824" s="46" t="b">
        <v>1</v>
      </c>
    </row>
    <row r="825" spans="1:6">
      <c r="A825" s="46" t="s">
        <v>3577</v>
      </c>
      <c r="B825" s="46" t="s">
        <v>3503</v>
      </c>
      <c r="C825" s="46" t="s">
        <v>3577</v>
      </c>
      <c r="D825" s="46" t="s">
        <v>3629</v>
      </c>
      <c r="E825" s="46">
        <f>personnel_teach_mt3_psipop_latest</f>
        <v>0</v>
      </c>
      <c r="F825" s="46" t="b">
        <v>1</v>
      </c>
    </row>
    <row r="826" spans="1:6">
      <c r="A826" s="46" t="s">
        <v>3513</v>
      </c>
      <c r="B826" s="46" t="s">
        <v>3503</v>
      </c>
      <c r="C826" s="46" t="s">
        <v>3513</v>
      </c>
      <c r="D826" s="46" t="s">
        <v>3589</v>
      </c>
      <c r="E826" s="46">
        <f>personnel_teach_mt3_actual_m</f>
        <v>0</v>
      </c>
      <c r="F826" s="46" t="b">
        <v>1</v>
      </c>
    </row>
    <row r="827" spans="1:6">
      <c r="A827" s="46" t="s">
        <v>3514</v>
      </c>
      <c r="B827" s="46" t="s">
        <v>3503</v>
      </c>
      <c r="C827" s="46" t="s">
        <v>3514</v>
      </c>
      <c r="D827" s="46" t="s">
        <v>3630</v>
      </c>
      <c r="E827" s="46">
        <f>personnel_teach_mt3_actual_f</f>
        <v>0</v>
      </c>
      <c r="F827" s="46" t="b">
        <v>1</v>
      </c>
    </row>
    <row r="828" spans="1:6">
      <c r="A828" s="46" t="s">
        <v>3515</v>
      </c>
      <c r="B828" s="46" t="s">
        <v>3503</v>
      </c>
      <c r="C828" s="46" t="s">
        <v>3515</v>
      </c>
      <c r="D828" s="46" t="s">
        <v>3590</v>
      </c>
      <c r="E828" s="46">
        <f>personnel_teach_mt3_onleave</f>
        <v>0</v>
      </c>
      <c r="F828" s="46" t="b">
        <v>1</v>
      </c>
    </row>
    <row r="829" spans="1:6">
      <c r="A829" s="46" t="s">
        <v>3516</v>
      </c>
      <c r="B829" s="46" t="s">
        <v>3503</v>
      </c>
      <c r="C829" s="46" t="s">
        <v>3516</v>
      </c>
      <c r="D829" s="46" t="s">
        <v>3631</v>
      </c>
      <c r="E829" s="46">
        <f>personnel_teach_mt3_vacant</f>
        <v>0</v>
      </c>
      <c r="F829" s="46" t="b">
        <v>1</v>
      </c>
    </row>
    <row r="830" spans="1:6">
      <c r="A830" s="46" t="s">
        <v>3517</v>
      </c>
      <c r="B830" s="46" t="s">
        <v>3503</v>
      </c>
      <c r="C830" s="46" t="s">
        <v>3517</v>
      </c>
      <c r="D830" s="46" t="s">
        <v>3591</v>
      </c>
      <c r="E830" s="46">
        <f>personnel_teach_mt3_detailed_hs</f>
        <v>0</v>
      </c>
      <c r="F830" s="46" t="b">
        <v>1</v>
      </c>
    </row>
    <row r="831" spans="1:6">
      <c r="A831" s="46" t="s">
        <v>3518</v>
      </c>
      <c r="B831" s="46" t="s">
        <v>3503</v>
      </c>
      <c r="C831" s="46" t="s">
        <v>3518</v>
      </c>
      <c r="D831" s="46" t="s">
        <v>3592</v>
      </c>
      <c r="E831" s="46">
        <f>personnel_teach_mt3_detailed_es</f>
        <v>0</v>
      </c>
      <c r="F831" s="46" t="b">
        <v>1</v>
      </c>
    </row>
    <row r="832" spans="1:6">
      <c r="A832" s="46" t="s">
        <v>3519</v>
      </c>
      <c r="B832" s="46" t="s">
        <v>3503</v>
      </c>
      <c r="C832" s="46" t="s">
        <v>3519</v>
      </c>
      <c r="D832" s="46" t="s">
        <v>3593</v>
      </c>
      <c r="E832" s="46">
        <f>personnel_teach_mt3_detailed_outdiv</f>
        <v>0</v>
      </c>
      <c r="F832" s="46" t="b">
        <v>1</v>
      </c>
    </row>
    <row r="833" spans="1:6">
      <c r="A833" s="46" t="s">
        <v>3520</v>
      </c>
      <c r="B833" s="46" t="s">
        <v>3503</v>
      </c>
      <c r="C833" s="46" t="s">
        <v>3520</v>
      </c>
      <c r="D833" s="46" t="s">
        <v>3632</v>
      </c>
      <c r="E833" s="46">
        <f>personnel_teach_mt3_borrowed_m</f>
        <v>0</v>
      </c>
      <c r="F833" s="46" t="b">
        <v>1</v>
      </c>
    </row>
    <row r="834" spans="1:6">
      <c r="A834" s="46" t="s">
        <v>3521</v>
      </c>
      <c r="B834" s="46" t="s">
        <v>3503</v>
      </c>
      <c r="C834" s="46" t="s">
        <v>3521</v>
      </c>
      <c r="D834" s="46" t="s">
        <v>3633</v>
      </c>
      <c r="E834" s="46">
        <f>personnel_teach_mt3_borrowed_f</f>
        <v>0</v>
      </c>
      <c r="F834" s="46" t="b">
        <v>1</v>
      </c>
    </row>
    <row r="835" spans="1:6">
      <c r="A835" s="46" t="s">
        <v>3578</v>
      </c>
      <c r="B835" s="46" t="s">
        <v>3503</v>
      </c>
      <c r="C835" s="46" t="s">
        <v>3578</v>
      </c>
      <c r="D835" s="46" t="s">
        <v>3634</v>
      </c>
      <c r="E835" s="46">
        <f>personnel_teach_mt2_psipop_latest</f>
        <v>0</v>
      </c>
      <c r="F835" s="46" t="b">
        <v>1</v>
      </c>
    </row>
    <row r="836" spans="1:6">
      <c r="A836" s="46" t="s">
        <v>3522</v>
      </c>
      <c r="B836" s="46" t="s">
        <v>3503</v>
      </c>
      <c r="C836" s="46" t="s">
        <v>3522</v>
      </c>
      <c r="D836" s="46" t="s">
        <v>3594</v>
      </c>
      <c r="E836" s="46">
        <f>personnel_teach_mt2_actual_m</f>
        <v>0</v>
      </c>
      <c r="F836" s="46" t="b">
        <v>1</v>
      </c>
    </row>
    <row r="837" spans="1:6">
      <c r="A837" s="46" t="s">
        <v>3523</v>
      </c>
      <c r="B837" s="46" t="s">
        <v>3503</v>
      </c>
      <c r="C837" s="46" t="s">
        <v>3523</v>
      </c>
      <c r="D837" s="46" t="s">
        <v>3635</v>
      </c>
      <c r="E837" s="46">
        <f>personnel_teach_mt2_actual_f</f>
        <v>0</v>
      </c>
      <c r="F837" s="46" t="b">
        <v>1</v>
      </c>
    </row>
    <row r="838" spans="1:6">
      <c r="A838" s="46" t="s">
        <v>3524</v>
      </c>
      <c r="B838" s="46" t="s">
        <v>3503</v>
      </c>
      <c r="C838" s="46" t="s">
        <v>3524</v>
      </c>
      <c r="D838" s="46" t="s">
        <v>3595</v>
      </c>
      <c r="E838" s="46">
        <f>personnel_teach_mt2_onleave</f>
        <v>0</v>
      </c>
      <c r="F838" s="46" t="b">
        <v>1</v>
      </c>
    </row>
    <row r="839" spans="1:6">
      <c r="A839" s="46" t="s">
        <v>3525</v>
      </c>
      <c r="B839" s="46" t="s">
        <v>3503</v>
      </c>
      <c r="C839" s="46" t="s">
        <v>3525</v>
      </c>
      <c r="D839" s="46" t="s">
        <v>3636</v>
      </c>
      <c r="E839" s="46">
        <f>personnel_teach_mt2_vacant</f>
        <v>0</v>
      </c>
      <c r="F839" s="46" t="b">
        <v>1</v>
      </c>
    </row>
    <row r="840" spans="1:6">
      <c r="A840" s="46" t="s">
        <v>3526</v>
      </c>
      <c r="B840" s="46" t="s">
        <v>3503</v>
      </c>
      <c r="C840" s="46" t="s">
        <v>3526</v>
      </c>
      <c r="D840" s="46" t="s">
        <v>3596</v>
      </c>
      <c r="E840" s="46">
        <f>personnel_teach_mt2_detailed_hs</f>
        <v>0</v>
      </c>
      <c r="F840" s="46" t="b">
        <v>1</v>
      </c>
    </row>
    <row r="841" spans="1:6">
      <c r="A841" s="46" t="s">
        <v>3527</v>
      </c>
      <c r="B841" s="46" t="s">
        <v>3503</v>
      </c>
      <c r="C841" s="46" t="s">
        <v>3527</v>
      </c>
      <c r="D841" s="46" t="s">
        <v>3597</v>
      </c>
      <c r="E841" s="46">
        <f>personnel_teach_mt2_detailed_es</f>
        <v>0</v>
      </c>
      <c r="F841" s="46" t="b">
        <v>1</v>
      </c>
    </row>
    <row r="842" spans="1:6">
      <c r="A842" s="46" t="s">
        <v>3528</v>
      </c>
      <c r="B842" s="46" t="s">
        <v>3503</v>
      </c>
      <c r="C842" s="46" t="s">
        <v>3528</v>
      </c>
      <c r="D842" s="46" t="s">
        <v>3598</v>
      </c>
      <c r="E842" s="46">
        <f>personnel_teach_mt2_detailed_outdiv</f>
        <v>0</v>
      </c>
      <c r="F842" s="46" t="b">
        <v>1</v>
      </c>
    </row>
    <row r="843" spans="1:6">
      <c r="A843" s="46" t="s">
        <v>3529</v>
      </c>
      <c r="B843" s="46" t="s">
        <v>3503</v>
      </c>
      <c r="C843" s="46" t="s">
        <v>3529</v>
      </c>
      <c r="D843" s="46" t="s">
        <v>3637</v>
      </c>
      <c r="E843" s="46">
        <f>personnel_teach_mt2_borrowed_m</f>
        <v>0</v>
      </c>
      <c r="F843" s="46" t="b">
        <v>1</v>
      </c>
    </row>
    <row r="844" spans="1:6">
      <c r="A844" s="46" t="s">
        <v>3530</v>
      </c>
      <c r="B844" s="46" t="s">
        <v>3503</v>
      </c>
      <c r="C844" s="46" t="s">
        <v>3530</v>
      </c>
      <c r="D844" s="46" t="s">
        <v>3638</v>
      </c>
      <c r="E844" s="46">
        <f>personnel_teach_mt2_borrowed_f</f>
        <v>0</v>
      </c>
      <c r="F844" s="46" t="b">
        <v>1</v>
      </c>
    </row>
    <row r="845" spans="1:6">
      <c r="A845" s="46" t="s">
        <v>3579</v>
      </c>
      <c r="B845" s="46" t="s">
        <v>3503</v>
      </c>
      <c r="C845" s="46" t="s">
        <v>3579</v>
      </c>
      <c r="D845" s="46" t="s">
        <v>3639</v>
      </c>
      <c r="E845" s="46">
        <f>personnel_teach_mt1_psipop_latest</f>
        <v>0</v>
      </c>
      <c r="F845" s="46" t="b">
        <v>1</v>
      </c>
    </row>
    <row r="846" spans="1:6">
      <c r="A846" s="46" t="s">
        <v>3531</v>
      </c>
      <c r="B846" s="46" t="s">
        <v>3503</v>
      </c>
      <c r="C846" s="46" t="s">
        <v>3531</v>
      </c>
      <c r="D846" s="46" t="s">
        <v>3599</v>
      </c>
      <c r="E846" s="46">
        <f>personnel_teach_mt1_actual_m</f>
        <v>0</v>
      </c>
      <c r="F846" s="46" t="b">
        <v>1</v>
      </c>
    </row>
    <row r="847" spans="1:6">
      <c r="A847" s="46" t="s">
        <v>3532</v>
      </c>
      <c r="B847" s="46" t="s">
        <v>3503</v>
      </c>
      <c r="C847" s="46" t="s">
        <v>3532</v>
      </c>
      <c r="D847" s="46" t="s">
        <v>3640</v>
      </c>
      <c r="E847" s="46">
        <f>personnel_teach_mt1_actual_f</f>
        <v>0</v>
      </c>
      <c r="F847" s="46" t="b">
        <v>1</v>
      </c>
    </row>
    <row r="848" spans="1:6">
      <c r="A848" s="46" t="s">
        <v>3533</v>
      </c>
      <c r="B848" s="46" t="s">
        <v>3503</v>
      </c>
      <c r="C848" s="46" t="s">
        <v>3533</v>
      </c>
      <c r="D848" s="46" t="s">
        <v>3600</v>
      </c>
      <c r="E848" s="46">
        <f>personnel_teach_mt1_onleave</f>
        <v>0</v>
      </c>
      <c r="F848" s="46" t="b">
        <v>1</v>
      </c>
    </row>
    <row r="849" spans="1:6">
      <c r="A849" s="46" t="s">
        <v>3534</v>
      </c>
      <c r="B849" s="46" t="s">
        <v>3503</v>
      </c>
      <c r="C849" s="46" t="s">
        <v>3534</v>
      </c>
      <c r="D849" s="46" t="s">
        <v>3641</v>
      </c>
      <c r="E849" s="46">
        <f>personnel_teach_mt1_vacant</f>
        <v>0</v>
      </c>
      <c r="F849" s="46" t="b">
        <v>1</v>
      </c>
    </row>
    <row r="850" spans="1:6">
      <c r="A850" s="46" t="s">
        <v>3535</v>
      </c>
      <c r="B850" s="46" t="s">
        <v>3503</v>
      </c>
      <c r="C850" s="46" t="s">
        <v>3535</v>
      </c>
      <c r="D850" s="46" t="s">
        <v>3601</v>
      </c>
      <c r="E850" s="46">
        <f>personnel_teach_mt1_detailed_hs</f>
        <v>0</v>
      </c>
      <c r="F850" s="46" t="b">
        <v>1</v>
      </c>
    </row>
    <row r="851" spans="1:6">
      <c r="A851" s="46" t="s">
        <v>3536</v>
      </c>
      <c r="B851" s="46" t="s">
        <v>3503</v>
      </c>
      <c r="C851" s="46" t="s">
        <v>3536</v>
      </c>
      <c r="D851" s="46" t="s">
        <v>3602</v>
      </c>
      <c r="E851" s="46">
        <f>personnel_teach_mt1_detailed_es</f>
        <v>0</v>
      </c>
      <c r="F851" s="46" t="b">
        <v>1</v>
      </c>
    </row>
    <row r="852" spans="1:6">
      <c r="A852" s="46" t="s">
        <v>3537</v>
      </c>
      <c r="B852" s="46" t="s">
        <v>3503</v>
      </c>
      <c r="C852" s="46" t="s">
        <v>3537</v>
      </c>
      <c r="D852" s="46" t="s">
        <v>3603</v>
      </c>
      <c r="E852" s="46">
        <f>personnel_teach_mt1_detailed_outdiv</f>
        <v>0</v>
      </c>
      <c r="F852" s="46" t="b">
        <v>1</v>
      </c>
    </row>
    <row r="853" spans="1:6">
      <c r="A853" s="46" t="s">
        <v>3538</v>
      </c>
      <c r="B853" s="46" t="s">
        <v>3503</v>
      </c>
      <c r="C853" s="46" t="s">
        <v>3538</v>
      </c>
      <c r="D853" s="46" t="s">
        <v>3642</v>
      </c>
      <c r="E853" s="46">
        <f>personnel_teach_mt1_borrowed_m</f>
        <v>0</v>
      </c>
      <c r="F853" s="46" t="b">
        <v>1</v>
      </c>
    </row>
    <row r="854" spans="1:6">
      <c r="A854" s="46" t="s">
        <v>3539</v>
      </c>
      <c r="B854" s="46" t="s">
        <v>3503</v>
      </c>
      <c r="C854" s="46" t="s">
        <v>3539</v>
      </c>
      <c r="D854" s="46" t="s">
        <v>3643</v>
      </c>
      <c r="E854" s="46">
        <f>personnel_teach_mt1_borrowed_f</f>
        <v>0</v>
      </c>
      <c r="F854" s="46" t="b">
        <v>1</v>
      </c>
    </row>
    <row r="855" spans="1:6">
      <c r="A855" s="46" t="s">
        <v>3580</v>
      </c>
      <c r="B855" s="46" t="s">
        <v>3503</v>
      </c>
      <c r="C855" s="46" t="s">
        <v>3580</v>
      </c>
      <c r="D855" s="46" t="s">
        <v>3644</v>
      </c>
      <c r="E855" s="46">
        <f>personnel_teach_t3_psipop_latest</f>
        <v>0</v>
      </c>
      <c r="F855" s="46" t="b">
        <v>1</v>
      </c>
    </row>
    <row r="856" spans="1:6">
      <c r="A856" s="46" t="s">
        <v>3540</v>
      </c>
      <c r="B856" s="46" t="s">
        <v>3503</v>
      </c>
      <c r="C856" s="46" t="s">
        <v>3540</v>
      </c>
      <c r="D856" s="46" t="s">
        <v>3604</v>
      </c>
      <c r="E856" s="46">
        <f>personnel_teach_t3_actual_m</f>
        <v>0</v>
      </c>
      <c r="F856" s="46" t="b">
        <v>1</v>
      </c>
    </row>
    <row r="857" spans="1:6">
      <c r="A857" s="46" t="s">
        <v>3541</v>
      </c>
      <c r="B857" s="46" t="s">
        <v>3503</v>
      </c>
      <c r="C857" s="46" t="s">
        <v>3541</v>
      </c>
      <c r="D857" s="46" t="s">
        <v>3645</v>
      </c>
      <c r="E857" s="46">
        <f>personnel_teach_t3_actual_f</f>
        <v>0</v>
      </c>
      <c r="F857" s="46" t="b">
        <v>1</v>
      </c>
    </row>
    <row r="858" spans="1:6">
      <c r="A858" s="46" t="s">
        <v>3542</v>
      </c>
      <c r="B858" s="46" t="s">
        <v>3503</v>
      </c>
      <c r="C858" s="46" t="s">
        <v>3542</v>
      </c>
      <c r="D858" s="46" t="s">
        <v>3605</v>
      </c>
      <c r="E858" s="46">
        <f>personnel_teach_t3_onleave</f>
        <v>0</v>
      </c>
      <c r="F858" s="46" t="b">
        <v>1</v>
      </c>
    </row>
    <row r="859" spans="1:6">
      <c r="A859" s="46" t="s">
        <v>3543</v>
      </c>
      <c r="B859" s="46" t="s">
        <v>3503</v>
      </c>
      <c r="C859" s="46" t="s">
        <v>3543</v>
      </c>
      <c r="D859" s="46" t="s">
        <v>3646</v>
      </c>
      <c r="E859" s="46">
        <f>personnel_teach_t3_vacant</f>
        <v>0</v>
      </c>
      <c r="F859" s="46" t="b">
        <v>1</v>
      </c>
    </row>
    <row r="860" spans="1:6">
      <c r="A860" s="46" t="s">
        <v>3544</v>
      </c>
      <c r="B860" s="46" t="s">
        <v>3503</v>
      </c>
      <c r="C860" s="46" t="s">
        <v>3544</v>
      </c>
      <c r="D860" s="46" t="s">
        <v>3606</v>
      </c>
      <c r="E860" s="46">
        <f>personnel_teach_t3_detailed_hs</f>
        <v>0</v>
      </c>
      <c r="F860" s="46" t="b">
        <v>1</v>
      </c>
    </row>
    <row r="861" spans="1:6">
      <c r="A861" s="46" t="s">
        <v>3545</v>
      </c>
      <c r="B861" s="46" t="s">
        <v>3503</v>
      </c>
      <c r="C861" s="46" t="s">
        <v>3545</v>
      </c>
      <c r="D861" s="46" t="s">
        <v>3607</v>
      </c>
      <c r="E861" s="46">
        <f>personnel_teach_t3_detailed_es</f>
        <v>0</v>
      </c>
      <c r="F861" s="46" t="b">
        <v>1</v>
      </c>
    </row>
    <row r="862" spans="1:6">
      <c r="A862" s="46" t="s">
        <v>3546</v>
      </c>
      <c r="B862" s="46" t="s">
        <v>3503</v>
      </c>
      <c r="C862" s="46" t="s">
        <v>3546</v>
      </c>
      <c r="D862" s="46" t="s">
        <v>3608</v>
      </c>
      <c r="E862" s="46">
        <f>personnel_teach_t3_detailed_outdiv</f>
        <v>0</v>
      </c>
      <c r="F862" s="46" t="b">
        <v>1</v>
      </c>
    </row>
    <row r="863" spans="1:6">
      <c r="A863" s="46" t="s">
        <v>3547</v>
      </c>
      <c r="B863" s="46" t="s">
        <v>3503</v>
      </c>
      <c r="C863" s="46" t="s">
        <v>3547</v>
      </c>
      <c r="D863" s="46" t="s">
        <v>3647</v>
      </c>
      <c r="E863" s="46">
        <f>personnel_teach_t3_borrowed_m</f>
        <v>0</v>
      </c>
      <c r="F863" s="46" t="b">
        <v>1</v>
      </c>
    </row>
    <row r="864" spans="1:6">
      <c r="A864" s="46" t="s">
        <v>3548</v>
      </c>
      <c r="B864" s="46" t="s">
        <v>3503</v>
      </c>
      <c r="C864" s="46" t="s">
        <v>3548</v>
      </c>
      <c r="D864" s="46" t="s">
        <v>3648</v>
      </c>
      <c r="E864" s="46">
        <f>personnel_teach_t3_borrowed_f</f>
        <v>0</v>
      </c>
      <c r="F864" s="46" t="b">
        <v>1</v>
      </c>
    </row>
    <row r="865" spans="1:6">
      <c r="A865" s="46" t="s">
        <v>3581</v>
      </c>
      <c r="B865" s="46" t="s">
        <v>3503</v>
      </c>
      <c r="C865" s="46" t="s">
        <v>3581</v>
      </c>
      <c r="D865" s="46" t="s">
        <v>3649</v>
      </c>
      <c r="E865" s="46">
        <f>personnel_teach_t2_psipop_latest</f>
        <v>21</v>
      </c>
      <c r="F865" s="46" t="b">
        <v>1</v>
      </c>
    </row>
    <row r="866" spans="1:6">
      <c r="A866" s="46" t="s">
        <v>3549</v>
      </c>
      <c r="B866" s="46" t="s">
        <v>3503</v>
      </c>
      <c r="C866" s="46" t="s">
        <v>3549</v>
      </c>
      <c r="D866" s="46" t="s">
        <v>3609</v>
      </c>
      <c r="E866" s="46">
        <f>personnel_teach_t2_actual_m</f>
        <v>7</v>
      </c>
      <c r="F866" s="46" t="b">
        <v>1</v>
      </c>
    </row>
    <row r="867" spans="1:6">
      <c r="A867" s="46" t="s">
        <v>3550</v>
      </c>
      <c r="B867" s="46" t="s">
        <v>3503</v>
      </c>
      <c r="C867" s="46" t="s">
        <v>3550</v>
      </c>
      <c r="D867" s="46" t="s">
        <v>3650</v>
      </c>
      <c r="E867" s="46">
        <f>personnel_teach_t2_actual_f</f>
        <v>14</v>
      </c>
      <c r="F867" s="46" t="b">
        <v>1</v>
      </c>
    </row>
    <row r="868" spans="1:6">
      <c r="A868" s="46" t="s">
        <v>3551</v>
      </c>
      <c r="B868" s="46" t="s">
        <v>3503</v>
      </c>
      <c r="C868" s="46" t="s">
        <v>3551</v>
      </c>
      <c r="D868" s="46" t="s">
        <v>3610</v>
      </c>
      <c r="E868" s="46">
        <f>personnel_teach_t2_onleave</f>
        <v>0</v>
      </c>
      <c r="F868" s="46" t="b">
        <v>1</v>
      </c>
    </row>
    <row r="869" spans="1:6">
      <c r="A869" s="46" t="s">
        <v>3552</v>
      </c>
      <c r="B869" s="46" t="s">
        <v>3503</v>
      </c>
      <c r="C869" s="46" t="s">
        <v>3552</v>
      </c>
      <c r="D869" s="46" t="s">
        <v>3651</v>
      </c>
      <c r="E869" s="46">
        <f>personnel_teach_t2_vacant</f>
        <v>0</v>
      </c>
      <c r="F869" s="46" t="b">
        <v>1</v>
      </c>
    </row>
    <row r="870" spans="1:6">
      <c r="A870" s="46" t="s">
        <v>3553</v>
      </c>
      <c r="B870" s="46" t="s">
        <v>3503</v>
      </c>
      <c r="C870" s="46" t="s">
        <v>3553</v>
      </c>
      <c r="D870" s="46" t="s">
        <v>3611</v>
      </c>
      <c r="E870" s="46">
        <f>personnel_teach_t2_detailed_hs</f>
        <v>0</v>
      </c>
      <c r="F870" s="46" t="b">
        <v>1</v>
      </c>
    </row>
    <row r="871" spans="1:6">
      <c r="A871" s="46" t="s">
        <v>3554</v>
      </c>
      <c r="B871" s="46" t="s">
        <v>3503</v>
      </c>
      <c r="C871" s="46" t="s">
        <v>3554</v>
      </c>
      <c r="D871" s="46" t="s">
        <v>3612</v>
      </c>
      <c r="E871" s="46">
        <f>personnel_teach_t2_detailed_es</f>
        <v>0</v>
      </c>
      <c r="F871" s="46" t="b">
        <v>1</v>
      </c>
    </row>
    <row r="872" spans="1:6">
      <c r="A872" s="46" t="s">
        <v>3555</v>
      </c>
      <c r="B872" s="46" t="s">
        <v>3503</v>
      </c>
      <c r="C872" s="46" t="s">
        <v>3555</v>
      </c>
      <c r="D872" s="46" t="s">
        <v>3613</v>
      </c>
      <c r="E872" s="46">
        <f>personnel_teach_t2_detailed_outdiv</f>
        <v>0</v>
      </c>
      <c r="F872" s="46" t="b">
        <v>1</v>
      </c>
    </row>
    <row r="873" spans="1:6">
      <c r="A873" s="46" t="s">
        <v>3556</v>
      </c>
      <c r="B873" s="46" t="s">
        <v>3503</v>
      </c>
      <c r="C873" s="46" t="s">
        <v>3556</v>
      </c>
      <c r="D873" s="46" t="s">
        <v>3652</v>
      </c>
      <c r="E873" s="46">
        <f>personnel_teach_t2_borrowed_m</f>
        <v>0</v>
      </c>
      <c r="F873" s="46" t="b">
        <v>1</v>
      </c>
    </row>
    <row r="874" spans="1:6">
      <c r="A874" s="46" t="s">
        <v>3557</v>
      </c>
      <c r="B874" s="46" t="s">
        <v>3503</v>
      </c>
      <c r="C874" s="46" t="s">
        <v>3557</v>
      </c>
      <c r="D874" s="46" t="s">
        <v>3653</v>
      </c>
      <c r="E874" s="46">
        <f>personnel_teach_t2_borrowed_f</f>
        <v>0</v>
      </c>
      <c r="F874" s="46" t="b">
        <v>1</v>
      </c>
    </row>
    <row r="875" spans="1:6">
      <c r="A875" s="46" t="s">
        <v>3582</v>
      </c>
      <c r="B875" s="46" t="s">
        <v>3503</v>
      </c>
      <c r="C875" s="46" t="s">
        <v>3582</v>
      </c>
      <c r="D875" s="46" t="s">
        <v>3654</v>
      </c>
      <c r="E875" s="46">
        <f>personnel_teach_t1_psipop_latest</f>
        <v>7</v>
      </c>
      <c r="F875" s="46" t="b">
        <v>1</v>
      </c>
    </row>
    <row r="876" spans="1:6">
      <c r="A876" s="46" t="s">
        <v>3558</v>
      </c>
      <c r="B876" s="46" t="s">
        <v>3503</v>
      </c>
      <c r="C876" s="46" t="s">
        <v>3558</v>
      </c>
      <c r="D876" s="46" t="s">
        <v>3614</v>
      </c>
      <c r="E876" s="46">
        <f>personnel_teach_t1_actual_m</f>
        <v>4</v>
      </c>
      <c r="F876" s="46" t="b">
        <v>1</v>
      </c>
    </row>
    <row r="877" spans="1:6">
      <c r="A877" s="46" t="s">
        <v>3559</v>
      </c>
      <c r="B877" s="46" t="s">
        <v>3503</v>
      </c>
      <c r="C877" s="46" t="s">
        <v>3559</v>
      </c>
      <c r="D877" s="46" t="s">
        <v>3655</v>
      </c>
      <c r="E877" s="46">
        <f>personnel_teach_t1_actual_f</f>
        <v>3</v>
      </c>
      <c r="F877" s="46" t="b">
        <v>1</v>
      </c>
    </row>
    <row r="878" spans="1:6">
      <c r="A878" s="46" t="s">
        <v>3560</v>
      </c>
      <c r="B878" s="46" t="s">
        <v>3503</v>
      </c>
      <c r="C878" s="46" t="s">
        <v>3560</v>
      </c>
      <c r="D878" s="46" t="s">
        <v>3615</v>
      </c>
      <c r="E878" s="46">
        <f>personnel_teach_t1_onleave</f>
        <v>0</v>
      </c>
      <c r="F878" s="46" t="b">
        <v>1</v>
      </c>
    </row>
    <row r="879" spans="1:6">
      <c r="A879" s="46" t="s">
        <v>3561</v>
      </c>
      <c r="B879" s="46" t="s">
        <v>3503</v>
      </c>
      <c r="C879" s="46" t="s">
        <v>3561</v>
      </c>
      <c r="D879" s="46" t="s">
        <v>3656</v>
      </c>
      <c r="E879" s="46">
        <f>personnel_teach_t1_vacant</f>
        <v>0</v>
      </c>
      <c r="F879" s="46" t="b">
        <v>1</v>
      </c>
    </row>
    <row r="880" spans="1:6">
      <c r="A880" s="46" t="s">
        <v>3562</v>
      </c>
      <c r="B880" s="46" t="s">
        <v>3503</v>
      </c>
      <c r="C880" s="46" t="s">
        <v>3562</v>
      </c>
      <c r="D880" s="46" t="s">
        <v>3616</v>
      </c>
      <c r="E880" s="46">
        <f>personnel_teach_t1_detailed_hs</f>
        <v>0</v>
      </c>
      <c r="F880" s="46" t="b">
        <v>1</v>
      </c>
    </row>
    <row r="881" spans="1:8">
      <c r="A881" s="46" t="s">
        <v>3563</v>
      </c>
      <c r="B881" s="46" t="s">
        <v>3503</v>
      </c>
      <c r="C881" s="46" t="s">
        <v>3563</v>
      </c>
      <c r="D881" s="46" t="s">
        <v>3617</v>
      </c>
      <c r="E881" s="46">
        <f>personnel_teach_t1_detailed_es</f>
        <v>0</v>
      </c>
      <c r="F881" s="46" t="b">
        <v>1</v>
      </c>
    </row>
    <row r="882" spans="1:8">
      <c r="A882" s="46" t="s">
        <v>3564</v>
      </c>
      <c r="B882" s="46" t="s">
        <v>3503</v>
      </c>
      <c r="C882" s="46" t="s">
        <v>3564</v>
      </c>
      <c r="D882" s="46" t="s">
        <v>3618</v>
      </c>
      <c r="E882" s="46">
        <f>personnel_teach_t1_detailed_outdiv</f>
        <v>0</v>
      </c>
      <c r="F882" s="46" t="b">
        <v>1</v>
      </c>
    </row>
    <row r="883" spans="1:8">
      <c r="A883" s="46" t="s">
        <v>3565</v>
      </c>
      <c r="B883" s="46" t="s">
        <v>3503</v>
      </c>
      <c r="C883" s="46" t="s">
        <v>3565</v>
      </c>
      <c r="D883" s="46" t="s">
        <v>3657</v>
      </c>
      <c r="E883" s="46">
        <f>personnel_teach_t1_borrowed_m</f>
        <v>0</v>
      </c>
      <c r="F883" s="46" t="b">
        <v>1</v>
      </c>
    </row>
    <row r="884" spans="1:8">
      <c r="A884" s="46" t="s">
        <v>3566</v>
      </c>
      <c r="B884" s="46" t="s">
        <v>3503</v>
      </c>
      <c r="C884" s="46" t="s">
        <v>3566</v>
      </c>
      <c r="D884" s="46" t="s">
        <v>3658</v>
      </c>
      <c r="E884" s="46">
        <f>personnel_teach_t1_borrowed_f</f>
        <v>0</v>
      </c>
      <c r="F884" s="46" t="b">
        <v>1</v>
      </c>
    </row>
    <row r="885" spans="1:8">
      <c r="A885" s="46" t="s">
        <v>3583</v>
      </c>
      <c r="B885" s="46" t="s">
        <v>3503</v>
      </c>
      <c r="C885" s="46" t="s">
        <v>3583</v>
      </c>
      <c r="D885" s="46" t="s">
        <v>3659</v>
      </c>
      <c r="E885" s="46">
        <f>personnel_teach_sst1_psipop_latest</f>
        <v>1</v>
      </c>
      <c r="F885" s="46" t="b">
        <v>1</v>
      </c>
    </row>
    <row r="886" spans="1:8">
      <c r="A886" s="46" t="s">
        <v>3567</v>
      </c>
      <c r="B886" s="46" t="s">
        <v>3503</v>
      </c>
      <c r="C886" s="46" t="s">
        <v>3567</v>
      </c>
      <c r="D886" s="46" t="s">
        <v>3619</v>
      </c>
      <c r="E886" s="46">
        <f>personnel_teach_sst1_actual_m</f>
        <v>0</v>
      </c>
      <c r="F886" s="46" t="b">
        <v>1</v>
      </c>
    </row>
    <row r="887" spans="1:8">
      <c r="A887" s="46" t="s">
        <v>3568</v>
      </c>
      <c r="B887" s="46" t="s">
        <v>3503</v>
      </c>
      <c r="C887" s="46" t="s">
        <v>3568</v>
      </c>
      <c r="D887" s="46" t="s">
        <v>3660</v>
      </c>
      <c r="E887" s="46">
        <f>personnel_teach_sst1_actual_f</f>
        <v>1</v>
      </c>
      <c r="F887" s="46" t="b">
        <v>1</v>
      </c>
    </row>
    <row r="888" spans="1:8">
      <c r="A888" s="46" t="s">
        <v>3569</v>
      </c>
      <c r="B888" s="46" t="s">
        <v>3503</v>
      </c>
      <c r="C888" s="46" t="s">
        <v>3569</v>
      </c>
      <c r="D888" s="46" t="s">
        <v>3620</v>
      </c>
      <c r="E888" s="46">
        <f>personnel_teach_sst1_onleave</f>
        <v>0</v>
      </c>
      <c r="F888" s="46" t="b">
        <v>1</v>
      </c>
    </row>
    <row r="889" spans="1:8">
      <c r="A889" s="46" t="s">
        <v>3570</v>
      </c>
      <c r="B889" s="46" t="s">
        <v>3503</v>
      </c>
      <c r="C889" s="46" t="s">
        <v>3570</v>
      </c>
      <c r="D889" s="46" t="s">
        <v>3661</v>
      </c>
      <c r="E889" s="46">
        <f>personnel_teach_sst1_vacant</f>
        <v>0</v>
      </c>
      <c r="F889" s="46" t="b">
        <v>1</v>
      </c>
    </row>
    <row r="890" spans="1:8">
      <c r="A890" s="46" t="s">
        <v>3571</v>
      </c>
      <c r="B890" s="46" t="s">
        <v>3503</v>
      </c>
      <c r="C890" s="46" t="s">
        <v>3571</v>
      </c>
      <c r="D890" s="46" t="s">
        <v>3621</v>
      </c>
      <c r="E890" s="46">
        <f>personnel_teach_sst1_detailed_hs</f>
        <v>0</v>
      </c>
      <c r="F890" s="46" t="b">
        <v>1</v>
      </c>
    </row>
    <row r="891" spans="1:8">
      <c r="A891" s="46" t="s">
        <v>3572</v>
      </c>
      <c r="B891" s="46" t="s">
        <v>3503</v>
      </c>
      <c r="C891" s="46" t="s">
        <v>3572</v>
      </c>
      <c r="D891" s="46" t="s">
        <v>3622</v>
      </c>
      <c r="E891" s="46">
        <f>personnel_teach_sst1_detailed_es</f>
        <v>0</v>
      </c>
      <c r="F891" s="46" t="b">
        <v>1</v>
      </c>
    </row>
    <row r="892" spans="1:8">
      <c r="A892" s="46" t="s">
        <v>3573</v>
      </c>
      <c r="B892" s="46" t="s">
        <v>3503</v>
      </c>
      <c r="C892" s="46" t="s">
        <v>3573</v>
      </c>
      <c r="D892" s="46" t="s">
        <v>3623</v>
      </c>
      <c r="E892" s="46">
        <f>personnel_teach_sst1_detailed_outdiv</f>
        <v>0</v>
      </c>
      <c r="F892" s="46" t="b">
        <v>1</v>
      </c>
    </row>
    <row r="893" spans="1:8">
      <c r="A893" s="46" t="s">
        <v>3574</v>
      </c>
      <c r="B893" s="46" t="s">
        <v>3503</v>
      </c>
      <c r="C893" s="46" t="s">
        <v>3574</v>
      </c>
      <c r="D893" s="46" t="s">
        <v>3662</v>
      </c>
      <c r="E893" s="46">
        <f>personnel_teach_sst1_borrowed_m</f>
        <v>0</v>
      </c>
      <c r="F893" s="46" t="b">
        <v>1</v>
      </c>
    </row>
    <row r="894" spans="1:8" ht="16.5" thickBot="1">
      <c r="A894" s="479" t="s">
        <v>3575</v>
      </c>
      <c r="B894" s="479" t="s">
        <v>3503</v>
      </c>
      <c r="C894" s="479" t="s">
        <v>3575</v>
      </c>
      <c r="D894" s="479" t="s">
        <v>3663</v>
      </c>
      <c r="E894" s="479">
        <f>personnel_teach_sst1_borrowed_f</f>
        <v>0</v>
      </c>
      <c r="F894" s="479" t="b">
        <v>1</v>
      </c>
      <c r="G894" s="479"/>
      <c r="H894" s="479"/>
    </row>
    <row r="895" spans="1:8" ht="16.5" thickTop="1">
      <c r="A895" s="46" t="s">
        <v>3664</v>
      </c>
      <c r="B895" s="46" t="s">
        <v>3665</v>
      </c>
      <c r="C895" s="46" t="s">
        <v>3664</v>
      </c>
      <c r="D895" s="1018" t="s">
        <v>3746</v>
      </c>
      <c r="E895" s="46" cm="1">
        <f t="array" ref="E895">personnel_teach_mt4_psipop</f>
        <v>0</v>
      </c>
      <c r="F895" s="46" t="b">
        <v>1</v>
      </c>
    </row>
    <row r="896" spans="1:8">
      <c r="A896" s="46" t="s">
        <v>3666</v>
      </c>
      <c r="B896" s="46" t="s">
        <v>3665</v>
      </c>
      <c r="C896" s="46" t="s">
        <v>3666</v>
      </c>
      <c r="D896" s="1018" t="s">
        <v>3747</v>
      </c>
      <c r="E896" s="46" cm="1">
        <f t="array" ref="E896">personnel_teach_mt4_permanent</f>
        <v>0</v>
      </c>
      <c r="F896" s="46" t="b">
        <v>1</v>
      </c>
    </row>
    <row r="897" spans="1:6">
      <c r="A897" s="46" t="s">
        <v>3667</v>
      </c>
      <c r="B897" s="46" t="s">
        <v>3665</v>
      </c>
      <c r="C897" s="46" t="s">
        <v>3667</v>
      </c>
      <c r="D897" s="1018" t="s">
        <v>3748</v>
      </c>
      <c r="E897" s="46" cm="1">
        <f t="array" ref="E897">personnel_teach_mt4_provisional</f>
        <v>0</v>
      </c>
      <c r="F897" s="46" t="b">
        <v>1</v>
      </c>
    </row>
    <row r="898" spans="1:6">
      <c r="A898" s="46" t="s">
        <v>3668</v>
      </c>
      <c r="B898" s="46" t="s">
        <v>3665</v>
      </c>
      <c r="C898" s="46" t="s">
        <v>3668</v>
      </c>
      <c r="D898" s="1018" t="s">
        <v>3749</v>
      </c>
      <c r="E898" s="46" cm="1">
        <f t="array" ref="E898">personnel_teach_mt4_contrac_full</f>
        <v>0</v>
      </c>
      <c r="F898" s="46" t="b">
        <v>1</v>
      </c>
    </row>
    <row r="899" spans="1:6">
      <c r="A899" s="46" t="s">
        <v>3669</v>
      </c>
      <c r="B899" s="46" t="s">
        <v>3665</v>
      </c>
      <c r="C899" s="46" t="s">
        <v>3669</v>
      </c>
      <c r="D899" s="1018" t="s">
        <v>3750</v>
      </c>
      <c r="E899" s="46" cm="1">
        <f t="array" ref="E899">personnel_teach_mt4_contrac_part</f>
        <v>0</v>
      </c>
      <c r="F899" s="46" t="b">
        <v>1</v>
      </c>
    </row>
    <row r="900" spans="1:6">
      <c r="A900" s="46" t="s">
        <v>3670</v>
      </c>
      <c r="B900" s="46" t="s">
        <v>3665</v>
      </c>
      <c r="C900" s="46" t="s">
        <v>3670</v>
      </c>
      <c r="D900" s="1018" t="s">
        <v>3751</v>
      </c>
      <c r="E900" s="46" cm="1">
        <f t="array" ref="E900">personnel_teach_mt3_psipop</f>
        <v>0</v>
      </c>
      <c r="F900" s="46" t="b">
        <v>1</v>
      </c>
    </row>
    <row r="901" spans="1:6">
      <c r="A901" s="46" t="s">
        <v>3671</v>
      </c>
      <c r="B901" s="46" t="s">
        <v>3665</v>
      </c>
      <c r="C901" s="46" t="s">
        <v>3671</v>
      </c>
      <c r="D901" s="1018" t="s">
        <v>3752</v>
      </c>
      <c r="E901" s="46" cm="1">
        <f t="array" ref="E901">personnel_teach_mt3_permanent</f>
        <v>0</v>
      </c>
      <c r="F901" s="46" t="b">
        <v>1</v>
      </c>
    </row>
    <row r="902" spans="1:6">
      <c r="A902" s="46" t="s">
        <v>3672</v>
      </c>
      <c r="B902" s="46" t="s">
        <v>3665</v>
      </c>
      <c r="C902" s="46" t="s">
        <v>3672</v>
      </c>
      <c r="D902" s="1018" t="s">
        <v>3753</v>
      </c>
      <c r="E902" s="46" cm="1">
        <f t="array" ref="E902">personnel_teach_mt3_provisional</f>
        <v>0</v>
      </c>
      <c r="F902" s="46" t="b">
        <v>1</v>
      </c>
    </row>
    <row r="903" spans="1:6">
      <c r="A903" s="46" t="s">
        <v>3673</v>
      </c>
      <c r="B903" s="46" t="s">
        <v>3665</v>
      </c>
      <c r="C903" s="46" t="s">
        <v>3673</v>
      </c>
      <c r="D903" s="1018" t="s">
        <v>3754</v>
      </c>
      <c r="E903" s="46" cm="1">
        <f t="array" ref="E903">personnel_teach_mt3_contrac_full</f>
        <v>0</v>
      </c>
      <c r="F903" s="46" t="b">
        <v>1</v>
      </c>
    </row>
    <row r="904" spans="1:6">
      <c r="A904" s="46" t="s">
        <v>3674</v>
      </c>
      <c r="B904" s="46" t="s">
        <v>3665</v>
      </c>
      <c r="C904" s="46" t="s">
        <v>3674</v>
      </c>
      <c r="D904" s="1018" t="s">
        <v>3755</v>
      </c>
      <c r="E904" s="46" cm="1">
        <f t="array" ref="E904">personnel_teach_mt3_contrac_part</f>
        <v>0</v>
      </c>
      <c r="F904" s="46" t="b">
        <v>1</v>
      </c>
    </row>
    <row r="905" spans="1:6">
      <c r="A905" s="46" t="s">
        <v>3675</v>
      </c>
      <c r="B905" s="46" t="s">
        <v>3665</v>
      </c>
      <c r="C905" s="46" t="s">
        <v>3675</v>
      </c>
      <c r="D905" s="1018" t="s">
        <v>3756</v>
      </c>
      <c r="E905" s="46" cm="1">
        <f t="array" ref="E905">personnel_teach_mt2_psipop</f>
        <v>0</v>
      </c>
      <c r="F905" s="46" t="b">
        <v>1</v>
      </c>
    </row>
    <row r="906" spans="1:6">
      <c r="A906" s="46" t="s">
        <v>3676</v>
      </c>
      <c r="B906" s="46" t="s">
        <v>3665</v>
      </c>
      <c r="C906" s="46" t="s">
        <v>3676</v>
      </c>
      <c r="D906" s="1018" t="s">
        <v>3757</v>
      </c>
      <c r="E906" s="46" cm="1">
        <f t="array" ref="E906">personnel_teach_mt2_permanent</f>
        <v>0</v>
      </c>
      <c r="F906" s="46" t="b">
        <v>1</v>
      </c>
    </row>
    <row r="907" spans="1:6">
      <c r="A907" s="46" t="s">
        <v>3677</v>
      </c>
      <c r="B907" s="46" t="s">
        <v>3665</v>
      </c>
      <c r="C907" s="46" t="s">
        <v>3677</v>
      </c>
      <c r="D907" s="1018" t="s">
        <v>3758</v>
      </c>
      <c r="E907" s="46" cm="1">
        <f t="array" ref="E907">personnel_teach_mt2_provisional</f>
        <v>0</v>
      </c>
      <c r="F907" s="46" t="b">
        <v>1</v>
      </c>
    </row>
    <row r="908" spans="1:6">
      <c r="A908" s="46" t="s">
        <v>3678</v>
      </c>
      <c r="B908" s="46" t="s">
        <v>3665</v>
      </c>
      <c r="C908" s="46" t="s">
        <v>3678</v>
      </c>
      <c r="D908" s="1018" t="s">
        <v>3759</v>
      </c>
      <c r="E908" s="46" cm="1">
        <f t="array" ref="E908">personnel_teach_mt2_contrac_full</f>
        <v>0</v>
      </c>
      <c r="F908" s="46" t="b">
        <v>1</v>
      </c>
    </row>
    <row r="909" spans="1:6">
      <c r="A909" s="46" t="s">
        <v>3679</v>
      </c>
      <c r="B909" s="46" t="s">
        <v>3665</v>
      </c>
      <c r="C909" s="46" t="s">
        <v>3679</v>
      </c>
      <c r="D909" s="1018" t="s">
        <v>3760</v>
      </c>
      <c r="E909" s="46" cm="1">
        <f t="array" ref="E909">personnel_teach_mt2_contrac_part</f>
        <v>0</v>
      </c>
      <c r="F909" s="46" t="b">
        <v>1</v>
      </c>
    </row>
    <row r="910" spans="1:6">
      <c r="A910" s="46" t="s">
        <v>3680</v>
      </c>
      <c r="B910" s="46" t="s">
        <v>3665</v>
      </c>
      <c r="C910" s="46" t="s">
        <v>3680</v>
      </c>
      <c r="D910" s="1018" t="s">
        <v>3761</v>
      </c>
      <c r="E910" s="46" cm="1">
        <f t="array" ref="E910">personnel_teach_mt1_psipop</f>
        <v>0</v>
      </c>
      <c r="F910" s="46" t="b">
        <v>1</v>
      </c>
    </row>
    <row r="911" spans="1:6">
      <c r="A911" s="46" t="s">
        <v>3681</v>
      </c>
      <c r="B911" s="46" t="s">
        <v>3665</v>
      </c>
      <c r="C911" s="46" t="s">
        <v>3681</v>
      </c>
      <c r="D911" s="1018" t="s">
        <v>3762</v>
      </c>
      <c r="E911" s="46" cm="1">
        <f t="array" ref="E911">personnel_teach_mt1_permanent</f>
        <v>0</v>
      </c>
      <c r="F911" s="46" t="b">
        <v>1</v>
      </c>
    </row>
    <row r="912" spans="1:6">
      <c r="A912" s="46" t="s">
        <v>3682</v>
      </c>
      <c r="B912" s="46" t="s">
        <v>3665</v>
      </c>
      <c r="C912" s="46" t="s">
        <v>3682</v>
      </c>
      <c r="D912" s="1018" t="s">
        <v>3763</v>
      </c>
      <c r="E912" s="46" cm="1">
        <f t="array" ref="E912">personnel_teach_mt1_provisional</f>
        <v>0</v>
      </c>
      <c r="F912" s="46" t="b">
        <v>1</v>
      </c>
    </row>
    <row r="913" spans="1:6">
      <c r="A913" s="46" t="s">
        <v>3683</v>
      </c>
      <c r="B913" s="46" t="s">
        <v>3665</v>
      </c>
      <c r="C913" s="46" t="s">
        <v>3683</v>
      </c>
      <c r="D913" s="1018" t="s">
        <v>3764</v>
      </c>
      <c r="E913" s="46" cm="1">
        <f t="array" ref="E913">personnel_teach_mt1_contrac_full</f>
        <v>0</v>
      </c>
      <c r="F913" s="46" t="b">
        <v>1</v>
      </c>
    </row>
    <row r="914" spans="1:6">
      <c r="A914" s="46" t="s">
        <v>3684</v>
      </c>
      <c r="B914" s="46" t="s">
        <v>3665</v>
      </c>
      <c r="C914" s="46" t="s">
        <v>3684</v>
      </c>
      <c r="D914" s="1018" t="s">
        <v>3765</v>
      </c>
      <c r="E914" s="46" cm="1">
        <f t="array" ref="E914">personnel_teach_mt1_contrac_part</f>
        <v>0</v>
      </c>
      <c r="F914" s="46" t="b">
        <v>1</v>
      </c>
    </row>
    <row r="915" spans="1:6">
      <c r="A915" s="46" t="s">
        <v>3685</v>
      </c>
      <c r="B915" s="46" t="s">
        <v>3665</v>
      </c>
      <c r="C915" s="46" t="s">
        <v>3685</v>
      </c>
      <c r="D915" s="1018" t="s">
        <v>3766</v>
      </c>
      <c r="E915" s="46" cm="1">
        <f t="array" ref="E915">personnel_teach_t3_psipop</f>
        <v>0</v>
      </c>
      <c r="F915" s="46" t="b">
        <v>1</v>
      </c>
    </row>
    <row r="916" spans="1:6">
      <c r="A916" s="46" t="s">
        <v>3686</v>
      </c>
      <c r="B916" s="46" t="s">
        <v>3665</v>
      </c>
      <c r="C916" s="46" t="s">
        <v>3686</v>
      </c>
      <c r="D916" s="1018" t="s">
        <v>3767</v>
      </c>
      <c r="E916" s="46" cm="1">
        <f t="array" ref="E916">personnel_teach_t3_permanent</f>
        <v>0</v>
      </c>
      <c r="F916" s="46" t="b">
        <v>1</v>
      </c>
    </row>
    <row r="917" spans="1:6">
      <c r="A917" s="46" t="s">
        <v>3687</v>
      </c>
      <c r="B917" s="46" t="s">
        <v>3665</v>
      </c>
      <c r="C917" s="46" t="s">
        <v>3687</v>
      </c>
      <c r="D917" s="1018" t="s">
        <v>3768</v>
      </c>
      <c r="E917" s="46" cm="1">
        <f t="array" ref="E917">personnel_teach_t3_provisional</f>
        <v>0</v>
      </c>
      <c r="F917" s="46" t="b">
        <v>1</v>
      </c>
    </row>
    <row r="918" spans="1:6">
      <c r="A918" s="46" t="s">
        <v>3688</v>
      </c>
      <c r="B918" s="46" t="s">
        <v>3665</v>
      </c>
      <c r="C918" s="46" t="s">
        <v>3688</v>
      </c>
      <c r="D918" s="1018" t="s">
        <v>3769</v>
      </c>
      <c r="E918" s="46" cm="1">
        <f t="array" ref="E918">personnel_teach_t3_contrac_full</f>
        <v>0</v>
      </c>
      <c r="F918" s="46" t="b">
        <v>1</v>
      </c>
    </row>
    <row r="919" spans="1:6">
      <c r="A919" s="46" t="s">
        <v>3689</v>
      </c>
      <c r="B919" s="46" t="s">
        <v>3665</v>
      </c>
      <c r="C919" s="46" t="s">
        <v>3689</v>
      </c>
      <c r="D919" s="1018" t="s">
        <v>3770</v>
      </c>
      <c r="E919" s="46" cm="1">
        <f t="array" ref="E919">personnel_teach_t3_contrac_part</f>
        <v>0</v>
      </c>
      <c r="F919" s="46" t="b">
        <v>1</v>
      </c>
    </row>
    <row r="920" spans="1:6">
      <c r="A920" s="46" t="s">
        <v>3690</v>
      </c>
      <c r="B920" s="46" t="s">
        <v>3665</v>
      </c>
      <c r="C920" s="46" t="s">
        <v>3690</v>
      </c>
      <c r="D920" s="1018" t="s">
        <v>3771</v>
      </c>
      <c r="E920" s="46" cm="1">
        <f t="array" ref="E920">personnel_teach_t2_psipop</f>
        <v>21</v>
      </c>
      <c r="F920" s="46" t="b">
        <v>1</v>
      </c>
    </row>
    <row r="921" spans="1:6">
      <c r="A921" s="46" t="s">
        <v>3691</v>
      </c>
      <c r="B921" s="46" t="s">
        <v>3665</v>
      </c>
      <c r="C921" s="46" t="s">
        <v>3691</v>
      </c>
      <c r="D921" s="1018" t="s">
        <v>3772</v>
      </c>
      <c r="E921" s="46" cm="1">
        <f t="array" ref="E921">personnel_teach_t2_permanent</f>
        <v>21</v>
      </c>
      <c r="F921" s="46" t="b">
        <v>1</v>
      </c>
    </row>
    <row r="922" spans="1:6">
      <c r="A922" s="46" t="s">
        <v>3692</v>
      </c>
      <c r="B922" s="46" t="s">
        <v>3665</v>
      </c>
      <c r="C922" s="46" t="s">
        <v>3692</v>
      </c>
      <c r="D922" s="1018" t="s">
        <v>3773</v>
      </c>
      <c r="E922" s="46" cm="1">
        <f t="array" ref="E922">personnel_teach_t2_provisional</f>
        <v>0</v>
      </c>
      <c r="F922" s="46" t="b">
        <v>1</v>
      </c>
    </row>
    <row r="923" spans="1:6">
      <c r="A923" s="46" t="s">
        <v>3693</v>
      </c>
      <c r="B923" s="46" t="s">
        <v>3665</v>
      </c>
      <c r="C923" s="46" t="s">
        <v>3693</v>
      </c>
      <c r="D923" s="1018" t="s">
        <v>3774</v>
      </c>
      <c r="E923" s="46" cm="1">
        <f t="array" ref="E923">personnel_teach_t2_contrac_full</f>
        <v>0</v>
      </c>
      <c r="F923" s="46" t="b">
        <v>1</v>
      </c>
    </row>
    <row r="924" spans="1:6">
      <c r="A924" s="46" t="s">
        <v>3694</v>
      </c>
      <c r="B924" s="46" t="s">
        <v>3665</v>
      </c>
      <c r="C924" s="46" t="s">
        <v>3694</v>
      </c>
      <c r="D924" s="1018" t="s">
        <v>3775</v>
      </c>
      <c r="E924" s="46" cm="1">
        <f t="array" ref="E924">personnel_teach_t2_contrac_part</f>
        <v>0</v>
      </c>
      <c r="F924" s="46" t="b">
        <v>1</v>
      </c>
    </row>
    <row r="925" spans="1:6">
      <c r="A925" s="46" t="s">
        <v>3695</v>
      </c>
      <c r="B925" s="46" t="s">
        <v>3665</v>
      </c>
      <c r="C925" s="46" t="s">
        <v>3695</v>
      </c>
      <c r="D925" s="1018" t="s">
        <v>3776</v>
      </c>
      <c r="E925" s="46" cm="1">
        <f t="array" ref="E925">personnel_teach_t1_psipop</f>
        <v>7</v>
      </c>
      <c r="F925" s="46" t="b">
        <v>1</v>
      </c>
    </row>
    <row r="926" spans="1:6">
      <c r="A926" s="46" t="s">
        <v>3696</v>
      </c>
      <c r="B926" s="46" t="s">
        <v>3665</v>
      </c>
      <c r="C926" s="46" t="s">
        <v>3696</v>
      </c>
      <c r="D926" s="1018" t="s">
        <v>3777</v>
      </c>
      <c r="E926" s="46" cm="1">
        <f t="array" ref="E926">personnel_teach_t1_permanent</f>
        <v>6</v>
      </c>
      <c r="F926" s="46" t="b">
        <v>1</v>
      </c>
    </row>
    <row r="927" spans="1:6">
      <c r="A927" s="46" t="s">
        <v>3697</v>
      </c>
      <c r="B927" s="46" t="s">
        <v>3665</v>
      </c>
      <c r="C927" s="46" t="s">
        <v>3697</v>
      </c>
      <c r="D927" s="1018" t="s">
        <v>3778</v>
      </c>
      <c r="E927" s="46" cm="1">
        <f t="array" ref="E927">personnel_teach_t1_provisional</f>
        <v>1</v>
      </c>
      <c r="F927" s="46" t="b">
        <v>1</v>
      </c>
    </row>
    <row r="928" spans="1:6">
      <c r="A928" s="46" t="s">
        <v>3698</v>
      </c>
      <c r="B928" s="46" t="s">
        <v>3665</v>
      </c>
      <c r="C928" s="46" t="s">
        <v>3698</v>
      </c>
      <c r="D928" s="1018" t="s">
        <v>3779</v>
      </c>
      <c r="E928" s="46" cm="1">
        <f t="array" ref="E928">personnel_teach_t1_contrac_full</f>
        <v>0</v>
      </c>
      <c r="F928" s="46" t="b">
        <v>1</v>
      </c>
    </row>
    <row r="929" spans="1:6">
      <c r="A929" s="46" t="s">
        <v>3699</v>
      </c>
      <c r="B929" s="46" t="s">
        <v>3665</v>
      </c>
      <c r="C929" s="46" t="s">
        <v>3699</v>
      </c>
      <c r="D929" s="1018" t="s">
        <v>3780</v>
      </c>
      <c r="E929" s="46" cm="1">
        <f t="array" ref="E929">personnel_teach_t1_contrac_part</f>
        <v>0</v>
      </c>
      <c r="F929" s="46" t="b">
        <v>1</v>
      </c>
    </row>
    <row r="930" spans="1:6">
      <c r="A930" s="46" t="s">
        <v>3700</v>
      </c>
      <c r="B930" s="46" t="s">
        <v>3665</v>
      </c>
      <c r="C930" s="46" t="s">
        <v>3700</v>
      </c>
      <c r="D930" s="1018" t="s">
        <v>3781</v>
      </c>
      <c r="E930" s="46" cm="1">
        <f t="array" ref="E930">personnel_teach_sst1_psipop</f>
        <v>1</v>
      </c>
      <c r="F930" s="46" t="b">
        <v>1</v>
      </c>
    </row>
    <row r="931" spans="1:6">
      <c r="A931" s="46" t="s">
        <v>3701</v>
      </c>
      <c r="B931" s="46" t="s">
        <v>3665</v>
      </c>
      <c r="C931" s="46" t="s">
        <v>3701</v>
      </c>
      <c r="D931" s="1018" t="s">
        <v>3782</v>
      </c>
      <c r="E931" s="46" cm="1">
        <f t="array" ref="E931">personnel_teach_sst1_permanent</f>
        <v>1</v>
      </c>
      <c r="F931" s="46" t="b">
        <v>1</v>
      </c>
    </row>
    <row r="932" spans="1:6">
      <c r="A932" s="46" t="s">
        <v>3702</v>
      </c>
      <c r="B932" s="46" t="s">
        <v>3665</v>
      </c>
      <c r="C932" s="46" t="s">
        <v>3702</v>
      </c>
      <c r="D932" s="1018" t="s">
        <v>3783</v>
      </c>
      <c r="E932" s="46" cm="1">
        <f t="array" ref="E932">personnel_teach_sst1_provisional</f>
        <v>0</v>
      </c>
      <c r="F932" s="46" t="b">
        <v>1</v>
      </c>
    </row>
    <row r="933" spans="1:6">
      <c r="A933" s="46" t="s">
        <v>3703</v>
      </c>
      <c r="B933" s="46" t="s">
        <v>3665</v>
      </c>
      <c r="C933" s="46" t="s">
        <v>3703</v>
      </c>
      <c r="D933" s="1018" t="s">
        <v>3784</v>
      </c>
      <c r="E933" s="46" cm="1">
        <f t="array" ref="E933">personnel_teach_sst1_contrac_full</f>
        <v>0</v>
      </c>
      <c r="F933" s="46" t="b">
        <v>1</v>
      </c>
    </row>
    <row r="934" spans="1:6" s="479" customFormat="1" ht="16.5" thickBot="1">
      <c r="A934" s="479" t="s">
        <v>3704</v>
      </c>
      <c r="B934" s="479" t="s">
        <v>3665</v>
      </c>
      <c r="C934" s="479" t="s">
        <v>3704</v>
      </c>
      <c r="D934" s="1019" t="s">
        <v>3785</v>
      </c>
      <c r="E934" s="479" cm="1">
        <f t="array" ref="E934">personnel_teach_sst1_contrac_part</f>
        <v>0</v>
      </c>
      <c r="F934" s="479" t="b">
        <v>1</v>
      </c>
    </row>
    <row r="935" spans="1:6" ht="16.5" thickTop="1">
      <c r="A935" s="46" t="s">
        <v>3705</v>
      </c>
      <c r="B935" s="46" t="s">
        <v>3706</v>
      </c>
      <c r="C935" s="46" t="s">
        <v>3705</v>
      </c>
      <c r="D935" s="1018" t="s">
        <v>3786</v>
      </c>
      <c r="E935" s="46" cm="1">
        <f t="array" ref="E935">teach_assign_mt4_fullt_noancilliary</f>
        <v>0</v>
      </c>
      <c r="F935" s="46" t="b">
        <v>1</v>
      </c>
    </row>
    <row r="936" spans="1:6">
      <c r="A936" s="46" t="s">
        <v>3707</v>
      </c>
      <c r="B936" s="46" t="s">
        <v>3706</v>
      </c>
      <c r="C936" s="46" t="s">
        <v>3707</v>
      </c>
      <c r="D936" s="1018" t="s">
        <v>3787</v>
      </c>
      <c r="E936" s="46" cm="1">
        <f t="array" ref="E936">teach_assign_mt4_fullt_ancilliary_addload</f>
        <v>0</v>
      </c>
      <c r="F936" s="46" t="b">
        <v>1</v>
      </c>
    </row>
    <row r="937" spans="1:6">
      <c r="A937" s="46" t="s">
        <v>3708</v>
      </c>
      <c r="B937" s="46" t="s">
        <v>3706</v>
      </c>
      <c r="C937" s="46" t="s">
        <v>3708</v>
      </c>
      <c r="D937" s="1018" t="s">
        <v>3788</v>
      </c>
      <c r="E937" s="46" cm="1">
        <f t="array" ref="E937">teach_assign_mt4_part_ancilliary_200min</f>
        <v>0</v>
      </c>
      <c r="F937" s="46" t="b">
        <v>1</v>
      </c>
    </row>
    <row r="938" spans="1:6">
      <c r="A938" s="46" t="s">
        <v>3709</v>
      </c>
      <c r="B938" s="46" t="s">
        <v>3706</v>
      </c>
      <c r="C938" s="46" t="s">
        <v>3709</v>
      </c>
      <c r="D938" s="1018" t="s">
        <v>3789</v>
      </c>
      <c r="E938" s="46" cm="1">
        <f t="array" ref="E938">teach_assign_mt4_part_ancilliary_less200min</f>
        <v>0</v>
      </c>
      <c r="F938" s="46" t="b">
        <v>1</v>
      </c>
    </row>
    <row r="939" spans="1:6">
      <c r="A939" s="46" t="s">
        <v>3710</v>
      </c>
      <c r="B939" s="46" t="s">
        <v>3706</v>
      </c>
      <c r="C939" s="46" t="s">
        <v>3710</v>
      </c>
      <c r="D939" s="1018" t="s">
        <v>3790</v>
      </c>
      <c r="E939" s="46" cm="1">
        <f t="array" ref="E939">teach_assign_mt4_fullt_ancilliary</f>
        <v>0</v>
      </c>
      <c r="F939" s="46" t="b">
        <v>1</v>
      </c>
    </row>
    <row r="940" spans="1:6">
      <c r="A940" s="46" t="s">
        <v>3711</v>
      </c>
      <c r="B940" s="46" t="s">
        <v>3706</v>
      </c>
      <c r="C940" s="46" t="s">
        <v>3711</v>
      </c>
      <c r="D940" s="1018" t="s">
        <v>3791</v>
      </c>
      <c r="E940" s="46" cm="1">
        <f t="array" ref="E940">teach_assign_mt3_fullt_noancilliary</f>
        <v>0</v>
      </c>
      <c r="F940" s="46" t="b">
        <v>1</v>
      </c>
    </row>
    <row r="941" spans="1:6">
      <c r="A941" s="46" t="s">
        <v>3712</v>
      </c>
      <c r="B941" s="46" t="s">
        <v>3706</v>
      </c>
      <c r="C941" s="46" t="s">
        <v>3712</v>
      </c>
      <c r="D941" s="1018" t="s">
        <v>3792</v>
      </c>
      <c r="E941" s="46" cm="1">
        <f t="array" ref="E941">teach_assign_mt3_fullt_ancilliary_addload</f>
        <v>0</v>
      </c>
      <c r="F941" s="46" t="b">
        <v>1</v>
      </c>
    </row>
    <row r="942" spans="1:6">
      <c r="A942" s="46" t="s">
        <v>3713</v>
      </c>
      <c r="B942" s="46" t="s">
        <v>3706</v>
      </c>
      <c r="C942" s="46" t="s">
        <v>3713</v>
      </c>
      <c r="D942" s="1018" t="s">
        <v>3793</v>
      </c>
      <c r="E942" s="46" cm="1">
        <f t="array" ref="E942">teach_assign_mt3_part_ancilliary_200min</f>
        <v>0</v>
      </c>
      <c r="F942" s="46" t="b">
        <v>1</v>
      </c>
    </row>
    <row r="943" spans="1:6">
      <c r="A943" s="46" t="s">
        <v>3714</v>
      </c>
      <c r="B943" s="46" t="s">
        <v>3706</v>
      </c>
      <c r="C943" s="46" t="s">
        <v>3714</v>
      </c>
      <c r="D943" s="1018" t="s">
        <v>3794</v>
      </c>
      <c r="E943" s="46" cm="1">
        <f t="array" ref="E943">teach_assign_mt3_part_ancilliary_less200min</f>
        <v>0</v>
      </c>
      <c r="F943" s="46" t="b">
        <v>1</v>
      </c>
    </row>
    <row r="944" spans="1:6">
      <c r="A944" s="46" t="s">
        <v>3715</v>
      </c>
      <c r="B944" s="46" t="s">
        <v>3706</v>
      </c>
      <c r="C944" s="46" t="s">
        <v>3715</v>
      </c>
      <c r="D944" s="1018" t="s">
        <v>3795</v>
      </c>
      <c r="E944" s="46" cm="1">
        <f t="array" ref="E944">teach_assign_mt3_fullt_ancilliary</f>
        <v>0</v>
      </c>
      <c r="F944" s="46" t="b">
        <v>1</v>
      </c>
    </row>
    <row r="945" spans="1:6">
      <c r="A945" s="46" t="s">
        <v>3716</v>
      </c>
      <c r="B945" s="46" t="s">
        <v>3706</v>
      </c>
      <c r="C945" s="46" t="s">
        <v>3716</v>
      </c>
      <c r="D945" s="1018" t="s">
        <v>3796</v>
      </c>
      <c r="E945" s="46" cm="1">
        <f t="array" ref="E945">teach_assign_mt2_fullt_noancilliary</f>
        <v>0</v>
      </c>
      <c r="F945" s="46" t="b">
        <v>1</v>
      </c>
    </row>
    <row r="946" spans="1:6">
      <c r="A946" s="46" t="s">
        <v>3717</v>
      </c>
      <c r="B946" s="46" t="s">
        <v>3706</v>
      </c>
      <c r="C946" s="46" t="s">
        <v>3717</v>
      </c>
      <c r="D946" s="1018" t="s">
        <v>3797</v>
      </c>
      <c r="E946" s="46" cm="1">
        <f t="array" ref="E946">teach_assign_mt2_fullt_ancilliary_addload</f>
        <v>0</v>
      </c>
      <c r="F946" s="46" t="b">
        <v>1</v>
      </c>
    </row>
    <row r="947" spans="1:6">
      <c r="A947" s="46" t="s">
        <v>3718</v>
      </c>
      <c r="B947" s="46" t="s">
        <v>3706</v>
      </c>
      <c r="C947" s="46" t="s">
        <v>3718</v>
      </c>
      <c r="D947" s="1018" t="s">
        <v>3798</v>
      </c>
      <c r="E947" s="46" cm="1">
        <f t="array" ref="E947">teach_assign_mt2_part_ancilliary_200min</f>
        <v>0</v>
      </c>
      <c r="F947" s="46" t="b">
        <v>1</v>
      </c>
    </row>
    <row r="948" spans="1:6">
      <c r="A948" s="46" t="s">
        <v>3719</v>
      </c>
      <c r="B948" s="46" t="s">
        <v>3706</v>
      </c>
      <c r="C948" s="46" t="s">
        <v>3719</v>
      </c>
      <c r="D948" s="1018" t="s">
        <v>3799</v>
      </c>
      <c r="E948" s="46" cm="1">
        <f t="array" ref="E948">teach_assign_mt2_part_ancilliary_less200min</f>
        <v>0</v>
      </c>
      <c r="F948" s="46" t="b">
        <v>1</v>
      </c>
    </row>
    <row r="949" spans="1:6">
      <c r="A949" s="46" t="s">
        <v>3720</v>
      </c>
      <c r="B949" s="46" t="s">
        <v>3706</v>
      </c>
      <c r="C949" s="46" t="s">
        <v>3720</v>
      </c>
      <c r="D949" s="1018" t="s">
        <v>3800</v>
      </c>
      <c r="E949" s="46" cm="1">
        <f t="array" ref="E949">teach_assign_mt2_fullt_ancilliary</f>
        <v>0</v>
      </c>
      <c r="F949" s="46" t="b">
        <v>1</v>
      </c>
    </row>
    <row r="950" spans="1:6">
      <c r="A950" s="46" t="s">
        <v>3721</v>
      </c>
      <c r="B950" s="46" t="s">
        <v>3706</v>
      </c>
      <c r="C950" s="46" t="s">
        <v>3721</v>
      </c>
      <c r="D950" s="1018" t="s">
        <v>3801</v>
      </c>
      <c r="E950" s="46" cm="1">
        <f t="array" ref="E950">teach_assign_mt1_fullt_noancilliary</f>
        <v>0</v>
      </c>
      <c r="F950" s="46" t="b">
        <v>1</v>
      </c>
    </row>
    <row r="951" spans="1:6">
      <c r="A951" s="46" t="s">
        <v>3722</v>
      </c>
      <c r="B951" s="46" t="s">
        <v>3706</v>
      </c>
      <c r="C951" s="46" t="s">
        <v>3722</v>
      </c>
      <c r="D951" s="1018" t="s">
        <v>3802</v>
      </c>
      <c r="E951" s="46" cm="1">
        <f t="array" ref="E951">teach_assign_mt1_fullt_ancilliary_addload</f>
        <v>0</v>
      </c>
      <c r="F951" s="46" t="b">
        <v>1</v>
      </c>
    </row>
    <row r="952" spans="1:6">
      <c r="A952" s="46" t="s">
        <v>3723</v>
      </c>
      <c r="B952" s="46" t="s">
        <v>3706</v>
      </c>
      <c r="C952" s="46" t="s">
        <v>3723</v>
      </c>
      <c r="D952" s="1018" t="s">
        <v>3803</v>
      </c>
      <c r="E952" s="46" cm="1">
        <f t="array" ref="E952">teach_assign_mt1_part_ancilliary_200min</f>
        <v>0</v>
      </c>
      <c r="F952" s="46" t="b">
        <v>1</v>
      </c>
    </row>
    <row r="953" spans="1:6">
      <c r="A953" s="46" t="s">
        <v>3724</v>
      </c>
      <c r="B953" s="46" t="s">
        <v>3706</v>
      </c>
      <c r="C953" s="46" t="s">
        <v>3724</v>
      </c>
      <c r="D953" s="1018" t="s">
        <v>3804</v>
      </c>
      <c r="E953" s="46" cm="1">
        <f t="array" ref="E953">teach_assign_mt1_part_ancilliary_less200min</f>
        <v>0</v>
      </c>
      <c r="F953" s="46" t="b">
        <v>1</v>
      </c>
    </row>
    <row r="954" spans="1:6">
      <c r="A954" s="46" t="s">
        <v>3725</v>
      </c>
      <c r="B954" s="46" t="s">
        <v>3706</v>
      </c>
      <c r="C954" s="46" t="s">
        <v>3725</v>
      </c>
      <c r="D954" s="1018" t="s">
        <v>3805</v>
      </c>
      <c r="E954" s="46" cm="1">
        <f t="array" ref="E954">teach_assign_mt1_fullt_ancilliary</f>
        <v>0</v>
      </c>
      <c r="F954" s="46" t="b">
        <v>1</v>
      </c>
    </row>
    <row r="955" spans="1:6">
      <c r="A955" s="46" t="s">
        <v>3726</v>
      </c>
      <c r="B955" s="46" t="s">
        <v>3706</v>
      </c>
      <c r="C955" s="46" t="s">
        <v>3726</v>
      </c>
      <c r="D955" s="1018" t="s">
        <v>3806</v>
      </c>
      <c r="E955" s="46" cm="1">
        <f t="array" ref="E955">teach_assign_t3_fullt_noancilliary</f>
        <v>0</v>
      </c>
      <c r="F955" s="46" t="b">
        <v>1</v>
      </c>
    </row>
    <row r="956" spans="1:6">
      <c r="A956" s="46" t="s">
        <v>3727</v>
      </c>
      <c r="B956" s="46" t="s">
        <v>3706</v>
      </c>
      <c r="C956" s="46" t="s">
        <v>3727</v>
      </c>
      <c r="D956" s="1018" t="s">
        <v>3807</v>
      </c>
      <c r="E956" s="46" cm="1">
        <f t="array" ref="E956">teach_assign_t3_fullt_ancilliary_addload</f>
        <v>0</v>
      </c>
      <c r="F956" s="46" t="b">
        <v>1</v>
      </c>
    </row>
    <row r="957" spans="1:6">
      <c r="A957" s="46" t="s">
        <v>3728</v>
      </c>
      <c r="B957" s="46" t="s">
        <v>3706</v>
      </c>
      <c r="C957" s="46" t="s">
        <v>3728</v>
      </c>
      <c r="D957" s="1018" t="s">
        <v>3808</v>
      </c>
      <c r="E957" s="46" cm="1">
        <f t="array" ref="E957">teach_assign_t3_part_ancilliary_200min</f>
        <v>0</v>
      </c>
      <c r="F957" s="46" t="b">
        <v>1</v>
      </c>
    </row>
    <row r="958" spans="1:6">
      <c r="A958" s="46" t="s">
        <v>3729</v>
      </c>
      <c r="B958" s="46" t="s">
        <v>3706</v>
      </c>
      <c r="C958" s="46" t="s">
        <v>3729</v>
      </c>
      <c r="D958" s="1018" t="s">
        <v>3809</v>
      </c>
      <c r="E958" s="46" cm="1">
        <f t="array" ref="E958">teach_assign_t3_part_ancilliary_less200min</f>
        <v>0</v>
      </c>
      <c r="F958" s="46" t="b">
        <v>1</v>
      </c>
    </row>
    <row r="959" spans="1:6">
      <c r="A959" s="46" t="s">
        <v>3730</v>
      </c>
      <c r="B959" s="46" t="s">
        <v>3706</v>
      </c>
      <c r="C959" s="46" t="s">
        <v>3730</v>
      </c>
      <c r="D959" s="1018" t="s">
        <v>3810</v>
      </c>
      <c r="E959" s="46" cm="1">
        <f t="array" ref="E959">teach_assign_t3_fullt_ancilliary</f>
        <v>0</v>
      </c>
      <c r="F959" s="46" t="b">
        <v>1</v>
      </c>
    </row>
    <row r="960" spans="1:6">
      <c r="A960" s="46" t="s">
        <v>3731</v>
      </c>
      <c r="B960" s="46" t="s">
        <v>3706</v>
      </c>
      <c r="C960" s="46" t="s">
        <v>3731</v>
      </c>
      <c r="D960" s="1018" t="s">
        <v>3811</v>
      </c>
      <c r="E960" s="46" cm="1">
        <f t="array" ref="E960">teach_assign_t2_fullt_noancilliary</f>
        <v>20</v>
      </c>
      <c r="F960" s="46" t="b">
        <v>1</v>
      </c>
    </row>
    <row r="961" spans="1:8">
      <c r="A961" s="46" t="s">
        <v>3732</v>
      </c>
      <c r="B961" s="46" t="s">
        <v>3706</v>
      </c>
      <c r="C961" s="46" t="s">
        <v>3732</v>
      </c>
      <c r="D961" s="1018" t="s">
        <v>3812</v>
      </c>
      <c r="E961" s="46" cm="1">
        <f t="array" ref="E961">teach_assign_t2_fullt_ancilliary_addload</f>
        <v>1</v>
      </c>
      <c r="F961" s="46" t="b">
        <v>1</v>
      </c>
    </row>
    <row r="962" spans="1:8">
      <c r="A962" s="46" t="s">
        <v>3733</v>
      </c>
      <c r="B962" s="46" t="s">
        <v>3706</v>
      </c>
      <c r="C962" s="46" t="s">
        <v>3733</v>
      </c>
      <c r="D962" s="1018" t="s">
        <v>3813</v>
      </c>
      <c r="E962" s="46" cm="1">
        <f t="array" ref="E962">teach_assign_t2_part_ancilliary_200min</f>
        <v>0</v>
      </c>
      <c r="F962" s="46" t="b">
        <v>1</v>
      </c>
    </row>
    <row r="963" spans="1:8">
      <c r="A963" s="46" t="s">
        <v>3734</v>
      </c>
      <c r="B963" s="46" t="s">
        <v>3706</v>
      </c>
      <c r="C963" s="46" t="s">
        <v>3734</v>
      </c>
      <c r="D963" s="1018" t="s">
        <v>3814</v>
      </c>
      <c r="E963" s="46" cm="1">
        <f t="array" ref="E963">teach_assign_t2_part_ancilliary_less200min</f>
        <v>0</v>
      </c>
      <c r="F963" s="46" t="b">
        <v>1</v>
      </c>
    </row>
    <row r="964" spans="1:8">
      <c r="A964" s="46" t="s">
        <v>3735</v>
      </c>
      <c r="B964" s="46" t="s">
        <v>3706</v>
      </c>
      <c r="C964" s="46" t="s">
        <v>3735</v>
      </c>
      <c r="D964" s="1018" t="s">
        <v>3815</v>
      </c>
      <c r="E964" s="46" cm="1">
        <f t="array" ref="E964">teach_assign_t2_fullt_ancilliary</f>
        <v>0</v>
      </c>
      <c r="F964" s="46" t="b">
        <v>1</v>
      </c>
    </row>
    <row r="965" spans="1:8">
      <c r="A965" s="46" t="s">
        <v>3736</v>
      </c>
      <c r="B965" s="46" t="s">
        <v>3706</v>
      </c>
      <c r="C965" s="46" t="s">
        <v>3736</v>
      </c>
      <c r="D965" s="1018" t="s">
        <v>3816</v>
      </c>
      <c r="E965" s="46" cm="1">
        <f t="array" ref="E965">teach_assign_t1_fullt_noancilliary</f>
        <v>7</v>
      </c>
      <c r="F965" s="46" t="b">
        <v>1</v>
      </c>
    </row>
    <row r="966" spans="1:8">
      <c r="A966" s="46" t="s">
        <v>3737</v>
      </c>
      <c r="B966" s="46" t="s">
        <v>3706</v>
      </c>
      <c r="C966" s="46" t="s">
        <v>3737</v>
      </c>
      <c r="D966" s="1018" t="s">
        <v>3817</v>
      </c>
      <c r="E966" s="46" cm="1">
        <f t="array" ref="E966">teach_assign_t1_fullt_ancilliary_addload</f>
        <v>0</v>
      </c>
      <c r="F966" s="46" t="b">
        <v>1</v>
      </c>
    </row>
    <row r="967" spans="1:8">
      <c r="A967" s="46" t="s">
        <v>3738</v>
      </c>
      <c r="B967" s="46" t="s">
        <v>3706</v>
      </c>
      <c r="C967" s="46" t="s">
        <v>3738</v>
      </c>
      <c r="D967" s="1018" t="s">
        <v>3818</v>
      </c>
      <c r="E967" s="46" cm="1">
        <f t="array" ref="E967">teach_assign_t1_part_ancilliary_200min</f>
        <v>0</v>
      </c>
      <c r="F967" s="46" t="b">
        <v>1</v>
      </c>
    </row>
    <row r="968" spans="1:8">
      <c r="A968" s="46" t="s">
        <v>3739</v>
      </c>
      <c r="B968" s="46" t="s">
        <v>3706</v>
      </c>
      <c r="C968" s="46" t="s">
        <v>3739</v>
      </c>
      <c r="D968" s="1018" t="s">
        <v>3819</v>
      </c>
      <c r="E968" s="46" cm="1">
        <f t="array" ref="E968">teach_assign_t1_part_ancilliary_less200min</f>
        <v>0</v>
      </c>
      <c r="F968" s="46" t="b">
        <v>1</v>
      </c>
    </row>
    <row r="969" spans="1:8">
      <c r="A969" s="46" t="s">
        <v>3740</v>
      </c>
      <c r="B969" s="46" t="s">
        <v>3706</v>
      </c>
      <c r="C969" s="46" t="s">
        <v>3740</v>
      </c>
      <c r="D969" s="1018" t="s">
        <v>3820</v>
      </c>
      <c r="E969" s="46" cm="1">
        <f t="array" ref="E969">teach_assign_t1_fullt_ancilliary</f>
        <v>0</v>
      </c>
      <c r="F969" s="46" t="b">
        <v>1</v>
      </c>
    </row>
    <row r="970" spans="1:8">
      <c r="A970" s="46" t="s">
        <v>3741</v>
      </c>
      <c r="B970" s="46" t="s">
        <v>3706</v>
      </c>
      <c r="C970" s="46" t="s">
        <v>3741</v>
      </c>
      <c r="D970" s="1018" t="s">
        <v>3821</v>
      </c>
      <c r="E970" s="46" cm="1">
        <f t="array" ref="E970">teach_assign_sst1_fullt_noancilliary</f>
        <v>1</v>
      </c>
      <c r="F970" s="46" t="b">
        <v>1</v>
      </c>
    </row>
    <row r="971" spans="1:8">
      <c r="A971" s="46" t="s">
        <v>3742</v>
      </c>
      <c r="B971" s="46" t="s">
        <v>3706</v>
      </c>
      <c r="C971" s="46" t="s">
        <v>3742</v>
      </c>
      <c r="D971" s="1018" t="s">
        <v>3822</v>
      </c>
      <c r="E971" s="46" cm="1">
        <f t="array" ref="E971">teach_assign_sst1_fullt_ancilliary_addload</f>
        <v>0</v>
      </c>
      <c r="F971" s="46" t="b">
        <v>1</v>
      </c>
    </row>
    <row r="972" spans="1:8">
      <c r="A972" s="46" t="s">
        <v>3743</v>
      </c>
      <c r="B972" s="46" t="s">
        <v>3706</v>
      </c>
      <c r="C972" s="46" t="s">
        <v>3743</v>
      </c>
      <c r="D972" s="1018" t="s">
        <v>3823</v>
      </c>
      <c r="E972" s="46" cm="1">
        <f t="array" ref="E972">teach_assign_sst1_part_ancilliary_200min</f>
        <v>0</v>
      </c>
      <c r="F972" s="46" t="b">
        <v>1</v>
      </c>
    </row>
    <row r="973" spans="1:8">
      <c r="A973" s="46" t="s">
        <v>3744</v>
      </c>
      <c r="B973" s="46" t="s">
        <v>3706</v>
      </c>
      <c r="C973" s="46" t="s">
        <v>3744</v>
      </c>
      <c r="D973" s="1018" t="s">
        <v>3824</v>
      </c>
      <c r="E973" s="46" cm="1">
        <f t="array" ref="E973">teach_assign_sst1_part_ancilliary_less200min</f>
        <v>0</v>
      </c>
      <c r="F973" s="46" t="b">
        <v>1</v>
      </c>
    </row>
    <row r="974" spans="1:8" ht="16.5" thickBot="1">
      <c r="A974" s="479" t="s">
        <v>3745</v>
      </c>
      <c r="B974" s="479" t="s">
        <v>3706</v>
      </c>
      <c r="C974" s="479" t="s">
        <v>3745</v>
      </c>
      <c r="D974" s="1019" t="s">
        <v>3825</v>
      </c>
      <c r="E974" s="479" cm="1">
        <f t="array" ref="E974">teach_assign_sst1_fullt_ancilliary</f>
        <v>0</v>
      </c>
      <c r="F974" s="479" t="b">
        <v>1</v>
      </c>
      <c r="G974" s="479"/>
      <c r="H974" s="479"/>
    </row>
    <row r="975" spans="1:8" ht="16.5" thickTop="1">
      <c r="A975" s="478" t="s">
        <v>3826</v>
      </c>
      <c r="B975" s="478" t="s">
        <v>3827</v>
      </c>
      <c r="C975" s="478" t="s">
        <v>3826</v>
      </c>
      <c r="D975" s="1018" t="s">
        <v>3885</v>
      </c>
      <c r="E975" s="478" cm="1">
        <f t="array" ref="E975">teach_train_int3_m</f>
        <v>0</v>
      </c>
      <c r="F975" s="46" t="b">
        <v>1</v>
      </c>
    </row>
    <row r="976" spans="1:8">
      <c r="A976" s="478" t="s">
        <v>3828</v>
      </c>
      <c r="B976" s="478" t="s">
        <v>3827</v>
      </c>
      <c r="C976" s="478" t="s">
        <v>3828</v>
      </c>
      <c r="D976" s="1018" t="s">
        <v>3886</v>
      </c>
      <c r="E976" s="478" cm="1">
        <f t="array" ref="E976">teach_train_int3_f</f>
        <v>0</v>
      </c>
      <c r="F976" s="46" t="b">
        <v>1</v>
      </c>
    </row>
    <row r="977" spans="1:6">
      <c r="A977" s="478" t="s">
        <v>3829</v>
      </c>
      <c r="B977" s="478" t="s">
        <v>3827</v>
      </c>
      <c r="C977" s="478" t="s">
        <v>3829</v>
      </c>
      <c r="D977" s="1018" t="s">
        <v>3887</v>
      </c>
      <c r="E977" s="478" cm="1">
        <f t="array" ref="E977">teach_train_int2_m</f>
        <v>0</v>
      </c>
      <c r="F977" s="46" t="b">
        <v>1</v>
      </c>
    </row>
    <row r="978" spans="1:6">
      <c r="A978" s="478" t="s">
        <v>3830</v>
      </c>
      <c r="B978" s="478" t="s">
        <v>3827</v>
      </c>
      <c r="C978" s="478" t="s">
        <v>3830</v>
      </c>
      <c r="D978" s="1018" t="s">
        <v>3888</v>
      </c>
      <c r="E978" s="478" cm="1">
        <f t="array" ref="E978">teach_train_int2_f</f>
        <v>0</v>
      </c>
      <c r="F978" s="46" t="b">
        <v>1</v>
      </c>
    </row>
    <row r="979" spans="1:6">
      <c r="A979" s="478" t="s">
        <v>3831</v>
      </c>
      <c r="B979" s="478" t="s">
        <v>3827</v>
      </c>
      <c r="C979" s="478" t="s">
        <v>3831</v>
      </c>
      <c r="D979" s="1018" t="s">
        <v>3889</v>
      </c>
      <c r="E979" s="478" cm="1">
        <f t="array" ref="E979">teach_train_int1_m</f>
        <v>0</v>
      </c>
      <c r="F979" s="46" t="b">
        <v>1</v>
      </c>
    </row>
    <row r="980" spans="1:6">
      <c r="A980" s="478" t="s">
        <v>3832</v>
      </c>
      <c r="B980" s="478" t="s">
        <v>3827</v>
      </c>
      <c r="C980" s="478" t="s">
        <v>3832</v>
      </c>
      <c r="D980" s="1018" t="s">
        <v>3890</v>
      </c>
      <c r="E980" s="478" cm="1">
        <f t="array" ref="E980">teach_train_int1_f</f>
        <v>0</v>
      </c>
      <c r="F980" s="46" t="b">
        <v>1</v>
      </c>
    </row>
    <row r="981" spans="1:6">
      <c r="A981" s="478" t="s">
        <v>3833</v>
      </c>
      <c r="B981" s="478" t="s">
        <v>3827</v>
      </c>
      <c r="C981" s="478" t="s">
        <v>3833</v>
      </c>
      <c r="D981" s="1018" t="s">
        <v>3891</v>
      </c>
      <c r="E981" s="478" cm="1">
        <f t="array" ref="E981">teach_train_mt4_m</f>
        <v>0</v>
      </c>
      <c r="F981" s="46" t="b">
        <v>1</v>
      </c>
    </row>
    <row r="982" spans="1:6">
      <c r="A982" s="478" t="s">
        <v>3834</v>
      </c>
      <c r="B982" s="478" t="s">
        <v>3827</v>
      </c>
      <c r="C982" s="478" t="s">
        <v>3834</v>
      </c>
      <c r="D982" s="1018" t="s">
        <v>3892</v>
      </c>
      <c r="E982" s="478" cm="1">
        <f t="array" ref="E982">teach_train_mt4_f</f>
        <v>0</v>
      </c>
      <c r="F982" s="46" t="b">
        <v>1</v>
      </c>
    </row>
    <row r="983" spans="1:6">
      <c r="A983" s="478" t="s">
        <v>3835</v>
      </c>
      <c r="B983" s="478" t="s">
        <v>3827</v>
      </c>
      <c r="C983" s="478" t="s">
        <v>3835</v>
      </c>
      <c r="D983" s="1018" t="s">
        <v>3893</v>
      </c>
      <c r="E983" s="478" cm="1">
        <f t="array" ref="E983">teach_train_mt3_m</f>
        <v>0</v>
      </c>
      <c r="F983" s="46" t="b">
        <v>1</v>
      </c>
    </row>
    <row r="984" spans="1:6">
      <c r="A984" s="478" t="s">
        <v>3836</v>
      </c>
      <c r="B984" s="478" t="s">
        <v>3827</v>
      </c>
      <c r="C984" s="478" t="s">
        <v>3836</v>
      </c>
      <c r="D984" s="1018" t="s">
        <v>3894</v>
      </c>
      <c r="E984" s="478" cm="1">
        <f t="array" ref="E984">teach_train_mt3_f</f>
        <v>0</v>
      </c>
      <c r="F984" s="46" t="b">
        <v>1</v>
      </c>
    </row>
    <row r="985" spans="1:6">
      <c r="A985" s="478" t="s">
        <v>3837</v>
      </c>
      <c r="B985" s="478" t="s">
        <v>3827</v>
      </c>
      <c r="C985" s="478" t="s">
        <v>3837</v>
      </c>
      <c r="D985" s="1018" t="s">
        <v>3895</v>
      </c>
      <c r="E985" s="478" cm="1">
        <f t="array" ref="E985">teach_train_mt2_m</f>
        <v>0</v>
      </c>
      <c r="F985" s="46" t="b">
        <v>1</v>
      </c>
    </row>
    <row r="986" spans="1:6">
      <c r="A986" s="478" t="s">
        <v>3838</v>
      </c>
      <c r="B986" s="478" t="s">
        <v>3827</v>
      </c>
      <c r="C986" s="478" t="s">
        <v>3838</v>
      </c>
      <c r="D986" s="1018" t="s">
        <v>3896</v>
      </c>
      <c r="E986" s="478" cm="1">
        <f t="array" ref="E986">teach_train_mt2_f</f>
        <v>0</v>
      </c>
      <c r="F986" s="46" t="b">
        <v>1</v>
      </c>
    </row>
    <row r="987" spans="1:6">
      <c r="A987" s="478" t="s">
        <v>3839</v>
      </c>
      <c r="B987" s="478" t="s">
        <v>3827</v>
      </c>
      <c r="C987" s="478" t="s">
        <v>3839</v>
      </c>
      <c r="D987" s="1018" t="s">
        <v>3897</v>
      </c>
      <c r="E987" s="478" cm="1">
        <f t="array" ref="E987">teach_train_mt1_m</f>
        <v>0</v>
      </c>
      <c r="F987" s="46" t="b">
        <v>1</v>
      </c>
    </row>
    <row r="988" spans="1:6">
      <c r="A988" s="478" t="s">
        <v>3840</v>
      </c>
      <c r="B988" s="478" t="s">
        <v>3827</v>
      </c>
      <c r="C988" s="478" t="s">
        <v>3840</v>
      </c>
      <c r="D988" s="1018" t="s">
        <v>3898</v>
      </c>
      <c r="E988" s="478" cm="1">
        <f t="array" ref="E988">teach_train_mt1_f</f>
        <v>0</v>
      </c>
      <c r="F988" s="46" t="b">
        <v>1</v>
      </c>
    </row>
    <row r="989" spans="1:6">
      <c r="A989" s="478" t="s">
        <v>3841</v>
      </c>
      <c r="B989" s="478" t="s">
        <v>3827</v>
      </c>
      <c r="C989" s="478" t="s">
        <v>3841</v>
      </c>
      <c r="D989" s="1018" t="s">
        <v>3899</v>
      </c>
      <c r="E989" s="478" cm="1">
        <f t="array" ref="E989">teach_train_t3_m</f>
        <v>0</v>
      </c>
      <c r="F989" s="46" t="b">
        <v>1</v>
      </c>
    </row>
    <row r="990" spans="1:6">
      <c r="A990" s="478" t="s">
        <v>3842</v>
      </c>
      <c r="B990" s="478" t="s">
        <v>3827</v>
      </c>
      <c r="C990" s="478" t="s">
        <v>3842</v>
      </c>
      <c r="D990" s="1018" t="s">
        <v>3900</v>
      </c>
      <c r="E990" s="478" cm="1">
        <f t="array" ref="E990">teach_train_t3_f</f>
        <v>0</v>
      </c>
      <c r="F990" s="46" t="b">
        <v>1</v>
      </c>
    </row>
    <row r="991" spans="1:6">
      <c r="A991" s="478" t="s">
        <v>3843</v>
      </c>
      <c r="B991" s="478" t="s">
        <v>3827</v>
      </c>
      <c r="C991" s="478" t="s">
        <v>3843</v>
      </c>
      <c r="D991" s="1018" t="s">
        <v>3901</v>
      </c>
      <c r="E991" s="478" cm="1">
        <f t="array" ref="E991">teach_train_t2_m</f>
        <v>7</v>
      </c>
      <c r="F991" s="46" t="b">
        <v>1</v>
      </c>
    </row>
    <row r="992" spans="1:6">
      <c r="A992" s="478" t="s">
        <v>3844</v>
      </c>
      <c r="B992" s="478" t="s">
        <v>3827</v>
      </c>
      <c r="C992" s="478" t="s">
        <v>3844</v>
      </c>
      <c r="D992" s="1018" t="s">
        <v>3902</v>
      </c>
      <c r="E992" s="478" cm="1">
        <f t="array" ref="E992">teach_train_t2_f</f>
        <v>14</v>
      </c>
      <c r="F992" s="46" t="b">
        <v>1</v>
      </c>
    </row>
    <row r="993" spans="1:6">
      <c r="A993" s="478" t="s">
        <v>3845</v>
      </c>
      <c r="B993" s="478" t="s">
        <v>3827</v>
      </c>
      <c r="C993" s="478" t="s">
        <v>3845</v>
      </c>
      <c r="D993" s="1018" t="s">
        <v>3903</v>
      </c>
      <c r="E993" s="478" cm="1">
        <f t="array" ref="E993">teach_train_t1_m</f>
        <v>4</v>
      </c>
      <c r="F993" s="46" t="b">
        <v>1</v>
      </c>
    </row>
    <row r="994" spans="1:6">
      <c r="A994" s="478" t="s">
        <v>3846</v>
      </c>
      <c r="B994" s="478" t="s">
        <v>3827</v>
      </c>
      <c r="C994" s="478" t="s">
        <v>3846</v>
      </c>
      <c r="D994" s="1018" t="s">
        <v>3904</v>
      </c>
      <c r="E994" s="478" cm="1">
        <f t="array" ref="E994">teach_train_t1_f</f>
        <v>3</v>
      </c>
      <c r="F994" s="46" t="b">
        <v>1</v>
      </c>
    </row>
    <row r="995" spans="1:6">
      <c r="A995" s="478" t="s">
        <v>3847</v>
      </c>
      <c r="B995" s="478" t="s">
        <v>3827</v>
      </c>
      <c r="C995" s="478" t="s">
        <v>3847</v>
      </c>
      <c r="D995" s="1018" t="s">
        <v>3905</v>
      </c>
      <c r="E995" s="478" cm="1">
        <f t="array" ref="E995">teach_train_sst1_m</f>
        <v>0</v>
      </c>
      <c r="F995" s="46" t="b">
        <v>1</v>
      </c>
    </row>
    <row r="996" spans="1:6">
      <c r="A996" s="478" t="s">
        <v>3848</v>
      </c>
      <c r="B996" s="478" t="s">
        <v>3827</v>
      </c>
      <c r="C996" s="478" t="s">
        <v>3848</v>
      </c>
      <c r="D996" s="1018" t="s">
        <v>3906</v>
      </c>
      <c r="E996" s="478" cm="1">
        <f t="array" ref="E996">teach_train_sst1_f</f>
        <v>1</v>
      </c>
      <c r="F996" s="46" t="b">
        <v>1</v>
      </c>
    </row>
    <row r="997" spans="1:6">
      <c r="A997" s="478" t="s">
        <v>3849</v>
      </c>
      <c r="B997" s="478" t="s">
        <v>3827</v>
      </c>
      <c r="C997" s="478" t="s">
        <v>3849</v>
      </c>
      <c r="D997" s="1018" t="s">
        <v>3907</v>
      </c>
      <c r="E997" s="478" cm="1">
        <f t="array" ref="E997">teach_train_sped5_m</f>
        <v>0</v>
      </c>
      <c r="F997" s="46" t="b">
        <v>1</v>
      </c>
    </row>
    <row r="998" spans="1:6">
      <c r="A998" s="478" t="s">
        <v>3850</v>
      </c>
      <c r="B998" s="478" t="s">
        <v>3827</v>
      </c>
      <c r="C998" s="478" t="s">
        <v>3850</v>
      </c>
      <c r="D998" s="1018" t="s">
        <v>3908</v>
      </c>
      <c r="E998" s="478" cm="1">
        <f t="array" ref="E998">teach_train_sped5_f</f>
        <v>0</v>
      </c>
      <c r="F998" s="46" t="b">
        <v>1</v>
      </c>
    </row>
    <row r="999" spans="1:6">
      <c r="A999" s="478" t="s">
        <v>3851</v>
      </c>
      <c r="B999" s="478" t="s">
        <v>3827</v>
      </c>
      <c r="C999" s="478" t="s">
        <v>3851</v>
      </c>
      <c r="D999" s="1018" t="s">
        <v>3909</v>
      </c>
      <c r="E999" s="478" cm="1">
        <f t="array" ref="E999">teach_train_sped4_m</f>
        <v>0</v>
      </c>
      <c r="F999" s="46" t="b">
        <v>1</v>
      </c>
    </row>
    <row r="1000" spans="1:6">
      <c r="A1000" s="478" t="s">
        <v>3852</v>
      </c>
      <c r="B1000" s="478" t="s">
        <v>3827</v>
      </c>
      <c r="C1000" s="478" t="s">
        <v>3852</v>
      </c>
      <c r="D1000" s="1018" t="s">
        <v>3910</v>
      </c>
      <c r="E1000" s="478" cm="1">
        <f t="array" ref="E1000">teach_train_sped4_f</f>
        <v>0</v>
      </c>
      <c r="F1000" s="46" t="b">
        <v>1</v>
      </c>
    </row>
    <row r="1001" spans="1:6">
      <c r="A1001" s="478" t="s">
        <v>3853</v>
      </c>
      <c r="B1001" s="478" t="s">
        <v>3827</v>
      </c>
      <c r="C1001" s="478" t="s">
        <v>3853</v>
      </c>
      <c r="D1001" s="1018" t="s">
        <v>3911</v>
      </c>
      <c r="E1001" s="478" cm="1">
        <f t="array" ref="E1001">teach_train_sped3_m</f>
        <v>0</v>
      </c>
      <c r="F1001" s="46" t="b">
        <v>1</v>
      </c>
    </row>
    <row r="1002" spans="1:6">
      <c r="A1002" s="478" t="s">
        <v>3854</v>
      </c>
      <c r="B1002" s="478" t="s">
        <v>3827</v>
      </c>
      <c r="C1002" s="478" t="s">
        <v>3854</v>
      </c>
      <c r="D1002" s="1018" t="s">
        <v>3912</v>
      </c>
      <c r="E1002" s="478" cm="1">
        <f t="array" ref="E1002">teach_train_sped3_f</f>
        <v>0</v>
      </c>
      <c r="F1002" s="46" t="b">
        <v>1</v>
      </c>
    </row>
    <row r="1003" spans="1:6">
      <c r="A1003" s="478" t="s">
        <v>3855</v>
      </c>
      <c r="B1003" s="478" t="s">
        <v>3827</v>
      </c>
      <c r="C1003" s="478" t="s">
        <v>3855</v>
      </c>
      <c r="D1003" s="1018" t="s">
        <v>3913</v>
      </c>
      <c r="E1003" s="478" cm="1">
        <f t="array" ref="E1003">teach_train_sped2_m</f>
        <v>0</v>
      </c>
      <c r="F1003" s="46" t="b">
        <v>1</v>
      </c>
    </row>
    <row r="1004" spans="1:6">
      <c r="A1004" s="478" t="s">
        <v>3856</v>
      </c>
      <c r="B1004" s="478" t="s">
        <v>3827</v>
      </c>
      <c r="C1004" s="478" t="s">
        <v>3856</v>
      </c>
      <c r="D1004" s="1018" t="s">
        <v>3914</v>
      </c>
      <c r="E1004" s="478" cm="1">
        <f t="array" ref="E1004">teach_train_sped2_f</f>
        <v>0</v>
      </c>
      <c r="F1004" s="46" t="b">
        <v>1</v>
      </c>
    </row>
    <row r="1005" spans="1:6">
      <c r="A1005" s="478" t="s">
        <v>3857</v>
      </c>
      <c r="B1005" s="478" t="s">
        <v>3827</v>
      </c>
      <c r="C1005" s="478" t="s">
        <v>3857</v>
      </c>
      <c r="D1005" s="1018" t="s">
        <v>3915</v>
      </c>
      <c r="E1005" s="478" cm="1">
        <f t="array" ref="E1005">teach_train_sped1_m</f>
        <v>0</v>
      </c>
      <c r="F1005" s="46" t="b">
        <v>1</v>
      </c>
    </row>
    <row r="1006" spans="1:6">
      <c r="A1006" s="478" t="s">
        <v>3858</v>
      </c>
      <c r="B1006" s="478" t="s">
        <v>3827</v>
      </c>
      <c r="C1006" s="478" t="s">
        <v>3858</v>
      </c>
      <c r="D1006" s="1018" t="s">
        <v>3916</v>
      </c>
      <c r="E1006" s="478" cm="1">
        <f t="array" ref="E1006">teach_train_sped1_f</f>
        <v>0</v>
      </c>
      <c r="F1006" s="46" t="b">
        <v>1</v>
      </c>
    </row>
    <row r="1007" spans="1:6">
      <c r="A1007" s="478" t="s">
        <v>3859</v>
      </c>
      <c r="B1007" s="478" t="s">
        <v>3860</v>
      </c>
      <c r="C1007" s="478" t="s">
        <v>3859</v>
      </c>
      <c r="D1007" s="1018" t="s">
        <v>3917</v>
      </c>
      <c r="E1007" s="478" cm="1">
        <f t="array" ref="E1007">teach_train_ict_intg_m</f>
        <v>11</v>
      </c>
      <c r="F1007" s="46" t="b">
        <v>1</v>
      </c>
    </row>
    <row r="1008" spans="1:6">
      <c r="A1008" s="478" t="s">
        <v>3861</v>
      </c>
      <c r="B1008" s="478" t="s">
        <v>3860</v>
      </c>
      <c r="C1008" s="478" t="s">
        <v>3861</v>
      </c>
      <c r="D1008" s="1018" t="s">
        <v>3918</v>
      </c>
      <c r="E1008" s="478" cm="1">
        <f t="array" ref="E1008">teach_train_ict_intg_f</f>
        <v>18</v>
      </c>
      <c r="F1008" s="46" t="b">
        <v>1</v>
      </c>
    </row>
    <row r="1009" spans="1:6">
      <c r="A1009" s="478" t="s">
        <v>3862</v>
      </c>
      <c r="B1009" s="478" t="s">
        <v>3860</v>
      </c>
      <c r="C1009" s="478" t="s">
        <v>3862</v>
      </c>
      <c r="D1009" s="1018" t="s">
        <v>3919</v>
      </c>
      <c r="E1009" s="478" cm="1">
        <f t="array" ref="E1009">teach_train_ict_lit_m</f>
        <v>0</v>
      </c>
      <c r="F1009" s="46" t="b">
        <v>1</v>
      </c>
    </row>
    <row r="1010" spans="1:6">
      <c r="A1010" s="478" t="s">
        <v>3863</v>
      </c>
      <c r="B1010" s="478" t="s">
        <v>3860</v>
      </c>
      <c r="C1010" s="478" t="s">
        <v>3863</v>
      </c>
      <c r="D1010" s="1018" t="s">
        <v>3920</v>
      </c>
      <c r="E1010" s="478" cm="1">
        <f t="array" ref="E1010">teach_train_ict_lit_f</f>
        <v>0</v>
      </c>
      <c r="F1010" s="46" t="b">
        <v>1</v>
      </c>
    </row>
    <row r="1011" spans="1:6">
      <c r="A1011" s="478" t="s">
        <v>3864</v>
      </c>
      <c r="B1011" s="478" t="s">
        <v>3860</v>
      </c>
      <c r="C1011" s="478" t="s">
        <v>3864</v>
      </c>
      <c r="D1011" s="478" t="s">
        <v>3921</v>
      </c>
      <c r="E1011" s="478" cm="1">
        <f t="array" ref="E1011">teach_train_ict_sw_m</f>
        <v>0</v>
      </c>
      <c r="F1011" s="46" t="b">
        <v>1</v>
      </c>
    </row>
    <row r="1012" spans="1:6">
      <c r="A1012" s="478" t="s">
        <v>3865</v>
      </c>
      <c r="B1012" s="478" t="s">
        <v>3860</v>
      </c>
      <c r="C1012" s="478" t="s">
        <v>3865</v>
      </c>
      <c r="D1012" s="478" t="s">
        <v>3922</v>
      </c>
      <c r="E1012" s="478" cm="1">
        <f t="array" ref="E1012">teach_train_ict_sw_f</f>
        <v>0</v>
      </c>
      <c r="F1012" s="46" t="b">
        <v>1</v>
      </c>
    </row>
    <row r="1013" spans="1:6">
      <c r="A1013" s="478" t="s">
        <v>3866</v>
      </c>
      <c r="B1013" s="478" t="s">
        <v>3860</v>
      </c>
      <c r="C1013" s="478" t="s">
        <v>3866</v>
      </c>
      <c r="D1013" s="478" t="s">
        <v>3923</v>
      </c>
      <c r="E1013" s="478" cm="1">
        <f t="array" ref="E1013">teach_train_ict_hw_m</f>
        <v>0</v>
      </c>
      <c r="F1013" s="46" t="b">
        <v>1</v>
      </c>
    </row>
    <row r="1014" spans="1:6">
      <c r="A1014" s="478" t="s">
        <v>3867</v>
      </c>
      <c r="B1014" s="478" t="s">
        <v>3860</v>
      </c>
      <c r="C1014" s="478" t="s">
        <v>3867</v>
      </c>
      <c r="D1014" s="478" t="s">
        <v>3924</v>
      </c>
      <c r="E1014" s="478" cm="1">
        <f t="array" ref="E1014">teach_train_ict_hw_f</f>
        <v>0</v>
      </c>
      <c r="F1014" s="46" t="b">
        <v>1</v>
      </c>
    </row>
    <row r="1015" spans="1:6">
      <c r="A1015" s="478" t="s">
        <v>3868</v>
      </c>
      <c r="B1015" s="478" t="s">
        <v>3860</v>
      </c>
      <c r="C1015" s="478" t="s">
        <v>3868</v>
      </c>
      <c r="D1015" s="478" t="s">
        <v>3925</v>
      </c>
      <c r="E1015" s="478" cm="1">
        <f t="array" ref="E1015">teach_train_ict_others_m</f>
        <v>0</v>
      </c>
      <c r="F1015" s="46" t="b">
        <v>1</v>
      </c>
    </row>
    <row r="1016" spans="1:6">
      <c r="A1016" s="478" t="s">
        <v>3869</v>
      </c>
      <c r="B1016" s="478" t="s">
        <v>3860</v>
      </c>
      <c r="C1016" s="478" t="s">
        <v>3869</v>
      </c>
      <c r="D1016" s="478" t="s">
        <v>3926</v>
      </c>
      <c r="E1016" s="478" cm="1">
        <f t="array" ref="E1016">teach_train_ict_others_f</f>
        <v>0</v>
      </c>
      <c r="F1016" s="46" t="b">
        <v>1</v>
      </c>
    </row>
    <row r="1017" spans="1:6">
      <c r="A1017" s="478" t="s">
        <v>3870</v>
      </c>
      <c r="B1017" s="478" t="s">
        <v>3871</v>
      </c>
      <c r="C1017" s="478" t="s">
        <v>3870</v>
      </c>
      <c r="D1017" s="478" t="s">
        <v>3927</v>
      </c>
      <c r="E1017" s="478" cm="1">
        <f t="array" ref="E1017">teach_train_ped_const_m</f>
        <v>0</v>
      </c>
      <c r="F1017" s="46" t="b">
        <v>1</v>
      </c>
    </row>
    <row r="1018" spans="1:6">
      <c r="A1018" s="478" t="s">
        <v>3872</v>
      </c>
      <c r="B1018" s="478" t="s">
        <v>3871</v>
      </c>
      <c r="C1018" s="478" t="s">
        <v>3872</v>
      </c>
      <c r="D1018" s="478" t="s">
        <v>3928</v>
      </c>
      <c r="E1018" s="478" cm="1">
        <f t="array" ref="E1018">teach_train_ped_const_f</f>
        <v>0</v>
      </c>
      <c r="F1018" s="46" t="b">
        <v>1</v>
      </c>
    </row>
    <row r="1019" spans="1:6">
      <c r="A1019" s="478" t="s">
        <v>3873</v>
      </c>
      <c r="B1019" s="478" t="s">
        <v>3871</v>
      </c>
      <c r="C1019" s="478" t="s">
        <v>3873</v>
      </c>
      <c r="D1019" s="478" t="s">
        <v>3929</v>
      </c>
      <c r="E1019" s="478" cm="1">
        <f t="array" ref="E1019">teach_train_ped_inq_based_m</f>
        <v>11</v>
      </c>
      <c r="F1019" s="46" t="b">
        <v>1</v>
      </c>
    </row>
    <row r="1020" spans="1:6">
      <c r="A1020" s="478" t="s">
        <v>3874</v>
      </c>
      <c r="B1020" s="478" t="s">
        <v>3871</v>
      </c>
      <c r="C1020" s="478" t="s">
        <v>3874</v>
      </c>
      <c r="D1020" s="478" t="s">
        <v>3930</v>
      </c>
      <c r="E1020" s="478" cm="1">
        <f t="array" ref="E1020">teach_train_ped_inq_based_f</f>
        <v>18</v>
      </c>
      <c r="F1020" s="46" t="b">
        <v>1</v>
      </c>
    </row>
    <row r="1021" spans="1:6">
      <c r="A1021" s="478" t="s">
        <v>3875</v>
      </c>
      <c r="B1021" s="478" t="s">
        <v>3871</v>
      </c>
      <c r="C1021" s="478" t="s">
        <v>3875</v>
      </c>
      <c r="D1021" s="478" t="s">
        <v>3931</v>
      </c>
      <c r="E1021" s="478" cm="1">
        <f t="array" ref="E1021">teach_train_ped_ref_m</f>
        <v>0</v>
      </c>
      <c r="F1021" s="46" t="b">
        <v>1</v>
      </c>
    </row>
    <row r="1022" spans="1:6">
      <c r="A1022" s="478" t="s">
        <v>3876</v>
      </c>
      <c r="B1022" s="478" t="s">
        <v>3871</v>
      </c>
      <c r="C1022" s="478" t="s">
        <v>3876</v>
      </c>
      <c r="D1022" s="478" t="s">
        <v>3932</v>
      </c>
      <c r="E1022" s="478" cm="1">
        <f t="array" ref="E1022">teach_train_ped_ref_f</f>
        <v>0</v>
      </c>
      <c r="F1022" s="46" t="b">
        <v>1</v>
      </c>
    </row>
    <row r="1023" spans="1:6">
      <c r="A1023" s="478" t="s">
        <v>3877</v>
      </c>
      <c r="B1023" s="478" t="s">
        <v>3871</v>
      </c>
      <c r="C1023" s="478" t="s">
        <v>3877</v>
      </c>
      <c r="D1023" s="478" t="s">
        <v>3933</v>
      </c>
      <c r="E1023" s="478" cm="1">
        <f t="array" ref="E1023">teach_train_ped_collab_m</f>
        <v>0</v>
      </c>
      <c r="F1023" s="46" t="b">
        <v>1</v>
      </c>
    </row>
    <row r="1024" spans="1:6">
      <c r="A1024" s="478" t="s">
        <v>3878</v>
      </c>
      <c r="B1024" s="478" t="s">
        <v>3871</v>
      </c>
      <c r="C1024" s="478" t="s">
        <v>3878</v>
      </c>
      <c r="D1024" s="478" t="s">
        <v>3934</v>
      </c>
      <c r="E1024" s="478" cm="1">
        <f t="array" ref="E1024">teach_train_ped_collab_f</f>
        <v>0</v>
      </c>
      <c r="F1024" s="46" t="b">
        <v>1</v>
      </c>
    </row>
    <row r="1025" spans="1:8">
      <c r="A1025" s="478" t="s">
        <v>3879</v>
      </c>
      <c r="B1025" s="478" t="s">
        <v>3871</v>
      </c>
      <c r="C1025" s="478" t="s">
        <v>3879</v>
      </c>
      <c r="D1025" s="478" t="s">
        <v>3935</v>
      </c>
      <c r="E1025" s="478" cm="1">
        <f t="array" ref="E1025">teach_train_ped_integ_m</f>
        <v>0</v>
      </c>
      <c r="F1025" s="46" t="b">
        <v>1</v>
      </c>
    </row>
    <row r="1026" spans="1:8">
      <c r="A1026" s="478" t="s">
        <v>3880</v>
      </c>
      <c r="B1026" s="478" t="s">
        <v>3871</v>
      </c>
      <c r="C1026" s="478" t="s">
        <v>3880</v>
      </c>
      <c r="D1026" s="478" t="s">
        <v>3936</v>
      </c>
      <c r="E1026" s="478" cm="1">
        <f t="array" ref="E1026">teach_train_ped_integ_f</f>
        <v>0</v>
      </c>
      <c r="F1026" s="46" t="b">
        <v>1</v>
      </c>
    </row>
    <row r="1027" spans="1:8">
      <c r="A1027" s="478" t="s">
        <v>3881</v>
      </c>
      <c r="B1027" s="478" t="s">
        <v>3871</v>
      </c>
      <c r="C1027" s="478" t="s">
        <v>3881</v>
      </c>
      <c r="D1027" s="478" t="s">
        <v>3937</v>
      </c>
      <c r="E1027" s="478" cm="1">
        <f t="array" ref="E1027">teach_train_ped_inc_educ_m</f>
        <v>0</v>
      </c>
      <c r="F1027" s="46" t="b">
        <v>1</v>
      </c>
    </row>
    <row r="1028" spans="1:8">
      <c r="A1028" s="478" t="s">
        <v>3882</v>
      </c>
      <c r="B1028" s="478" t="s">
        <v>3871</v>
      </c>
      <c r="C1028" s="478" t="s">
        <v>3882</v>
      </c>
      <c r="D1028" s="478" t="s">
        <v>3938</v>
      </c>
      <c r="E1028" s="478" cm="1">
        <f t="array" ref="E1028">teach_train_ped_inc_educ_f</f>
        <v>0</v>
      </c>
      <c r="F1028" s="46" t="b">
        <v>1</v>
      </c>
    </row>
    <row r="1029" spans="1:8">
      <c r="A1029" s="478" t="s">
        <v>3883</v>
      </c>
      <c r="B1029" s="478" t="s">
        <v>3871</v>
      </c>
      <c r="C1029" s="478" t="s">
        <v>3883</v>
      </c>
      <c r="D1029" s="478" t="s">
        <v>3939</v>
      </c>
      <c r="E1029" s="478" cm="1">
        <f t="array" ref="E1029">teach_train_ped_others_m</f>
        <v>0</v>
      </c>
      <c r="F1029" s="46" t="b">
        <v>1</v>
      </c>
    </row>
    <row r="1030" spans="1:8" ht="16.5" thickBot="1">
      <c r="A1030" s="480" t="s">
        <v>3884</v>
      </c>
      <c r="B1030" s="480" t="s">
        <v>3871</v>
      </c>
      <c r="C1030" s="480" t="s">
        <v>3884</v>
      </c>
      <c r="D1030" s="480" t="s">
        <v>3940</v>
      </c>
      <c r="E1030" s="480" cm="1">
        <f t="array" ref="E1030">teach_train_ped_others_f</f>
        <v>0</v>
      </c>
      <c r="F1030" s="479" t="b">
        <v>1</v>
      </c>
      <c r="G1030" s="479"/>
      <c r="H1030" s="479"/>
    </row>
    <row r="1031" spans="1:8" ht="16.5" thickTop="1">
      <c r="A1031" s="46" t="s">
        <v>3942</v>
      </c>
      <c r="B1031" s="46" t="s">
        <v>3943</v>
      </c>
      <c r="C1031" s="46" t="s">
        <v>3942</v>
      </c>
      <c r="D1031" s="478" t="s">
        <v>4024</v>
      </c>
      <c r="E1031" s="46" cm="1">
        <f t="array" ref="E1031">teach_grade_sex_count_once_m_g11</f>
        <v>7</v>
      </c>
      <c r="F1031" s="46" t="b">
        <v>1</v>
      </c>
      <c r="G1031" s="977"/>
      <c r="H1031" s="977"/>
    </row>
    <row r="1032" spans="1:8">
      <c r="A1032" s="46" t="s">
        <v>3944</v>
      </c>
      <c r="B1032" s="46" t="s">
        <v>3943</v>
      </c>
      <c r="C1032" s="46" t="s">
        <v>3944</v>
      </c>
      <c r="D1032" s="478" t="s">
        <v>4025</v>
      </c>
      <c r="E1032" s="46" cm="1">
        <f t="array" ref="E1032">teach_grade_sex_count_once_f_g11</f>
        <v>8</v>
      </c>
      <c r="F1032" s="46" t="b">
        <v>1</v>
      </c>
    </row>
    <row r="1033" spans="1:8">
      <c r="A1033" s="46" t="s">
        <v>3945</v>
      </c>
      <c r="B1033" s="46" t="s">
        <v>3943</v>
      </c>
      <c r="C1033" s="46" t="s">
        <v>3945</v>
      </c>
      <c r="D1033" s="478" t="s">
        <v>4026</v>
      </c>
      <c r="E1033" s="46" cm="1">
        <f t="array" ref="E1033">teach_grade_sex_count_more_once_m_g11</f>
        <v>0</v>
      </c>
      <c r="F1033" s="46" t="b">
        <v>1</v>
      </c>
    </row>
    <row r="1034" spans="1:8">
      <c r="A1034" s="46" t="s">
        <v>3946</v>
      </c>
      <c r="B1034" s="46" t="s">
        <v>3943</v>
      </c>
      <c r="C1034" s="46" t="s">
        <v>3946</v>
      </c>
      <c r="D1034" s="478" t="s">
        <v>4027</v>
      </c>
      <c r="E1034" s="46" cm="1">
        <f t="array" ref="E1034">teach_grade_sex_count_more_once_f_g11</f>
        <v>0</v>
      </c>
      <c r="F1034" s="46" t="b">
        <v>1</v>
      </c>
    </row>
    <row r="1035" spans="1:8">
      <c r="A1035" s="46" t="s">
        <v>3947</v>
      </c>
      <c r="B1035" s="46" t="s">
        <v>3943</v>
      </c>
      <c r="C1035" s="46" t="s">
        <v>3947</v>
      </c>
      <c r="D1035" s="478" t="s">
        <v>4028</v>
      </c>
      <c r="E1035" s="46" cm="1">
        <f t="array" ref="E1035">teach_grade_sex_count_once_m_g12</f>
        <v>4</v>
      </c>
      <c r="F1035" s="46" t="b">
        <v>1</v>
      </c>
    </row>
    <row r="1036" spans="1:8">
      <c r="A1036" s="46" t="s">
        <v>3948</v>
      </c>
      <c r="B1036" s="46" t="s">
        <v>3943</v>
      </c>
      <c r="C1036" s="46" t="s">
        <v>3948</v>
      </c>
      <c r="D1036" s="478" t="s">
        <v>4029</v>
      </c>
      <c r="E1036" s="46" cm="1">
        <f t="array" ref="E1036">teach_grade_sex_count_once_f_g12</f>
        <v>10</v>
      </c>
      <c r="F1036" s="46" t="b">
        <v>1</v>
      </c>
    </row>
    <row r="1037" spans="1:8">
      <c r="A1037" s="46" t="s">
        <v>3949</v>
      </c>
      <c r="B1037" s="46" t="s">
        <v>3943</v>
      </c>
      <c r="C1037" s="46" t="s">
        <v>3949</v>
      </c>
      <c r="D1037" s="478" t="s">
        <v>4030</v>
      </c>
      <c r="E1037" s="46" cm="1">
        <f t="array" ref="E1037">teach_grade_sex_count_more_once_m_g12</f>
        <v>0</v>
      </c>
      <c r="F1037" s="46" t="b">
        <v>1</v>
      </c>
    </row>
    <row r="1038" spans="1:8" ht="16.5" thickBot="1">
      <c r="A1038" s="479" t="s">
        <v>3950</v>
      </c>
      <c r="B1038" s="479" t="s">
        <v>3943</v>
      </c>
      <c r="C1038" s="479" t="s">
        <v>3950</v>
      </c>
      <c r="D1038" s="480" t="s">
        <v>4031</v>
      </c>
      <c r="E1038" s="479" cm="1">
        <f t="array" ref="E1038">teach_grade_sex_count_more_once_f_g12</f>
        <v>0</v>
      </c>
      <c r="F1038" s="479" t="b">
        <v>1</v>
      </c>
      <c r="G1038" s="479"/>
      <c r="H1038" s="479"/>
    </row>
    <row r="1039" spans="1:8" ht="16.5" thickTop="1">
      <c r="A1039" s="46" t="s">
        <v>3951</v>
      </c>
      <c r="B1039" s="46" t="s">
        <v>3943</v>
      </c>
      <c r="C1039" s="46" t="s">
        <v>3951</v>
      </c>
      <c r="D1039" s="478" t="s">
        <v>4032</v>
      </c>
      <c r="E1039" s="46" cm="1">
        <f t="array" ref="E1039">teach_grade_tlv_sex_count_once_m_g11</f>
        <v>5</v>
      </c>
      <c r="F1039" s="46" t="b">
        <v>1</v>
      </c>
    </row>
    <row r="1040" spans="1:8">
      <c r="A1040" s="46" t="s">
        <v>3952</v>
      </c>
      <c r="B1040" s="46" t="s">
        <v>3943</v>
      </c>
      <c r="C1040" s="46" t="s">
        <v>3952</v>
      </c>
      <c r="D1040" s="478" t="s">
        <v>4033</v>
      </c>
      <c r="E1040" s="46" cm="1">
        <f t="array" ref="E1040">teach_grade_tlv_sex_count_once_f_g11</f>
        <v>6</v>
      </c>
      <c r="F1040" s="46" t="b">
        <v>1</v>
      </c>
    </row>
    <row r="1041" spans="1:8">
      <c r="A1041" s="46" t="s">
        <v>3953</v>
      </c>
      <c r="B1041" s="46" t="s">
        <v>3943</v>
      </c>
      <c r="C1041" s="46" t="s">
        <v>3953</v>
      </c>
      <c r="D1041" s="478" t="s">
        <v>4034</v>
      </c>
      <c r="E1041" s="46" cm="1">
        <f t="array" ref="E1041">teach_grade_tlv_sex_count_more_once_m_g11</f>
        <v>0</v>
      </c>
      <c r="F1041" s="46" t="b">
        <v>1</v>
      </c>
    </row>
    <row r="1042" spans="1:8">
      <c r="A1042" s="46" t="s">
        <v>3954</v>
      </c>
      <c r="B1042" s="46" t="s">
        <v>3943</v>
      </c>
      <c r="C1042" s="46" t="s">
        <v>3954</v>
      </c>
      <c r="D1042" s="478" t="s">
        <v>4035</v>
      </c>
      <c r="E1042" s="46" cm="1">
        <f t="array" ref="E1042">teach_grade_tlv_sex_count_more_once_f_g11</f>
        <v>0</v>
      </c>
      <c r="F1042" s="46" t="b">
        <v>1</v>
      </c>
    </row>
    <row r="1043" spans="1:8">
      <c r="A1043" s="46" t="s">
        <v>3955</v>
      </c>
      <c r="B1043" s="46" t="s">
        <v>3943</v>
      </c>
      <c r="C1043" s="46" t="s">
        <v>3955</v>
      </c>
      <c r="D1043" s="478" t="s">
        <v>4036</v>
      </c>
      <c r="E1043" s="46" cm="1">
        <f t="array" ref="E1043">teach_grade_tlv_sex_count_once_m_g12</f>
        <v>1</v>
      </c>
      <c r="F1043" s="46" t="b">
        <v>1</v>
      </c>
    </row>
    <row r="1044" spans="1:8">
      <c r="A1044" s="46" t="s">
        <v>3956</v>
      </c>
      <c r="B1044" s="46" t="s">
        <v>3943</v>
      </c>
      <c r="C1044" s="46" t="s">
        <v>3956</v>
      </c>
      <c r="D1044" s="478" t="s">
        <v>4037</v>
      </c>
      <c r="E1044" s="46" cm="1">
        <f t="array" ref="E1044">teach_grade_tlv_sex_count_once_f_g12</f>
        <v>0</v>
      </c>
      <c r="F1044" s="46" t="b">
        <v>1</v>
      </c>
    </row>
    <row r="1045" spans="1:8">
      <c r="A1045" s="46" t="s">
        <v>3957</v>
      </c>
      <c r="B1045" s="46" t="s">
        <v>3943</v>
      </c>
      <c r="C1045" s="46" t="s">
        <v>3957</v>
      </c>
      <c r="D1045" s="478" t="s">
        <v>4038</v>
      </c>
      <c r="E1045" s="46" cm="1">
        <f t="array" ref="E1045">teach_grade_tlv_sex_count_more_once_m_g12</f>
        <v>0</v>
      </c>
      <c r="F1045" s="46" t="b">
        <v>1</v>
      </c>
    </row>
    <row r="1046" spans="1:8" ht="16.5" thickBot="1">
      <c r="A1046" s="479" t="s">
        <v>3958</v>
      </c>
      <c r="B1046" s="479" t="s">
        <v>3943</v>
      </c>
      <c r="C1046" s="479" t="s">
        <v>3958</v>
      </c>
      <c r="D1046" s="480" t="s">
        <v>4039</v>
      </c>
      <c r="E1046" s="479" cm="1">
        <f t="array" ref="E1046">teach_grade_tlv_sex_count_more_once_f_g12</f>
        <v>0</v>
      </c>
      <c r="F1046" s="479" t="b">
        <v>1</v>
      </c>
      <c r="G1046" s="1775"/>
      <c r="H1046" s="1775"/>
    </row>
    <row r="1047" spans="1:8" ht="16.5" thickTop="1">
      <c r="A1047" s="46" t="s">
        <v>3959</v>
      </c>
      <c r="B1047" s="46" t="s">
        <v>3960</v>
      </c>
      <c r="C1047" s="46" t="s">
        <v>3959</v>
      </c>
      <c r="D1047" s="1018" t="s">
        <v>4040</v>
      </c>
      <c r="E1047" s="46">
        <f>teachassgn_lang_oralcom_m_g11</f>
        <v>2</v>
      </c>
      <c r="F1047" s="46" t="b">
        <v>1</v>
      </c>
    </row>
    <row r="1048" spans="1:8">
      <c r="A1048" s="46" t="s">
        <v>3961</v>
      </c>
      <c r="B1048" s="46" t="s">
        <v>3960</v>
      </c>
      <c r="C1048" s="46" t="s">
        <v>3961</v>
      </c>
      <c r="D1048" s="1018" t="s">
        <v>4041</v>
      </c>
      <c r="E1048" s="46">
        <f>teachassgn_lang_oralcom_f_g11</f>
        <v>4</v>
      </c>
      <c r="F1048" s="46" t="b">
        <v>1</v>
      </c>
    </row>
    <row r="1049" spans="1:8">
      <c r="A1049" s="46" t="s">
        <v>3962</v>
      </c>
      <c r="B1049" s="46" t="s">
        <v>3960</v>
      </c>
      <c r="C1049" s="46" t="s">
        <v>3962</v>
      </c>
      <c r="D1049" s="1018" t="s">
        <v>4042</v>
      </c>
      <c r="E1049" s="46">
        <f>teachassgn_lang_oralcom_m_g12</f>
        <v>0</v>
      </c>
      <c r="F1049" s="46" t="b">
        <v>1</v>
      </c>
    </row>
    <row r="1050" spans="1:8">
      <c r="A1050" s="46" t="s">
        <v>3963</v>
      </c>
      <c r="B1050" s="46" t="s">
        <v>3960</v>
      </c>
      <c r="C1050" s="46" t="s">
        <v>3963</v>
      </c>
      <c r="D1050" s="1018" t="s">
        <v>4043</v>
      </c>
      <c r="E1050" s="46">
        <f>teachassgn_lang_oralcom_f_g12</f>
        <v>1</v>
      </c>
      <c r="F1050" s="46" t="b">
        <v>1</v>
      </c>
    </row>
    <row r="1051" spans="1:8">
      <c r="A1051" s="46" t="s">
        <v>3964</v>
      </c>
      <c r="B1051" s="46" t="s">
        <v>3960</v>
      </c>
      <c r="C1051" s="46" t="s">
        <v>3964</v>
      </c>
      <c r="D1051" s="1018" t="s">
        <v>4044</v>
      </c>
      <c r="E1051" s="46">
        <f>teachassgn_lang_readnwrite_m_g11</f>
        <v>1</v>
      </c>
      <c r="F1051" s="46" t="b">
        <v>1</v>
      </c>
    </row>
    <row r="1052" spans="1:8">
      <c r="A1052" s="46" t="s">
        <v>3965</v>
      </c>
      <c r="B1052" s="46" t="s">
        <v>3960</v>
      </c>
      <c r="C1052" s="46" t="s">
        <v>3965</v>
      </c>
      <c r="D1052" s="1018" t="s">
        <v>4045</v>
      </c>
      <c r="E1052" s="46">
        <f>teachassgn_lang_readnwrite_f_g11</f>
        <v>2</v>
      </c>
      <c r="F1052" s="46" t="b">
        <v>1</v>
      </c>
    </row>
    <row r="1053" spans="1:8">
      <c r="A1053" s="46" t="s">
        <v>3966</v>
      </c>
      <c r="B1053" s="46" t="s">
        <v>3960</v>
      </c>
      <c r="C1053" s="46" t="s">
        <v>3966</v>
      </c>
      <c r="D1053" s="1018" t="s">
        <v>4046</v>
      </c>
      <c r="E1053" s="46">
        <f>teachassgn_lang_readnwrite_m_g12</f>
        <v>1</v>
      </c>
      <c r="F1053" s="46" t="b">
        <v>1</v>
      </c>
    </row>
    <row r="1054" spans="1:8">
      <c r="A1054" s="46" t="s">
        <v>3967</v>
      </c>
      <c r="B1054" s="46" t="s">
        <v>3960</v>
      </c>
      <c r="C1054" s="46" t="s">
        <v>3967</v>
      </c>
      <c r="D1054" s="1018" t="s">
        <v>4047</v>
      </c>
      <c r="E1054" s="46">
        <f>teachassgn_lang_readnwrite_f_g12</f>
        <v>1</v>
      </c>
      <c r="F1054" s="46" t="b">
        <v>1</v>
      </c>
    </row>
    <row r="1055" spans="1:8">
      <c r="A1055" s="46" t="s">
        <v>3968</v>
      </c>
      <c r="B1055" s="46" t="s">
        <v>3960</v>
      </c>
      <c r="C1055" s="46" t="s">
        <v>3968</v>
      </c>
      <c r="D1055" s="1018" t="s">
        <v>4048</v>
      </c>
      <c r="E1055" s="46">
        <f>teachassgn_lang_komatpanitikan_m_g11</f>
        <v>1</v>
      </c>
      <c r="F1055" s="46" t="b">
        <v>1</v>
      </c>
    </row>
    <row r="1056" spans="1:8">
      <c r="A1056" s="46" t="s">
        <v>3969</v>
      </c>
      <c r="B1056" s="46" t="s">
        <v>3960</v>
      </c>
      <c r="C1056" s="46" t="s">
        <v>3969</v>
      </c>
      <c r="D1056" s="1018" t="s">
        <v>4049</v>
      </c>
      <c r="E1056" s="46">
        <f>teachassgn_lang_komatpanitikan_f_g11</f>
        <v>2</v>
      </c>
      <c r="F1056" s="46" t="b">
        <v>1</v>
      </c>
    </row>
    <row r="1057" spans="1:6">
      <c r="A1057" s="46" t="s">
        <v>3970</v>
      </c>
      <c r="B1057" s="46" t="s">
        <v>3960</v>
      </c>
      <c r="C1057" s="46" t="s">
        <v>3970</v>
      </c>
      <c r="D1057" s="1018" t="s">
        <v>4050</v>
      </c>
      <c r="E1057" s="46">
        <f>teachassgn_lang_komatpanitikan_m_g12</f>
        <v>0</v>
      </c>
      <c r="F1057" s="46" t="b">
        <v>1</v>
      </c>
    </row>
    <row r="1058" spans="1:6">
      <c r="A1058" s="46" t="s">
        <v>3971</v>
      </c>
      <c r="B1058" s="46" t="s">
        <v>3960</v>
      </c>
      <c r="C1058" s="46" t="s">
        <v>3971</v>
      </c>
      <c r="D1058" s="1018" t="s">
        <v>4051</v>
      </c>
      <c r="E1058" s="46">
        <f>teachassgn_lang_komatpanitikan_f_g12</f>
        <v>2</v>
      </c>
      <c r="F1058" s="46" t="b">
        <v>1</v>
      </c>
    </row>
    <row r="1059" spans="1:6">
      <c r="A1059" s="46" t="s">
        <v>3972</v>
      </c>
      <c r="B1059" s="46" t="s">
        <v>3960</v>
      </c>
      <c r="C1059" s="46" t="s">
        <v>3972</v>
      </c>
      <c r="D1059" s="1018" t="s">
        <v>4052</v>
      </c>
      <c r="E1059" s="46">
        <f>teachassgn_lang_pagbasaatpagsusuri_m_g11</f>
        <v>1</v>
      </c>
      <c r="F1059" s="46" t="b">
        <v>1</v>
      </c>
    </row>
    <row r="1060" spans="1:6">
      <c r="A1060" s="46" t="s">
        <v>3973</v>
      </c>
      <c r="B1060" s="46" t="s">
        <v>3960</v>
      </c>
      <c r="C1060" s="46" t="s">
        <v>3973</v>
      </c>
      <c r="D1060" s="1018" t="s">
        <v>4053</v>
      </c>
      <c r="E1060" s="46">
        <f>teachassgn_lang_pagbasaatpagsusuri_f_g11</f>
        <v>0</v>
      </c>
      <c r="F1060" s="46" t="b">
        <v>1</v>
      </c>
    </row>
    <row r="1061" spans="1:6">
      <c r="A1061" s="46" t="s">
        <v>3974</v>
      </c>
      <c r="B1061" s="46" t="s">
        <v>3960</v>
      </c>
      <c r="C1061" s="46" t="s">
        <v>3974</v>
      </c>
      <c r="D1061" s="1018" t="s">
        <v>4054</v>
      </c>
      <c r="E1061" s="46">
        <f>teachassgn_lang_pagbasaatpagsusuri_m_g12</f>
        <v>0</v>
      </c>
      <c r="F1061" s="46" t="b">
        <v>1</v>
      </c>
    </row>
    <row r="1062" spans="1:6">
      <c r="A1062" s="46" t="s">
        <v>3975</v>
      </c>
      <c r="B1062" s="46" t="s">
        <v>3960</v>
      </c>
      <c r="C1062" s="46" t="s">
        <v>3975</v>
      </c>
      <c r="D1062" s="1018" t="s">
        <v>4055</v>
      </c>
      <c r="E1062" s="46">
        <f>teachassgn_lang_pagbasaatpagsusuri_f_g12</f>
        <v>1</v>
      </c>
      <c r="F1062" s="46" t="b">
        <v>1</v>
      </c>
    </row>
    <row r="1063" spans="1:6">
      <c r="A1063" s="46" t="s">
        <v>3976</v>
      </c>
      <c r="B1063" s="46" t="s">
        <v>3960</v>
      </c>
      <c r="C1063" s="46" t="s">
        <v>3976</v>
      </c>
      <c r="D1063" s="1018" t="s">
        <v>4056</v>
      </c>
      <c r="E1063" s="46" cm="1">
        <f t="array" ref="E1063">teachassgn_hum_lit_m_g11</f>
        <v>2</v>
      </c>
      <c r="F1063" s="46" t="b">
        <v>1</v>
      </c>
    </row>
    <row r="1064" spans="1:6">
      <c r="A1064" s="46" t="s">
        <v>3977</v>
      </c>
      <c r="B1064" s="46" t="s">
        <v>3960</v>
      </c>
      <c r="C1064" s="46" t="s">
        <v>3977</v>
      </c>
      <c r="D1064" s="1018" t="s">
        <v>4057</v>
      </c>
      <c r="E1064" s="46" cm="1">
        <f t="array" ref="E1064">teachassgn_hum_lit_f_g11</f>
        <v>2</v>
      </c>
      <c r="F1064" s="46" t="b">
        <v>1</v>
      </c>
    </row>
    <row r="1065" spans="1:6">
      <c r="A1065" s="46" t="s">
        <v>3978</v>
      </c>
      <c r="B1065" s="46" t="s">
        <v>3960</v>
      </c>
      <c r="C1065" s="46" t="s">
        <v>3978</v>
      </c>
      <c r="D1065" s="1018" t="s">
        <v>4058</v>
      </c>
      <c r="E1065" s="46" cm="1">
        <f t="array" ref="E1065">teachassgn_hum_lit_m_g12</f>
        <v>0</v>
      </c>
      <c r="F1065" s="46" t="b">
        <v>1</v>
      </c>
    </row>
    <row r="1066" spans="1:6">
      <c r="A1066" s="46" t="s">
        <v>3979</v>
      </c>
      <c r="B1066" s="46" t="s">
        <v>3960</v>
      </c>
      <c r="C1066" s="46" t="s">
        <v>3979</v>
      </c>
      <c r="D1066" s="1018" t="s">
        <v>4059</v>
      </c>
      <c r="E1066" s="46" cm="1">
        <f t="array" ref="E1066">teachassgn_hum_lit_f_g12</f>
        <v>0</v>
      </c>
      <c r="F1066" s="46" t="b">
        <v>1</v>
      </c>
    </row>
    <row r="1067" spans="1:6">
      <c r="A1067" s="46" t="s">
        <v>3980</v>
      </c>
      <c r="B1067" s="46" t="s">
        <v>3960</v>
      </c>
      <c r="C1067" s="46" t="s">
        <v>3980</v>
      </c>
      <c r="D1067" s="1018" t="s">
        <v>4060</v>
      </c>
      <c r="E1067" s="46" cm="1">
        <f t="array" ref="E1067">teachassgn_hum_contemparts_m_g11</f>
        <v>1</v>
      </c>
      <c r="F1067" s="46" t="b">
        <v>1</v>
      </c>
    </row>
    <row r="1068" spans="1:6">
      <c r="A1068" s="46" t="s">
        <v>3981</v>
      </c>
      <c r="B1068" s="46" t="s">
        <v>3960</v>
      </c>
      <c r="C1068" s="46" t="s">
        <v>3981</v>
      </c>
      <c r="D1068" s="1018" t="s">
        <v>4061</v>
      </c>
      <c r="E1068" s="46" cm="1">
        <f t="array" ref="E1068">teachassgn_hum_contemparts_f_g11</f>
        <v>1</v>
      </c>
      <c r="F1068" s="46" t="b">
        <v>1</v>
      </c>
    </row>
    <row r="1069" spans="1:6">
      <c r="A1069" s="46" t="s">
        <v>3982</v>
      </c>
      <c r="B1069" s="46" t="s">
        <v>3960</v>
      </c>
      <c r="C1069" s="46" t="s">
        <v>3982</v>
      </c>
      <c r="D1069" s="1018" t="s">
        <v>4062</v>
      </c>
      <c r="E1069" s="46" cm="1">
        <f t="array" ref="E1069">teachassgn_hum_contemparts_m_g12</f>
        <v>0</v>
      </c>
      <c r="F1069" s="46" t="b">
        <v>1</v>
      </c>
    </row>
    <row r="1070" spans="1:6">
      <c r="A1070" s="46" t="s">
        <v>3983</v>
      </c>
      <c r="B1070" s="46" t="s">
        <v>3960</v>
      </c>
      <c r="C1070" s="46" t="s">
        <v>3983</v>
      </c>
      <c r="D1070" s="1018" t="s">
        <v>4063</v>
      </c>
      <c r="E1070" s="46" cm="1">
        <f t="array" ref="E1070">teachassgn_hum_contemparts_f_g12</f>
        <v>1</v>
      </c>
      <c r="F1070" s="46" t="b">
        <v>1</v>
      </c>
    </row>
    <row r="1071" spans="1:6">
      <c r="A1071" s="46" t="s">
        <v>3984</v>
      </c>
      <c r="B1071" s="46" t="s">
        <v>3960</v>
      </c>
      <c r="C1071" s="46" t="s">
        <v>3984</v>
      </c>
      <c r="D1071" s="1018" t="s">
        <v>4064</v>
      </c>
      <c r="E1071" s="46" cm="1">
        <f t="array" ref="E1071">teachassgn_com_media_m_g11</f>
        <v>1</v>
      </c>
      <c r="F1071" s="46" t="b">
        <v>1</v>
      </c>
    </row>
    <row r="1072" spans="1:6">
      <c r="A1072" s="46" t="s">
        <v>3985</v>
      </c>
      <c r="B1072" s="46" t="s">
        <v>3960</v>
      </c>
      <c r="C1072" s="46" t="s">
        <v>3985</v>
      </c>
      <c r="D1072" s="1018" t="s">
        <v>4065</v>
      </c>
      <c r="E1072" s="46" cm="1">
        <f t="array" ref="E1072">teachassgn_com_media_f_g11</f>
        <v>3</v>
      </c>
      <c r="F1072" s="46" t="b">
        <v>1</v>
      </c>
    </row>
    <row r="1073" spans="1:6">
      <c r="A1073" s="46" t="s">
        <v>3986</v>
      </c>
      <c r="B1073" s="46" t="s">
        <v>3960</v>
      </c>
      <c r="C1073" s="46" t="s">
        <v>3986</v>
      </c>
      <c r="D1073" s="1018" t="s">
        <v>4066</v>
      </c>
      <c r="E1073" s="46" cm="1">
        <f t="array" ref="E1073">teachassgn_com_media_m_g12</f>
        <v>0</v>
      </c>
      <c r="F1073" s="46" t="b">
        <v>1</v>
      </c>
    </row>
    <row r="1074" spans="1:6">
      <c r="A1074" s="46" t="s">
        <v>3987</v>
      </c>
      <c r="B1074" s="46" t="s">
        <v>3960</v>
      </c>
      <c r="C1074" s="46" t="s">
        <v>3987</v>
      </c>
      <c r="D1074" s="1018" t="s">
        <v>4067</v>
      </c>
      <c r="E1074" s="46" cm="1">
        <f t="array" ref="E1074">teachassgn_com_media_f_g12</f>
        <v>1</v>
      </c>
      <c r="F1074" s="46" t="b">
        <v>1</v>
      </c>
    </row>
    <row r="1075" spans="1:6">
      <c r="A1075" s="46" t="s">
        <v>3988</v>
      </c>
      <c r="B1075" s="46" t="s">
        <v>3960</v>
      </c>
      <c r="C1075" s="46" t="s">
        <v>3988</v>
      </c>
      <c r="D1075" s="1018" t="s">
        <v>4068</v>
      </c>
      <c r="E1075" s="46" cm="1">
        <f t="array" ref="E1075">teachassgn_math_genmath_m_g11</f>
        <v>0</v>
      </c>
      <c r="F1075" s="46" t="b">
        <v>1</v>
      </c>
    </row>
    <row r="1076" spans="1:6">
      <c r="A1076" s="46" t="s">
        <v>3989</v>
      </c>
      <c r="B1076" s="46" t="s">
        <v>3960</v>
      </c>
      <c r="C1076" s="46" t="s">
        <v>3989</v>
      </c>
      <c r="D1076" s="1018" t="s">
        <v>4069</v>
      </c>
      <c r="E1076" s="46" cm="1">
        <f t="array" ref="E1076">teachassgn_math_genmath_f_g11</f>
        <v>1</v>
      </c>
      <c r="F1076" s="46" t="b">
        <v>1</v>
      </c>
    </row>
    <row r="1077" spans="1:6">
      <c r="A1077" s="46" t="s">
        <v>3990</v>
      </c>
      <c r="B1077" s="46" t="s">
        <v>3960</v>
      </c>
      <c r="C1077" s="46" t="s">
        <v>3990</v>
      </c>
      <c r="D1077" s="1018" t="s">
        <v>4070</v>
      </c>
      <c r="E1077" s="46" cm="1">
        <f t="array" ref="E1077">teachassgn_math_genmath_m_g12</f>
        <v>1</v>
      </c>
      <c r="F1077" s="46" t="b">
        <v>1</v>
      </c>
    </row>
    <row r="1078" spans="1:6">
      <c r="A1078" s="46" t="s">
        <v>3991</v>
      </c>
      <c r="B1078" s="46" t="s">
        <v>3960</v>
      </c>
      <c r="C1078" s="46" t="s">
        <v>3991</v>
      </c>
      <c r="D1078" s="1018" t="s">
        <v>4071</v>
      </c>
      <c r="E1078" s="46" cm="1">
        <f t="array" ref="E1078">teachassgn_math_genmath_f_g12</f>
        <v>1</v>
      </c>
      <c r="F1078" s="46" t="b">
        <v>1</v>
      </c>
    </row>
    <row r="1079" spans="1:6">
      <c r="A1079" s="46" t="s">
        <v>3992</v>
      </c>
      <c r="B1079" s="46" t="s">
        <v>3960</v>
      </c>
      <c r="C1079" s="46" t="s">
        <v>3992</v>
      </c>
      <c r="D1079" s="1018" t="s">
        <v>4072</v>
      </c>
      <c r="E1079" s="46" cm="1">
        <f t="array" ref="E1079">teachassgn_math_stat_m_g11</f>
        <v>0</v>
      </c>
      <c r="F1079" s="46" t="b">
        <v>1</v>
      </c>
    </row>
    <row r="1080" spans="1:6">
      <c r="A1080" s="46" t="s">
        <v>3993</v>
      </c>
      <c r="B1080" s="46" t="s">
        <v>3960</v>
      </c>
      <c r="C1080" s="46" t="s">
        <v>3993</v>
      </c>
      <c r="D1080" s="1018" t="s">
        <v>4073</v>
      </c>
      <c r="E1080" s="46" cm="1">
        <f t="array" ref="E1080">teachassgn_math_stat_f_g11</f>
        <v>0</v>
      </c>
      <c r="F1080" s="46" t="b">
        <v>1</v>
      </c>
    </row>
    <row r="1081" spans="1:6">
      <c r="A1081" s="46" t="s">
        <v>3994</v>
      </c>
      <c r="B1081" s="46" t="s">
        <v>3960</v>
      </c>
      <c r="C1081" s="46" t="s">
        <v>3994</v>
      </c>
      <c r="D1081" s="1018" t="s">
        <v>4074</v>
      </c>
      <c r="E1081" s="46" cm="1">
        <f t="array" ref="E1081">teachassgn_math_stat_m_g12</f>
        <v>1</v>
      </c>
      <c r="F1081" s="46" t="b">
        <v>1</v>
      </c>
    </row>
    <row r="1082" spans="1:6">
      <c r="A1082" s="46" t="s">
        <v>3995</v>
      </c>
      <c r="B1082" s="46" t="s">
        <v>3960</v>
      </c>
      <c r="C1082" s="46" t="s">
        <v>3995</v>
      </c>
      <c r="D1082" s="1018" t="s">
        <v>4075</v>
      </c>
      <c r="E1082" s="46" cm="1">
        <f t="array" ref="E1082">teachassgn_math_stat_f_g12</f>
        <v>1</v>
      </c>
      <c r="F1082" s="46" t="b">
        <v>1</v>
      </c>
    </row>
    <row r="1083" spans="1:6">
      <c r="A1083" s="46" t="s">
        <v>3996</v>
      </c>
      <c r="B1083" s="46" t="s">
        <v>3960</v>
      </c>
      <c r="C1083" s="46" t="s">
        <v>3996</v>
      </c>
      <c r="D1083" s="1018" t="s">
        <v>4076</v>
      </c>
      <c r="E1083" s="46" cm="1">
        <f t="array" ref="E1083">teachassgn_sci_earthnlife_m_g11</f>
        <v>2</v>
      </c>
      <c r="F1083" s="46" t="b">
        <v>1</v>
      </c>
    </row>
    <row r="1084" spans="1:6">
      <c r="A1084" s="46" t="s">
        <v>3997</v>
      </c>
      <c r="B1084" s="46" t="s">
        <v>3960</v>
      </c>
      <c r="C1084" s="46" t="s">
        <v>3997</v>
      </c>
      <c r="D1084" s="1018" t="s">
        <v>4077</v>
      </c>
      <c r="E1084" s="46" cm="1">
        <f t="array" ref="E1084">teachassgn_sci_earthnlife_f_g11</f>
        <v>0</v>
      </c>
      <c r="F1084" s="46" t="b">
        <v>1</v>
      </c>
    </row>
    <row r="1085" spans="1:6">
      <c r="A1085" s="46" t="s">
        <v>3998</v>
      </c>
      <c r="B1085" s="46" t="s">
        <v>3960</v>
      </c>
      <c r="C1085" s="46" t="s">
        <v>3998</v>
      </c>
      <c r="D1085" s="1018" t="s">
        <v>4078</v>
      </c>
      <c r="E1085" s="46" cm="1">
        <f t="array" ref="E1085">teachassgn_sci_earthnlife_m_g12</f>
        <v>1</v>
      </c>
      <c r="F1085" s="46" t="b">
        <v>1</v>
      </c>
    </row>
    <row r="1086" spans="1:6">
      <c r="A1086" s="46" t="s">
        <v>3999</v>
      </c>
      <c r="B1086" s="46" t="s">
        <v>3960</v>
      </c>
      <c r="C1086" s="46" t="s">
        <v>3999</v>
      </c>
      <c r="D1086" s="1018" t="s">
        <v>4079</v>
      </c>
      <c r="E1086" s="46" cm="1">
        <f t="array" ref="E1086">teachassgn_sci_earthnlife_f_g12</f>
        <v>0</v>
      </c>
      <c r="F1086" s="46" t="b">
        <v>1</v>
      </c>
    </row>
    <row r="1087" spans="1:6">
      <c r="A1087" s="46" t="s">
        <v>4000</v>
      </c>
      <c r="B1087" s="46" t="s">
        <v>3960</v>
      </c>
      <c r="C1087" s="46" t="s">
        <v>4000</v>
      </c>
      <c r="D1087" s="1018" t="s">
        <v>4080</v>
      </c>
      <c r="E1087" s="46" cm="1">
        <f t="array" ref="E1087">teachassgn_sci_physci_m_g11</f>
        <v>2</v>
      </c>
      <c r="F1087" s="46" t="b">
        <v>1</v>
      </c>
    </row>
    <row r="1088" spans="1:6">
      <c r="A1088" s="46" t="s">
        <v>4001</v>
      </c>
      <c r="B1088" s="46" t="s">
        <v>3960</v>
      </c>
      <c r="C1088" s="46" t="s">
        <v>4001</v>
      </c>
      <c r="D1088" s="1018" t="s">
        <v>4081</v>
      </c>
      <c r="E1088" s="46" cm="1">
        <f t="array" ref="E1088">teachassgn_sci_physci_f_g11</f>
        <v>0</v>
      </c>
      <c r="F1088" s="46" t="b">
        <v>1</v>
      </c>
    </row>
    <row r="1089" spans="1:6">
      <c r="A1089" s="46" t="s">
        <v>4002</v>
      </c>
      <c r="B1089" s="46" t="s">
        <v>3960</v>
      </c>
      <c r="C1089" s="46" t="s">
        <v>4002</v>
      </c>
      <c r="D1089" s="1018" t="s">
        <v>4082</v>
      </c>
      <c r="E1089" s="46" cm="1">
        <f t="array" ref="E1089">teachassgn_sci_physci_m_g12</f>
        <v>1</v>
      </c>
      <c r="F1089" s="46" t="b">
        <v>1</v>
      </c>
    </row>
    <row r="1090" spans="1:6">
      <c r="A1090" s="46" t="s">
        <v>4003</v>
      </c>
      <c r="B1090" s="46" t="s">
        <v>3960</v>
      </c>
      <c r="C1090" s="46" t="s">
        <v>4003</v>
      </c>
      <c r="D1090" s="1018" t="s">
        <v>4083</v>
      </c>
      <c r="E1090" s="46" cm="1">
        <f t="array" ref="E1090">teachassgn_sci_physci_f_g12</f>
        <v>0</v>
      </c>
      <c r="F1090" s="46" t="b">
        <v>1</v>
      </c>
    </row>
    <row r="1091" spans="1:6">
      <c r="A1091" s="46" t="s">
        <v>4004</v>
      </c>
      <c r="B1091" s="46" t="s">
        <v>3960</v>
      </c>
      <c r="C1091" s="46" t="s">
        <v>4004</v>
      </c>
      <c r="D1091" s="1018" t="s">
        <v>4084</v>
      </c>
      <c r="E1091" s="46" cm="1">
        <f t="array" ref="E1091">teachassgn_socsci_personaldev_m_g11</f>
        <v>0</v>
      </c>
      <c r="F1091" s="46" t="b">
        <v>1</v>
      </c>
    </row>
    <row r="1092" spans="1:6">
      <c r="A1092" s="46" t="s">
        <v>4005</v>
      </c>
      <c r="B1092" s="46" t="s">
        <v>3960</v>
      </c>
      <c r="C1092" s="46" t="s">
        <v>4005</v>
      </c>
      <c r="D1092" s="1018" t="s">
        <v>4085</v>
      </c>
      <c r="E1092" s="46" cm="1">
        <f t="array" ref="E1092">teachassgn_socsci_personaldev_f_g11</f>
        <v>2</v>
      </c>
      <c r="F1092" s="46" t="b">
        <v>1</v>
      </c>
    </row>
    <row r="1093" spans="1:6">
      <c r="A1093" s="46" t="s">
        <v>4006</v>
      </c>
      <c r="B1093" s="46" t="s">
        <v>3960</v>
      </c>
      <c r="C1093" s="46" t="s">
        <v>4006</v>
      </c>
      <c r="D1093" s="1018" t="s">
        <v>4086</v>
      </c>
      <c r="E1093" s="46" cm="1">
        <f t="array" ref="E1093">teachassgn_socsci_personaldev_m_g12</f>
        <v>0</v>
      </c>
      <c r="F1093" s="46" t="b">
        <v>1</v>
      </c>
    </row>
    <row r="1094" spans="1:6">
      <c r="A1094" s="46" t="s">
        <v>4007</v>
      </c>
      <c r="B1094" s="46" t="s">
        <v>3960</v>
      </c>
      <c r="C1094" s="46" t="s">
        <v>4007</v>
      </c>
      <c r="D1094" s="1018" t="s">
        <v>4087</v>
      </c>
      <c r="E1094" s="46" cm="1">
        <f t="array" ref="E1094">teachassgn_socsci_personaldev_f_g12</f>
        <v>0</v>
      </c>
      <c r="F1094" s="46" t="b">
        <v>1</v>
      </c>
    </row>
    <row r="1095" spans="1:6">
      <c r="A1095" s="46" t="s">
        <v>4008</v>
      </c>
      <c r="B1095" s="46" t="s">
        <v>3960</v>
      </c>
      <c r="C1095" s="46" t="s">
        <v>4008</v>
      </c>
      <c r="D1095" s="1018" t="s">
        <v>4088</v>
      </c>
      <c r="E1095" s="46" cm="1">
        <f t="array" ref="E1095">teachassgn_socsci_culturensociety_m_g11</f>
        <v>0</v>
      </c>
      <c r="F1095" s="46" t="b">
        <v>1</v>
      </c>
    </row>
    <row r="1096" spans="1:6">
      <c r="A1096" s="46" t="s">
        <v>4009</v>
      </c>
      <c r="B1096" s="46" t="s">
        <v>3960</v>
      </c>
      <c r="C1096" s="46" t="s">
        <v>4009</v>
      </c>
      <c r="D1096" s="1018" t="s">
        <v>4089</v>
      </c>
      <c r="E1096" s="46" cm="1">
        <f t="array" ref="E1096">teachassgn_socsci_culturensociety_f_g11</f>
        <v>0</v>
      </c>
      <c r="F1096" s="46" t="b">
        <v>1</v>
      </c>
    </row>
    <row r="1097" spans="1:6">
      <c r="A1097" s="46" t="s">
        <v>4010</v>
      </c>
      <c r="B1097" s="46" t="s">
        <v>3960</v>
      </c>
      <c r="C1097" s="46" t="s">
        <v>4010</v>
      </c>
      <c r="D1097" s="1018" t="s">
        <v>4090</v>
      </c>
      <c r="E1097" s="46" cm="1">
        <f t="array" ref="E1097">teachassgn_socsci_culturensociety_m_g12</f>
        <v>1</v>
      </c>
      <c r="F1097" s="46" t="b">
        <v>1</v>
      </c>
    </row>
    <row r="1098" spans="1:6">
      <c r="A1098" s="46" t="s">
        <v>4011</v>
      </c>
      <c r="B1098" s="46" t="s">
        <v>3960</v>
      </c>
      <c r="C1098" s="46" t="s">
        <v>4011</v>
      </c>
      <c r="D1098" s="1018" t="s">
        <v>4091</v>
      </c>
      <c r="E1098" s="46" cm="1">
        <f t="array" ref="E1098">teachassgn_socsci_culturensociety_f_g12</f>
        <v>1</v>
      </c>
      <c r="F1098" s="46" t="b">
        <v>1</v>
      </c>
    </row>
    <row r="1099" spans="1:6">
      <c r="A1099" s="46" t="s">
        <v>4012</v>
      </c>
      <c r="B1099" s="46" t="s">
        <v>3960</v>
      </c>
      <c r="C1099" s="46" t="s">
        <v>4012</v>
      </c>
      <c r="D1099" s="1018" t="s">
        <v>4092</v>
      </c>
      <c r="E1099" s="46" cm="1">
        <f t="array" ref="E1099">teachassgn_philo_introphilo_m_g11</f>
        <v>1</v>
      </c>
      <c r="F1099" s="46" t="b">
        <v>1</v>
      </c>
    </row>
    <row r="1100" spans="1:6">
      <c r="A1100" s="46" t="s">
        <v>4013</v>
      </c>
      <c r="B1100" s="46" t="s">
        <v>3960</v>
      </c>
      <c r="C1100" s="46" t="s">
        <v>4013</v>
      </c>
      <c r="D1100" s="1018" t="s">
        <v>4093</v>
      </c>
      <c r="E1100" s="46" cm="1">
        <f t="array" ref="E1100">teachassgn_philo_introphilo_f_g11</f>
        <v>1</v>
      </c>
      <c r="F1100" s="46" t="b">
        <v>1</v>
      </c>
    </row>
    <row r="1101" spans="1:6">
      <c r="A1101" s="46" t="s">
        <v>4014</v>
      </c>
      <c r="B1101" s="46" t="s">
        <v>3960</v>
      </c>
      <c r="C1101" s="46" t="s">
        <v>4014</v>
      </c>
      <c r="D1101" s="1018" t="s">
        <v>4094</v>
      </c>
      <c r="E1101" s="46" cm="1">
        <f t="array" ref="E1101">teachassgn_philo_introphilo_m_g12</f>
        <v>1</v>
      </c>
      <c r="F1101" s="46" t="b">
        <v>1</v>
      </c>
    </row>
    <row r="1102" spans="1:6">
      <c r="A1102" s="46" t="s">
        <v>4015</v>
      </c>
      <c r="B1102" s="46" t="s">
        <v>3960</v>
      </c>
      <c r="C1102" s="46" t="s">
        <v>4015</v>
      </c>
      <c r="D1102" s="1018" t="s">
        <v>4095</v>
      </c>
      <c r="E1102" s="46" cm="1">
        <f t="array" ref="E1102">teachassgn_philo_introphilo_f_g12</f>
        <v>1</v>
      </c>
      <c r="F1102" s="46" t="b">
        <v>1</v>
      </c>
    </row>
    <row r="1103" spans="1:6">
      <c r="A1103" s="46" t="s">
        <v>4016</v>
      </c>
      <c r="B1103" s="46" t="s">
        <v>3960</v>
      </c>
      <c r="C1103" s="46" t="s">
        <v>4016</v>
      </c>
      <c r="D1103" s="1018" t="s">
        <v>4096</v>
      </c>
      <c r="E1103" s="46" cm="1">
        <f t="array" ref="E1103">teachassgn_pe_phyeduc_m_g11</f>
        <v>4</v>
      </c>
      <c r="F1103" s="46" t="b">
        <v>1</v>
      </c>
    </row>
    <row r="1104" spans="1:6">
      <c r="A1104" s="46" t="s">
        <v>4017</v>
      </c>
      <c r="B1104" s="46" t="s">
        <v>3960</v>
      </c>
      <c r="C1104" s="46" t="s">
        <v>4017</v>
      </c>
      <c r="D1104" s="1018" t="s">
        <v>4097</v>
      </c>
      <c r="E1104" s="46" cm="1">
        <f t="array" ref="E1104">teachassgn_pe_phyeduc_f_g11</f>
        <v>10</v>
      </c>
      <c r="F1104" s="46" t="b">
        <v>1</v>
      </c>
    </row>
    <row r="1105" spans="1:8">
      <c r="A1105" s="46" t="s">
        <v>4018</v>
      </c>
      <c r="B1105" s="46" t="s">
        <v>3960</v>
      </c>
      <c r="C1105" s="46" t="s">
        <v>4018</v>
      </c>
      <c r="D1105" s="1018" t="s">
        <v>4098</v>
      </c>
      <c r="E1105" s="46" cm="1">
        <f t="array" ref="E1105">teachassgn_pe_phyeduc_m_g12</f>
        <v>3</v>
      </c>
      <c r="F1105" s="46" t="b">
        <v>1</v>
      </c>
    </row>
    <row r="1106" spans="1:8">
      <c r="A1106" s="46" t="s">
        <v>4019</v>
      </c>
      <c r="B1106" s="46" t="s">
        <v>3960</v>
      </c>
      <c r="C1106" s="46" t="s">
        <v>4019</v>
      </c>
      <c r="D1106" s="1018" t="s">
        <v>4099</v>
      </c>
      <c r="E1106" s="46" cm="1">
        <f t="array" ref="E1106">teachassgn_pe_phyeduc_f_g12</f>
        <v>8</v>
      </c>
      <c r="F1106" s="46" t="b">
        <v>1</v>
      </c>
    </row>
    <row r="1107" spans="1:8">
      <c r="A1107" s="46" t="s">
        <v>4020</v>
      </c>
      <c r="B1107" s="46" t="s">
        <v>3960</v>
      </c>
      <c r="C1107" s="46" t="s">
        <v>4020</v>
      </c>
      <c r="D1107" s="1018" t="s">
        <v>4100</v>
      </c>
      <c r="E1107" s="46" cm="1">
        <f t="array" ref="E1107">teachassgn_disasterreadiness_m_g11</f>
        <v>1</v>
      </c>
      <c r="F1107" s="46" t="b">
        <v>1</v>
      </c>
    </row>
    <row r="1108" spans="1:8">
      <c r="A1108" s="46" t="s">
        <v>4021</v>
      </c>
      <c r="B1108" s="46" t="s">
        <v>3960</v>
      </c>
      <c r="C1108" s="46" t="s">
        <v>4021</v>
      </c>
      <c r="D1108" s="1018" t="s">
        <v>4101</v>
      </c>
      <c r="E1108" s="46" cm="1">
        <f t="array" ref="E1108">teachassgn_disasterreadiness_f_g11</f>
        <v>0</v>
      </c>
      <c r="F1108" s="46" t="b">
        <v>1</v>
      </c>
    </row>
    <row r="1109" spans="1:8">
      <c r="A1109" s="46" t="s">
        <v>4022</v>
      </c>
      <c r="B1109" s="46" t="s">
        <v>3960</v>
      </c>
      <c r="C1109" s="46" t="s">
        <v>4022</v>
      </c>
      <c r="D1109" s="1018" t="s">
        <v>4102</v>
      </c>
      <c r="E1109" s="46" cm="1">
        <f t="array" ref="E1109">teachassgn_disasterreadiness_m_g12</f>
        <v>0</v>
      </c>
      <c r="F1109" s="46" t="b">
        <v>1</v>
      </c>
    </row>
    <row r="1110" spans="1:8" ht="16.5" thickBot="1">
      <c r="A1110" s="479" t="s">
        <v>4023</v>
      </c>
      <c r="B1110" s="479" t="s">
        <v>3960</v>
      </c>
      <c r="C1110" s="479" t="s">
        <v>4023</v>
      </c>
      <c r="D1110" s="1019" t="s">
        <v>4103</v>
      </c>
      <c r="E1110" s="479" cm="1">
        <f t="array" ref="E1110">teachassgn_disasterreadiness_f_g12</f>
        <v>0</v>
      </c>
      <c r="F1110" s="479" t="b">
        <v>1</v>
      </c>
      <c r="G1110" s="479"/>
      <c r="H1110" s="479"/>
    </row>
    <row r="1111" spans="1:8" ht="16.5" thickTop="1">
      <c r="A1111" s="46" t="s">
        <v>4104</v>
      </c>
      <c r="B1111" s="46" t="s">
        <v>4105</v>
      </c>
      <c r="C1111" s="46" t="s">
        <v>4104</v>
      </c>
      <c r="D1111" s="46" t="s">
        <v>4200</v>
      </c>
      <c r="E1111" s="46" cm="1">
        <f t="array" ref="E1111">numteach_highest_educ_attainment_bachelor_m</f>
        <v>7</v>
      </c>
      <c r="F1111" s="46" t="b">
        <v>1</v>
      </c>
    </row>
    <row r="1112" spans="1:8">
      <c r="A1112" s="46" t="s">
        <v>4106</v>
      </c>
      <c r="B1112" s="46" t="s">
        <v>4105</v>
      </c>
      <c r="C1112" s="46" t="s">
        <v>4106</v>
      </c>
      <c r="D1112" s="46" t="s">
        <v>4201</v>
      </c>
      <c r="E1112" s="46" cm="1">
        <f t="array" ref="E1112">numteach_highest_educ_attainment_bachelor_f</f>
        <v>8</v>
      </c>
      <c r="F1112" s="46" t="b">
        <v>1</v>
      </c>
    </row>
    <row r="1113" spans="1:8">
      <c r="A1113" s="46" t="s">
        <v>4107</v>
      </c>
      <c r="B1113" s="46" t="s">
        <v>4105</v>
      </c>
      <c r="C1113" s="46" t="s">
        <v>4107</v>
      </c>
      <c r="D1113" s="46" t="s">
        <v>4202</v>
      </c>
      <c r="E1113" s="46" cm="1">
        <f t="array" ref="E1113">numteach_highest_educ_attainment_masterunits_m</f>
        <v>2</v>
      </c>
      <c r="F1113" s="46" t="b">
        <v>1</v>
      </c>
    </row>
    <row r="1114" spans="1:8">
      <c r="A1114" s="46" t="s">
        <v>4108</v>
      </c>
      <c r="B1114" s="46" t="s">
        <v>4105</v>
      </c>
      <c r="C1114" s="46" t="s">
        <v>4108</v>
      </c>
      <c r="D1114" s="46" t="s">
        <v>4203</v>
      </c>
      <c r="E1114" s="46" cm="1">
        <f t="array" ref="E1114">numteach_highest_educ_attainment_masterunits_f</f>
        <v>9</v>
      </c>
      <c r="F1114" s="46" t="b">
        <v>1</v>
      </c>
    </row>
    <row r="1115" spans="1:8">
      <c r="A1115" s="46" t="s">
        <v>4109</v>
      </c>
      <c r="B1115" s="46" t="s">
        <v>4105</v>
      </c>
      <c r="C1115" s="46" t="s">
        <v>4109</v>
      </c>
      <c r="D1115" s="46" t="s">
        <v>4204</v>
      </c>
      <c r="E1115" s="46" cm="1">
        <f t="array" ref="E1115">numteach_highest_educ_attainment_master_m</f>
        <v>2</v>
      </c>
      <c r="F1115" s="46" t="b">
        <v>1</v>
      </c>
    </row>
    <row r="1116" spans="1:8">
      <c r="A1116" s="46" t="s">
        <v>4110</v>
      </c>
      <c r="B1116" s="46" t="s">
        <v>4105</v>
      </c>
      <c r="C1116" s="46" t="s">
        <v>4110</v>
      </c>
      <c r="D1116" s="46" t="s">
        <v>4205</v>
      </c>
      <c r="E1116" s="46" cm="1">
        <f t="array" ref="E1116">numteach_highest_educ_attainment_master_f</f>
        <v>1</v>
      </c>
      <c r="F1116" s="46" t="b">
        <v>1</v>
      </c>
    </row>
    <row r="1117" spans="1:8">
      <c r="A1117" s="46" t="s">
        <v>4111</v>
      </c>
      <c r="B1117" s="46" t="s">
        <v>4105</v>
      </c>
      <c r="C1117" s="46" t="s">
        <v>4111</v>
      </c>
      <c r="D1117" s="46" t="s">
        <v>4206</v>
      </c>
      <c r="E1117" s="46" cm="1">
        <f t="array" ref="E1117">numteach_highest_educ_attainment_doctor_units_m</f>
        <v>0</v>
      </c>
      <c r="F1117" s="46" t="b">
        <v>1</v>
      </c>
    </row>
    <row r="1118" spans="1:8">
      <c r="A1118" s="46" t="s">
        <v>4112</v>
      </c>
      <c r="B1118" s="46" t="s">
        <v>4105</v>
      </c>
      <c r="C1118" s="46" t="s">
        <v>4112</v>
      </c>
      <c r="D1118" s="46" t="s">
        <v>4207</v>
      </c>
      <c r="E1118" s="46" cm="1">
        <f t="array" ref="E1118">numteach_highest_educ_attainment_doctor_units_f</f>
        <v>0</v>
      </c>
      <c r="F1118" s="46" t="b">
        <v>1</v>
      </c>
    </row>
    <row r="1119" spans="1:8">
      <c r="A1119" s="46" t="s">
        <v>4113</v>
      </c>
      <c r="B1119" s="46" t="s">
        <v>4105</v>
      </c>
      <c r="C1119" s="46" t="s">
        <v>4113</v>
      </c>
      <c r="D1119" s="46" t="s">
        <v>4208</v>
      </c>
      <c r="E1119" s="46" cm="1">
        <f t="array" ref="E1119">numteach_highest_educ_attainment_doctor_m</f>
        <v>0</v>
      </c>
      <c r="F1119" s="46" t="b">
        <v>1</v>
      </c>
    </row>
    <row r="1120" spans="1:8" ht="16.5" thickBot="1">
      <c r="A1120" s="479" t="s">
        <v>4114</v>
      </c>
      <c r="B1120" s="479" t="s">
        <v>4105</v>
      </c>
      <c r="C1120" s="479" t="s">
        <v>4114</v>
      </c>
      <c r="D1120" s="479" t="s">
        <v>4209</v>
      </c>
      <c r="E1120" s="479" cm="1">
        <f t="array" ref="E1120">numteach_highest_educ_attainment_doctor_f</f>
        <v>0</v>
      </c>
      <c r="F1120" s="479" t="b">
        <v>1</v>
      </c>
      <c r="G1120" s="479"/>
      <c r="H1120" s="479"/>
    </row>
    <row r="1121" spans="1:8" ht="16.5" thickTop="1">
      <c r="A1121" s="46" t="s">
        <v>4115</v>
      </c>
      <c r="B1121" s="46" t="s">
        <v>4116</v>
      </c>
      <c r="C1121" s="46" t="s">
        <v>4115</v>
      </c>
      <c r="D1121" s="46" t="s">
        <v>4371</v>
      </c>
      <c r="E1121" s="46" cm="1">
        <f t="array" ref="E1121">numteach_scieducmajor_gensci_m</f>
        <v>1</v>
      </c>
      <c r="F1121" s="46" t="b">
        <v>1</v>
      </c>
    </row>
    <row r="1122" spans="1:8">
      <c r="A1122" s="46" t="s">
        <v>4117</v>
      </c>
      <c r="B1122" s="46" t="s">
        <v>4116</v>
      </c>
      <c r="C1122" s="46" t="s">
        <v>4117</v>
      </c>
      <c r="D1122" s="46" t="s">
        <v>4372</v>
      </c>
      <c r="E1122" s="46" cm="1">
        <f t="array" ref="E1122">numteach_scieducmajor_gensci_f</f>
        <v>0</v>
      </c>
      <c r="F1122" s="46" t="b">
        <v>1</v>
      </c>
    </row>
    <row r="1123" spans="1:8">
      <c r="A1123" s="46" t="s">
        <v>4118</v>
      </c>
      <c r="B1123" s="46" t="s">
        <v>4116</v>
      </c>
      <c r="C1123" s="46" t="s">
        <v>4118</v>
      </c>
      <c r="D1123" s="46" t="s">
        <v>4373</v>
      </c>
      <c r="E1123" s="46" cm="1">
        <f t="array" ref="E1123">numteach_scieducmajor_bio_m</f>
        <v>0</v>
      </c>
      <c r="F1123" s="46" t="b">
        <v>1</v>
      </c>
    </row>
    <row r="1124" spans="1:8">
      <c r="A1124" s="46" t="s">
        <v>4119</v>
      </c>
      <c r="B1124" s="46" t="s">
        <v>4116</v>
      </c>
      <c r="C1124" s="46" t="s">
        <v>4119</v>
      </c>
      <c r="D1124" s="46" t="s">
        <v>4374</v>
      </c>
      <c r="E1124" s="46" cm="1">
        <f t="array" ref="E1124">numteach_scieducmajor_bio_f</f>
        <v>0</v>
      </c>
      <c r="F1124" s="46" t="b">
        <v>1</v>
      </c>
    </row>
    <row r="1125" spans="1:8">
      <c r="A1125" s="46" t="s">
        <v>4120</v>
      </c>
      <c r="B1125" s="46" t="s">
        <v>4116</v>
      </c>
      <c r="C1125" s="46" t="s">
        <v>4120</v>
      </c>
      <c r="D1125" s="46" t="s">
        <v>4375</v>
      </c>
      <c r="E1125" s="46" cm="1">
        <f t="array" ref="E1125">numteach_scieducmajor_chem_m</f>
        <v>1</v>
      </c>
      <c r="F1125" s="46" t="b">
        <v>1</v>
      </c>
    </row>
    <row r="1126" spans="1:8">
      <c r="A1126" s="46" t="s">
        <v>4121</v>
      </c>
      <c r="B1126" s="46" t="s">
        <v>4116</v>
      </c>
      <c r="C1126" s="46" t="s">
        <v>4121</v>
      </c>
      <c r="D1126" s="46" t="s">
        <v>4376</v>
      </c>
      <c r="E1126" s="46" cm="1">
        <f t="array" ref="E1126">numteach_scieducmajor_chem_f</f>
        <v>0</v>
      </c>
      <c r="F1126" s="46" t="b">
        <v>1</v>
      </c>
    </row>
    <row r="1127" spans="1:8">
      <c r="A1127" s="46" t="s">
        <v>4122</v>
      </c>
      <c r="B1127" s="46" t="s">
        <v>4116</v>
      </c>
      <c r="C1127" s="46" t="s">
        <v>4122</v>
      </c>
      <c r="D1127" s="46" t="s">
        <v>4377</v>
      </c>
      <c r="E1127" s="46" cm="1">
        <f t="array" ref="E1127">numteach_scieducmajor_physics_m</f>
        <v>1</v>
      </c>
      <c r="F1127" s="46" t="b">
        <v>1</v>
      </c>
    </row>
    <row r="1128" spans="1:8">
      <c r="A1128" s="46" t="s">
        <v>4123</v>
      </c>
      <c r="B1128" s="46" t="s">
        <v>4116</v>
      </c>
      <c r="C1128" s="46" t="s">
        <v>4123</v>
      </c>
      <c r="D1128" s="46" t="s">
        <v>4378</v>
      </c>
      <c r="E1128" s="46" cm="1">
        <f t="array" ref="E1128">numteach_scieducmajor_physics_f</f>
        <v>0</v>
      </c>
      <c r="F1128" s="46" t="b">
        <v>1</v>
      </c>
    </row>
    <row r="1129" spans="1:8">
      <c r="A1129" s="46" t="s">
        <v>4124</v>
      </c>
      <c r="B1129" s="46" t="s">
        <v>4116</v>
      </c>
      <c r="C1129" s="46" t="s">
        <v>4124</v>
      </c>
      <c r="D1129" s="46" t="s">
        <v>4379</v>
      </c>
      <c r="E1129" s="46" cm="1">
        <f t="array" ref="E1129">numteach_scieducmajor_others_m</f>
        <v>0</v>
      </c>
      <c r="F1129" s="46" t="b">
        <v>1</v>
      </c>
    </row>
    <row r="1130" spans="1:8" ht="16.5" thickBot="1">
      <c r="A1130" s="479" t="s">
        <v>4125</v>
      </c>
      <c r="B1130" s="479" t="s">
        <v>4116</v>
      </c>
      <c r="C1130" s="479" t="s">
        <v>4125</v>
      </c>
      <c r="D1130" s="479" t="s">
        <v>4380</v>
      </c>
      <c r="E1130" s="479" cm="1">
        <f t="array" ref="E1130">numteach_scieducmajor_others_f</f>
        <v>0</v>
      </c>
      <c r="F1130" s="479" t="b">
        <v>1</v>
      </c>
      <c r="G1130" s="479"/>
      <c r="H1130" s="479"/>
    </row>
    <row r="1131" spans="1:8" ht="16.5" thickTop="1">
      <c r="A1131" s="46" t="s">
        <v>4381</v>
      </c>
      <c r="B1131" s="46" t="s">
        <v>4126</v>
      </c>
      <c r="C1131" s="46" t="s">
        <v>4381</v>
      </c>
      <c r="D1131" s="1018" t="s">
        <v>4210</v>
      </c>
      <c r="E1131" s="46" cm="1">
        <f t="array" ref="E1131">teachassign_spcl_eng_gradmajor_notgreaterthan40</f>
        <v>0</v>
      </c>
      <c r="F1131" s="46" t="b">
        <v>1</v>
      </c>
    </row>
    <row r="1132" spans="1:8">
      <c r="A1132" s="46" t="s">
        <v>4426</v>
      </c>
      <c r="B1132" s="46" t="s">
        <v>4126</v>
      </c>
      <c r="C1132" s="46" t="s">
        <v>4426</v>
      </c>
      <c r="D1132" s="1018" t="s">
        <v>4211</v>
      </c>
      <c r="E1132" s="46" cm="1">
        <f t="array" ref="E1132">teachassign_spcl_eng_gradmajor_greaterthan40</f>
        <v>0</v>
      </c>
      <c r="F1132" s="46" t="b">
        <v>1</v>
      </c>
    </row>
    <row r="1133" spans="1:8">
      <c r="A1133" s="46" t="s">
        <v>4382</v>
      </c>
      <c r="B1133" s="46" t="s">
        <v>4126</v>
      </c>
      <c r="C1133" s="46" t="s">
        <v>4382</v>
      </c>
      <c r="D1133" s="1018" t="s">
        <v>4212</v>
      </c>
      <c r="E1133" s="46" cm="1">
        <f t="array" ref="E1133">teachassign_spcl_eng_bachmajor_notgreaterthan40</f>
        <v>0</v>
      </c>
      <c r="F1133" s="46" t="b">
        <v>1</v>
      </c>
    </row>
    <row r="1134" spans="1:8">
      <c r="A1134" s="46" t="s">
        <v>4427</v>
      </c>
      <c r="B1134" s="46" t="s">
        <v>4126</v>
      </c>
      <c r="C1134" s="46" t="s">
        <v>4427</v>
      </c>
      <c r="D1134" s="1018" t="s">
        <v>4213</v>
      </c>
      <c r="E1134" s="46" cm="1">
        <f t="array" ref="E1134">teachassign_spcl_eng_bachmajor_greaterthan40</f>
        <v>2</v>
      </c>
      <c r="F1134" s="46" t="b">
        <v>1</v>
      </c>
    </row>
    <row r="1135" spans="1:8">
      <c r="A1135" s="46" t="s">
        <v>4383</v>
      </c>
      <c r="B1135" s="46" t="s">
        <v>4126</v>
      </c>
      <c r="C1135" s="46" t="s">
        <v>4383</v>
      </c>
      <c r="D1135" s="1018" t="s">
        <v>4214</v>
      </c>
      <c r="E1135" s="46" cm="1">
        <f t="array" ref="E1135">teachassign_spcl_eng_bachminor_notgreaterthan40</f>
        <v>0</v>
      </c>
      <c r="F1135" s="46" t="b">
        <v>1</v>
      </c>
    </row>
    <row r="1136" spans="1:8">
      <c r="A1136" s="46" t="s">
        <v>4428</v>
      </c>
      <c r="B1136" s="46" t="s">
        <v>4126</v>
      </c>
      <c r="C1136" s="46" t="s">
        <v>4428</v>
      </c>
      <c r="D1136" s="1018" t="s">
        <v>4215</v>
      </c>
      <c r="E1136" s="46" cm="1">
        <f t="array" ref="E1136">teachassign_spcl_eng_bachminor_greaterthan40</f>
        <v>0</v>
      </c>
      <c r="F1136" s="46" t="b">
        <v>1</v>
      </c>
    </row>
    <row r="1137" spans="1:6">
      <c r="A1137" s="46" t="s">
        <v>4384</v>
      </c>
      <c r="B1137" s="46" t="s">
        <v>4126</v>
      </c>
      <c r="C1137" s="46" t="s">
        <v>4384</v>
      </c>
      <c r="D1137" s="1018" t="s">
        <v>4216</v>
      </c>
      <c r="E1137" s="46" cm="1">
        <f t="array" ref="E1137">teachassign_spcl_eng_withspcltraining_notgreaterthan40</f>
        <v>0</v>
      </c>
      <c r="F1137" s="46" t="b">
        <v>1</v>
      </c>
    </row>
    <row r="1138" spans="1:6">
      <c r="A1138" s="46" t="s">
        <v>4429</v>
      </c>
      <c r="B1138" s="46" t="s">
        <v>4126</v>
      </c>
      <c r="C1138" s="46" t="s">
        <v>4429</v>
      </c>
      <c r="D1138" s="1018" t="s">
        <v>4217</v>
      </c>
      <c r="E1138" s="46" cm="1">
        <f t="array" ref="E1138">teachassign_spcl_eng_withspcltraining_greaterthan40</f>
        <v>0</v>
      </c>
      <c r="F1138" s="46" t="b">
        <v>1</v>
      </c>
    </row>
    <row r="1139" spans="1:6">
      <c r="A1139" s="46" t="s">
        <v>4385</v>
      </c>
      <c r="B1139" s="46" t="s">
        <v>4126</v>
      </c>
      <c r="C1139" s="46" t="s">
        <v>4385</v>
      </c>
      <c r="D1139" s="1018" t="s">
        <v>4218</v>
      </c>
      <c r="E1139" s="46" cm="1">
        <f t="array" ref="E1139">teachassign_spcl_eng_nospcltraining_notgreaterthan40</f>
        <v>0</v>
      </c>
      <c r="F1139" s="46" t="b">
        <v>1</v>
      </c>
    </row>
    <row r="1140" spans="1:6">
      <c r="A1140" s="46" t="s">
        <v>4430</v>
      </c>
      <c r="B1140" s="46" t="s">
        <v>4126</v>
      </c>
      <c r="C1140" s="46" t="s">
        <v>4430</v>
      </c>
      <c r="D1140" s="1018" t="s">
        <v>4219</v>
      </c>
      <c r="E1140" s="46" cm="1">
        <f t="array" ref="E1140">teachassign_spcl_eng_nospcltraining_greaterthan40</f>
        <v>5</v>
      </c>
      <c r="F1140" s="46" t="b">
        <v>1</v>
      </c>
    </row>
    <row r="1141" spans="1:6">
      <c r="A1141" s="46" t="s">
        <v>4386</v>
      </c>
      <c r="B1141" s="46" t="s">
        <v>4126</v>
      </c>
      <c r="C1141" s="46" t="s">
        <v>4386</v>
      </c>
      <c r="D1141" s="1018" t="s">
        <v>4220</v>
      </c>
      <c r="E1141" s="46" cm="1">
        <f t="array" ref="E1141">teachassign_spcl_fil_gradmajor_notgreaterthan40</f>
        <v>0</v>
      </c>
      <c r="F1141" s="46" t="b">
        <v>1</v>
      </c>
    </row>
    <row r="1142" spans="1:6">
      <c r="A1142" s="46" t="s">
        <v>4431</v>
      </c>
      <c r="B1142" s="46" t="s">
        <v>4126</v>
      </c>
      <c r="C1142" s="46" t="s">
        <v>4431</v>
      </c>
      <c r="D1142" s="1018" t="s">
        <v>4221</v>
      </c>
      <c r="E1142" s="46" cm="1">
        <f t="array" ref="E1142">teachassign_spcl_fil_gradmajor_greaterthan40</f>
        <v>0</v>
      </c>
      <c r="F1142" s="46" t="b">
        <v>1</v>
      </c>
    </row>
    <row r="1143" spans="1:6">
      <c r="A1143" s="46" t="s">
        <v>4387</v>
      </c>
      <c r="B1143" s="46" t="s">
        <v>4126</v>
      </c>
      <c r="C1143" s="46" t="s">
        <v>4387</v>
      </c>
      <c r="D1143" s="1018" t="s">
        <v>4222</v>
      </c>
      <c r="E1143" s="46" cm="1">
        <f t="array" ref="E1143">teachassign_spcl_fil_bachmajor_notgreaterthan40</f>
        <v>0</v>
      </c>
      <c r="F1143" s="46" t="b">
        <v>1</v>
      </c>
    </row>
    <row r="1144" spans="1:6">
      <c r="A1144" s="46" t="s">
        <v>4432</v>
      </c>
      <c r="B1144" s="46" t="s">
        <v>4126</v>
      </c>
      <c r="C1144" s="46" t="s">
        <v>4432</v>
      </c>
      <c r="D1144" s="1018" t="s">
        <v>4223</v>
      </c>
      <c r="E1144" s="46" cm="1">
        <f t="array" ref="E1144">teachassign_spcl_fil_bachmajor_greaterthan40</f>
        <v>1</v>
      </c>
      <c r="F1144" s="46" t="b">
        <v>1</v>
      </c>
    </row>
    <row r="1145" spans="1:6">
      <c r="A1145" s="46" t="s">
        <v>4388</v>
      </c>
      <c r="B1145" s="46" t="s">
        <v>4126</v>
      </c>
      <c r="C1145" s="46" t="s">
        <v>4388</v>
      </c>
      <c r="D1145" s="1018" t="s">
        <v>4224</v>
      </c>
      <c r="E1145" s="46" cm="1">
        <f t="array" ref="E1145">teachassign_spcl_fil_bachminor_notgreaterthan40</f>
        <v>0</v>
      </c>
      <c r="F1145" s="46" t="b">
        <v>1</v>
      </c>
    </row>
    <row r="1146" spans="1:6">
      <c r="A1146" s="46" t="s">
        <v>4433</v>
      </c>
      <c r="B1146" s="46" t="s">
        <v>4126</v>
      </c>
      <c r="C1146" s="46" t="s">
        <v>4433</v>
      </c>
      <c r="D1146" s="1018" t="s">
        <v>4225</v>
      </c>
      <c r="E1146" s="46" cm="1">
        <f t="array" ref="E1146">teachassign_spcl_fil_bachminor_greaterthan40</f>
        <v>0</v>
      </c>
      <c r="F1146" s="46" t="b">
        <v>1</v>
      </c>
    </row>
    <row r="1147" spans="1:6">
      <c r="A1147" s="46" t="s">
        <v>4389</v>
      </c>
      <c r="B1147" s="46" t="s">
        <v>4126</v>
      </c>
      <c r="C1147" s="46" t="s">
        <v>4389</v>
      </c>
      <c r="D1147" s="1018" t="s">
        <v>4226</v>
      </c>
      <c r="E1147" s="46" cm="1">
        <f t="array" ref="E1147">teachassign_spcl_fil_withspcltraining_notgreaterthan40</f>
        <v>0</v>
      </c>
      <c r="F1147" s="46" t="b">
        <v>1</v>
      </c>
    </row>
    <row r="1148" spans="1:6">
      <c r="A1148" s="46" t="s">
        <v>4434</v>
      </c>
      <c r="B1148" s="46" t="s">
        <v>4126</v>
      </c>
      <c r="C1148" s="46" t="s">
        <v>4434</v>
      </c>
      <c r="D1148" s="1018" t="s">
        <v>4227</v>
      </c>
      <c r="E1148" s="46" cm="1">
        <f t="array" ref="E1148">teachassign_spcl_fil_withspcltraining_greaterthan40</f>
        <v>0</v>
      </c>
      <c r="F1148" s="46" t="b">
        <v>1</v>
      </c>
    </row>
    <row r="1149" spans="1:6">
      <c r="A1149" s="46" t="s">
        <v>4390</v>
      </c>
      <c r="B1149" s="46" t="s">
        <v>4126</v>
      </c>
      <c r="C1149" s="46" t="s">
        <v>4390</v>
      </c>
      <c r="D1149" s="1018" t="s">
        <v>4228</v>
      </c>
      <c r="E1149" s="46" cm="1">
        <f t="array" ref="E1149">teachassign_spcl_fil_nospcltraining_notgreaterthan40</f>
        <v>0</v>
      </c>
      <c r="F1149" s="46" t="b">
        <v>1</v>
      </c>
    </row>
    <row r="1150" spans="1:6">
      <c r="A1150" s="46" t="s">
        <v>4435</v>
      </c>
      <c r="B1150" s="46" t="s">
        <v>4126</v>
      </c>
      <c r="C1150" s="46" t="s">
        <v>4435</v>
      </c>
      <c r="D1150" s="1018" t="s">
        <v>4229</v>
      </c>
      <c r="E1150" s="46" cm="1">
        <f t="array" ref="E1150">teachassign_spcl_fil_nospcltraining_greaterthan40</f>
        <v>2</v>
      </c>
      <c r="F1150" s="46" t="b">
        <v>1</v>
      </c>
    </row>
    <row r="1151" spans="1:6">
      <c r="A1151" s="46" t="s">
        <v>4391</v>
      </c>
      <c r="B1151" s="46" t="s">
        <v>4126</v>
      </c>
      <c r="C1151" s="46" t="s">
        <v>4391</v>
      </c>
      <c r="D1151" s="1018" t="s">
        <v>4230</v>
      </c>
      <c r="E1151" s="46" cm="1">
        <f t="array" ref="E1151">teachassign_spcl_hum_gradmajor_notgreaterthan40</f>
        <v>0</v>
      </c>
      <c r="F1151" s="46" t="b">
        <v>1</v>
      </c>
    </row>
    <row r="1152" spans="1:6">
      <c r="A1152" s="46" t="s">
        <v>4436</v>
      </c>
      <c r="B1152" s="46" t="s">
        <v>4126</v>
      </c>
      <c r="C1152" s="46" t="s">
        <v>4436</v>
      </c>
      <c r="D1152" s="1018" t="s">
        <v>4231</v>
      </c>
      <c r="E1152" s="46" cm="1">
        <f t="array" ref="E1152">teachassign_spcl_hum_gradmajor_greaterthan40</f>
        <v>0</v>
      </c>
      <c r="F1152" s="46" t="b">
        <v>1</v>
      </c>
    </row>
    <row r="1153" spans="1:6">
      <c r="A1153" s="46" t="s">
        <v>4392</v>
      </c>
      <c r="B1153" s="46" t="s">
        <v>4126</v>
      </c>
      <c r="C1153" s="46" t="s">
        <v>4392</v>
      </c>
      <c r="D1153" s="1018" t="s">
        <v>4232</v>
      </c>
      <c r="E1153" s="46" cm="1">
        <f t="array" ref="E1153">teachassign_spcl_hum_bachmajor_notgreaterthan40</f>
        <v>0</v>
      </c>
      <c r="F1153" s="46" t="b">
        <v>1</v>
      </c>
    </row>
    <row r="1154" spans="1:6">
      <c r="A1154" s="46" t="s">
        <v>4437</v>
      </c>
      <c r="B1154" s="46" t="s">
        <v>4126</v>
      </c>
      <c r="C1154" s="46" t="s">
        <v>4437</v>
      </c>
      <c r="D1154" s="1018" t="s">
        <v>4233</v>
      </c>
      <c r="E1154" s="46" cm="1">
        <f t="array" ref="E1154">teachassign_spcl_hum_bachmajor_greaterthan40</f>
        <v>0</v>
      </c>
      <c r="F1154" s="46" t="b">
        <v>1</v>
      </c>
    </row>
    <row r="1155" spans="1:6">
      <c r="A1155" s="46" t="s">
        <v>4393</v>
      </c>
      <c r="B1155" s="46" t="s">
        <v>4126</v>
      </c>
      <c r="C1155" s="46" t="s">
        <v>4393</v>
      </c>
      <c r="D1155" s="1018" t="s">
        <v>4234</v>
      </c>
      <c r="E1155" s="46" cm="1">
        <f t="array" ref="E1155">teachassign_spcl_hum_bachminor_notgreaterthan40</f>
        <v>0</v>
      </c>
      <c r="F1155" s="46" t="b">
        <v>1</v>
      </c>
    </row>
    <row r="1156" spans="1:6">
      <c r="A1156" s="46" t="s">
        <v>4438</v>
      </c>
      <c r="B1156" s="46" t="s">
        <v>4126</v>
      </c>
      <c r="C1156" s="46" t="s">
        <v>4438</v>
      </c>
      <c r="D1156" s="1018" t="s">
        <v>4235</v>
      </c>
      <c r="E1156" s="46" cm="1">
        <f t="array" ref="E1156">teachassign_spcl_hum_bachminor_greaterthan40</f>
        <v>0</v>
      </c>
      <c r="F1156" s="46" t="b">
        <v>1</v>
      </c>
    </row>
    <row r="1157" spans="1:6">
      <c r="A1157" s="46" t="s">
        <v>4394</v>
      </c>
      <c r="B1157" s="46" t="s">
        <v>4126</v>
      </c>
      <c r="C1157" s="46" t="s">
        <v>4394</v>
      </c>
      <c r="D1157" s="1018" t="s">
        <v>4236</v>
      </c>
      <c r="E1157" s="46" cm="1">
        <f t="array" ref="E1157">teachassign_spcl_hum_withspcltraining_notgreaterthan40</f>
        <v>0</v>
      </c>
      <c r="F1157" s="46" t="b">
        <v>1</v>
      </c>
    </row>
    <row r="1158" spans="1:6">
      <c r="A1158" s="46" t="s">
        <v>4439</v>
      </c>
      <c r="B1158" s="46" t="s">
        <v>4126</v>
      </c>
      <c r="C1158" s="46" t="s">
        <v>4439</v>
      </c>
      <c r="D1158" s="1018" t="s">
        <v>4237</v>
      </c>
      <c r="E1158" s="46" cm="1">
        <f t="array" ref="E1158">teachassign_spcl_hum_withspcltraining_greaterthan40</f>
        <v>0</v>
      </c>
      <c r="F1158" s="46" t="b">
        <v>1</v>
      </c>
    </row>
    <row r="1159" spans="1:6">
      <c r="A1159" s="46" t="s">
        <v>4395</v>
      </c>
      <c r="B1159" s="46" t="s">
        <v>4126</v>
      </c>
      <c r="C1159" s="46" t="s">
        <v>4395</v>
      </c>
      <c r="D1159" s="1018" t="s">
        <v>4238</v>
      </c>
      <c r="E1159" s="46" cm="1">
        <f t="array" ref="E1159">teachassign_spcl_hum_nospcltraining_notgreaterthan40</f>
        <v>0</v>
      </c>
      <c r="F1159" s="46" t="b">
        <v>1</v>
      </c>
    </row>
    <row r="1160" spans="1:6">
      <c r="A1160" s="46" t="s">
        <v>4440</v>
      </c>
      <c r="B1160" s="46" t="s">
        <v>4126</v>
      </c>
      <c r="C1160" s="46" t="s">
        <v>4440</v>
      </c>
      <c r="D1160" s="1018" t="s">
        <v>4239</v>
      </c>
      <c r="E1160" s="46" cm="1">
        <f t="array" ref="E1160">teachassign_spcl_hum_nospcltraining_greaterthan40</f>
        <v>4</v>
      </c>
      <c r="F1160" s="46" t="b">
        <v>1</v>
      </c>
    </row>
    <row r="1161" spans="1:6">
      <c r="A1161" s="46" t="s">
        <v>4396</v>
      </c>
      <c r="B1161" s="46" t="s">
        <v>4126</v>
      </c>
      <c r="C1161" s="46" t="s">
        <v>4396</v>
      </c>
      <c r="D1161" s="1018" t="s">
        <v>4240</v>
      </c>
      <c r="E1161" s="46" cm="1">
        <f t="array" ref="E1161">teachassign_spcl_com_gradmajor_notgreaterthan40</f>
        <v>0</v>
      </c>
      <c r="F1161" s="46" t="b">
        <v>1</v>
      </c>
    </row>
    <row r="1162" spans="1:6">
      <c r="A1162" s="46" t="s">
        <v>4441</v>
      </c>
      <c r="B1162" s="46" t="s">
        <v>4126</v>
      </c>
      <c r="C1162" s="46" t="s">
        <v>4441</v>
      </c>
      <c r="D1162" s="1018" t="s">
        <v>4241</v>
      </c>
      <c r="E1162" s="46" cm="1">
        <f t="array" ref="E1162">teachassign_spcl_com_gradmajor_greaterthan40</f>
        <v>0</v>
      </c>
      <c r="F1162" s="46" t="b">
        <v>1</v>
      </c>
    </row>
    <row r="1163" spans="1:6">
      <c r="A1163" s="46" t="s">
        <v>4397</v>
      </c>
      <c r="B1163" s="46" t="s">
        <v>4126</v>
      </c>
      <c r="C1163" s="46" t="s">
        <v>4397</v>
      </c>
      <c r="D1163" s="1018" t="s">
        <v>4242</v>
      </c>
      <c r="E1163" s="46" cm="1">
        <f t="array" ref="E1163">teachassign_spcl_com_bachmajor_notgreaterthan40</f>
        <v>0</v>
      </c>
      <c r="F1163" s="46" t="b">
        <v>1</v>
      </c>
    </row>
    <row r="1164" spans="1:6">
      <c r="A1164" s="46" t="s">
        <v>4442</v>
      </c>
      <c r="B1164" s="46" t="s">
        <v>4126</v>
      </c>
      <c r="C1164" s="46" t="s">
        <v>4442</v>
      </c>
      <c r="D1164" s="1018" t="s">
        <v>4243</v>
      </c>
      <c r="E1164" s="46" cm="1">
        <f t="array" ref="E1164">teachassign_spcl_com_bachmajor_greaterthan40</f>
        <v>2</v>
      </c>
      <c r="F1164" s="46" t="b">
        <v>1</v>
      </c>
    </row>
    <row r="1165" spans="1:6">
      <c r="A1165" s="46" t="s">
        <v>4398</v>
      </c>
      <c r="B1165" s="46" t="s">
        <v>4126</v>
      </c>
      <c r="C1165" s="46" t="s">
        <v>4398</v>
      </c>
      <c r="D1165" s="1018" t="s">
        <v>4244</v>
      </c>
      <c r="E1165" s="46" cm="1">
        <f t="array" ref="E1165">teachassign_spcl_com_bachminor_notgreaterthan40</f>
        <v>0</v>
      </c>
      <c r="F1165" s="46" t="b">
        <v>1</v>
      </c>
    </row>
    <row r="1166" spans="1:6">
      <c r="A1166" s="46" t="s">
        <v>4443</v>
      </c>
      <c r="B1166" s="46" t="s">
        <v>4126</v>
      </c>
      <c r="C1166" s="46" t="s">
        <v>4443</v>
      </c>
      <c r="D1166" s="1018" t="s">
        <v>4245</v>
      </c>
      <c r="E1166" s="46" cm="1">
        <f t="array" ref="E1166">teachassign_spcl_com_bachminor_greaterthan40</f>
        <v>0</v>
      </c>
      <c r="F1166" s="46" t="b">
        <v>1</v>
      </c>
    </row>
    <row r="1167" spans="1:6">
      <c r="A1167" s="46" t="s">
        <v>4399</v>
      </c>
      <c r="B1167" s="46" t="s">
        <v>4126</v>
      </c>
      <c r="C1167" s="46" t="s">
        <v>4399</v>
      </c>
      <c r="D1167" s="1018" t="s">
        <v>4246</v>
      </c>
      <c r="E1167" s="46" cm="1">
        <f t="array" ref="E1167">teachassign_spcl_com_withspcltraining_notgreaterthan40</f>
        <v>0</v>
      </c>
      <c r="F1167" s="46" t="b">
        <v>1</v>
      </c>
    </row>
    <row r="1168" spans="1:6">
      <c r="A1168" s="46" t="s">
        <v>4444</v>
      </c>
      <c r="B1168" s="46" t="s">
        <v>4126</v>
      </c>
      <c r="C1168" s="46" t="s">
        <v>4444</v>
      </c>
      <c r="D1168" s="1018" t="s">
        <v>4247</v>
      </c>
      <c r="E1168" s="46" cm="1">
        <f t="array" ref="E1168">teachassign_spcl_com_withspcltraining_greaterthan40</f>
        <v>0</v>
      </c>
      <c r="F1168" s="46" t="b">
        <v>1</v>
      </c>
    </row>
    <row r="1169" spans="1:6">
      <c r="A1169" s="46" t="s">
        <v>4400</v>
      </c>
      <c r="B1169" s="46" t="s">
        <v>4126</v>
      </c>
      <c r="C1169" s="46" t="s">
        <v>4400</v>
      </c>
      <c r="D1169" s="1018" t="s">
        <v>4248</v>
      </c>
      <c r="E1169" s="46" cm="1">
        <f t="array" ref="E1169">teachassign_spcl_com_nospcltraining_notgreaterthan40</f>
        <v>0</v>
      </c>
      <c r="F1169" s="46" t="b">
        <v>1</v>
      </c>
    </row>
    <row r="1170" spans="1:6">
      <c r="A1170" s="46" t="s">
        <v>4445</v>
      </c>
      <c r="B1170" s="46" t="s">
        <v>4126</v>
      </c>
      <c r="C1170" s="46" t="s">
        <v>4445</v>
      </c>
      <c r="D1170" s="1018" t="s">
        <v>4249</v>
      </c>
      <c r="E1170" s="46" cm="1">
        <f t="array" ref="E1170">teachassign_spcl_com_nospcltraining_greaterthan40</f>
        <v>4</v>
      </c>
      <c r="F1170" s="46" t="b">
        <v>1</v>
      </c>
    </row>
    <row r="1171" spans="1:6">
      <c r="A1171" s="46" t="s">
        <v>4401</v>
      </c>
      <c r="B1171" s="46" t="s">
        <v>4126</v>
      </c>
      <c r="C1171" s="46" t="s">
        <v>4401</v>
      </c>
      <c r="D1171" s="1018" t="s">
        <v>4250</v>
      </c>
      <c r="E1171" s="46" cm="1">
        <f t="array" ref="E1171">teachassign_spcl_math_gradmajor_notgreaterthan40</f>
        <v>0</v>
      </c>
      <c r="F1171" s="46" t="b">
        <v>1</v>
      </c>
    </row>
    <row r="1172" spans="1:6">
      <c r="A1172" s="46" t="s">
        <v>4446</v>
      </c>
      <c r="B1172" s="46" t="s">
        <v>4126</v>
      </c>
      <c r="C1172" s="46" t="s">
        <v>4446</v>
      </c>
      <c r="D1172" s="1018" t="s">
        <v>4251</v>
      </c>
      <c r="E1172" s="46" cm="1">
        <f t="array" ref="E1172">teachassign_spcl_math_gradmajor_greaterthan40</f>
        <v>0</v>
      </c>
      <c r="F1172" s="46" t="b">
        <v>1</v>
      </c>
    </row>
    <row r="1173" spans="1:6">
      <c r="A1173" s="46" t="s">
        <v>4402</v>
      </c>
      <c r="B1173" s="46" t="s">
        <v>4126</v>
      </c>
      <c r="C1173" s="46" t="s">
        <v>4402</v>
      </c>
      <c r="D1173" s="1018" t="s">
        <v>4252</v>
      </c>
      <c r="E1173" s="46" cm="1">
        <f t="array" ref="E1173">teachassign_spcl_math_bachmajor_notgreaterthan40</f>
        <v>0</v>
      </c>
      <c r="F1173" s="46" t="b">
        <v>1</v>
      </c>
    </row>
    <row r="1174" spans="1:6">
      <c r="A1174" s="46" t="s">
        <v>4447</v>
      </c>
      <c r="B1174" s="46" t="s">
        <v>4126</v>
      </c>
      <c r="C1174" s="46" t="s">
        <v>4447</v>
      </c>
      <c r="D1174" s="1018" t="s">
        <v>4253</v>
      </c>
      <c r="E1174" s="46" cm="1">
        <f t="array" ref="E1174">teachassign_spcl_math_bachmajor_greaterthan40</f>
        <v>0</v>
      </c>
      <c r="F1174" s="46" t="b">
        <v>1</v>
      </c>
    </row>
    <row r="1175" spans="1:6">
      <c r="A1175" s="46" t="s">
        <v>4403</v>
      </c>
      <c r="B1175" s="46" t="s">
        <v>4126</v>
      </c>
      <c r="C1175" s="46" t="s">
        <v>4403</v>
      </c>
      <c r="D1175" s="1018" t="s">
        <v>4254</v>
      </c>
      <c r="E1175" s="46" cm="1">
        <f t="array" ref="E1175">teachassign_spcl_math_bachminor_notgreaterthan40</f>
        <v>0</v>
      </c>
      <c r="F1175" s="46" t="b">
        <v>1</v>
      </c>
    </row>
    <row r="1176" spans="1:6">
      <c r="A1176" s="46" t="s">
        <v>4448</v>
      </c>
      <c r="B1176" s="46" t="s">
        <v>4126</v>
      </c>
      <c r="C1176" s="46" t="s">
        <v>4448</v>
      </c>
      <c r="D1176" s="1018" t="s">
        <v>4255</v>
      </c>
      <c r="E1176" s="46" cm="1">
        <f t="array" ref="E1176">teachassign_spcl_math_bachminor_greaterthan40</f>
        <v>0</v>
      </c>
      <c r="F1176" s="46" t="b">
        <v>1</v>
      </c>
    </row>
    <row r="1177" spans="1:6">
      <c r="A1177" s="46" t="s">
        <v>4404</v>
      </c>
      <c r="B1177" s="46" t="s">
        <v>4126</v>
      </c>
      <c r="C1177" s="46" t="s">
        <v>4404</v>
      </c>
      <c r="D1177" s="1018" t="s">
        <v>4256</v>
      </c>
      <c r="E1177" s="46" cm="1">
        <f t="array" ref="E1177">teachassign_spcl_math_withspcltraining_notgreaterthan40</f>
        <v>0</v>
      </c>
      <c r="F1177" s="46" t="b">
        <v>1</v>
      </c>
    </row>
    <row r="1178" spans="1:6">
      <c r="A1178" s="46" t="s">
        <v>4449</v>
      </c>
      <c r="B1178" s="46" t="s">
        <v>4126</v>
      </c>
      <c r="C1178" s="46" t="s">
        <v>4449</v>
      </c>
      <c r="D1178" s="1018" t="s">
        <v>4257</v>
      </c>
      <c r="E1178" s="46" cm="1">
        <f t="array" ref="E1178">teachassign_spcl_math_withspcltraining_greaterthan40</f>
        <v>0</v>
      </c>
      <c r="F1178" s="46" t="b">
        <v>1</v>
      </c>
    </row>
    <row r="1179" spans="1:6">
      <c r="A1179" s="46" t="s">
        <v>4405</v>
      </c>
      <c r="B1179" s="46" t="s">
        <v>4126</v>
      </c>
      <c r="C1179" s="46" t="s">
        <v>4405</v>
      </c>
      <c r="D1179" s="1018" t="s">
        <v>4258</v>
      </c>
      <c r="E1179" s="46" cm="1">
        <f t="array" ref="E1179">teachassign_spcl_math_nospcltraining_notgreaterthan40</f>
        <v>0</v>
      </c>
      <c r="F1179" s="46" t="b">
        <v>1</v>
      </c>
    </row>
    <row r="1180" spans="1:6">
      <c r="A1180" s="46" t="s">
        <v>4450</v>
      </c>
      <c r="B1180" s="46" t="s">
        <v>4126</v>
      </c>
      <c r="C1180" s="46" t="s">
        <v>4450</v>
      </c>
      <c r="D1180" s="1018" t="s">
        <v>4259</v>
      </c>
      <c r="E1180" s="46" cm="1">
        <f t="array" ref="E1180">teachassign_spcl_math_nospcltraining_greaterthan40</f>
        <v>1</v>
      </c>
      <c r="F1180" s="46" t="b">
        <v>1</v>
      </c>
    </row>
    <row r="1181" spans="1:6">
      <c r="A1181" s="46" t="s">
        <v>4406</v>
      </c>
      <c r="B1181" s="46" t="s">
        <v>4126</v>
      </c>
      <c r="C1181" s="46" t="s">
        <v>4406</v>
      </c>
      <c r="D1181" s="1018" t="s">
        <v>4260</v>
      </c>
      <c r="E1181" s="46" cm="1">
        <f t="array" ref="E1181">teachassign_spcl_sci_gradmajor_notgreaterthan40</f>
        <v>0</v>
      </c>
      <c r="F1181" s="46" t="b">
        <v>1</v>
      </c>
    </row>
    <row r="1182" spans="1:6">
      <c r="A1182" s="46" t="s">
        <v>4451</v>
      </c>
      <c r="B1182" s="46" t="s">
        <v>4126</v>
      </c>
      <c r="C1182" s="46" t="s">
        <v>4451</v>
      </c>
      <c r="D1182" s="1018" t="s">
        <v>4261</v>
      </c>
      <c r="E1182" s="46" cm="1">
        <f t="array" ref="E1182">teachassign_spcl_sci_gradmajor_greaterthan40</f>
        <v>0</v>
      </c>
      <c r="F1182" s="46" t="b">
        <v>1</v>
      </c>
    </row>
    <row r="1183" spans="1:6">
      <c r="A1183" s="46" t="s">
        <v>4407</v>
      </c>
      <c r="B1183" s="46" t="s">
        <v>4126</v>
      </c>
      <c r="C1183" s="46" t="s">
        <v>4407</v>
      </c>
      <c r="D1183" s="1018" t="s">
        <v>4262</v>
      </c>
      <c r="E1183" s="46" cm="1">
        <f t="array" ref="E1183">teachassign_spcl_sci_bachmajor_notgreaterthan40</f>
        <v>0</v>
      </c>
      <c r="F1183" s="46" t="b">
        <v>1</v>
      </c>
    </row>
    <row r="1184" spans="1:6">
      <c r="A1184" s="46" t="s">
        <v>4452</v>
      </c>
      <c r="B1184" s="46" t="s">
        <v>4126</v>
      </c>
      <c r="C1184" s="46" t="s">
        <v>4452</v>
      </c>
      <c r="D1184" s="1018" t="s">
        <v>4263</v>
      </c>
      <c r="E1184" s="46" cm="1">
        <f t="array" ref="E1184">teachassign_spcl_sci_bachmajor_greaterthan40</f>
        <v>3</v>
      </c>
      <c r="F1184" s="46" t="b">
        <v>1</v>
      </c>
    </row>
    <row r="1185" spans="1:6">
      <c r="A1185" s="46" t="s">
        <v>4408</v>
      </c>
      <c r="B1185" s="46" t="s">
        <v>4126</v>
      </c>
      <c r="C1185" s="46" t="s">
        <v>4408</v>
      </c>
      <c r="D1185" s="1018" t="s">
        <v>4264</v>
      </c>
      <c r="E1185" s="46" cm="1">
        <f t="array" ref="E1185">teachassign_spcl_sci_bachminor_notgreaterthan40</f>
        <v>0</v>
      </c>
      <c r="F1185" s="46" t="b">
        <v>1</v>
      </c>
    </row>
    <row r="1186" spans="1:6">
      <c r="A1186" s="46" t="s">
        <v>4453</v>
      </c>
      <c r="B1186" s="46" t="s">
        <v>4126</v>
      </c>
      <c r="C1186" s="46" t="s">
        <v>4453</v>
      </c>
      <c r="D1186" s="1018" t="s">
        <v>4265</v>
      </c>
      <c r="E1186" s="46" cm="1">
        <f t="array" ref="E1186">teachassign_spcl_sci_bachminor_greaterthan40</f>
        <v>0</v>
      </c>
      <c r="F1186" s="46" t="b">
        <v>1</v>
      </c>
    </row>
    <row r="1187" spans="1:6">
      <c r="A1187" s="46" t="s">
        <v>4409</v>
      </c>
      <c r="B1187" s="46" t="s">
        <v>4126</v>
      </c>
      <c r="C1187" s="46" t="s">
        <v>4409</v>
      </c>
      <c r="D1187" s="1018" t="s">
        <v>4266</v>
      </c>
      <c r="E1187" s="46" cm="1">
        <f t="array" ref="E1187">teachassign_spcl_sci_withspcltraining_notgreaterthan40</f>
        <v>0</v>
      </c>
      <c r="F1187" s="46" t="b">
        <v>1</v>
      </c>
    </row>
    <row r="1188" spans="1:6">
      <c r="A1188" s="46" t="s">
        <v>4454</v>
      </c>
      <c r="B1188" s="46" t="s">
        <v>4126</v>
      </c>
      <c r="C1188" s="46" t="s">
        <v>4454</v>
      </c>
      <c r="D1188" s="1018" t="s">
        <v>4267</v>
      </c>
      <c r="E1188" s="46" cm="1">
        <f t="array" ref="E1188">teachassign_spcl_sci_withspcltraining_greaterthan40</f>
        <v>0</v>
      </c>
      <c r="F1188" s="46" t="b">
        <v>1</v>
      </c>
    </row>
    <row r="1189" spans="1:6">
      <c r="A1189" s="46" t="s">
        <v>4410</v>
      </c>
      <c r="B1189" s="46" t="s">
        <v>4126</v>
      </c>
      <c r="C1189" s="46" t="s">
        <v>4410</v>
      </c>
      <c r="D1189" s="1018" t="s">
        <v>4268</v>
      </c>
      <c r="E1189" s="46" cm="1">
        <f t="array" ref="E1189">teachassign_spcl_sci_nospcltraining_notgreaterthan40</f>
        <v>0</v>
      </c>
      <c r="F1189" s="46" t="b">
        <v>1</v>
      </c>
    </row>
    <row r="1190" spans="1:6">
      <c r="A1190" s="46" t="s">
        <v>4455</v>
      </c>
      <c r="B1190" s="46" t="s">
        <v>4126</v>
      </c>
      <c r="C1190" s="46" t="s">
        <v>4455</v>
      </c>
      <c r="D1190" s="1018" t="s">
        <v>4269</v>
      </c>
      <c r="E1190" s="46" cm="1">
        <f t="array" ref="E1190">teachassign_spcl_sci_nospcltraining_greaterthan40</f>
        <v>2</v>
      </c>
      <c r="F1190" s="46" t="b">
        <v>1</v>
      </c>
    </row>
    <row r="1191" spans="1:6">
      <c r="A1191" s="46" t="s">
        <v>4411</v>
      </c>
      <c r="B1191" s="46" t="s">
        <v>4126</v>
      </c>
      <c r="C1191" s="46" t="s">
        <v>4411</v>
      </c>
      <c r="D1191" s="1018" t="s">
        <v>4270</v>
      </c>
      <c r="E1191" s="46" cm="1">
        <f t="array" ref="E1191">teachassign_spcl_socsci_gradmajor_notgreaterthan40</f>
        <v>0</v>
      </c>
      <c r="F1191" s="46" t="b">
        <v>1</v>
      </c>
    </row>
    <row r="1192" spans="1:6">
      <c r="A1192" s="46" t="s">
        <v>4456</v>
      </c>
      <c r="B1192" s="46" t="s">
        <v>4126</v>
      </c>
      <c r="C1192" s="46" t="s">
        <v>4456</v>
      </c>
      <c r="D1192" s="1018" t="s">
        <v>4271</v>
      </c>
      <c r="E1192" s="46" cm="1">
        <f t="array" ref="E1192">teachassign_spcl_socsci_gradmajor_greaterthan40</f>
        <v>0</v>
      </c>
      <c r="F1192" s="46" t="b">
        <v>1</v>
      </c>
    </row>
    <row r="1193" spans="1:6">
      <c r="A1193" s="46" t="s">
        <v>4412</v>
      </c>
      <c r="B1193" s="46" t="s">
        <v>4126</v>
      </c>
      <c r="C1193" s="46" t="s">
        <v>4412</v>
      </c>
      <c r="D1193" s="1018" t="s">
        <v>4272</v>
      </c>
      <c r="E1193" s="46" cm="1">
        <f t="array" ref="E1193">teachassign_spcl_socsci_bachmajor_notgreaterthan40</f>
        <v>0</v>
      </c>
      <c r="F1193" s="46" t="b">
        <v>1</v>
      </c>
    </row>
    <row r="1194" spans="1:6">
      <c r="A1194" s="46" t="s">
        <v>4457</v>
      </c>
      <c r="B1194" s="46" t="s">
        <v>4126</v>
      </c>
      <c r="C1194" s="46" t="s">
        <v>4457</v>
      </c>
      <c r="D1194" s="1018" t="s">
        <v>4273</v>
      </c>
      <c r="E1194" s="46" cm="1">
        <f t="array" ref="E1194">teachassign_spcl_socsci_bachmajor_greaterthan40</f>
        <v>0</v>
      </c>
      <c r="F1194" s="46" t="b">
        <v>1</v>
      </c>
    </row>
    <row r="1195" spans="1:6">
      <c r="A1195" s="46" t="s">
        <v>4413</v>
      </c>
      <c r="B1195" s="46" t="s">
        <v>4126</v>
      </c>
      <c r="C1195" s="46" t="s">
        <v>4413</v>
      </c>
      <c r="D1195" s="1018" t="s">
        <v>4274</v>
      </c>
      <c r="E1195" s="46" cm="1">
        <f t="array" ref="E1195">teachassign_spcl_socsci_bachminor_notgreaterthan40</f>
        <v>0</v>
      </c>
      <c r="F1195" s="46" t="b">
        <v>1</v>
      </c>
    </row>
    <row r="1196" spans="1:6">
      <c r="A1196" s="46" t="s">
        <v>4458</v>
      </c>
      <c r="B1196" s="46" t="s">
        <v>4126</v>
      </c>
      <c r="C1196" s="46" t="s">
        <v>4458</v>
      </c>
      <c r="D1196" s="1018" t="s">
        <v>4275</v>
      </c>
      <c r="E1196" s="46" cm="1">
        <f t="array" ref="E1196">teachassign_spcl_socsci_bachminor_greaterthan40</f>
        <v>0</v>
      </c>
      <c r="F1196" s="46" t="b">
        <v>1</v>
      </c>
    </row>
    <row r="1197" spans="1:6">
      <c r="A1197" s="46" t="s">
        <v>4414</v>
      </c>
      <c r="B1197" s="46" t="s">
        <v>4126</v>
      </c>
      <c r="C1197" s="46" t="s">
        <v>4414</v>
      </c>
      <c r="D1197" s="1018" t="s">
        <v>4276</v>
      </c>
      <c r="E1197" s="46" cm="1">
        <f t="array" ref="E1197">teachassign_spcl_socsci_withspcltraining_notgreaterthan40</f>
        <v>0</v>
      </c>
      <c r="F1197" s="46" t="b">
        <v>1</v>
      </c>
    </row>
    <row r="1198" spans="1:6">
      <c r="A1198" s="46" t="s">
        <v>4459</v>
      </c>
      <c r="B1198" s="46" t="s">
        <v>4126</v>
      </c>
      <c r="C1198" s="46" t="s">
        <v>4459</v>
      </c>
      <c r="D1198" s="1018" t="s">
        <v>4277</v>
      </c>
      <c r="E1198" s="46" cm="1">
        <f t="array" ref="E1198">teachassign_spcl_socsci_withspcltraining_greaterthan40</f>
        <v>0</v>
      </c>
      <c r="F1198" s="46" t="b">
        <v>1</v>
      </c>
    </row>
    <row r="1199" spans="1:6">
      <c r="A1199" s="46" t="s">
        <v>4415</v>
      </c>
      <c r="B1199" s="46" t="s">
        <v>4126</v>
      </c>
      <c r="C1199" s="46" t="s">
        <v>4415</v>
      </c>
      <c r="D1199" s="1018" t="s">
        <v>4278</v>
      </c>
      <c r="E1199" s="46" cm="1">
        <f t="array" ref="E1199">teachassign_spcl_socsci_nospcltraining_notgreaterthan40</f>
        <v>0</v>
      </c>
      <c r="F1199" s="46" t="b">
        <v>1</v>
      </c>
    </row>
    <row r="1200" spans="1:6">
      <c r="A1200" s="46" t="s">
        <v>4460</v>
      </c>
      <c r="B1200" s="46" t="s">
        <v>4126</v>
      </c>
      <c r="C1200" s="46" t="s">
        <v>4460</v>
      </c>
      <c r="D1200" s="1018" t="s">
        <v>4279</v>
      </c>
      <c r="E1200" s="46" cm="1">
        <f t="array" ref="E1200">teachassign_spcl_socsci_nospcltraining_greaterthan40</f>
        <v>4</v>
      </c>
      <c r="F1200" s="46" t="b">
        <v>1</v>
      </c>
    </row>
    <row r="1201" spans="1:6">
      <c r="A1201" s="46" t="s">
        <v>4416</v>
      </c>
      <c r="B1201" s="46" t="s">
        <v>4126</v>
      </c>
      <c r="C1201" s="46" t="s">
        <v>4416</v>
      </c>
      <c r="D1201" s="1018" t="s">
        <v>4280</v>
      </c>
      <c r="E1201" s="46" cm="1">
        <f t="array" ref="E1201">teachassign_spcl_philo_gradmajor_notgreaterthan40</f>
        <v>0</v>
      </c>
      <c r="F1201" s="46" t="b">
        <v>1</v>
      </c>
    </row>
    <row r="1202" spans="1:6">
      <c r="A1202" s="46" t="s">
        <v>4461</v>
      </c>
      <c r="B1202" s="46" t="s">
        <v>4126</v>
      </c>
      <c r="C1202" s="46" t="s">
        <v>4461</v>
      </c>
      <c r="D1202" s="1018" t="s">
        <v>4281</v>
      </c>
      <c r="E1202" s="46" cm="1">
        <f t="array" ref="E1202">teachassign_spcl_philo_gradmajor_greaterthan40</f>
        <v>0</v>
      </c>
      <c r="F1202" s="46" t="b">
        <v>1</v>
      </c>
    </row>
    <row r="1203" spans="1:6">
      <c r="A1203" s="46" t="s">
        <v>4417</v>
      </c>
      <c r="B1203" s="46" t="s">
        <v>4126</v>
      </c>
      <c r="C1203" s="46" t="s">
        <v>4417</v>
      </c>
      <c r="D1203" s="1018" t="s">
        <v>4282</v>
      </c>
      <c r="E1203" s="46" cm="1">
        <f t="array" ref="E1203">teachassign_spcl_philo_bachmajor_notgreaterthan40</f>
        <v>0</v>
      </c>
      <c r="F1203" s="46" t="b">
        <v>1</v>
      </c>
    </row>
    <row r="1204" spans="1:6">
      <c r="A1204" s="46" t="s">
        <v>4462</v>
      </c>
      <c r="B1204" s="46" t="s">
        <v>4126</v>
      </c>
      <c r="C1204" s="46" t="s">
        <v>4462</v>
      </c>
      <c r="D1204" s="1018" t="s">
        <v>4283</v>
      </c>
      <c r="E1204" s="46" cm="1">
        <f t="array" ref="E1204">teachassign_spcl_philo_bachmajor_greaterthan40</f>
        <v>0</v>
      </c>
      <c r="F1204" s="46" t="b">
        <v>1</v>
      </c>
    </row>
    <row r="1205" spans="1:6">
      <c r="A1205" s="46" t="s">
        <v>4418</v>
      </c>
      <c r="B1205" s="46" t="s">
        <v>4126</v>
      </c>
      <c r="C1205" s="46" t="s">
        <v>4418</v>
      </c>
      <c r="D1205" s="1018" t="s">
        <v>4284</v>
      </c>
      <c r="E1205" s="46" cm="1">
        <f t="array" ref="E1205">teachassign_spcl_philo_bachminor_notgreaterthan40</f>
        <v>0</v>
      </c>
      <c r="F1205" s="46" t="b">
        <v>1</v>
      </c>
    </row>
    <row r="1206" spans="1:6">
      <c r="A1206" s="46" t="s">
        <v>4463</v>
      </c>
      <c r="B1206" s="46" t="s">
        <v>4126</v>
      </c>
      <c r="C1206" s="46" t="s">
        <v>4463</v>
      </c>
      <c r="D1206" s="1018" t="s">
        <v>4285</v>
      </c>
      <c r="E1206" s="46" cm="1">
        <f t="array" ref="E1206">teachassign_spcl_philo_bachminor_greaterthan40</f>
        <v>0</v>
      </c>
      <c r="F1206" s="46" t="b">
        <v>1</v>
      </c>
    </row>
    <row r="1207" spans="1:6">
      <c r="A1207" s="46" t="s">
        <v>4419</v>
      </c>
      <c r="B1207" s="46" t="s">
        <v>4126</v>
      </c>
      <c r="C1207" s="46" t="s">
        <v>4419</v>
      </c>
      <c r="D1207" s="1018" t="s">
        <v>4286</v>
      </c>
      <c r="E1207" s="46" cm="1">
        <f t="array" ref="E1207">teachassign_spcl_philo_withspcltraining_notgreaterthan40</f>
        <v>0</v>
      </c>
      <c r="F1207" s="46" t="b">
        <v>1</v>
      </c>
    </row>
    <row r="1208" spans="1:6">
      <c r="A1208" s="46" t="s">
        <v>4464</v>
      </c>
      <c r="B1208" s="46" t="s">
        <v>4126</v>
      </c>
      <c r="C1208" s="46" t="s">
        <v>4464</v>
      </c>
      <c r="D1208" s="1018" t="s">
        <v>4287</v>
      </c>
      <c r="E1208" s="46" cm="1">
        <f t="array" ref="E1208">teachassign_spcl_philo_withspcltraining_greaterthan40</f>
        <v>0</v>
      </c>
      <c r="F1208" s="46" t="b">
        <v>1</v>
      </c>
    </row>
    <row r="1209" spans="1:6">
      <c r="A1209" s="46" t="s">
        <v>4420</v>
      </c>
      <c r="B1209" s="46" t="s">
        <v>4126</v>
      </c>
      <c r="C1209" s="46" t="s">
        <v>4420</v>
      </c>
      <c r="D1209" s="1018" t="s">
        <v>4288</v>
      </c>
      <c r="E1209" s="46" cm="1">
        <f t="array" ref="E1209">teachassign_spcl_philo_nospcltraining_notgreaterthan40</f>
        <v>0</v>
      </c>
      <c r="F1209" s="46" t="b">
        <v>1</v>
      </c>
    </row>
    <row r="1210" spans="1:6">
      <c r="A1210" s="46" t="s">
        <v>4465</v>
      </c>
      <c r="B1210" s="46" t="s">
        <v>4126</v>
      </c>
      <c r="C1210" s="46" t="s">
        <v>4465</v>
      </c>
      <c r="D1210" s="1018" t="s">
        <v>4289</v>
      </c>
      <c r="E1210" s="46" cm="1">
        <f t="array" ref="E1210">teachassign_spcl_philo_nospcltraining_greaterthan40</f>
        <v>2</v>
      </c>
      <c r="F1210" s="46" t="b">
        <v>1</v>
      </c>
    </row>
    <row r="1211" spans="1:6">
      <c r="A1211" s="46" t="s">
        <v>4421</v>
      </c>
      <c r="B1211" s="46" t="s">
        <v>4126</v>
      </c>
      <c r="C1211" s="46" t="s">
        <v>4421</v>
      </c>
      <c r="D1211" s="1018" t="s">
        <v>4280</v>
      </c>
      <c r="E1211" s="46" cm="1">
        <f t="array" ref="E1211">teachassign_spcl_penhealth_gradmajor_notgreaterthan40</f>
        <v>0</v>
      </c>
      <c r="F1211" s="46" t="b">
        <v>1</v>
      </c>
    </row>
    <row r="1212" spans="1:6">
      <c r="A1212" s="46" t="s">
        <v>4466</v>
      </c>
      <c r="B1212" s="46" t="s">
        <v>4126</v>
      </c>
      <c r="C1212" s="46" t="s">
        <v>4466</v>
      </c>
      <c r="D1212" s="1018" t="s">
        <v>4290</v>
      </c>
      <c r="E1212" s="46" cm="1">
        <f t="array" ref="E1212">teachassign_spcl_penhealth_gradmajor_greaterthan40</f>
        <v>0</v>
      </c>
      <c r="F1212" s="46" t="b">
        <v>1</v>
      </c>
    </row>
    <row r="1213" spans="1:6">
      <c r="A1213" s="46" t="s">
        <v>4422</v>
      </c>
      <c r="B1213" s="46" t="s">
        <v>4126</v>
      </c>
      <c r="C1213" s="46" t="s">
        <v>4422</v>
      </c>
      <c r="D1213" s="1018" t="s">
        <v>4291</v>
      </c>
      <c r="E1213" s="46" cm="1">
        <f t="array" ref="E1213">teachassign_spcl_penhealth_bachmajor_notgreaterthan40</f>
        <v>0</v>
      </c>
      <c r="F1213" s="46" t="b">
        <v>1</v>
      </c>
    </row>
    <row r="1214" spans="1:6">
      <c r="A1214" s="46" t="s">
        <v>4467</v>
      </c>
      <c r="B1214" s="46" t="s">
        <v>4126</v>
      </c>
      <c r="C1214" s="46" t="s">
        <v>4467</v>
      </c>
      <c r="D1214" s="1018" t="s">
        <v>4292</v>
      </c>
      <c r="E1214" s="46" cm="1">
        <f t="array" ref="E1214">teachassign_spcl_penhealth_bachmajor_greaterthan40</f>
        <v>0</v>
      </c>
      <c r="F1214" s="46" t="b">
        <v>1</v>
      </c>
    </row>
    <row r="1215" spans="1:6">
      <c r="A1215" s="46" t="s">
        <v>4423</v>
      </c>
      <c r="B1215" s="46" t="s">
        <v>4126</v>
      </c>
      <c r="C1215" s="46" t="s">
        <v>4423</v>
      </c>
      <c r="D1215" s="1018" t="s">
        <v>4293</v>
      </c>
      <c r="E1215" s="46" cm="1">
        <f t="array" ref="E1215">teachassign_spcl_penhealth_bachminor_notgreaterthan40</f>
        <v>0</v>
      </c>
      <c r="F1215" s="46" t="b">
        <v>1</v>
      </c>
    </row>
    <row r="1216" spans="1:6">
      <c r="A1216" s="46" t="s">
        <v>4468</v>
      </c>
      <c r="B1216" s="46" t="s">
        <v>4126</v>
      </c>
      <c r="C1216" s="46" t="s">
        <v>4468</v>
      </c>
      <c r="D1216" s="1018" t="s">
        <v>4294</v>
      </c>
      <c r="E1216" s="46" cm="1">
        <f t="array" ref="E1216">teachassign_spcl_penhealth_bachminor_greaterthan40</f>
        <v>0</v>
      </c>
      <c r="F1216" s="46" t="b">
        <v>1</v>
      </c>
    </row>
    <row r="1217" spans="1:8">
      <c r="A1217" s="46" t="s">
        <v>4424</v>
      </c>
      <c r="B1217" s="46" t="s">
        <v>4126</v>
      </c>
      <c r="C1217" s="46" t="s">
        <v>4424</v>
      </c>
      <c r="D1217" s="1018" t="s">
        <v>4295</v>
      </c>
      <c r="E1217" s="46" cm="1">
        <f t="array" ref="E1217">teachassign_spcl_penhealth_withspcltraining_notgreaterthan40</f>
        <v>0</v>
      </c>
      <c r="F1217" s="46" t="b">
        <v>1</v>
      </c>
    </row>
    <row r="1218" spans="1:8">
      <c r="A1218" s="46" t="s">
        <v>4469</v>
      </c>
      <c r="B1218" s="46" t="s">
        <v>4126</v>
      </c>
      <c r="C1218" s="46" t="s">
        <v>4469</v>
      </c>
      <c r="D1218" s="1018" t="s">
        <v>4296</v>
      </c>
      <c r="E1218" s="46" cm="1">
        <f t="array" ref="E1218">teachassign_spcl_penhealth_withspcltraining_greaterthan40</f>
        <v>0</v>
      </c>
      <c r="F1218" s="46" t="b">
        <v>1</v>
      </c>
    </row>
    <row r="1219" spans="1:8">
      <c r="A1219" s="46" t="s">
        <v>4425</v>
      </c>
      <c r="B1219" s="46" t="s">
        <v>4126</v>
      </c>
      <c r="C1219" s="46" t="s">
        <v>4425</v>
      </c>
      <c r="D1219" s="1018" t="s">
        <v>4297</v>
      </c>
      <c r="E1219" s="46" cm="1">
        <f t="array" ref="E1219">teachassign_spcl_penhealth_nospcltraining_notgreaterthan40</f>
        <v>0</v>
      </c>
      <c r="F1219" s="46" t="b">
        <v>1</v>
      </c>
    </row>
    <row r="1220" spans="1:8" ht="16.5" thickBot="1">
      <c r="A1220" s="479" t="s">
        <v>4470</v>
      </c>
      <c r="B1220" s="479" t="s">
        <v>4126</v>
      </c>
      <c r="C1220" s="479" t="s">
        <v>4470</v>
      </c>
      <c r="D1220" s="1019" t="s">
        <v>4298</v>
      </c>
      <c r="E1220" s="479" cm="1">
        <f t="array" ref="E1220">teachassign_spcl_penhealth_nospcltraining_greaterthan40</f>
        <v>4</v>
      </c>
      <c r="F1220" s="479" t="b">
        <v>1</v>
      </c>
      <c r="G1220" s="479"/>
      <c r="H1220" s="479"/>
    </row>
    <row r="1221" spans="1:8" ht="16.5" thickTop="1">
      <c r="A1221" s="46" t="s">
        <v>4127</v>
      </c>
      <c r="B1221" s="46" t="s">
        <v>4128</v>
      </c>
      <c r="C1221" s="46" t="s">
        <v>4127</v>
      </c>
      <c r="D1221" s="1018" t="s">
        <v>4299</v>
      </c>
      <c r="E1221" s="46" cm="1">
        <f t="array" ref="E1221">teachassign_spcl_ftime_eng_maj_eng</f>
        <v>2</v>
      </c>
      <c r="F1221" s="46" t="b">
        <v>1</v>
      </c>
    </row>
    <row r="1222" spans="1:8">
      <c r="A1222" s="46" t="s">
        <v>4129</v>
      </c>
      <c r="B1222" s="46" t="s">
        <v>4128</v>
      </c>
      <c r="C1222" s="46" t="s">
        <v>4129</v>
      </c>
      <c r="D1222" s="1018" t="s">
        <v>4300</v>
      </c>
      <c r="E1222" s="46" cm="1">
        <f t="array" ref="E1222">teachassign_spcl_ftime_eng_maj_fil</f>
        <v>0</v>
      </c>
      <c r="F1222" s="46" t="b">
        <v>1</v>
      </c>
    </row>
    <row r="1223" spans="1:8">
      <c r="A1223" s="46" t="s">
        <v>4130</v>
      </c>
      <c r="B1223" s="46" t="s">
        <v>4128</v>
      </c>
      <c r="C1223" s="46" t="s">
        <v>4130</v>
      </c>
      <c r="D1223" s="1018" t="s">
        <v>4301</v>
      </c>
      <c r="E1223" s="46" cm="1">
        <f t="array" ref="E1223">teachassign_spcl_ftime_eng_maj_math</f>
        <v>0</v>
      </c>
      <c r="F1223" s="46" t="b">
        <v>1</v>
      </c>
    </row>
    <row r="1224" spans="1:8">
      <c r="A1224" s="46" t="s">
        <v>4131</v>
      </c>
      <c r="B1224" s="46" t="s">
        <v>4128</v>
      </c>
      <c r="C1224" s="46" t="s">
        <v>4131</v>
      </c>
      <c r="D1224" s="1018" t="s">
        <v>4302</v>
      </c>
      <c r="E1224" s="46" cm="1">
        <f t="array" ref="E1224">teachassign_spcl_ftime_eng_maj_sci</f>
        <v>0</v>
      </c>
      <c r="F1224" s="46" t="b">
        <v>1</v>
      </c>
    </row>
    <row r="1225" spans="1:8">
      <c r="A1225" s="46" t="s">
        <v>4132</v>
      </c>
      <c r="B1225" s="46" t="s">
        <v>4128</v>
      </c>
      <c r="C1225" s="46" t="s">
        <v>4132</v>
      </c>
      <c r="D1225" s="1018" t="s">
        <v>4303</v>
      </c>
      <c r="E1225" s="46" cm="1">
        <f t="array" ref="E1225">teachassign_spcl_ftime_eng_min_eng</f>
        <v>0</v>
      </c>
      <c r="F1225" s="46" t="b">
        <v>1</v>
      </c>
    </row>
    <row r="1226" spans="1:8">
      <c r="A1226" s="46" t="s">
        <v>4133</v>
      </c>
      <c r="B1226" s="46" t="s">
        <v>4128</v>
      </c>
      <c r="C1226" s="46" t="s">
        <v>4133</v>
      </c>
      <c r="D1226" s="1018" t="s">
        <v>4304</v>
      </c>
      <c r="E1226" s="46" cm="1">
        <f t="array" ref="E1226">teachassign_spcl_ftime_eng_min_fil</f>
        <v>0</v>
      </c>
      <c r="F1226" s="46" t="b">
        <v>1</v>
      </c>
    </row>
    <row r="1227" spans="1:8">
      <c r="A1227" s="46" t="s">
        <v>4134</v>
      </c>
      <c r="B1227" s="46" t="s">
        <v>4128</v>
      </c>
      <c r="C1227" s="46" t="s">
        <v>4134</v>
      </c>
      <c r="D1227" s="1018" t="s">
        <v>4305</v>
      </c>
      <c r="E1227" s="46" cm="1">
        <f t="array" ref="E1227">teachassign_spcl_ftime_eng_min_math</f>
        <v>0</v>
      </c>
      <c r="F1227" s="46" t="b">
        <v>1</v>
      </c>
    </row>
    <row r="1228" spans="1:8">
      <c r="A1228" s="46" t="s">
        <v>4135</v>
      </c>
      <c r="B1228" s="46" t="s">
        <v>4128</v>
      </c>
      <c r="C1228" s="46" t="s">
        <v>4135</v>
      </c>
      <c r="D1228" s="1018" t="s">
        <v>4306</v>
      </c>
      <c r="E1228" s="46" cm="1">
        <f t="array" ref="E1228">teachassign_spcl_ftime_eng_min_sci</f>
        <v>0</v>
      </c>
      <c r="F1228" s="46" t="b">
        <v>1</v>
      </c>
    </row>
    <row r="1229" spans="1:8">
      <c r="A1229" s="46" t="s">
        <v>4136</v>
      </c>
      <c r="B1229" s="46" t="s">
        <v>4128</v>
      </c>
      <c r="C1229" s="46" t="s">
        <v>4136</v>
      </c>
      <c r="D1229" s="1018" t="s">
        <v>4307</v>
      </c>
      <c r="E1229" s="46" cm="1">
        <f t="array" ref="E1229">teachassign_spcl_ftime_eng_majmin_othersubject</f>
        <v>4</v>
      </c>
      <c r="F1229" s="46" t="b">
        <v>1</v>
      </c>
    </row>
    <row r="1230" spans="1:8">
      <c r="A1230" s="46" t="s">
        <v>4137</v>
      </c>
      <c r="B1230" s="46" t="s">
        <v>4128</v>
      </c>
      <c r="C1230" s="46" t="s">
        <v>4137</v>
      </c>
      <c r="D1230" s="1018" t="s">
        <v>4308</v>
      </c>
      <c r="E1230" s="46" cm="1">
        <f t="array" ref="E1230">teachassign_spcl_ptime_eng_maj_eng</f>
        <v>0</v>
      </c>
      <c r="F1230" s="46" t="b">
        <v>1</v>
      </c>
    </row>
    <row r="1231" spans="1:8">
      <c r="A1231" s="46" t="s">
        <v>4138</v>
      </c>
      <c r="B1231" s="46" t="s">
        <v>4128</v>
      </c>
      <c r="C1231" s="46" t="s">
        <v>4138</v>
      </c>
      <c r="D1231" s="1018" t="s">
        <v>4309</v>
      </c>
      <c r="E1231" s="46" cm="1">
        <f t="array" ref="E1231">teachassign_spcl_ptime_eng_maj_fil</f>
        <v>0</v>
      </c>
      <c r="F1231" s="46" t="b">
        <v>1</v>
      </c>
    </row>
    <row r="1232" spans="1:8">
      <c r="A1232" s="46" t="s">
        <v>4139</v>
      </c>
      <c r="B1232" s="46" t="s">
        <v>4128</v>
      </c>
      <c r="C1232" s="46" t="s">
        <v>4139</v>
      </c>
      <c r="D1232" s="1018" t="s">
        <v>4310</v>
      </c>
      <c r="E1232" s="46" cm="1">
        <f t="array" ref="E1232">teachassign_spcl_ptime_eng_maj_math</f>
        <v>0</v>
      </c>
      <c r="F1232" s="46" t="b">
        <v>1</v>
      </c>
    </row>
    <row r="1233" spans="1:6">
      <c r="A1233" s="46" t="s">
        <v>4140</v>
      </c>
      <c r="B1233" s="46" t="s">
        <v>4128</v>
      </c>
      <c r="C1233" s="46" t="s">
        <v>4140</v>
      </c>
      <c r="D1233" s="1018" t="s">
        <v>4311</v>
      </c>
      <c r="E1233" s="46" cm="1">
        <f t="array" ref="E1233">teachassign_spcl_ptime_eng_maj_sci</f>
        <v>0</v>
      </c>
      <c r="F1233" s="46" t="b">
        <v>1</v>
      </c>
    </row>
    <row r="1234" spans="1:6">
      <c r="A1234" s="46" t="s">
        <v>4141</v>
      </c>
      <c r="B1234" s="46" t="s">
        <v>4128</v>
      </c>
      <c r="C1234" s="46" t="s">
        <v>4141</v>
      </c>
      <c r="D1234" s="1018" t="s">
        <v>4312</v>
      </c>
      <c r="E1234" s="46" cm="1">
        <f t="array" ref="E1234">teachassign_spcl_ptime_eng_min_eng</f>
        <v>0</v>
      </c>
      <c r="F1234" s="46" t="b">
        <v>1</v>
      </c>
    </row>
    <row r="1235" spans="1:6">
      <c r="A1235" s="46" t="s">
        <v>4142</v>
      </c>
      <c r="B1235" s="46" t="s">
        <v>4128</v>
      </c>
      <c r="C1235" s="46" t="s">
        <v>4142</v>
      </c>
      <c r="D1235" s="1018" t="s">
        <v>4313</v>
      </c>
      <c r="E1235" s="46" cm="1">
        <f t="array" ref="E1235">teachassign_spcl_ptime_eng_min_fil</f>
        <v>0</v>
      </c>
      <c r="F1235" s="46" t="b">
        <v>1</v>
      </c>
    </row>
    <row r="1236" spans="1:6">
      <c r="A1236" s="46" t="s">
        <v>4143</v>
      </c>
      <c r="B1236" s="46" t="s">
        <v>4128</v>
      </c>
      <c r="C1236" s="46" t="s">
        <v>4143</v>
      </c>
      <c r="D1236" s="1018" t="s">
        <v>4314</v>
      </c>
      <c r="E1236" s="46" cm="1">
        <f t="array" ref="E1236">teachassign_spcl_ptime_eng_min_math</f>
        <v>0</v>
      </c>
      <c r="F1236" s="46" t="b">
        <v>1</v>
      </c>
    </row>
    <row r="1237" spans="1:6">
      <c r="A1237" s="46" t="s">
        <v>4144</v>
      </c>
      <c r="B1237" s="46" t="s">
        <v>4128</v>
      </c>
      <c r="C1237" s="46" t="s">
        <v>4144</v>
      </c>
      <c r="D1237" s="1018" t="s">
        <v>4315</v>
      </c>
      <c r="E1237" s="46" cm="1">
        <f t="array" ref="E1237">teachassign_spcl_ptime_eng_min_sci</f>
        <v>0</v>
      </c>
      <c r="F1237" s="46" t="b">
        <v>1</v>
      </c>
    </row>
    <row r="1238" spans="1:6">
      <c r="A1238" s="46" t="s">
        <v>4145</v>
      </c>
      <c r="B1238" s="46" t="s">
        <v>4128</v>
      </c>
      <c r="C1238" s="46" t="s">
        <v>4145</v>
      </c>
      <c r="D1238" s="1018" t="s">
        <v>4316</v>
      </c>
      <c r="E1238" s="46" cm="1">
        <f t="array" ref="E1238">teachassign_spcl_ptime_eng_majmin_othersubject</f>
        <v>0</v>
      </c>
      <c r="F1238" s="46" t="b">
        <v>1</v>
      </c>
    </row>
    <row r="1239" spans="1:6">
      <c r="A1239" s="46" t="s">
        <v>4146</v>
      </c>
      <c r="B1239" s="46" t="s">
        <v>4128</v>
      </c>
      <c r="C1239" s="46" t="s">
        <v>4146</v>
      </c>
      <c r="D1239" s="1018" t="s">
        <v>4317</v>
      </c>
      <c r="E1239" s="46" cm="1">
        <f t="array" ref="E1239">teachassign_spcl_ftime_fil_maj_eng</f>
        <v>0</v>
      </c>
      <c r="F1239" s="46" t="b">
        <v>1</v>
      </c>
    </row>
    <row r="1240" spans="1:6">
      <c r="A1240" s="46" t="s">
        <v>4147</v>
      </c>
      <c r="B1240" s="46" t="s">
        <v>4128</v>
      </c>
      <c r="C1240" s="46" t="s">
        <v>4147</v>
      </c>
      <c r="D1240" s="1018" t="s">
        <v>4318</v>
      </c>
      <c r="E1240" s="46" cm="1">
        <f t="array" ref="E1240">teachassign_spcl_ftime_fil_maj_fil</f>
        <v>2</v>
      </c>
      <c r="F1240" s="46" t="b">
        <v>1</v>
      </c>
    </row>
    <row r="1241" spans="1:6">
      <c r="A1241" s="46" t="s">
        <v>4148</v>
      </c>
      <c r="B1241" s="46" t="s">
        <v>4128</v>
      </c>
      <c r="C1241" s="46" t="s">
        <v>4148</v>
      </c>
      <c r="D1241" s="1018" t="s">
        <v>4319</v>
      </c>
      <c r="E1241" s="46" cm="1">
        <f t="array" ref="E1241">teachassign_spcl_ftime_fil_maj_math</f>
        <v>0</v>
      </c>
      <c r="F1241" s="46" t="b">
        <v>1</v>
      </c>
    </row>
    <row r="1242" spans="1:6">
      <c r="A1242" s="46" t="s">
        <v>4149</v>
      </c>
      <c r="B1242" s="46" t="s">
        <v>4128</v>
      </c>
      <c r="C1242" s="46" t="s">
        <v>4149</v>
      </c>
      <c r="D1242" s="1018" t="s">
        <v>4320</v>
      </c>
      <c r="E1242" s="46" cm="1">
        <f t="array" ref="E1242">teachassign_spcl_ftime_fil_maj_sci</f>
        <v>0</v>
      </c>
      <c r="F1242" s="46" t="b">
        <v>1</v>
      </c>
    </row>
    <row r="1243" spans="1:6">
      <c r="A1243" s="46" t="s">
        <v>4150</v>
      </c>
      <c r="B1243" s="46" t="s">
        <v>4128</v>
      </c>
      <c r="C1243" s="46" t="s">
        <v>4150</v>
      </c>
      <c r="D1243" s="1018" t="s">
        <v>4321</v>
      </c>
      <c r="E1243" s="46" cm="1">
        <f t="array" ref="E1243">teachassign_spcl_ftime_fil_min_eng</f>
        <v>0</v>
      </c>
      <c r="F1243" s="46" t="b">
        <v>1</v>
      </c>
    </row>
    <row r="1244" spans="1:6">
      <c r="A1244" s="46" t="s">
        <v>4151</v>
      </c>
      <c r="B1244" s="46" t="s">
        <v>4128</v>
      </c>
      <c r="C1244" s="46" t="s">
        <v>4151</v>
      </c>
      <c r="D1244" s="1018" t="s">
        <v>4322</v>
      </c>
      <c r="E1244" s="46" cm="1">
        <f t="array" ref="E1244">teachassign_spcl_ftime_fil_min_fil</f>
        <v>0</v>
      </c>
      <c r="F1244" s="46" t="b">
        <v>1</v>
      </c>
    </row>
    <row r="1245" spans="1:6">
      <c r="A1245" s="46" t="s">
        <v>4152</v>
      </c>
      <c r="B1245" s="46" t="s">
        <v>4128</v>
      </c>
      <c r="C1245" s="46" t="s">
        <v>4152</v>
      </c>
      <c r="D1245" s="1018" t="s">
        <v>4323</v>
      </c>
      <c r="E1245" s="46" cm="1">
        <f t="array" ref="E1245">teachassign_spcl_ftime_fil_min_math</f>
        <v>0</v>
      </c>
      <c r="F1245" s="46" t="b">
        <v>1</v>
      </c>
    </row>
    <row r="1246" spans="1:6">
      <c r="A1246" s="46" t="s">
        <v>4153</v>
      </c>
      <c r="B1246" s="46" t="s">
        <v>4128</v>
      </c>
      <c r="C1246" s="46" t="s">
        <v>4153</v>
      </c>
      <c r="D1246" s="1018" t="s">
        <v>4324</v>
      </c>
      <c r="E1246" s="46" cm="1">
        <f t="array" ref="E1246">teachassign_spcl_ftime_fil_min_sci</f>
        <v>0</v>
      </c>
      <c r="F1246" s="46" t="b">
        <v>1</v>
      </c>
    </row>
    <row r="1247" spans="1:6">
      <c r="A1247" s="46" t="s">
        <v>4154</v>
      </c>
      <c r="B1247" s="46" t="s">
        <v>4128</v>
      </c>
      <c r="C1247" s="46" t="s">
        <v>4154</v>
      </c>
      <c r="D1247" s="1018" t="s">
        <v>4325</v>
      </c>
      <c r="E1247" s="46" cm="1">
        <f t="array" ref="E1247">teachassign_spcl_ftime_fil_majmin_othersubject</f>
        <v>4</v>
      </c>
      <c r="F1247" s="46" t="b">
        <v>1</v>
      </c>
    </row>
    <row r="1248" spans="1:6">
      <c r="A1248" s="46" t="s">
        <v>4155</v>
      </c>
      <c r="B1248" s="46" t="s">
        <v>4128</v>
      </c>
      <c r="C1248" s="46" t="s">
        <v>4155</v>
      </c>
      <c r="D1248" s="1018" t="s">
        <v>4326</v>
      </c>
      <c r="E1248" s="46" cm="1">
        <f t="array" ref="E1248">teachassign_spcl_ptime_fil_maj_eng</f>
        <v>0</v>
      </c>
      <c r="F1248" s="46" t="b">
        <v>1</v>
      </c>
    </row>
    <row r="1249" spans="1:6">
      <c r="A1249" s="46" t="s">
        <v>4156</v>
      </c>
      <c r="B1249" s="46" t="s">
        <v>4128</v>
      </c>
      <c r="C1249" s="46" t="s">
        <v>4156</v>
      </c>
      <c r="D1249" s="1018" t="s">
        <v>4327</v>
      </c>
      <c r="E1249" s="46" cm="1">
        <f t="array" ref="E1249">teachassign_spcl_ptime_fil_maj_fil</f>
        <v>0</v>
      </c>
      <c r="F1249" s="46" t="b">
        <v>1</v>
      </c>
    </row>
    <row r="1250" spans="1:6">
      <c r="A1250" s="46" t="s">
        <v>4157</v>
      </c>
      <c r="B1250" s="46" t="s">
        <v>4128</v>
      </c>
      <c r="C1250" s="46" t="s">
        <v>4157</v>
      </c>
      <c r="D1250" s="1018" t="s">
        <v>4328</v>
      </c>
      <c r="E1250" s="46" cm="1">
        <f t="array" ref="E1250">teachassign_spcl_ptime_fil_maj_math</f>
        <v>0</v>
      </c>
      <c r="F1250" s="46" t="b">
        <v>1</v>
      </c>
    </row>
    <row r="1251" spans="1:6">
      <c r="A1251" s="46" t="s">
        <v>4158</v>
      </c>
      <c r="B1251" s="46" t="s">
        <v>4128</v>
      </c>
      <c r="C1251" s="46" t="s">
        <v>4158</v>
      </c>
      <c r="D1251" s="1018" t="s">
        <v>4329</v>
      </c>
      <c r="E1251" s="46" cm="1">
        <f t="array" ref="E1251">teachassign_spcl_ptime_fil_maj_sci</f>
        <v>0</v>
      </c>
      <c r="F1251" s="46" t="b">
        <v>1</v>
      </c>
    </row>
    <row r="1252" spans="1:6">
      <c r="A1252" s="46" t="s">
        <v>4159</v>
      </c>
      <c r="B1252" s="46" t="s">
        <v>4128</v>
      </c>
      <c r="C1252" s="46" t="s">
        <v>4159</v>
      </c>
      <c r="D1252" s="1018" t="s">
        <v>4330</v>
      </c>
      <c r="E1252" s="46" cm="1">
        <f t="array" ref="E1252">teachassign_spcl_ptime_fil_min_eng</f>
        <v>0</v>
      </c>
      <c r="F1252" s="46" t="b">
        <v>1</v>
      </c>
    </row>
    <row r="1253" spans="1:6">
      <c r="A1253" s="46" t="s">
        <v>4160</v>
      </c>
      <c r="B1253" s="46" t="s">
        <v>4128</v>
      </c>
      <c r="C1253" s="46" t="s">
        <v>4160</v>
      </c>
      <c r="D1253" s="1018" t="s">
        <v>4331</v>
      </c>
      <c r="E1253" s="46" cm="1">
        <f t="array" ref="E1253">teachassign_spcl_ptime_fil_min_fil</f>
        <v>0</v>
      </c>
      <c r="F1253" s="46" t="b">
        <v>1</v>
      </c>
    </row>
    <row r="1254" spans="1:6">
      <c r="A1254" s="46" t="s">
        <v>4161</v>
      </c>
      <c r="B1254" s="46" t="s">
        <v>4128</v>
      </c>
      <c r="C1254" s="46" t="s">
        <v>4161</v>
      </c>
      <c r="D1254" s="1018" t="s">
        <v>4332</v>
      </c>
      <c r="E1254" s="46" cm="1">
        <f t="array" ref="E1254">teachassign_spcl_ptime_fil_min_math</f>
        <v>0</v>
      </c>
      <c r="F1254" s="46" t="b">
        <v>1</v>
      </c>
    </row>
    <row r="1255" spans="1:6">
      <c r="A1255" s="46" t="s">
        <v>4162</v>
      </c>
      <c r="B1255" s="46" t="s">
        <v>4128</v>
      </c>
      <c r="C1255" s="46" t="s">
        <v>4162</v>
      </c>
      <c r="D1255" s="1018" t="s">
        <v>4333</v>
      </c>
      <c r="E1255" s="46" cm="1">
        <f t="array" ref="E1255">teachassign_spcl_ptime_fil_min_sci</f>
        <v>0</v>
      </c>
      <c r="F1255" s="46" t="b">
        <v>1</v>
      </c>
    </row>
    <row r="1256" spans="1:6">
      <c r="A1256" s="46" t="s">
        <v>4163</v>
      </c>
      <c r="B1256" s="46" t="s">
        <v>4128</v>
      </c>
      <c r="C1256" s="46" t="s">
        <v>4163</v>
      </c>
      <c r="D1256" s="1018" t="s">
        <v>4334</v>
      </c>
      <c r="E1256" s="46" cm="1">
        <f t="array" ref="E1256">teachassign_spcl_ptime_fil_majmin_othersubject</f>
        <v>0</v>
      </c>
      <c r="F1256" s="46" t="b">
        <v>1</v>
      </c>
    </row>
    <row r="1257" spans="1:6">
      <c r="A1257" s="46" t="s">
        <v>4164</v>
      </c>
      <c r="B1257" s="46" t="s">
        <v>4128</v>
      </c>
      <c r="C1257" s="46" t="s">
        <v>4164</v>
      </c>
      <c r="D1257" s="1018" t="s">
        <v>4335</v>
      </c>
      <c r="E1257" s="46" cm="1">
        <f t="array" ref="E1257">teachassign_spcl_ftime_math_maj_eng</f>
        <v>0</v>
      </c>
      <c r="F1257" s="46" t="b">
        <v>1</v>
      </c>
    </row>
    <row r="1258" spans="1:6">
      <c r="A1258" s="46" t="s">
        <v>4165</v>
      </c>
      <c r="B1258" s="46" t="s">
        <v>4128</v>
      </c>
      <c r="C1258" s="46" t="s">
        <v>4165</v>
      </c>
      <c r="D1258" s="1018" t="s">
        <v>4336</v>
      </c>
      <c r="E1258" s="46" cm="1">
        <f t="array" ref="E1258">teachassign_spcl_ftime_math_maj_fil</f>
        <v>0</v>
      </c>
      <c r="F1258" s="46" t="b">
        <v>1</v>
      </c>
    </row>
    <row r="1259" spans="1:6">
      <c r="A1259" s="46" t="s">
        <v>4166</v>
      </c>
      <c r="B1259" s="46" t="s">
        <v>4128</v>
      </c>
      <c r="C1259" s="46" t="s">
        <v>4166</v>
      </c>
      <c r="D1259" s="1018" t="s">
        <v>4337</v>
      </c>
      <c r="E1259" s="46" cm="1">
        <f t="array" ref="E1259">teachassign_spcl_ftime_math_maj_math</f>
        <v>2</v>
      </c>
      <c r="F1259" s="46" t="b">
        <v>1</v>
      </c>
    </row>
    <row r="1260" spans="1:6">
      <c r="A1260" s="46" t="s">
        <v>4167</v>
      </c>
      <c r="B1260" s="46" t="s">
        <v>4128</v>
      </c>
      <c r="C1260" s="46" t="s">
        <v>4167</v>
      </c>
      <c r="D1260" s="1018" t="s">
        <v>4338</v>
      </c>
      <c r="E1260" s="46" cm="1">
        <f t="array" ref="E1260">teachassign_spcl_ftime_math_maj_sci</f>
        <v>0</v>
      </c>
      <c r="F1260" s="46" t="b">
        <v>1</v>
      </c>
    </row>
    <row r="1261" spans="1:6">
      <c r="A1261" s="46" t="s">
        <v>4168</v>
      </c>
      <c r="B1261" s="46" t="s">
        <v>4128</v>
      </c>
      <c r="C1261" s="46" t="s">
        <v>4168</v>
      </c>
      <c r="D1261" s="1018" t="s">
        <v>4339</v>
      </c>
      <c r="E1261" s="46" cm="1">
        <f t="array" ref="E1261">teachassign_spcl_ftime_math_min_eng</f>
        <v>0</v>
      </c>
      <c r="F1261" s="46" t="b">
        <v>1</v>
      </c>
    </row>
    <row r="1262" spans="1:6">
      <c r="A1262" s="46" t="s">
        <v>4169</v>
      </c>
      <c r="B1262" s="46" t="s">
        <v>4128</v>
      </c>
      <c r="C1262" s="46" t="s">
        <v>4169</v>
      </c>
      <c r="D1262" s="1018" t="s">
        <v>4340</v>
      </c>
      <c r="E1262" s="46" cm="1">
        <f t="array" ref="E1262">teachassign_spcl_ftime_math_min_fil</f>
        <v>0</v>
      </c>
      <c r="F1262" s="46" t="b">
        <v>1</v>
      </c>
    </row>
    <row r="1263" spans="1:6">
      <c r="A1263" s="46" t="s">
        <v>4170</v>
      </c>
      <c r="B1263" s="46" t="s">
        <v>4128</v>
      </c>
      <c r="C1263" s="46" t="s">
        <v>4170</v>
      </c>
      <c r="D1263" s="1018" t="s">
        <v>4341</v>
      </c>
      <c r="E1263" s="46" cm="1">
        <f t="array" ref="E1263">teachassign_spcl_ftime_math_min_math</f>
        <v>0</v>
      </c>
      <c r="F1263" s="46" t="b">
        <v>1</v>
      </c>
    </row>
    <row r="1264" spans="1:6">
      <c r="A1264" s="46" t="s">
        <v>4171</v>
      </c>
      <c r="B1264" s="46" t="s">
        <v>4128</v>
      </c>
      <c r="C1264" s="46" t="s">
        <v>4171</v>
      </c>
      <c r="D1264" s="1018" t="s">
        <v>4342</v>
      </c>
      <c r="E1264" s="46" cm="1">
        <f t="array" ref="E1264">teachassign_spcl_ftime_math_min_sci</f>
        <v>0</v>
      </c>
      <c r="F1264" s="46" t="b">
        <v>1</v>
      </c>
    </row>
    <row r="1265" spans="1:6">
      <c r="A1265" s="46" t="s">
        <v>4172</v>
      </c>
      <c r="B1265" s="46" t="s">
        <v>4128</v>
      </c>
      <c r="C1265" s="46" t="s">
        <v>4172</v>
      </c>
      <c r="D1265" s="1018" t="s">
        <v>4343</v>
      </c>
      <c r="E1265" s="46" cm="1">
        <f t="array" ref="E1265">teachassign_spcl_ftime_math_majmin_othersubject</f>
        <v>3</v>
      </c>
      <c r="F1265" s="46" t="b">
        <v>1</v>
      </c>
    </row>
    <row r="1266" spans="1:6">
      <c r="A1266" s="46" t="s">
        <v>4173</v>
      </c>
      <c r="B1266" s="46" t="s">
        <v>4128</v>
      </c>
      <c r="C1266" s="46" t="s">
        <v>4173</v>
      </c>
      <c r="D1266" s="1018" t="s">
        <v>4344</v>
      </c>
      <c r="E1266" s="46" cm="1">
        <f t="array" ref="E1266">teachassign_spcl_ptime_math_maj_eng</f>
        <v>0</v>
      </c>
      <c r="F1266" s="46" t="b">
        <v>1</v>
      </c>
    </row>
    <row r="1267" spans="1:6">
      <c r="A1267" s="46" t="s">
        <v>4174</v>
      </c>
      <c r="B1267" s="46" t="s">
        <v>4128</v>
      </c>
      <c r="C1267" s="46" t="s">
        <v>4174</v>
      </c>
      <c r="D1267" s="1018" t="s">
        <v>4345</v>
      </c>
      <c r="E1267" s="46" cm="1">
        <f t="array" ref="E1267">teachassign_spcl_ptime_math_maj_fil</f>
        <v>0</v>
      </c>
      <c r="F1267" s="46" t="b">
        <v>1</v>
      </c>
    </row>
    <row r="1268" spans="1:6">
      <c r="A1268" s="46" t="s">
        <v>4175</v>
      </c>
      <c r="B1268" s="46" t="s">
        <v>4128</v>
      </c>
      <c r="C1268" s="46" t="s">
        <v>4175</v>
      </c>
      <c r="D1268" s="1018" t="s">
        <v>4346</v>
      </c>
      <c r="E1268" s="46" cm="1">
        <f t="array" ref="E1268">teachassign_spcl_ptime_math_maj_math</f>
        <v>0</v>
      </c>
      <c r="F1268" s="46" t="b">
        <v>1</v>
      </c>
    </row>
    <row r="1269" spans="1:6">
      <c r="A1269" s="46" t="s">
        <v>4176</v>
      </c>
      <c r="B1269" s="46" t="s">
        <v>4128</v>
      </c>
      <c r="C1269" s="46" t="s">
        <v>4176</v>
      </c>
      <c r="D1269" s="1018" t="s">
        <v>4347</v>
      </c>
      <c r="E1269" s="46" cm="1">
        <f t="array" ref="E1269">teachassign_spcl_ptime_math_maj_sci</f>
        <v>0</v>
      </c>
      <c r="F1269" s="46" t="b">
        <v>1</v>
      </c>
    </row>
    <row r="1270" spans="1:6">
      <c r="A1270" s="46" t="s">
        <v>4177</v>
      </c>
      <c r="B1270" s="46" t="s">
        <v>4128</v>
      </c>
      <c r="C1270" s="46" t="s">
        <v>4177</v>
      </c>
      <c r="D1270" s="1018" t="s">
        <v>4348</v>
      </c>
      <c r="E1270" s="46" cm="1">
        <f t="array" ref="E1270">teachassign_spcl_ptime_math_min_eng</f>
        <v>0</v>
      </c>
      <c r="F1270" s="46" t="b">
        <v>1</v>
      </c>
    </row>
    <row r="1271" spans="1:6">
      <c r="A1271" s="46" t="s">
        <v>4178</v>
      </c>
      <c r="B1271" s="46" t="s">
        <v>4128</v>
      </c>
      <c r="C1271" s="46" t="s">
        <v>4178</v>
      </c>
      <c r="D1271" s="1018" t="s">
        <v>4349</v>
      </c>
      <c r="E1271" s="46" cm="1">
        <f t="array" ref="E1271">teachassign_spcl_ptime_math_min_fil</f>
        <v>0</v>
      </c>
      <c r="F1271" s="46" t="b">
        <v>1</v>
      </c>
    </row>
    <row r="1272" spans="1:6">
      <c r="A1272" s="46" t="s">
        <v>4179</v>
      </c>
      <c r="B1272" s="46" t="s">
        <v>4128</v>
      </c>
      <c r="C1272" s="46" t="s">
        <v>4179</v>
      </c>
      <c r="D1272" s="1018" t="s">
        <v>4350</v>
      </c>
      <c r="E1272" s="46" cm="1">
        <f t="array" ref="E1272">teachassign_spcl_ptime_math_min_math</f>
        <v>0</v>
      </c>
      <c r="F1272" s="46" t="b">
        <v>1</v>
      </c>
    </row>
    <row r="1273" spans="1:6">
      <c r="A1273" s="46" t="s">
        <v>4180</v>
      </c>
      <c r="B1273" s="46" t="s">
        <v>4128</v>
      </c>
      <c r="C1273" s="46" t="s">
        <v>4180</v>
      </c>
      <c r="D1273" s="1018" t="s">
        <v>4351</v>
      </c>
      <c r="E1273" s="46" cm="1">
        <f t="array" ref="E1273">teachassign_spcl_ptime_math_min_sci</f>
        <v>0</v>
      </c>
      <c r="F1273" s="46" t="b">
        <v>1</v>
      </c>
    </row>
    <row r="1274" spans="1:6">
      <c r="A1274" s="46" t="s">
        <v>4181</v>
      </c>
      <c r="B1274" s="46" t="s">
        <v>4128</v>
      </c>
      <c r="C1274" s="46" t="s">
        <v>4181</v>
      </c>
      <c r="D1274" s="1018" t="s">
        <v>4352</v>
      </c>
      <c r="E1274" s="46" cm="1">
        <f t="array" ref="E1274">teachassign_spcl_ptime_math_majmin_othersubject</f>
        <v>0</v>
      </c>
      <c r="F1274" s="46" t="b">
        <v>1</v>
      </c>
    </row>
    <row r="1275" spans="1:6">
      <c r="A1275" s="46" t="s">
        <v>4182</v>
      </c>
      <c r="B1275" s="46" t="s">
        <v>4128</v>
      </c>
      <c r="C1275" s="46" t="s">
        <v>4182</v>
      </c>
      <c r="D1275" s="1018" t="s">
        <v>4353</v>
      </c>
      <c r="E1275" s="46" cm="1">
        <f t="array" ref="E1275">teachassign_spcl_ftime_sci_maj_eng</f>
        <v>0</v>
      </c>
      <c r="F1275" s="46" t="b">
        <v>1</v>
      </c>
    </row>
    <row r="1276" spans="1:6">
      <c r="A1276" s="46" t="s">
        <v>4183</v>
      </c>
      <c r="B1276" s="46" t="s">
        <v>4128</v>
      </c>
      <c r="C1276" s="46" t="s">
        <v>4183</v>
      </c>
      <c r="D1276" s="1018" t="s">
        <v>4354</v>
      </c>
      <c r="E1276" s="46" cm="1">
        <f t="array" ref="E1276">teachassign_spcl_ftime_sci_maj_fil</f>
        <v>0</v>
      </c>
      <c r="F1276" s="46" t="b">
        <v>1</v>
      </c>
    </row>
    <row r="1277" spans="1:6">
      <c r="A1277" s="46" t="s">
        <v>4184</v>
      </c>
      <c r="B1277" s="46" t="s">
        <v>4128</v>
      </c>
      <c r="C1277" s="46" t="s">
        <v>4184</v>
      </c>
      <c r="D1277" s="1018" t="s">
        <v>4355</v>
      </c>
      <c r="E1277" s="46" cm="1">
        <f t="array" ref="E1277">teachassign_spcl_ftime_sci_maj_math</f>
        <v>0</v>
      </c>
      <c r="F1277" s="46" t="b">
        <v>1</v>
      </c>
    </row>
    <row r="1278" spans="1:6">
      <c r="A1278" s="46" t="s">
        <v>4185</v>
      </c>
      <c r="B1278" s="46" t="s">
        <v>4128</v>
      </c>
      <c r="C1278" s="46" t="s">
        <v>4185</v>
      </c>
      <c r="D1278" s="1018" t="s">
        <v>4356</v>
      </c>
      <c r="E1278" s="46" cm="1">
        <f t="array" ref="E1278">teachassign_spcl_ftime_sci_maj_sci</f>
        <v>3</v>
      </c>
      <c r="F1278" s="46" t="b">
        <v>1</v>
      </c>
    </row>
    <row r="1279" spans="1:6">
      <c r="A1279" s="46" t="s">
        <v>4186</v>
      </c>
      <c r="B1279" s="46" t="s">
        <v>4128</v>
      </c>
      <c r="C1279" s="46" t="s">
        <v>4186</v>
      </c>
      <c r="D1279" s="1018" t="s">
        <v>4357</v>
      </c>
      <c r="E1279" s="46" cm="1">
        <f t="array" ref="E1279">teachassign_spcl_ftime_sci_min_eng</f>
        <v>0</v>
      </c>
      <c r="F1279" s="46" t="b">
        <v>1</v>
      </c>
    </row>
    <row r="1280" spans="1:6">
      <c r="A1280" s="46" t="s">
        <v>4187</v>
      </c>
      <c r="B1280" s="46" t="s">
        <v>4128</v>
      </c>
      <c r="C1280" s="46" t="s">
        <v>4187</v>
      </c>
      <c r="D1280" s="1018" t="s">
        <v>4358</v>
      </c>
      <c r="E1280" s="46" cm="1">
        <f t="array" ref="E1280">teachassign_spcl_ftime_sci_min_fil</f>
        <v>0</v>
      </c>
      <c r="F1280" s="46" t="b">
        <v>1</v>
      </c>
    </row>
    <row r="1281" spans="1:8">
      <c r="A1281" s="46" t="s">
        <v>4188</v>
      </c>
      <c r="B1281" s="46" t="s">
        <v>4128</v>
      </c>
      <c r="C1281" s="46" t="s">
        <v>4188</v>
      </c>
      <c r="D1281" s="1018" t="s">
        <v>4359</v>
      </c>
      <c r="E1281" s="46" cm="1">
        <f t="array" ref="E1281">teachassign_spcl_ftime_sci_min_math</f>
        <v>0</v>
      </c>
      <c r="F1281" s="46" t="b">
        <v>1</v>
      </c>
    </row>
    <row r="1282" spans="1:8">
      <c r="A1282" s="46" t="s">
        <v>4189</v>
      </c>
      <c r="B1282" s="46" t="s">
        <v>4128</v>
      </c>
      <c r="C1282" s="46" t="s">
        <v>4189</v>
      </c>
      <c r="D1282" s="1018" t="s">
        <v>4360</v>
      </c>
      <c r="E1282" s="46" cm="1">
        <f t="array" ref="E1282">teachassign_spcl_ftime_sci_min_sci</f>
        <v>0</v>
      </c>
      <c r="F1282" s="46" t="b">
        <v>1</v>
      </c>
    </row>
    <row r="1283" spans="1:8">
      <c r="A1283" s="46" t="s">
        <v>4190</v>
      </c>
      <c r="B1283" s="46" t="s">
        <v>4128</v>
      </c>
      <c r="C1283" s="46" t="s">
        <v>4190</v>
      </c>
      <c r="D1283" s="1018" t="s">
        <v>4361</v>
      </c>
      <c r="E1283" s="46" cm="1">
        <f t="array" ref="E1283">teachassign_spcl_ftime_sci_majmin_othersubject</f>
        <v>3</v>
      </c>
      <c r="F1283" s="46" t="b">
        <v>1</v>
      </c>
    </row>
    <row r="1284" spans="1:8">
      <c r="A1284" s="46" t="s">
        <v>4191</v>
      </c>
      <c r="B1284" s="46" t="s">
        <v>4128</v>
      </c>
      <c r="C1284" s="46" t="s">
        <v>4191</v>
      </c>
      <c r="D1284" s="1018" t="s">
        <v>4362</v>
      </c>
      <c r="E1284" s="46" cm="1">
        <f t="array" ref="E1284">teachassign_spcl_ptime_sci_maj_eng</f>
        <v>0</v>
      </c>
      <c r="F1284" s="46" t="b">
        <v>1</v>
      </c>
    </row>
    <row r="1285" spans="1:8">
      <c r="A1285" s="46" t="s">
        <v>4192</v>
      </c>
      <c r="B1285" s="46" t="s">
        <v>4128</v>
      </c>
      <c r="C1285" s="46" t="s">
        <v>4192</v>
      </c>
      <c r="D1285" s="1018" t="s">
        <v>4363</v>
      </c>
      <c r="E1285" s="46" cm="1">
        <f t="array" ref="E1285">teachassign_spcl_ptime_sci_maj_fil</f>
        <v>0</v>
      </c>
      <c r="F1285" s="46" t="b">
        <v>1</v>
      </c>
    </row>
    <row r="1286" spans="1:8">
      <c r="A1286" s="46" t="s">
        <v>4193</v>
      </c>
      <c r="B1286" s="46" t="s">
        <v>4128</v>
      </c>
      <c r="C1286" s="46" t="s">
        <v>4193</v>
      </c>
      <c r="D1286" s="1018" t="s">
        <v>4364</v>
      </c>
      <c r="E1286" s="46" cm="1">
        <f t="array" ref="E1286">teachassign_spcl_ptime_sci_maj_math</f>
        <v>0</v>
      </c>
      <c r="F1286" s="46" t="b">
        <v>1</v>
      </c>
    </row>
    <row r="1287" spans="1:8">
      <c r="A1287" s="46" t="s">
        <v>4194</v>
      </c>
      <c r="B1287" s="46" t="s">
        <v>4128</v>
      </c>
      <c r="C1287" s="46" t="s">
        <v>4194</v>
      </c>
      <c r="D1287" s="1018" t="s">
        <v>4365</v>
      </c>
      <c r="E1287" s="46" cm="1">
        <f t="array" ref="E1287">teachassign_spcl_ptime_sci_maj_sci</f>
        <v>0</v>
      </c>
      <c r="F1287" s="46" t="b">
        <v>1</v>
      </c>
    </row>
    <row r="1288" spans="1:8">
      <c r="A1288" s="46" t="s">
        <v>4195</v>
      </c>
      <c r="B1288" s="46" t="s">
        <v>4128</v>
      </c>
      <c r="C1288" s="46" t="s">
        <v>4195</v>
      </c>
      <c r="D1288" s="1018" t="s">
        <v>4366</v>
      </c>
      <c r="E1288" s="46" cm="1">
        <f t="array" ref="E1288">teachassign_spcl_ptime_sci_min_eng</f>
        <v>0</v>
      </c>
      <c r="F1288" s="46" t="b">
        <v>1</v>
      </c>
    </row>
    <row r="1289" spans="1:8">
      <c r="A1289" s="46" t="s">
        <v>4196</v>
      </c>
      <c r="B1289" s="46" t="s">
        <v>4128</v>
      </c>
      <c r="C1289" s="46" t="s">
        <v>4196</v>
      </c>
      <c r="D1289" s="1018" t="s">
        <v>4367</v>
      </c>
      <c r="E1289" s="46" cm="1">
        <f t="array" ref="E1289">teachassign_spcl_ptime_sci_min_fil</f>
        <v>0</v>
      </c>
      <c r="F1289" s="46" t="b">
        <v>1</v>
      </c>
    </row>
    <row r="1290" spans="1:8">
      <c r="A1290" s="46" t="s">
        <v>4197</v>
      </c>
      <c r="B1290" s="46" t="s">
        <v>4128</v>
      </c>
      <c r="C1290" s="46" t="s">
        <v>4197</v>
      </c>
      <c r="D1290" s="1018" t="s">
        <v>4368</v>
      </c>
      <c r="E1290" s="46" cm="1">
        <f t="array" ref="E1290">teachassign_spcl_ptime_sci_min_math</f>
        <v>0</v>
      </c>
      <c r="F1290" s="46" t="b">
        <v>1</v>
      </c>
    </row>
    <row r="1291" spans="1:8">
      <c r="A1291" s="46" t="s">
        <v>4198</v>
      </c>
      <c r="B1291" s="46" t="s">
        <v>4128</v>
      </c>
      <c r="C1291" s="46" t="s">
        <v>4198</v>
      </c>
      <c r="D1291" s="1018" t="s">
        <v>4369</v>
      </c>
      <c r="E1291" s="46" cm="1">
        <f t="array" ref="E1291">teachassign_spcl_ptime_sci_min_sci</f>
        <v>0</v>
      </c>
      <c r="F1291" s="46" t="b">
        <v>1</v>
      </c>
    </row>
    <row r="1292" spans="1:8" ht="16.5" thickBot="1">
      <c r="A1292" s="479" t="s">
        <v>4199</v>
      </c>
      <c r="B1292" s="479" t="s">
        <v>4128</v>
      </c>
      <c r="C1292" s="479" t="s">
        <v>4199</v>
      </c>
      <c r="D1292" s="1019" t="s">
        <v>4370</v>
      </c>
      <c r="E1292" s="479" cm="1">
        <f t="array" ref="E1292">teachassign_spcl_ptime_sci_majmin_othersubject</f>
        <v>0</v>
      </c>
      <c r="F1292" s="479" t="b">
        <v>1</v>
      </c>
      <c r="G1292" s="479"/>
      <c r="H1292" s="479"/>
    </row>
    <row r="1293" spans="1:8" ht="16.5" thickTop="1">
      <c r="A1293" s="46" t="s">
        <v>4471</v>
      </c>
      <c r="B1293" s="46" t="s">
        <v>4472</v>
      </c>
      <c r="C1293" s="46" t="s">
        <v>4471</v>
      </c>
      <c r="D1293" s="46" t="s">
        <v>4730</v>
      </c>
      <c r="E1293" s="46" cm="1">
        <f t="array" ref="E1293">tchrs_tesdanatlquali_he_attractions_nc1</f>
        <v>0</v>
      </c>
      <c r="F1293" s="46" t="b">
        <v>1</v>
      </c>
    </row>
    <row r="1294" spans="1:8">
      <c r="A1294" s="46" t="s">
        <v>4473</v>
      </c>
      <c r="B1294" s="46" t="s">
        <v>4472</v>
      </c>
      <c r="C1294" s="46" t="s">
        <v>4473</v>
      </c>
      <c r="D1294" s="46" t="s">
        <v>4731</v>
      </c>
      <c r="E1294" s="46" cm="1">
        <f t="array" ref="E1294">tchrs_tesdanatlquali_he_attractions_nc2</f>
        <v>0</v>
      </c>
      <c r="F1294" s="46" t="b">
        <v>1</v>
      </c>
    </row>
    <row r="1295" spans="1:8">
      <c r="A1295" s="46" t="s">
        <v>4474</v>
      </c>
      <c r="B1295" s="46" t="s">
        <v>4472</v>
      </c>
      <c r="C1295" s="46" t="s">
        <v>4474</v>
      </c>
      <c r="D1295" s="46" t="s">
        <v>4732</v>
      </c>
      <c r="E1295" s="46" cm="1">
        <f t="array" ref="E1295">tchrs_tesdanatlquali_he_attractions_nc3</f>
        <v>0</v>
      </c>
      <c r="F1295" s="46" t="b">
        <v>1</v>
      </c>
    </row>
    <row r="1296" spans="1:8">
      <c r="A1296" s="46" t="s">
        <v>4475</v>
      </c>
      <c r="B1296" s="46" t="s">
        <v>4472</v>
      </c>
      <c r="C1296" s="46" t="s">
        <v>4475</v>
      </c>
      <c r="D1296" s="46" t="s">
        <v>4733</v>
      </c>
      <c r="E1296" s="46" cm="1">
        <f t="array" ref="E1296">tchrs_tesdanatlquali_he_attractions_nc4</f>
        <v>0</v>
      </c>
      <c r="F1296" s="46" t="b">
        <v>1</v>
      </c>
    </row>
    <row r="1297" spans="1:6">
      <c r="A1297" s="46" t="s">
        <v>4476</v>
      </c>
      <c r="B1297" s="46" t="s">
        <v>4472</v>
      </c>
      <c r="C1297" s="46" t="s">
        <v>4476</v>
      </c>
      <c r="D1297" s="46" t="s">
        <v>4734</v>
      </c>
      <c r="E1297" s="46" cm="1">
        <f t="array" ref="E1297">tchrs_tesdanatlquali_he_attractions_diploma</f>
        <v>0</v>
      </c>
      <c r="F1297" s="46" t="b">
        <v>1</v>
      </c>
    </row>
    <row r="1298" spans="1:6">
      <c r="A1298" s="46" t="s">
        <v>4477</v>
      </c>
      <c r="B1298" s="46" t="s">
        <v>4472</v>
      </c>
      <c r="C1298" s="46" t="s">
        <v>4477</v>
      </c>
      <c r="D1298" s="46" t="s">
        <v>4735</v>
      </c>
      <c r="E1298" s="46" cm="1">
        <f t="array" ref="E1298">tchrs_tesdanatlquali_he_attractions_trainingmngt</f>
        <v>0</v>
      </c>
      <c r="F1298" s="46" t="b">
        <v>1</v>
      </c>
    </row>
    <row r="1299" spans="1:6">
      <c r="A1299" s="46" t="s">
        <v>4478</v>
      </c>
      <c r="B1299" s="46" t="s">
        <v>4472</v>
      </c>
      <c r="C1299" s="46" t="s">
        <v>4478</v>
      </c>
      <c r="D1299" s="46" t="s">
        <v>4736</v>
      </c>
      <c r="E1299" s="46" cm="1">
        <f t="array" ref="E1299">tchrs_tesdanatlquali_he_barbering_nc1</f>
        <v>0</v>
      </c>
      <c r="F1299" s="46" t="b">
        <v>1</v>
      </c>
    </row>
    <row r="1300" spans="1:6">
      <c r="A1300" s="46" t="s">
        <v>4479</v>
      </c>
      <c r="B1300" s="46" t="s">
        <v>4472</v>
      </c>
      <c r="C1300" s="46" t="s">
        <v>4479</v>
      </c>
      <c r="D1300" s="46" t="s">
        <v>4737</v>
      </c>
      <c r="E1300" s="46" cm="1">
        <f t="array" ref="E1300">tchrs_tesdanatlquali_he_barbering_nc2</f>
        <v>0</v>
      </c>
      <c r="F1300" s="46" t="b">
        <v>1</v>
      </c>
    </row>
    <row r="1301" spans="1:6">
      <c r="A1301" s="46" t="s">
        <v>4480</v>
      </c>
      <c r="B1301" s="46" t="s">
        <v>4472</v>
      </c>
      <c r="C1301" s="46" t="s">
        <v>4480</v>
      </c>
      <c r="D1301" s="46" t="s">
        <v>4738</v>
      </c>
      <c r="E1301" s="46" cm="1">
        <f t="array" ref="E1301">tchrs_tesdanatlquali_he_barbering_nc3</f>
        <v>0</v>
      </c>
      <c r="F1301" s="46" t="b">
        <v>1</v>
      </c>
    </row>
    <row r="1302" spans="1:6">
      <c r="A1302" s="46" t="s">
        <v>4481</v>
      </c>
      <c r="B1302" s="46" t="s">
        <v>4472</v>
      </c>
      <c r="C1302" s="46" t="s">
        <v>4481</v>
      </c>
      <c r="D1302" s="46" t="s">
        <v>4739</v>
      </c>
      <c r="E1302" s="46" cm="1">
        <f t="array" ref="E1302">tchrs_tesdanatlquali_he_barbering_nc4</f>
        <v>0</v>
      </c>
      <c r="F1302" s="46" t="b">
        <v>1</v>
      </c>
    </row>
    <row r="1303" spans="1:6">
      <c r="A1303" s="46" t="s">
        <v>4482</v>
      </c>
      <c r="B1303" s="46" t="s">
        <v>4472</v>
      </c>
      <c r="C1303" s="46" t="s">
        <v>4482</v>
      </c>
      <c r="D1303" s="46" t="s">
        <v>4740</v>
      </c>
      <c r="E1303" s="46" cm="1">
        <f t="array" ref="E1303">tchrs_tesdanatlquali_he_barbering_diploma</f>
        <v>0</v>
      </c>
      <c r="F1303" s="46" t="b">
        <v>1</v>
      </c>
    </row>
    <row r="1304" spans="1:6">
      <c r="A1304" s="46" t="s">
        <v>4483</v>
      </c>
      <c r="B1304" s="46" t="s">
        <v>4472</v>
      </c>
      <c r="C1304" s="46" t="s">
        <v>4483</v>
      </c>
      <c r="D1304" s="46" t="s">
        <v>4741</v>
      </c>
      <c r="E1304" s="46" cm="1">
        <f t="array" ref="E1304">tchrs_tesdanatlquali_he_barbering_trainingmngt</f>
        <v>0</v>
      </c>
      <c r="F1304" s="46" t="b">
        <v>1</v>
      </c>
    </row>
    <row r="1305" spans="1:6">
      <c r="A1305" s="46" t="s">
        <v>4484</v>
      </c>
      <c r="B1305" s="46" t="s">
        <v>4472</v>
      </c>
      <c r="C1305" s="46" t="s">
        <v>4484</v>
      </c>
      <c r="D1305" s="46" t="s">
        <v>4742</v>
      </c>
      <c r="E1305" s="46" cm="1">
        <f t="array" ref="E1305">tchrs_tesdanatlquali_he_bartending_nc1</f>
        <v>0</v>
      </c>
      <c r="F1305" s="46" t="b">
        <v>1</v>
      </c>
    </row>
    <row r="1306" spans="1:6">
      <c r="A1306" s="46" t="s">
        <v>4485</v>
      </c>
      <c r="B1306" s="46" t="s">
        <v>4472</v>
      </c>
      <c r="C1306" s="46" t="s">
        <v>4485</v>
      </c>
      <c r="D1306" s="46" t="s">
        <v>4743</v>
      </c>
      <c r="E1306" s="46" cm="1">
        <f t="array" ref="E1306">tchrs_tesdanatlquali_he_bartending_nc2</f>
        <v>0</v>
      </c>
      <c r="F1306" s="46" t="b">
        <v>1</v>
      </c>
    </row>
    <row r="1307" spans="1:6">
      <c r="A1307" s="46" t="s">
        <v>4486</v>
      </c>
      <c r="B1307" s="46" t="s">
        <v>4472</v>
      </c>
      <c r="C1307" s="46" t="s">
        <v>4486</v>
      </c>
      <c r="D1307" s="46" t="s">
        <v>4744</v>
      </c>
      <c r="E1307" s="46" cm="1">
        <f t="array" ref="E1307">tchrs_tesdanatlquali_he_bartending_nc3</f>
        <v>0</v>
      </c>
      <c r="F1307" s="46" t="b">
        <v>1</v>
      </c>
    </row>
    <row r="1308" spans="1:6">
      <c r="A1308" s="46" t="s">
        <v>4487</v>
      </c>
      <c r="B1308" s="46" t="s">
        <v>4472</v>
      </c>
      <c r="C1308" s="46" t="s">
        <v>4487</v>
      </c>
      <c r="D1308" s="46" t="s">
        <v>4745</v>
      </c>
      <c r="E1308" s="46" cm="1">
        <f t="array" ref="E1308">tchrs_tesdanatlquali_he_bartending_nc4</f>
        <v>0</v>
      </c>
      <c r="F1308" s="46" t="b">
        <v>1</v>
      </c>
    </row>
    <row r="1309" spans="1:6">
      <c r="A1309" s="46" t="s">
        <v>4488</v>
      </c>
      <c r="B1309" s="46" t="s">
        <v>4472</v>
      </c>
      <c r="C1309" s="46" t="s">
        <v>4488</v>
      </c>
      <c r="D1309" s="46" t="s">
        <v>4746</v>
      </c>
      <c r="E1309" s="46" cm="1">
        <f t="array" ref="E1309">tchrs_tesdanatlquali_he_bartending_diploma</f>
        <v>0</v>
      </c>
      <c r="F1309" s="46" t="b">
        <v>1</v>
      </c>
    </row>
    <row r="1310" spans="1:6">
      <c r="A1310" s="46" t="s">
        <v>4489</v>
      </c>
      <c r="B1310" s="46" t="s">
        <v>4472</v>
      </c>
      <c r="C1310" s="46" t="s">
        <v>4489</v>
      </c>
      <c r="D1310" s="46" t="s">
        <v>4747</v>
      </c>
      <c r="E1310" s="46" cm="1">
        <f t="array" ref="E1310">tchrs_tesdanatlquali_he_bartending_trainingmngt</f>
        <v>0</v>
      </c>
      <c r="F1310" s="46" t="b">
        <v>1</v>
      </c>
    </row>
    <row r="1311" spans="1:6">
      <c r="A1311" s="46" t="s">
        <v>4490</v>
      </c>
      <c r="B1311" s="46" t="s">
        <v>4472</v>
      </c>
      <c r="C1311" s="46" t="s">
        <v>4490</v>
      </c>
      <c r="D1311" s="46" t="s">
        <v>4748</v>
      </c>
      <c r="E1311" s="46" cm="1">
        <f t="array" ref="E1311">tchrs_tesdanatlquali_he_beautynail_nc1</f>
        <v>0</v>
      </c>
      <c r="F1311" s="46" t="b">
        <v>1</v>
      </c>
    </row>
    <row r="1312" spans="1:6">
      <c r="A1312" s="46" t="s">
        <v>4491</v>
      </c>
      <c r="B1312" s="46" t="s">
        <v>4472</v>
      </c>
      <c r="C1312" s="46" t="s">
        <v>4491</v>
      </c>
      <c r="D1312" s="46" t="s">
        <v>4749</v>
      </c>
      <c r="E1312" s="46" cm="1">
        <f t="array" ref="E1312">tchrs_tesdanatlquali_he_beautynail_nc2</f>
        <v>1</v>
      </c>
      <c r="F1312" s="46" t="b">
        <v>1</v>
      </c>
    </row>
    <row r="1313" spans="1:6">
      <c r="A1313" s="46" t="s">
        <v>4492</v>
      </c>
      <c r="B1313" s="46" t="s">
        <v>4472</v>
      </c>
      <c r="C1313" s="46" t="s">
        <v>4492</v>
      </c>
      <c r="D1313" s="46" t="s">
        <v>4750</v>
      </c>
      <c r="E1313" s="46" cm="1">
        <f t="array" ref="E1313">tchrs_tesdanatlquali_he_beautynail_nc3</f>
        <v>0</v>
      </c>
      <c r="F1313" s="46" t="b">
        <v>1</v>
      </c>
    </row>
    <row r="1314" spans="1:6">
      <c r="A1314" s="46" t="s">
        <v>4493</v>
      </c>
      <c r="B1314" s="46" t="s">
        <v>4472</v>
      </c>
      <c r="C1314" s="46" t="s">
        <v>4493</v>
      </c>
      <c r="D1314" s="46" t="s">
        <v>4751</v>
      </c>
      <c r="E1314" s="46" cm="1">
        <f t="array" ref="E1314">tchrs_tesdanatlquali_he_beautynail_nc4</f>
        <v>0</v>
      </c>
      <c r="F1314" s="46" t="b">
        <v>1</v>
      </c>
    </row>
    <row r="1315" spans="1:6">
      <c r="A1315" s="46" t="s">
        <v>4494</v>
      </c>
      <c r="B1315" s="46" t="s">
        <v>4472</v>
      </c>
      <c r="C1315" s="46" t="s">
        <v>4494</v>
      </c>
      <c r="D1315" s="46" t="s">
        <v>4752</v>
      </c>
      <c r="E1315" s="46" cm="1">
        <f t="array" ref="E1315">tchrs_tesdanatlquali_he_beautynail_diploma</f>
        <v>0</v>
      </c>
      <c r="F1315" s="46" t="b">
        <v>1</v>
      </c>
    </row>
    <row r="1316" spans="1:6">
      <c r="A1316" s="46" t="s">
        <v>4495</v>
      </c>
      <c r="B1316" s="46" t="s">
        <v>4472</v>
      </c>
      <c r="C1316" s="46" t="s">
        <v>4495</v>
      </c>
      <c r="D1316" s="46" t="s">
        <v>4753</v>
      </c>
      <c r="E1316" s="46" cm="1">
        <f t="array" ref="E1316">tchrs_tesdanatlquali_he_beautynail_trainingmngt</f>
        <v>0</v>
      </c>
      <c r="F1316" s="46" t="b">
        <v>1</v>
      </c>
    </row>
    <row r="1317" spans="1:6">
      <c r="A1317" s="46" t="s">
        <v>4496</v>
      </c>
      <c r="B1317" s="46" t="s">
        <v>4472</v>
      </c>
      <c r="C1317" s="46" t="s">
        <v>4496</v>
      </c>
      <c r="D1317" s="46" t="s">
        <v>4754</v>
      </c>
      <c r="E1317" s="46" cm="1">
        <f t="array" ref="E1317">tchrs_tesdanatlquali_he_breadnpastry_nc1</f>
        <v>0</v>
      </c>
      <c r="F1317" s="46" t="b">
        <v>1</v>
      </c>
    </row>
    <row r="1318" spans="1:6">
      <c r="A1318" s="46" t="s">
        <v>4497</v>
      </c>
      <c r="B1318" s="46" t="s">
        <v>4472</v>
      </c>
      <c r="C1318" s="46" t="s">
        <v>4497</v>
      </c>
      <c r="D1318" s="46" t="s">
        <v>4755</v>
      </c>
      <c r="E1318" s="46" cm="1">
        <f t="array" ref="E1318">tchrs_tesdanatlquali_he_breadnpastry_nc2</f>
        <v>3</v>
      </c>
      <c r="F1318" s="46" t="b">
        <v>1</v>
      </c>
    </row>
    <row r="1319" spans="1:6">
      <c r="A1319" s="46" t="s">
        <v>4498</v>
      </c>
      <c r="B1319" s="46" t="s">
        <v>4472</v>
      </c>
      <c r="C1319" s="46" t="s">
        <v>4498</v>
      </c>
      <c r="D1319" s="46" t="s">
        <v>4756</v>
      </c>
      <c r="E1319" s="46" cm="1">
        <f t="array" ref="E1319">tchrs_tesdanatlquali_he_breadnpastry_nc3</f>
        <v>0</v>
      </c>
      <c r="F1319" s="46" t="b">
        <v>1</v>
      </c>
    </row>
    <row r="1320" spans="1:6">
      <c r="A1320" s="46" t="s">
        <v>4499</v>
      </c>
      <c r="B1320" s="46" t="s">
        <v>4472</v>
      </c>
      <c r="C1320" s="46" t="s">
        <v>4499</v>
      </c>
      <c r="D1320" s="46" t="s">
        <v>4757</v>
      </c>
      <c r="E1320" s="46" cm="1">
        <f t="array" ref="E1320">tchrs_tesdanatlquali_he_breadnpastry_nc4</f>
        <v>0</v>
      </c>
      <c r="F1320" s="46" t="b">
        <v>1</v>
      </c>
    </row>
    <row r="1321" spans="1:6">
      <c r="A1321" s="46" t="s">
        <v>4500</v>
      </c>
      <c r="B1321" s="46" t="s">
        <v>4472</v>
      </c>
      <c r="C1321" s="46" t="s">
        <v>4500</v>
      </c>
      <c r="D1321" s="46" t="s">
        <v>4758</v>
      </c>
      <c r="E1321" s="46" cm="1">
        <f t="array" ref="E1321">tchrs_tesdanatlquali_he_breadnpastry_diploma</f>
        <v>0</v>
      </c>
      <c r="F1321" s="46" t="b">
        <v>1</v>
      </c>
    </row>
    <row r="1322" spans="1:6">
      <c r="A1322" s="46" t="s">
        <v>4501</v>
      </c>
      <c r="B1322" s="46" t="s">
        <v>4472</v>
      </c>
      <c r="C1322" s="46" t="s">
        <v>4501</v>
      </c>
      <c r="D1322" s="46" t="s">
        <v>4759</v>
      </c>
      <c r="E1322" s="46" cm="1">
        <f t="array" ref="E1322">tchrs_tesdanatlquali_he_breadnpastry_trainingmngt</f>
        <v>0</v>
      </c>
      <c r="F1322" s="46" t="b">
        <v>1</v>
      </c>
    </row>
    <row r="1323" spans="1:6">
      <c r="A1323" s="46" t="s">
        <v>4502</v>
      </c>
      <c r="B1323" s="46" t="s">
        <v>4472</v>
      </c>
      <c r="C1323" s="46" t="s">
        <v>4502</v>
      </c>
      <c r="D1323" s="46" t="s">
        <v>4760</v>
      </c>
      <c r="E1323" s="46" cm="1">
        <f t="array" ref="E1323">tchrs_tesdanatlquali_he_caregiving_nc1</f>
        <v>0</v>
      </c>
      <c r="F1323" s="46" t="b">
        <v>1</v>
      </c>
    </row>
    <row r="1324" spans="1:6">
      <c r="A1324" s="46" t="s">
        <v>4503</v>
      </c>
      <c r="B1324" s="46" t="s">
        <v>4472</v>
      </c>
      <c r="C1324" s="46" t="s">
        <v>4503</v>
      </c>
      <c r="D1324" s="46" t="s">
        <v>4761</v>
      </c>
      <c r="E1324" s="46" cm="1">
        <f t="array" ref="E1324">tchrs_tesdanatlquali_he_caregiving_nc2</f>
        <v>0</v>
      </c>
      <c r="F1324" s="46" t="b">
        <v>1</v>
      </c>
    </row>
    <row r="1325" spans="1:6">
      <c r="A1325" s="46" t="s">
        <v>4504</v>
      </c>
      <c r="B1325" s="46" t="s">
        <v>4472</v>
      </c>
      <c r="C1325" s="46" t="s">
        <v>4504</v>
      </c>
      <c r="D1325" s="46" t="s">
        <v>4762</v>
      </c>
      <c r="E1325" s="46" cm="1">
        <f t="array" ref="E1325">tchrs_tesdanatlquali_he_caregiving_nc3</f>
        <v>0</v>
      </c>
      <c r="F1325" s="46" t="b">
        <v>1</v>
      </c>
    </row>
    <row r="1326" spans="1:6">
      <c r="A1326" s="46" t="s">
        <v>4505</v>
      </c>
      <c r="B1326" s="46" t="s">
        <v>4472</v>
      </c>
      <c r="C1326" s="46" t="s">
        <v>4505</v>
      </c>
      <c r="D1326" s="46" t="s">
        <v>4763</v>
      </c>
      <c r="E1326" s="46" cm="1">
        <f t="array" ref="E1326">tchrs_tesdanatlquali_he_caregiving_nc4</f>
        <v>0</v>
      </c>
      <c r="F1326" s="46" t="b">
        <v>1</v>
      </c>
    </row>
    <row r="1327" spans="1:6">
      <c r="A1327" s="46" t="s">
        <v>4506</v>
      </c>
      <c r="B1327" s="46" t="s">
        <v>4472</v>
      </c>
      <c r="C1327" s="46" t="s">
        <v>4506</v>
      </c>
      <c r="D1327" s="46" t="s">
        <v>4764</v>
      </c>
      <c r="E1327" s="46" cm="1">
        <f t="array" ref="E1327">tchrs_tesdanatlquali_he_caregiving_diploma</f>
        <v>0</v>
      </c>
      <c r="F1327" s="46" t="b">
        <v>1</v>
      </c>
    </row>
    <row r="1328" spans="1:6">
      <c r="A1328" s="46" t="s">
        <v>4507</v>
      </c>
      <c r="B1328" s="46" t="s">
        <v>4472</v>
      </c>
      <c r="C1328" s="46" t="s">
        <v>4507</v>
      </c>
      <c r="D1328" s="46" t="s">
        <v>4765</v>
      </c>
      <c r="E1328" s="46" cm="1">
        <f t="array" ref="E1328">tchrs_tesdanatlquali_he_caregiving_trainingmngt</f>
        <v>0</v>
      </c>
      <c r="F1328" s="46" t="b">
        <v>1</v>
      </c>
    </row>
    <row r="1329" spans="1:6">
      <c r="A1329" s="46" t="s">
        <v>4508</v>
      </c>
      <c r="B1329" s="46" t="s">
        <v>4472</v>
      </c>
      <c r="C1329" s="46" t="s">
        <v>4508</v>
      </c>
      <c r="D1329" s="46" t="s">
        <v>4766</v>
      </c>
      <c r="E1329" s="46" cm="1">
        <f t="array" ref="E1329">tchrs_tesdanatlquali_he_comcooking_nc1</f>
        <v>0</v>
      </c>
      <c r="F1329" s="46" t="b">
        <v>1</v>
      </c>
    </row>
    <row r="1330" spans="1:6">
      <c r="A1330" s="46" t="s">
        <v>4509</v>
      </c>
      <c r="B1330" s="46" t="s">
        <v>4472</v>
      </c>
      <c r="C1330" s="46" t="s">
        <v>4509</v>
      </c>
      <c r="D1330" s="46" t="s">
        <v>4767</v>
      </c>
      <c r="E1330" s="46" cm="1">
        <f t="array" ref="E1330">tchrs_tesdanatlquali_he_comcooking_nc2</f>
        <v>3</v>
      </c>
      <c r="F1330" s="46" t="b">
        <v>1</v>
      </c>
    </row>
    <row r="1331" spans="1:6">
      <c r="A1331" s="46" t="s">
        <v>4510</v>
      </c>
      <c r="B1331" s="46" t="s">
        <v>4472</v>
      </c>
      <c r="C1331" s="46" t="s">
        <v>4510</v>
      </c>
      <c r="D1331" s="46" t="s">
        <v>4768</v>
      </c>
      <c r="E1331" s="46" cm="1">
        <f t="array" ref="E1331">tchrs_tesdanatlquali_he_comcooking_nc3</f>
        <v>0</v>
      </c>
      <c r="F1331" s="46" t="b">
        <v>1</v>
      </c>
    </row>
    <row r="1332" spans="1:6">
      <c r="A1332" s="46" t="s">
        <v>4511</v>
      </c>
      <c r="B1332" s="46" t="s">
        <v>4472</v>
      </c>
      <c r="C1332" s="46" t="s">
        <v>4511</v>
      </c>
      <c r="D1332" s="46" t="s">
        <v>4769</v>
      </c>
      <c r="E1332" s="46" cm="1">
        <f t="array" ref="E1332">tchrs_tesdanatlquali_he_comcooking_nc4</f>
        <v>0</v>
      </c>
      <c r="F1332" s="46" t="b">
        <v>1</v>
      </c>
    </row>
    <row r="1333" spans="1:6">
      <c r="A1333" s="46" t="s">
        <v>4512</v>
      </c>
      <c r="B1333" s="46" t="s">
        <v>4472</v>
      </c>
      <c r="C1333" s="46" t="s">
        <v>4512</v>
      </c>
      <c r="D1333" s="46" t="s">
        <v>4770</v>
      </c>
      <c r="E1333" s="46" cm="1">
        <f t="array" ref="E1333">tchrs_tesdanatlquali_he_comcooking_diploma</f>
        <v>0</v>
      </c>
      <c r="F1333" s="46" t="b">
        <v>1</v>
      </c>
    </row>
    <row r="1334" spans="1:6">
      <c r="A1334" s="46" t="s">
        <v>4513</v>
      </c>
      <c r="B1334" s="46" t="s">
        <v>4472</v>
      </c>
      <c r="C1334" s="46" t="s">
        <v>4513</v>
      </c>
      <c r="D1334" s="46" t="s">
        <v>4771</v>
      </c>
      <c r="E1334" s="46" cm="1">
        <f t="array" ref="E1334">tchrs_tesdanatlquali_he_comcooking_trainingmngt</f>
        <v>0</v>
      </c>
      <c r="F1334" s="46" t="b">
        <v>1</v>
      </c>
    </row>
    <row r="1335" spans="1:6">
      <c r="A1335" s="46" t="s">
        <v>4514</v>
      </c>
      <c r="B1335" s="46" t="s">
        <v>4472</v>
      </c>
      <c r="C1335" s="46" t="s">
        <v>4514</v>
      </c>
      <c r="D1335" s="46" t="s">
        <v>4772</v>
      </c>
      <c r="E1335" s="46" cm="1">
        <f t="array" ref="E1335">tchrs_tesdanatlquali_he_cookery_nc1</f>
        <v>0</v>
      </c>
      <c r="F1335" s="46" t="b">
        <v>1</v>
      </c>
    </row>
    <row r="1336" spans="1:6">
      <c r="A1336" s="46" t="s">
        <v>4515</v>
      </c>
      <c r="B1336" s="46" t="s">
        <v>4472</v>
      </c>
      <c r="C1336" s="46" t="s">
        <v>4515</v>
      </c>
      <c r="D1336" s="46" t="s">
        <v>4773</v>
      </c>
      <c r="E1336" s="46" cm="1">
        <f t="array" ref="E1336">tchrs_tesdanatlquali_he_cookery_nc2</f>
        <v>0</v>
      </c>
      <c r="F1336" s="46" t="b">
        <v>1</v>
      </c>
    </row>
    <row r="1337" spans="1:6">
      <c r="A1337" s="46" t="s">
        <v>4516</v>
      </c>
      <c r="B1337" s="46" t="s">
        <v>4472</v>
      </c>
      <c r="C1337" s="46" t="s">
        <v>4516</v>
      </c>
      <c r="D1337" s="46" t="s">
        <v>4774</v>
      </c>
      <c r="E1337" s="46" cm="1">
        <f t="array" ref="E1337">tchrs_tesdanatlquali_he_cookery_nc3</f>
        <v>0</v>
      </c>
      <c r="F1337" s="46" t="b">
        <v>1</v>
      </c>
    </row>
    <row r="1338" spans="1:6">
      <c r="A1338" s="46" t="s">
        <v>4517</v>
      </c>
      <c r="B1338" s="46" t="s">
        <v>4472</v>
      </c>
      <c r="C1338" s="46" t="s">
        <v>4517</v>
      </c>
      <c r="D1338" s="46" t="s">
        <v>4775</v>
      </c>
      <c r="E1338" s="46" cm="1">
        <f t="array" ref="E1338">tchrs_tesdanatlquali_he_cookery_nc4</f>
        <v>0</v>
      </c>
      <c r="F1338" s="46" t="b">
        <v>1</v>
      </c>
    </row>
    <row r="1339" spans="1:6">
      <c r="A1339" s="46" t="s">
        <v>4518</v>
      </c>
      <c r="B1339" s="46" t="s">
        <v>4472</v>
      </c>
      <c r="C1339" s="46" t="s">
        <v>4518</v>
      </c>
      <c r="D1339" s="46" t="s">
        <v>4776</v>
      </c>
      <c r="E1339" s="46" cm="1">
        <f t="array" ref="E1339">tchrs_tesdanatlquali_he_cookery_diploma</f>
        <v>0</v>
      </c>
      <c r="F1339" s="46" t="b">
        <v>1</v>
      </c>
    </row>
    <row r="1340" spans="1:6">
      <c r="A1340" s="46" t="s">
        <v>4519</v>
      </c>
      <c r="B1340" s="46" t="s">
        <v>4472</v>
      </c>
      <c r="C1340" s="46" t="s">
        <v>4519</v>
      </c>
      <c r="D1340" s="46" t="s">
        <v>4777</v>
      </c>
      <c r="E1340" s="46" cm="1">
        <f t="array" ref="E1340">tchrs_tesdanatlquali_he_cookery_trainingmngt</f>
        <v>0</v>
      </c>
      <c r="F1340" s="46" t="b">
        <v>1</v>
      </c>
    </row>
    <row r="1341" spans="1:6">
      <c r="A1341" s="46" t="s">
        <v>4520</v>
      </c>
      <c r="B1341" s="46" t="s">
        <v>4472</v>
      </c>
      <c r="C1341" s="46" t="s">
        <v>4520</v>
      </c>
      <c r="D1341" s="46" t="s">
        <v>4778</v>
      </c>
      <c r="E1341" s="46" cm="1">
        <f t="array" ref="E1341">tchrs_tesdanatlquali_he_dressmaking_nc1</f>
        <v>0</v>
      </c>
      <c r="F1341" s="46" t="b">
        <v>1</v>
      </c>
    </row>
    <row r="1342" spans="1:6">
      <c r="A1342" s="46" t="s">
        <v>4521</v>
      </c>
      <c r="B1342" s="46" t="s">
        <v>4472</v>
      </c>
      <c r="C1342" s="46" t="s">
        <v>4521</v>
      </c>
      <c r="D1342" s="46" t="s">
        <v>4779</v>
      </c>
      <c r="E1342" s="46" cm="1">
        <f t="array" ref="E1342">tchrs_tesdanatlquali_he_dressmaking_nc2</f>
        <v>0</v>
      </c>
      <c r="F1342" s="46" t="b">
        <v>1</v>
      </c>
    </row>
    <row r="1343" spans="1:6">
      <c r="A1343" s="46" t="s">
        <v>4522</v>
      </c>
      <c r="B1343" s="46" t="s">
        <v>4472</v>
      </c>
      <c r="C1343" s="46" t="s">
        <v>4522</v>
      </c>
      <c r="D1343" s="46" t="s">
        <v>4780</v>
      </c>
      <c r="E1343" s="46" cm="1">
        <f t="array" ref="E1343">tchrs_tesdanatlquali_he_dressmaking_nc3</f>
        <v>0</v>
      </c>
      <c r="F1343" s="46" t="b">
        <v>1</v>
      </c>
    </row>
    <row r="1344" spans="1:6">
      <c r="A1344" s="46" t="s">
        <v>4523</v>
      </c>
      <c r="B1344" s="46" t="s">
        <v>4472</v>
      </c>
      <c r="C1344" s="46" t="s">
        <v>4523</v>
      </c>
      <c r="D1344" s="46" t="s">
        <v>4781</v>
      </c>
      <c r="E1344" s="46" cm="1">
        <f t="array" ref="E1344">tchrs_tesdanatlquali_he_dressmaking_nc4</f>
        <v>0</v>
      </c>
      <c r="F1344" s="46" t="b">
        <v>1</v>
      </c>
    </row>
    <row r="1345" spans="1:6">
      <c r="A1345" s="46" t="s">
        <v>4524</v>
      </c>
      <c r="B1345" s="46" t="s">
        <v>4472</v>
      </c>
      <c r="C1345" s="46" t="s">
        <v>4524</v>
      </c>
      <c r="D1345" s="46" t="s">
        <v>4782</v>
      </c>
      <c r="E1345" s="46" cm="1">
        <f t="array" ref="E1345">tchrs_tesdanatlquali_he_dressmaking_diploma</f>
        <v>0</v>
      </c>
      <c r="F1345" s="46" t="b">
        <v>1</v>
      </c>
    </row>
    <row r="1346" spans="1:6">
      <c r="A1346" s="46" t="s">
        <v>4525</v>
      </c>
      <c r="B1346" s="46" t="s">
        <v>4472</v>
      </c>
      <c r="C1346" s="46" t="s">
        <v>4525</v>
      </c>
      <c r="D1346" s="46" t="s">
        <v>4783</v>
      </c>
      <c r="E1346" s="46" cm="1">
        <f t="array" ref="E1346">tchrs_tesdanatlquali_he_dressmaking_trainingmngt</f>
        <v>0</v>
      </c>
      <c r="F1346" s="46" t="b">
        <v>1</v>
      </c>
    </row>
    <row r="1347" spans="1:6">
      <c r="A1347" s="46" t="s">
        <v>4526</v>
      </c>
      <c r="B1347" s="46" t="s">
        <v>4472</v>
      </c>
      <c r="C1347" s="46" t="s">
        <v>4526</v>
      </c>
      <c r="D1347" s="46" t="s">
        <v>4784</v>
      </c>
      <c r="E1347" s="46" cm="1">
        <f t="array" ref="E1347">tchrs_tesdanatlquali_he_eventsmngt_nc1</f>
        <v>0</v>
      </c>
      <c r="F1347" s="46" t="b">
        <v>1</v>
      </c>
    </row>
    <row r="1348" spans="1:6">
      <c r="A1348" s="46" t="s">
        <v>4527</v>
      </c>
      <c r="B1348" s="46" t="s">
        <v>4472</v>
      </c>
      <c r="C1348" s="46" t="s">
        <v>4527</v>
      </c>
      <c r="D1348" s="46" t="s">
        <v>4785</v>
      </c>
      <c r="E1348" s="46" cm="1">
        <f t="array" ref="E1348">tchrs_tesdanatlquali_he_eventsmngt_nc2</f>
        <v>0</v>
      </c>
      <c r="F1348" s="46" t="b">
        <v>1</v>
      </c>
    </row>
    <row r="1349" spans="1:6">
      <c r="A1349" s="46" t="s">
        <v>4528</v>
      </c>
      <c r="B1349" s="46" t="s">
        <v>4472</v>
      </c>
      <c r="C1349" s="46" t="s">
        <v>4528</v>
      </c>
      <c r="D1349" s="46" t="s">
        <v>4786</v>
      </c>
      <c r="E1349" s="46" cm="1">
        <f t="array" ref="E1349">tchrs_tesdanatlquali_he_eventsmngt_nc3</f>
        <v>2</v>
      </c>
      <c r="F1349" s="46" t="b">
        <v>1</v>
      </c>
    </row>
    <row r="1350" spans="1:6">
      <c r="A1350" s="46" t="s">
        <v>4529</v>
      </c>
      <c r="B1350" s="46" t="s">
        <v>4472</v>
      </c>
      <c r="C1350" s="46" t="s">
        <v>4529</v>
      </c>
      <c r="D1350" s="46" t="s">
        <v>4787</v>
      </c>
      <c r="E1350" s="46" cm="1">
        <f t="array" ref="E1350">tchrs_tesdanatlquali_he_eventsmngt_nc4</f>
        <v>0</v>
      </c>
      <c r="F1350" s="46" t="b">
        <v>1</v>
      </c>
    </row>
    <row r="1351" spans="1:6">
      <c r="A1351" s="46" t="s">
        <v>4530</v>
      </c>
      <c r="B1351" s="46" t="s">
        <v>4472</v>
      </c>
      <c r="C1351" s="46" t="s">
        <v>4530</v>
      </c>
      <c r="D1351" s="46" t="s">
        <v>4788</v>
      </c>
      <c r="E1351" s="46" cm="1">
        <f t="array" ref="E1351">tchrs_tesdanatlquali_he_eventsmngt_diploma</f>
        <v>0</v>
      </c>
      <c r="F1351" s="46" t="b">
        <v>1</v>
      </c>
    </row>
    <row r="1352" spans="1:6">
      <c r="A1352" s="46" t="s">
        <v>4531</v>
      </c>
      <c r="B1352" s="46" t="s">
        <v>4472</v>
      </c>
      <c r="C1352" s="46" t="s">
        <v>4531</v>
      </c>
      <c r="D1352" s="46" t="s">
        <v>4789</v>
      </c>
      <c r="E1352" s="46" cm="1">
        <f t="array" ref="E1352">tchrs_tesdanatlquali_he_eventsmngt_trainingmngt</f>
        <v>0</v>
      </c>
      <c r="F1352" s="46" t="b">
        <v>1</v>
      </c>
    </row>
    <row r="1353" spans="1:6">
      <c r="A1353" s="46" t="s">
        <v>4532</v>
      </c>
      <c r="B1353" s="46" t="s">
        <v>4472</v>
      </c>
      <c r="C1353" s="46" t="s">
        <v>4532</v>
      </c>
      <c r="D1353" s="46" t="s">
        <v>4790</v>
      </c>
      <c r="E1353" s="46" cm="1">
        <f t="array" ref="E1353">tchrs_tesdanatlquali_he_fashiondesign_nc1</f>
        <v>0</v>
      </c>
      <c r="F1353" s="46" t="b">
        <v>1</v>
      </c>
    </row>
    <row r="1354" spans="1:6">
      <c r="A1354" s="46" t="s">
        <v>4533</v>
      </c>
      <c r="B1354" s="46" t="s">
        <v>4472</v>
      </c>
      <c r="C1354" s="46" t="s">
        <v>4533</v>
      </c>
      <c r="D1354" s="46" t="s">
        <v>4791</v>
      </c>
      <c r="E1354" s="46" cm="1">
        <f t="array" ref="E1354">tchrs_tesdanatlquali_he_fashiondesign_nc2</f>
        <v>0</v>
      </c>
      <c r="F1354" s="46" t="b">
        <v>1</v>
      </c>
    </row>
    <row r="1355" spans="1:6">
      <c r="A1355" s="46" t="s">
        <v>4534</v>
      </c>
      <c r="B1355" s="46" t="s">
        <v>4472</v>
      </c>
      <c r="C1355" s="46" t="s">
        <v>4534</v>
      </c>
      <c r="D1355" s="46" t="s">
        <v>4792</v>
      </c>
      <c r="E1355" s="46" cm="1">
        <f t="array" ref="E1355">tchrs_tesdanatlquali_he_fashiondesign_nc3</f>
        <v>0</v>
      </c>
      <c r="F1355" s="46" t="b">
        <v>1</v>
      </c>
    </row>
    <row r="1356" spans="1:6">
      <c r="A1356" s="46" t="s">
        <v>4535</v>
      </c>
      <c r="B1356" s="46" t="s">
        <v>4472</v>
      </c>
      <c r="C1356" s="46" t="s">
        <v>4535</v>
      </c>
      <c r="D1356" s="46" t="s">
        <v>4793</v>
      </c>
      <c r="E1356" s="46" cm="1">
        <f t="array" ref="E1356">tchrs_tesdanatlquali_he_fashiondesign_nc4</f>
        <v>0</v>
      </c>
      <c r="F1356" s="46" t="b">
        <v>1</v>
      </c>
    </row>
    <row r="1357" spans="1:6">
      <c r="A1357" s="46" t="s">
        <v>4536</v>
      </c>
      <c r="B1357" s="46" t="s">
        <v>4472</v>
      </c>
      <c r="C1357" s="46" t="s">
        <v>4536</v>
      </c>
      <c r="D1357" s="46" t="s">
        <v>4794</v>
      </c>
      <c r="E1357" s="46" cm="1">
        <f t="array" ref="E1357">tchrs_tesdanatlquali_he_fashiondesign_diploma</f>
        <v>0</v>
      </c>
      <c r="F1357" s="46" t="b">
        <v>1</v>
      </c>
    </row>
    <row r="1358" spans="1:6">
      <c r="A1358" s="46" t="s">
        <v>4537</v>
      </c>
      <c r="B1358" s="46" t="s">
        <v>4472</v>
      </c>
      <c r="C1358" s="46" t="s">
        <v>4537</v>
      </c>
      <c r="D1358" s="46" t="s">
        <v>4795</v>
      </c>
      <c r="E1358" s="46" cm="1">
        <f t="array" ref="E1358">tchrs_tesdanatlquali_he_fashiondesign_trainingmngt</f>
        <v>0</v>
      </c>
      <c r="F1358" s="46" t="b">
        <v>1</v>
      </c>
    </row>
    <row r="1359" spans="1:6">
      <c r="A1359" s="46" t="s">
        <v>4538</v>
      </c>
      <c r="B1359" s="46" t="s">
        <v>4472</v>
      </c>
      <c r="C1359" s="46" t="s">
        <v>4538</v>
      </c>
      <c r="D1359" s="46" t="s">
        <v>4796</v>
      </c>
      <c r="E1359" s="46" cm="1">
        <f t="array" ref="E1359">tchrs_tesdanatlquali_he_foodnbeverage_nc1</f>
        <v>0</v>
      </c>
      <c r="F1359" s="46" t="b">
        <v>1</v>
      </c>
    </row>
    <row r="1360" spans="1:6">
      <c r="A1360" s="46" t="s">
        <v>4539</v>
      </c>
      <c r="B1360" s="46" t="s">
        <v>4472</v>
      </c>
      <c r="C1360" s="46" t="s">
        <v>4539</v>
      </c>
      <c r="D1360" s="46" t="s">
        <v>4797</v>
      </c>
      <c r="E1360" s="46" cm="1">
        <f t="array" ref="E1360">tchrs_tesdanatlquali_he_foodnbeverage_nc2</f>
        <v>1</v>
      </c>
      <c r="F1360" s="46" t="b">
        <v>1</v>
      </c>
    </row>
    <row r="1361" spans="1:6">
      <c r="A1361" s="46" t="s">
        <v>4540</v>
      </c>
      <c r="B1361" s="46" t="s">
        <v>4472</v>
      </c>
      <c r="C1361" s="46" t="s">
        <v>4540</v>
      </c>
      <c r="D1361" s="46" t="s">
        <v>4798</v>
      </c>
      <c r="E1361" s="46" cm="1">
        <f t="array" ref="E1361">tchrs_tesdanatlquali_he_foodnbeverage_nc3</f>
        <v>0</v>
      </c>
      <c r="F1361" s="46" t="b">
        <v>1</v>
      </c>
    </row>
    <row r="1362" spans="1:6">
      <c r="A1362" s="46" t="s">
        <v>4541</v>
      </c>
      <c r="B1362" s="46" t="s">
        <v>4472</v>
      </c>
      <c r="C1362" s="46" t="s">
        <v>4541</v>
      </c>
      <c r="D1362" s="46" t="s">
        <v>4799</v>
      </c>
      <c r="E1362" s="46" cm="1">
        <f t="array" ref="E1362">tchrs_tesdanatlquali_he_foodnbeverage_nc4</f>
        <v>0</v>
      </c>
      <c r="F1362" s="46" t="b">
        <v>1</v>
      </c>
    </row>
    <row r="1363" spans="1:6">
      <c r="A1363" s="46" t="s">
        <v>4542</v>
      </c>
      <c r="B1363" s="46" t="s">
        <v>4472</v>
      </c>
      <c r="C1363" s="46" t="s">
        <v>4542</v>
      </c>
      <c r="D1363" s="46" t="s">
        <v>4800</v>
      </c>
      <c r="E1363" s="46" cm="1">
        <f t="array" ref="E1363">tchrs_tesdanatlquali_he_foodnbeverage_diploma</f>
        <v>0</v>
      </c>
      <c r="F1363" s="46" t="b">
        <v>1</v>
      </c>
    </row>
    <row r="1364" spans="1:6">
      <c r="A1364" s="46" t="s">
        <v>4543</v>
      </c>
      <c r="B1364" s="46" t="s">
        <v>4472</v>
      </c>
      <c r="C1364" s="46" t="s">
        <v>4543</v>
      </c>
      <c r="D1364" s="46" t="s">
        <v>4801</v>
      </c>
      <c r="E1364" s="46" cm="1">
        <f t="array" ref="E1364">tchrs_tesdanatlquali_he_foodnbeverage_trainingmngt</f>
        <v>0</v>
      </c>
      <c r="F1364" s="46" t="b">
        <v>1</v>
      </c>
    </row>
    <row r="1365" spans="1:6">
      <c r="A1365" s="46" t="s">
        <v>4544</v>
      </c>
      <c r="B1365" s="46" t="s">
        <v>4472</v>
      </c>
      <c r="C1365" s="46" t="s">
        <v>4544</v>
      </c>
      <c r="D1365" s="46" t="s">
        <v>4802</v>
      </c>
      <c r="E1365" s="46" cm="1">
        <f t="array" ref="E1365">tchrs_tesdanatlquali_he_frontofc_nc1</f>
        <v>0</v>
      </c>
      <c r="F1365" s="46" t="b">
        <v>1</v>
      </c>
    </row>
    <row r="1366" spans="1:6">
      <c r="A1366" s="46" t="s">
        <v>4545</v>
      </c>
      <c r="B1366" s="46" t="s">
        <v>4472</v>
      </c>
      <c r="C1366" s="46" t="s">
        <v>4545</v>
      </c>
      <c r="D1366" s="46" t="s">
        <v>4803</v>
      </c>
      <c r="E1366" s="46" cm="1">
        <f t="array" ref="E1366">tchrs_tesdanatlquali_he_frontofc_nc2</f>
        <v>0</v>
      </c>
      <c r="F1366" s="46" t="b">
        <v>1</v>
      </c>
    </row>
    <row r="1367" spans="1:6">
      <c r="A1367" s="46" t="s">
        <v>4546</v>
      </c>
      <c r="B1367" s="46" t="s">
        <v>4472</v>
      </c>
      <c r="C1367" s="46" t="s">
        <v>4546</v>
      </c>
      <c r="D1367" s="46" t="s">
        <v>4804</v>
      </c>
      <c r="E1367" s="46" cm="1">
        <f t="array" ref="E1367">tchrs_tesdanatlquali_he_frontofc_nc3</f>
        <v>0</v>
      </c>
      <c r="F1367" s="46" t="b">
        <v>1</v>
      </c>
    </row>
    <row r="1368" spans="1:6">
      <c r="A1368" s="46" t="s">
        <v>4547</v>
      </c>
      <c r="B1368" s="46" t="s">
        <v>4472</v>
      </c>
      <c r="C1368" s="46" t="s">
        <v>4547</v>
      </c>
      <c r="D1368" s="46" t="s">
        <v>4805</v>
      </c>
      <c r="E1368" s="46" cm="1">
        <f t="array" ref="E1368">tchrs_tesdanatlquali_he_frontofc_nc4</f>
        <v>0</v>
      </c>
      <c r="F1368" s="46" t="b">
        <v>1</v>
      </c>
    </row>
    <row r="1369" spans="1:6">
      <c r="A1369" s="46" t="s">
        <v>4548</v>
      </c>
      <c r="B1369" s="46" t="s">
        <v>4472</v>
      </c>
      <c r="C1369" s="46" t="s">
        <v>4548</v>
      </c>
      <c r="D1369" s="46" t="s">
        <v>4806</v>
      </c>
      <c r="E1369" s="46" cm="1">
        <f t="array" ref="E1369">tchrs_tesdanatlquali_he_frontofc_diploma</f>
        <v>0</v>
      </c>
      <c r="F1369" s="46" t="b">
        <v>1</v>
      </c>
    </row>
    <row r="1370" spans="1:6">
      <c r="A1370" s="46" t="s">
        <v>4549</v>
      </c>
      <c r="B1370" s="46" t="s">
        <v>4472</v>
      </c>
      <c r="C1370" s="46" t="s">
        <v>4549</v>
      </c>
      <c r="D1370" s="46" t="s">
        <v>4807</v>
      </c>
      <c r="E1370" s="46" cm="1">
        <f t="array" ref="E1370">tchrs_tesdanatlquali_he_frontofc_trainingmngt</f>
        <v>0</v>
      </c>
      <c r="F1370" s="46" t="b">
        <v>1</v>
      </c>
    </row>
    <row r="1371" spans="1:6">
      <c r="A1371" s="46" t="s">
        <v>4550</v>
      </c>
      <c r="B1371" s="46" t="s">
        <v>4472</v>
      </c>
      <c r="C1371" s="46" t="s">
        <v>4550</v>
      </c>
      <c r="D1371" s="46" t="s">
        <v>4808</v>
      </c>
      <c r="E1371" s="46" cm="1">
        <f t="array" ref="E1371">tchrs_tesdanatlquali_he_hairdressing_nc1</f>
        <v>0</v>
      </c>
      <c r="F1371" s="46" t="b">
        <v>1</v>
      </c>
    </row>
    <row r="1372" spans="1:6">
      <c r="A1372" s="46" t="s">
        <v>4551</v>
      </c>
      <c r="B1372" s="46" t="s">
        <v>4472</v>
      </c>
      <c r="C1372" s="46" t="s">
        <v>4551</v>
      </c>
      <c r="D1372" s="46" t="s">
        <v>4809</v>
      </c>
      <c r="E1372" s="46" cm="1">
        <f t="array" ref="E1372">tchrs_tesdanatlquali_he_hairdressing_nc2</f>
        <v>1</v>
      </c>
      <c r="F1372" s="46" t="b">
        <v>1</v>
      </c>
    </row>
    <row r="1373" spans="1:6">
      <c r="A1373" s="46" t="s">
        <v>4552</v>
      </c>
      <c r="B1373" s="46" t="s">
        <v>4472</v>
      </c>
      <c r="C1373" s="46" t="s">
        <v>4552</v>
      </c>
      <c r="D1373" s="46" t="s">
        <v>4810</v>
      </c>
      <c r="E1373" s="46" cm="1">
        <f t="array" ref="E1373">tchrs_tesdanatlquali_he_hairdressing_nc3</f>
        <v>0</v>
      </c>
      <c r="F1373" s="46" t="b">
        <v>1</v>
      </c>
    </row>
    <row r="1374" spans="1:6">
      <c r="A1374" s="46" t="s">
        <v>4553</v>
      </c>
      <c r="B1374" s="46" t="s">
        <v>4472</v>
      </c>
      <c r="C1374" s="46" t="s">
        <v>4553</v>
      </c>
      <c r="D1374" s="46" t="s">
        <v>4811</v>
      </c>
      <c r="E1374" s="46" cm="1">
        <f t="array" ref="E1374">tchrs_tesdanatlquali_he_hairdressing_nc4</f>
        <v>0</v>
      </c>
      <c r="F1374" s="46" t="b">
        <v>1</v>
      </c>
    </row>
    <row r="1375" spans="1:6">
      <c r="A1375" s="46" t="s">
        <v>4554</v>
      </c>
      <c r="B1375" s="46" t="s">
        <v>4472</v>
      </c>
      <c r="C1375" s="46" t="s">
        <v>4554</v>
      </c>
      <c r="D1375" s="46" t="s">
        <v>4812</v>
      </c>
      <c r="E1375" s="46" cm="1">
        <f t="array" ref="E1375">tchrs_tesdanatlquali_he_hairdressing_diploma</f>
        <v>0</v>
      </c>
      <c r="F1375" s="46" t="b">
        <v>1</v>
      </c>
    </row>
    <row r="1376" spans="1:6">
      <c r="A1376" s="46" t="s">
        <v>4555</v>
      </c>
      <c r="B1376" s="46" t="s">
        <v>4472</v>
      </c>
      <c r="C1376" s="46" t="s">
        <v>4555</v>
      </c>
      <c r="D1376" s="46" t="s">
        <v>4813</v>
      </c>
      <c r="E1376" s="46" cm="1">
        <f t="array" ref="E1376">tchrs_tesdanatlquali_he_hairdressing_trainingmngt</f>
        <v>0</v>
      </c>
      <c r="F1376" s="46" t="b">
        <v>1</v>
      </c>
    </row>
    <row r="1377" spans="1:6">
      <c r="A1377" s="46" t="s">
        <v>4556</v>
      </c>
      <c r="B1377" s="46" t="s">
        <v>4472</v>
      </c>
      <c r="C1377" s="46" t="s">
        <v>4556</v>
      </c>
      <c r="D1377" s="46" t="s">
        <v>4814</v>
      </c>
      <c r="E1377" s="46" cm="1">
        <f t="array" ref="E1377">tchrs_tesdanatlquali_he_handibasketry_nc1</f>
        <v>0</v>
      </c>
      <c r="F1377" s="46" t="b">
        <v>1</v>
      </c>
    </row>
    <row r="1378" spans="1:6">
      <c r="A1378" s="46" t="s">
        <v>4557</v>
      </c>
      <c r="B1378" s="46" t="s">
        <v>4472</v>
      </c>
      <c r="C1378" s="46" t="s">
        <v>4557</v>
      </c>
      <c r="D1378" s="46" t="s">
        <v>4815</v>
      </c>
      <c r="E1378" s="46" cm="1">
        <f t="array" ref="E1378">tchrs_tesdanatlquali_he_handibasketry_nc2</f>
        <v>0</v>
      </c>
      <c r="F1378" s="46" t="b">
        <v>1</v>
      </c>
    </row>
    <row r="1379" spans="1:6">
      <c r="A1379" s="46" t="s">
        <v>4558</v>
      </c>
      <c r="B1379" s="46" t="s">
        <v>4472</v>
      </c>
      <c r="C1379" s="46" t="s">
        <v>4558</v>
      </c>
      <c r="D1379" s="46" t="s">
        <v>4816</v>
      </c>
      <c r="E1379" s="46" cm="1">
        <f t="array" ref="E1379">tchrs_tesdanatlquali_he_handibasketry_nc3</f>
        <v>0</v>
      </c>
      <c r="F1379" s="46" t="b">
        <v>1</v>
      </c>
    </row>
    <row r="1380" spans="1:6">
      <c r="A1380" s="46" t="s">
        <v>4559</v>
      </c>
      <c r="B1380" s="46" t="s">
        <v>4472</v>
      </c>
      <c r="C1380" s="46" t="s">
        <v>4559</v>
      </c>
      <c r="D1380" s="46" t="s">
        <v>4817</v>
      </c>
      <c r="E1380" s="46" cm="1">
        <f t="array" ref="E1380">tchrs_tesdanatlquali_he_handibasketry_nc4</f>
        <v>0</v>
      </c>
      <c r="F1380" s="46" t="b">
        <v>1</v>
      </c>
    </row>
    <row r="1381" spans="1:6">
      <c r="A1381" s="46" t="s">
        <v>4560</v>
      </c>
      <c r="B1381" s="46" t="s">
        <v>4472</v>
      </c>
      <c r="C1381" s="46" t="s">
        <v>4560</v>
      </c>
      <c r="D1381" s="46" t="s">
        <v>4818</v>
      </c>
      <c r="E1381" s="46" cm="1">
        <f t="array" ref="E1381">tchrs_tesdanatlquali_he_handibasketry_diploma</f>
        <v>0</v>
      </c>
      <c r="F1381" s="46" t="b">
        <v>1</v>
      </c>
    </row>
    <row r="1382" spans="1:6">
      <c r="A1382" s="46" t="s">
        <v>4561</v>
      </c>
      <c r="B1382" s="46" t="s">
        <v>4472</v>
      </c>
      <c r="C1382" s="46" t="s">
        <v>4561</v>
      </c>
      <c r="D1382" s="46" t="s">
        <v>4819</v>
      </c>
      <c r="E1382" s="46" cm="1">
        <f t="array" ref="E1382">tchrs_tesdanatlquali_he_handibasketry_trainingmngt</f>
        <v>0</v>
      </c>
      <c r="F1382" s="46" t="b">
        <v>1</v>
      </c>
    </row>
    <row r="1383" spans="1:6">
      <c r="A1383" s="46" t="s">
        <v>4562</v>
      </c>
      <c r="B1383" s="46" t="s">
        <v>4472</v>
      </c>
      <c r="C1383" s="46" t="s">
        <v>4562</v>
      </c>
      <c r="D1383" s="46" t="s">
        <v>4820</v>
      </c>
      <c r="E1383" s="46" cm="1">
        <f t="array" ref="E1383">tchrs_tesdanatlquali_he_handifashion_nc1</f>
        <v>0</v>
      </c>
      <c r="F1383" s="46" t="b">
        <v>1</v>
      </c>
    </row>
    <row r="1384" spans="1:6">
      <c r="A1384" s="46" t="s">
        <v>4563</v>
      </c>
      <c r="B1384" s="46" t="s">
        <v>4472</v>
      </c>
      <c r="C1384" s="46" t="s">
        <v>4563</v>
      </c>
      <c r="D1384" s="46" t="s">
        <v>4821</v>
      </c>
      <c r="E1384" s="46" cm="1">
        <f t="array" ref="E1384">tchrs_tesdanatlquali_he_handifashion_nc2</f>
        <v>0</v>
      </c>
      <c r="F1384" s="46" t="b">
        <v>1</v>
      </c>
    </row>
    <row r="1385" spans="1:6">
      <c r="A1385" s="46" t="s">
        <v>4564</v>
      </c>
      <c r="B1385" s="46" t="s">
        <v>4472</v>
      </c>
      <c r="C1385" s="46" t="s">
        <v>4564</v>
      </c>
      <c r="D1385" s="46" t="s">
        <v>4822</v>
      </c>
      <c r="E1385" s="46" cm="1">
        <f t="array" ref="E1385">tchrs_tesdanatlquali_he_handifashion_nc3</f>
        <v>0</v>
      </c>
      <c r="F1385" s="46" t="b">
        <v>1</v>
      </c>
    </row>
    <row r="1386" spans="1:6">
      <c r="A1386" s="46" t="s">
        <v>4565</v>
      </c>
      <c r="B1386" s="46" t="s">
        <v>4472</v>
      </c>
      <c r="C1386" s="46" t="s">
        <v>4565</v>
      </c>
      <c r="D1386" s="46" t="s">
        <v>4823</v>
      </c>
      <c r="E1386" s="46" cm="1">
        <f t="array" ref="E1386">tchrs_tesdanatlquali_he_handifashion_nc4</f>
        <v>0</v>
      </c>
      <c r="F1386" s="46" t="b">
        <v>1</v>
      </c>
    </row>
    <row r="1387" spans="1:6">
      <c r="A1387" s="46" t="s">
        <v>4566</v>
      </c>
      <c r="B1387" s="46" t="s">
        <v>4472</v>
      </c>
      <c r="C1387" s="46" t="s">
        <v>4566</v>
      </c>
      <c r="D1387" s="46" t="s">
        <v>4824</v>
      </c>
      <c r="E1387" s="46" cm="1">
        <f t="array" ref="E1387">tchrs_tesdanatlquali_he_handifashion_diploma</f>
        <v>0</v>
      </c>
      <c r="F1387" s="46" t="b">
        <v>1</v>
      </c>
    </row>
    <row r="1388" spans="1:6">
      <c r="A1388" s="46" t="s">
        <v>4567</v>
      </c>
      <c r="B1388" s="46" t="s">
        <v>4472</v>
      </c>
      <c r="C1388" s="46" t="s">
        <v>4567</v>
      </c>
      <c r="D1388" s="46" t="s">
        <v>4825</v>
      </c>
      <c r="E1388" s="46" cm="1">
        <f t="array" ref="E1388">tchrs_tesdanatlquali_he_handifashion_trainingmngt</f>
        <v>0</v>
      </c>
      <c r="F1388" s="46" t="b">
        <v>1</v>
      </c>
    </row>
    <row r="1389" spans="1:6">
      <c r="A1389" s="46" t="s">
        <v>4568</v>
      </c>
      <c r="B1389" s="46" t="s">
        <v>4472</v>
      </c>
      <c r="C1389" s="46" t="s">
        <v>4568</v>
      </c>
      <c r="D1389" s="46" t="s">
        <v>4826</v>
      </c>
      <c r="E1389" s="46" cm="1">
        <f t="array" ref="E1389">tchrs_tesdanatlquali_he_handineedle_nc1</f>
        <v>0</v>
      </c>
      <c r="F1389" s="46" t="b">
        <v>1</v>
      </c>
    </row>
    <row r="1390" spans="1:6">
      <c r="A1390" s="46" t="s">
        <v>4569</v>
      </c>
      <c r="B1390" s="46" t="s">
        <v>4472</v>
      </c>
      <c r="C1390" s="46" t="s">
        <v>4569</v>
      </c>
      <c r="D1390" s="46" t="s">
        <v>4827</v>
      </c>
      <c r="E1390" s="46" cm="1">
        <f t="array" ref="E1390">tchrs_tesdanatlquali_he_handineedle_nc2</f>
        <v>0</v>
      </c>
      <c r="F1390" s="46" t="b">
        <v>1</v>
      </c>
    </row>
    <row r="1391" spans="1:6">
      <c r="A1391" s="46" t="s">
        <v>4570</v>
      </c>
      <c r="B1391" s="46" t="s">
        <v>4472</v>
      </c>
      <c r="C1391" s="46" t="s">
        <v>4570</v>
      </c>
      <c r="D1391" s="46" t="s">
        <v>4828</v>
      </c>
      <c r="E1391" s="46" cm="1">
        <f t="array" ref="E1391">tchrs_tesdanatlquali_he_handineedle_nc3</f>
        <v>0</v>
      </c>
      <c r="F1391" s="46" t="b">
        <v>1</v>
      </c>
    </row>
    <row r="1392" spans="1:6">
      <c r="A1392" s="46" t="s">
        <v>4571</v>
      </c>
      <c r="B1392" s="46" t="s">
        <v>4472</v>
      </c>
      <c r="C1392" s="46" t="s">
        <v>4571</v>
      </c>
      <c r="D1392" s="46" t="s">
        <v>4829</v>
      </c>
      <c r="E1392" s="46" cm="1">
        <f t="array" ref="E1392">tchrs_tesdanatlquali_he_handineedle_nc4</f>
        <v>0</v>
      </c>
      <c r="F1392" s="46" t="b">
        <v>1</v>
      </c>
    </row>
    <row r="1393" spans="1:6">
      <c r="A1393" s="46" t="s">
        <v>4572</v>
      </c>
      <c r="B1393" s="46" t="s">
        <v>4472</v>
      </c>
      <c r="C1393" s="46" t="s">
        <v>4572</v>
      </c>
      <c r="D1393" s="46" t="s">
        <v>4830</v>
      </c>
      <c r="E1393" s="46" cm="1">
        <f t="array" ref="E1393">tchrs_tesdanatlquali_he_handineedle_diploma</f>
        <v>0</v>
      </c>
      <c r="F1393" s="46" t="b">
        <v>1</v>
      </c>
    </row>
    <row r="1394" spans="1:6">
      <c r="A1394" s="46" t="s">
        <v>4573</v>
      </c>
      <c r="B1394" s="46" t="s">
        <v>4472</v>
      </c>
      <c r="C1394" s="46" t="s">
        <v>4573</v>
      </c>
      <c r="D1394" s="46" t="s">
        <v>4831</v>
      </c>
      <c r="E1394" s="46" cm="1">
        <f t="array" ref="E1394">tchrs_tesdanatlquali_he_handineedle_trainingmngt</f>
        <v>0</v>
      </c>
      <c r="F1394" s="46" t="b">
        <v>1</v>
      </c>
    </row>
    <row r="1395" spans="1:6">
      <c r="A1395" s="46" t="s">
        <v>4574</v>
      </c>
      <c r="B1395" s="46" t="s">
        <v>4472</v>
      </c>
      <c r="C1395" s="46" t="s">
        <v>4574</v>
      </c>
      <c r="D1395" s="46" t="s">
        <v>4832</v>
      </c>
      <c r="E1395" s="46" cm="1">
        <f t="array" ref="E1395">tchrs_tesdanatlquali_he_handiwoodcraft_nc1</f>
        <v>0</v>
      </c>
      <c r="F1395" s="46" t="b">
        <v>1</v>
      </c>
    </row>
    <row r="1396" spans="1:6">
      <c r="A1396" s="46" t="s">
        <v>4575</v>
      </c>
      <c r="B1396" s="46" t="s">
        <v>4472</v>
      </c>
      <c r="C1396" s="46" t="s">
        <v>4575</v>
      </c>
      <c r="D1396" s="46" t="s">
        <v>4833</v>
      </c>
      <c r="E1396" s="46" cm="1">
        <f t="array" ref="E1396">tchrs_tesdanatlquali_he_handiwoodcraft_nc2</f>
        <v>0</v>
      </c>
      <c r="F1396" s="46" t="b">
        <v>1</v>
      </c>
    </row>
    <row r="1397" spans="1:6">
      <c r="A1397" s="46" t="s">
        <v>4576</v>
      </c>
      <c r="B1397" s="46" t="s">
        <v>4472</v>
      </c>
      <c r="C1397" s="46" t="s">
        <v>4576</v>
      </c>
      <c r="D1397" s="46" t="s">
        <v>4834</v>
      </c>
      <c r="E1397" s="46" cm="1">
        <f t="array" ref="E1397">tchrs_tesdanatlquali_he_handiwoodcraft_nc3</f>
        <v>0</v>
      </c>
      <c r="F1397" s="46" t="b">
        <v>1</v>
      </c>
    </row>
    <row r="1398" spans="1:6">
      <c r="A1398" s="46" t="s">
        <v>4577</v>
      </c>
      <c r="B1398" s="46" t="s">
        <v>4472</v>
      </c>
      <c r="C1398" s="46" t="s">
        <v>4577</v>
      </c>
      <c r="D1398" s="46" t="s">
        <v>4835</v>
      </c>
      <c r="E1398" s="46" cm="1">
        <f t="array" ref="E1398">tchrs_tesdanatlquali_he_handiwoodcraft_nc4</f>
        <v>0</v>
      </c>
      <c r="F1398" s="46" t="b">
        <v>1</v>
      </c>
    </row>
    <row r="1399" spans="1:6">
      <c r="A1399" s="46" t="s">
        <v>4578</v>
      </c>
      <c r="B1399" s="46" t="s">
        <v>4472</v>
      </c>
      <c r="C1399" s="46" t="s">
        <v>4578</v>
      </c>
      <c r="D1399" s="46" t="s">
        <v>4836</v>
      </c>
      <c r="E1399" s="46" cm="1">
        <f t="array" ref="E1399">tchrs_tesdanatlquali_he_handiwoodcraft_diploma</f>
        <v>0</v>
      </c>
      <c r="F1399" s="46" t="b">
        <v>1</v>
      </c>
    </row>
    <row r="1400" spans="1:6">
      <c r="A1400" s="46" t="s">
        <v>4579</v>
      </c>
      <c r="B1400" s="46" t="s">
        <v>4472</v>
      </c>
      <c r="C1400" s="46" t="s">
        <v>4579</v>
      </c>
      <c r="D1400" s="46" t="s">
        <v>4837</v>
      </c>
      <c r="E1400" s="46" cm="1">
        <f t="array" ref="E1400">tchrs_tesdanatlquali_he_handiwoodcraft_trainingmngt</f>
        <v>0</v>
      </c>
      <c r="F1400" s="46" t="b">
        <v>1</v>
      </c>
    </row>
    <row r="1401" spans="1:6">
      <c r="A1401" s="46" t="s">
        <v>4580</v>
      </c>
      <c r="B1401" s="46" t="s">
        <v>4472</v>
      </c>
      <c r="C1401" s="46" t="s">
        <v>4580</v>
      </c>
      <c r="D1401" s="46" t="s">
        <v>4838</v>
      </c>
      <c r="E1401" s="46" cm="1">
        <f t="array" ref="E1401">tchrs_tesdanatlquali_he_housekeeping_nc1</f>
        <v>0</v>
      </c>
      <c r="F1401" s="46" t="b">
        <v>1</v>
      </c>
    </row>
    <row r="1402" spans="1:6">
      <c r="A1402" s="46" t="s">
        <v>4581</v>
      </c>
      <c r="B1402" s="46" t="s">
        <v>4472</v>
      </c>
      <c r="C1402" s="46" t="s">
        <v>4581</v>
      </c>
      <c r="D1402" s="46" t="s">
        <v>4839</v>
      </c>
      <c r="E1402" s="46" cm="1">
        <f t="array" ref="E1402">tchrs_tesdanatlquali_he_housekeeping_nc2</f>
        <v>0</v>
      </c>
      <c r="F1402" s="46" t="b">
        <v>1</v>
      </c>
    </row>
    <row r="1403" spans="1:6">
      <c r="A1403" s="46" t="s">
        <v>4582</v>
      </c>
      <c r="B1403" s="46" t="s">
        <v>4472</v>
      </c>
      <c r="C1403" s="46" t="s">
        <v>4582</v>
      </c>
      <c r="D1403" s="46" t="s">
        <v>4840</v>
      </c>
      <c r="E1403" s="46" cm="1">
        <f t="array" ref="E1403">tchrs_tesdanatlquali_he_housekeeping_nc3</f>
        <v>0</v>
      </c>
      <c r="F1403" s="46" t="b">
        <v>1</v>
      </c>
    </row>
    <row r="1404" spans="1:6">
      <c r="A1404" s="46" t="s">
        <v>4583</v>
      </c>
      <c r="B1404" s="46" t="s">
        <v>4472</v>
      </c>
      <c r="C1404" s="46" t="s">
        <v>4583</v>
      </c>
      <c r="D1404" s="46" t="s">
        <v>4841</v>
      </c>
      <c r="E1404" s="46" cm="1">
        <f t="array" ref="E1404">tchrs_tesdanatlquali_he_housekeeping_nc4</f>
        <v>0</v>
      </c>
      <c r="F1404" s="46" t="b">
        <v>1</v>
      </c>
    </row>
    <row r="1405" spans="1:6">
      <c r="A1405" s="46" t="s">
        <v>4584</v>
      </c>
      <c r="B1405" s="46" t="s">
        <v>4472</v>
      </c>
      <c r="C1405" s="46" t="s">
        <v>4584</v>
      </c>
      <c r="D1405" s="46" t="s">
        <v>4842</v>
      </c>
      <c r="E1405" s="46" cm="1">
        <f t="array" ref="E1405">tchrs_tesdanatlquali_he_housekeeping_diploma</f>
        <v>0</v>
      </c>
      <c r="F1405" s="46" t="b">
        <v>1</v>
      </c>
    </row>
    <row r="1406" spans="1:6">
      <c r="A1406" s="46" t="s">
        <v>4585</v>
      </c>
      <c r="B1406" s="46" t="s">
        <v>4472</v>
      </c>
      <c r="C1406" s="46" t="s">
        <v>4585</v>
      </c>
      <c r="D1406" s="46" t="s">
        <v>4843</v>
      </c>
      <c r="E1406" s="46" cm="1">
        <f t="array" ref="E1406">tchrs_tesdanatlquali_he_housekeeping_trainingmngt</f>
        <v>0</v>
      </c>
      <c r="F1406" s="46" t="b">
        <v>1</v>
      </c>
    </row>
    <row r="1407" spans="1:6">
      <c r="A1407" s="46" t="s">
        <v>4586</v>
      </c>
      <c r="B1407" s="46" t="s">
        <v>4472</v>
      </c>
      <c r="C1407" s="46" t="s">
        <v>4586</v>
      </c>
      <c r="D1407" s="46" t="s">
        <v>4844</v>
      </c>
      <c r="E1407" s="46" cm="1">
        <f t="array" ref="E1407">tchrs_tesdanatlquali_he_tailoring_nc1</f>
        <v>0</v>
      </c>
      <c r="F1407" s="46" t="b">
        <v>1</v>
      </c>
    </row>
    <row r="1408" spans="1:6">
      <c r="A1408" s="46" t="s">
        <v>4587</v>
      </c>
      <c r="B1408" s="46" t="s">
        <v>4472</v>
      </c>
      <c r="C1408" s="46" t="s">
        <v>4587</v>
      </c>
      <c r="D1408" s="46" t="s">
        <v>4845</v>
      </c>
      <c r="E1408" s="46" cm="1">
        <f t="array" ref="E1408">tchrs_tesdanatlquali_he_tailoring_nc2</f>
        <v>1</v>
      </c>
      <c r="F1408" s="46" t="b">
        <v>1</v>
      </c>
    </row>
    <row r="1409" spans="1:6">
      <c r="A1409" s="46" t="s">
        <v>4588</v>
      </c>
      <c r="B1409" s="46" t="s">
        <v>4472</v>
      </c>
      <c r="C1409" s="46" t="s">
        <v>4588</v>
      </c>
      <c r="D1409" s="46" t="s">
        <v>4846</v>
      </c>
      <c r="E1409" s="46" cm="1">
        <f t="array" ref="E1409">tchrs_tesdanatlquali_he_tailoring_nc3</f>
        <v>0</v>
      </c>
      <c r="F1409" s="46" t="b">
        <v>1</v>
      </c>
    </row>
    <row r="1410" spans="1:6">
      <c r="A1410" s="46" t="s">
        <v>4589</v>
      </c>
      <c r="B1410" s="46" t="s">
        <v>4472</v>
      </c>
      <c r="C1410" s="46" t="s">
        <v>4589</v>
      </c>
      <c r="D1410" s="46" t="s">
        <v>4847</v>
      </c>
      <c r="E1410" s="46" cm="1">
        <f t="array" ref="E1410">tchrs_tesdanatlquali_he_tailoring_nc4</f>
        <v>0</v>
      </c>
      <c r="F1410" s="46" t="b">
        <v>1</v>
      </c>
    </row>
    <row r="1411" spans="1:6">
      <c r="A1411" s="46" t="s">
        <v>4590</v>
      </c>
      <c r="B1411" s="46" t="s">
        <v>4472</v>
      </c>
      <c r="C1411" s="46" t="s">
        <v>4590</v>
      </c>
      <c r="D1411" s="46" t="s">
        <v>4848</v>
      </c>
      <c r="E1411" s="46" cm="1">
        <f t="array" ref="E1411">tchrs_tesdanatlquali_he_tailoring_diploma</f>
        <v>0</v>
      </c>
      <c r="F1411" s="46" t="b">
        <v>1</v>
      </c>
    </row>
    <row r="1412" spans="1:6">
      <c r="A1412" s="46" t="s">
        <v>4591</v>
      </c>
      <c r="B1412" s="46" t="s">
        <v>4472</v>
      </c>
      <c r="C1412" s="46" t="s">
        <v>4591</v>
      </c>
      <c r="D1412" s="46" t="s">
        <v>4849</v>
      </c>
      <c r="E1412" s="46" cm="1">
        <f t="array" ref="E1412">tchrs_tesdanatlquali_he_tailoring_trainingmngt</f>
        <v>0</v>
      </c>
      <c r="F1412" s="46" t="b">
        <v>1</v>
      </c>
    </row>
    <row r="1413" spans="1:6">
      <c r="A1413" s="46" t="s">
        <v>4592</v>
      </c>
      <c r="B1413" s="46" t="s">
        <v>4472</v>
      </c>
      <c r="C1413" s="46" t="s">
        <v>4592</v>
      </c>
      <c r="D1413" s="46" t="s">
        <v>4850</v>
      </c>
      <c r="E1413" s="46" cm="1">
        <f t="array" ref="E1413">tchrs_tesdanatlquali_he_localguiding_nc1</f>
        <v>0</v>
      </c>
      <c r="F1413" s="46" t="b">
        <v>1</v>
      </c>
    </row>
    <row r="1414" spans="1:6">
      <c r="A1414" s="46" t="s">
        <v>4593</v>
      </c>
      <c r="B1414" s="46" t="s">
        <v>4472</v>
      </c>
      <c r="C1414" s="46" t="s">
        <v>4593</v>
      </c>
      <c r="D1414" s="46" t="s">
        <v>4851</v>
      </c>
      <c r="E1414" s="46" cm="1">
        <f t="array" ref="E1414">tchrs_tesdanatlquali_he_localguiding_nc2</f>
        <v>0</v>
      </c>
      <c r="F1414" s="46" t="b">
        <v>1</v>
      </c>
    </row>
    <row r="1415" spans="1:6">
      <c r="A1415" s="46" t="s">
        <v>4594</v>
      </c>
      <c r="B1415" s="46" t="s">
        <v>4472</v>
      </c>
      <c r="C1415" s="46" t="s">
        <v>4594</v>
      </c>
      <c r="D1415" s="46" t="s">
        <v>4852</v>
      </c>
      <c r="E1415" s="46" cm="1">
        <f t="array" ref="E1415">tchrs_tesdanatlquali_he_localguiding_nc3</f>
        <v>0</v>
      </c>
      <c r="F1415" s="46" t="b">
        <v>1</v>
      </c>
    </row>
    <row r="1416" spans="1:6">
      <c r="A1416" s="46" t="s">
        <v>4595</v>
      </c>
      <c r="B1416" s="46" t="s">
        <v>4472</v>
      </c>
      <c r="C1416" s="46" t="s">
        <v>4595</v>
      </c>
      <c r="D1416" s="46" t="s">
        <v>4853</v>
      </c>
      <c r="E1416" s="46" cm="1">
        <f t="array" ref="E1416">tchrs_tesdanatlquali_he_localguiding_nc4</f>
        <v>0</v>
      </c>
      <c r="F1416" s="46" t="b">
        <v>1</v>
      </c>
    </row>
    <row r="1417" spans="1:6">
      <c r="A1417" s="46" t="s">
        <v>4596</v>
      </c>
      <c r="B1417" s="46" t="s">
        <v>4472</v>
      </c>
      <c r="C1417" s="46" t="s">
        <v>4596</v>
      </c>
      <c r="D1417" s="46" t="s">
        <v>4854</v>
      </c>
      <c r="E1417" s="46" cm="1">
        <f t="array" ref="E1417">tchrs_tesdanatlquali_he_localguiding_diploma</f>
        <v>0</v>
      </c>
      <c r="F1417" s="46" t="b">
        <v>1</v>
      </c>
    </row>
    <row r="1418" spans="1:6">
      <c r="A1418" s="46" t="s">
        <v>4597</v>
      </c>
      <c r="B1418" s="46" t="s">
        <v>4472</v>
      </c>
      <c r="C1418" s="46" t="s">
        <v>4597</v>
      </c>
      <c r="D1418" s="46" t="s">
        <v>4855</v>
      </c>
      <c r="E1418" s="46" cm="1">
        <f t="array" ref="E1418">tchrs_tesdanatlquali_he_localguiding_trainingmngt</f>
        <v>0</v>
      </c>
      <c r="F1418" s="46" t="b">
        <v>1</v>
      </c>
    </row>
    <row r="1419" spans="1:6">
      <c r="A1419" s="46" t="s">
        <v>4598</v>
      </c>
      <c r="B1419" s="46" t="s">
        <v>4472</v>
      </c>
      <c r="C1419" s="46" t="s">
        <v>4598</v>
      </c>
      <c r="D1419" s="46" t="s">
        <v>4856</v>
      </c>
      <c r="E1419" s="46" cm="1">
        <f t="array" ref="E1419">tchrs_tesdanatlquali_he_tourismpromotion_nc1</f>
        <v>0</v>
      </c>
      <c r="F1419" s="46" t="b">
        <v>1</v>
      </c>
    </row>
    <row r="1420" spans="1:6">
      <c r="A1420" s="46" t="s">
        <v>4599</v>
      </c>
      <c r="B1420" s="46" t="s">
        <v>4472</v>
      </c>
      <c r="C1420" s="46" t="s">
        <v>4599</v>
      </c>
      <c r="D1420" s="46" t="s">
        <v>4857</v>
      </c>
      <c r="E1420" s="46" cm="1">
        <f t="array" ref="E1420">tchrs_tesdanatlquali_he_tourismpromotion_nc2</f>
        <v>0</v>
      </c>
      <c r="F1420" s="46" t="b">
        <v>1</v>
      </c>
    </row>
    <row r="1421" spans="1:6">
      <c r="A1421" s="46" t="s">
        <v>4600</v>
      </c>
      <c r="B1421" s="46" t="s">
        <v>4472</v>
      </c>
      <c r="C1421" s="46" t="s">
        <v>4600</v>
      </c>
      <c r="D1421" s="46" t="s">
        <v>4858</v>
      </c>
      <c r="E1421" s="46" cm="1">
        <f t="array" ref="E1421">tchrs_tesdanatlquali_he_tourismpromotion_nc3</f>
        <v>0</v>
      </c>
      <c r="F1421" s="46" t="b">
        <v>1</v>
      </c>
    </row>
    <row r="1422" spans="1:6">
      <c r="A1422" s="46" t="s">
        <v>4601</v>
      </c>
      <c r="B1422" s="46" t="s">
        <v>4472</v>
      </c>
      <c r="C1422" s="46" t="s">
        <v>4601</v>
      </c>
      <c r="D1422" s="46" t="s">
        <v>4859</v>
      </c>
      <c r="E1422" s="46" cm="1">
        <f t="array" ref="E1422">tchrs_tesdanatlquali_he_tourismpromotion_nc4</f>
        <v>0</v>
      </c>
      <c r="F1422" s="46" t="b">
        <v>1</v>
      </c>
    </row>
    <row r="1423" spans="1:6">
      <c r="A1423" s="46" t="s">
        <v>4602</v>
      </c>
      <c r="B1423" s="46" t="s">
        <v>4472</v>
      </c>
      <c r="C1423" s="46" t="s">
        <v>4602</v>
      </c>
      <c r="D1423" s="46" t="s">
        <v>4860</v>
      </c>
      <c r="E1423" s="46" cm="1">
        <f t="array" ref="E1423">tchrs_tesdanatlquali_he_tourismpromotion_diploma</f>
        <v>0</v>
      </c>
      <c r="F1423" s="46" t="b">
        <v>1</v>
      </c>
    </row>
    <row r="1424" spans="1:6">
      <c r="A1424" s="46" t="s">
        <v>4603</v>
      </c>
      <c r="B1424" s="46" t="s">
        <v>4472</v>
      </c>
      <c r="C1424" s="46" t="s">
        <v>4603</v>
      </c>
      <c r="D1424" s="46" t="s">
        <v>4861</v>
      </c>
      <c r="E1424" s="46" cm="1">
        <f t="array" ref="E1424">tchrs_tesdanatlquali_he_tourismpromotion_trainingmngt</f>
        <v>0</v>
      </c>
      <c r="F1424" s="46" t="b">
        <v>1</v>
      </c>
    </row>
    <row r="1425" spans="1:6">
      <c r="A1425" s="46" t="s">
        <v>4604</v>
      </c>
      <c r="B1425" s="46" t="s">
        <v>4472</v>
      </c>
      <c r="C1425" s="46" t="s">
        <v>4604</v>
      </c>
      <c r="D1425" s="46" t="s">
        <v>4862</v>
      </c>
      <c r="E1425" s="46" cm="1">
        <f t="array" ref="E1425">tchrs_tesdanatlquali_he_travelservices_nc1</f>
        <v>0</v>
      </c>
      <c r="F1425" s="46" t="b">
        <v>1</v>
      </c>
    </row>
    <row r="1426" spans="1:6">
      <c r="A1426" s="46" t="s">
        <v>4605</v>
      </c>
      <c r="B1426" s="46" t="s">
        <v>4472</v>
      </c>
      <c r="C1426" s="46" t="s">
        <v>4605</v>
      </c>
      <c r="D1426" s="46" t="s">
        <v>4863</v>
      </c>
      <c r="E1426" s="46" cm="1">
        <f t="array" ref="E1426">tchrs_tesdanatlquali_he_travelservices_nc2</f>
        <v>0</v>
      </c>
      <c r="F1426" s="46" t="b">
        <v>1</v>
      </c>
    </row>
    <row r="1427" spans="1:6">
      <c r="A1427" s="46" t="s">
        <v>4606</v>
      </c>
      <c r="B1427" s="46" t="s">
        <v>4472</v>
      </c>
      <c r="C1427" s="46" t="s">
        <v>4606</v>
      </c>
      <c r="D1427" s="46" t="s">
        <v>4864</v>
      </c>
      <c r="E1427" s="46" cm="1">
        <f t="array" ref="E1427">tchrs_tesdanatlquali_he_travelservices_nc3</f>
        <v>0</v>
      </c>
      <c r="F1427" s="46" t="b">
        <v>1</v>
      </c>
    </row>
    <row r="1428" spans="1:6">
      <c r="A1428" s="46" t="s">
        <v>4607</v>
      </c>
      <c r="B1428" s="46" t="s">
        <v>4472</v>
      </c>
      <c r="C1428" s="46" t="s">
        <v>4607</v>
      </c>
      <c r="D1428" s="46" t="s">
        <v>4865</v>
      </c>
      <c r="E1428" s="46" cm="1">
        <f t="array" ref="E1428">tchrs_tesdanatlquali_he_travelservices_nc4</f>
        <v>0</v>
      </c>
      <c r="F1428" s="46" t="b">
        <v>1</v>
      </c>
    </row>
    <row r="1429" spans="1:6">
      <c r="A1429" s="46" t="s">
        <v>4608</v>
      </c>
      <c r="B1429" s="46" t="s">
        <v>4472</v>
      </c>
      <c r="C1429" s="46" t="s">
        <v>4608</v>
      </c>
      <c r="D1429" s="46" t="s">
        <v>4866</v>
      </c>
      <c r="E1429" s="46" cm="1">
        <f t="array" ref="E1429">tchrs_tesdanatlquali_he_travelservices_diploma</f>
        <v>0</v>
      </c>
      <c r="F1429" s="46" t="b">
        <v>1</v>
      </c>
    </row>
    <row r="1430" spans="1:6">
      <c r="A1430" s="46" t="s">
        <v>4609</v>
      </c>
      <c r="B1430" s="46" t="s">
        <v>4472</v>
      </c>
      <c r="C1430" s="46" t="s">
        <v>4609</v>
      </c>
      <c r="D1430" s="46" t="s">
        <v>4867</v>
      </c>
      <c r="E1430" s="46" cm="1">
        <f t="array" ref="E1430">tchrs_tesdanatlquali_he_travelservices_trainingmngt</f>
        <v>0</v>
      </c>
      <c r="F1430" s="46" t="b">
        <v>1</v>
      </c>
    </row>
    <row r="1431" spans="1:6">
      <c r="A1431" s="46" t="s">
        <v>4610</v>
      </c>
      <c r="B1431" s="46" t="s">
        <v>4472</v>
      </c>
      <c r="C1431" s="46" t="s">
        <v>4610</v>
      </c>
      <c r="D1431" s="46" t="s">
        <v>4868</v>
      </c>
      <c r="E1431" s="46" cm="1">
        <f t="array" ref="E1431">tchrs_tesdanatlquali_he_wellnessmassage_nc1</f>
        <v>0</v>
      </c>
      <c r="F1431" s="46" t="b">
        <v>1</v>
      </c>
    </row>
    <row r="1432" spans="1:6">
      <c r="A1432" s="46" t="s">
        <v>4611</v>
      </c>
      <c r="B1432" s="46" t="s">
        <v>4472</v>
      </c>
      <c r="C1432" s="46" t="s">
        <v>4611</v>
      </c>
      <c r="D1432" s="46" t="s">
        <v>4869</v>
      </c>
      <c r="E1432" s="46" cm="1">
        <f t="array" ref="E1432">tchrs_tesdanatlquali_he_wellnessmassage_nc2</f>
        <v>0</v>
      </c>
      <c r="F1432" s="46" t="b">
        <v>1</v>
      </c>
    </row>
    <row r="1433" spans="1:6">
      <c r="A1433" s="46" t="s">
        <v>4612</v>
      </c>
      <c r="B1433" s="46" t="s">
        <v>4472</v>
      </c>
      <c r="C1433" s="46" t="s">
        <v>4612</v>
      </c>
      <c r="D1433" s="46" t="s">
        <v>4870</v>
      </c>
      <c r="E1433" s="46" cm="1">
        <f t="array" ref="E1433">tchrs_tesdanatlquali_he_wellnessmassage_nc3</f>
        <v>0</v>
      </c>
      <c r="F1433" s="46" t="b">
        <v>1</v>
      </c>
    </row>
    <row r="1434" spans="1:6">
      <c r="A1434" s="46" t="s">
        <v>4613</v>
      </c>
      <c r="B1434" s="46" t="s">
        <v>4472</v>
      </c>
      <c r="C1434" s="46" t="s">
        <v>4613</v>
      </c>
      <c r="D1434" s="46" t="s">
        <v>4871</v>
      </c>
      <c r="E1434" s="46" cm="1">
        <f t="array" ref="E1434">tchrs_tesdanatlquali_he_wellnessmassage_nc4</f>
        <v>0</v>
      </c>
      <c r="F1434" s="46" t="b">
        <v>1</v>
      </c>
    </row>
    <row r="1435" spans="1:6">
      <c r="A1435" s="46" t="s">
        <v>4614</v>
      </c>
      <c r="B1435" s="46" t="s">
        <v>4472</v>
      </c>
      <c r="C1435" s="46" t="s">
        <v>4614</v>
      </c>
      <c r="D1435" s="46" t="s">
        <v>4872</v>
      </c>
      <c r="E1435" s="46" cm="1">
        <f t="array" ref="E1435">tchrs_tesdanatlquali_he_wellnessmassage_diploma</f>
        <v>0</v>
      </c>
      <c r="F1435" s="46" t="b">
        <v>1</v>
      </c>
    </row>
    <row r="1436" spans="1:6">
      <c r="A1436" s="46" t="s">
        <v>4615</v>
      </c>
      <c r="B1436" s="46" t="s">
        <v>4472</v>
      </c>
      <c r="C1436" s="46" t="s">
        <v>4615</v>
      </c>
      <c r="D1436" s="46" t="s">
        <v>4873</v>
      </c>
      <c r="E1436" s="46" cm="1">
        <f t="array" ref="E1436">tchrs_tesdanatlquali_he_wellnessmassage_trainingmngt</f>
        <v>0</v>
      </c>
      <c r="F1436" s="46" t="b">
        <v>1</v>
      </c>
    </row>
    <row r="1437" spans="1:6">
      <c r="A1437" s="46" t="s">
        <v>4616</v>
      </c>
      <c r="B1437" s="46" t="s">
        <v>4472</v>
      </c>
      <c r="C1437" s="46" t="s">
        <v>4616</v>
      </c>
      <c r="D1437" s="46" t="s">
        <v>4874</v>
      </c>
      <c r="E1437" s="46" cm="1">
        <f t="array" ref="E1437">tchrs_tesdanatlquali_agri_agricrops_nc1</f>
        <v>0</v>
      </c>
      <c r="F1437" s="46" t="b">
        <v>1</v>
      </c>
    </row>
    <row r="1438" spans="1:6">
      <c r="A1438" s="46" t="s">
        <v>4617</v>
      </c>
      <c r="B1438" s="46" t="s">
        <v>4472</v>
      </c>
      <c r="C1438" s="46" t="s">
        <v>4617</v>
      </c>
      <c r="D1438" s="46" t="s">
        <v>4875</v>
      </c>
      <c r="E1438" s="46" cm="1">
        <f t="array" ref="E1438">tchrs_tesdanatlquali_agri_agricrops_nc2</f>
        <v>0</v>
      </c>
      <c r="F1438" s="46" t="b">
        <v>1</v>
      </c>
    </row>
    <row r="1439" spans="1:6">
      <c r="A1439" s="46" t="s">
        <v>4618</v>
      </c>
      <c r="B1439" s="46" t="s">
        <v>4472</v>
      </c>
      <c r="C1439" s="46" t="s">
        <v>4618</v>
      </c>
      <c r="D1439" s="46" t="s">
        <v>4876</v>
      </c>
      <c r="E1439" s="46" cm="1">
        <f t="array" ref="E1439">tchrs_tesdanatlquali_agri_agricrops_nc3</f>
        <v>1</v>
      </c>
      <c r="F1439" s="46" t="b">
        <v>1</v>
      </c>
    </row>
    <row r="1440" spans="1:6">
      <c r="A1440" s="46" t="s">
        <v>4619</v>
      </c>
      <c r="B1440" s="46" t="s">
        <v>4472</v>
      </c>
      <c r="C1440" s="46" t="s">
        <v>4619</v>
      </c>
      <c r="D1440" s="46" t="s">
        <v>4877</v>
      </c>
      <c r="E1440" s="46" cm="1">
        <f t="array" ref="E1440">tchrs_tesdanatlquali_agri_agricrops_nc4</f>
        <v>0</v>
      </c>
      <c r="F1440" s="46" t="b">
        <v>1</v>
      </c>
    </row>
    <row r="1441" spans="1:6">
      <c r="A1441" s="46" t="s">
        <v>4620</v>
      </c>
      <c r="B1441" s="46" t="s">
        <v>4472</v>
      </c>
      <c r="C1441" s="46" t="s">
        <v>4620</v>
      </c>
      <c r="D1441" s="46" t="s">
        <v>4878</v>
      </c>
      <c r="E1441" s="46" cm="1">
        <f t="array" ref="E1441">tchrs_tesdanatlquali_agri_agricrops_diploma</f>
        <v>0</v>
      </c>
      <c r="F1441" s="46" t="b">
        <v>1</v>
      </c>
    </row>
    <row r="1442" spans="1:6">
      <c r="A1442" s="46" t="s">
        <v>4621</v>
      </c>
      <c r="B1442" s="46" t="s">
        <v>4472</v>
      </c>
      <c r="C1442" s="46" t="s">
        <v>4621</v>
      </c>
      <c r="D1442" s="46" t="s">
        <v>4879</v>
      </c>
      <c r="E1442" s="46" cm="1">
        <f t="array" ref="E1442">tchrs_tesdanatlquali_agri_agricrops_trainingmngt</f>
        <v>0</v>
      </c>
      <c r="F1442" s="46" t="b">
        <v>1</v>
      </c>
    </row>
    <row r="1443" spans="1:6">
      <c r="A1443" s="46" t="s">
        <v>4622</v>
      </c>
      <c r="B1443" s="46" t="s">
        <v>4472</v>
      </c>
      <c r="C1443" s="46" t="s">
        <v>4622</v>
      </c>
      <c r="D1443" s="46" t="s">
        <v>4880</v>
      </c>
      <c r="E1443" s="46" cm="1">
        <f t="array" ref="E1443">tchrs_tesdanatlquali_agri_animalhealth_nc1</f>
        <v>0</v>
      </c>
      <c r="F1443" s="46" t="b">
        <v>1</v>
      </c>
    </row>
    <row r="1444" spans="1:6">
      <c r="A1444" s="46" t="s">
        <v>4623</v>
      </c>
      <c r="B1444" s="46" t="s">
        <v>4472</v>
      </c>
      <c r="C1444" s="46" t="s">
        <v>4623</v>
      </c>
      <c r="D1444" s="46" t="s">
        <v>4881</v>
      </c>
      <c r="E1444" s="46" cm="1">
        <f t="array" ref="E1444">tchrs_tesdanatlquali_agri_animalhealth_nc2</f>
        <v>0</v>
      </c>
      <c r="F1444" s="46" t="b">
        <v>1</v>
      </c>
    </row>
    <row r="1445" spans="1:6">
      <c r="A1445" s="46" t="s">
        <v>4624</v>
      </c>
      <c r="B1445" s="46" t="s">
        <v>4472</v>
      </c>
      <c r="C1445" s="46" t="s">
        <v>4624</v>
      </c>
      <c r="D1445" s="46" t="s">
        <v>4882</v>
      </c>
      <c r="E1445" s="46" cm="1">
        <f t="array" ref="E1445">tchrs_tesdanatlquali_agri_animalhealth_nc3</f>
        <v>0</v>
      </c>
      <c r="F1445" s="46" t="b">
        <v>1</v>
      </c>
    </row>
    <row r="1446" spans="1:6">
      <c r="A1446" s="46" t="s">
        <v>4625</v>
      </c>
      <c r="B1446" s="46" t="s">
        <v>4472</v>
      </c>
      <c r="C1446" s="46" t="s">
        <v>4625</v>
      </c>
      <c r="D1446" s="46" t="s">
        <v>4883</v>
      </c>
      <c r="E1446" s="46" cm="1">
        <f t="array" ref="E1446">tchrs_tesdanatlquali_agri_animalhealth_nc4</f>
        <v>0</v>
      </c>
      <c r="F1446" s="46" t="b">
        <v>1</v>
      </c>
    </row>
    <row r="1447" spans="1:6">
      <c r="A1447" s="46" t="s">
        <v>4626</v>
      </c>
      <c r="B1447" s="46" t="s">
        <v>4472</v>
      </c>
      <c r="C1447" s="46" t="s">
        <v>4626</v>
      </c>
      <c r="D1447" s="46" t="s">
        <v>4884</v>
      </c>
      <c r="E1447" s="46" cm="1">
        <f t="array" ref="E1447">tchrs_tesdanatlquali_agri_animalhealth_diploma</f>
        <v>0</v>
      </c>
      <c r="F1447" s="46" t="b">
        <v>1</v>
      </c>
    </row>
    <row r="1448" spans="1:6">
      <c r="A1448" s="46" t="s">
        <v>4627</v>
      </c>
      <c r="B1448" s="46" t="s">
        <v>4472</v>
      </c>
      <c r="C1448" s="46" t="s">
        <v>4627</v>
      </c>
      <c r="D1448" s="46" t="s">
        <v>4885</v>
      </c>
      <c r="E1448" s="46" cm="1">
        <f t="array" ref="E1448">tchrs_tesdanatlquali_agri_animalhealth_trainingmngt</f>
        <v>0</v>
      </c>
      <c r="F1448" s="46" t="b">
        <v>1</v>
      </c>
    </row>
    <row r="1449" spans="1:6">
      <c r="A1449" s="46" t="s">
        <v>4628</v>
      </c>
      <c r="B1449" s="46" t="s">
        <v>4472</v>
      </c>
      <c r="C1449" s="46" t="s">
        <v>4628</v>
      </c>
      <c r="D1449" s="46" t="s">
        <v>4886</v>
      </c>
      <c r="E1449" s="46" cm="1">
        <f t="array" ref="E1449">tchrs_tesdanatlquali_agri_animalprod_nc1</f>
        <v>0</v>
      </c>
      <c r="F1449" s="46" t="b">
        <v>1</v>
      </c>
    </row>
    <row r="1450" spans="1:6">
      <c r="A1450" s="46" t="s">
        <v>4629</v>
      </c>
      <c r="B1450" s="46" t="s">
        <v>4472</v>
      </c>
      <c r="C1450" s="46" t="s">
        <v>4629</v>
      </c>
      <c r="D1450" s="46" t="s">
        <v>4887</v>
      </c>
      <c r="E1450" s="46" cm="1">
        <f t="array" ref="E1450">tchrs_tesdanatlquali_agri_animalprod_nc2</f>
        <v>0</v>
      </c>
      <c r="F1450" s="46" t="b">
        <v>1</v>
      </c>
    </row>
    <row r="1451" spans="1:6">
      <c r="A1451" s="46" t="s">
        <v>4630</v>
      </c>
      <c r="B1451" s="46" t="s">
        <v>4472</v>
      </c>
      <c r="C1451" s="46" t="s">
        <v>4630</v>
      </c>
      <c r="D1451" s="46" t="s">
        <v>4888</v>
      </c>
      <c r="E1451" s="46" cm="1">
        <f t="array" ref="E1451">tchrs_tesdanatlquali_agri_animalprod_nc3</f>
        <v>0</v>
      </c>
      <c r="F1451" s="46" t="b">
        <v>1</v>
      </c>
    </row>
    <row r="1452" spans="1:6">
      <c r="A1452" s="46" t="s">
        <v>4631</v>
      </c>
      <c r="B1452" s="46" t="s">
        <v>4472</v>
      </c>
      <c r="C1452" s="46" t="s">
        <v>4631</v>
      </c>
      <c r="D1452" s="46" t="s">
        <v>4889</v>
      </c>
      <c r="E1452" s="46" cm="1">
        <f t="array" ref="E1452">tchrs_tesdanatlquali_agri_animalprod_nc4</f>
        <v>0</v>
      </c>
      <c r="F1452" s="46" t="b">
        <v>1</v>
      </c>
    </row>
    <row r="1453" spans="1:6">
      <c r="A1453" s="46" t="s">
        <v>4632</v>
      </c>
      <c r="B1453" s="46" t="s">
        <v>4472</v>
      </c>
      <c r="C1453" s="46" t="s">
        <v>4632</v>
      </c>
      <c r="D1453" s="46" t="s">
        <v>4890</v>
      </c>
      <c r="E1453" s="46" cm="1">
        <f t="array" ref="E1453">tchrs_tesdanatlquali_agri_animalprod_diploma</f>
        <v>0</v>
      </c>
      <c r="F1453" s="46" t="b">
        <v>1</v>
      </c>
    </row>
    <row r="1454" spans="1:6">
      <c r="A1454" s="46" t="s">
        <v>4633</v>
      </c>
      <c r="B1454" s="46" t="s">
        <v>4472</v>
      </c>
      <c r="C1454" s="46" t="s">
        <v>4633</v>
      </c>
      <c r="D1454" s="46" t="s">
        <v>4891</v>
      </c>
      <c r="E1454" s="46" cm="1">
        <f t="array" ref="E1454">tchrs_tesdanatlquali_agri_animalprod_trainingmngt</f>
        <v>0</v>
      </c>
      <c r="F1454" s="46" t="b">
        <v>1</v>
      </c>
    </row>
    <row r="1455" spans="1:6">
      <c r="A1455" s="46" t="s">
        <v>4634</v>
      </c>
      <c r="B1455" s="46" t="s">
        <v>4472</v>
      </c>
      <c r="C1455" s="46" t="s">
        <v>4634</v>
      </c>
      <c r="D1455" s="46" t="s">
        <v>4892</v>
      </c>
      <c r="E1455" s="46" cm="1">
        <f t="array" ref="E1455">tchrs_tesdanatlquali_agri_aquaculture_nc1</f>
        <v>0</v>
      </c>
      <c r="F1455" s="46" t="b">
        <v>1</v>
      </c>
    </row>
    <row r="1456" spans="1:6">
      <c r="A1456" s="46" t="s">
        <v>4635</v>
      </c>
      <c r="B1456" s="46" t="s">
        <v>4472</v>
      </c>
      <c r="C1456" s="46" t="s">
        <v>4635</v>
      </c>
      <c r="D1456" s="46" t="s">
        <v>4893</v>
      </c>
      <c r="E1456" s="46" cm="1">
        <f t="array" ref="E1456">tchrs_tesdanatlquali_agri_aquaculture_nc2</f>
        <v>0</v>
      </c>
      <c r="F1456" s="46" t="b">
        <v>1</v>
      </c>
    </row>
    <row r="1457" spans="1:6">
      <c r="A1457" s="46" t="s">
        <v>4636</v>
      </c>
      <c r="B1457" s="46" t="s">
        <v>4472</v>
      </c>
      <c r="C1457" s="46" t="s">
        <v>4636</v>
      </c>
      <c r="D1457" s="46" t="s">
        <v>4894</v>
      </c>
      <c r="E1457" s="46" cm="1">
        <f t="array" ref="E1457">tchrs_tesdanatlquali_agri_aquaculture_nc3</f>
        <v>0</v>
      </c>
      <c r="F1457" s="46" t="b">
        <v>1</v>
      </c>
    </row>
    <row r="1458" spans="1:6">
      <c r="A1458" s="46" t="s">
        <v>4637</v>
      </c>
      <c r="B1458" s="46" t="s">
        <v>4472</v>
      </c>
      <c r="C1458" s="46" t="s">
        <v>4637</v>
      </c>
      <c r="D1458" s="46" t="s">
        <v>4895</v>
      </c>
      <c r="E1458" s="46" cm="1">
        <f t="array" ref="E1458">tchrs_tesdanatlquali_agri_aquaculture_nc4</f>
        <v>0</v>
      </c>
      <c r="F1458" s="46" t="b">
        <v>1</v>
      </c>
    </row>
    <row r="1459" spans="1:6">
      <c r="A1459" s="46" t="s">
        <v>4638</v>
      </c>
      <c r="B1459" s="46" t="s">
        <v>4472</v>
      </c>
      <c r="C1459" s="46" t="s">
        <v>4638</v>
      </c>
      <c r="D1459" s="46" t="s">
        <v>4896</v>
      </c>
      <c r="E1459" s="46" cm="1">
        <f t="array" ref="E1459">tchrs_tesdanatlquali_agri_aquaculture_diploma</f>
        <v>0</v>
      </c>
      <c r="F1459" s="46" t="b">
        <v>1</v>
      </c>
    </row>
    <row r="1460" spans="1:6">
      <c r="A1460" s="46" t="s">
        <v>4639</v>
      </c>
      <c r="B1460" s="46" t="s">
        <v>4472</v>
      </c>
      <c r="C1460" s="46" t="s">
        <v>4639</v>
      </c>
      <c r="D1460" s="46" t="s">
        <v>4897</v>
      </c>
      <c r="E1460" s="46" cm="1">
        <f t="array" ref="E1460">tchrs_tesdanatlquali_agri_aquaculture_trainingmngt</f>
        <v>0</v>
      </c>
      <c r="F1460" s="46" t="b">
        <v>1</v>
      </c>
    </row>
    <row r="1461" spans="1:6">
      <c r="A1461" s="46" t="s">
        <v>4640</v>
      </c>
      <c r="B1461" s="46" t="s">
        <v>4472</v>
      </c>
      <c r="C1461" s="46" t="s">
        <v>4640</v>
      </c>
      <c r="D1461" s="46" t="s">
        <v>4898</v>
      </c>
      <c r="E1461" s="46" cm="1">
        <f t="array" ref="E1461">tchrs_tesdanatlquali_agri_artiruminants_nc1</f>
        <v>0</v>
      </c>
      <c r="F1461" s="46" t="b">
        <v>1</v>
      </c>
    </row>
    <row r="1462" spans="1:6">
      <c r="A1462" s="46" t="s">
        <v>4641</v>
      </c>
      <c r="B1462" s="46" t="s">
        <v>4472</v>
      </c>
      <c r="C1462" s="46" t="s">
        <v>4641</v>
      </c>
      <c r="D1462" s="46" t="s">
        <v>4899</v>
      </c>
      <c r="E1462" s="46" cm="1">
        <f t="array" ref="E1462">tchrs_tesdanatlquali_agri_artiruminants_nc2</f>
        <v>0</v>
      </c>
      <c r="F1462" s="46" t="b">
        <v>1</v>
      </c>
    </row>
    <row r="1463" spans="1:6">
      <c r="A1463" s="46" t="s">
        <v>4642</v>
      </c>
      <c r="B1463" s="46" t="s">
        <v>4472</v>
      </c>
      <c r="C1463" s="46" t="s">
        <v>4642</v>
      </c>
      <c r="D1463" s="46" t="s">
        <v>4900</v>
      </c>
      <c r="E1463" s="46" cm="1">
        <f t="array" ref="E1463">tchrs_tesdanatlquali_agri_artiruminants_nc3</f>
        <v>0</v>
      </c>
      <c r="F1463" s="46" t="b">
        <v>1</v>
      </c>
    </row>
    <row r="1464" spans="1:6">
      <c r="A1464" s="46" t="s">
        <v>4643</v>
      </c>
      <c r="B1464" s="46" t="s">
        <v>4472</v>
      </c>
      <c r="C1464" s="46" t="s">
        <v>4643</v>
      </c>
      <c r="D1464" s="46" t="s">
        <v>4901</v>
      </c>
      <c r="E1464" s="46" cm="1">
        <f t="array" ref="E1464">tchrs_tesdanatlquali_agri_artiruminants_nc4</f>
        <v>0</v>
      </c>
      <c r="F1464" s="46" t="b">
        <v>1</v>
      </c>
    </row>
    <row r="1465" spans="1:6">
      <c r="A1465" s="46" t="s">
        <v>4644</v>
      </c>
      <c r="B1465" s="46" t="s">
        <v>4472</v>
      </c>
      <c r="C1465" s="46" t="s">
        <v>4644</v>
      </c>
      <c r="D1465" s="46" t="s">
        <v>4902</v>
      </c>
      <c r="E1465" s="46" cm="1">
        <f t="array" ref="E1465">tchrs_tesdanatlquali_agri_artiruminants_diploma</f>
        <v>0</v>
      </c>
      <c r="F1465" s="46" t="b">
        <v>1</v>
      </c>
    </row>
    <row r="1466" spans="1:6">
      <c r="A1466" s="46" t="s">
        <v>4645</v>
      </c>
      <c r="B1466" s="46" t="s">
        <v>4472</v>
      </c>
      <c r="C1466" s="46" t="s">
        <v>4645</v>
      </c>
      <c r="D1466" s="46" t="s">
        <v>4903</v>
      </c>
      <c r="E1466" s="46" cm="1">
        <f t="array" ref="E1466">tchrs_tesdanatlquali_agri_artiruminants_trainingmngt</f>
        <v>0</v>
      </c>
      <c r="F1466" s="46" t="b">
        <v>1</v>
      </c>
    </row>
    <row r="1467" spans="1:6">
      <c r="A1467" s="46" t="s">
        <v>4646</v>
      </c>
      <c r="B1467" s="46" t="s">
        <v>4472</v>
      </c>
      <c r="C1467" s="46" t="s">
        <v>4646</v>
      </c>
      <c r="D1467" s="46" t="s">
        <v>4904</v>
      </c>
      <c r="E1467" s="46" cm="1">
        <f t="array" ref="E1467">tchrs_tesdanatlquali_agri_artiswine_nc1</f>
        <v>0</v>
      </c>
      <c r="F1467" s="46" t="b">
        <v>1</v>
      </c>
    </row>
    <row r="1468" spans="1:6">
      <c r="A1468" s="46" t="s">
        <v>4647</v>
      </c>
      <c r="B1468" s="46" t="s">
        <v>4472</v>
      </c>
      <c r="C1468" s="46" t="s">
        <v>4647</v>
      </c>
      <c r="D1468" s="46" t="s">
        <v>4905</v>
      </c>
      <c r="E1468" s="46" cm="1">
        <f t="array" ref="E1468">tchrs_tesdanatlquali_agri_artiswine_nc2</f>
        <v>0</v>
      </c>
      <c r="F1468" s="46" t="b">
        <v>1</v>
      </c>
    </row>
    <row r="1469" spans="1:6">
      <c r="A1469" s="46" t="s">
        <v>4648</v>
      </c>
      <c r="B1469" s="46" t="s">
        <v>4472</v>
      </c>
      <c r="C1469" s="46" t="s">
        <v>4648</v>
      </c>
      <c r="D1469" s="46" t="s">
        <v>4906</v>
      </c>
      <c r="E1469" s="46" cm="1">
        <f t="array" ref="E1469">tchrs_tesdanatlquali_agri_artiswine_nc3</f>
        <v>0</v>
      </c>
      <c r="F1469" s="46" t="b">
        <v>1</v>
      </c>
    </row>
    <row r="1470" spans="1:6">
      <c r="A1470" s="46" t="s">
        <v>4649</v>
      </c>
      <c r="B1470" s="46" t="s">
        <v>4472</v>
      </c>
      <c r="C1470" s="46" t="s">
        <v>4649</v>
      </c>
      <c r="D1470" s="46" t="s">
        <v>4907</v>
      </c>
      <c r="E1470" s="46" cm="1">
        <f t="array" ref="E1470">tchrs_tesdanatlquali_agri_artiswine_nc4</f>
        <v>0</v>
      </c>
      <c r="F1470" s="46" t="b">
        <v>1</v>
      </c>
    </row>
    <row r="1471" spans="1:6">
      <c r="A1471" s="46" t="s">
        <v>4650</v>
      </c>
      <c r="B1471" s="46" t="s">
        <v>4472</v>
      </c>
      <c r="C1471" s="46" t="s">
        <v>4650</v>
      </c>
      <c r="D1471" s="46" t="s">
        <v>4908</v>
      </c>
      <c r="E1471" s="46" cm="1">
        <f t="array" ref="E1471">tchrs_tesdanatlquali_agri_artiswine_diploma</f>
        <v>0</v>
      </c>
      <c r="F1471" s="46" t="b">
        <v>1</v>
      </c>
    </row>
    <row r="1472" spans="1:6">
      <c r="A1472" s="46" t="s">
        <v>4651</v>
      </c>
      <c r="B1472" s="46" t="s">
        <v>4472</v>
      </c>
      <c r="C1472" s="46" t="s">
        <v>4651</v>
      </c>
      <c r="D1472" s="46" t="s">
        <v>4909</v>
      </c>
      <c r="E1472" s="46" cm="1">
        <f t="array" ref="E1472">tchrs_tesdanatlquali_agri_artiswine_trainingmngt</f>
        <v>0</v>
      </c>
      <c r="F1472" s="46" t="b">
        <v>1</v>
      </c>
    </row>
    <row r="1473" spans="1:6">
      <c r="A1473" s="46" t="s">
        <v>4652</v>
      </c>
      <c r="B1473" s="46" t="s">
        <v>4472</v>
      </c>
      <c r="C1473" s="46" t="s">
        <v>4652</v>
      </c>
      <c r="D1473" s="46" t="s">
        <v>4910</v>
      </c>
      <c r="E1473" s="46" cm="1">
        <f t="array" ref="E1473">tchrs_tesdanatlquali_agri_fishcapture_nc1</f>
        <v>0</v>
      </c>
      <c r="F1473" s="46" t="b">
        <v>1</v>
      </c>
    </row>
    <row r="1474" spans="1:6">
      <c r="A1474" s="46" t="s">
        <v>4653</v>
      </c>
      <c r="B1474" s="46" t="s">
        <v>4472</v>
      </c>
      <c r="C1474" s="46" t="s">
        <v>4653</v>
      </c>
      <c r="D1474" s="46" t="s">
        <v>4911</v>
      </c>
      <c r="E1474" s="46" cm="1">
        <f t="array" ref="E1474">tchrs_tesdanatlquali_agri_fishcapture_nc2</f>
        <v>0</v>
      </c>
      <c r="F1474" s="46" t="b">
        <v>1</v>
      </c>
    </row>
    <row r="1475" spans="1:6">
      <c r="A1475" s="46" t="s">
        <v>4654</v>
      </c>
      <c r="B1475" s="46" t="s">
        <v>4472</v>
      </c>
      <c r="C1475" s="46" t="s">
        <v>4654</v>
      </c>
      <c r="D1475" s="46" t="s">
        <v>4912</v>
      </c>
      <c r="E1475" s="46" cm="1">
        <f t="array" ref="E1475">tchrs_tesdanatlquali_agri_fishcapture_nc3</f>
        <v>0</v>
      </c>
      <c r="F1475" s="46" t="b">
        <v>1</v>
      </c>
    </row>
    <row r="1476" spans="1:6">
      <c r="A1476" s="46" t="s">
        <v>4655</v>
      </c>
      <c r="B1476" s="46" t="s">
        <v>4472</v>
      </c>
      <c r="C1476" s="46" t="s">
        <v>4655</v>
      </c>
      <c r="D1476" s="46" t="s">
        <v>4913</v>
      </c>
      <c r="E1476" s="46" cm="1">
        <f t="array" ref="E1476">tchrs_tesdanatlquali_agri_fishcapture_nc4</f>
        <v>0</v>
      </c>
      <c r="F1476" s="46" t="b">
        <v>1</v>
      </c>
    </row>
    <row r="1477" spans="1:6">
      <c r="A1477" s="46" t="s">
        <v>4656</v>
      </c>
      <c r="B1477" s="46" t="s">
        <v>4472</v>
      </c>
      <c r="C1477" s="46" t="s">
        <v>4656</v>
      </c>
      <c r="D1477" s="46" t="s">
        <v>4914</v>
      </c>
      <c r="E1477" s="46" cm="1">
        <f t="array" ref="E1477">tchrs_tesdanatlquali_agri_fishcapture_diploma</f>
        <v>0</v>
      </c>
      <c r="F1477" s="46" t="b">
        <v>1</v>
      </c>
    </row>
    <row r="1478" spans="1:6">
      <c r="A1478" s="46" t="s">
        <v>4657</v>
      </c>
      <c r="B1478" s="46" t="s">
        <v>4472</v>
      </c>
      <c r="C1478" s="46" t="s">
        <v>4657</v>
      </c>
      <c r="D1478" s="46" t="s">
        <v>4915</v>
      </c>
      <c r="E1478" s="46" cm="1">
        <f t="array" ref="E1478">tchrs_tesdanatlquali_agri_fishcapture_trainingmngt</f>
        <v>0</v>
      </c>
      <c r="F1478" s="46" t="b">
        <v>1</v>
      </c>
    </row>
    <row r="1479" spans="1:6">
      <c r="A1479" s="46" t="s">
        <v>4658</v>
      </c>
      <c r="B1479" s="46" t="s">
        <v>4472</v>
      </c>
      <c r="C1479" s="46" t="s">
        <v>4658</v>
      </c>
      <c r="D1479" s="46" t="s">
        <v>4916</v>
      </c>
      <c r="E1479" s="46" cm="1">
        <f t="array" ref="E1479">tchrs_tesdanatlquali_agri_fishprod_nc1</f>
        <v>0</v>
      </c>
      <c r="F1479" s="46" t="b">
        <v>1</v>
      </c>
    </row>
    <row r="1480" spans="1:6">
      <c r="A1480" s="46" t="s">
        <v>4659</v>
      </c>
      <c r="B1480" s="46" t="s">
        <v>4472</v>
      </c>
      <c r="C1480" s="46" t="s">
        <v>4659</v>
      </c>
      <c r="D1480" s="46" t="s">
        <v>4917</v>
      </c>
      <c r="E1480" s="46" cm="1">
        <f t="array" ref="E1480">tchrs_tesdanatlquali_agri_fishprod_nc2</f>
        <v>0</v>
      </c>
      <c r="F1480" s="46" t="b">
        <v>1</v>
      </c>
    </row>
    <row r="1481" spans="1:6">
      <c r="A1481" s="46" t="s">
        <v>4660</v>
      </c>
      <c r="B1481" s="46" t="s">
        <v>4472</v>
      </c>
      <c r="C1481" s="46" t="s">
        <v>4660</v>
      </c>
      <c r="D1481" s="46" t="s">
        <v>4918</v>
      </c>
      <c r="E1481" s="46" cm="1">
        <f t="array" ref="E1481">tchrs_tesdanatlquali_agri_fishprod_nc3</f>
        <v>0</v>
      </c>
      <c r="F1481" s="46" t="b">
        <v>1</v>
      </c>
    </row>
    <row r="1482" spans="1:6">
      <c r="A1482" s="46" t="s">
        <v>4661</v>
      </c>
      <c r="B1482" s="46" t="s">
        <v>4472</v>
      </c>
      <c r="C1482" s="46" t="s">
        <v>4661</v>
      </c>
      <c r="D1482" s="46" t="s">
        <v>4919</v>
      </c>
      <c r="E1482" s="46" cm="1">
        <f t="array" ref="E1482">tchrs_tesdanatlquali_agri_fishprod_nc4</f>
        <v>0</v>
      </c>
      <c r="F1482" s="46" t="b">
        <v>1</v>
      </c>
    </row>
    <row r="1483" spans="1:6">
      <c r="A1483" s="46" t="s">
        <v>4662</v>
      </c>
      <c r="B1483" s="46" t="s">
        <v>4472</v>
      </c>
      <c r="C1483" s="46" t="s">
        <v>4662</v>
      </c>
      <c r="D1483" s="46" t="s">
        <v>4920</v>
      </c>
      <c r="E1483" s="46" cm="1">
        <f t="array" ref="E1483">tchrs_tesdanatlquali_agri_fishprod_diploma</f>
        <v>0</v>
      </c>
      <c r="F1483" s="46" t="b">
        <v>1</v>
      </c>
    </row>
    <row r="1484" spans="1:6">
      <c r="A1484" s="46" t="s">
        <v>4663</v>
      </c>
      <c r="B1484" s="46" t="s">
        <v>4472</v>
      </c>
      <c r="C1484" s="46" t="s">
        <v>4663</v>
      </c>
      <c r="D1484" s="46" t="s">
        <v>4921</v>
      </c>
      <c r="E1484" s="46" cm="1">
        <f t="array" ref="E1484">tchrs_tesdanatlquali_agri_fishprod_trainingmngt</f>
        <v>0</v>
      </c>
      <c r="F1484" s="46" t="b">
        <v>1</v>
      </c>
    </row>
    <row r="1485" spans="1:6">
      <c r="A1485" s="46" t="s">
        <v>4664</v>
      </c>
      <c r="B1485" s="46" t="s">
        <v>4472</v>
      </c>
      <c r="C1485" s="46" t="s">
        <v>4664</v>
      </c>
      <c r="D1485" s="46" t="s">
        <v>4922</v>
      </c>
      <c r="E1485" s="46" cm="1">
        <f t="array" ref="E1485">tchrs_tesdanatlquali_agri_fishportnwharf_nc1</f>
        <v>0</v>
      </c>
      <c r="F1485" s="46" t="b">
        <v>1</v>
      </c>
    </row>
    <row r="1486" spans="1:6">
      <c r="A1486" s="46" t="s">
        <v>4665</v>
      </c>
      <c r="B1486" s="46" t="s">
        <v>4472</v>
      </c>
      <c r="C1486" s="46" t="s">
        <v>4665</v>
      </c>
      <c r="D1486" s="46" t="s">
        <v>4923</v>
      </c>
      <c r="E1486" s="46" cm="1">
        <f t="array" ref="E1486">tchrs_tesdanatlquali_agri_fishportnwharf_nc2</f>
        <v>0</v>
      </c>
      <c r="F1486" s="46" t="b">
        <v>1</v>
      </c>
    </row>
    <row r="1487" spans="1:6">
      <c r="A1487" s="46" t="s">
        <v>4666</v>
      </c>
      <c r="B1487" s="46" t="s">
        <v>4472</v>
      </c>
      <c r="C1487" s="46" t="s">
        <v>4666</v>
      </c>
      <c r="D1487" s="46" t="s">
        <v>4924</v>
      </c>
      <c r="E1487" s="46" cm="1">
        <f t="array" ref="E1487">tchrs_tesdanatlquali_agri_fishportnwharf_nc3</f>
        <v>0</v>
      </c>
      <c r="F1487" s="46" t="b">
        <v>1</v>
      </c>
    </row>
    <row r="1488" spans="1:6">
      <c r="A1488" s="46" t="s">
        <v>4667</v>
      </c>
      <c r="B1488" s="46" t="s">
        <v>4472</v>
      </c>
      <c r="C1488" s="46" t="s">
        <v>4667</v>
      </c>
      <c r="D1488" s="46" t="s">
        <v>4925</v>
      </c>
      <c r="E1488" s="46" cm="1">
        <f t="array" ref="E1488">tchrs_tesdanatlquali_agri_fishportnwharf_nc4</f>
        <v>0</v>
      </c>
      <c r="F1488" s="46" t="b">
        <v>1</v>
      </c>
    </row>
    <row r="1489" spans="1:6">
      <c r="A1489" s="46" t="s">
        <v>4668</v>
      </c>
      <c r="B1489" s="46" t="s">
        <v>4472</v>
      </c>
      <c r="C1489" s="46" t="s">
        <v>4668</v>
      </c>
      <c r="D1489" s="46" t="s">
        <v>4926</v>
      </c>
      <c r="E1489" s="46" cm="1">
        <f t="array" ref="E1489">tchrs_tesdanatlquali_agri_fishportnwharf_diploma</f>
        <v>0</v>
      </c>
      <c r="F1489" s="46" t="b">
        <v>1</v>
      </c>
    </row>
    <row r="1490" spans="1:6">
      <c r="A1490" s="46" t="s">
        <v>4669</v>
      </c>
      <c r="B1490" s="46" t="s">
        <v>4472</v>
      </c>
      <c r="C1490" s="46" t="s">
        <v>4669</v>
      </c>
      <c r="D1490" s="46" t="s">
        <v>4927</v>
      </c>
      <c r="E1490" s="46" cm="1">
        <f t="array" ref="E1490">tchrs_tesdanatlquali_agri_fishportnwharf_trainingmngt</f>
        <v>0</v>
      </c>
      <c r="F1490" s="46" t="b">
        <v>1</v>
      </c>
    </row>
    <row r="1491" spans="1:6">
      <c r="A1491" s="46" t="s">
        <v>4670</v>
      </c>
      <c r="B1491" s="46" t="s">
        <v>4472</v>
      </c>
      <c r="C1491" s="46" t="s">
        <v>4670</v>
      </c>
      <c r="D1491" s="46" t="s">
        <v>4928</v>
      </c>
      <c r="E1491" s="46" cm="1">
        <f t="array" ref="E1491">tchrs_tesdanatlquali_agri_fishinggear_nc1</f>
        <v>0</v>
      </c>
      <c r="F1491" s="46" t="b">
        <v>1</v>
      </c>
    </row>
    <row r="1492" spans="1:6">
      <c r="A1492" s="46" t="s">
        <v>4671</v>
      </c>
      <c r="B1492" s="46" t="s">
        <v>4472</v>
      </c>
      <c r="C1492" s="46" t="s">
        <v>4671</v>
      </c>
      <c r="D1492" s="46" t="s">
        <v>4929</v>
      </c>
      <c r="E1492" s="46" cm="1">
        <f t="array" ref="E1492">tchrs_tesdanatlquali_agri_fishinggear_nc2</f>
        <v>0</v>
      </c>
      <c r="F1492" s="46" t="b">
        <v>1</v>
      </c>
    </row>
    <row r="1493" spans="1:6">
      <c r="A1493" s="46" t="s">
        <v>4672</v>
      </c>
      <c r="B1493" s="46" t="s">
        <v>4472</v>
      </c>
      <c r="C1493" s="46" t="s">
        <v>4672</v>
      </c>
      <c r="D1493" s="46" t="s">
        <v>4930</v>
      </c>
      <c r="E1493" s="46" cm="1">
        <f t="array" ref="E1493">tchrs_tesdanatlquali_agri_fishinggear_nc3</f>
        <v>0</v>
      </c>
      <c r="F1493" s="46" t="b">
        <v>1</v>
      </c>
    </row>
    <row r="1494" spans="1:6">
      <c r="A1494" s="46" t="s">
        <v>4673</v>
      </c>
      <c r="B1494" s="46" t="s">
        <v>4472</v>
      </c>
      <c r="C1494" s="46" t="s">
        <v>4673</v>
      </c>
      <c r="D1494" s="46" t="s">
        <v>4931</v>
      </c>
      <c r="E1494" s="46" cm="1">
        <f t="array" ref="E1494">tchrs_tesdanatlquali_agri_fishinggear_nc4</f>
        <v>0</v>
      </c>
      <c r="F1494" s="46" t="b">
        <v>1</v>
      </c>
    </row>
    <row r="1495" spans="1:6">
      <c r="A1495" s="46" t="s">
        <v>4674</v>
      </c>
      <c r="B1495" s="46" t="s">
        <v>4472</v>
      </c>
      <c r="C1495" s="46" t="s">
        <v>4674</v>
      </c>
      <c r="D1495" s="46" t="s">
        <v>4932</v>
      </c>
      <c r="E1495" s="46" cm="1">
        <f t="array" ref="E1495">tchrs_tesdanatlquali_agri_fishinggear_diploma</f>
        <v>0</v>
      </c>
      <c r="F1495" s="46" t="b">
        <v>1</v>
      </c>
    </row>
    <row r="1496" spans="1:6">
      <c r="A1496" s="46" t="s">
        <v>4675</v>
      </c>
      <c r="B1496" s="46" t="s">
        <v>4472</v>
      </c>
      <c r="C1496" s="46" t="s">
        <v>4675</v>
      </c>
      <c r="D1496" s="46" t="s">
        <v>4933</v>
      </c>
      <c r="E1496" s="46" cm="1">
        <f t="array" ref="E1496">tchrs_tesdanatlquali_agri_fishinggear_trainingmngt</f>
        <v>0</v>
      </c>
      <c r="F1496" s="46" t="b">
        <v>1</v>
      </c>
    </row>
    <row r="1497" spans="1:6">
      <c r="A1497" s="46" t="s">
        <v>4676</v>
      </c>
      <c r="B1497" s="46" t="s">
        <v>4472</v>
      </c>
      <c r="C1497" s="46" t="s">
        <v>4676</v>
      </c>
      <c r="D1497" s="46" t="s">
        <v>4934</v>
      </c>
      <c r="E1497" s="46" cm="1">
        <f t="array" ref="E1497">tchrs_tesdanatlquali_agri_fishprocessing_nc1</f>
        <v>0</v>
      </c>
      <c r="F1497" s="46" t="b">
        <v>1</v>
      </c>
    </row>
    <row r="1498" spans="1:6">
      <c r="A1498" s="46" t="s">
        <v>4677</v>
      </c>
      <c r="B1498" s="46" t="s">
        <v>4472</v>
      </c>
      <c r="C1498" s="46" t="s">
        <v>4677</v>
      </c>
      <c r="D1498" s="46" t="s">
        <v>4935</v>
      </c>
      <c r="E1498" s="46" cm="1">
        <f t="array" ref="E1498">tchrs_tesdanatlquali_agri_fishprocessing_nc2</f>
        <v>1</v>
      </c>
      <c r="F1498" s="46" t="b">
        <v>1</v>
      </c>
    </row>
    <row r="1499" spans="1:6">
      <c r="A1499" s="46" t="s">
        <v>4678</v>
      </c>
      <c r="B1499" s="46" t="s">
        <v>4472</v>
      </c>
      <c r="C1499" s="46" t="s">
        <v>4678</v>
      </c>
      <c r="D1499" s="46" t="s">
        <v>4936</v>
      </c>
      <c r="E1499" s="46" cm="1">
        <f t="array" ref="E1499">tchrs_tesdanatlquali_agri_fishprocessing_nc3</f>
        <v>0</v>
      </c>
      <c r="F1499" s="46" t="b">
        <v>1</v>
      </c>
    </row>
    <row r="1500" spans="1:6">
      <c r="A1500" s="46" t="s">
        <v>4679</v>
      </c>
      <c r="B1500" s="46" t="s">
        <v>4472</v>
      </c>
      <c r="C1500" s="46" t="s">
        <v>4679</v>
      </c>
      <c r="D1500" s="46" t="s">
        <v>4937</v>
      </c>
      <c r="E1500" s="46" cm="1">
        <f t="array" ref="E1500">tchrs_tesdanatlquali_agri_fishprocessing_nc4</f>
        <v>0</v>
      </c>
      <c r="F1500" s="46" t="b">
        <v>1</v>
      </c>
    </row>
    <row r="1501" spans="1:6">
      <c r="A1501" s="46" t="s">
        <v>4680</v>
      </c>
      <c r="B1501" s="46" t="s">
        <v>4472</v>
      </c>
      <c r="C1501" s="46" t="s">
        <v>4680</v>
      </c>
      <c r="D1501" s="46" t="s">
        <v>4938</v>
      </c>
      <c r="E1501" s="46" cm="1">
        <f t="array" ref="E1501">tchrs_tesdanatlquali_agri_fishprocessing_diploma</f>
        <v>0</v>
      </c>
      <c r="F1501" s="46" t="b">
        <v>1</v>
      </c>
    </row>
    <row r="1502" spans="1:6">
      <c r="A1502" s="46" t="s">
        <v>4681</v>
      </c>
      <c r="B1502" s="46" t="s">
        <v>4472</v>
      </c>
      <c r="C1502" s="46" t="s">
        <v>4681</v>
      </c>
      <c r="D1502" s="46" t="s">
        <v>4939</v>
      </c>
      <c r="E1502" s="46" cm="1">
        <f t="array" ref="E1502">tchrs_tesdanatlquali_agri_fishprocessing_trainingmngt</f>
        <v>1</v>
      </c>
      <c r="F1502" s="46" t="b">
        <v>1</v>
      </c>
    </row>
    <row r="1503" spans="1:6">
      <c r="A1503" s="46" t="s">
        <v>4682</v>
      </c>
      <c r="B1503" s="46" t="s">
        <v>4472</v>
      </c>
      <c r="C1503" s="46" t="s">
        <v>4682</v>
      </c>
      <c r="D1503" s="46" t="s">
        <v>4940</v>
      </c>
      <c r="E1503" s="46" cm="1">
        <f t="array" ref="E1503">tchrs_tesdanatlquali_agri_horiculture_nc1</f>
        <v>0</v>
      </c>
      <c r="F1503" s="46" t="b">
        <v>1</v>
      </c>
    </row>
    <row r="1504" spans="1:6">
      <c r="A1504" s="46" t="s">
        <v>4683</v>
      </c>
      <c r="B1504" s="46" t="s">
        <v>4472</v>
      </c>
      <c r="C1504" s="46" t="s">
        <v>4683</v>
      </c>
      <c r="D1504" s="46" t="s">
        <v>4941</v>
      </c>
      <c r="E1504" s="46" cm="1">
        <f t="array" ref="E1504">tchrs_tesdanatlquali_agri_horiculture_nc2</f>
        <v>0</v>
      </c>
      <c r="F1504" s="46" t="b">
        <v>1</v>
      </c>
    </row>
    <row r="1505" spans="1:6">
      <c r="A1505" s="46" t="s">
        <v>4684</v>
      </c>
      <c r="B1505" s="46" t="s">
        <v>4472</v>
      </c>
      <c r="C1505" s="46" t="s">
        <v>4684</v>
      </c>
      <c r="D1505" s="46" t="s">
        <v>4942</v>
      </c>
      <c r="E1505" s="46" cm="1">
        <f t="array" ref="E1505">tchrs_tesdanatlquali_agri_horiculture_nc3</f>
        <v>0</v>
      </c>
      <c r="F1505" s="46" t="b">
        <v>1</v>
      </c>
    </row>
    <row r="1506" spans="1:6">
      <c r="A1506" s="46" t="s">
        <v>4685</v>
      </c>
      <c r="B1506" s="46" t="s">
        <v>4472</v>
      </c>
      <c r="C1506" s="46" t="s">
        <v>4685</v>
      </c>
      <c r="D1506" s="46" t="s">
        <v>4943</v>
      </c>
      <c r="E1506" s="46" cm="1">
        <f t="array" ref="E1506">tchrs_tesdanatlquali_agri_horiculture_nc4</f>
        <v>0</v>
      </c>
      <c r="F1506" s="46" t="b">
        <v>1</v>
      </c>
    </row>
    <row r="1507" spans="1:6">
      <c r="A1507" s="46" t="s">
        <v>4686</v>
      </c>
      <c r="B1507" s="46" t="s">
        <v>4472</v>
      </c>
      <c r="C1507" s="46" t="s">
        <v>4686</v>
      </c>
      <c r="D1507" s="46" t="s">
        <v>4944</v>
      </c>
      <c r="E1507" s="46" cm="1">
        <f t="array" ref="E1507">tchrs_tesdanatlquali_agri_horiculture_diploma</f>
        <v>0</v>
      </c>
      <c r="F1507" s="46" t="b">
        <v>1</v>
      </c>
    </row>
    <row r="1508" spans="1:6">
      <c r="A1508" s="46" t="s">
        <v>4687</v>
      </c>
      <c r="B1508" s="46" t="s">
        <v>4472</v>
      </c>
      <c r="C1508" s="46" t="s">
        <v>4687</v>
      </c>
      <c r="D1508" s="46" t="s">
        <v>4945</v>
      </c>
      <c r="E1508" s="46" cm="1">
        <f t="array" ref="E1508">tchrs_tesdanatlquali_agri_horiculture_trainingmngt</f>
        <v>0</v>
      </c>
      <c r="F1508" s="46" t="b">
        <v>1</v>
      </c>
    </row>
    <row r="1509" spans="1:6">
      <c r="A1509" s="46" t="s">
        <v>4688</v>
      </c>
      <c r="B1509" s="46" t="s">
        <v>4472</v>
      </c>
      <c r="C1509" s="46" t="s">
        <v>4688</v>
      </c>
      <c r="D1509" s="46" t="s">
        <v>4946</v>
      </c>
      <c r="E1509" s="46" cm="1">
        <f t="array" ref="E1509">tchrs_tesdanatlquali_agri_lanscapenmain_nc1</f>
        <v>0</v>
      </c>
      <c r="F1509" s="46" t="b">
        <v>1</v>
      </c>
    </row>
    <row r="1510" spans="1:6">
      <c r="A1510" s="46" t="s">
        <v>4689</v>
      </c>
      <c r="B1510" s="46" t="s">
        <v>4472</v>
      </c>
      <c r="C1510" s="46" t="s">
        <v>4689</v>
      </c>
      <c r="D1510" s="46" t="s">
        <v>4947</v>
      </c>
      <c r="E1510" s="46" cm="1">
        <f t="array" ref="E1510">tchrs_tesdanatlquali_agri_lanscapenmain_nc2</f>
        <v>0</v>
      </c>
      <c r="F1510" s="46" t="b">
        <v>1</v>
      </c>
    </row>
    <row r="1511" spans="1:6">
      <c r="A1511" s="46" t="s">
        <v>4690</v>
      </c>
      <c r="B1511" s="46" t="s">
        <v>4472</v>
      </c>
      <c r="C1511" s="46" t="s">
        <v>4690</v>
      </c>
      <c r="D1511" s="46" t="s">
        <v>4948</v>
      </c>
      <c r="E1511" s="46" cm="1">
        <f t="array" ref="E1511">tchrs_tesdanatlquali_agri_lanscapenmain_nc3</f>
        <v>0</v>
      </c>
      <c r="F1511" s="46" t="b">
        <v>1</v>
      </c>
    </row>
    <row r="1512" spans="1:6">
      <c r="A1512" s="46" t="s">
        <v>4691</v>
      </c>
      <c r="B1512" s="46" t="s">
        <v>4472</v>
      </c>
      <c r="C1512" s="46" t="s">
        <v>4691</v>
      </c>
      <c r="D1512" s="46" t="s">
        <v>4949</v>
      </c>
      <c r="E1512" s="46" cm="1">
        <f t="array" ref="E1512">tchrs_tesdanatlquali_agri_lanscapenmain_nc4</f>
        <v>0</v>
      </c>
      <c r="F1512" s="46" t="b">
        <v>1</v>
      </c>
    </row>
    <row r="1513" spans="1:6">
      <c r="A1513" s="46" t="s">
        <v>4692</v>
      </c>
      <c r="B1513" s="46" t="s">
        <v>4472</v>
      </c>
      <c r="C1513" s="46" t="s">
        <v>4692</v>
      </c>
      <c r="D1513" s="46" t="s">
        <v>4950</v>
      </c>
      <c r="E1513" s="46" cm="1">
        <f t="array" ref="E1513">tchrs_tesdanatlquali_agri_lanscapenmain_diploma</f>
        <v>0</v>
      </c>
      <c r="F1513" s="46" t="b">
        <v>1</v>
      </c>
    </row>
    <row r="1514" spans="1:6">
      <c r="A1514" s="46" t="s">
        <v>4693</v>
      </c>
      <c r="B1514" s="46" t="s">
        <v>4472</v>
      </c>
      <c r="C1514" s="46" t="s">
        <v>4693</v>
      </c>
      <c r="D1514" s="46" t="s">
        <v>4951</v>
      </c>
      <c r="E1514" s="46" cm="1">
        <f t="array" ref="E1514">tchrs_tesdanatlquali_agri_lanscapenmain_trainingmngt</f>
        <v>0</v>
      </c>
      <c r="F1514" s="46" t="b">
        <v>1</v>
      </c>
    </row>
    <row r="1515" spans="1:6">
      <c r="A1515" s="46" t="s">
        <v>4694</v>
      </c>
      <c r="B1515" s="46" t="s">
        <v>4472</v>
      </c>
      <c r="C1515" s="46" t="s">
        <v>4694</v>
      </c>
      <c r="D1515" s="46" t="s">
        <v>4952</v>
      </c>
      <c r="E1515" s="46" cm="1">
        <f t="array" ref="E1515">tchrs_tesdanatlquali_agri_organicagri_nc1</f>
        <v>0</v>
      </c>
      <c r="F1515" s="46" t="b">
        <v>1</v>
      </c>
    </row>
    <row r="1516" spans="1:6">
      <c r="A1516" s="46" t="s">
        <v>4695</v>
      </c>
      <c r="B1516" s="46" t="s">
        <v>4472</v>
      </c>
      <c r="C1516" s="46" t="s">
        <v>4695</v>
      </c>
      <c r="D1516" s="46" t="s">
        <v>4953</v>
      </c>
      <c r="E1516" s="46" cm="1">
        <f t="array" ref="E1516">tchrs_tesdanatlquali_agri_organicagri_nc2</f>
        <v>0</v>
      </c>
      <c r="F1516" s="46" t="b">
        <v>1</v>
      </c>
    </row>
    <row r="1517" spans="1:6">
      <c r="A1517" s="46" t="s">
        <v>4696</v>
      </c>
      <c r="B1517" s="46" t="s">
        <v>4472</v>
      </c>
      <c r="C1517" s="46" t="s">
        <v>4696</v>
      </c>
      <c r="D1517" s="46" t="s">
        <v>4954</v>
      </c>
      <c r="E1517" s="46" cm="1">
        <f t="array" ref="E1517">tchrs_tesdanatlquali_agri_organicagri_nc3</f>
        <v>0</v>
      </c>
      <c r="F1517" s="46" t="b">
        <v>1</v>
      </c>
    </row>
    <row r="1518" spans="1:6">
      <c r="A1518" s="46" t="s">
        <v>4697</v>
      </c>
      <c r="B1518" s="46" t="s">
        <v>4472</v>
      </c>
      <c r="C1518" s="46" t="s">
        <v>4697</v>
      </c>
      <c r="D1518" s="46" t="s">
        <v>4955</v>
      </c>
      <c r="E1518" s="46" cm="1">
        <f t="array" ref="E1518">tchrs_tesdanatlquali_agri_organicagri_nc4</f>
        <v>0</v>
      </c>
      <c r="F1518" s="46" t="b">
        <v>1</v>
      </c>
    </row>
    <row r="1519" spans="1:6">
      <c r="A1519" s="46" t="s">
        <v>4698</v>
      </c>
      <c r="B1519" s="46" t="s">
        <v>4472</v>
      </c>
      <c r="C1519" s="46" t="s">
        <v>4698</v>
      </c>
      <c r="D1519" s="46" t="s">
        <v>4956</v>
      </c>
      <c r="E1519" s="46" cm="1">
        <f t="array" ref="E1519">tchrs_tesdanatlquali_agri_organicagri_diploma</f>
        <v>0</v>
      </c>
      <c r="F1519" s="46" t="b">
        <v>1</v>
      </c>
    </row>
    <row r="1520" spans="1:6">
      <c r="A1520" s="46" t="s">
        <v>4699</v>
      </c>
      <c r="B1520" s="46" t="s">
        <v>4472</v>
      </c>
      <c r="C1520" s="46" t="s">
        <v>4699</v>
      </c>
      <c r="D1520" s="46" t="s">
        <v>4957</v>
      </c>
      <c r="E1520" s="46" cm="1">
        <f t="array" ref="E1520">tchrs_tesdanatlquali_agri_organicagri_trainingmngt</f>
        <v>0</v>
      </c>
      <c r="F1520" s="46" t="b">
        <v>1</v>
      </c>
    </row>
    <row r="1521" spans="1:6">
      <c r="A1521" s="46" t="s">
        <v>4700</v>
      </c>
      <c r="B1521" s="46" t="s">
        <v>4472</v>
      </c>
      <c r="C1521" s="46" t="s">
        <v>4700</v>
      </c>
      <c r="D1521" s="46" t="s">
        <v>4958</v>
      </c>
      <c r="E1521" s="46" cm="1">
        <f t="array" ref="E1521">tchrs_tesdanatlquali_agri_pestmngt_nc1</f>
        <v>0</v>
      </c>
      <c r="F1521" s="46" t="b">
        <v>1</v>
      </c>
    </row>
    <row r="1522" spans="1:6">
      <c r="A1522" s="46" t="s">
        <v>4701</v>
      </c>
      <c r="B1522" s="46" t="s">
        <v>4472</v>
      </c>
      <c r="C1522" s="46" t="s">
        <v>4701</v>
      </c>
      <c r="D1522" s="46" t="s">
        <v>4959</v>
      </c>
      <c r="E1522" s="46" cm="1">
        <f t="array" ref="E1522">tchrs_tesdanatlquali_agri_pestmngt_nc2</f>
        <v>0</v>
      </c>
      <c r="F1522" s="46" t="b">
        <v>1</v>
      </c>
    </row>
    <row r="1523" spans="1:6">
      <c r="A1523" s="46" t="s">
        <v>4702</v>
      </c>
      <c r="B1523" s="46" t="s">
        <v>4472</v>
      </c>
      <c r="C1523" s="46" t="s">
        <v>4702</v>
      </c>
      <c r="D1523" s="46" t="s">
        <v>4960</v>
      </c>
      <c r="E1523" s="46" cm="1">
        <f t="array" ref="E1523">tchrs_tesdanatlquali_agri_pestmngt_nc3</f>
        <v>0</v>
      </c>
      <c r="F1523" s="46" t="b">
        <v>1</v>
      </c>
    </row>
    <row r="1524" spans="1:6">
      <c r="A1524" s="46" t="s">
        <v>4703</v>
      </c>
      <c r="B1524" s="46" t="s">
        <v>4472</v>
      </c>
      <c r="C1524" s="46" t="s">
        <v>4703</v>
      </c>
      <c r="D1524" s="46" t="s">
        <v>4961</v>
      </c>
      <c r="E1524" s="46" cm="1">
        <f t="array" ref="E1524">tchrs_tesdanatlquali_agri_pestmngt_nc4</f>
        <v>0</v>
      </c>
      <c r="F1524" s="46" t="b">
        <v>1</v>
      </c>
    </row>
    <row r="1525" spans="1:6">
      <c r="A1525" s="46" t="s">
        <v>4704</v>
      </c>
      <c r="B1525" s="46" t="s">
        <v>4472</v>
      </c>
      <c r="C1525" s="46" t="s">
        <v>4704</v>
      </c>
      <c r="D1525" s="46" t="s">
        <v>4962</v>
      </c>
      <c r="E1525" s="46" cm="1">
        <f t="array" ref="E1525">tchrs_tesdanatlquali_agri_pestmngt_diploma</f>
        <v>0</v>
      </c>
      <c r="F1525" s="46" t="b">
        <v>1</v>
      </c>
    </row>
    <row r="1526" spans="1:6">
      <c r="A1526" s="46" t="s">
        <v>4705</v>
      </c>
      <c r="B1526" s="46" t="s">
        <v>4472</v>
      </c>
      <c r="C1526" s="46" t="s">
        <v>4705</v>
      </c>
      <c r="D1526" s="46" t="s">
        <v>4963</v>
      </c>
      <c r="E1526" s="46" cm="1">
        <f t="array" ref="E1526">tchrs_tesdanatlquali_agri_pestmngt_trainingmngt</f>
        <v>0</v>
      </c>
      <c r="F1526" s="46" t="b">
        <v>1</v>
      </c>
    </row>
    <row r="1527" spans="1:6">
      <c r="A1527" s="46" t="s">
        <v>4706</v>
      </c>
      <c r="B1527" s="46" t="s">
        <v>4472</v>
      </c>
      <c r="C1527" s="46" t="s">
        <v>4706</v>
      </c>
      <c r="D1527" s="46" t="s">
        <v>4964</v>
      </c>
      <c r="E1527" s="46" cm="1">
        <f t="array" ref="E1527">tchrs_tesdanatlquali_agri_ricemachinery_nc1</f>
        <v>0</v>
      </c>
      <c r="F1527" s="46" t="b">
        <v>1</v>
      </c>
    </row>
    <row r="1528" spans="1:6">
      <c r="A1528" s="46" t="s">
        <v>4707</v>
      </c>
      <c r="B1528" s="46" t="s">
        <v>4472</v>
      </c>
      <c r="C1528" s="46" t="s">
        <v>4707</v>
      </c>
      <c r="D1528" s="46" t="s">
        <v>4965</v>
      </c>
      <c r="E1528" s="46" cm="1">
        <f t="array" ref="E1528">tchrs_tesdanatlquali_agri_ricemachinery_nc2</f>
        <v>0</v>
      </c>
      <c r="F1528" s="46" t="b">
        <v>1</v>
      </c>
    </row>
    <row r="1529" spans="1:6">
      <c r="A1529" s="46" t="s">
        <v>4708</v>
      </c>
      <c r="B1529" s="46" t="s">
        <v>4472</v>
      </c>
      <c r="C1529" s="46" t="s">
        <v>4708</v>
      </c>
      <c r="D1529" s="46" t="s">
        <v>4966</v>
      </c>
      <c r="E1529" s="46" cm="1">
        <f t="array" ref="E1529">tchrs_tesdanatlquali_agri_ricemachinery_nc3</f>
        <v>0</v>
      </c>
      <c r="F1529" s="46" t="b">
        <v>1</v>
      </c>
    </row>
    <row r="1530" spans="1:6">
      <c r="A1530" s="46" t="s">
        <v>4709</v>
      </c>
      <c r="B1530" s="46" t="s">
        <v>4472</v>
      </c>
      <c r="C1530" s="46" t="s">
        <v>4709</v>
      </c>
      <c r="D1530" s="46" t="s">
        <v>4967</v>
      </c>
      <c r="E1530" s="46" cm="1">
        <f t="array" ref="E1530">tchrs_tesdanatlquali_agri_ricemachinery_nc4</f>
        <v>0</v>
      </c>
      <c r="F1530" s="46" t="b">
        <v>1</v>
      </c>
    </row>
    <row r="1531" spans="1:6">
      <c r="A1531" s="46" t="s">
        <v>4710</v>
      </c>
      <c r="B1531" s="46" t="s">
        <v>4472</v>
      </c>
      <c r="C1531" s="46" t="s">
        <v>4710</v>
      </c>
      <c r="D1531" s="46" t="s">
        <v>4968</v>
      </c>
      <c r="E1531" s="46" cm="1">
        <f t="array" ref="E1531">tchrs_tesdanatlquali_agri_ricemachinery_diploma</f>
        <v>0</v>
      </c>
      <c r="F1531" s="46" t="b">
        <v>1</v>
      </c>
    </row>
    <row r="1532" spans="1:6">
      <c r="A1532" s="46" t="s">
        <v>4711</v>
      </c>
      <c r="B1532" s="46" t="s">
        <v>4472</v>
      </c>
      <c r="C1532" s="46" t="s">
        <v>4711</v>
      </c>
      <c r="D1532" s="46" t="s">
        <v>4969</v>
      </c>
      <c r="E1532" s="46" cm="1">
        <f t="array" ref="E1532">tchrs_tesdanatlquali_agri_ricemachinery_trainingmngt</f>
        <v>0</v>
      </c>
      <c r="F1532" s="46" t="b">
        <v>1</v>
      </c>
    </row>
    <row r="1533" spans="1:6">
      <c r="A1533" s="46" t="s">
        <v>4712</v>
      </c>
      <c r="B1533" s="46" t="s">
        <v>4472</v>
      </c>
      <c r="C1533" s="46" t="s">
        <v>4712</v>
      </c>
      <c r="D1533" s="46" t="s">
        <v>4970</v>
      </c>
      <c r="E1533" s="46" cm="1">
        <f t="array" ref="E1533">tchrs_tesdanatlquali_agri_rubberprocessing_nc1</f>
        <v>0</v>
      </c>
      <c r="F1533" s="46" t="b">
        <v>1</v>
      </c>
    </row>
    <row r="1534" spans="1:6">
      <c r="A1534" s="46" t="s">
        <v>4713</v>
      </c>
      <c r="B1534" s="46" t="s">
        <v>4472</v>
      </c>
      <c r="C1534" s="46" t="s">
        <v>4713</v>
      </c>
      <c r="D1534" s="46" t="s">
        <v>4971</v>
      </c>
      <c r="E1534" s="46" cm="1">
        <f t="array" ref="E1534">tchrs_tesdanatlquali_agri_rubberprocessing_nc2</f>
        <v>0</v>
      </c>
      <c r="F1534" s="46" t="b">
        <v>1</v>
      </c>
    </row>
    <row r="1535" spans="1:6">
      <c r="A1535" s="46" t="s">
        <v>4714</v>
      </c>
      <c r="B1535" s="46" t="s">
        <v>4472</v>
      </c>
      <c r="C1535" s="46" t="s">
        <v>4714</v>
      </c>
      <c r="D1535" s="46" t="s">
        <v>4972</v>
      </c>
      <c r="E1535" s="46" cm="1">
        <f t="array" ref="E1535">tchrs_tesdanatlquali_agri_rubberprocessing_nc3</f>
        <v>0</v>
      </c>
      <c r="F1535" s="46" t="b">
        <v>1</v>
      </c>
    </row>
    <row r="1536" spans="1:6">
      <c r="A1536" s="46" t="s">
        <v>4715</v>
      </c>
      <c r="B1536" s="46" t="s">
        <v>4472</v>
      </c>
      <c r="C1536" s="46" t="s">
        <v>4715</v>
      </c>
      <c r="D1536" s="46" t="s">
        <v>4973</v>
      </c>
      <c r="E1536" s="46" cm="1">
        <f t="array" ref="E1536">tchrs_tesdanatlquali_agri_rubberprocessing_nc4</f>
        <v>0</v>
      </c>
      <c r="F1536" s="46" t="b">
        <v>1</v>
      </c>
    </row>
    <row r="1537" spans="1:8">
      <c r="A1537" s="46" t="s">
        <v>4716</v>
      </c>
      <c r="B1537" s="46" t="s">
        <v>4472</v>
      </c>
      <c r="C1537" s="46" t="s">
        <v>4716</v>
      </c>
      <c r="D1537" s="46" t="s">
        <v>4974</v>
      </c>
      <c r="E1537" s="46" cm="1">
        <f t="array" ref="E1537">tchrs_tesdanatlquali_agri_rubberprocessing_diploma</f>
        <v>0</v>
      </c>
      <c r="F1537" s="46" t="b">
        <v>1</v>
      </c>
    </row>
    <row r="1538" spans="1:8">
      <c r="A1538" s="46" t="s">
        <v>4717</v>
      </c>
      <c r="B1538" s="46" t="s">
        <v>4472</v>
      </c>
      <c r="C1538" s="46" t="s">
        <v>4717</v>
      </c>
      <c r="D1538" s="46" t="s">
        <v>4975</v>
      </c>
      <c r="E1538" s="46" cm="1">
        <f t="array" ref="E1538">tchrs_tesdanatlquali_agri_rubberprocessing_trainingmngt</f>
        <v>0</v>
      </c>
      <c r="F1538" s="46" t="b">
        <v>1</v>
      </c>
    </row>
    <row r="1539" spans="1:8">
      <c r="A1539" s="46" t="s">
        <v>4718</v>
      </c>
      <c r="B1539" s="46" t="s">
        <v>4472</v>
      </c>
      <c r="C1539" s="46" t="s">
        <v>4718</v>
      </c>
      <c r="D1539" s="46" t="s">
        <v>4976</v>
      </c>
      <c r="E1539" s="46" cm="1">
        <f t="array" ref="E1539">tchrs_tesdanatlquali_agri_rubberproduction_nc1</f>
        <v>0</v>
      </c>
      <c r="F1539" s="46" t="b">
        <v>1</v>
      </c>
    </row>
    <row r="1540" spans="1:8">
      <c r="A1540" s="46" t="s">
        <v>4719</v>
      </c>
      <c r="B1540" s="46" t="s">
        <v>4472</v>
      </c>
      <c r="C1540" s="46" t="s">
        <v>4719</v>
      </c>
      <c r="D1540" s="46" t="s">
        <v>4977</v>
      </c>
      <c r="E1540" s="46" cm="1">
        <f t="array" ref="E1540">tchrs_tesdanatlquali_agri_rubberproduction_nc2</f>
        <v>0</v>
      </c>
      <c r="F1540" s="46" t="b">
        <v>1</v>
      </c>
    </row>
    <row r="1541" spans="1:8">
      <c r="A1541" s="46" t="s">
        <v>4720</v>
      </c>
      <c r="B1541" s="46" t="s">
        <v>4472</v>
      </c>
      <c r="C1541" s="46" t="s">
        <v>4720</v>
      </c>
      <c r="D1541" s="46" t="s">
        <v>4978</v>
      </c>
      <c r="E1541" s="46" cm="1">
        <f t="array" ref="E1541">tchrs_tesdanatlquali_agri_rubberproduction_nc3</f>
        <v>0</v>
      </c>
      <c r="F1541" s="46" t="b">
        <v>1</v>
      </c>
    </row>
    <row r="1542" spans="1:8">
      <c r="A1542" s="46" t="s">
        <v>4721</v>
      </c>
      <c r="B1542" s="46" t="s">
        <v>4472</v>
      </c>
      <c r="C1542" s="46" t="s">
        <v>4721</v>
      </c>
      <c r="D1542" s="46" t="s">
        <v>4979</v>
      </c>
      <c r="E1542" s="46" cm="1">
        <f t="array" ref="E1542">tchrs_tesdanatlquali_agri_rubberproduction_nc4</f>
        <v>0</v>
      </c>
      <c r="F1542" s="46" t="b">
        <v>1</v>
      </c>
    </row>
    <row r="1543" spans="1:8">
      <c r="A1543" s="46" t="s">
        <v>4722</v>
      </c>
      <c r="B1543" s="46" t="s">
        <v>4472</v>
      </c>
      <c r="C1543" s="46" t="s">
        <v>4722</v>
      </c>
      <c r="D1543" s="46" t="s">
        <v>4980</v>
      </c>
      <c r="E1543" s="46" cm="1">
        <f t="array" ref="E1543">tchrs_tesdanatlquali_agri_rubberproduction_diploma</f>
        <v>0</v>
      </c>
      <c r="F1543" s="46" t="b">
        <v>1</v>
      </c>
    </row>
    <row r="1544" spans="1:8">
      <c r="A1544" s="46" t="s">
        <v>4723</v>
      </c>
      <c r="B1544" s="46" t="s">
        <v>4472</v>
      </c>
      <c r="C1544" s="46" t="s">
        <v>4723</v>
      </c>
      <c r="D1544" s="46" t="s">
        <v>4981</v>
      </c>
      <c r="E1544" s="46" cm="1">
        <f t="array" ref="E1544">tchrs_tesdanatlquali_agri_rubberproduction_trainingmngt</f>
        <v>0</v>
      </c>
      <c r="F1544" s="46" t="b">
        <v>1</v>
      </c>
    </row>
    <row r="1545" spans="1:8">
      <c r="A1545" s="46" t="s">
        <v>4724</v>
      </c>
      <c r="B1545" s="46" t="s">
        <v>4472</v>
      </c>
      <c r="C1545" s="46" t="s">
        <v>4724</v>
      </c>
      <c r="D1545" s="46" t="s">
        <v>4982</v>
      </c>
      <c r="E1545" s="46" cm="1">
        <f t="array" ref="E1545">tchrs_tesdanatlquali_agri_slaughteringop_nc1</f>
        <v>0</v>
      </c>
      <c r="F1545" s="46" t="b">
        <v>1</v>
      </c>
    </row>
    <row r="1546" spans="1:8">
      <c r="A1546" s="46" t="s">
        <v>4725</v>
      </c>
      <c r="B1546" s="46" t="s">
        <v>4472</v>
      </c>
      <c r="C1546" s="46" t="s">
        <v>4725</v>
      </c>
      <c r="D1546" s="46" t="s">
        <v>4983</v>
      </c>
      <c r="E1546" s="46" cm="1">
        <f t="array" ref="E1546">tchrs_tesdanatlquali_agri_slaughteringop_nc2</f>
        <v>0</v>
      </c>
      <c r="F1546" s="46" t="b">
        <v>1</v>
      </c>
    </row>
    <row r="1547" spans="1:8">
      <c r="A1547" s="46" t="s">
        <v>4726</v>
      </c>
      <c r="B1547" s="46" t="s">
        <v>4472</v>
      </c>
      <c r="C1547" s="46" t="s">
        <v>4726</v>
      </c>
      <c r="D1547" s="46" t="s">
        <v>4984</v>
      </c>
      <c r="E1547" s="46" cm="1">
        <f t="array" ref="E1547">tchrs_tesdanatlquali_agri_slaughteringop_nc3</f>
        <v>0</v>
      </c>
      <c r="F1547" s="46" t="b">
        <v>1</v>
      </c>
    </row>
    <row r="1548" spans="1:8">
      <c r="A1548" s="46" t="s">
        <v>4727</v>
      </c>
      <c r="B1548" s="46" t="s">
        <v>4472</v>
      </c>
      <c r="C1548" s="46" t="s">
        <v>4727</v>
      </c>
      <c r="D1548" s="46" t="s">
        <v>4985</v>
      </c>
      <c r="E1548" s="46" cm="1">
        <f t="array" ref="E1548">tchrs_tesdanatlquali_agri_slaughteringop_nc4</f>
        <v>0</v>
      </c>
      <c r="F1548" s="46" t="b">
        <v>1</v>
      </c>
    </row>
    <row r="1549" spans="1:8">
      <c r="A1549" s="46" t="s">
        <v>4728</v>
      </c>
      <c r="B1549" s="46" t="s">
        <v>4472</v>
      </c>
      <c r="C1549" s="46" t="s">
        <v>4728</v>
      </c>
      <c r="D1549" s="46" t="s">
        <v>4986</v>
      </c>
      <c r="E1549" s="46" cm="1">
        <f t="array" ref="E1549">tchrs_tesdanatlquali_agri_slaughteringop_diploma</f>
        <v>0</v>
      </c>
      <c r="F1549" s="46" t="b">
        <v>1</v>
      </c>
    </row>
    <row r="1550" spans="1:8" ht="16.5" thickBot="1">
      <c r="A1550" s="479" t="s">
        <v>4729</v>
      </c>
      <c r="B1550" s="479" t="s">
        <v>4472</v>
      </c>
      <c r="C1550" s="479" t="s">
        <v>4729</v>
      </c>
      <c r="D1550" s="479" t="s">
        <v>4987</v>
      </c>
      <c r="E1550" s="479" cm="1">
        <f t="array" ref="E1550">tchrs_tesdanatlquali_agri_slaughteringop_trainingmngt</f>
        <v>0</v>
      </c>
      <c r="F1550" s="479" t="b">
        <v>1</v>
      </c>
      <c r="G1550" s="479"/>
      <c r="H1550" s="479"/>
    </row>
    <row r="1551" spans="1:8" ht="16.5" thickTop="1">
      <c r="A1551" s="46" t="s">
        <v>4988</v>
      </c>
      <c r="B1551" s="46" t="s">
        <v>4472</v>
      </c>
      <c r="C1551" s="46" t="s">
        <v>4988</v>
      </c>
      <c r="D1551" s="46" t="s">
        <v>5204</v>
      </c>
      <c r="E1551" s="46" cm="1">
        <f t="array" ref="E1551">tchrs_tesdanatlquali_indus_autoservicing_nc1</f>
        <v>0</v>
      </c>
      <c r="F1551" s="46" t="b">
        <v>1</v>
      </c>
    </row>
    <row r="1552" spans="1:8">
      <c r="A1552" s="46" t="s">
        <v>4989</v>
      </c>
      <c r="B1552" s="46" t="s">
        <v>4472</v>
      </c>
      <c r="C1552" s="46" t="s">
        <v>4989</v>
      </c>
      <c r="D1552" s="46" t="s">
        <v>5205</v>
      </c>
      <c r="E1552" s="46" cm="1">
        <f t="array" ref="E1552">tchrs_tesdanatlquali_indus_autoservicing_nc2</f>
        <v>0</v>
      </c>
      <c r="F1552" s="46" t="b">
        <v>1</v>
      </c>
    </row>
    <row r="1553" spans="1:6">
      <c r="A1553" s="46" t="s">
        <v>4990</v>
      </c>
      <c r="B1553" s="46" t="s">
        <v>4472</v>
      </c>
      <c r="C1553" s="46" t="s">
        <v>4990</v>
      </c>
      <c r="D1553" s="46" t="s">
        <v>5206</v>
      </c>
      <c r="E1553" s="46" cm="1">
        <f t="array" ref="E1553">tchrs_tesdanatlquali_indus_autoservicing_nc3</f>
        <v>0</v>
      </c>
      <c r="F1553" s="46" t="b">
        <v>1</v>
      </c>
    </row>
    <row r="1554" spans="1:6">
      <c r="A1554" s="46" t="s">
        <v>4991</v>
      </c>
      <c r="B1554" s="46" t="s">
        <v>4472</v>
      </c>
      <c r="C1554" s="46" t="s">
        <v>4991</v>
      </c>
      <c r="D1554" s="46" t="s">
        <v>5207</v>
      </c>
      <c r="E1554" s="46" cm="1">
        <f t="array" ref="E1554">tchrs_tesdanatlquali_indus_autoservicing_nc4</f>
        <v>0</v>
      </c>
      <c r="F1554" s="46" t="b">
        <v>1</v>
      </c>
    </row>
    <row r="1555" spans="1:6">
      <c r="A1555" s="46" t="s">
        <v>4992</v>
      </c>
      <c r="B1555" s="46" t="s">
        <v>4472</v>
      </c>
      <c r="C1555" s="46" t="s">
        <v>4992</v>
      </c>
      <c r="D1555" s="46" t="s">
        <v>5208</v>
      </c>
      <c r="E1555" s="46" cm="1">
        <f t="array" ref="E1555">tchrs_tesdanatlquali_indus_autoservicing_diploma</f>
        <v>0</v>
      </c>
      <c r="F1555" s="46" t="b">
        <v>1</v>
      </c>
    </row>
    <row r="1556" spans="1:6">
      <c r="A1556" s="46" t="s">
        <v>4993</v>
      </c>
      <c r="B1556" s="46" t="s">
        <v>4472</v>
      </c>
      <c r="C1556" s="46" t="s">
        <v>4993</v>
      </c>
      <c r="D1556" s="46" t="s">
        <v>5209</v>
      </c>
      <c r="E1556" s="46" cm="1">
        <f t="array" ref="E1556">tchrs_tesdanatlquali_indus_autoservicing_trainingmngt</f>
        <v>0</v>
      </c>
      <c r="F1556" s="46" t="b">
        <v>1</v>
      </c>
    </row>
    <row r="1557" spans="1:6">
      <c r="A1557" s="46" t="s">
        <v>4994</v>
      </c>
      <c r="B1557" s="46" t="s">
        <v>4472</v>
      </c>
      <c r="C1557" s="46" t="s">
        <v>4994</v>
      </c>
      <c r="D1557" s="46" t="s">
        <v>5210</v>
      </c>
      <c r="E1557" s="46" cm="1">
        <f t="array" ref="E1557">tchrs_tesdanatlquali_indus_carpentry_nc1</f>
        <v>0</v>
      </c>
      <c r="F1557" s="46" t="b">
        <v>1</v>
      </c>
    </row>
    <row r="1558" spans="1:6">
      <c r="A1558" s="46" t="s">
        <v>4995</v>
      </c>
      <c r="B1558" s="46" t="s">
        <v>4472</v>
      </c>
      <c r="C1558" s="46" t="s">
        <v>4995</v>
      </c>
      <c r="D1558" s="46" t="s">
        <v>5211</v>
      </c>
      <c r="E1558" s="46" cm="1">
        <f t="array" ref="E1558">tchrs_tesdanatlquali_indus_carpentry_nc2</f>
        <v>1</v>
      </c>
      <c r="F1558" s="46" t="b">
        <v>1</v>
      </c>
    </row>
    <row r="1559" spans="1:6">
      <c r="A1559" s="46" t="s">
        <v>4996</v>
      </c>
      <c r="B1559" s="46" t="s">
        <v>4472</v>
      </c>
      <c r="C1559" s="46" t="s">
        <v>4996</v>
      </c>
      <c r="D1559" s="46" t="s">
        <v>5212</v>
      </c>
      <c r="E1559" s="46" cm="1">
        <f t="array" ref="E1559">tchrs_tesdanatlquali_indus_carpentry_nc3</f>
        <v>0</v>
      </c>
      <c r="F1559" s="46" t="b">
        <v>1</v>
      </c>
    </row>
    <row r="1560" spans="1:6">
      <c r="A1560" s="46" t="s">
        <v>4997</v>
      </c>
      <c r="B1560" s="46" t="s">
        <v>4472</v>
      </c>
      <c r="C1560" s="46" t="s">
        <v>4997</v>
      </c>
      <c r="D1560" s="46" t="s">
        <v>5213</v>
      </c>
      <c r="E1560" s="46" cm="1">
        <f t="array" ref="E1560">tchrs_tesdanatlquali_indus_carpentry_nc4</f>
        <v>0</v>
      </c>
      <c r="F1560" s="46" t="b">
        <v>1</v>
      </c>
    </row>
    <row r="1561" spans="1:6">
      <c r="A1561" s="46" t="s">
        <v>4998</v>
      </c>
      <c r="B1561" s="46" t="s">
        <v>4472</v>
      </c>
      <c r="C1561" s="46" t="s">
        <v>4998</v>
      </c>
      <c r="D1561" s="46" t="s">
        <v>5214</v>
      </c>
      <c r="E1561" s="46" cm="1">
        <f t="array" ref="E1561">tchrs_tesdanatlquali_indus_carpentry_diploma</f>
        <v>0</v>
      </c>
      <c r="F1561" s="46" t="b">
        <v>1</v>
      </c>
    </row>
    <row r="1562" spans="1:6">
      <c r="A1562" s="46" t="s">
        <v>4999</v>
      </c>
      <c r="B1562" s="46" t="s">
        <v>4472</v>
      </c>
      <c r="C1562" s="46" t="s">
        <v>4999</v>
      </c>
      <c r="D1562" s="46" t="s">
        <v>5215</v>
      </c>
      <c r="E1562" s="46" cm="1">
        <f t="array" ref="E1562">tchrs_tesdanatlquali_indus_carpentry_trainingmngt</f>
        <v>0</v>
      </c>
      <c r="F1562" s="46" t="b">
        <v>1</v>
      </c>
    </row>
    <row r="1563" spans="1:6">
      <c r="A1563" s="46" t="s">
        <v>5000</v>
      </c>
      <c r="B1563" s="46" t="s">
        <v>4472</v>
      </c>
      <c r="C1563" s="46" t="s">
        <v>5000</v>
      </c>
      <c r="D1563" s="46" t="s">
        <v>5216</v>
      </c>
      <c r="E1563" s="46" cm="1">
        <f t="array" ref="E1563">tchrs_tesdanatlquali_indus_constpainting_nc1</f>
        <v>0</v>
      </c>
      <c r="F1563" s="46" t="b">
        <v>1</v>
      </c>
    </row>
    <row r="1564" spans="1:6">
      <c r="A1564" s="46" t="s">
        <v>5001</v>
      </c>
      <c r="B1564" s="46" t="s">
        <v>4472</v>
      </c>
      <c r="C1564" s="46" t="s">
        <v>5001</v>
      </c>
      <c r="D1564" s="46" t="s">
        <v>5217</v>
      </c>
      <c r="E1564" s="46" cm="1">
        <f t="array" ref="E1564">tchrs_tesdanatlquali_indus_constpainting_nc2</f>
        <v>1</v>
      </c>
      <c r="F1564" s="46" t="b">
        <v>1</v>
      </c>
    </row>
    <row r="1565" spans="1:6">
      <c r="A1565" s="46" t="s">
        <v>5002</v>
      </c>
      <c r="B1565" s="46" t="s">
        <v>4472</v>
      </c>
      <c r="C1565" s="46" t="s">
        <v>5002</v>
      </c>
      <c r="D1565" s="46" t="s">
        <v>5218</v>
      </c>
      <c r="E1565" s="46" cm="1">
        <f t="array" ref="E1565">tchrs_tesdanatlquali_indus_constpainting_nc3</f>
        <v>0</v>
      </c>
      <c r="F1565" s="46" t="b">
        <v>1</v>
      </c>
    </row>
    <row r="1566" spans="1:6">
      <c r="A1566" s="46" t="s">
        <v>5003</v>
      </c>
      <c r="B1566" s="46" t="s">
        <v>4472</v>
      </c>
      <c r="C1566" s="46" t="s">
        <v>5003</v>
      </c>
      <c r="D1566" s="46" t="s">
        <v>5219</v>
      </c>
      <c r="E1566" s="46" cm="1">
        <f t="array" ref="E1566">tchrs_tesdanatlquali_indus_constpainting_nc4</f>
        <v>0</v>
      </c>
      <c r="F1566" s="46" t="b">
        <v>1</v>
      </c>
    </row>
    <row r="1567" spans="1:6">
      <c r="A1567" s="46" t="s">
        <v>5004</v>
      </c>
      <c r="B1567" s="46" t="s">
        <v>4472</v>
      </c>
      <c r="C1567" s="46" t="s">
        <v>5004</v>
      </c>
      <c r="D1567" s="46" t="s">
        <v>5220</v>
      </c>
      <c r="E1567" s="46" cm="1">
        <f t="array" ref="E1567">tchrs_tesdanatlquali_indus_constpainting_diploma</f>
        <v>0</v>
      </c>
      <c r="F1567" s="46" t="b">
        <v>1</v>
      </c>
    </row>
    <row r="1568" spans="1:6">
      <c r="A1568" s="46" t="s">
        <v>5005</v>
      </c>
      <c r="B1568" s="46" t="s">
        <v>4472</v>
      </c>
      <c r="C1568" s="46" t="s">
        <v>5005</v>
      </c>
      <c r="D1568" s="46" t="s">
        <v>5221</v>
      </c>
      <c r="E1568" s="46" cm="1">
        <f t="array" ref="E1568">tchrs_tesdanatlquali_indus_constpainting_trainingmngt</f>
        <v>0</v>
      </c>
      <c r="F1568" s="46" t="b">
        <v>1</v>
      </c>
    </row>
    <row r="1569" spans="1:6">
      <c r="A1569" s="46" t="s">
        <v>5006</v>
      </c>
      <c r="B1569" s="46" t="s">
        <v>4472</v>
      </c>
      <c r="C1569" s="46" t="s">
        <v>5006</v>
      </c>
      <c r="D1569" s="46" t="s">
        <v>5222</v>
      </c>
      <c r="E1569" s="46" cm="1">
        <f t="array" ref="E1569">tchrs_tesdanatlquali_indus_conselecsrvcng_nc1</f>
        <v>0</v>
      </c>
      <c r="F1569" s="46" t="b">
        <v>1</v>
      </c>
    </row>
    <row r="1570" spans="1:6">
      <c r="A1570" s="46" t="s">
        <v>5007</v>
      </c>
      <c r="B1570" s="46" t="s">
        <v>4472</v>
      </c>
      <c r="C1570" s="46" t="s">
        <v>5007</v>
      </c>
      <c r="D1570" s="46" t="s">
        <v>5223</v>
      </c>
      <c r="E1570" s="46" cm="1">
        <f t="array" ref="E1570">tchrs_tesdanatlquali_indus_conselecsrvcng_nc2</f>
        <v>0</v>
      </c>
      <c r="F1570" s="46" t="b">
        <v>1</v>
      </c>
    </row>
    <row r="1571" spans="1:6">
      <c r="A1571" s="46" t="s">
        <v>5008</v>
      </c>
      <c r="B1571" s="46" t="s">
        <v>4472</v>
      </c>
      <c r="C1571" s="46" t="s">
        <v>5008</v>
      </c>
      <c r="D1571" s="46" t="s">
        <v>5224</v>
      </c>
      <c r="E1571" s="46" cm="1">
        <f t="array" ref="E1571">tchrs_tesdanatlquali_indus_conselecsrvcng_nc3</f>
        <v>0</v>
      </c>
      <c r="F1571" s="46" t="b">
        <v>1</v>
      </c>
    </row>
    <row r="1572" spans="1:6">
      <c r="A1572" s="46" t="s">
        <v>5009</v>
      </c>
      <c r="B1572" s="46" t="s">
        <v>4472</v>
      </c>
      <c r="C1572" s="46" t="s">
        <v>5009</v>
      </c>
      <c r="D1572" s="46" t="s">
        <v>5225</v>
      </c>
      <c r="E1572" s="46" cm="1">
        <f t="array" ref="E1572">tchrs_tesdanatlquali_indus_conselecsrvcng_nc4</f>
        <v>0</v>
      </c>
      <c r="F1572" s="46" t="b">
        <v>1</v>
      </c>
    </row>
    <row r="1573" spans="1:6">
      <c r="A1573" s="46" t="s">
        <v>5010</v>
      </c>
      <c r="B1573" s="46" t="s">
        <v>4472</v>
      </c>
      <c r="C1573" s="46" t="s">
        <v>5010</v>
      </c>
      <c r="D1573" s="46" t="s">
        <v>5226</v>
      </c>
      <c r="E1573" s="46" cm="1">
        <f t="array" ref="E1573">tchrs_tesdanatlquali_indus_conselecsrvcng_diploma</f>
        <v>0</v>
      </c>
      <c r="F1573" s="46" t="b">
        <v>1</v>
      </c>
    </row>
    <row r="1574" spans="1:6">
      <c r="A1574" s="46" t="s">
        <v>5011</v>
      </c>
      <c r="B1574" s="46" t="s">
        <v>4472</v>
      </c>
      <c r="C1574" s="46" t="s">
        <v>5011</v>
      </c>
      <c r="D1574" s="46" t="s">
        <v>5227</v>
      </c>
      <c r="E1574" s="46" cm="1">
        <f t="array" ref="E1574">tchrs_tesdanatlquali_indus_conselecsrvcng_trainingmngt</f>
        <v>0</v>
      </c>
      <c r="F1574" s="46" t="b">
        <v>1</v>
      </c>
    </row>
    <row r="1575" spans="1:6">
      <c r="A1575" s="46" t="s">
        <v>5012</v>
      </c>
      <c r="B1575" s="46" t="s">
        <v>4472</v>
      </c>
      <c r="C1575" s="46" t="s">
        <v>5012</v>
      </c>
      <c r="D1575" s="46" t="s">
        <v>5228</v>
      </c>
      <c r="E1575" s="46" cm="1">
        <f t="array" ref="E1575">tchrs_tesdanatlquali_indus_domarcservicing_nc1</f>
        <v>0</v>
      </c>
      <c r="F1575" s="46" t="b">
        <v>1</v>
      </c>
    </row>
    <row r="1576" spans="1:6">
      <c r="A1576" s="46" t="s">
        <v>5013</v>
      </c>
      <c r="B1576" s="46" t="s">
        <v>4472</v>
      </c>
      <c r="C1576" s="46" t="s">
        <v>5013</v>
      </c>
      <c r="D1576" s="46" t="s">
        <v>5229</v>
      </c>
      <c r="E1576" s="46" cm="1">
        <f t="array" ref="E1576">tchrs_tesdanatlquali_indus_domarcservicing_nc2</f>
        <v>0</v>
      </c>
      <c r="F1576" s="46" t="b">
        <v>1</v>
      </c>
    </row>
    <row r="1577" spans="1:6">
      <c r="A1577" s="46" t="s">
        <v>5014</v>
      </c>
      <c r="B1577" s="46" t="s">
        <v>4472</v>
      </c>
      <c r="C1577" s="46" t="s">
        <v>5014</v>
      </c>
      <c r="D1577" s="46" t="s">
        <v>5230</v>
      </c>
      <c r="E1577" s="46" cm="1">
        <f t="array" ref="E1577">tchrs_tesdanatlquali_indus_domarcservicing_nc3</f>
        <v>0</v>
      </c>
      <c r="F1577" s="46" t="b">
        <v>1</v>
      </c>
    </row>
    <row r="1578" spans="1:6">
      <c r="A1578" s="46" t="s">
        <v>5015</v>
      </c>
      <c r="B1578" s="46" t="s">
        <v>4472</v>
      </c>
      <c r="C1578" s="46" t="s">
        <v>5015</v>
      </c>
      <c r="D1578" s="46" t="s">
        <v>5231</v>
      </c>
      <c r="E1578" s="46" cm="1">
        <f t="array" ref="E1578">tchrs_tesdanatlquali_indus_domarcservicing_nc4</f>
        <v>0</v>
      </c>
      <c r="F1578" s="46" t="b">
        <v>1</v>
      </c>
    </row>
    <row r="1579" spans="1:6">
      <c r="A1579" s="46" t="s">
        <v>5016</v>
      </c>
      <c r="B1579" s="46" t="s">
        <v>4472</v>
      </c>
      <c r="C1579" s="46" t="s">
        <v>5016</v>
      </c>
      <c r="D1579" s="46" t="s">
        <v>5232</v>
      </c>
      <c r="E1579" s="46" cm="1">
        <f t="array" ref="E1579">tchrs_tesdanatlquali_indus_domarcservicing_diploma</f>
        <v>0</v>
      </c>
      <c r="F1579" s="46" t="b">
        <v>1</v>
      </c>
    </row>
    <row r="1580" spans="1:6">
      <c r="A1580" s="46" t="s">
        <v>5017</v>
      </c>
      <c r="B1580" s="46" t="s">
        <v>4472</v>
      </c>
      <c r="C1580" s="46" t="s">
        <v>5017</v>
      </c>
      <c r="D1580" s="46" t="s">
        <v>5233</v>
      </c>
      <c r="E1580" s="46" cm="1">
        <f t="array" ref="E1580">tchrs_tesdanatlquali_indus_domarcservicing_trainingmngt</f>
        <v>0</v>
      </c>
      <c r="F1580" s="46" t="b">
        <v>1</v>
      </c>
    </row>
    <row r="1581" spans="1:6">
      <c r="A1581" s="46" t="s">
        <v>5018</v>
      </c>
      <c r="B1581" s="46" t="s">
        <v>4472</v>
      </c>
      <c r="C1581" s="46" t="s">
        <v>5018</v>
      </c>
      <c r="D1581" s="46" t="s">
        <v>5234</v>
      </c>
      <c r="E1581" s="46" cm="1">
        <f t="array" ref="E1581">tchrs_tesdanatlquali_indus_driving_nc1</f>
        <v>0</v>
      </c>
      <c r="F1581" s="46" t="b">
        <v>1</v>
      </c>
    </row>
    <row r="1582" spans="1:6">
      <c r="A1582" s="46" t="s">
        <v>5019</v>
      </c>
      <c r="B1582" s="46" t="s">
        <v>4472</v>
      </c>
      <c r="C1582" s="46" t="s">
        <v>5019</v>
      </c>
      <c r="D1582" s="46" t="s">
        <v>5235</v>
      </c>
      <c r="E1582" s="46" cm="1">
        <f t="array" ref="E1582">tchrs_tesdanatlquali_indus_driving_nc2</f>
        <v>2</v>
      </c>
      <c r="F1582" s="46" t="b">
        <v>1</v>
      </c>
    </row>
    <row r="1583" spans="1:6">
      <c r="A1583" s="46" t="s">
        <v>5020</v>
      </c>
      <c r="B1583" s="46" t="s">
        <v>4472</v>
      </c>
      <c r="C1583" s="46" t="s">
        <v>5020</v>
      </c>
      <c r="D1583" s="46" t="s">
        <v>5236</v>
      </c>
      <c r="E1583" s="46" cm="1">
        <f t="array" ref="E1583">tchrs_tesdanatlquali_indus_driving_nc3</f>
        <v>0</v>
      </c>
      <c r="F1583" s="46" t="b">
        <v>1</v>
      </c>
    </row>
    <row r="1584" spans="1:6">
      <c r="A1584" s="46" t="s">
        <v>5021</v>
      </c>
      <c r="B1584" s="46" t="s">
        <v>4472</v>
      </c>
      <c r="C1584" s="46" t="s">
        <v>5021</v>
      </c>
      <c r="D1584" s="46" t="s">
        <v>5237</v>
      </c>
      <c r="E1584" s="46" cm="1">
        <f t="array" ref="E1584">tchrs_tesdanatlquali_indus_driving_nc4</f>
        <v>0</v>
      </c>
      <c r="F1584" s="46" t="b">
        <v>1</v>
      </c>
    </row>
    <row r="1585" spans="1:6">
      <c r="A1585" s="46" t="s">
        <v>5022</v>
      </c>
      <c r="B1585" s="46" t="s">
        <v>4472</v>
      </c>
      <c r="C1585" s="46" t="s">
        <v>5022</v>
      </c>
      <c r="D1585" s="46" t="s">
        <v>5238</v>
      </c>
      <c r="E1585" s="46" cm="1">
        <f t="array" ref="E1585">tchrs_tesdanatlquali_indus_driving_diploma</f>
        <v>0</v>
      </c>
      <c r="F1585" s="46" t="b">
        <v>1</v>
      </c>
    </row>
    <row r="1586" spans="1:6">
      <c r="A1586" s="46" t="s">
        <v>5023</v>
      </c>
      <c r="B1586" s="46" t="s">
        <v>4472</v>
      </c>
      <c r="C1586" s="46" t="s">
        <v>5023</v>
      </c>
      <c r="D1586" s="46" t="s">
        <v>5239</v>
      </c>
      <c r="E1586" s="46" cm="1">
        <f t="array" ref="E1586">tchrs_tesdanatlquali_indus_driving_trainingmngt</f>
        <v>0</v>
      </c>
      <c r="F1586" s="46" t="b">
        <v>1</v>
      </c>
    </row>
    <row r="1587" spans="1:6">
      <c r="A1587" s="46" t="s">
        <v>5024</v>
      </c>
      <c r="B1587" s="46" t="s">
        <v>4472</v>
      </c>
      <c r="C1587" s="46" t="s">
        <v>5024</v>
      </c>
      <c r="D1587" s="46" t="s">
        <v>5240</v>
      </c>
      <c r="E1587" s="46" cm="1">
        <f t="array" ref="E1587">tchrs_tesdanatlquali_indus_electricpower_nc1</f>
        <v>0</v>
      </c>
      <c r="F1587" s="46" t="b">
        <v>1</v>
      </c>
    </row>
    <row r="1588" spans="1:6">
      <c r="A1588" s="46" t="s">
        <v>5025</v>
      </c>
      <c r="B1588" s="46" t="s">
        <v>4472</v>
      </c>
      <c r="C1588" s="46" t="s">
        <v>5025</v>
      </c>
      <c r="D1588" s="46" t="s">
        <v>5241</v>
      </c>
      <c r="E1588" s="46" cm="1">
        <f t="array" ref="E1588">tchrs_tesdanatlquali_indus_electricpower_nc2</f>
        <v>0</v>
      </c>
      <c r="F1588" s="46" t="b">
        <v>1</v>
      </c>
    </row>
    <row r="1589" spans="1:6">
      <c r="A1589" s="46" t="s">
        <v>5026</v>
      </c>
      <c r="B1589" s="46" t="s">
        <v>4472</v>
      </c>
      <c r="C1589" s="46" t="s">
        <v>5026</v>
      </c>
      <c r="D1589" s="46" t="s">
        <v>5242</v>
      </c>
      <c r="E1589" s="46" cm="1">
        <f t="array" ref="E1589">tchrs_tesdanatlquali_indus_electricpower_nc3</f>
        <v>0</v>
      </c>
      <c r="F1589" s="46" t="b">
        <v>1</v>
      </c>
    </row>
    <row r="1590" spans="1:6">
      <c r="A1590" s="46" t="s">
        <v>5027</v>
      </c>
      <c r="B1590" s="46" t="s">
        <v>4472</v>
      </c>
      <c r="C1590" s="46" t="s">
        <v>5027</v>
      </c>
      <c r="D1590" s="46" t="s">
        <v>5243</v>
      </c>
      <c r="E1590" s="46" cm="1">
        <f t="array" ref="E1590">tchrs_tesdanatlquali_indus_electricpower_nc4</f>
        <v>0</v>
      </c>
      <c r="F1590" s="46" t="b">
        <v>1</v>
      </c>
    </row>
    <row r="1591" spans="1:6">
      <c r="A1591" s="46" t="s">
        <v>5028</v>
      </c>
      <c r="B1591" s="46" t="s">
        <v>4472</v>
      </c>
      <c r="C1591" s="46" t="s">
        <v>5028</v>
      </c>
      <c r="D1591" s="46" t="s">
        <v>5244</v>
      </c>
      <c r="E1591" s="46" cm="1">
        <f t="array" ref="E1591">tchrs_tesdanatlquali_indus_electricpower_diploma</f>
        <v>0</v>
      </c>
      <c r="F1591" s="46" t="b">
        <v>1</v>
      </c>
    </row>
    <row r="1592" spans="1:6">
      <c r="A1592" s="46" t="s">
        <v>5029</v>
      </c>
      <c r="B1592" s="46" t="s">
        <v>4472</v>
      </c>
      <c r="C1592" s="46" t="s">
        <v>5029</v>
      </c>
      <c r="D1592" s="46" t="s">
        <v>5245</v>
      </c>
      <c r="E1592" s="46" cm="1">
        <f t="array" ref="E1592">tchrs_tesdanatlquali_indus_electricpower_trainingmngt</f>
        <v>0</v>
      </c>
      <c r="F1592" s="46" t="b">
        <v>1</v>
      </c>
    </row>
    <row r="1593" spans="1:6">
      <c r="A1593" s="46" t="s">
        <v>5030</v>
      </c>
      <c r="B1593" s="46" t="s">
        <v>4472</v>
      </c>
      <c r="C1593" s="46" t="s">
        <v>5030</v>
      </c>
      <c r="D1593" s="46" t="s">
        <v>5246</v>
      </c>
      <c r="E1593" s="46" cm="1">
        <f t="array" ref="E1593">tchrs_tesdanatlquali_indus_electroprod_nc1</f>
        <v>0</v>
      </c>
      <c r="F1593" s="46" t="b">
        <v>1</v>
      </c>
    </row>
    <row r="1594" spans="1:6">
      <c r="A1594" s="46" t="s">
        <v>5031</v>
      </c>
      <c r="B1594" s="46" t="s">
        <v>4472</v>
      </c>
      <c r="C1594" s="46" t="s">
        <v>5031</v>
      </c>
      <c r="D1594" s="46" t="s">
        <v>5247</v>
      </c>
      <c r="E1594" s="46" cm="1">
        <f t="array" ref="E1594">tchrs_tesdanatlquali_indus_electroprod_nc2</f>
        <v>2</v>
      </c>
      <c r="F1594" s="46" t="b">
        <v>1</v>
      </c>
    </row>
    <row r="1595" spans="1:6">
      <c r="A1595" s="46" t="s">
        <v>5032</v>
      </c>
      <c r="B1595" s="46" t="s">
        <v>4472</v>
      </c>
      <c r="C1595" s="46" t="s">
        <v>5032</v>
      </c>
      <c r="D1595" s="46" t="s">
        <v>5248</v>
      </c>
      <c r="E1595" s="46" cm="1">
        <f t="array" ref="E1595">tchrs_tesdanatlquali_indus_electroprod_nc3</f>
        <v>0</v>
      </c>
      <c r="F1595" s="46" t="b">
        <v>1</v>
      </c>
    </row>
    <row r="1596" spans="1:6">
      <c r="A1596" s="46" t="s">
        <v>5033</v>
      </c>
      <c r="B1596" s="46" t="s">
        <v>4472</v>
      </c>
      <c r="C1596" s="46" t="s">
        <v>5033</v>
      </c>
      <c r="D1596" s="46" t="s">
        <v>5249</v>
      </c>
      <c r="E1596" s="46" cm="1">
        <f t="array" ref="E1596">tchrs_tesdanatlquali_indus_electroprod_nc4</f>
        <v>0</v>
      </c>
      <c r="F1596" s="46" t="b">
        <v>1</v>
      </c>
    </row>
    <row r="1597" spans="1:6">
      <c r="A1597" s="46" t="s">
        <v>5034</v>
      </c>
      <c r="B1597" s="46" t="s">
        <v>4472</v>
      </c>
      <c r="C1597" s="46" t="s">
        <v>5034</v>
      </c>
      <c r="D1597" s="46" t="s">
        <v>5250</v>
      </c>
      <c r="E1597" s="46" cm="1">
        <f t="array" ref="E1597">tchrs_tesdanatlquali_indus_electroprod_diploma</f>
        <v>0</v>
      </c>
      <c r="F1597" s="46" t="b">
        <v>1</v>
      </c>
    </row>
    <row r="1598" spans="1:6">
      <c r="A1598" s="46" t="s">
        <v>5035</v>
      </c>
      <c r="B1598" s="46" t="s">
        <v>4472</v>
      </c>
      <c r="C1598" s="46" t="s">
        <v>5035</v>
      </c>
      <c r="D1598" s="46" t="s">
        <v>5251</v>
      </c>
      <c r="E1598" s="46" cm="1">
        <f t="array" ref="E1598">tchrs_tesdanatlquali_indus_electroprod_trainingmngt</f>
        <v>0</v>
      </c>
      <c r="F1598" s="46" t="b">
        <v>1</v>
      </c>
    </row>
    <row r="1599" spans="1:6">
      <c r="A1599" s="46" t="s">
        <v>5036</v>
      </c>
      <c r="B1599" s="46" t="s">
        <v>4472</v>
      </c>
      <c r="C1599" s="46" t="s">
        <v>5036</v>
      </c>
      <c r="D1599" s="46" t="s">
        <v>5252</v>
      </c>
      <c r="E1599" s="46" cm="1">
        <f t="array" ref="E1599">tchrs_tesdanatlquali_indus_electricinst_nc1</f>
        <v>0</v>
      </c>
      <c r="F1599" s="46" t="b">
        <v>1</v>
      </c>
    </row>
    <row r="1600" spans="1:6">
      <c r="A1600" s="46" t="s">
        <v>5037</v>
      </c>
      <c r="B1600" s="46" t="s">
        <v>4472</v>
      </c>
      <c r="C1600" s="46" t="s">
        <v>5037</v>
      </c>
      <c r="D1600" s="46" t="s">
        <v>5253</v>
      </c>
      <c r="E1600" s="46" cm="1">
        <f t="array" ref="E1600">tchrs_tesdanatlquali_indus_electricinst_nc2</f>
        <v>2</v>
      </c>
      <c r="F1600" s="46" t="b">
        <v>1</v>
      </c>
    </row>
    <row r="1601" spans="1:6">
      <c r="A1601" s="46" t="s">
        <v>5038</v>
      </c>
      <c r="B1601" s="46" t="s">
        <v>4472</v>
      </c>
      <c r="C1601" s="46" t="s">
        <v>5038</v>
      </c>
      <c r="D1601" s="46" t="s">
        <v>5254</v>
      </c>
      <c r="E1601" s="46" cm="1">
        <f t="array" ref="E1601">tchrs_tesdanatlquali_indus_electricinst_nc3</f>
        <v>0</v>
      </c>
      <c r="F1601" s="46" t="b">
        <v>1</v>
      </c>
    </row>
    <row r="1602" spans="1:6">
      <c r="A1602" s="46" t="s">
        <v>5039</v>
      </c>
      <c r="B1602" s="46" t="s">
        <v>4472</v>
      </c>
      <c r="C1602" s="46" t="s">
        <v>5039</v>
      </c>
      <c r="D1602" s="46" t="s">
        <v>5255</v>
      </c>
      <c r="E1602" s="46" cm="1">
        <f t="array" ref="E1602">tchrs_tesdanatlquali_indus_electricinst_nc4</f>
        <v>0</v>
      </c>
      <c r="F1602" s="46" t="b">
        <v>1</v>
      </c>
    </row>
    <row r="1603" spans="1:6">
      <c r="A1603" s="46" t="s">
        <v>5040</v>
      </c>
      <c r="B1603" s="46" t="s">
        <v>4472</v>
      </c>
      <c r="C1603" s="46" t="s">
        <v>5040</v>
      </c>
      <c r="D1603" s="46" t="s">
        <v>5256</v>
      </c>
      <c r="E1603" s="46" cm="1">
        <f t="array" ref="E1603">tchrs_tesdanatlquali_indus_electricinst_diploma</f>
        <v>0</v>
      </c>
      <c r="F1603" s="46" t="b">
        <v>1</v>
      </c>
    </row>
    <row r="1604" spans="1:6">
      <c r="A1604" s="46" t="s">
        <v>5041</v>
      </c>
      <c r="B1604" s="46" t="s">
        <v>4472</v>
      </c>
      <c r="C1604" s="46" t="s">
        <v>5041</v>
      </c>
      <c r="D1604" s="46" t="s">
        <v>5257</v>
      </c>
      <c r="E1604" s="46" cm="1">
        <f t="array" ref="E1604">tchrs_tesdanatlquali_indus_electricinst_trainingmngt</f>
        <v>0</v>
      </c>
      <c r="F1604" s="46" t="b">
        <v>1</v>
      </c>
    </row>
    <row r="1605" spans="1:6">
      <c r="A1605" s="46" t="s">
        <v>5042</v>
      </c>
      <c r="B1605" s="46" t="s">
        <v>4472</v>
      </c>
      <c r="C1605" s="46" t="s">
        <v>5042</v>
      </c>
      <c r="D1605" s="46" t="s">
        <v>5258</v>
      </c>
      <c r="E1605" s="46" cm="1">
        <f t="array" ref="E1605">tchrs_tesdanatlquali_indus_furnituremkng_nc1</f>
        <v>0</v>
      </c>
      <c r="F1605" s="46" t="b">
        <v>1</v>
      </c>
    </row>
    <row r="1606" spans="1:6">
      <c r="A1606" s="46" t="s">
        <v>5043</v>
      </c>
      <c r="B1606" s="46" t="s">
        <v>4472</v>
      </c>
      <c r="C1606" s="46" t="s">
        <v>5043</v>
      </c>
      <c r="D1606" s="46" t="s">
        <v>5259</v>
      </c>
      <c r="E1606" s="46" cm="1">
        <f t="array" ref="E1606">tchrs_tesdanatlquali_indus_furnituremkng_nc2</f>
        <v>0</v>
      </c>
      <c r="F1606" s="46" t="b">
        <v>1</v>
      </c>
    </row>
    <row r="1607" spans="1:6">
      <c r="A1607" s="46" t="s">
        <v>5044</v>
      </c>
      <c r="B1607" s="46" t="s">
        <v>4472</v>
      </c>
      <c r="C1607" s="46" t="s">
        <v>5044</v>
      </c>
      <c r="D1607" s="46" t="s">
        <v>5260</v>
      </c>
      <c r="E1607" s="46" cm="1">
        <f t="array" ref="E1607">tchrs_tesdanatlquali_indus_furnituremkng_nc3</f>
        <v>0</v>
      </c>
      <c r="F1607" s="46" t="b">
        <v>1</v>
      </c>
    </row>
    <row r="1608" spans="1:6">
      <c r="A1608" s="46" t="s">
        <v>5045</v>
      </c>
      <c r="B1608" s="46" t="s">
        <v>4472</v>
      </c>
      <c r="C1608" s="46" t="s">
        <v>5045</v>
      </c>
      <c r="D1608" s="46" t="s">
        <v>5261</v>
      </c>
      <c r="E1608" s="46" cm="1">
        <f t="array" ref="E1608">tchrs_tesdanatlquali_indus_furnituremkng_nc4</f>
        <v>0</v>
      </c>
      <c r="F1608" s="46" t="b">
        <v>1</v>
      </c>
    </row>
    <row r="1609" spans="1:6">
      <c r="A1609" s="46" t="s">
        <v>5046</v>
      </c>
      <c r="B1609" s="46" t="s">
        <v>4472</v>
      </c>
      <c r="C1609" s="46" t="s">
        <v>5046</v>
      </c>
      <c r="D1609" s="46" t="s">
        <v>5262</v>
      </c>
      <c r="E1609" s="46" cm="1">
        <f t="array" ref="E1609">tchrs_tesdanatlquali_indus_furnituremkng_diploma</f>
        <v>0</v>
      </c>
      <c r="F1609" s="46" t="b">
        <v>1</v>
      </c>
    </row>
    <row r="1610" spans="1:6">
      <c r="A1610" s="46" t="s">
        <v>5047</v>
      </c>
      <c r="B1610" s="46" t="s">
        <v>4472</v>
      </c>
      <c r="C1610" s="46" t="s">
        <v>5047</v>
      </c>
      <c r="D1610" s="46" t="s">
        <v>5263</v>
      </c>
      <c r="E1610" s="46" cm="1">
        <f t="array" ref="E1610">tchrs_tesdanatlquali_indus_furnituremkng_trainingmngt</f>
        <v>0</v>
      </c>
      <c r="F1610" s="46" t="b">
        <v>1</v>
      </c>
    </row>
    <row r="1611" spans="1:6">
      <c r="A1611" s="46" t="s">
        <v>5048</v>
      </c>
      <c r="B1611" s="46" t="s">
        <v>4472</v>
      </c>
      <c r="C1611" s="46" t="s">
        <v>5048</v>
      </c>
      <c r="D1611" s="46" t="s">
        <v>5264</v>
      </c>
      <c r="E1611" s="46" cm="1">
        <f t="array" ref="E1611">tchrs_tesdanatlquali_indus_instncontrol_nc1</f>
        <v>0</v>
      </c>
      <c r="F1611" s="46" t="b">
        <v>1</v>
      </c>
    </row>
    <row r="1612" spans="1:6">
      <c r="A1612" s="46" t="s">
        <v>5049</v>
      </c>
      <c r="B1612" s="46" t="s">
        <v>4472</v>
      </c>
      <c r="C1612" s="46" t="s">
        <v>5049</v>
      </c>
      <c r="D1612" s="46" t="s">
        <v>5265</v>
      </c>
      <c r="E1612" s="46" cm="1">
        <f t="array" ref="E1612">tchrs_tesdanatlquali_indus_instncontrol_nc2</f>
        <v>0</v>
      </c>
      <c r="F1612" s="46" t="b">
        <v>1</v>
      </c>
    </row>
    <row r="1613" spans="1:6">
      <c r="A1613" s="46" t="s">
        <v>5050</v>
      </c>
      <c r="B1613" s="46" t="s">
        <v>4472</v>
      </c>
      <c r="C1613" s="46" t="s">
        <v>5050</v>
      </c>
      <c r="D1613" s="46" t="s">
        <v>5266</v>
      </c>
      <c r="E1613" s="46" cm="1">
        <f t="array" ref="E1613">tchrs_tesdanatlquali_indus_instncontrol_nc3</f>
        <v>0</v>
      </c>
      <c r="F1613" s="46" t="b">
        <v>1</v>
      </c>
    </row>
    <row r="1614" spans="1:6">
      <c r="A1614" s="46" t="s">
        <v>5051</v>
      </c>
      <c r="B1614" s="46" t="s">
        <v>4472</v>
      </c>
      <c r="C1614" s="46" t="s">
        <v>5051</v>
      </c>
      <c r="D1614" s="46" t="s">
        <v>5267</v>
      </c>
      <c r="E1614" s="46" cm="1">
        <f t="array" ref="E1614">tchrs_tesdanatlquali_indus_instncontrol_nc4</f>
        <v>0</v>
      </c>
      <c r="F1614" s="46" t="b">
        <v>1</v>
      </c>
    </row>
    <row r="1615" spans="1:6">
      <c r="A1615" s="46" t="s">
        <v>5052</v>
      </c>
      <c r="B1615" s="46" t="s">
        <v>4472</v>
      </c>
      <c r="C1615" s="46" t="s">
        <v>5052</v>
      </c>
      <c r="D1615" s="46" t="s">
        <v>5268</v>
      </c>
      <c r="E1615" s="46" cm="1">
        <f t="array" ref="E1615">tchrs_tesdanatlquali_indus_instncontrol_diploma</f>
        <v>0</v>
      </c>
      <c r="F1615" s="46" t="b">
        <v>1</v>
      </c>
    </row>
    <row r="1616" spans="1:6">
      <c r="A1616" s="46" t="s">
        <v>5053</v>
      </c>
      <c r="B1616" s="46" t="s">
        <v>4472</v>
      </c>
      <c r="C1616" s="46" t="s">
        <v>5053</v>
      </c>
      <c r="D1616" s="46" t="s">
        <v>5269</v>
      </c>
      <c r="E1616" s="46" cm="1">
        <f t="array" ref="E1616">tchrs_tesdanatlquali_indus_instncontrol_trainingmngt</f>
        <v>0</v>
      </c>
      <c r="F1616" s="46" t="b">
        <v>1</v>
      </c>
    </row>
    <row r="1617" spans="1:6">
      <c r="A1617" s="46" t="s">
        <v>5054</v>
      </c>
      <c r="B1617" s="46" t="s">
        <v>4472</v>
      </c>
      <c r="C1617" s="46" t="s">
        <v>5054</v>
      </c>
      <c r="D1617" s="46" t="s">
        <v>5270</v>
      </c>
      <c r="E1617" s="46" cm="1">
        <f t="array" ref="E1617">tchrs_tesdanatlquali_indus_gmaw_nc1</f>
        <v>0</v>
      </c>
      <c r="F1617" s="46" t="b">
        <v>1</v>
      </c>
    </row>
    <row r="1618" spans="1:6">
      <c r="A1618" s="46" t="s">
        <v>5055</v>
      </c>
      <c r="B1618" s="46" t="s">
        <v>4472</v>
      </c>
      <c r="C1618" s="46" t="s">
        <v>5055</v>
      </c>
      <c r="D1618" s="46" t="s">
        <v>5271</v>
      </c>
      <c r="E1618" s="46" cm="1">
        <f t="array" ref="E1618">tchrs_tesdanatlquali_indus_gmaw_nc2</f>
        <v>0</v>
      </c>
      <c r="F1618" s="46" t="b">
        <v>1</v>
      </c>
    </row>
    <row r="1619" spans="1:6">
      <c r="A1619" s="46" t="s">
        <v>5056</v>
      </c>
      <c r="B1619" s="46" t="s">
        <v>4472</v>
      </c>
      <c r="C1619" s="46" t="s">
        <v>5056</v>
      </c>
      <c r="D1619" s="46" t="s">
        <v>5272</v>
      </c>
      <c r="E1619" s="46" cm="1">
        <f t="array" ref="E1619">tchrs_tesdanatlquali_indus_gmaw_nc3</f>
        <v>0</v>
      </c>
      <c r="F1619" s="46" t="b">
        <v>1</v>
      </c>
    </row>
    <row r="1620" spans="1:6">
      <c r="A1620" s="46" t="s">
        <v>5057</v>
      </c>
      <c r="B1620" s="46" t="s">
        <v>4472</v>
      </c>
      <c r="C1620" s="46" t="s">
        <v>5057</v>
      </c>
      <c r="D1620" s="46" t="s">
        <v>5273</v>
      </c>
      <c r="E1620" s="46" cm="1">
        <f t="array" ref="E1620">tchrs_tesdanatlquali_indus_gmaw_nc4</f>
        <v>0</v>
      </c>
      <c r="F1620" s="46" t="b">
        <v>1</v>
      </c>
    </row>
    <row r="1621" spans="1:6">
      <c r="A1621" s="46" t="s">
        <v>5058</v>
      </c>
      <c r="B1621" s="46" t="s">
        <v>4472</v>
      </c>
      <c r="C1621" s="46" t="s">
        <v>5058</v>
      </c>
      <c r="D1621" s="46" t="s">
        <v>5274</v>
      </c>
      <c r="E1621" s="46" cm="1">
        <f t="array" ref="E1621">tchrs_tesdanatlquali_indus_gmaw_diploma</f>
        <v>0</v>
      </c>
      <c r="F1621" s="46" t="b">
        <v>1</v>
      </c>
    </row>
    <row r="1622" spans="1:6">
      <c r="A1622" s="46" t="s">
        <v>5059</v>
      </c>
      <c r="B1622" s="46" t="s">
        <v>4472</v>
      </c>
      <c r="C1622" s="46" t="s">
        <v>5059</v>
      </c>
      <c r="D1622" s="46" t="s">
        <v>5275</v>
      </c>
      <c r="E1622" s="46" cm="1">
        <f t="array" ref="E1622">tchrs_tesdanatlquali_indus_gmaw_trainingmngt</f>
        <v>0</v>
      </c>
      <c r="F1622" s="46" t="b">
        <v>1</v>
      </c>
    </row>
    <row r="1623" spans="1:6">
      <c r="A1623" s="46" t="s">
        <v>5060</v>
      </c>
      <c r="B1623" s="46" t="s">
        <v>4472</v>
      </c>
      <c r="C1623" s="46" t="s">
        <v>5060</v>
      </c>
      <c r="D1623" s="46" t="s">
        <v>5276</v>
      </c>
      <c r="E1623" s="46" cm="1">
        <f t="array" ref="E1623">tchrs_tesdanatlquali_indus_gtaw_nc1</f>
        <v>0</v>
      </c>
      <c r="F1623" s="46" t="b">
        <v>1</v>
      </c>
    </row>
    <row r="1624" spans="1:6">
      <c r="A1624" s="46" t="s">
        <v>5061</v>
      </c>
      <c r="B1624" s="46" t="s">
        <v>4472</v>
      </c>
      <c r="C1624" s="46" t="s">
        <v>5061</v>
      </c>
      <c r="D1624" s="46" t="s">
        <v>5277</v>
      </c>
      <c r="E1624" s="46" cm="1">
        <f t="array" ref="E1624">tchrs_tesdanatlquali_indus_gtaw_nc2</f>
        <v>0</v>
      </c>
      <c r="F1624" s="46" t="b">
        <v>1</v>
      </c>
    </row>
    <row r="1625" spans="1:6">
      <c r="A1625" s="46" t="s">
        <v>5062</v>
      </c>
      <c r="B1625" s="46" t="s">
        <v>4472</v>
      </c>
      <c r="C1625" s="46" t="s">
        <v>5062</v>
      </c>
      <c r="D1625" s="46" t="s">
        <v>5278</v>
      </c>
      <c r="E1625" s="46" cm="1">
        <f t="array" ref="E1625">tchrs_tesdanatlquali_indus_gtaw_nc3</f>
        <v>0</v>
      </c>
      <c r="F1625" s="46" t="b">
        <v>1</v>
      </c>
    </row>
    <row r="1626" spans="1:6">
      <c r="A1626" s="46" t="s">
        <v>5063</v>
      </c>
      <c r="B1626" s="46" t="s">
        <v>4472</v>
      </c>
      <c r="C1626" s="46" t="s">
        <v>5063</v>
      </c>
      <c r="D1626" s="46" t="s">
        <v>5279</v>
      </c>
      <c r="E1626" s="46" cm="1">
        <f t="array" ref="E1626">tchrs_tesdanatlquali_indus_gtaw_nc4</f>
        <v>0</v>
      </c>
      <c r="F1626" s="46" t="b">
        <v>1</v>
      </c>
    </row>
    <row r="1627" spans="1:6">
      <c r="A1627" s="46" t="s">
        <v>5064</v>
      </c>
      <c r="B1627" s="46" t="s">
        <v>4472</v>
      </c>
      <c r="C1627" s="46" t="s">
        <v>5064</v>
      </c>
      <c r="D1627" s="46" t="s">
        <v>5280</v>
      </c>
      <c r="E1627" s="46" cm="1">
        <f t="array" ref="E1627">tchrs_tesdanatlquali_indus_gtaw_diploma</f>
        <v>0</v>
      </c>
      <c r="F1627" s="46" t="b">
        <v>1</v>
      </c>
    </row>
    <row r="1628" spans="1:6">
      <c r="A1628" s="46" t="s">
        <v>5065</v>
      </c>
      <c r="B1628" s="46" t="s">
        <v>4472</v>
      </c>
      <c r="C1628" s="46" t="s">
        <v>5065</v>
      </c>
      <c r="D1628" s="46" t="s">
        <v>5281</v>
      </c>
      <c r="E1628" s="46" cm="1">
        <f t="array" ref="E1628">tchrs_tesdanatlquali_indus_gtaw_trainingmngt</f>
        <v>0</v>
      </c>
      <c r="F1628" s="46" t="b">
        <v>1</v>
      </c>
    </row>
    <row r="1629" spans="1:6">
      <c r="A1629" s="46" t="s">
        <v>5066</v>
      </c>
      <c r="B1629" s="46" t="s">
        <v>4472</v>
      </c>
      <c r="C1629" s="46" t="s">
        <v>5066</v>
      </c>
      <c r="D1629" s="46" t="s">
        <v>5282</v>
      </c>
      <c r="E1629" s="46" cm="1">
        <f t="array" ref="E1629">tchrs_tesdanatlquali_indus_machining_nc1</f>
        <v>0</v>
      </c>
      <c r="F1629" s="46" t="b">
        <v>1</v>
      </c>
    </row>
    <row r="1630" spans="1:6">
      <c r="A1630" s="46" t="s">
        <v>5067</v>
      </c>
      <c r="B1630" s="46" t="s">
        <v>4472</v>
      </c>
      <c r="C1630" s="46" t="s">
        <v>5067</v>
      </c>
      <c r="D1630" s="46" t="s">
        <v>5283</v>
      </c>
      <c r="E1630" s="46" cm="1">
        <f t="array" ref="E1630">tchrs_tesdanatlquali_indus_machining_nc2</f>
        <v>0</v>
      </c>
      <c r="F1630" s="46" t="b">
        <v>1</v>
      </c>
    </row>
    <row r="1631" spans="1:6">
      <c r="A1631" s="46" t="s">
        <v>5068</v>
      </c>
      <c r="B1631" s="46" t="s">
        <v>4472</v>
      </c>
      <c r="C1631" s="46" t="s">
        <v>5068</v>
      </c>
      <c r="D1631" s="46" t="s">
        <v>5284</v>
      </c>
      <c r="E1631" s="46" cm="1">
        <f t="array" ref="E1631">tchrs_tesdanatlquali_indus_machining_nc3</f>
        <v>0</v>
      </c>
      <c r="F1631" s="46" t="b">
        <v>1</v>
      </c>
    </row>
    <row r="1632" spans="1:6">
      <c r="A1632" s="46" t="s">
        <v>5069</v>
      </c>
      <c r="B1632" s="46" t="s">
        <v>4472</v>
      </c>
      <c r="C1632" s="46" t="s">
        <v>5069</v>
      </c>
      <c r="D1632" s="46" t="s">
        <v>5285</v>
      </c>
      <c r="E1632" s="46" cm="1">
        <f t="array" ref="E1632">tchrs_tesdanatlquali_indus_machining_nc4</f>
        <v>0</v>
      </c>
      <c r="F1632" s="46" t="b">
        <v>1</v>
      </c>
    </row>
    <row r="1633" spans="1:6">
      <c r="A1633" s="46" t="s">
        <v>5070</v>
      </c>
      <c r="B1633" s="46" t="s">
        <v>4472</v>
      </c>
      <c r="C1633" s="46" t="s">
        <v>5070</v>
      </c>
      <c r="D1633" s="46" t="s">
        <v>5286</v>
      </c>
      <c r="E1633" s="46" cm="1">
        <f t="array" ref="E1633">tchrs_tesdanatlquali_indus_machining_diploma</f>
        <v>0</v>
      </c>
      <c r="F1633" s="46" t="b">
        <v>1</v>
      </c>
    </row>
    <row r="1634" spans="1:6">
      <c r="A1634" s="46" t="s">
        <v>5071</v>
      </c>
      <c r="B1634" s="46" t="s">
        <v>4472</v>
      </c>
      <c r="C1634" s="46" t="s">
        <v>5071</v>
      </c>
      <c r="D1634" s="46" t="s">
        <v>5287</v>
      </c>
      <c r="E1634" s="46" cm="1">
        <f t="array" ref="E1634">tchrs_tesdanatlquali_indus_machining_trainingmngt</f>
        <v>0</v>
      </c>
      <c r="F1634" s="46" t="b">
        <v>1</v>
      </c>
    </row>
    <row r="1635" spans="1:6">
      <c r="A1635" s="46" t="s">
        <v>5072</v>
      </c>
      <c r="B1635" s="46" t="s">
        <v>4472</v>
      </c>
      <c r="C1635" s="46" t="s">
        <v>5072</v>
      </c>
      <c r="D1635" s="46" t="s">
        <v>5288</v>
      </c>
      <c r="E1635" s="46" cm="1">
        <f t="array" ref="E1635">tchrs_tesdanatlquali_indus_masonry_nc1</f>
        <v>0</v>
      </c>
      <c r="F1635" s="46" t="b">
        <v>1</v>
      </c>
    </row>
    <row r="1636" spans="1:6">
      <c r="A1636" s="46" t="s">
        <v>5073</v>
      </c>
      <c r="B1636" s="46" t="s">
        <v>4472</v>
      </c>
      <c r="C1636" s="46" t="s">
        <v>5073</v>
      </c>
      <c r="D1636" s="46" t="s">
        <v>5289</v>
      </c>
      <c r="E1636" s="46" cm="1">
        <f t="array" ref="E1636">tchrs_tesdanatlquali_indus_masonry_nc2</f>
        <v>1</v>
      </c>
      <c r="F1636" s="46" t="b">
        <v>1</v>
      </c>
    </row>
    <row r="1637" spans="1:6">
      <c r="A1637" s="46" t="s">
        <v>5074</v>
      </c>
      <c r="B1637" s="46" t="s">
        <v>4472</v>
      </c>
      <c r="C1637" s="46" t="s">
        <v>5074</v>
      </c>
      <c r="D1637" s="46" t="s">
        <v>5290</v>
      </c>
      <c r="E1637" s="46" cm="1">
        <f t="array" ref="E1637">tchrs_tesdanatlquali_indus_masonry_nc3</f>
        <v>0</v>
      </c>
      <c r="F1637" s="46" t="b">
        <v>1</v>
      </c>
    </row>
    <row r="1638" spans="1:6">
      <c r="A1638" s="46" t="s">
        <v>5075</v>
      </c>
      <c r="B1638" s="46" t="s">
        <v>4472</v>
      </c>
      <c r="C1638" s="46" t="s">
        <v>5075</v>
      </c>
      <c r="D1638" s="46" t="s">
        <v>5291</v>
      </c>
      <c r="E1638" s="46" cm="1">
        <f t="array" ref="E1638">tchrs_tesdanatlquali_indus_masonry_nc4</f>
        <v>0</v>
      </c>
      <c r="F1638" s="46" t="b">
        <v>1</v>
      </c>
    </row>
    <row r="1639" spans="1:6">
      <c r="A1639" s="46" t="s">
        <v>5076</v>
      </c>
      <c r="B1639" s="46" t="s">
        <v>4472</v>
      </c>
      <c r="C1639" s="46" t="s">
        <v>5076</v>
      </c>
      <c r="D1639" s="46" t="s">
        <v>5292</v>
      </c>
      <c r="E1639" s="46" cm="1">
        <f t="array" ref="E1639">tchrs_tesdanatlquali_indus_masonry_diploma</f>
        <v>0</v>
      </c>
      <c r="F1639" s="46" t="b">
        <v>1</v>
      </c>
    </row>
    <row r="1640" spans="1:6">
      <c r="A1640" s="46" t="s">
        <v>5077</v>
      </c>
      <c r="B1640" s="46" t="s">
        <v>4472</v>
      </c>
      <c r="C1640" s="46" t="s">
        <v>5077</v>
      </c>
      <c r="D1640" s="46" t="s">
        <v>5293</v>
      </c>
      <c r="E1640" s="46" cm="1">
        <f t="array" ref="E1640">tchrs_tesdanatlquali_indus_masonry_trainingmngt</f>
        <v>0</v>
      </c>
      <c r="F1640" s="46" t="b">
        <v>1</v>
      </c>
    </row>
    <row r="1641" spans="1:6">
      <c r="A1641" s="46" t="s">
        <v>5078</v>
      </c>
      <c r="B1641" s="46" t="s">
        <v>4472</v>
      </c>
      <c r="C1641" s="46" t="s">
        <v>5078</v>
      </c>
      <c r="D1641" s="46" t="s">
        <v>5294</v>
      </c>
      <c r="E1641" s="46" cm="1">
        <f t="array" ref="E1641">tchrs_tesdanatlquali_indus_mechservicing_nc1</f>
        <v>0</v>
      </c>
      <c r="F1641" s="46" t="b">
        <v>1</v>
      </c>
    </row>
    <row r="1642" spans="1:6">
      <c r="A1642" s="46" t="s">
        <v>5079</v>
      </c>
      <c r="B1642" s="46" t="s">
        <v>4472</v>
      </c>
      <c r="C1642" s="46" t="s">
        <v>5079</v>
      </c>
      <c r="D1642" s="46" t="s">
        <v>5295</v>
      </c>
      <c r="E1642" s="46" cm="1">
        <f t="array" ref="E1642">tchrs_tesdanatlquali_indus_mechservicing_nc2</f>
        <v>0</v>
      </c>
      <c r="F1642" s="46" t="b">
        <v>1</v>
      </c>
    </row>
    <row r="1643" spans="1:6">
      <c r="A1643" s="46" t="s">
        <v>5080</v>
      </c>
      <c r="B1643" s="46" t="s">
        <v>4472</v>
      </c>
      <c r="C1643" s="46" t="s">
        <v>5080</v>
      </c>
      <c r="D1643" s="46" t="s">
        <v>5296</v>
      </c>
      <c r="E1643" s="46" cm="1">
        <f t="array" ref="E1643">tchrs_tesdanatlquali_indus_mechservicing_nc3</f>
        <v>0</v>
      </c>
      <c r="F1643" s="46" t="b">
        <v>1</v>
      </c>
    </row>
    <row r="1644" spans="1:6">
      <c r="A1644" s="46" t="s">
        <v>5081</v>
      </c>
      <c r="B1644" s="46" t="s">
        <v>4472</v>
      </c>
      <c r="C1644" s="46" t="s">
        <v>5081</v>
      </c>
      <c r="D1644" s="46" t="s">
        <v>5297</v>
      </c>
      <c r="E1644" s="46" cm="1">
        <f t="array" ref="E1644">tchrs_tesdanatlquali_indus_mechservicing_nc4</f>
        <v>0</v>
      </c>
      <c r="F1644" s="46" t="b">
        <v>1</v>
      </c>
    </row>
    <row r="1645" spans="1:6">
      <c r="A1645" s="46" t="s">
        <v>5082</v>
      </c>
      <c r="B1645" s="46" t="s">
        <v>4472</v>
      </c>
      <c r="C1645" s="46" t="s">
        <v>5082</v>
      </c>
      <c r="D1645" s="46" t="s">
        <v>5298</v>
      </c>
      <c r="E1645" s="46" cm="1">
        <f t="array" ref="E1645">tchrs_tesdanatlquali_indus_mechservicing_diploma</f>
        <v>0</v>
      </c>
      <c r="F1645" s="46" t="b">
        <v>1</v>
      </c>
    </row>
    <row r="1646" spans="1:6">
      <c r="A1646" s="46" t="s">
        <v>5083</v>
      </c>
      <c r="B1646" s="46" t="s">
        <v>4472</v>
      </c>
      <c r="C1646" s="46" t="s">
        <v>5083</v>
      </c>
      <c r="D1646" s="46" t="s">
        <v>5299</v>
      </c>
      <c r="E1646" s="46" cm="1">
        <f t="array" ref="E1646">tchrs_tesdanatlquali_indus_mechservicing_trainingmngt</f>
        <v>0</v>
      </c>
      <c r="F1646" s="46" t="b">
        <v>1</v>
      </c>
    </row>
    <row r="1647" spans="1:6">
      <c r="A1647" s="46" t="s">
        <v>5084</v>
      </c>
      <c r="B1647" s="46" t="s">
        <v>4472</v>
      </c>
      <c r="C1647" s="46" t="s">
        <v>5084</v>
      </c>
      <c r="D1647" s="46" t="s">
        <v>5300</v>
      </c>
      <c r="E1647" s="46" cm="1">
        <f t="array" ref="E1647">tchrs_tesdanatlquali_indus_motorcycleservicing_nc1</f>
        <v>0</v>
      </c>
      <c r="F1647" s="46" t="b">
        <v>1</v>
      </c>
    </row>
    <row r="1648" spans="1:6">
      <c r="A1648" s="46" t="s">
        <v>5085</v>
      </c>
      <c r="B1648" s="46" t="s">
        <v>4472</v>
      </c>
      <c r="C1648" s="46" t="s">
        <v>5085</v>
      </c>
      <c r="D1648" s="46" t="s">
        <v>5301</v>
      </c>
      <c r="E1648" s="46" cm="1">
        <f t="array" ref="E1648">tchrs_tesdanatlquali_indus_motorcycleservicing_nc2</f>
        <v>0</v>
      </c>
      <c r="F1648" s="46" t="b">
        <v>1</v>
      </c>
    </row>
    <row r="1649" spans="1:6">
      <c r="A1649" s="46" t="s">
        <v>5086</v>
      </c>
      <c r="B1649" s="46" t="s">
        <v>4472</v>
      </c>
      <c r="C1649" s="46" t="s">
        <v>5086</v>
      </c>
      <c r="D1649" s="46" t="s">
        <v>5302</v>
      </c>
      <c r="E1649" s="46" cm="1">
        <f t="array" ref="E1649">tchrs_tesdanatlquali_indus_motorcycleservicing_nc3</f>
        <v>0</v>
      </c>
      <c r="F1649" s="46" t="b">
        <v>1</v>
      </c>
    </row>
    <row r="1650" spans="1:6">
      <c r="A1650" s="46" t="s">
        <v>5087</v>
      </c>
      <c r="B1650" s="46" t="s">
        <v>4472</v>
      </c>
      <c r="C1650" s="46" t="s">
        <v>5087</v>
      </c>
      <c r="D1650" s="46" t="s">
        <v>5303</v>
      </c>
      <c r="E1650" s="46" cm="1">
        <f t="array" ref="E1650">tchrs_tesdanatlquali_indus_motorcycleservicing_nc4</f>
        <v>0</v>
      </c>
      <c r="F1650" s="46" t="b">
        <v>1</v>
      </c>
    </row>
    <row r="1651" spans="1:6">
      <c r="A1651" s="46" t="s">
        <v>5088</v>
      </c>
      <c r="B1651" s="46" t="s">
        <v>4472</v>
      </c>
      <c r="C1651" s="46" t="s">
        <v>5088</v>
      </c>
      <c r="D1651" s="46" t="s">
        <v>5304</v>
      </c>
      <c r="E1651" s="46" cm="1">
        <f t="array" ref="E1651">tchrs_tesdanatlquali_indus_motorcycleservicing_diploma</f>
        <v>0</v>
      </c>
      <c r="F1651" s="46" t="b">
        <v>1</v>
      </c>
    </row>
    <row r="1652" spans="1:6">
      <c r="A1652" s="46" t="s">
        <v>5089</v>
      </c>
      <c r="B1652" s="46" t="s">
        <v>4472</v>
      </c>
      <c r="C1652" s="46" t="s">
        <v>5089</v>
      </c>
      <c r="D1652" s="46" t="s">
        <v>5305</v>
      </c>
      <c r="E1652" s="46" cm="1">
        <f t="array" ref="E1652">tchrs_tesdanatlquali_indus_motorcycleservicing_trainingmngt</f>
        <v>0</v>
      </c>
      <c r="F1652" s="46" t="b">
        <v>1</v>
      </c>
    </row>
    <row r="1653" spans="1:6">
      <c r="A1653" s="46" t="s">
        <v>5090</v>
      </c>
      <c r="B1653" s="46" t="s">
        <v>4472</v>
      </c>
      <c r="C1653" s="46" t="s">
        <v>5090</v>
      </c>
      <c r="D1653" s="46" t="s">
        <v>5306</v>
      </c>
      <c r="E1653" s="46" cm="1">
        <f t="array" ref="E1653">tchrs_tesdanatlquali_indus_plumbing_nc1</f>
        <v>1</v>
      </c>
      <c r="F1653" s="46" t="b">
        <v>1</v>
      </c>
    </row>
    <row r="1654" spans="1:6">
      <c r="A1654" s="46" t="s">
        <v>5091</v>
      </c>
      <c r="B1654" s="46" t="s">
        <v>4472</v>
      </c>
      <c r="C1654" s="46" t="s">
        <v>5091</v>
      </c>
      <c r="D1654" s="46" t="s">
        <v>5307</v>
      </c>
      <c r="E1654" s="46" cm="1">
        <f t="array" ref="E1654">tchrs_tesdanatlquali_indus_plumbing_nc2</f>
        <v>2</v>
      </c>
      <c r="F1654" s="46" t="b">
        <v>1</v>
      </c>
    </row>
    <row r="1655" spans="1:6">
      <c r="A1655" s="46" t="s">
        <v>5092</v>
      </c>
      <c r="B1655" s="46" t="s">
        <v>4472</v>
      </c>
      <c r="C1655" s="46" t="s">
        <v>5092</v>
      </c>
      <c r="D1655" s="46" t="s">
        <v>5308</v>
      </c>
      <c r="E1655" s="46" cm="1">
        <f t="array" ref="E1655">tchrs_tesdanatlquali_indus_plumbing_nc3</f>
        <v>0</v>
      </c>
      <c r="F1655" s="46" t="b">
        <v>1</v>
      </c>
    </row>
    <row r="1656" spans="1:6">
      <c r="A1656" s="46" t="s">
        <v>5093</v>
      </c>
      <c r="B1656" s="46" t="s">
        <v>4472</v>
      </c>
      <c r="C1656" s="46" t="s">
        <v>5093</v>
      </c>
      <c r="D1656" s="46" t="s">
        <v>5309</v>
      </c>
      <c r="E1656" s="46" cm="1">
        <f t="array" ref="E1656">tchrs_tesdanatlquali_indus_plumbing_nc4</f>
        <v>0</v>
      </c>
      <c r="F1656" s="46" t="b">
        <v>1</v>
      </c>
    </row>
    <row r="1657" spans="1:6">
      <c r="A1657" s="46" t="s">
        <v>5094</v>
      </c>
      <c r="B1657" s="46" t="s">
        <v>4472</v>
      </c>
      <c r="C1657" s="46" t="s">
        <v>5094</v>
      </c>
      <c r="D1657" s="46" t="s">
        <v>5310</v>
      </c>
      <c r="E1657" s="46" cm="1">
        <f t="array" ref="E1657">tchrs_tesdanatlquali_indus_plumbing_diploma</f>
        <v>0</v>
      </c>
      <c r="F1657" s="46" t="b">
        <v>1</v>
      </c>
    </row>
    <row r="1658" spans="1:6">
      <c r="A1658" s="46" t="s">
        <v>5095</v>
      </c>
      <c r="B1658" s="46" t="s">
        <v>4472</v>
      </c>
      <c r="C1658" s="46" t="s">
        <v>5095</v>
      </c>
      <c r="D1658" s="46" t="s">
        <v>5311</v>
      </c>
      <c r="E1658" s="46" cm="1">
        <f t="array" ref="E1658">tchrs_tesdanatlquali_indus_plumbing_trainingmngt</f>
        <v>0</v>
      </c>
      <c r="F1658" s="46" t="b">
        <v>1</v>
      </c>
    </row>
    <row r="1659" spans="1:6">
      <c r="A1659" s="46" t="s">
        <v>5096</v>
      </c>
      <c r="B1659" s="46" t="s">
        <v>4472</v>
      </c>
      <c r="C1659" s="46" t="s">
        <v>5096</v>
      </c>
      <c r="D1659" s="46" t="s">
        <v>5312</v>
      </c>
      <c r="E1659" s="46" cm="1">
        <f t="array" ref="E1659">tchrs_tesdanatlquali_indus_pacuncre_nc1</f>
        <v>0</v>
      </c>
      <c r="F1659" s="46" t="b">
        <v>1</v>
      </c>
    </row>
    <row r="1660" spans="1:6">
      <c r="A1660" s="46" t="s">
        <v>5097</v>
      </c>
      <c r="B1660" s="46" t="s">
        <v>4472</v>
      </c>
      <c r="C1660" s="46" t="s">
        <v>5097</v>
      </c>
      <c r="D1660" s="46" t="s">
        <v>5313</v>
      </c>
      <c r="E1660" s="46" cm="1">
        <f t="array" ref="E1660">tchrs_tesdanatlquali_indus_pacuncre_nc2</f>
        <v>0</v>
      </c>
      <c r="F1660" s="46" t="b">
        <v>1</v>
      </c>
    </row>
    <row r="1661" spans="1:6">
      <c r="A1661" s="46" t="s">
        <v>5098</v>
      </c>
      <c r="B1661" s="46" t="s">
        <v>4472</v>
      </c>
      <c r="C1661" s="46" t="s">
        <v>5098</v>
      </c>
      <c r="D1661" s="46" t="s">
        <v>5314</v>
      </c>
      <c r="E1661" s="46" cm="1">
        <f t="array" ref="E1661">tchrs_tesdanatlquali_indus_pacuncre_nc3</f>
        <v>0</v>
      </c>
      <c r="F1661" s="46" t="b">
        <v>1</v>
      </c>
    </row>
    <row r="1662" spans="1:6">
      <c r="A1662" s="46" t="s">
        <v>5099</v>
      </c>
      <c r="B1662" s="46" t="s">
        <v>4472</v>
      </c>
      <c r="C1662" s="46" t="s">
        <v>5099</v>
      </c>
      <c r="D1662" s="46" t="s">
        <v>5315</v>
      </c>
      <c r="E1662" s="46" cm="1">
        <f t="array" ref="E1662">tchrs_tesdanatlquali_indus_pacuncre_nc4</f>
        <v>0</v>
      </c>
      <c r="F1662" s="46" t="b">
        <v>1</v>
      </c>
    </row>
    <row r="1663" spans="1:6">
      <c r="A1663" s="46" t="s">
        <v>5100</v>
      </c>
      <c r="B1663" s="46" t="s">
        <v>4472</v>
      </c>
      <c r="C1663" s="46" t="s">
        <v>5100</v>
      </c>
      <c r="D1663" s="46" t="s">
        <v>5316</v>
      </c>
      <c r="E1663" s="46" cm="1">
        <f t="array" ref="E1663">tchrs_tesdanatlquali_indus_pacuncre_diploma</f>
        <v>0</v>
      </c>
      <c r="F1663" s="46" t="b">
        <v>1</v>
      </c>
    </row>
    <row r="1664" spans="1:6">
      <c r="A1664" s="46" t="s">
        <v>5101</v>
      </c>
      <c r="B1664" s="46" t="s">
        <v>4472</v>
      </c>
      <c r="C1664" s="46" t="s">
        <v>5101</v>
      </c>
      <c r="D1664" s="46" t="s">
        <v>5317</v>
      </c>
      <c r="E1664" s="46" cm="1">
        <f t="array" ref="E1664">tchrs_tesdanatlquali_indus_pacuncre_trainingmngt</f>
        <v>0</v>
      </c>
      <c r="F1664" s="46" t="b">
        <v>1</v>
      </c>
    </row>
    <row r="1665" spans="1:6">
      <c r="A1665" s="46" t="s">
        <v>5102</v>
      </c>
      <c r="B1665" s="46" t="s">
        <v>4472</v>
      </c>
      <c r="C1665" s="46" t="s">
        <v>5102</v>
      </c>
      <c r="D1665" s="46" t="s">
        <v>5318</v>
      </c>
      <c r="E1665" s="46" cm="1">
        <f t="array" ref="E1665">tchrs_tesdanatlquali_indus_shieldedwelding_nc1</f>
        <v>1</v>
      </c>
      <c r="F1665" s="46" t="b">
        <v>1</v>
      </c>
    </row>
    <row r="1666" spans="1:6">
      <c r="A1666" s="46" t="s">
        <v>5103</v>
      </c>
      <c r="B1666" s="46" t="s">
        <v>4472</v>
      </c>
      <c r="C1666" s="46" t="s">
        <v>5103</v>
      </c>
      <c r="D1666" s="46" t="s">
        <v>5319</v>
      </c>
      <c r="E1666" s="46" cm="1">
        <f t="array" ref="E1666">tchrs_tesdanatlquali_indus_shieldedwelding_nc2</f>
        <v>2</v>
      </c>
      <c r="F1666" s="46" t="b">
        <v>1</v>
      </c>
    </row>
    <row r="1667" spans="1:6">
      <c r="A1667" s="46" t="s">
        <v>5104</v>
      </c>
      <c r="B1667" s="46" t="s">
        <v>4472</v>
      </c>
      <c r="C1667" s="46" t="s">
        <v>5104</v>
      </c>
      <c r="D1667" s="46" t="s">
        <v>5320</v>
      </c>
      <c r="E1667" s="46" cm="1">
        <f t="array" ref="E1667">tchrs_tesdanatlquali_indus_shieldedwelding_nc3</f>
        <v>0</v>
      </c>
      <c r="F1667" s="46" t="b">
        <v>1</v>
      </c>
    </row>
    <row r="1668" spans="1:6">
      <c r="A1668" s="46" t="s">
        <v>5105</v>
      </c>
      <c r="B1668" s="46" t="s">
        <v>4472</v>
      </c>
      <c r="C1668" s="46" t="s">
        <v>5105</v>
      </c>
      <c r="D1668" s="46" t="s">
        <v>5321</v>
      </c>
      <c r="E1668" s="46" cm="1">
        <f t="array" ref="E1668">tchrs_tesdanatlquali_indus_shieldedwelding_nc4</f>
        <v>0</v>
      </c>
      <c r="F1668" s="46" t="b">
        <v>1</v>
      </c>
    </row>
    <row r="1669" spans="1:6">
      <c r="A1669" s="46" t="s">
        <v>5106</v>
      </c>
      <c r="B1669" s="46" t="s">
        <v>4472</v>
      </c>
      <c r="C1669" s="46" t="s">
        <v>5106</v>
      </c>
      <c r="D1669" s="46" t="s">
        <v>5322</v>
      </c>
      <c r="E1669" s="46" cm="1">
        <f t="array" ref="E1669">tchrs_tesdanatlquali_indus_shieldedwelding_diploma</f>
        <v>0</v>
      </c>
      <c r="F1669" s="46" t="b">
        <v>1</v>
      </c>
    </row>
    <row r="1670" spans="1:6">
      <c r="A1670" s="46" t="s">
        <v>5107</v>
      </c>
      <c r="B1670" s="46" t="s">
        <v>4472</v>
      </c>
      <c r="C1670" s="46" t="s">
        <v>5107</v>
      </c>
      <c r="D1670" s="46" t="s">
        <v>5323</v>
      </c>
      <c r="E1670" s="46" cm="1">
        <f t="array" ref="E1670">tchrs_tesdanatlquali_indus_shieldedwelding_trainingmngt</f>
        <v>1</v>
      </c>
      <c r="F1670" s="46" t="b">
        <v>1</v>
      </c>
    </row>
    <row r="1671" spans="1:6">
      <c r="A1671" s="46" t="s">
        <v>5108</v>
      </c>
      <c r="B1671" s="46" t="s">
        <v>4472</v>
      </c>
      <c r="C1671" s="46" t="s">
        <v>5108</v>
      </c>
      <c r="D1671" s="46" t="s">
        <v>5324</v>
      </c>
      <c r="E1671" s="46" cm="1">
        <f t="array" ref="E1671">tchrs_tesdanatlquali_indus_tilesetting_nc1</f>
        <v>0</v>
      </c>
      <c r="F1671" s="46" t="b">
        <v>1</v>
      </c>
    </row>
    <row r="1672" spans="1:6">
      <c r="A1672" s="46" t="s">
        <v>5109</v>
      </c>
      <c r="B1672" s="46" t="s">
        <v>4472</v>
      </c>
      <c r="C1672" s="46" t="s">
        <v>5109</v>
      </c>
      <c r="D1672" s="46" t="s">
        <v>5325</v>
      </c>
      <c r="E1672" s="46" cm="1">
        <f t="array" ref="E1672">tchrs_tesdanatlquali_indus_tilesetting_nc2</f>
        <v>0</v>
      </c>
      <c r="F1672" s="46" t="b">
        <v>1</v>
      </c>
    </row>
    <row r="1673" spans="1:6">
      <c r="A1673" s="46" t="s">
        <v>5110</v>
      </c>
      <c r="B1673" s="46" t="s">
        <v>4472</v>
      </c>
      <c r="C1673" s="46" t="s">
        <v>5110</v>
      </c>
      <c r="D1673" s="46" t="s">
        <v>5326</v>
      </c>
      <c r="E1673" s="46" cm="1">
        <f t="array" ref="E1673">tchrs_tesdanatlquali_indus_tilesetting_nc3</f>
        <v>0</v>
      </c>
      <c r="F1673" s="46" t="b">
        <v>1</v>
      </c>
    </row>
    <row r="1674" spans="1:6">
      <c r="A1674" s="46" t="s">
        <v>5111</v>
      </c>
      <c r="B1674" s="46" t="s">
        <v>4472</v>
      </c>
      <c r="C1674" s="46" t="s">
        <v>5111</v>
      </c>
      <c r="D1674" s="46" t="s">
        <v>5327</v>
      </c>
      <c r="E1674" s="46" cm="1">
        <f t="array" ref="E1674">tchrs_tesdanatlquali_indus_tilesetting_nc4</f>
        <v>0</v>
      </c>
      <c r="F1674" s="46" t="b">
        <v>1</v>
      </c>
    </row>
    <row r="1675" spans="1:6">
      <c r="A1675" s="46" t="s">
        <v>5112</v>
      </c>
      <c r="B1675" s="46" t="s">
        <v>4472</v>
      </c>
      <c r="C1675" s="46" t="s">
        <v>5112</v>
      </c>
      <c r="D1675" s="46" t="s">
        <v>5328</v>
      </c>
      <c r="E1675" s="46" cm="1">
        <f t="array" ref="E1675">tchrs_tesdanatlquali_indus_tilesetting_diploma</f>
        <v>0</v>
      </c>
      <c r="F1675" s="46" t="b">
        <v>1</v>
      </c>
    </row>
    <row r="1676" spans="1:6">
      <c r="A1676" s="46" t="s">
        <v>5113</v>
      </c>
      <c r="B1676" s="46" t="s">
        <v>4472</v>
      </c>
      <c r="C1676" s="46" t="s">
        <v>5113</v>
      </c>
      <c r="D1676" s="46" t="s">
        <v>5329</v>
      </c>
      <c r="E1676" s="46" cm="1">
        <f t="array" ref="E1676">tchrs_tesdanatlquali_indus_tilesetting_trainingmngt</f>
        <v>0</v>
      </c>
      <c r="F1676" s="46" t="b">
        <v>1</v>
      </c>
    </row>
    <row r="1677" spans="1:6">
      <c r="A1677" s="46" t="s">
        <v>5114</v>
      </c>
      <c r="B1677" s="46" t="s">
        <v>4472</v>
      </c>
      <c r="C1677" s="46" t="s">
        <v>5114</v>
      </c>
      <c r="D1677" s="46" t="s">
        <v>5330</v>
      </c>
      <c r="E1677" s="46" cm="1">
        <f t="array" ref="E1677">tchrs_tesdanatlquali_indus_translineinstmain_nc1</f>
        <v>0</v>
      </c>
      <c r="F1677" s="46" t="b">
        <v>1</v>
      </c>
    </row>
    <row r="1678" spans="1:6">
      <c r="A1678" s="46" t="s">
        <v>5115</v>
      </c>
      <c r="B1678" s="46" t="s">
        <v>4472</v>
      </c>
      <c r="C1678" s="46" t="s">
        <v>5115</v>
      </c>
      <c r="D1678" s="46" t="s">
        <v>5331</v>
      </c>
      <c r="E1678" s="46" cm="1">
        <f t="array" ref="E1678">tchrs_tesdanatlquali_indus_translineinstmain_nc2</f>
        <v>0</v>
      </c>
      <c r="F1678" s="46" t="b">
        <v>1</v>
      </c>
    </row>
    <row r="1679" spans="1:6">
      <c r="A1679" s="46" t="s">
        <v>5116</v>
      </c>
      <c r="B1679" s="46" t="s">
        <v>4472</v>
      </c>
      <c r="C1679" s="46" t="s">
        <v>5116</v>
      </c>
      <c r="D1679" s="46" t="s">
        <v>5332</v>
      </c>
      <c r="E1679" s="46" cm="1">
        <f t="array" ref="E1679">tchrs_tesdanatlquali_indus_translineinstmain_nc3</f>
        <v>0</v>
      </c>
      <c r="F1679" s="46" t="b">
        <v>1</v>
      </c>
    </row>
    <row r="1680" spans="1:6">
      <c r="A1680" s="46" t="s">
        <v>5117</v>
      </c>
      <c r="B1680" s="46" t="s">
        <v>4472</v>
      </c>
      <c r="C1680" s="46" t="s">
        <v>5117</v>
      </c>
      <c r="D1680" s="46" t="s">
        <v>5333</v>
      </c>
      <c r="E1680" s="46" cm="1">
        <f t="array" ref="E1680">tchrs_tesdanatlquali_indus_translineinstmain_nc4</f>
        <v>0</v>
      </c>
      <c r="F1680" s="46" t="b">
        <v>1</v>
      </c>
    </row>
    <row r="1681" spans="1:6">
      <c r="A1681" s="46" t="s">
        <v>5118</v>
      </c>
      <c r="B1681" s="46" t="s">
        <v>4472</v>
      </c>
      <c r="C1681" s="46" t="s">
        <v>5118</v>
      </c>
      <c r="D1681" s="46" t="s">
        <v>5334</v>
      </c>
      <c r="E1681" s="46" cm="1">
        <f t="array" ref="E1681">tchrs_tesdanatlquali_indus_translineinstmain_diploma</f>
        <v>0</v>
      </c>
      <c r="F1681" s="46" t="b">
        <v>1</v>
      </c>
    </row>
    <row r="1682" spans="1:6">
      <c r="A1682" s="46" t="s">
        <v>5119</v>
      </c>
      <c r="B1682" s="46" t="s">
        <v>4472</v>
      </c>
      <c r="C1682" s="46" t="s">
        <v>5119</v>
      </c>
      <c r="D1682" s="46" t="s">
        <v>5335</v>
      </c>
      <c r="E1682" s="46" cm="1">
        <f t="array" ref="E1682">tchrs_tesdanatlquali_indus_translineinstmain_trainingmngt</f>
        <v>0</v>
      </c>
      <c r="F1682" s="46" t="b">
        <v>1</v>
      </c>
    </row>
    <row r="1683" spans="1:6">
      <c r="A1683" s="46" t="s">
        <v>5120</v>
      </c>
      <c r="B1683" s="46" t="s">
        <v>4472</v>
      </c>
      <c r="C1683" s="46" t="s">
        <v>5120</v>
      </c>
      <c r="D1683" s="46" t="s">
        <v>5336</v>
      </c>
      <c r="E1683" s="46" cm="1">
        <f t="array" ref="E1683">tchrs_tesdanatlquali_ict_animation_nc1</f>
        <v>0</v>
      </c>
      <c r="F1683" s="46" t="b">
        <v>1</v>
      </c>
    </row>
    <row r="1684" spans="1:6">
      <c r="A1684" s="46" t="s">
        <v>5121</v>
      </c>
      <c r="B1684" s="46" t="s">
        <v>4472</v>
      </c>
      <c r="C1684" s="46" t="s">
        <v>5121</v>
      </c>
      <c r="D1684" s="46" t="s">
        <v>5337</v>
      </c>
      <c r="E1684" s="46" cm="1">
        <f t="array" ref="E1684">tchrs_tesdanatlquali_ict_animation_nc2</f>
        <v>0</v>
      </c>
      <c r="F1684" s="46" t="b">
        <v>1</v>
      </c>
    </row>
    <row r="1685" spans="1:6">
      <c r="A1685" s="46" t="s">
        <v>5122</v>
      </c>
      <c r="B1685" s="46" t="s">
        <v>4472</v>
      </c>
      <c r="C1685" s="46" t="s">
        <v>5122</v>
      </c>
      <c r="D1685" s="46" t="s">
        <v>5338</v>
      </c>
      <c r="E1685" s="46" cm="1">
        <f t="array" ref="E1685">tchrs_tesdanatlquali_ict_animation_nc3</f>
        <v>0</v>
      </c>
      <c r="F1685" s="46" t="b">
        <v>1</v>
      </c>
    </row>
    <row r="1686" spans="1:6">
      <c r="A1686" s="46" t="s">
        <v>5123</v>
      </c>
      <c r="B1686" s="46" t="s">
        <v>4472</v>
      </c>
      <c r="C1686" s="46" t="s">
        <v>5123</v>
      </c>
      <c r="D1686" s="46" t="s">
        <v>5339</v>
      </c>
      <c r="E1686" s="46" cm="1">
        <f t="array" ref="E1686">tchrs_tesdanatlquali_ict_animation_nc4</f>
        <v>0</v>
      </c>
      <c r="F1686" s="46" t="b">
        <v>1</v>
      </c>
    </row>
    <row r="1687" spans="1:6">
      <c r="A1687" s="46" t="s">
        <v>5124</v>
      </c>
      <c r="B1687" s="46" t="s">
        <v>4472</v>
      </c>
      <c r="C1687" s="46" t="s">
        <v>5124</v>
      </c>
      <c r="D1687" s="46" t="s">
        <v>5340</v>
      </c>
      <c r="E1687" s="46" cm="1">
        <f t="array" ref="E1687">tchrs_tesdanatlquali_ict_animation_diploma</f>
        <v>0</v>
      </c>
      <c r="F1687" s="46" t="b">
        <v>1</v>
      </c>
    </row>
    <row r="1688" spans="1:6">
      <c r="A1688" s="46" t="s">
        <v>5125</v>
      </c>
      <c r="B1688" s="46" t="s">
        <v>4472</v>
      </c>
      <c r="C1688" s="46" t="s">
        <v>5125</v>
      </c>
      <c r="D1688" s="46" t="s">
        <v>5341</v>
      </c>
      <c r="E1688" s="46" cm="1">
        <f t="array" ref="E1688">tchrs_tesdanatlquali_ict_animation_trainingmngt</f>
        <v>0</v>
      </c>
      <c r="F1688" s="46" t="b">
        <v>1</v>
      </c>
    </row>
    <row r="1689" spans="1:6">
      <c r="A1689" s="46" t="s">
        <v>5126</v>
      </c>
      <c r="B1689" s="46" t="s">
        <v>4472</v>
      </c>
      <c r="C1689" s="46" t="s">
        <v>5126</v>
      </c>
      <c r="D1689" s="46" t="s">
        <v>5342</v>
      </c>
      <c r="E1689" s="46" cm="1">
        <f t="array" ref="E1689">tchrs_tesdanatlquali_ict_broadbandinst_nc1</f>
        <v>0</v>
      </c>
      <c r="F1689" s="46" t="b">
        <v>1</v>
      </c>
    </row>
    <row r="1690" spans="1:6">
      <c r="A1690" s="46" t="s">
        <v>5127</v>
      </c>
      <c r="B1690" s="46" t="s">
        <v>4472</v>
      </c>
      <c r="C1690" s="46" t="s">
        <v>5127</v>
      </c>
      <c r="D1690" s="46" t="s">
        <v>5343</v>
      </c>
      <c r="E1690" s="46" cm="1">
        <f t="array" ref="E1690">tchrs_tesdanatlquali_ict_broadbandinst_nc2</f>
        <v>0</v>
      </c>
      <c r="F1690" s="46" t="b">
        <v>1</v>
      </c>
    </row>
    <row r="1691" spans="1:6">
      <c r="A1691" s="46" t="s">
        <v>5128</v>
      </c>
      <c r="B1691" s="46" t="s">
        <v>4472</v>
      </c>
      <c r="C1691" s="46" t="s">
        <v>5128</v>
      </c>
      <c r="D1691" s="46" t="s">
        <v>5344</v>
      </c>
      <c r="E1691" s="46" cm="1">
        <f t="array" ref="E1691">tchrs_tesdanatlquali_ict_broadbandinst_nc3</f>
        <v>0</v>
      </c>
      <c r="F1691" s="46" t="b">
        <v>1</v>
      </c>
    </row>
    <row r="1692" spans="1:6">
      <c r="A1692" s="46" t="s">
        <v>5129</v>
      </c>
      <c r="B1692" s="46" t="s">
        <v>4472</v>
      </c>
      <c r="C1692" s="46" t="s">
        <v>5129</v>
      </c>
      <c r="D1692" s="46" t="s">
        <v>5345</v>
      </c>
      <c r="E1692" s="46" cm="1">
        <f t="array" ref="E1692">tchrs_tesdanatlquali_ict_broadbandinst_nc4</f>
        <v>0</v>
      </c>
      <c r="F1692" s="46" t="b">
        <v>1</v>
      </c>
    </row>
    <row r="1693" spans="1:6">
      <c r="A1693" s="46" t="s">
        <v>5130</v>
      </c>
      <c r="B1693" s="46" t="s">
        <v>4472</v>
      </c>
      <c r="C1693" s="46" t="s">
        <v>5130</v>
      </c>
      <c r="D1693" s="46" t="s">
        <v>5346</v>
      </c>
      <c r="E1693" s="46" cm="1">
        <f t="array" ref="E1693">tchrs_tesdanatlquali_ict_broadbandinst_diploma</f>
        <v>0</v>
      </c>
      <c r="F1693" s="46" t="b">
        <v>1</v>
      </c>
    </row>
    <row r="1694" spans="1:6">
      <c r="A1694" s="46" t="s">
        <v>5131</v>
      </c>
      <c r="B1694" s="46" t="s">
        <v>4472</v>
      </c>
      <c r="C1694" s="46" t="s">
        <v>5131</v>
      </c>
      <c r="D1694" s="46" t="s">
        <v>5347</v>
      </c>
      <c r="E1694" s="46" cm="1">
        <f t="array" ref="E1694">tchrs_tesdanatlquali_ict_broadbandinst_trainingmngt</f>
        <v>0</v>
      </c>
      <c r="F1694" s="46" t="b">
        <v>1</v>
      </c>
    </row>
    <row r="1695" spans="1:6">
      <c r="A1695" s="46" t="s">
        <v>5132</v>
      </c>
      <c r="B1695" s="46" t="s">
        <v>4472</v>
      </c>
      <c r="C1695" s="46" t="s">
        <v>5132</v>
      </c>
      <c r="D1695" s="46" t="s">
        <v>5348</v>
      </c>
      <c r="E1695" s="46" cm="1">
        <f t="array" ref="E1695">tchrs_tesdanatlquali_ict_comphardwaresrvcing_nc1</f>
        <v>0</v>
      </c>
      <c r="F1695" s="46" t="b">
        <v>1</v>
      </c>
    </row>
    <row r="1696" spans="1:6">
      <c r="A1696" s="46" t="s">
        <v>5133</v>
      </c>
      <c r="B1696" s="46" t="s">
        <v>4472</v>
      </c>
      <c r="C1696" s="46" t="s">
        <v>5133</v>
      </c>
      <c r="D1696" s="46" t="s">
        <v>5349</v>
      </c>
      <c r="E1696" s="46" cm="1">
        <f t="array" ref="E1696">tchrs_tesdanatlquali_ict_comphardwaresrvcing_nc2</f>
        <v>2</v>
      </c>
      <c r="F1696" s="46" t="b">
        <v>1</v>
      </c>
    </row>
    <row r="1697" spans="1:6">
      <c r="A1697" s="46" t="s">
        <v>5134</v>
      </c>
      <c r="B1697" s="46" t="s">
        <v>4472</v>
      </c>
      <c r="C1697" s="46" t="s">
        <v>5134</v>
      </c>
      <c r="D1697" s="46" t="s">
        <v>5350</v>
      </c>
      <c r="E1697" s="46" cm="1">
        <f t="array" ref="E1697">tchrs_tesdanatlquali_ict_comphardwaresrvcing_nc3</f>
        <v>0</v>
      </c>
      <c r="F1697" s="46" t="b">
        <v>1</v>
      </c>
    </row>
    <row r="1698" spans="1:6">
      <c r="A1698" s="46" t="s">
        <v>5135</v>
      </c>
      <c r="B1698" s="46" t="s">
        <v>4472</v>
      </c>
      <c r="C1698" s="46" t="s">
        <v>5135</v>
      </c>
      <c r="D1698" s="46" t="s">
        <v>5351</v>
      </c>
      <c r="E1698" s="46" cm="1">
        <f t="array" ref="E1698">tchrs_tesdanatlquali_ict_comphardwaresrvcing_nc4</f>
        <v>0</v>
      </c>
      <c r="F1698" s="46" t="b">
        <v>1</v>
      </c>
    </row>
    <row r="1699" spans="1:6">
      <c r="A1699" s="46" t="s">
        <v>5136</v>
      </c>
      <c r="B1699" s="46" t="s">
        <v>4472</v>
      </c>
      <c r="C1699" s="46" t="s">
        <v>5136</v>
      </c>
      <c r="D1699" s="46" t="s">
        <v>5352</v>
      </c>
      <c r="E1699" s="46" cm="1">
        <f t="array" ref="E1699">tchrs_tesdanatlquali_ict_comphardwaresrvcing_diploma</f>
        <v>0</v>
      </c>
      <c r="F1699" s="46" t="b">
        <v>1</v>
      </c>
    </row>
    <row r="1700" spans="1:6">
      <c r="A1700" s="46" t="s">
        <v>5137</v>
      </c>
      <c r="B1700" s="46" t="s">
        <v>4472</v>
      </c>
      <c r="C1700" s="46" t="s">
        <v>5137</v>
      </c>
      <c r="D1700" s="46" t="s">
        <v>5353</v>
      </c>
      <c r="E1700" s="46" cm="1">
        <f t="array" ref="E1700">tchrs_tesdanatlquali_ict_comphardwaresrvcing_trainingmngt</f>
        <v>0</v>
      </c>
      <c r="F1700" s="46" t="b">
        <v>1</v>
      </c>
    </row>
    <row r="1701" spans="1:6">
      <c r="A1701" s="46" t="s">
        <v>5138</v>
      </c>
      <c r="B1701" s="46" t="s">
        <v>4472</v>
      </c>
      <c r="C1701" s="46" t="s">
        <v>5138</v>
      </c>
      <c r="D1701" s="46" t="s">
        <v>5354</v>
      </c>
      <c r="E1701" s="46" cm="1">
        <f t="array" ref="E1701">tchrs_tesdanatlquali_ict_compprogramnciv_nc1</f>
        <v>0</v>
      </c>
      <c r="F1701" s="46" t="b">
        <v>1</v>
      </c>
    </row>
    <row r="1702" spans="1:6">
      <c r="A1702" s="46" t="s">
        <v>5139</v>
      </c>
      <c r="B1702" s="46" t="s">
        <v>4472</v>
      </c>
      <c r="C1702" s="46" t="s">
        <v>5139</v>
      </c>
      <c r="D1702" s="46" t="s">
        <v>5355</v>
      </c>
      <c r="E1702" s="46" cm="1">
        <f t="array" ref="E1702">tchrs_tesdanatlquali_ict_compprogramnciv_nc2</f>
        <v>0</v>
      </c>
      <c r="F1702" s="46" t="b">
        <v>1</v>
      </c>
    </row>
    <row r="1703" spans="1:6">
      <c r="A1703" s="46" t="s">
        <v>5140</v>
      </c>
      <c r="B1703" s="46" t="s">
        <v>4472</v>
      </c>
      <c r="C1703" s="46" t="s">
        <v>5140</v>
      </c>
      <c r="D1703" s="46" t="s">
        <v>5356</v>
      </c>
      <c r="E1703" s="46" cm="1">
        <f t="array" ref="E1703">tchrs_tesdanatlquali_ict_compprogramnciv_nc3</f>
        <v>0</v>
      </c>
      <c r="F1703" s="46" t="b">
        <v>1</v>
      </c>
    </row>
    <row r="1704" spans="1:6">
      <c r="A1704" s="46" t="s">
        <v>5141</v>
      </c>
      <c r="B1704" s="46" t="s">
        <v>4472</v>
      </c>
      <c r="C1704" s="46" t="s">
        <v>5141</v>
      </c>
      <c r="D1704" s="46" t="s">
        <v>5357</v>
      </c>
      <c r="E1704" s="46" cm="1">
        <f t="array" ref="E1704">tchrs_tesdanatlquali_ict_compprogramnciv_nc4</f>
        <v>0</v>
      </c>
      <c r="F1704" s="46" t="b">
        <v>1</v>
      </c>
    </row>
    <row r="1705" spans="1:6">
      <c r="A1705" s="46" t="s">
        <v>5142</v>
      </c>
      <c r="B1705" s="46" t="s">
        <v>4472</v>
      </c>
      <c r="C1705" s="46" t="s">
        <v>5142</v>
      </c>
      <c r="D1705" s="46" t="s">
        <v>5358</v>
      </c>
      <c r="E1705" s="46" cm="1">
        <f t="array" ref="E1705">tchrs_tesdanatlquali_ict_compprogramnciv_diploma</f>
        <v>0</v>
      </c>
      <c r="F1705" s="46" t="b">
        <v>1</v>
      </c>
    </row>
    <row r="1706" spans="1:6">
      <c r="A1706" s="46" t="s">
        <v>5143</v>
      </c>
      <c r="B1706" s="46" t="s">
        <v>4472</v>
      </c>
      <c r="C1706" s="46" t="s">
        <v>5143</v>
      </c>
      <c r="D1706" s="46" t="s">
        <v>5359</v>
      </c>
      <c r="E1706" s="46" cm="1">
        <f t="array" ref="E1706">tchrs_tesdanatlquali_ict_compprogramnciv_trainingmngt</f>
        <v>0</v>
      </c>
      <c r="F1706" s="46" t="b">
        <v>1</v>
      </c>
    </row>
    <row r="1707" spans="1:6">
      <c r="A1707" s="46" t="s">
        <v>5144</v>
      </c>
      <c r="B1707" s="46" t="s">
        <v>4472</v>
      </c>
      <c r="C1707" s="46" t="s">
        <v>5144</v>
      </c>
      <c r="D1707" s="46" t="s">
        <v>5360</v>
      </c>
      <c r="E1707" s="46" cm="1">
        <f t="array" ref="E1707">tchrs_tesdanatlquali_ict_conttactservices_nc1</f>
        <v>0</v>
      </c>
      <c r="F1707" s="46" t="b">
        <v>1</v>
      </c>
    </row>
    <row r="1708" spans="1:6">
      <c r="A1708" s="46" t="s">
        <v>5145</v>
      </c>
      <c r="B1708" s="46" t="s">
        <v>4472</v>
      </c>
      <c r="C1708" s="46" t="s">
        <v>5145</v>
      </c>
      <c r="D1708" s="46" t="s">
        <v>5361</v>
      </c>
      <c r="E1708" s="46" cm="1">
        <f t="array" ref="E1708">tchrs_tesdanatlquali_ict_conttactservices_nc2</f>
        <v>0</v>
      </c>
      <c r="F1708" s="46" t="b">
        <v>1</v>
      </c>
    </row>
    <row r="1709" spans="1:6">
      <c r="A1709" s="46" t="s">
        <v>5146</v>
      </c>
      <c r="B1709" s="46" t="s">
        <v>4472</v>
      </c>
      <c r="C1709" s="46" t="s">
        <v>5146</v>
      </c>
      <c r="D1709" s="46" t="s">
        <v>5362</v>
      </c>
      <c r="E1709" s="46" cm="1">
        <f t="array" ref="E1709">tchrs_tesdanatlquali_ict_conttactservices_nc3</f>
        <v>0</v>
      </c>
      <c r="F1709" s="46" t="b">
        <v>1</v>
      </c>
    </row>
    <row r="1710" spans="1:6">
      <c r="A1710" s="46" t="s">
        <v>5147</v>
      </c>
      <c r="B1710" s="46" t="s">
        <v>4472</v>
      </c>
      <c r="C1710" s="46" t="s">
        <v>5147</v>
      </c>
      <c r="D1710" s="46" t="s">
        <v>5363</v>
      </c>
      <c r="E1710" s="46" cm="1">
        <f t="array" ref="E1710">tchrs_tesdanatlquali_ict_conttactservices_nc4</f>
        <v>0</v>
      </c>
      <c r="F1710" s="46" t="b">
        <v>1</v>
      </c>
    </row>
    <row r="1711" spans="1:6">
      <c r="A1711" s="46" t="s">
        <v>5148</v>
      </c>
      <c r="B1711" s="46" t="s">
        <v>4472</v>
      </c>
      <c r="C1711" s="46" t="s">
        <v>5148</v>
      </c>
      <c r="D1711" s="46" t="s">
        <v>5364</v>
      </c>
      <c r="E1711" s="46" cm="1">
        <f t="array" ref="E1711">tchrs_tesdanatlquali_ict_conttactservices_diploma</f>
        <v>0</v>
      </c>
      <c r="F1711" s="46" t="b">
        <v>1</v>
      </c>
    </row>
    <row r="1712" spans="1:6">
      <c r="A1712" s="46" t="s">
        <v>5149</v>
      </c>
      <c r="B1712" s="46" t="s">
        <v>4472</v>
      </c>
      <c r="C1712" s="46" t="s">
        <v>5149</v>
      </c>
      <c r="D1712" s="46" t="s">
        <v>5365</v>
      </c>
      <c r="E1712" s="46" cm="1">
        <f t="array" ref="E1712">tchrs_tesdanatlquali_ict_conttactservices_trainingmngt</f>
        <v>0</v>
      </c>
      <c r="F1712" s="46" t="b">
        <v>1</v>
      </c>
    </row>
    <row r="1713" spans="1:6">
      <c r="A1713" s="46" t="s">
        <v>5150</v>
      </c>
      <c r="B1713" s="46" t="s">
        <v>4472</v>
      </c>
      <c r="C1713" s="46" t="s">
        <v>5150</v>
      </c>
      <c r="D1713" s="46" t="s">
        <v>5366</v>
      </c>
      <c r="E1713" s="46" cm="1">
        <f t="array" ref="E1713">tchrs_tesdanatlquali_ict_illustration_nc1</f>
        <v>0</v>
      </c>
      <c r="F1713" s="46" t="b">
        <v>1</v>
      </c>
    </row>
    <row r="1714" spans="1:6">
      <c r="A1714" s="46" t="s">
        <v>5151</v>
      </c>
      <c r="B1714" s="46" t="s">
        <v>4472</v>
      </c>
      <c r="C1714" s="46" t="s">
        <v>5151</v>
      </c>
      <c r="D1714" s="46" t="s">
        <v>5367</v>
      </c>
      <c r="E1714" s="46" cm="1">
        <f t="array" ref="E1714">tchrs_tesdanatlquali_ict_illustration_nc2</f>
        <v>0</v>
      </c>
      <c r="F1714" s="46" t="b">
        <v>1</v>
      </c>
    </row>
    <row r="1715" spans="1:6">
      <c r="A1715" s="46" t="s">
        <v>5152</v>
      </c>
      <c r="B1715" s="46" t="s">
        <v>4472</v>
      </c>
      <c r="C1715" s="46" t="s">
        <v>5152</v>
      </c>
      <c r="D1715" s="46" t="s">
        <v>5368</v>
      </c>
      <c r="E1715" s="46" cm="1">
        <f t="array" ref="E1715">tchrs_tesdanatlquali_ict_illustration_nc3</f>
        <v>0</v>
      </c>
      <c r="F1715" s="46" t="b">
        <v>1</v>
      </c>
    </row>
    <row r="1716" spans="1:6">
      <c r="A1716" s="46" t="s">
        <v>5153</v>
      </c>
      <c r="B1716" s="46" t="s">
        <v>4472</v>
      </c>
      <c r="C1716" s="46" t="s">
        <v>5153</v>
      </c>
      <c r="D1716" s="46" t="s">
        <v>5369</v>
      </c>
      <c r="E1716" s="46" cm="1">
        <f t="array" ref="E1716">tchrs_tesdanatlquali_ict_illustration_nc4</f>
        <v>0</v>
      </c>
      <c r="F1716" s="46" t="b">
        <v>1</v>
      </c>
    </row>
    <row r="1717" spans="1:6">
      <c r="A1717" s="46" t="s">
        <v>5154</v>
      </c>
      <c r="B1717" s="46" t="s">
        <v>4472</v>
      </c>
      <c r="C1717" s="46" t="s">
        <v>5154</v>
      </c>
      <c r="D1717" s="46" t="s">
        <v>5370</v>
      </c>
      <c r="E1717" s="46" cm="1">
        <f t="array" ref="E1717">tchrs_tesdanatlquali_ict_illustration_diploma</f>
        <v>0</v>
      </c>
      <c r="F1717" s="46" t="b">
        <v>1</v>
      </c>
    </row>
    <row r="1718" spans="1:6">
      <c r="A1718" s="46" t="s">
        <v>5155</v>
      </c>
      <c r="B1718" s="46" t="s">
        <v>4472</v>
      </c>
      <c r="C1718" s="46" t="s">
        <v>5155</v>
      </c>
      <c r="D1718" s="46" t="s">
        <v>5371</v>
      </c>
      <c r="E1718" s="46" cm="1">
        <f t="array" ref="E1718">tchrs_tesdanatlquali_ict_illustration_trainingmngt</f>
        <v>0</v>
      </c>
      <c r="F1718" s="46" t="b">
        <v>1</v>
      </c>
    </row>
    <row r="1719" spans="1:6">
      <c r="A1719" s="46" t="s">
        <v>5156</v>
      </c>
      <c r="B1719" s="46" t="s">
        <v>4472</v>
      </c>
      <c r="C1719" s="46" t="s">
        <v>5156</v>
      </c>
      <c r="D1719" s="46" t="s">
        <v>5372</v>
      </c>
      <c r="E1719" s="46" cm="1">
        <f t="array" ref="E1719">tchrs_tesdanatlquali_ict_medtranscription_nc1</f>
        <v>0</v>
      </c>
      <c r="F1719" s="46" t="b">
        <v>1</v>
      </c>
    </row>
    <row r="1720" spans="1:6">
      <c r="A1720" s="46" t="s">
        <v>5157</v>
      </c>
      <c r="B1720" s="46" t="s">
        <v>4472</v>
      </c>
      <c r="C1720" s="46" t="s">
        <v>5157</v>
      </c>
      <c r="D1720" s="46" t="s">
        <v>5373</v>
      </c>
      <c r="E1720" s="46" cm="1">
        <f t="array" ref="E1720">tchrs_tesdanatlquali_ict_medtranscription_nc2</f>
        <v>0</v>
      </c>
      <c r="F1720" s="46" t="b">
        <v>1</v>
      </c>
    </row>
    <row r="1721" spans="1:6">
      <c r="A1721" s="46" t="s">
        <v>5158</v>
      </c>
      <c r="B1721" s="46" t="s">
        <v>4472</v>
      </c>
      <c r="C1721" s="46" t="s">
        <v>5158</v>
      </c>
      <c r="D1721" s="46" t="s">
        <v>5374</v>
      </c>
      <c r="E1721" s="46" cm="1">
        <f t="array" ref="E1721">tchrs_tesdanatlquali_ict_medtranscription_nc3</f>
        <v>0</v>
      </c>
      <c r="F1721" s="46" t="b">
        <v>1</v>
      </c>
    </row>
    <row r="1722" spans="1:6">
      <c r="A1722" s="46" t="s">
        <v>5159</v>
      </c>
      <c r="B1722" s="46" t="s">
        <v>4472</v>
      </c>
      <c r="C1722" s="46" t="s">
        <v>5159</v>
      </c>
      <c r="D1722" s="46" t="s">
        <v>5375</v>
      </c>
      <c r="E1722" s="46" cm="1">
        <f t="array" ref="E1722">tchrs_tesdanatlquali_ict_medtranscription_nc4</f>
        <v>0</v>
      </c>
      <c r="F1722" s="46" t="b">
        <v>1</v>
      </c>
    </row>
    <row r="1723" spans="1:6">
      <c r="A1723" s="46" t="s">
        <v>5160</v>
      </c>
      <c r="B1723" s="46" t="s">
        <v>4472</v>
      </c>
      <c r="C1723" s="46" t="s">
        <v>5160</v>
      </c>
      <c r="D1723" s="46" t="s">
        <v>5376</v>
      </c>
      <c r="E1723" s="46" cm="1">
        <f t="array" ref="E1723">tchrs_tesdanatlquali_ict_medtranscription_diploma</f>
        <v>0</v>
      </c>
      <c r="F1723" s="46" t="b">
        <v>1</v>
      </c>
    </row>
    <row r="1724" spans="1:6">
      <c r="A1724" s="46" t="s">
        <v>5161</v>
      </c>
      <c r="B1724" s="46" t="s">
        <v>4472</v>
      </c>
      <c r="C1724" s="46" t="s">
        <v>5161</v>
      </c>
      <c r="D1724" s="46" t="s">
        <v>5377</v>
      </c>
      <c r="E1724" s="46" cm="1">
        <f t="array" ref="E1724">tchrs_tesdanatlquali_ict_medtranscription_trainingmngt</f>
        <v>0</v>
      </c>
      <c r="F1724" s="46" t="b">
        <v>1</v>
      </c>
    </row>
    <row r="1725" spans="1:6">
      <c r="A1725" s="46" t="s">
        <v>5162</v>
      </c>
      <c r="B1725" s="46" t="s">
        <v>4472</v>
      </c>
      <c r="C1725" s="46" t="s">
        <v>5162</v>
      </c>
      <c r="D1725" s="46" t="s">
        <v>5378</v>
      </c>
      <c r="E1725" s="46" cm="1">
        <f t="array" ref="E1725">tchrs_tesdanatlquali_ict_techdrafting_nc1</f>
        <v>0</v>
      </c>
      <c r="F1725" s="46" t="b">
        <v>1</v>
      </c>
    </row>
    <row r="1726" spans="1:6">
      <c r="A1726" s="46" t="s">
        <v>5163</v>
      </c>
      <c r="B1726" s="46" t="s">
        <v>4472</v>
      </c>
      <c r="C1726" s="46" t="s">
        <v>5163</v>
      </c>
      <c r="D1726" s="46" t="s">
        <v>5379</v>
      </c>
      <c r="E1726" s="46" cm="1">
        <f t="array" ref="E1726">tchrs_tesdanatlquali_ict_techdrafting_nc2</f>
        <v>0</v>
      </c>
      <c r="F1726" s="46" t="b">
        <v>1</v>
      </c>
    </row>
    <row r="1727" spans="1:6">
      <c r="A1727" s="46" t="s">
        <v>5164</v>
      </c>
      <c r="B1727" s="46" t="s">
        <v>4472</v>
      </c>
      <c r="C1727" s="46" t="s">
        <v>5164</v>
      </c>
      <c r="D1727" s="46" t="s">
        <v>5380</v>
      </c>
      <c r="E1727" s="46" cm="1">
        <f t="array" ref="E1727">tchrs_tesdanatlquali_ict_techdrafting_nc3</f>
        <v>0</v>
      </c>
      <c r="F1727" s="46" t="b">
        <v>1</v>
      </c>
    </row>
    <row r="1728" spans="1:6">
      <c r="A1728" s="46" t="s">
        <v>5165</v>
      </c>
      <c r="B1728" s="46" t="s">
        <v>4472</v>
      </c>
      <c r="C1728" s="46" t="s">
        <v>5165</v>
      </c>
      <c r="D1728" s="46" t="s">
        <v>5381</v>
      </c>
      <c r="E1728" s="46" cm="1">
        <f t="array" ref="E1728">tchrs_tesdanatlquali_ict_techdrafting_nc4</f>
        <v>0</v>
      </c>
      <c r="F1728" s="46" t="b">
        <v>1</v>
      </c>
    </row>
    <row r="1729" spans="1:6">
      <c r="A1729" s="46" t="s">
        <v>5166</v>
      </c>
      <c r="B1729" s="46" t="s">
        <v>4472</v>
      </c>
      <c r="C1729" s="46" t="s">
        <v>5166</v>
      </c>
      <c r="D1729" s="46" t="s">
        <v>5382</v>
      </c>
      <c r="E1729" s="46" cm="1">
        <f t="array" ref="E1729">tchrs_tesdanatlquali_ict_techdrafting_diploma</f>
        <v>0</v>
      </c>
      <c r="F1729" s="46" t="b">
        <v>1</v>
      </c>
    </row>
    <row r="1730" spans="1:6">
      <c r="A1730" s="46" t="s">
        <v>5167</v>
      </c>
      <c r="B1730" s="46" t="s">
        <v>4472</v>
      </c>
      <c r="C1730" s="46" t="s">
        <v>5167</v>
      </c>
      <c r="D1730" s="46" t="s">
        <v>5383</v>
      </c>
      <c r="E1730" s="46" cm="1">
        <f t="array" ref="E1730">tchrs_tesdanatlquali_ict_techdrafting_trainingmngt</f>
        <v>0</v>
      </c>
      <c r="F1730" s="46" t="b">
        <v>1</v>
      </c>
    </row>
    <row r="1731" spans="1:6">
      <c r="A1731" s="46" t="s">
        <v>5168</v>
      </c>
      <c r="B1731" s="46" t="s">
        <v>4472</v>
      </c>
      <c r="C1731" s="46" t="s">
        <v>5168</v>
      </c>
      <c r="D1731" s="46" t="s">
        <v>5384</v>
      </c>
      <c r="E1731" s="46" cm="1">
        <f t="array" ref="E1731">tchrs_tesdanatlquali_ict_telcomosppotsndsl_nc1</f>
        <v>0</v>
      </c>
      <c r="F1731" s="46" t="b">
        <v>1</v>
      </c>
    </row>
    <row r="1732" spans="1:6">
      <c r="A1732" s="46" t="s">
        <v>5169</v>
      </c>
      <c r="B1732" s="46" t="s">
        <v>4472</v>
      </c>
      <c r="C1732" s="46" t="s">
        <v>5169</v>
      </c>
      <c r="D1732" s="46" t="s">
        <v>5385</v>
      </c>
      <c r="E1732" s="46" cm="1">
        <f t="array" ref="E1732">tchrs_tesdanatlquali_ict_telcomosppotsndsl_nc2</f>
        <v>0</v>
      </c>
      <c r="F1732" s="46" t="b">
        <v>1</v>
      </c>
    </row>
    <row r="1733" spans="1:6">
      <c r="A1733" s="46" t="s">
        <v>5170</v>
      </c>
      <c r="B1733" s="46" t="s">
        <v>4472</v>
      </c>
      <c r="C1733" s="46" t="s">
        <v>5170</v>
      </c>
      <c r="D1733" s="46" t="s">
        <v>5386</v>
      </c>
      <c r="E1733" s="46" cm="1">
        <f t="array" ref="E1733">tchrs_tesdanatlquali_ict_telcomosppotsndsl_nc3</f>
        <v>0</v>
      </c>
      <c r="F1733" s="46" t="b">
        <v>1</v>
      </c>
    </row>
    <row r="1734" spans="1:6">
      <c r="A1734" s="46" t="s">
        <v>5171</v>
      </c>
      <c r="B1734" s="46" t="s">
        <v>4472</v>
      </c>
      <c r="C1734" s="46" t="s">
        <v>5171</v>
      </c>
      <c r="D1734" s="46" t="s">
        <v>5387</v>
      </c>
      <c r="E1734" s="46" cm="1">
        <f t="array" ref="E1734">tchrs_tesdanatlquali_ict_telcomosppotsndsl_nc4</f>
        <v>0</v>
      </c>
      <c r="F1734" s="46" t="b">
        <v>1</v>
      </c>
    </row>
    <row r="1735" spans="1:6">
      <c r="A1735" s="46" t="s">
        <v>5172</v>
      </c>
      <c r="B1735" s="46" t="s">
        <v>4472</v>
      </c>
      <c r="C1735" s="46" t="s">
        <v>5172</v>
      </c>
      <c r="D1735" s="46" t="s">
        <v>5388</v>
      </c>
      <c r="E1735" s="46" cm="1">
        <f t="array" ref="E1735">tchrs_tesdanatlquali_ict_telcomosppotsndsl_diploma</f>
        <v>0</v>
      </c>
      <c r="F1735" s="46" t="b">
        <v>1</v>
      </c>
    </row>
    <row r="1736" spans="1:6">
      <c r="A1736" s="46" t="s">
        <v>5173</v>
      </c>
      <c r="B1736" s="46" t="s">
        <v>4472</v>
      </c>
      <c r="C1736" s="46" t="s">
        <v>5173</v>
      </c>
      <c r="D1736" s="46" t="s">
        <v>5389</v>
      </c>
      <c r="E1736" s="46" cm="1">
        <f t="array" ref="E1736">tchrs_tesdanatlquali_ict_telcomosppotsndsl_trainingmngt</f>
        <v>0</v>
      </c>
      <c r="F1736" s="46" t="b">
        <v>1</v>
      </c>
    </row>
    <row r="1737" spans="1:6">
      <c r="A1737" s="46" t="s">
        <v>5174</v>
      </c>
      <c r="B1737" s="46" t="s">
        <v>4472</v>
      </c>
      <c r="C1737" s="46" t="s">
        <v>5174</v>
      </c>
      <c r="D1737" s="46" t="s">
        <v>5390</v>
      </c>
      <c r="E1737" s="46" cm="1">
        <f t="array" ref="E1737">tchrs_tesdanatlquali_ict_telcomospinst_nc1</f>
        <v>0</v>
      </c>
      <c r="F1737" s="46" t="b">
        <v>1</v>
      </c>
    </row>
    <row r="1738" spans="1:6">
      <c r="A1738" s="46" t="s">
        <v>5175</v>
      </c>
      <c r="B1738" s="46" t="s">
        <v>4472</v>
      </c>
      <c r="C1738" s="46" t="s">
        <v>5175</v>
      </c>
      <c r="D1738" s="46" t="s">
        <v>5391</v>
      </c>
      <c r="E1738" s="46" cm="1">
        <f t="array" ref="E1738">tchrs_tesdanatlquali_ict_telcomospinst_nc2</f>
        <v>0</v>
      </c>
      <c r="F1738" s="46" t="b">
        <v>1</v>
      </c>
    </row>
    <row r="1739" spans="1:6">
      <c r="A1739" s="46" t="s">
        <v>5176</v>
      </c>
      <c r="B1739" s="46" t="s">
        <v>4472</v>
      </c>
      <c r="C1739" s="46" t="s">
        <v>5176</v>
      </c>
      <c r="D1739" s="46" t="s">
        <v>5392</v>
      </c>
      <c r="E1739" s="46" cm="1">
        <f t="array" ref="E1739">tchrs_tesdanatlquali_ict_telcomospinst_nc3</f>
        <v>0</v>
      </c>
      <c r="F1739" s="46" t="b">
        <v>1</v>
      </c>
    </row>
    <row r="1740" spans="1:6">
      <c r="A1740" s="46" t="s">
        <v>5177</v>
      </c>
      <c r="B1740" s="46" t="s">
        <v>4472</v>
      </c>
      <c r="C1740" s="46" t="s">
        <v>5177</v>
      </c>
      <c r="D1740" s="46" t="s">
        <v>5393</v>
      </c>
      <c r="E1740" s="46" cm="1">
        <f t="array" ref="E1740">tchrs_tesdanatlquali_ict_telcomospinst_nc4</f>
        <v>0</v>
      </c>
      <c r="F1740" s="46" t="b">
        <v>1</v>
      </c>
    </row>
    <row r="1741" spans="1:6">
      <c r="A1741" s="46" t="s">
        <v>5178</v>
      </c>
      <c r="B1741" s="46" t="s">
        <v>4472</v>
      </c>
      <c r="C1741" s="46" t="s">
        <v>5178</v>
      </c>
      <c r="D1741" s="46" t="s">
        <v>5394</v>
      </c>
      <c r="E1741" s="46" cm="1">
        <f t="array" ref="E1741">tchrs_tesdanatlquali_ict_telcomospinst_diploma</f>
        <v>0</v>
      </c>
      <c r="F1741" s="46" t="b">
        <v>1</v>
      </c>
    </row>
    <row r="1742" spans="1:6">
      <c r="A1742" s="46" t="s">
        <v>5179</v>
      </c>
      <c r="B1742" s="46" t="s">
        <v>4472</v>
      </c>
      <c r="C1742" s="46" t="s">
        <v>5179</v>
      </c>
      <c r="D1742" s="46" t="s">
        <v>5395</v>
      </c>
      <c r="E1742" s="46" cm="1">
        <f t="array" ref="E1742">tchrs_tesdanatlquali_ict_telcomospinst_trainingmngt</f>
        <v>0</v>
      </c>
      <c r="F1742" s="46" t="b">
        <v>1</v>
      </c>
    </row>
    <row r="1743" spans="1:6">
      <c r="A1743" s="46" t="s">
        <v>5180</v>
      </c>
      <c r="B1743" s="46" t="s">
        <v>4472</v>
      </c>
      <c r="C1743" s="46" t="s">
        <v>5180</v>
      </c>
      <c r="D1743" s="46" t="s">
        <v>5396</v>
      </c>
      <c r="E1743" s="46" cm="1">
        <f t="array" ref="E1743">tchrs_tesdanatlquali_tvl_naviwatch_nc1</f>
        <v>0</v>
      </c>
      <c r="F1743" s="46" t="b">
        <v>1</v>
      </c>
    </row>
    <row r="1744" spans="1:6">
      <c r="A1744" s="46" t="s">
        <v>5181</v>
      </c>
      <c r="B1744" s="46" t="s">
        <v>4472</v>
      </c>
      <c r="C1744" s="46" t="s">
        <v>5181</v>
      </c>
      <c r="D1744" s="46" t="s">
        <v>5397</v>
      </c>
      <c r="E1744" s="46" cm="1">
        <f t="array" ref="E1744">tchrs_tesdanatlquali_tvl_naviwatch_nc2</f>
        <v>0</v>
      </c>
      <c r="F1744" s="46" t="b">
        <v>1</v>
      </c>
    </row>
    <row r="1745" spans="1:6">
      <c r="A1745" s="46" t="s">
        <v>5182</v>
      </c>
      <c r="B1745" s="46" t="s">
        <v>4472</v>
      </c>
      <c r="C1745" s="46" t="s">
        <v>5182</v>
      </c>
      <c r="D1745" s="46" t="s">
        <v>5398</v>
      </c>
      <c r="E1745" s="46" cm="1">
        <f t="array" ref="E1745">tchrs_tesdanatlquali_tvl_naviwatch_nc3</f>
        <v>0</v>
      </c>
      <c r="F1745" s="46" t="b">
        <v>1</v>
      </c>
    </row>
    <row r="1746" spans="1:6">
      <c r="A1746" s="46" t="s">
        <v>5183</v>
      </c>
      <c r="B1746" s="46" t="s">
        <v>4472</v>
      </c>
      <c r="C1746" s="46" t="s">
        <v>5183</v>
      </c>
      <c r="D1746" s="46" t="s">
        <v>5399</v>
      </c>
      <c r="E1746" s="46" cm="1">
        <f t="array" ref="E1746">tchrs_tesdanatlquali_tvl_naviwatch_nc4</f>
        <v>0</v>
      </c>
      <c r="F1746" s="46" t="b">
        <v>1</v>
      </c>
    </row>
    <row r="1747" spans="1:6">
      <c r="A1747" s="46" t="s">
        <v>5184</v>
      </c>
      <c r="B1747" s="46" t="s">
        <v>4472</v>
      </c>
      <c r="C1747" s="46" t="s">
        <v>5184</v>
      </c>
      <c r="D1747" s="46" t="s">
        <v>5400</v>
      </c>
      <c r="E1747" s="46" cm="1">
        <f t="array" ref="E1747">tchrs_tesdanatlquali_tvl_naviwatch_diploma</f>
        <v>0</v>
      </c>
      <c r="F1747" s="46" t="b">
        <v>1</v>
      </c>
    </row>
    <row r="1748" spans="1:6">
      <c r="A1748" s="46" t="s">
        <v>5185</v>
      </c>
      <c r="B1748" s="46" t="s">
        <v>4472</v>
      </c>
      <c r="C1748" s="46" t="s">
        <v>5185</v>
      </c>
      <c r="D1748" s="46" t="s">
        <v>5401</v>
      </c>
      <c r="E1748" s="46" cm="1">
        <f t="array" ref="E1748">tchrs_tesdanatlquali_tvl_naviwatch_trainingmngt</f>
        <v>0</v>
      </c>
      <c r="F1748" s="46" t="b">
        <v>1</v>
      </c>
    </row>
    <row r="1749" spans="1:6">
      <c r="A1749" s="46" t="s">
        <v>5186</v>
      </c>
      <c r="B1749" s="46" t="s">
        <v>4472</v>
      </c>
      <c r="C1749" s="46" t="s">
        <v>5186</v>
      </c>
      <c r="D1749" s="46" t="s">
        <v>5402</v>
      </c>
      <c r="E1749" s="46" cm="1">
        <f t="array" ref="E1749">tchrs_tesdanatlquali_tvl_enginewatch_nc1</f>
        <v>0</v>
      </c>
      <c r="F1749" s="46" t="b">
        <v>1</v>
      </c>
    </row>
    <row r="1750" spans="1:6">
      <c r="A1750" s="46" t="s">
        <v>5187</v>
      </c>
      <c r="B1750" s="46" t="s">
        <v>4472</v>
      </c>
      <c r="C1750" s="46" t="s">
        <v>5187</v>
      </c>
      <c r="D1750" s="46" t="s">
        <v>5403</v>
      </c>
      <c r="E1750" s="46" cm="1">
        <f t="array" ref="E1750">tchrs_tesdanatlquali_tvl_enginewatch_nc2</f>
        <v>0</v>
      </c>
      <c r="F1750" s="46" t="b">
        <v>1</v>
      </c>
    </row>
    <row r="1751" spans="1:6">
      <c r="A1751" s="46" t="s">
        <v>5188</v>
      </c>
      <c r="B1751" s="46" t="s">
        <v>4472</v>
      </c>
      <c r="C1751" s="46" t="s">
        <v>5188</v>
      </c>
      <c r="D1751" s="46" t="s">
        <v>5404</v>
      </c>
      <c r="E1751" s="46" cm="1">
        <f t="array" ref="E1751">tchrs_tesdanatlquali_tvl_enginewatch_nc3</f>
        <v>0</v>
      </c>
      <c r="F1751" s="46" t="b">
        <v>1</v>
      </c>
    </row>
    <row r="1752" spans="1:6">
      <c r="A1752" s="46" t="s">
        <v>5189</v>
      </c>
      <c r="B1752" s="46" t="s">
        <v>4472</v>
      </c>
      <c r="C1752" s="46" t="s">
        <v>5189</v>
      </c>
      <c r="D1752" s="46" t="s">
        <v>5405</v>
      </c>
      <c r="E1752" s="46" cm="1">
        <f t="array" ref="E1752">tchrs_tesdanatlquali_tvl_enginewatch_nc4</f>
        <v>0</v>
      </c>
      <c r="F1752" s="46" t="b">
        <v>1</v>
      </c>
    </row>
    <row r="1753" spans="1:6">
      <c r="A1753" s="46" t="s">
        <v>5190</v>
      </c>
      <c r="B1753" s="46" t="s">
        <v>4472</v>
      </c>
      <c r="C1753" s="46" t="s">
        <v>5190</v>
      </c>
      <c r="D1753" s="46" t="s">
        <v>5406</v>
      </c>
      <c r="E1753" s="46" cm="1">
        <f t="array" ref="E1753">tchrs_tesdanatlquali_tvl_enginewatch_diploma</f>
        <v>0</v>
      </c>
      <c r="F1753" s="46" t="b">
        <v>1</v>
      </c>
    </row>
    <row r="1754" spans="1:6">
      <c r="A1754" s="46" t="s">
        <v>5191</v>
      </c>
      <c r="B1754" s="46" t="s">
        <v>4472</v>
      </c>
      <c r="C1754" s="46" t="s">
        <v>5191</v>
      </c>
      <c r="D1754" s="46" t="s">
        <v>5407</v>
      </c>
      <c r="E1754" s="46" cm="1">
        <f t="array" ref="E1754">tchrs_tesdanatlquali_tvl_enginewatch_trainingmngt</f>
        <v>0</v>
      </c>
      <c r="F1754" s="46" t="b">
        <v>1</v>
      </c>
    </row>
    <row r="1755" spans="1:6">
      <c r="A1755" s="46" t="s">
        <v>5192</v>
      </c>
      <c r="B1755" s="46" t="s">
        <v>4472</v>
      </c>
      <c r="C1755" s="46" t="s">
        <v>5192</v>
      </c>
      <c r="D1755" s="46" t="s">
        <v>5408</v>
      </c>
      <c r="E1755" s="46" cm="1">
        <f t="array" ref="E1755">tchrs_tesdanatlquali_tvl_safety_nc1</f>
        <v>0</v>
      </c>
      <c r="F1755" s="46" t="b">
        <v>1</v>
      </c>
    </row>
    <row r="1756" spans="1:6">
      <c r="A1756" s="46" t="s">
        <v>5193</v>
      </c>
      <c r="B1756" s="46" t="s">
        <v>4472</v>
      </c>
      <c r="C1756" s="46" t="s">
        <v>5193</v>
      </c>
      <c r="D1756" s="46" t="s">
        <v>5409</v>
      </c>
      <c r="E1756" s="46" cm="1">
        <f t="array" ref="E1756">tchrs_tesdanatlquali_tvl_safety_nc2</f>
        <v>0</v>
      </c>
      <c r="F1756" s="46" t="b">
        <v>1</v>
      </c>
    </row>
    <row r="1757" spans="1:6">
      <c r="A1757" s="46" t="s">
        <v>5194</v>
      </c>
      <c r="B1757" s="46" t="s">
        <v>4472</v>
      </c>
      <c r="C1757" s="46" t="s">
        <v>5194</v>
      </c>
      <c r="D1757" s="46" t="s">
        <v>5410</v>
      </c>
      <c r="E1757" s="46" cm="1">
        <f t="array" ref="E1757">tchrs_tesdanatlquali_tvl_safety_nc3</f>
        <v>0</v>
      </c>
      <c r="F1757" s="46" t="b">
        <v>1</v>
      </c>
    </row>
    <row r="1758" spans="1:6">
      <c r="A1758" s="46" t="s">
        <v>5195</v>
      </c>
      <c r="B1758" s="46" t="s">
        <v>4472</v>
      </c>
      <c r="C1758" s="46" t="s">
        <v>5195</v>
      </c>
      <c r="D1758" s="46" t="s">
        <v>5411</v>
      </c>
      <c r="E1758" s="46" cm="1">
        <f t="array" ref="E1758">tchrs_tesdanatlquali_tvl_safety_nc4</f>
        <v>0</v>
      </c>
      <c r="F1758" s="46" t="b">
        <v>1</v>
      </c>
    </row>
    <row r="1759" spans="1:6">
      <c r="A1759" s="46" t="s">
        <v>5196</v>
      </c>
      <c r="B1759" s="46" t="s">
        <v>4472</v>
      </c>
      <c r="C1759" s="46" t="s">
        <v>5196</v>
      </c>
      <c r="D1759" s="46" t="s">
        <v>5412</v>
      </c>
      <c r="E1759" s="46" cm="1">
        <f t="array" ref="E1759">tchrs_tesdanatlquali_tvl_safety_diploma</f>
        <v>0</v>
      </c>
      <c r="F1759" s="46" t="b">
        <v>1</v>
      </c>
    </row>
    <row r="1760" spans="1:6">
      <c r="A1760" s="46" t="s">
        <v>5197</v>
      </c>
      <c r="B1760" s="46" t="s">
        <v>4472</v>
      </c>
      <c r="C1760" s="46" t="s">
        <v>5197</v>
      </c>
      <c r="D1760" s="46" t="s">
        <v>5413</v>
      </c>
      <c r="E1760" s="46" cm="1">
        <f t="array" ref="E1760">tchrs_tesdanatlquali_tvl_safety_trainingmngt</f>
        <v>0</v>
      </c>
      <c r="F1760" s="46" t="b">
        <v>1</v>
      </c>
    </row>
    <row r="1761" spans="1:8">
      <c r="A1761" s="46" t="s">
        <v>5198</v>
      </c>
      <c r="B1761" s="46" t="s">
        <v>4472</v>
      </c>
      <c r="C1761" s="46" t="s">
        <v>5198</v>
      </c>
      <c r="D1761" s="46" t="s">
        <v>5414</v>
      </c>
      <c r="E1761" s="46" cm="1">
        <f t="array" ref="E1761">tchrs_tesdanatlquali_tvl_shipcatering_nc1</f>
        <v>0</v>
      </c>
      <c r="F1761" s="46" t="b">
        <v>1</v>
      </c>
    </row>
    <row r="1762" spans="1:8">
      <c r="A1762" s="46" t="s">
        <v>5199</v>
      </c>
      <c r="B1762" s="46" t="s">
        <v>4472</v>
      </c>
      <c r="C1762" s="46" t="s">
        <v>5199</v>
      </c>
      <c r="D1762" s="46" t="s">
        <v>5415</v>
      </c>
      <c r="E1762" s="46" cm="1">
        <f t="array" ref="E1762">tchrs_tesdanatlquali_tvl_shipcatering_nc2</f>
        <v>0</v>
      </c>
      <c r="F1762" s="46" t="b">
        <v>1</v>
      </c>
    </row>
    <row r="1763" spans="1:8">
      <c r="A1763" s="46" t="s">
        <v>5200</v>
      </c>
      <c r="B1763" s="46" t="s">
        <v>4472</v>
      </c>
      <c r="C1763" s="46" t="s">
        <v>5200</v>
      </c>
      <c r="D1763" s="46" t="s">
        <v>5416</v>
      </c>
      <c r="E1763" s="46" cm="1">
        <f t="array" ref="E1763">tchrs_tesdanatlquali_tvl_shipcatering_nc3</f>
        <v>0</v>
      </c>
      <c r="F1763" s="46" t="b">
        <v>1</v>
      </c>
    </row>
    <row r="1764" spans="1:8">
      <c r="A1764" s="46" t="s">
        <v>5201</v>
      </c>
      <c r="B1764" s="46" t="s">
        <v>4472</v>
      </c>
      <c r="C1764" s="46" t="s">
        <v>5201</v>
      </c>
      <c r="D1764" s="46" t="s">
        <v>5417</v>
      </c>
      <c r="E1764" s="46" cm="1">
        <f t="array" ref="E1764">tchrs_tesdanatlquali_tvl_shipcatering_nc4</f>
        <v>0</v>
      </c>
      <c r="F1764" s="46" t="b">
        <v>1</v>
      </c>
    </row>
    <row r="1765" spans="1:8">
      <c r="A1765" s="46" t="s">
        <v>5202</v>
      </c>
      <c r="B1765" s="46" t="s">
        <v>4472</v>
      </c>
      <c r="C1765" s="46" t="s">
        <v>5202</v>
      </c>
      <c r="D1765" s="46" t="s">
        <v>5418</v>
      </c>
      <c r="E1765" s="46" cm="1">
        <f t="array" ref="E1765">tchrs_tesdanatlquali_tvl_shipcatering_diploma</f>
        <v>0</v>
      </c>
      <c r="F1765" s="46" t="b">
        <v>1</v>
      </c>
    </row>
    <row r="1766" spans="1:8" ht="16.5" thickBot="1">
      <c r="A1766" s="479" t="s">
        <v>5203</v>
      </c>
      <c r="B1766" s="479" t="s">
        <v>4472</v>
      </c>
      <c r="C1766" s="479" t="s">
        <v>5203</v>
      </c>
      <c r="D1766" s="479" t="s">
        <v>5419</v>
      </c>
      <c r="E1766" s="479" cm="1">
        <f t="array" ref="E1766">tchrs_tesdanatlquali_tvl_shipcatering_trainingmngt</f>
        <v>0</v>
      </c>
      <c r="F1766" s="479" t="b">
        <v>1</v>
      </c>
      <c r="G1766" s="1775"/>
      <c r="H1766" s="1775"/>
    </row>
    <row r="1767" spans="1:8" ht="16.5" thickTop="1">
      <c r="A1767" s="46" t="s">
        <v>5420</v>
      </c>
      <c r="B1767" s="46" t="s">
        <v>5421</v>
      </c>
      <c r="C1767" s="46" t="s">
        <v>5420</v>
      </c>
      <c r="D1767" s="1018" t="s">
        <v>5422</v>
      </c>
      <c r="E1767" s="46" t="b">
        <f>lac_session_yes</f>
        <v>1</v>
      </c>
      <c r="F1767" s="1696" t="b">
        <f>OR(E1767=TRUE, E1767=FALSE)</f>
        <v>1</v>
      </c>
      <c r="G1767" s="46" t="s">
        <v>11265</v>
      </c>
    </row>
    <row r="1768" spans="1:8">
      <c r="A1768" s="46" t="s">
        <v>5423</v>
      </c>
      <c r="B1768" s="46" t="s">
        <v>5421</v>
      </c>
      <c r="C1768" s="46" t="s">
        <v>5423</v>
      </c>
      <c r="D1768" s="1018" t="s">
        <v>5424</v>
      </c>
      <c r="E1768" s="46">
        <f>lac_session_last_sy</f>
        <v>7</v>
      </c>
      <c r="F1768" s="46" t="b">
        <v>1</v>
      </c>
    </row>
    <row r="1769" spans="1:8">
      <c r="A1769" s="46" t="s">
        <v>5425</v>
      </c>
      <c r="B1769" s="46" t="s">
        <v>5421</v>
      </c>
      <c r="C1769" s="46" t="s">
        <v>5425</v>
      </c>
      <c r="D1769" s="1018" t="s">
        <v>5426</v>
      </c>
      <c r="E1769" s="46">
        <f>lac_session_current_sy</f>
        <v>7</v>
      </c>
      <c r="F1769" s="46" t="b">
        <v>1</v>
      </c>
    </row>
    <row r="1770" spans="1:8">
      <c r="A1770" s="46" t="s">
        <v>5427</v>
      </c>
      <c r="B1770" s="46" t="s">
        <v>5421</v>
      </c>
      <c r="C1770" s="46" t="s">
        <v>5427</v>
      </c>
      <c r="D1770" s="1018" t="s">
        <v>5428</v>
      </c>
      <c r="E1770" s="46" t="str">
        <f>cid_personnel_name</f>
        <v>RONE RAY M. PORTACION / March 17, 2023</v>
      </c>
      <c r="F1770" s="46" t="b">
        <v>1</v>
      </c>
    </row>
    <row r="1771" spans="1:8" ht="16.5" thickBot="1">
      <c r="A1771" s="479" t="s">
        <v>5429</v>
      </c>
      <c r="B1771" s="479" t="s">
        <v>5421</v>
      </c>
      <c r="C1771" s="479" t="s">
        <v>5429</v>
      </c>
      <c r="D1771" s="1019" t="s">
        <v>5430</v>
      </c>
      <c r="E1771" s="479" t="str">
        <f>cid_personnel_pos</f>
        <v>EDUCATION PROGRAM SUPERVISOR</v>
      </c>
      <c r="F1771" s="479" t="b">
        <v>1</v>
      </c>
      <c r="G1771" s="479"/>
      <c r="H1771" s="479"/>
    </row>
    <row r="1772" spans="1:8" ht="16.5" thickTop="1">
      <c r="A1772" s="46" t="s">
        <v>5431</v>
      </c>
      <c r="B1772" s="46" t="s">
        <v>5432</v>
      </c>
      <c r="C1772" s="46" t="s">
        <v>5431</v>
      </c>
      <c r="D1772" s="46" t="s">
        <v>5433</v>
      </c>
      <c r="E1772" s="46" t="b">
        <f>action_research_yes</f>
        <v>1</v>
      </c>
      <c r="F1772" s="1696" t="b">
        <f>OR(E1772=TRUE, E1772=FALSE)</f>
        <v>1</v>
      </c>
      <c r="G1772" s="46" t="s">
        <v>11265</v>
      </c>
    </row>
    <row r="1773" spans="1:8">
      <c r="A1773" s="46" t="s">
        <v>5434</v>
      </c>
      <c r="B1773" s="46" t="s">
        <v>5432</v>
      </c>
      <c r="C1773" s="46" t="s">
        <v>5434</v>
      </c>
      <c r="D1773" s="46" t="s">
        <v>5435</v>
      </c>
      <c r="E1773" s="46">
        <f>action_research_sy_1819</f>
        <v>2</v>
      </c>
      <c r="F1773" s="46" t="b">
        <v>1</v>
      </c>
    </row>
    <row r="1774" spans="1:8">
      <c r="A1774" s="46" t="s">
        <v>5436</v>
      </c>
      <c r="B1774" s="46" t="s">
        <v>5432</v>
      </c>
      <c r="C1774" s="46" t="s">
        <v>5436</v>
      </c>
      <c r="D1774" s="46" t="s">
        <v>5437</v>
      </c>
      <c r="E1774" s="46">
        <f>action_research_ongoing</f>
        <v>7</v>
      </c>
      <c r="F1774" s="46" t="b">
        <v>1</v>
      </c>
    </row>
    <row r="1775" spans="1:8">
      <c r="A1775" s="1759" t="s">
        <v>5438</v>
      </c>
      <c r="B1775" s="1759" t="s">
        <v>5432</v>
      </c>
      <c r="C1775" s="1759" t="s">
        <v>5438</v>
      </c>
      <c r="D1775" s="1759" t="s">
        <v>5439</v>
      </c>
      <c r="E1775" s="1759">
        <f>action_research_tobe_conducted</f>
        <v>2</v>
      </c>
      <c r="F1775" s="46" t="b">
        <v>1</v>
      </c>
    </row>
    <row r="1776" spans="1:8" ht="16.5" thickBot="1">
      <c r="A1776" s="480" t="s">
        <v>5440</v>
      </c>
      <c r="B1776" s="1760" t="s">
        <v>5432</v>
      </c>
      <c r="C1776" s="480" t="s">
        <v>5440</v>
      </c>
      <c r="D1776" s="479" t="s">
        <v>5439</v>
      </c>
      <c r="E1776" s="480" t="str" cm="1">
        <f t="array" ref="E1776">sch_seps_name_prs_sgod</f>
        <v>RONE RAY M. PORTACION / March 17, 2023</v>
      </c>
      <c r="F1776" s="479" t="b">
        <v>1</v>
      </c>
      <c r="G1776" s="479"/>
      <c r="H1776" s="479"/>
    </row>
    <row r="1777" spans="1:7" ht="16.5" thickTop="1">
      <c r="A1777" s="46" t="s">
        <v>5441</v>
      </c>
      <c r="B1777" s="46" t="s">
        <v>5442</v>
      </c>
      <c r="C1777" s="46" t="s">
        <v>5441</v>
      </c>
      <c r="D1777" s="46" t="s">
        <v>5443</v>
      </c>
      <c r="E1777" s="46" t="b">
        <f>sch_sgp_spgcouncil_yes</f>
        <v>1</v>
      </c>
      <c r="F1777" s="1696" t="b">
        <f t="shared" ref="F1777:F1778" si="1">OR(E1777=TRUE, E1777=FALSE)</f>
        <v>1</v>
      </c>
      <c r="G1777" s="46" t="s">
        <v>11265</v>
      </c>
    </row>
    <row r="1778" spans="1:7">
      <c r="A1778" s="46" t="s">
        <v>5444</v>
      </c>
      <c r="B1778" s="46" t="s">
        <v>5442</v>
      </c>
      <c r="C1778" s="46" t="s">
        <v>5444</v>
      </c>
      <c r="D1778" s="46" t="s">
        <v>5445</v>
      </c>
      <c r="E1778" s="46" t="b" cm="1">
        <f t="array" ref="E1778">sch_sgp_spgadviser_yes</f>
        <v>1</v>
      </c>
      <c r="F1778" s="1696" t="b">
        <f t="shared" si="1"/>
        <v>1</v>
      </c>
      <c r="G1778" s="46" t="s">
        <v>11265</v>
      </c>
    </row>
    <row r="1779" spans="1:7">
      <c r="A1779" s="478" t="s">
        <v>5446</v>
      </c>
      <c r="B1779" s="46" t="s">
        <v>5442</v>
      </c>
      <c r="C1779" s="478" t="s">
        <v>5446</v>
      </c>
      <c r="D1779" s="46" t="s">
        <v>5447</v>
      </c>
      <c r="E1779" s="478" cm="1">
        <f t="array" ref="E1779">sch_sgp_spgadviser_yes_num_advisers</f>
        <v>3</v>
      </c>
      <c r="F1779" s="46" t="b">
        <v>1</v>
      </c>
    </row>
    <row r="1780" spans="1:7">
      <c r="A1780" s="46" t="s">
        <v>5448</v>
      </c>
      <c r="B1780" s="46" t="s">
        <v>5442</v>
      </c>
      <c r="C1780" s="46" t="s">
        <v>5448</v>
      </c>
      <c r="D1780" s="46" t="s">
        <v>5449</v>
      </c>
      <c r="E1780" s="46" t="b" cm="1">
        <f t="array" ref="E1780">sch_spgadviser_subjhandle_sci</f>
        <v>0</v>
      </c>
      <c r="F1780" s="1696" t="b">
        <f>OR(E1780=TRUE, E1780=FALSE)</f>
        <v>1</v>
      </c>
      <c r="G1780" s="46" t="s">
        <v>11265</v>
      </c>
    </row>
    <row r="1781" spans="1:7">
      <c r="A1781" s="46" t="s">
        <v>5450</v>
      </c>
      <c r="B1781" s="46" t="s">
        <v>5442</v>
      </c>
      <c r="C1781" s="46" t="s">
        <v>5450</v>
      </c>
      <c r="D1781" s="46" t="s">
        <v>5451</v>
      </c>
      <c r="E1781" s="46" t="b" cm="1">
        <f t="array" ref="E1781">sch_spgadviser_subjhandle_math</f>
        <v>0</v>
      </c>
      <c r="F1781" s="1696" t="b">
        <f>OR(E1781=TRUE, E1781=FALSE)</f>
        <v>1</v>
      </c>
      <c r="G1781" s="46" t="s">
        <v>11265</v>
      </c>
    </row>
    <row r="1782" spans="1:7">
      <c r="A1782" s="46" t="s">
        <v>5452</v>
      </c>
      <c r="B1782" s="46" t="s">
        <v>5442</v>
      </c>
      <c r="C1782" s="46" t="s">
        <v>5452</v>
      </c>
      <c r="D1782" s="46" t="s">
        <v>5455</v>
      </c>
      <c r="E1782" s="46" t="str" cm="1">
        <f t="array" ref="E1782">sch_spgadviser_subjhandle_others</f>
        <v>NON-TEACHING</v>
      </c>
      <c r="F1782" s="46" t="b">
        <v>1</v>
      </c>
    </row>
    <row r="1783" spans="1:7">
      <c r="A1783" s="46" t="s">
        <v>5454</v>
      </c>
      <c r="B1783" s="46" t="s">
        <v>5442</v>
      </c>
      <c r="C1783" s="46" t="s">
        <v>5454</v>
      </c>
      <c r="D1783" s="46" t="s">
        <v>5453</v>
      </c>
      <c r="E1783" s="46" t="b" cm="1">
        <f t="array" ref="E1783">sch_spgadviser_subjhandle_otherspec</f>
        <v>1</v>
      </c>
      <c r="F1783" s="1696" t="b">
        <f t="shared" ref="F1783:F1813" si="2">OR(E1783=TRUE, E1783=FALSE)</f>
        <v>1</v>
      </c>
      <c r="G1783" s="46" t="s">
        <v>11265</v>
      </c>
    </row>
    <row r="1784" spans="1:7">
      <c r="A1784" s="46" t="s">
        <v>5456</v>
      </c>
      <c r="B1784" s="46" t="s">
        <v>5442</v>
      </c>
      <c r="C1784" s="46" t="s">
        <v>5456</v>
      </c>
      <c r="D1784" s="46" t="s">
        <v>5457</v>
      </c>
      <c r="E1784" s="46" t="b" cm="1">
        <f t="array" ref="E1784">sch_spgadviser_subjhandle_fil</f>
        <v>0</v>
      </c>
      <c r="F1784" s="1696" t="b">
        <f t="shared" si="2"/>
        <v>1</v>
      </c>
      <c r="G1784" s="46" t="s">
        <v>11265</v>
      </c>
    </row>
    <row r="1785" spans="1:7">
      <c r="A1785" s="46" t="s">
        <v>5458</v>
      </c>
      <c r="B1785" s="46" t="s">
        <v>5442</v>
      </c>
      <c r="C1785" s="46" t="s">
        <v>5458</v>
      </c>
      <c r="D1785" s="46" t="s">
        <v>5459</v>
      </c>
      <c r="E1785" s="46" t="b" cm="1">
        <f t="array" ref="E1785">sch_spgadviser_subjhandle_ap</f>
        <v>0</v>
      </c>
      <c r="F1785" s="1696" t="b">
        <f t="shared" si="2"/>
        <v>1</v>
      </c>
      <c r="G1785" s="46" t="s">
        <v>11265</v>
      </c>
    </row>
    <row r="1786" spans="1:7">
      <c r="A1786" s="46" t="s">
        <v>5460</v>
      </c>
      <c r="B1786" s="46" t="s">
        <v>5442</v>
      </c>
      <c r="C1786" s="46" t="s">
        <v>5460</v>
      </c>
      <c r="D1786" s="46" t="s">
        <v>5461</v>
      </c>
      <c r="E1786" s="46" t="b" cm="1">
        <f t="array" ref="E1786">sch_spgadviser_hacadegree_undergrad</f>
        <v>0</v>
      </c>
      <c r="F1786" s="1696" t="b">
        <f t="shared" si="2"/>
        <v>1</v>
      </c>
      <c r="G1786" s="46" t="s">
        <v>11265</v>
      </c>
    </row>
    <row r="1787" spans="1:7">
      <c r="A1787" s="46" t="s">
        <v>5462</v>
      </c>
      <c r="B1787" s="46" t="s">
        <v>5442</v>
      </c>
      <c r="C1787" s="46" t="s">
        <v>5462</v>
      </c>
      <c r="D1787" s="46" t="s">
        <v>5463</v>
      </c>
      <c r="E1787" s="46" t="b" cm="1">
        <f t="array" ref="E1787">sch_spgadviser_hacadegree_mastergrad</f>
        <v>0</v>
      </c>
      <c r="F1787" s="1696" t="b">
        <f t="shared" si="2"/>
        <v>1</v>
      </c>
      <c r="G1787" s="46" t="s">
        <v>11265</v>
      </c>
    </row>
    <row r="1788" spans="1:7">
      <c r="A1788" s="46" t="s">
        <v>5464</v>
      </c>
      <c r="B1788" s="46" t="s">
        <v>5442</v>
      </c>
      <c r="C1788" s="46" t="s">
        <v>5464</v>
      </c>
      <c r="D1788" s="46" t="s">
        <v>5465</v>
      </c>
      <c r="E1788" s="46" t="b" cm="1">
        <f t="array" ref="E1788">sch_spgadviser_hacadegree_postgrad</f>
        <v>0</v>
      </c>
      <c r="F1788" s="1696" t="b">
        <f t="shared" si="2"/>
        <v>1</v>
      </c>
      <c r="G1788" s="46" t="s">
        <v>11265</v>
      </c>
    </row>
    <row r="1789" spans="1:7">
      <c r="A1789" s="46" t="s">
        <v>5466</v>
      </c>
      <c r="B1789" s="46" t="s">
        <v>5442</v>
      </c>
      <c r="C1789" s="46" t="s">
        <v>5466</v>
      </c>
      <c r="D1789" s="46" t="s">
        <v>5467</v>
      </c>
      <c r="E1789" s="46" t="b" cm="1">
        <f t="array" ref="E1789">sch_spgadviser_hacadegree_master_unit</f>
        <v>0</v>
      </c>
      <c r="F1789" s="1696" t="b">
        <f t="shared" si="2"/>
        <v>1</v>
      </c>
      <c r="G1789" s="46" t="s">
        <v>11265</v>
      </c>
    </row>
    <row r="1790" spans="1:7">
      <c r="A1790" s="46" t="s">
        <v>5468</v>
      </c>
      <c r="B1790" s="46" t="s">
        <v>5442</v>
      </c>
      <c r="C1790" s="46" t="s">
        <v>5468</v>
      </c>
      <c r="D1790" s="46" t="s">
        <v>5469</v>
      </c>
      <c r="E1790" s="46" t="b" cm="1">
        <f t="array" ref="E1790">sch_spgadviser_hacadegree_doctorate_unit</f>
        <v>1</v>
      </c>
      <c r="F1790" s="1696" t="b">
        <f t="shared" si="2"/>
        <v>1</v>
      </c>
      <c r="G1790" s="46" t="s">
        <v>11265</v>
      </c>
    </row>
    <row r="1791" spans="1:7">
      <c r="A1791" s="46" t="s">
        <v>5470</v>
      </c>
      <c r="B1791" s="46" t="s">
        <v>5442</v>
      </c>
      <c r="C1791" s="46" t="s">
        <v>5470</v>
      </c>
      <c r="D1791" s="46" t="s">
        <v>5471</v>
      </c>
      <c r="E1791" s="46" t="b" cm="1">
        <f t="array" ref="E1791">sch_spgadviser_deload_yes</f>
        <v>0</v>
      </c>
      <c r="F1791" s="1696" t="b">
        <f t="shared" si="2"/>
        <v>1</v>
      </c>
      <c r="G1791" s="46" t="s">
        <v>11265</v>
      </c>
    </row>
    <row r="1792" spans="1:7">
      <c r="A1792" s="46" t="s">
        <v>5472</v>
      </c>
      <c r="B1792" s="46" t="s">
        <v>5442</v>
      </c>
      <c r="C1792" s="46" t="s">
        <v>5472</v>
      </c>
      <c r="D1792" s="46" t="s">
        <v>5473</v>
      </c>
      <c r="E1792" s="46" t="b">
        <f>sch_spgactshs_schfees_collect_yes</f>
        <v>0</v>
      </c>
      <c r="F1792" s="1696" t="b">
        <f t="shared" si="2"/>
        <v>1</v>
      </c>
      <c r="G1792" s="46" t="s">
        <v>11265</v>
      </c>
    </row>
    <row r="1793" spans="1:8">
      <c r="A1793" s="46" t="s">
        <v>5474</v>
      </c>
      <c r="B1793" s="46" t="s">
        <v>5442</v>
      </c>
      <c r="C1793" s="46" t="s">
        <v>5474</v>
      </c>
      <c r="D1793" s="46" t="s">
        <v>5475</v>
      </c>
      <c r="E1793" s="46" t="b" cm="1">
        <f t="array" ref="E1793">sch_spgbudget_sipappinc_yes</f>
        <v>1</v>
      </c>
      <c r="F1793" s="1696" t="b">
        <f t="shared" si="2"/>
        <v>1</v>
      </c>
      <c r="G1793" s="46" t="s">
        <v>11265</v>
      </c>
    </row>
    <row r="1794" spans="1:8">
      <c r="A1794" s="46" t="s">
        <v>5476</v>
      </c>
      <c r="B1794" s="46" t="s">
        <v>5442</v>
      </c>
      <c r="C1794" s="46" t="s">
        <v>5476</v>
      </c>
      <c r="D1794" s="46" t="s">
        <v>5477</v>
      </c>
      <c r="E1794" s="46" t="b" cm="1">
        <f t="array" ref="E1794">sch_spgroom_yes</f>
        <v>0</v>
      </c>
      <c r="F1794" s="1696" t="b">
        <f t="shared" si="2"/>
        <v>1</v>
      </c>
      <c r="G1794" s="46" t="s">
        <v>11265</v>
      </c>
    </row>
    <row r="1795" spans="1:8">
      <c r="A1795" s="46" t="s">
        <v>5478</v>
      </c>
      <c r="B1795" s="46" t="s">
        <v>5442</v>
      </c>
      <c r="C1795" s="46" t="s">
        <v>5478</v>
      </c>
      <c r="D1795" s="46" t="s">
        <v>5479</v>
      </c>
      <c r="E1795" s="46" t="b" cm="1">
        <f t="array" ref="E1795">sch_spg_jdivsearch_yes</f>
        <v>0</v>
      </c>
      <c r="F1795" s="1696" t="b">
        <f t="shared" si="2"/>
        <v>1</v>
      </c>
      <c r="G1795" s="46" t="s">
        <v>11265</v>
      </c>
    </row>
    <row r="1796" spans="1:8">
      <c r="A1796" s="46" t="s">
        <v>5480</v>
      </c>
      <c r="B1796" s="46" t="s">
        <v>5442</v>
      </c>
      <c r="C1796" s="46" t="s">
        <v>5480</v>
      </c>
      <c r="D1796" s="46" t="s">
        <v>5481</v>
      </c>
      <c r="E1796" s="46" t="b" cm="1">
        <f t="array" ref="E1796">sch_spgwon_nationalaward_yes</f>
        <v>0</v>
      </c>
      <c r="F1796" s="1696" t="b">
        <f t="shared" si="2"/>
        <v>1</v>
      </c>
      <c r="G1796" s="46" t="s">
        <v>11265</v>
      </c>
    </row>
    <row r="1797" spans="1:8">
      <c r="A1797" s="46" t="s">
        <v>5482</v>
      </c>
      <c r="B1797" s="46" t="s">
        <v>5442</v>
      </c>
      <c r="C1797" s="46" t="s">
        <v>5482</v>
      </c>
      <c r="D1797" s="46" t="s">
        <v>5483</v>
      </c>
      <c r="E1797" s="46" cm="1">
        <f t="array" ref="E1797">sch_yfcpdo_numvisit</f>
        <v>0</v>
      </c>
      <c r="F1797" s="46" t="b">
        <v>1</v>
      </c>
    </row>
    <row r="1798" spans="1:8" ht="16.5" thickBot="1">
      <c r="A1798" s="479" t="s">
        <v>5484</v>
      </c>
      <c r="B1798" s="479" t="s">
        <v>5442</v>
      </c>
      <c r="C1798" s="479" t="s">
        <v>5484</v>
      </c>
      <c r="D1798" s="479" t="s">
        <v>5485</v>
      </c>
      <c r="E1798" s="479" t="b" cm="1">
        <f t="array" ref="E1798">sch_spga_cto_sat_yes</f>
        <v>0</v>
      </c>
      <c r="F1798" s="1697" t="b">
        <f t="shared" si="2"/>
        <v>1</v>
      </c>
      <c r="G1798" s="479" t="s">
        <v>11265</v>
      </c>
      <c r="H1798" s="479"/>
    </row>
    <row r="1799" spans="1:8" ht="16.5" thickTop="1">
      <c r="A1799" s="46" t="s">
        <v>5486</v>
      </c>
      <c r="B1799" s="46" t="s">
        <v>5442</v>
      </c>
      <c r="C1799" s="46" t="s">
        <v>5486</v>
      </c>
      <c r="D1799" s="46" t="s">
        <v>5487</v>
      </c>
      <c r="E1799" s="46" t="b">
        <f>sch_ssg_learner_brigada_eskwela_yes</f>
        <v>1</v>
      </c>
      <c r="F1799" s="1696" t="b">
        <f t="shared" si="2"/>
        <v>1</v>
      </c>
      <c r="G1799" s="46" t="s">
        <v>11265</v>
      </c>
    </row>
    <row r="1800" spans="1:8">
      <c r="A1800" s="46" t="s">
        <v>5488</v>
      </c>
      <c r="B1800" s="46" t="s">
        <v>5442</v>
      </c>
      <c r="C1800" s="46" t="s">
        <v>5488</v>
      </c>
      <c r="D1800" s="46" t="s">
        <v>5489</v>
      </c>
      <c r="E1800" s="46" t="b" cm="1">
        <f t="array" ref="E1800">sch_ssg_lead_ngp_yes</f>
        <v>0</v>
      </c>
      <c r="F1800" s="1696" t="b">
        <f t="shared" si="2"/>
        <v>1</v>
      </c>
      <c r="G1800" s="46" t="s">
        <v>11265</v>
      </c>
    </row>
    <row r="1801" spans="1:8">
      <c r="A1801" s="46" t="s">
        <v>5490</v>
      </c>
      <c r="B1801" s="46" t="s">
        <v>5442</v>
      </c>
      <c r="C1801" s="46" t="s">
        <v>5490</v>
      </c>
      <c r="D1801" s="46" t="s">
        <v>5491</v>
      </c>
      <c r="E1801" s="46" t="b" cm="1">
        <f t="array" ref="E1801">sch_ssg_prevent_learner_dropout_yes</f>
        <v>1</v>
      </c>
      <c r="F1801" s="1696" t="b">
        <f t="shared" si="2"/>
        <v>1</v>
      </c>
      <c r="G1801" s="46" t="s">
        <v>11265</v>
      </c>
    </row>
    <row r="1802" spans="1:8">
      <c r="A1802" s="46" t="s">
        <v>5492</v>
      </c>
      <c r="B1802" s="46" t="s">
        <v>5442</v>
      </c>
      <c r="C1802" s="46" t="s">
        <v>5492</v>
      </c>
      <c r="D1802" s="46" t="s">
        <v>5493</v>
      </c>
      <c r="E1802" s="46" t="b" cm="1">
        <f t="array" ref="E1802">sch_ssg_esc_rts_yes</f>
        <v>1</v>
      </c>
      <c r="F1802" s="1696" t="b">
        <f t="shared" si="2"/>
        <v>1</v>
      </c>
      <c r="G1802" s="46" t="s">
        <v>11265</v>
      </c>
    </row>
    <row r="1803" spans="1:8">
      <c r="A1803" s="46" t="s">
        <v>5494</v>
      </c>
      <c r="B1803" s="46" t="s">
        <v>5442</v>
      </c>
      <c r="C1803" s="46" t="s">
        <v>5494</v>
      </c>
      <c r="D1803" s="46" t="s">
        <v>5495</v>
      </c>
      <c r="E1803" s="46" t="b" cm="1">
        <f t="array" ref="E1803">sch_ssg_adaec_yes</f>
        <v>1</v>
      </c>
      <c r="F1803" s="1696" t="b">
        <f t="shared" si="2"/>
        <v>1</v>
      </c>
      <c r="G1803" s="46" t="s">
        <v>11265</v>
      </c>
    </row>
    <row r="1804" spans="1:8">
      <c r="A1804" s="46" t="s">
        <v>5496</v>
      </c>
      <c r="B1804" s="46" t="s">
        <v>5442</v>
      </c>
      <c r="C1804" s="46" t="s">
        <v>5496</v>
      </c>
      <c r="D1804" s="46" t="s">
        <v>5497</v>
      </c>
      <c r="E1804" s="46" t="b" cm="1">
        <f t="array" ref="E1804">sch_ssg_smoke_tobacoo_free_yes</f>
        <v>1</v>
      </c>
      <c r="F1804" s="1696" t="b">
        <f t="shared" si="2"/>
        <v>1</v>
      </c>
      <c r="G1804" s="46" t="s">
        <v>11265</v>
      </c>
    </row>
    <row r="1805" spans="1:8">
      <c r="A1805" s="46" t="s">
        <v>5498</v>
      </c>
      <c r="B1805" s="46" t="s">
        <v>5442</v>
      </c>
      <c r="C1805" s="46" t="s">
        <v>5498</v>
      </c>
      <c r="D1805" s="46" t="s">
        <v>5499</v>
      </c>
      <c r="E1805" s="46" t="b" cm="1">
        <f t="array" ref="E1805">sch_ssg_tmcsep_wtdoct_yes</f>
        <v>1</v>
      </c>
      <c r="F1805" s="1696" t="b">
        <f t="shared" si="2"/>
        <v>1</v>
      </c>
      <c r="G1805" s="46" t="s">
        <v>11265</v>
      </c>
    </row>
    <row r="1806" spans="1:8" ht="16.5" thickBot="1">
      <c r="A1806" s="479" t="s">
        <v>5500</v>
      </c>
      <c r="B1806" s="479" t="s">
        <v>5442</v>
      </c>
      <c r="C1806" s="479" t="s">
        <v>5500</v>
      </c>
      <c r="D1806" s="479" t="s">
        <v>5501</v>
      </c>
      <c r="E1806" s="479" t="b" cm="1">
        <f t="array" ref="E1806">sch_ssg_curricular_org_activities_yes</f>
        <v>1</v>
      </c>
      <c r="F1806" s="1697" t="b">
        <f t="shared" si="2"/>
        <v>1</v>
      </c>
      <c r="G1806" s="479" t="s">
        <v>11265</v>
      </c>
      <c r="H1806" s="479"/>
    </row>
    <row r="1807" spans="1:8" ht="16.5" thickTop="1">
      <c r="A1807" s="46" t="s">
        <v>5502</v>
      </c>
      <c r="B1807" s="46" t="s">
        <v>5503</v>
      </c>
      <c r="C1807" s="46" t="s">
        <v>5502</v>
      </c>
      <c r="D1807" s="46" t="s">
        <v>5504</v>
      </c>
      <c r="E1807" s="46" t="b">
        <f>sch_cgp_guidancecounsel_yes</f>
        <v>1</v>
      </c>
      <c r="F1807" s="1696" t="b">
        <f t="shared" si="2"/>
        <v>1</v>
      </c>
      <c r="G1807" s="46" t="s">
        <v>11265</v>
      </c>
    </row>
    <row r="1808" spans="1:8">
      <c r="A1808" s="46" t="s">
        <v>5505</v>
      </c>
      <c r="B1808" s="46" t="s">
        <v>5503</v>
      </c>
      <c r="C1808" s="46" t="s">
        <v>5505</v>
      </c>
      <c r="D1808" s="46" t="s">
        <v>5506</v>
      </c>
      <c r="E1808" s="46">
        <f>sch_cgp_guidancecounsel_numyrs_ass</f>
        <v>21</v>
      </c>
      <c r="F1808" s="46" t="b">
        <v>1</v>
      </c>
    </row>
    <row r="1809" spans="1:8">
      <c r="A1809" s="46" t="s">
        <v>5507</v>
      </c>
      <c r="B1809" s="46" t="s">
        <v>5503</v>
      </c>
      <c r="C1809" s="46" t="s">
        <v>5507</v>
      </c>
      <c r="D1809" s="46" t="s">
        <v>5508</v>
      </c>
      <c r="E1809" s="46" t="b">
        <f>sch_cgp_guidadv_yes</f>
        <v>1</v>
      </c>
      <c r="F1809" s="1696" t="b">
        <f t="shared" si="2"/>
        <v>1</v>
      </c>
      <c r="G1809" s="46" t="s">
        <v>11265</v>
      </c>
    </row>
    <row r="1810" spans="1:8">
      <c r="A1810" s="46" t="s">
        <v>5509</v>
      </c>
      <c r="B1810" s="46" t="s">
        <v>5503</v>
      </c>
      <c r="C1810" s="46" t="s">
        <v>5509</v>
      </c>
      <c r="D1810" s="46" t="s">
        <v>5510</v>
      </c>
      <c r="E1810" s="46">
        <f>sch_cgp_guidadv_numyrs</f>
        <v>21</v>
      </c>
      <c r="F1810" s="46" t="b">
        <v>1</v>
      </c>
    </row>
    <row r="1811" spans="1:8">
      <c r="A1811" s="46" t="s">
        <v>5511</v>
      </c>
      <c r="B1811" s="46" t="s">
        <v>5503</v>
      </c>
      <c r="C1811" s="46" t="s">
        <v>5511</v>
      </c>
      <c r="D1811" s="46" t="s">
        <v>5512</v>
      </c>
      <c r="E1811" s="46" t="b">
        <f>sch_cgp_cond_careerguidact_yes</f>
        <v>1</v>
      </c>
      <c r="F1811" s="1696" t="b">
        <f t="shared" si="2"/>
        <v>1</v>
      </c>
      <c r="G1811" s="46" t="s">
        <v>11265</v>
      </c>
    </row>
    <row r="1812" spans="1:8">
      <c r="A1812" s="46" t="s">
        <v>5513</v>
      </c>
      <c r="B1812" s="46" t="s">
        <v>5503</v>
      </c>
      <c r="C1812" s="46" t="s">
        <v>5513</v>
      </c>
      <c r="D1812" s="46" t="s">
        <v>5514</v>
      </c>
      <c r="E1812" s="46" t="b">
        <f>sch_cgp_fcareerguidact_yes</f>
        <v>1</v>
      </c>
      <c r="F1812" s="1696" t="b">
        <f t="shared" si="2"/>
        <v>1</v>
      </c>
      <c r="G1812" s="46" t="s">
        <v>11265</v>
      </c>
    </row>
    <row r="1813" spans="1:8">
      <c r="A1813" s="46" t="s">
        <v>5515</v>
      </c>
      <c r="B1813" s="46" t="s">
        <v>5503</v>
      </c>
      <c r="C1813" s="46" t="s">
        <v>5515</v>
      </c>
      <c r="D1813" s="46" t="s">
        <v>5516</v>
      </c>
      <c r="E1813" s="46" t="b">
        <f>sch_cgp_guidoffc_yes</f>
        <v>1</v>
      </c>
      <c r="F1813" s="1696" t="b">
        <f t="shared" si="2"/>
        <v>1</v>
      </c>
      <c r="G1813" s="46" t="s">
        <v>11265</v>
      </c>
    </row>
    <row r="1814" spans="1:8">
      <c r="A1814" s="46" t="s">
        <v>5517</v>
      </c>
      <c r="B1814" s="46" t="s">
        <v>5503</v>
      </c>
      <c r="C1814" s="46" t="s">
        <v>5517</v>
      </c>
      <c r="D1814" s="46" t="s">
        <v>5522</v>
      </c>
      <c r="E1814" s="46" t="str">
        <f>div_yfc_name</f>
        <v>MARIANNE APRIL A. BUTA / March 17, 2023</v>
      </c>
      <c r="F1814" s="46" t="b">
        <v>1</v>
      </c>
    </row>
    <row r="1815" spans="1:8" ht="16.5" thickBot="1">
      <c r="A1815" s="479" t="s">
        <v>5518</v>
      </c>
      <c r="B1815" s="479" t="s">
        <v>5503</v>
      </c>
      <c r="C1815" s="479" t="s">
        <v>5518</v>
      </c>
      <c r="D1815" s="479" t="s">
        <v>5523</v>
      </c>
      <c r="E1815" s="479" t="str">
        <f>div_yfc_pos</f>
        <v>PROJECT DEVELOPMENT OFFICER I</v>
      </c>
      <c r="F1815" s="479" t="b">
        <v>1</v>
      </c>
      <c r="G1815" s="479"/>
      <c r="H1815" s="479"/>
    </row>
    <row r="1816" spans="1:8" ht="16.5" thickTop="1">
      <c r="A1816" s="46" t="s">
        <v>5520</v>
      </c>
      <c r="B1816" s="46" t="s">
        <v>5519</v>
      </c>
      <c r="C1816" s="46" t="s">
        <v>5520</v>
      </c>
      <c r="D1816" s="46" t="s">
        <v>5521</v>
      </c>
      <c r="E1816" s="46" cm="1">
        <f t="array" ref="E1816">num_oer_devloc_origwork_q1_g11</f>
        <v>0</v>
      </c>
      <c r="F1816" s="46" t="b">
        <v>1</v>
      </c>
    </row>
    <row r="1817" spans="1:8">
      <c r="A1817" s="46" t="s">
        <v>5524</v>
      </c>
      <c r="B1817" s="46" t="s">
        <v>5519</v>
      </c>
      <c r="C1817" s="46" t="s">
        <v>5524</v>
      </c>
      <c r="D1817" s="46" t="s">
        <v>5527</v>
      </c>
      <c r="E1817" s="46" cm="1">
        <f t="array" ref="E1817">num_oer_devloc_origwork_q2_g11</f>
        <v>0</v>
      </c>
      <c r="F1817" s="46" t="b">
        <v>1</v>
      </c>
    </row>
    <row r="1818" spans="1:8">
      <c r="A1818" s="46" t="s">
        <v>5525</v>
      </c>
      <c r="B1818" s="46" t="s">
        <v>5519</v>
      </c>
      <c r="C1818" s="46" t="s">
        <v>5525</v>
      </c>
      <c r="D1818" s="46" t="s">
        <v>5528</v>
      </c>
      <c r="E1818" s="46" cm="1">
        <f t="array" ref="E1818">num_oer_devloc_origwork_q3_g11</f>
        <v>0</v>
      </c>
      <c r="F1818" s="46" t="b">
        <v>1</v>
      </c>
    </row>
    <row r="1819" spans="1:8">
      <c r="A1819" s="46" t="s">
        <v>5526</v>
      </c>
      <c r="B1819" s="46" t="s">
        <v>5519</v>
      </c>
      <c r="C1819" s="46" t="s">
        <v>5526</v>
      </c>
      <c r="D1819" s="46" t="s">
        <v>5529</v>
      </c>
      <c r="E1819" s="46" cm="1">
        <f t="array" ref="E1819">num_oer_devloc_origwork_q4_g11</f>
        <v>0</v>
      </c>
      <c r="F1819" s="46" t="b">
        <v>1</v>
      </c>
    </row>
    <row r="1820" spans="1:8">
      <c r="A1820" s="46" t="s">
        <v>5530</v>
      </c>
      <c r="B1820" s="46" t="s">
        <v>5519</v>
      </c>
      <c r="C1820" s="46" t="s">
        <v>5530</v>
      </c>
      <c r="D1820" s="46" t="s">
        <v>5534</v>
      </c>
      <c r="E1820" s="46" cm="1">
        <f t="array" ref="E1820">num_oer_devloc_editwork_q1_g11</f>
        <v>0</v>
      </c>
      <c r="F1820" s="46" t="b">
        <v>1</v>
      </c>
    </row>
    <row r="1821" spans="1:8">
      <c r="A1821" s="46" t="s">
        <v>5531</v>
      </c>
      <c r="B1821" s="46" t="s">
        <v>5519</v>
      </c>
      <c r="C1821" s="46" t="s">
        <v>5531</v>
      </c>
      <c r="D1821" s="46" t="s">
        <v>5535</v>
      </c>
      <c r="E1821" s="46" cm="1">
        <f t="array" ref="E1821">num_oer_devloc_editwork_q2_g11</f>
        <v>0</v>
      </c>
      <c r="F1821" s="46" t="b">
        <v>1</v>
      </c>
    </row>
    <row r="1822" spans="1:8">
      <c r="A1822" s="46" t="s">
        <v>5532</v>
      </c>
      <c r="B1822" s="46" t="s">
        <v>5519</v>
      </c>
      <c r="C1822" s="46" t="s">
        <v>5532</v>
      </c>
      <c r="D1822" s="46" t="s">
        <v>5536</v>
      </c>
      <c r="E1822" s="46" cm="1">
        <f t="array" ref="E1822">num_oer_devloc_editwork_q3_g11</f>
        <v>0</v>
      </c>
      <c r="F1822" s="46" t="b">
        <v>1</v>
      </c>
    </row>
    <row r="1823" spans="1:8">
      <c r="A1823" s="46" t="s">
        <v>5533</v>
      </c>
      <c r="B1823" s="46" t="s">
        <v>5519</v>
      </c>
      <c r="C1823" s="46" t="s">
        <v>5533</v>
      </c>
      <c r="D1823" s="46" t="s">
        <v>5537</v>
      </c>
      <c r="E1823" s="46" cm="1">
        <f t="array" ref="E1823">num_oer_devloc_editwork_q4_g11</f>
        <v>0</v>
      </c>
      <c r="F1823" s="46" t="b">
        <v>1</v>
      </c>
    </row>
    <row r="1824" spans="1:8">
      <c r="A1824" s="46" t="s">
        <v>5538</v>
      </c>
      <c r="B1824" s="46" t="s">
        <v>5519</v>
      </c>
      <c r="C1824" s="46" t="s">
        <v>5538</v>
      </c>
      <c r="D1824" s="46" t="s">
        <v>5546</v>
      </c>
      <c r="E1824" s="46" cm="1">
        <f t="array" ref="E1824">num_oer_devloc_origwork_q1_g12</f>
        <v>0</v>
      </c>
      <c r="F1824" s="46" t="b">
        <v>1</v>
      </c>
    </row>
    <row r="1825" spans="1:8">
      <c r="A1825" s="46" t="s">
        <v>5539</v>
      </c>
      <c r="B1825" s="46" t="s">
        <v>5519</v>
      </c>
      <c r="C1825" s="46" t="s">
        <v>5539</v>
      </c>
      <c r="D1825" s="46" t="s">
        <v>5547</v>
      </c>
      <c r="E1825" s="46" cm="1">
        <f t="array" ref="E1825">num_oer_devloc_origwork_q2_g12</f>
        <v>0</v>
      </c>
      <c r="F1825" s="46" t="b">
        <v>1</v>
      </c>
    </row>
    <row r="1826" spans="1:8">
      <c r="A1826" s="46" t="s">
        <v>5540</v>
      </c>
      <c r="B1826" s="46" t="s">
        <v>5519</v>
      </c>
      <c r="C1826" s="46" t="s">
        <v>5540</v>
      </c>
      <c r="D1826" s="46" t="s">
        <v>5548</v>
      </c>
      <c r="E1826" s="46" cm="1">
        <f t="array" ref="E1826">num_oer_devloc_origwork_q3_g12</f>
        <v>0</v>
      </c>
      <c r="F1826" s="46" t="b">
        <v>1</v>
      </c>
    </row>
    <row r="1827" spans="1:8">
      <c r="A1827" s="46" t="s">
        <v>5541</v>
      </c>
      <c r="B1827" s="46" t="s">
        <v>5519</v>
      </c>
      <c r="C1827" s="46" t="s">
        <v>5541</v>
      </c>
      <c r="D1827" s="46" t="s">
        <v>5549</v>
      </c>
      <c r="E1827" s="46" cm="1">
        <f t="array" ref="E1827">num_oer_devloc_origwork_q4_g12</f>
        <v>0</v>
      </c>
      <c r="F1827" s="46" t="b">
        <v>1</v>
      </c>
    </row>
    <row r="1828" spans="1:8">
      <c r="A1828" s="46" t="s">
        <v>5542</v>
      </c>
      <c r="B1828" s="46" t="s">
        <v>5519</v>
      </c>
      <c r="C1828" s="46" t="s">
        <v>5542</v>
      </c>
      <c r="D1828" s="46" t="s">
        <v>5550</v>
      </c>
      <c r="E1828" s="46" cm="1">
        <f t="array" ref="E1828">num_oer_devloc_editwork_q1_g12</f>
        <v>0</v>
      </c>
      <c r="F1828" s="46" t="b">
        <v>1</v>
      </c>
    </row>
    <row r="1829" spans="1:8">
      <c r="A1829" s="46" t="s">
        <v>5543</v>
      </c>
      <c r="B1829" s="46" t="s">
        <v>5519</v>
      </c>
      <c r="C1829" s="46" t="s">
        <v>5543</v>
      </c>
      <c r="D1829" s="46" t="s">
        <v>5551</v>
      </c>
      <c r="E1829" s="46" cm="1">
        <f t="array" ref="E1829">num_oer_devloc_editwork_q2_g12</f>
        <v>0</v>
      </c>
      <c r="F1829" s="46" t="b">
        <v>1</v>
      </c>
    </row>
    <row r="1830" spans="1:8">
      <c r="A1830" s="46" t="s">
        <v>5544</v>
      </c>
      <c r="B1830" s="46" t="s">
        <v>5519</v>
      </c>
      <c r="C1830" s="46" t="s">
        <v>5544</v>
      </c>
      <c r="D1830" s="46" t="s">
        <v>5552</v>
      </c>
      <c r="E1830" s="46" cm="1">
        <f t="array" ref="E1830">num_oer_devloc_editwork_q3_g12</f>
        <v>0</v>
      </c>
      <c r="F1830" s="46" t="b">
        <v>1</v>
      </c>
    </row>
    <row r="1831" spans="1:8" ht="16.5" thickBot="1">
      <c r="A1831" s="479" t="s">
        <v>5545</v>
      </c>
      <c r="B1831" s="479" t="s">
        <v>5519</v>
      </c>
      <c r="C1831" s="479" t="s">
        <v>5545</v>
      </c>
      <c r="D1831" s="479" t="s">
        <v>5553</v>
      </c>
      <c r="E1831" s="479" cm="1">
        <f t="array" ref="E1831">num_oer_devloc_editwork_q4_g12</f>
        <v>0</v>
      </c>
      <c r="F1831" s="479" t="b">
        <v>1</v>
      </c>
      <c r="G1831" s="479"/>
      <c r="H1831" s="479"/>
    </row>
    <row r="1832" spans="1:8" ht="16.5" thickTop="1">
      <c r="A1832" s="46" t="s">
        <v>5555</v>
      </c>
      <c r="B1832" s="46" t="s">
        <v>11264</v>
      </c>
      <c r="C1832" s="46" t="s">
        <v>5555</v>
      </c>
      <c r="D1832" s="46" t="s">
        <v>5561</v>
      </c>
      <c r="E1832" s="46" cm="1">
        <f t="array" ref="E1832">num_teach_depedtv_freq_m</f>
        <v>0</v>
      </c>
      <c r="F1832" s="46" t="b">
        <v>1</v>
      </c>
    </row>
    <row r="1833" spans="1:8">
      <c r="A1833" s="46" t="s">
        <v>5556</v>
      </c>
      <c r="B1833" s="46" t="s">
        <v>11264</v>
      </c>
      <c r="C1833" s="46" t="s">
        <v>5556</v>
      </c>
      <c r="D1833" s="46" t="s">
        <v>5562</v>
      </c>
      <c r="E1833" s="46" cm="1">
        <f t="array" ref="E1833">num_teach_depedtv_sel_m</f>
        <v>0</v>
      </c>
      <c r="F1833" s="46" t="b">
        <v>1</v>
      </c>
    </row>
    <row r="1834" spans="1:8">
      <c r="A1834" s="46" t="s">
        <v>5557</v>
      </c>
      <c r="B1834" s="46" t="s">
        <v>11264</v>
      </c>
      <c r="C1834" s="46" t="s">
        <v>5557</v>
      </c>
      <c r="D1834" s="46" t="s">
        <v>5563</v>
      </c>
      <c r="E1834" s="46" cm="1">
        <f t="array" ref="E1834">num_teach_depedtv_nvr_m</f>
        <v>0</v>
      </c>
      <c r="F1834" s="46" t="b">
        <v>1</v>
      </c>
    </row>
    <row r="1835" spans="1:8">
      <c r="A1835" s="46" t="s">
        <v>5558</v>
      </c>
      <c r="B1835" s="46" t="s">
        <v>11264</v>
      </c>
      <c r="C1835" s="46" t="s">
        <v>5558</v>
      </c>
      <c r="D1835" s="46" t="s">
        <v>5564</v>
      </c>
      <c r="E1835" s="46" cm="1">
        <f t="array" ref="E1835">num_teach_depedtv_freq_f</f>
        <v>0</v>
      </c>
      <c r="F1835" s="46" t="b">
        <v>1</v>
      </c>
    </row>
    <row r="1836" spans="1:8">
      <c r="A1836" s="46" t="s">
        <v>5559</v>
      </c>
      <c r="B1836" s="46" t="s">
        <v>11264</v>
      </c>
      <c r="C1836" s="46" t="s">
        <v>5559</v>
      </c>
      <c r="D1836" s="46" t="s">
        <v>5565</v>
      </c>
      <c r="E1836" s="46" cm="1">
        <f t="array" ref="E1836">num_teach_depedtv_sel_f</f>
        <v>0</v>
      </c>
      <c r="F1836" s="46" t="b">
        <v>1</v>
      </c>
    </row>
    <row r="1837" spans="1:8">
      <c r="A1837" s="46" t="s">
        <v>5560</v>
      </c>
      <c r="B1837" s="46" t="s">
        <v>11264</v>
      </c>
      <c r="C1837" s="46" t="s">
        <v>5560</v>
      </c>
      <c r="D1837" s="46" t="s">
        <v>5566</v>
      </c>
      <c r="E1837" s="46" cm="1">
        <f t="array" ref="E1837">num_teach_depedtv_nvr_f</f>
        <v>0</v>
      </c>
      <c r="F1837" s="46" t="b">
        <v>1</v>
      </c>
    </row>
    <row r="1838" spans="1:8">
      <c r="A1838" s="46" t="s">
        <v>5567</v>
      </c>
      <c r="B1838" s="46" t="s">
        <v>11264</v>
      </c>
      <c r="C1838" s="46" t="s">
        <v>5567</v>
      </c>
      <c r="D1838" s="46" t="s">
        <v>5578</v>
      </c>
      <c r="E1838" s="46" t="b" cm="1">
        <f t="array" ref="E1838">teach_meth_depedtv_broadcast</f>
        <v>0</v>
      </c>
      <c r="F1838" s="1696" t="b">
        <f t="shared" ref="F1838:F1847" si="3">OR(E1838=TRUE, E1838=FALSE)</f>
        <v>1</v>
      </c>
      <c r="G1838" s="46" t="s">
        <v>11265</v>
      </c>
    </row>
    <row r="1839" spans="1:8">
      <c r="A1839" s="46" t="s">
        <v>5569</v>
      </c>
      <c r="B1839" s="46" t="s">
        <v>11264</v>
      </c>
      <c r="C1839" s="46" t="s">
        <v>5569</v>
      </c>
      <c r="D1839" s="46" t="s">
        <v>5579</v>
      </c>
      <c r="E1839" s="46" t="b" cm="1">
        <f t="array" ref="E1839">teach_meth_depedtv_yt</f>
        <v>0</v>
      </c>
      <c r="F1839" s="1696" t="b">
        <f t="shared" si="3"/>
        <v>1</v>
      </c>
      <c r="G1839" s="46" t="s">
        <v>11265</v>
      </c>
    </row>
    <row r="1840" spans="1:8">
      <c r="A1840" s="46" t="s">
        <v>5570</v>
      </c>
      <c r="B1840" s="46" t="s">
        <v>11264</v>
      </c>
      <c r="C1840" s="46" t="s">
        <v>5570</v>
      </c>
      <c r="D1840" s="46" t="s">
        <v>5580</v>
      </c>
      <c r="E1840" s="46" t="b" cm="1">
        <f t="array" ref="E1840">teach_meth_depedtv_fb</f>
        <v>0</v>
      </c>
      <c r="F1840" s="1696" t="b">
        <f t="shared" si="3"/>
        <v>1</v>
      </c>
      <c r="G1840" s="46" t="s">
        <v>11265</v>
      </c>
    </row>
    <row r="1841" spans="1:8">
      <c r="A1841" s="46" t="s">
        <v>5568</v>
      </c>
      <c r="B1841" s="46" t="s">
        <v>11264</v>
      </c>
      <c r="C1841" s="46" t="s">
        <v>5568</v>
      </c>
      <c r="D1841" s="46" t="s">
        <v>5581</v>
      </c>
      <c r="E1841" s="46" t="b" cm="1">
        <f t="array" ref="E1841">teach_meth_depedtv_dl</f>
        <v>1</v>
      </c>
      <c r="F1841" s="1696" t="b">
        <f t="shared" si="3"/>
        <v>1</v>
      </c>
      <c r="G1841" s="46" t="s">
        <v>11265</v>
      </c>
    </row>
    <row r="1842" spans="1:8">
      <c r="A1842" s="46" t="s">
        <v>5571</v>
      </c>
      <c r="B1842" s="46" t="s">
        <v>11264</v>
      </c>
      <c r="C1842" s="46" t="s">
        <v>5571</v>
      </c>
      <c r="D1842" s="46" t="s">
        <v>5582</v>
      </c>
      <c r="E1842" s="46" t="b" cm="1">
        <f t="array" ref="E1842">need_more_core</f>
        <v>0</v>
      </c>
      <c r="F1842" s="1696" t="b">
        <f t="shared" si="3"/>
        <v>1</v>
      </c>
      <c r="G1842" s="46" t="s">
        <v>11265</v>
      </c>
    </row>
    <row r="1843" spans="1:8">
      <c r="A1843" s="46" t="s">
        <v>5572</v>
      </c>
      <c r="B1843" s="46" t="s">
        <v>11264</v>
      </c>
      <c r="C1843" s="46" t="s">
        <v>5572</v>
      </c>
      <c r="D1843" s="46" t="s">
        <v>5583</v>
      </c>
      <c r="E1843" s="46" t="b" cm="1">
        <f t="array" ref="E1843">need_more_appsubj</f>
        <v>0</v>
      </c>
      <c r="F1843" s="1696" t="b">
        <f t="shared" si="3"/>
        <v>1</v>
      </c>
      <c r="G1843" s="46" t="s">
        <v>11265</v>
      </c>
    </row>
    <row r="1844" spans="1:8">
      <c r="A1844" s="46" t="s">
        <v>5573</v>
      </c>
      <c r="B1844" s="46" t="s">
        <v>11264</v>
      </c>
      <c r="C1844" s="46" t="s">
        <v>5573</v>
      </c>
      <c r="D1844" s="46" t="s">
        <v>5584</v>
      </c>
      <c r="E1844" s="46" t="b" cm="1">
        <f t="array" ref="E1844">need_more_abm</f>
        <v>0</v>
      </c>
      <c r="F1844" s="1696" t="b">
        <f t="shared" si="3"/>
        <v>1</v>
      </c>
      <c r="G1844" s="46" t="s">
        <v>11265</v>
      </c>
    </row>
    <row r="1845" spans="1:8">
      <c r="A1845" s="46" t="s">
        <v>5574</v>
      </c>
      <c r="B1845" s="46" t="s">
        <v>11264</v>
      </c>
      <c r="C1845" s="46" t="s">
        <v>5574</v>
      </c>
      <c r="D1845" s="46" t="s">
        <v>5585</v>
      </c>
      <c r="E1845" s="46" t="b" cm="1">
        <f t="array" ref="E1845">need_more_humms</f>
        <v>0</v>
      </c>
      <c r="F1845" s="1696" t="b">
        <f t="shared" si="3"/>
        <v>1</v>
      </c>
      <c r="G1845" s="46" t="s">
        <v>11265</v>
      </c>
    </row>
    <row r="1846" spans="1:8">
      <c r="A1846" s="46" t="s">
        <v>5594</v>
      </c>
      <c r="B1846" s="46" t="s">
        <v>11264</v>
      </c>
      <c r="C1846" s="46" t="s">
        <v>5594</v>
      </c>
      <c r="D1846" s="46" t="s">
        <v>5586</v>
      </c>
      <c r="E1846" s="46" t="b" cm="1">
        <f t="array" ref="E1846">need_more_stem</f>
        <v>0</v>
      </c>
      <c r="F1846" s="1696" t="b">
        <f t="shared" si="3"/>
        <v>1</v>
      </c>
      <c r="G1846" s="46" t="s">
        <v>11265</v>
      </c>
    </row>
    <row r="1847" spans="1:8">
      <c r="A1847" s="46" t="s">
        <v>5575</v>
      </c>
      <c r="B1847" s="46" t="s">
        <v>11264</v>
      </c>
      <c r="C1847" s="46" t="s">
        <v>5575</v>
      </c>
      <c r="D1847" s="46" t="s">
        <v>5587</v>
      </c>
      <c r="E1847" s="46" t="b" cm="1">
        <f t="array" ref="E1847">need_more_sptrac</f>
        <v>0</v>
      </c>
      <c r="F1847" s="1696" t="b">
        <f t="shared" si="3"/>
        <v>1</v>
      </c>
      <c r="G1847" s="46" t="s">
        <v>11265</v>
      </c>
    </row>
    <row r="1848" spans="1:8">
      <c r="A1848" s="46" t="s">
        <v>5576</v>
      </c>
      <c r="B1848" s="46" t="s">
        <v>11264</v>
      </c>
      <c r="C1848" s="46" t="s">
        <v>5576</v>
      </c>
      <c r="D1848" s="46" t="s">
        <v>5588</v>
      </c>
      <c r="E1848" s="46" t="b" cm="1">
        <f t="array" ref="E1848">need_more_otherspec</f>
        <v>0</v>
      </c>
      <c r="F1848" s="46" t="b">
        <v>1</v>
      </c>
      <c r="G1848" s="46" t="s">
        <v>11265</v>
      </c>
    </row>
    <row r="1849" spans="1:8">
      <c r="A1849" s="46" t="s">
        <v>5577</v>
      </c>
      <c r="B1849" s="46" t="s">
        <v>11264</v>
      </c>
      <c r="C1849" s="46" t="s">
        <v>5577</v>
      </c>
      <c r="D1849" s="46" t="s">
        <v>5589</v>
      </c>
      <c r="E1849" s="46" cm="1">
        <f t="array" ref="E1849">need_more_others</f>
        <v>0</v>
      </c>
      <c r="F1849" s="46" t="b">
        <v>1</v>
      </c>
    </row>
    <row r="1850" spans="1:8">
      <c r="A1850" s="46" t="s">
        <v>5590</v>
      </c>
      <c r="B1850" s="46" t="s">
        <v>11264</v>
      </c>
      <c r="C1850" s="46" t="s">
        <v>5590</v>
      </c>
      <c r="D1850" s="46" t="s">
        <v>5591</v>
      </c>
      <c r="E1850" s="46" t="str" cm="1">
        <f t="array" ref="E1850">name_depes_lrmds</f>
        <v>RONE RAY M. PORTACION / March 17, 2023</v>
      </c>
      <c r="F1850" s="46" t="b">
        <v>1</v>
      </c>
    </row>
    <row r="1851" spans="1:8" ht="16.5" thickBot="1">
      <c r="A1851" s="479" t="s">
        <v>5592</v>
      </c>
      <c r="B1851" s="479" t="s">
        <v>11264</v>
      </c>
      <c r="C1851" s="479" t="s">
        <v>5592</v>
      </c>
      <c r="D1851" s="479" t="s">
        <v>5593</v>
      </c>
      <c r="E1851" s="479" t="str" cm="1">
        <f t="array" ref="E1851">name_depes_lrmds_pos</f>
        <v>EDUCATION PROGRAM SUPERVISOR</v>
      </c>
      <c r="F1851" s="479" t="b">
        <v>1</v>
      </c>
      <c r="G1851" s="479"/>
      <c r="H1851" s="479"/>
    </row>
    <row r="1852" spans="1:8" ht="16.5" thickTop="1">
      <c r="A1852" s="46" t="s">
        <v>5595</v>
      </c>
      <c r="B1852" s="46" t="s">
        <v>5596</v>
      </c>
      <c r="C1852" s="46" t="s">
        <v>5595</v>
      </c>
      <c r="D1852" s="46" t="s">
        <v>5738</v>
      </c>
      <c r="E1852" s="46" cm="1">
        <f t="array" ref="E1852">sch_num_funct_computers_acad_desktop_depeddcp</f>
        <v>53</v>
      </c>
      <c r="F1852" s="46" t="b">
        <v>1</v>
      </c>
    </row>
    <row r="1853" spans="1:8">
      <c r="A1853" s="46" t="s">
        <v>5597</v>
      </c>
      <c r="B1853" s="46" t="s">
        <v>5596</v>
      </c>
      <c r="C1853" s="46" t="s">
        <v>5597</v>
      </c>
      <c r="D1853" s="46" t="s">
        <v>5739</v>
      </c>
      <c r="E1853" s="46" cm="1">
        <f t="array" ref="E1853">sch_num_funct_computers_acad_sgs_desktop_depednondcp</f>
        <v>0</v>
      </c>
      <c r="F1853" s="46" t="b">
        <v>1</v>
      </c>
    </row>
    <row r="1854" spans="1:8">
      <c r="A1854" s="46" t="s">
        <v>5598</v>
      </c>
      <c r="B1854" s="46" t="s">
        <v>5596</v>
      </c>
      <c r="C1854" s="46" t="s">
        <v>5598</v>
      </c>
      <c r="D1854" s="46" t="s">
        <v>5740</v>
      </c>
      <c r="E1854" s="46" cm="1">
        <f t="array" ref="E1854">sch_num_funct_computers_acad_desktop_lgusef</f>
        <v>0</v>
      </c>
      <c r="F1854" s="46" t="b">
        <v>1</v>
      </c>
    </row>
    <row r="1855" spans="1:8">
      <c r="A1855" s="46" t="s">
        <v>5599</v>
      </c>
      <c r="B1855" s="46" t="s">
        <v>5596</v>
      </c>
      <c r="C1855" s="46" t="s">
        <v>5599</v>
      </c>
      <c r="D1855" s="46" t="s">
        <v>5741</v>
      </c>
      <c r="E1855" s="46" cm="1">
        <f t="array" ref="E1855">sch_num_funct_computers_acad_desktop_pta</f>
        <v>0</v>
      </c>
      <c r="F1855" s="46" t="b">
        <v>1</v>
      </c>
    </row>
    <row r="1856" spans="1:8">
      <c r="A1856" s="46" t="s">
        <v>5600</v>
      </c>
      <c r="B1856" s="46" t="s">
        <v>5596</v>
      </c>
      <c r="C1856" s="46" t="s">
        <v>5600</v>
      </c>
      <c r="D1856" s="46" t="s">
        <v>5742</v>
      </c>
      <c r="E1856" s="46" cm="1">
        <f t="array" ref="E1856">sch_num_funct_computers_acad_desktop_privatedon</f>
        <v>0</v>
      </c>
      <c r="F1856" s="46" t="b">
        <v>1</v>
      </c>
    </row>
    <row r="1857" spans="1:6">
      <c r="A1857" s="46" t="s">
        <v>5601</v>
      </c>
      <c r="B1857" s="46" t="s">
        <v>5596</v>
      </c>
      <c r="C1857" s="46" t="s">
        <v>5601</v>
      </c>
      <c r="D1857" s="46" t="s">
        <v>5743</v>
      </c>
      <c r="E1857" s="46" cm="1">
        <f t="array" ref="E1857">sch_num_funct_computers_acad_desktop_othergov</f>
        <v>5</v>
      </c>
      <c r="F1857" s="46" t="b">
        <v>1</v>
      </c>
    </row>
    <row r="1858" spans="1:6">
      <c r="A1858" s="46" t="s">
        <v>5602</v>
      </c>
      <c r="B1858" s="46" t="s">
        <v>5596</v>
      </c>
      <c r="C1858" s="46" t="s">
        <v>5602</v>
      </c>
      <c r="D1858" s="46" t="s">
        <v>5744</v>
      </c>
      <c r="E1858" s="46" cm="1">
        <f t="array" ref="E1858">sch_num_funct_computers_acad_desktop_others</f>
        <v>0</v>
      </c>
      <c r="F1858" s="46" t="b">
        <v>1</v>
      </c>
    </row>
    <row r="1859" spans="1:6">
      <c r="A1859" s="46" t="s">
        <v>5603</v>
      </c>
      <c r="B1859" s="46" t="s">
        <v>5596</v>
      </c>
      <c r="C1859" s="46" t="s">
        <v>5603</v>
      </c>
      <c r="D1859" s="46" t="s">
        <v>5745</v>
      </c>
      <c r="E1859" s="46" cm="1">
        <f t="array" ref="E1859">sch_num_funct_computers_acad_notnetbook_depeddcp</f>
        <v>0</v>
      </c>
      <c r="F1859" s="46" t="b">
        <v>1</v>
      </c>
    </row>
    <row r="1860" spans="1:6">
      <c r="A1860" s="46" t="s">
        <v>5604</v>
      </c>
      <c r="B1860" s="46" t="s">
        <v>5596</v>
      </c>
      <c r="C1860" s="46" t="s">
        <v>5604</v>
      </c>
      <c r="D1860" s="46" t="s">
        <v>5746</v>
      </c>
      <c r="E1860" s="46" cm="1">
        <f t="array" ref="E1860">sch_num_funct_computers_acad_notnetbook_depednondcp</f>
        <v>0</v>
      </c>
      <c r="F1860" s="46" t="b">
        <v>1</v>
      </c>
    </row>
    <row r="1861" spans="1:6">
      <c r="A1861" s="46" t="s">
        <v>5605</v>
      </c>
      <c r="B1861" s="46" t="s">
        <v>5596</v>
      </c>
      <c r="C1861" s="46" t="s">
        <v>5605</v>
      </c>
      <c r="D1861" s="46" t="s">
        <v>5747</v>
      </c>
      <c r="E1861" s="46" cm="1">
        <f t="array" ref="E1861">sch_num_funct_computers_acad_notnetbook_lgusef</f>
        <v>0</v>
      </c>
      <c r="F1861" s="46" t="b">
        <v>1</v>
      </c>
    </row>
    <row r="1862" spans="1:6">
      <c r="A1862" s="46" t="s">
        <v>5606</v>
      </c>
      <c r="B1862" s="46" t="s">
        <v>5596</v>
      </c>
      <c r="C1862" s="46" t="s">
        <v>5606</v>
      </c>
      <c r="D1862" s="46" t="s">
        <v>5748</v>
      </c>
      <c r="E1862" s="46" cm="1">
        <f t="array" ref="E1862">sch_num_funct_computers_acad_notnetbook_pta</f>
        <v>0</v>
      </c>
      <c r="F1862" s="46" t="b">
        <v>1</v>
      </c>
    </row>
    <row r="1863" spans="1:6">
      <c r="A1863" s="46" t="s">
        <v>5607</v>
      </c>
      <c r="B1863" s="46" t="s">
        <v>5596</v>
      </c>
      <c r="C1863" s="46" t="s">
        <v>5607</v>
      </c>
      <c r="D1863" s="46" t="s">
        <v>5749</v>
      </c>
      <c r="E1863" s="46" cm="1">
        <f t="array" ref="E1863">sch_num_funct_computers_acad_notnetbook_privatedon</f>
        <v>0</v>
      </c>
      <c r="F1863" s="46" t="b">
        <v>1</v>
      </c>
    </row>
    <row r="1864" spans="1:6">
      <c r="A1864" s="46" t="s">
        <v>5608</v>
      </c>
      <c r="B1864" s="46" t="s">
        <v>5596</v>
      </c>
      <c r="C1864" s="46" t="s">
        <v>5608</v>
      </c>
      <c r="D1864" s="46" t="s">
        <v>5750</v>
      </c>
      <c r="E1864" s="46" cm="1">
        <f t="array" ref="E1864">sch_num_funct_computers_acad_notnetbook_othergov</f>
        <v>0</v>
      </c>
      <c r="F1864" s="46" t="b">
        <v>1</v>
      </c>
    </row>
    <row r="1865" spans="1:6">
      <c r="A1865" s="46" t="s">
        <v>5609</v>
      </c>
      <c r="B1865" s="46" t="s">
        <v>5596</v>
      </c>
      <c r="C1865" s="46" t="s">
        <v>5609</v>
      </c>
      <c r="D1865" s="46" t="s">
        <v>5751</v>
      </c>
      <c r="E1865" s="46" cm="1">
        <f t="array" ref="E1865">sch_num_funct_computers_acad_notnetbook_others</f>
        <v>0</v>
      </c>
      <c r="F1865" s="46" t="b">
        <v>1</v>
      </c>
    </row>
    <row r="1866" spans="1:6">
      <c r="A1866" s="46" t="s">
        <v>5610</v>
      </c>
      <c r="B1866" s="46" t="s">
        <v>5596</v>
      </c>
      <c r="C1866" s="46" t="s">
        <v>5610</v>
      </c>
      <c r="D1866" s="46" t="s">
        <v>5752</v>
      </c>
      <c r="E1866" s="46" cm="1">
        <f t="array" ref="E1866">sch_num_funct_computers_acad_tablet_depeddcp</f>
        <v>100</v>
      </c>
      <c r="F1866" s="46" t="b">
        <v>1</v>
      </c>
    </row>
    <row r="1867" spans="1:6">
      <c r="A1867" s="46" t="s">
        <v>5611</v>
      </c>
      <c r="B1867" s="46" t="s">
        <v>5596</v>
      </c>
      <c r="C1867" s="46" t="s">
        <v>5611</v>
      </c>
      <c r="D1867" s="46" t="s">
        <v>5753</v>
      </c>
      <c r="E1867" s="46" cm="1">
        <f t="array" ref="E1867">sch_num_funct_computers_acad_tablet_depednondcp</f>
        <v>0</v>
      </c>
      <c r="F1867" s="46" t="b">
        <v>1</v>
      </c>
    </row>
    <row r="1868" spans="1:6">
      <c r="A1868" s="46" t="s">
        <v>5612</v>
      </c>
      <c r="B1868" s="46" t="s">
        <v>5596</v>
      </c>
      <c r="C1868" s="46" t="s">
        <v>5612</v>
      </c>
      <c r="D1868" s="46" t="s">
        <v>5754</v>
      </c>
      <c r="E1868" s="46" cm="1">
        <f t="array" ref="E1868">sch_num_funct_computers_acad_tablet_lgusef</f>
        <v>0</v>
      </c>
      <c r="F1868" s="46" t="b">
        <v>1</v>
      </c>
    </row>
    <row r="1869" spans="1:6">
      <c r="A1869" s="46" t="s">
        <v>5613</v>
      </c>
      <c r="B1869" s="46" t="s">
        <v>5596</v>
      </c>
      <c r="C1869" s="46" t="s">
        <v>5613</v>
      </c>
      <c r="D1869" s="46" t="s">
        <v>5755</v>
      </c>
      <c r="E1869" s="46" cm="1">
        <f t="array" ref="E1869">sch_num_funct_computers_acad_tablet_pta</f>
        <v>0</v>
      </c>
      <c r="F1869" s="46" t="b">
        <v>1</v>
      </c>
    </row>
    <row r="1870" spans="1:6">
      <c r="A1870" s="46" t="s">
        <v>5614</v>
      </c>
      <c r="B1870" s="46" t="s">
        <v>5596</v>
      </c>
      <c r="C1870" s="46" t="s">
        <v>5614</v>
      </c>
      <c r="D1870" s="46" t="s">
        <v>5756</v>
      </c>
      <c r="E1870" s="46" cm="1">
        <f t="array" ref="E1870">sch_num_funct_computers_acad_tablet_privatedon</f>
        <v>0</v>
      </c>
      <c r="F1870" s="46" t="b">
        <v>1</v>
      </c>
    </row>
    <row r="1871" spans="1:6">
      <c r="A1871" s="46" t="s">
        <v>5615</v>
      </c>
      <c r="B1871" s="46" t="s">
        <v>5596</v>
      </c>
      <c r="C1871" s="46" t="s">
        <v>5615</v>
      </c>
      <c r="D1871" s="46" t="s">
        <v>5757</v>
      </c>
      <c r="E1871" s="46" cm="1">
        <f t="array" ref="E1871">sch_num_funct_computers_acad_tablet_othergov</f>
        <v>0</v>
      </c>
      <c r="F1871" s="46" t="b">
        <v>1</v>
      </c>
    </row>
    <row r="1872" spans="1:6">
      <c r="A1872" s="46" t="s">
        <v>5616</v>
      </c>
      <c r="B1872" s="46" t="s">
        <v>5596</v>
      </c>
      <c r="C1872" s="46" t="s">
        <v>5616</v>
      </c>
      <c r="D1872" s="46" t="s">
        <v>5758</v>
      </c>
      <c r="E1872" s="46" cm="1">
        <f t="array" ref="E1872">sch_num_funct_computers_acad_tablet_others</f>
        <v>0</v>
      </c>
      <c r="F1872" s="46" t="b">
        <v>1</v>
      </c>
    </row>
    <row r="1873" spans="1:6">
      <c r="A1873" s="46" t="s">
        <v>5787</v>
      </c>
      <c r="B1873" s="46" t="s">
        <v>5596</v>
      </c>
      <c r="C1873" s="46" t="s">
        <v>5787</v>
      </c>
      <c r="D1873" s="46" t="s">
        <v>5759</v>
      </c>
      <c r="E1873" s="46" cm="1">
        <f t="array" ref="E1873">sch_num_funct_computers_acad_tabletpc_depeddcp</f>
        <v>0</v>
      </c>
      <c r="F1873" s="46" t="b">
        <v>1</v>
      </c>
    </row>
    <row r="1874" spans="1:6">
      <c r="A1874" s="46" t="s">
        <v>5788</v>
      </c>
      <c r="B1874" s="46" t="s">
        <v>5596</v>
      </c>
      <c r="C1874" s="46" t="s">
        <v>5788</v>
      </c>
      <c r="D1874" s="46" t="s">
        <v>5760</v>
      </c>
      <c r="E1874" s="46" cm="1">
        <f t="array" ref="E1874">sch_num_funct_computers_acad_tabletpc_depednondcp</f>
        <v>0</v>
      </c>
      <c r="F1874" s="46" t="b">
        <v>1</v>
      </c>
    </row>
    <row r="1875" spans="1:6">
      <c r="A1875" s="46" t="s">
        <v>5789</v>
      </c>
      <c r="B1875" s="46" t="s">
        <v>5596</v>
      </c>
      <c r="C1875" s="46" t="s">
        <v>5789</v>
      </c>
      <c r="D1875" s="46" t="s">
        <v>5761</v>
      </c>
      <c r="E1875" s="46" cm="1">
        <f t="array" ref="E1875">sch_num_funct_computers_acad_tabletpc_lgusef</f>
        <v>0</v>
      </c>
      <c r="F1875" s="46" t="b">
        <v>1</v>
      </c>
    </row>
    <row r="1876" spans="1:6">
      <c r="A1876" s="46" t="s">
        <v>5790</v>
      </c>
      <c r="B1876" s="46" t="s">
        <v>5596</v>
      </c>
      <c r="C1876" s="46" t="s">
        <v>5790</v>
      </c>
      <c r="D1876" s="46" t="s">
        <v>5762</v>
      </c>
      <c r="E1876" s="46" cm="1">
        <f t="array" ref="E1876">sch_num_funct_computers_acad_tabletpc_pta</f>
        <v>0</v>
      </c>
      <c r="F1876" s="46" t="b">
        <v>1</v>
      </c>
    </row>
    <row r="1877" spans="1:6">
      <c r="A1877" s="46" t="s">
        <v>5791</v>
      </c>
      <c r="B1877" s="46" t="s">
        <v>5596</v>
      </c>
      <c r="C1877" s="46" t="s">
        <v>5791</v>
      </c>
      <c r="D1877" s="46" t="s">
        <v>5763</v>
      </c>
      <c r="E1877" s="46" cm="1">
        <f t="array" ref="E1877">sch_num_funct_computers_acad_tabletpc_privatedon</f>
        <v>0</v>
      </c>
      <c r="F1877" s="46" t="b">
        <v>1</v>
      </c>
    </row>
    <row r="1878" spans="1:6">
      <c r="A1878" s="46" t="s">
        <v>5792</v>
      </c>
      <c r="B1878" s="46" t="s">
        <v>5596</v>
      </c>
      <c r="C1878" s="46" t="s">
        <v>5792</v>
      </c>
      <c r="D1878" s="46" t="s">
        <v>5764</v>
      </c>
      <c r="E1878" s="46" cm="1">
        <f t="array" ref="E1878">sch_num_funct_computers_acad_tabletpc_othergov</f>
        <v>0</v>
      </c>
      <c r="F1878" s="46" t="b">
        <v>1</v>
      </c>
    </row>
    <row r="1879" spans="1:6">
      <c r="A1879" s="46" t="s">
        <v>5793</v>
      </c>
      <c r="B1879" s="46" t="s">
        <v>5596</v>
      </c>
      <c r="C1879" s="46" t="s">
        <v>5793</v>
      </c>
      <c r="D1879" s="46" t="s">
        <v>5765</v>
      </c>
      <c r="E1879" s="46" cm="1">
        <f t="array" ref="E1879">sch_num_funct_computers_acad_tabletpc_others</f>
        <v>0</v>
      </c>
      <c r="F1879" s="46" t="b">
        <v>1</v>
      </c>
    </row>
    <row r="1880" spans="1:6">
      <c r="A1880" s="46" t="s">
        <v>5617</v>
      </c>
      <c r="B1880" s="46" t="s">
        <v>5596</v>
      </c>
      <c r="C1880" s="46" t="s">
        <v>5617</v>
      </c>
      <c r="D1880" s="46" t="s">
        <v>5794</v>
      </c>
      <c r="E1880" s="46" cm="1">
        <f t="array" ref="E1880">sch_num_funct_computers_acad_dvt_depeddcp</f>
        <v>0</v>
      </c>
      <c r="F1880" s="46" t="b">
        <v>1</v>
      </c>
    </row>
    <row r="1881" spans="1:6">
      <c r="A1881" s="46" t="s">
        <v>5618</v>
      </c>
      <c r="B1881" s="46" t="s">
        <v>5596</v>
      </c>
      <c r="C1881" s="46" t="s">
        <v>5618</v>
      </c>
      <c r="D1881" s="46" t="s">
        <v>5795</v>
      </c>
      <c r="E1881" s="46" cm="1">
        <f t="array" ref="E1881">sch_num_funct_computers_acad_dvt_depednondcp</f>
        <v>0</v>
      </c>
      <c r="F1881" s="46" t="b">
        <v>1</v>
      </c>
    </row>
    <row r="1882" spans="1:6">
      <c r="A1882" s="46" t="s">
        <v>5619</v>
      </c>
      <c r="B1882" s="46" t="s">
        <v>5596</v>
      </c>
      <c r="C1882" s="46" t="s">
        <v>5619</v>
      </c>
      <c r="D1882" s="46" t="s">
        <v>5796</v>
      </c>
      <c r="E1882" s="46" cm="1">
        <f t="array" ref="E1882">sch_num_funct_computers_acad_dvt_lgusef</f>
        <v>0</v>
      </c>
      <c r="F1882" s="46" t="b">
        <v>1</v>
      </c>
    </row>
    <row r="1883" spans="1:6">
      <c r="A1883" s="46" t="s">
        <v>5620</v>
      </c>
      <c r="B1883" s="46" t="s">
        <v>5596</v>
      </c>
      <c r="C1883" s="46" t="s">
        <v>5620</v>
      </c>
      <c r="D1883" s="46" t="s">
        <v>5797</v>
      </c>
      <c r="E1883" s="46" cm="1">
        <f t="array" ref="E1883">sch_num_funct_computers_acad_dvt_pta</f>
        <v>0</v>
      </c>
      <c r="F1883" s="46" t="b">
        <v>1</v>
      </c>
    </row>
    <row r="1884" spans="1:6">
      <c r="A1884" s="46" t="s">
        <v>5621</v>
      </c>
      <c r="B1884" s="46" t="s">
        <v>5596</v>
      </c>
      <c r="C1884" s="46" t="s">
        <v>5621</v>
      </c>
      <c r="D1884" s="46" t="s">
        <v>5798</v>
      </c>
      <c r="E1884" s="46" cm="1">
        <f t="array" ref="E1884">sch_num_funct_computers_acad_dvt_privatedon</f>
        <v>0</v>
      </c>
      <c r="F1884" s="46" t="b">
        <v>1</v>
      </c>
    </row>
    <row r="1885" spans="1:6">
      <c r="A1885" s="46" t="s">
        <v>5622</v>
      </c>
      <c r="B1885" s="46" t="s">
        <v>5596</v>
      </c>
      <c r="C1885" s="46" t="s">
        <v>5622</v>
      </c>
      <c r="D1885" s="46" t="s">
        <v>5799</v>
      </c>
      <c r="E1885" s="46" cm="1">
        <f t="array" ref="E1885">sch_num_funct_computers_acad_dvt_othergov</f>
        <v>0</v>
      </c>
      <c r="F1885" s="46" t="b">
        <v>1</v>
      </c>
    </row>
    <row r="1886" spans="1:6">
      <c r="A1886" s="46" t="s">
        <v>5623</v>
      </c>
      <c r="B1886" s="46" t="s">
        <v>5596</v>
      </c>
      <c r="C1886" s="46" t="s">
        <v>5623</v>
      </c>
      <c r="D1886" s="46" t="s">
        <v>5800</v>
      </c>
      <c r="E1886" s="46" cm="1">
        <f t="array" ref="E1886">sch_num_funct_computers_acad_dvt_others</f>
        <v>0</v>
      </c>
      <c r="F1886" s="46" t="b">
        <v>1</v>
      </c>
    </row>
    <row r="1887" spans="1:6">
      <c r="A1887" s="46" t="s">
        <v>5624</v>
      </c>
      <c r="B1887" s="46" t="s">
        <v>5596</v>
      </c>
      <c r="C1887" s="46" t="s">
        <v>5624</v>
      </c>
      <c r="D1887" s="46" t="s">
        <v>5766</v>
      </c>
      <c r="E1887" s="46" cm="1">
        <f t="array" ref="E1887">sch_num_funct_computers_admin_desktop_depeddcp</f>
        <v>0</v>
      </c>
      <c r="F1887" s="46" t="b">
        <v>1</v>
      </c>
    </row>
    <row r="1888" spans="1:6">
      <c r="A1888" s="46" t="s">
        <v>5625</v>
      </c>
      <c r="B1888" s="46" t="s">
        <v>5596</v>
      </c>
      <c r="C1888" s="46" t="s">
        <v>5625</v>
      </c>
      <c r="D1888" s="46" t="s">
        <v>5767</v>
      </c>
      <c r="E1888" s="46" cm="1">
        <f t="array" ref="E1888">sch_num_funct_computers_admin_desktop_depednondcp</f>
        <v>3</v>
      </c>
      <c r="F1888" s="46" t="b">
        <v>1</v>
      </c>
    </row>
    <row r="1889" spans="1:6">
      <c r="A1889" s="46" t="s">
        <v>5626</v>
      </c>
      <c r="B1889" s="46" t="s">
        <v>5596</v>
      </c>
      <c r="C1889" s="46" t="s">
        <v>5626</v>
      </c>
      <c r="D1889" s="46" t="s">
        <v>5768</v>
      </c>
      <c r="E1889" s="46" cm="1">
        <f t="array" ref="E1889">sch_num_funct_computers_admin_desktop_lgusef</f>
        <v>0</v>
      </c>
      <c r="F1889" s="46" t="b">
        <v>1</v>
      </c>
    </row>
    <row r="1890" spans="1:6">
      <c r="A1890" s="46" t="s">
        <v>5627</v>
      </c>
      <c r="B1890" s="46" t="s">
        <v>5596</v>
      </c>
      <c r="C1890" s="46" t="s">
        <v>5627</v>
      </c>
      <c r="D1890" s="46" t="s">
        <v>5769</v>
      </c>
      <c r="E1890" s="46" cm="1">
        <f t="array" ref="E1890">sch_num_funct_computers_admin_desktop_pta</f>
        <v>0</v>
      </c>
      <c r="F1890" s="46" t="b">
        <v>1</v>
      </c>
    </row>
    <row r="1891" spans="1:6">
      <c r="A1891" s="46" t="s">
        <v>5628</v>
      </c>
      <c r="B1891" s="46" t="s">
        <v>5596</v>
      </c>
      <c r="C1891" s="46" t="s">
        <v>5628</v>
      </c>
      <c r="D1891" s="46" t="s">
        <v>5770</v>
      </c>
      <c r="E1891" s="46" cm="1">
        <f t="array" ref="E1891">sch_num_funct_computers_admin_desktop_privatedon</f>
        <v>0</v>
      </c>
      <c r="F1891" s="46" t="b">
        <v>1</v>
      </c>
    </row>
    <row r="1892" spans="1:6">
      <c r="A1892" s="46" t="s">
        <v>5629</v>
      </c>
      <c r="B1892" s="46" t="s">
        <v>5596</v>
      </c>
      <c r="C1892" s="46" t="s">
        <v>5629</v>
      </c>
      <c r="D1892" s="46" t="s">
        <v>5771</v>
      </c>
      <c r="E1892" s="46" cm="1">
        <f t="array" ref="E1892">sch_num_funct_computers_admin_desktop_othergov</f>
        <v>5</v>
      </c>
      <c r="F1892" s="46" t="b">
        <v>1</v>
      </c>
    </row>
    <row r="1893" spans="1:6">
      <c r="A1893" s="46" t="s">
        <v>5630</v>
      </c>
      <c r="B1893" s="46" t="s">
        <v>5596</v>
      </c>
      <c r="C1893" s="46" t="s">
        <v>5630</v>
      </c>
      <c r="D1893" s="46" t="s">
        <v>5772</v>
      </c>
      <c r="E1893" s="46" cm="1">
        <f t="array" ref="E1893">sch_num_funct_computers_admin_desktop_others</f>
        <v>0</v>
      </c>
      <c r="F1893" s="46" t="b">
        <v>1</v>
      </c>
    </row>
    <row r="1894" spans="1:6">
      <c r="A1894" s="46" t="s">
        <v>5631</v>
      </c>
      <c r="B1894" s="46" t="s">
        <v>5596</v>
      </c>
      <c r="C1894" s="46" t="s">
        <v>5631</v>
      </c>
      <c r="D1894" s="46" t="s">
        <v>5773</v>
      </c>
      <c r="E1894" s="46" cm="1">
        <f t="array" ref="E1894">sch_num_funct_computers_admin_notnetbook_depeddcp</f>
        <v>0</v>
      </c>
      <c r="F1894" s="46" t="b">
        <v>1</v>
      </c>
    </row>
    <row r="1895" spans="1:6">
      <c r="A1895" s="46" t="s">
        <v>5632</v>
      </c>
      <c r="B1895" s="46" t="s">
        <v>5596</v>
      </c>
      <c r="C1895" s="46" t="s">
        <v>5632</v>
      </c>
      <c r="D1895" s="46" t="s">
        <v>5774</v>
      </c>
      <c r="E1895" s="46" cm="1">
        <f t="array" ref="E1895">sch_num_funct_computers_admin_notnetbook_depednondcp</f>
        <v>0</v>
      </c>
      <c r="F1895" s="46" t="b">
        <v>1</v>
      </c>
    </row>
    <row r="1896" spans="1:6">
      <c r="A1896" s="46" t="s">
        <v>5633</v>
      </c>
      <c r="B1896" s="46" t="s">
        <v>5596</v>
      </c>
      <c r="C1896" s="46" t="s">
        <v>5633</v>
      </c>
      <c r="D1896" s="46" t="s">
        <v>5775</v>
      </c>
      <c r="E1896" s="46" cm="1">
        <f t="array" ref="E1896">sch_num_funct_computers_admin_notnetbook_lgusef</f>
        <v>0</v>
      </c>
      <c r="F1896" s="46" t="b">
        <v>1</v>
      </c>
    </row>
    <row r="1897" spans="1:6">
      <c r="A1897" s="46" t="s">
        <v>5634</v>
      </c>
      <c r="B1897" s="46" t="s">
        <v>5596</v>
      </c>
      <c r="C1897" s="46" t="s">
        <v>5634</v>
      </c>
      <c r="D1897" s="46" t="s">
        <v>5776</v>
      </c>
      <c r="E1897" s="46" cm="1">
        <f t="array" ref="E1897">sch_num_funct_computers_admin_notnetbook_pta</f>
        <v>0</v>
      </c>
      <c r="F1897" s="46" t="b">
        <v>1</v>
      </c>
    </row>
    <row r="1898" spans="1:6">
      <c r="A1898" s="46" t="s">
        <v>5635</v>
      </c>
      <c r="B1898" s="46" t="s">
        <v>5596</v>
      </c>
      <c r="C1898" s="46" t="s">
        <v>5635</v>
      </c>
      <c r="D1898" s="46" t="s">
        <v>5777</v>
      </c>
      <c r="E1898" s="46" cm="1">
        <f t="array" ref="E1898">sch_num_funct_computers_admin_notnetbook_privatedon</f>
        <v>0</v>
      </c>
      <c r="F1898" s="46" t="b">
        <v>1</v>
      </c>
    </row>
    <row r="1899" spans="1:6">
      <c r="A1899" s="46" t="s">
        <v>5636</v>
      </c>
      <c r="B1899" s="46" t="s">
        <v>5596</v>
      </c>
      <c r="C1899" s="46" t="s">
        <v>5636</v>
      </c>
      <c r="D1899" s="46" t="s">
        <v>5778</v>
      </c>
      <c r="E1899" s="46" cm="1">
        <f t="array" ref="E1899">sch_num_funct_computers_admin_notnetbook_othergov</f>
        <v>0</v>
      </c>
      <c r="F1899" s="46" t="b">
        <v>1</v>
      </c>
    </row>
    <row r="1900" spans="1:6">
      <c r="A1900" s="46" t="s">
        <v>5637</v>
      </c>
      <c r="B1900" s="46" t="s">
        <v>5596</v>
      </c>
      <c r="C1900" s="46" t="s">
        <v>5637</v>
      </c>
      <c r="D1900" s="46" t="s">
        <v>5779</v>
      </c>
      <c r="E1900" s="46" cm="1">
        <f t="array" ref="E1900">sch_num_funct_computers_admin_notnetbook_others</f>
        <v>0</v>
      </c>
      <c r="F1900" s="46" t="b">
        <v>1</v>
      </c>
    </row>
    <row r="1901" spans="1:6">
      <c r="A1901" s="46" t="s">
        <v>5638</v>
      </c>
      <c r="B1901" s="46" t="s">
        <v>5596</v>
      </c>
      <c r="C1901" s="46" t="s">
        <v>5638</v>
      </c>
      <c r="D1901" s="46" t="s">
        <v>5780</v>
      </c>
      <c r="E1901" s="46" cm="1">
        <f t="array" ref="E1901">sch_num_funct_computers_admin_tablet_depeddcp</f>
        <v>0</v>
      </c>
      <c r="F1901" s="46" t="b">
        <v>1</v>
      </c>
    </row>
    <row r="1902" spans="1:6">
      <c r="A1902" s="46" t="s">
        <v>5639</v>
      </c>
      <c r="B1902" s="46" t="s">
        <v>5596</v>
      </c>
      <c r="C1902" s="46" t="s">
        <v>5639</v>
      </c>
      <c r="D1902" s="46" t="s">
        <v>5781</v>
      </c>
      <c r="E1902" s="46" cm="1">
        <f t="array" ref="E1902">sch_num_funct_computers_admin_tablet_depednondcp</f>
        <v>0</v>
      </c>
      <c r="F1902" s="46" t="b">
        <v>1</v>
      </c>
    </row>
    <row r="1903" spans="1:6">
      <c r="A1903" s="46" t="s">
        <v>5640</v>
      </c>
      <c r="B1903" s="46" t="s">
        <v>5596</v>
      </c>
      <c r="C1903" s="46" t="s">
        <v>5640</v>
      </c>
      <c r="D1903" s="46" t="s">
        <v>5782</v>
      </c>
      <c r="E1903" s="46" cm="1">
        <f t="array" ref="E1903">sch_num_funct_computers_admin_tablet_lgusef</f>
        <v>0</v>
      </c>
      <c r="F1903" s="46" t="b">
        <v>1</v>
      </c>
    </row>
    <row r="1904" spans="1:6">
      <c r="A1904" s="46" t="s">
        <v>5641</v>
      </c>
      <c r="B1904" s="46" t="s">
        <v>5596</v>
      </c>
      <c r="C1904" s="46" t="s">
        <v>5641</v>
      </c>
      <c r="D1904" s="46" t="s">
        <v>5783</v>
      </c>
      <c r="E1904" s="46" cm="1">
        <f t="array" ref="E1904">sch_num_funct_computers_admin_tablet_pta</f>
        <v>0</v>
      </c>
      <c r="F1904" s="46" t="b">
        <v>1</v>
      </c>
    </row>
    <row r="1905" spans="1:6">
      <c r="A1905" s="46" t="s">
        <v>5642</v>
      </c>
      <c r="B1905" s="46" t="s">
        <v>5596</v>
      </c>
      <c r="C1905" s="46" t="s">
        <v>5642</v>
      </c>
      <c r="D1905" s="46" t="s">
        <v>5784</v>
      </c>
      <c r="E1905" s="46" cm="1">
        <f t="array" ref="E1905">sch_num_funct_computers_admin_tablet_privatedon</f>
        <v>0</v>
      </c>
      <c r="F1905" s="46" t="b">
        <v>1</v>
      </c>
    </row>
    <row r="1906" spans="1:6">
      <c r="A1906" s="46" t="s">
        <v>5643</v>
      </c>
      <c r="B1906" s="46" t="s">
        <v>5596</v>
      </c>
      <c r="C1906" s="46" t="s">
        <v>5643</v>
      </c>
      <c r="D1906" s="46" t="s">
        <v>5785</v>
      </c>
      <c r="E1906" s="46" cm="1">
        <f t="array" ref="E1906">sch_num_funct_computers_admin_tablet_othergov</f>
        <v>0</v>
      </c>
      <c r="F1906" s="46" t="b">
        <v>1</v>
      </c>
    </row>
    <row r="1907" spans="1:6">
      <c r="A1907" s="46" t="s">
        <v>5644</v>
      </c>
      <c r="B1907" s="46" t="s">
        <v>5596</v>
      </c>
      <c r="C1907" s="46" t="s">
        <v>5644</v>
      </c>
      <c r="D1907" s="46" t="s">
        <v>5786</v>
      </c>
      <c r="E1907" s="46" cm="1">
        <f t="array" ref="E1907">sch_num_funct_computers_admin_tablet_others</f>
        <v>0</v>
      </c>
      <c r="F1907" s="46" t="b">
        <v>1</v>
      </c>
    </row>
    <row r="1908" spans="1:6">
      <c r="A1908" s="46" t="s">
        <v>5801</v>
      </c>
      <c r="B1908" s="46" t="s">
        <v>5596</v>
      </c>
      <c r="C1908" s="46" t="s">
        <v>5801</v>
      </c>
      <c r="D1908" s="46" t="s">
        <v>5808</v>
      </c>
      <c r="E1908" s="46" cm="1">
        <f t="array" ref="E1908">sch_num_funct_computers_admin_tabletpc_depeddcp</f>
        <v>0</v>
      </c>
      <c r="F1908" s="46" t="b">
        <v>1</v>
      </c>
    </row>
    <row r="1909" spans="1:6">
      <c r="A1909" s="46" t="s">
        <v>5802</v>
      </c>
      <c r="B1909" s="46" t="s">
        <v>5596</v>
      </c>
      <c r="C1909" s="46" t="s">
        <v>5802</v>
      </c>
      <c r="D1909" s="46" t="s">
        <v>5809</v>
      </c>
      <c r="E1909" s="46" cm="1">
        <f t="array" ref="E1909">sch_num_funct_computers_admin_tabletpc_depednondcp</f>
        <v>0</v>
      </c>
      <c r="F1909" s="46" t="b">
        <v>1</v>
      </c>
    </row>
    <row r="1910" spans="1:6">
      <c r="A1910" s="46" t="s">
        <v>5803</v>
      </c>
      <c r="B1910" s="46" t="s">
        <v>5596</v>
      </c>
      <c r="C1910" s="46" t="s">
        <v>5803</v>
      </c>
      <c r="D1910" s="46" t="s">
        <v>5810</v>
      </c>
      <c r="E1910" s="46" cm="1">
        <f t="array" ref="E1910">sch_num_funct_computers_admin_tabletpc_lgusef</f>
        <v>0</v>
      </c>
      <c r="F1910" s="46" t="b">
        <v>1</v>
      </c>
    </row>
    <row r="1911" spans="1:6">
      <c r="A1911" s="46" t="s">
        <v>5804</v>
      </c>
      <c r="B1911" s="46" t="s">
        <v>5596</v>
      </c>
      <c r="C1911" s="46" t="s">
        <v>5804</v>
      </c>
      <c r="D1911" s="46" t="s">
        <v>5811</v>
      </c>
      <c r="E1911" s="46" cm="1">
        <f t="array" ref="E1911">sch_num_funct_computers_admin_tabletpc_pta</f>
        <v>0</v>
      </c>
      <c r="F1911" s="46" t="b">
        <v>1</v>
      </c>
    </row>
    <row r="1912" spans="1:6">
      <c r="A1912" s="46" t="s">
        <v>5805</v>
      </c>
      <c r="B1912" s="46" t="s">
        <v>5596</v>
      </c>
      <c r="C1912" s="46" t="s">
        <v>5805</v>
      </c>
      <c r="D1912" s="46" t="s">
        <v>5812</v>
      </c>
      <c r="E1912" s="46" cm="1">
        <f t="array" ref="E1912">sch_num_funct_computers_admin_tabletpc_privatedon</f>
        <v>0</v>
      </c>
      <c r="F1912" s="46" t="b">
        <v>1</v>
      </c>
    </row>
    <row r="1913" spans="1:6">
      <c r="A1913" s="46" t="s">
        <v>5806</v>
      </c>
      <c r="B1913" s="46" t="s">
        <v>5596</v>
      </c>
      <c r="C1913" s="46" t="s">
        <v>5806</v>
      </c>
      <c r="D1913" s="46" t="s">
        <v>5813</v>
      </c>
      <c r="E1913" s="46" cm="1">
        <f t="array" ref="E1913">sch_num_funct_computers_admin_tabletpc_othergov</f>
        <v>0</v>
      </c>
      <c r="F1913" s="46" t="b">
        <v>1</v>
      </c>
    </row>
    <row r="1914" spans="1:6">
      <c r="A1914" s="46" t="s">
        <v>5807</v>
      </c>
      <c r="B1914" s="46" t="s">
        <v>5596</v>
      </c>
      <c r="C1914" s="46" t="s">
        <v>5807</v>
      </c>
      <c r="D1914" s="46" t="s">
        <v>5814</v>
      </c>
      <c r="E1914" s="46" cm="1">
        <f t="array" ref="E1914">sch_num_funct_computers_admin_tabletpc_others</f>
        <v>0</v>
      </c>
      <c r="F1914" s="46" t="b">
        <v>1</v>
      </c>
    </row>
    <row r="1915" spans="1:6">
      <c r="A1915" s="46" t="s">
        <v>5645</v>
      </c>
      <c r="B1915" s="46" t="s">
        <v>5596</v>
      </c>
      <c r="C1915" s="46" t="s">
        <v>5645</v>
      </c>
      <c r="D1915" s="46" t="s">
        <v>5815</v>
      </c>
      <c r="E1915" s="46" cm="1">
        <f t="array" ref="E1915">sch_num_funct_computers_admin_dvt_depeddcp</f>
        <v>0</v>
      </c>
      <c r="F1915" s="46" t="b">
        <v>1</v>
      </c>
    </row>
    <row r="1916" spans="1:6">
      <c r="A1916" s="46" t="s">
        <v>5646</v>
      </c>
      <c r="B1916" s="46" t="s">
        <v>5596</v>
      </c>
      <c r="C1916" s="46" t="s">
        <v>5646</v>
      </c>
      <c r="D1916" s="46" t="s">
        <v>5816</v>
      </c>
      <c r="E1916" s="46" cm="1">
        <f t="array" ref="E1916">sch_num_funct_computers_admin_dvt_depednondcp</f>
        <v>0</v>
      </c>
      <c r="F1916" s="46" t="b">
        <v>1</v>
      </c>
    </row>
    <row r="1917" spans="1:6">
      <c r="A1917" s="46" t="s">
        <v>5647</v>
      </c>
      <c r="B1917" s="46" t="s">
        <v>5596</v>
      </c>
      <c r="C1917" s="46" t="s">
        <v>5647</v>
      </c>
      <c r="D1917" s="46" t="s">
        <v>5817</v>
      </c>
      <c r="E1917" s="46" cm="1">
        <f t="array" ref="E1917">sch_num_funct_computers_admin_dvt_lgusef</f>
        <v>0</v>
      </c>
      <c r="F1917" s="46" t="b">
        <v>1</v>
      </c>
    </row>
    <row r="1918" spans="1:6">
      <c r="A1918" s="46" t="s">
        <v>5648</v>
      </c>
      <c r="B1918" s="46" t="s">
        <v>5596</v>
      </c>
      <c r="C1918" s="46" t="s">
        <v>5648</v>
      </c>
      <c r="D1918" s="46" t="s">
        <v>5818</v>
      </c>
      <c r="E1918" s="46" cm="1">
        <f t="array" ref="E1918">sch_num_funct_computers_admin_dvt_pta</f>
        <v>0</v>
      </c>
      <c r="F1918" s="46" t="b">
        <v>1</v>
      </c>
    </row>
    <row r="1919" spans="1:6">
      <c r="A1919" s="46" t="s">
        <v>5649</v>
      </c>
      <c r="B1919" s="46" t="s">
        <v>5596</v>
      </c>
      <c r="C1919" s="46" t="s">
        <v>5649</v>
      </c>
      <c r="D1919" s="46" t="s">
        <v>5819</v>
      </c>
      <c r="E1919" s="46" cm="1">
        <f t="array" ref="E1919">sch_num_funct_computers_admin_dvt_privatedon</f>
        <v>0</v>
      </c>
      <c r="F1919" s="46" t="b">
        <v>1</v>
      </c>
    </row>
    <row r="1920" spans="1:6">
      <c r="A1920" s="46" t="s">
        <v>5650</v>
      </c>
      <c r="B1920" s="46" t="s">
        <v>5596</v>
      </c>
      <c r="C1920" s="46" t="s">
        <v>5650</v>
      </c>
      <c r="D1920" s="46" t="s">
        <v>5820</v>
      </c>
      <c r="E1920" s="46" cm="1">
        <f t="array" ref="E1920">sch_num_funct_computers_admin_dvt_othergov</f>
        <v>0</v>
      </c>
      <c r="F1920" s="46" t="b">
        <v>1</v>
      </c>
    </row>
    <row r="1921" spans="1:8">
      <c r="A1921" s="46" t="s">
        <v>5651</v>
      </c>
      <c r="B1921" s="46" t="s">
        <v>5596</v>
      </c>
      <c r="C1921" s="46" t="s">
        <v>5651</v>
      </c>
      <c r="D1921" s="46" t="s">
        <v>5821</v>
      </c>
      <c r="E1921" s="46" cm="1">
        <f t="array" ref="E1921">sch_num_funct_computers_admin_dvt_others</f>
        <v>0</v>
      </c>
      <c r="F1921" s="46" t="b">
        <v>1</v>
      </c>
    </row>
    <row r="1922" spans="1:8" ht="16.5" thickBot="1">
      <c r="A1922" s="479" t="s">
        <v>5652</v>
      </c>
      <c r="B1922" s="479" t="s">
        <v>5596</v>
      </c>
      <c r="C1922" s="479" t="s">
        <v>5652</v>
      </c>
      <c r="D1922" s="479" t="s">
        <v>5822</v>
      </c>
      <c r="E1922" s="479" t="str" cm="1">
        <f t="array" ref="E1922">sch_div_ito_name</f>
        <v>ANNE VALERIE KERSTEINE I. VILLANUEVA / March 17, 2023</v>
      </c>
      <c r="F1922" s="479" t="b">
        <v>1</v>
      </c>
      <c r="G1922" s="479"/>
      <c r="H1922" s="479"/>
    </row>
    <row r="1923" spans="1:8" ht="16.5" thickTop="1">
      <c r="A1923" s="46" t="s">
        <v>5653</v>
      </c>
      <c r="B1923" s="46" t="s">
        <v>5654</v>
      </c>
      <c r="C1923" s="46" t="s">
        <v>5653</v>
      </c>
      <c r="D1923" s="46" t="s">
        <v>5830</v>
      </c>
      <c r="E1923" s="46" cm="1">
        <f t="array" ref="E1923">sch_num_funct_computers_acad_ledtv_depeddcp</f>
        <v>4</v>
      </c>
      <c r="F1923" s="46" t="b">
        <v>1</v>
      </c>
    </row>
    <row r="1924" spans="1:8">
      <c r="A1924" s="46" t="s">
        <v>5655</v>
      </c>
      <c r="B1924" s="46" t="s">
        <v>5654</v>
      </c>
      <c r="C1924" s="46" t="s">
        <v>5655</v>
      </c>
      <c r="D1924" s="46" t="s">
        <v>5831</v>
      </c>
      <c r="E1924" s="46" cm="1">
        <f t="array" ref="E1924">sch_num_funct_computers_acad_ledtv_depednondcp</f>
        <v>0</v>
      </c>
      <c r="F1924" s="46" t="b">
        <v>1</v>
      </c>
    </row>
    <row r="1925" spans="1:8">
      <c r="A1925" s="46" t="s">
        <v>5656</v>
      </c>
      <c r="B1925" s="46" t="s">
        <v>5654</v>
      </c>
      <c r="C1925" s="46" t="s">
        <v>5656</v>
      </c>
      <c r="D1925" s="46" t="s">
        <v>5832</v>
      </c>
      <c r="E1925" s="46" cm="1">
        <f t="array" ref="E1925">sch_num_funct_computers_acad_ledtv_lgusef</f>
        <v>0</v>
      </c>
      <c r="F1925" s="46" t="b">
        <v>1</v>
      </c>
    </row>
    <row r="1926" spans="1:8">
      <c r="A1926" s="46" t="s">
        <v>5657</v>
      </c>
      <c r="B1926" s="46" t="s">
        <v>5654</v>
      </c>
      <c r="C1926" s="46" t="s">
        <v>5657</v>
      </c>
      <c r="D1926" s="46" t="s">
        <v>5833</v>
      </c>
      <c r="E1926" s="46" cm="1">
        <f t="array" ref="E1926">sch_num_funct_computers_acad_ledtv_pta</f>
        <v>0</v>
      </c>
      <c r="F1926" s="46" t="b">
        <v>1</v>
      </c>
    </row>
    <row r="1927" spans="1:8">
      <c r="A1927" s="46" t="s">
        <v>5658</v>
      </c>
      <c r="B1927" s="46" t="s">
        <v>5654</v>
      </c>
      <c r="C1927" s="46" t="s">
        <v>5658</v>
      </c>
      <c r="D1927" s="46" t="s">
        <v>5834</v>
      </c>
      <c r="E1927" s="46" cm="1">
        <f t="array" ref="E1927">sch_num_funct_computers_acad_ledtv_privatedon</f>
        <v>0</v>
      </c>
      <c r="F1927" s="46" t="b">
        <v>1</v>
      </c>
    </row>
    <row r="1928" spans="1:8">
      <c r="A1928" s="46" t="s">
        <v>5659</v>
      </c>
      <c r="B1928" s="46" t="s">
        <v>5654</v>
      </c>
      <c r="C1928" s="46" t="s">
        <v>5659</v>
      </c>
      <c r="D1928" s="46" t="s">
        <v>5835</v>
      </c>
      <c r="E1928" s="46" cm="1">
        <f t="array" ref="E1928">sch_num_funct_computers_acad_ledtv_othergov</f>
        <v>0</v>
      </c>
      <c r="F1928" s="46" t="b">
        <v>1</v>
      </c>
    </row>
    <row r="1929" spans="1:8">
      <c r="A1929" s="46" t="s">
        <v>5660</v>
      </c>
      <c r="B1929" s="46" t="s">
        <v>5654</v>
      </c>
      <c r="C1929" s="46" t="s">
        <v>5660</v>
      </c>
      <c r="D1929" s="46" t="s">
        <v>5836</v>
      </c>
      <c r="E1929" s="46" cm="1">
        <f t="array" ref="E1929">sch_num_funct_computers_acad_ledtv_others</f>
        <v>0</v>
      </c>
      <c r="F1929" s="46" t="b">
        <v>1</v>
      </c>
    </row>
    <row r="1930" spans="1:8">
      <c r="A1930" s="46" t="s">
        <v>5661</v>
      </c>
      <c r="B1930" s="46" t="s">
        <v>5654</v>
      </c>
      <c r="C1930" s="46" t="s">
        <v>5661</v>
      </c>
      <c r="D1930" s="46" t="s">
        <v>5837</v>
      </c>
      <c r="E1930" s="46" cm="1">
        <f t="array" ref="E1930">sch_num_funct_computers_acad_netswitch_depeddcp</f>
        <v>0</v>
      </c>
      <c r="F1930" s="46" t="b">
        <v>1</v>
      </c>
    </row>
    <row r="1931" spans="1:8">
      <c r="A1931" s="46" t="s">
        <v>5662</v>
      </c>
      <c r="B1931" s="46" t="s">
        <v>5654</v>
      </c>
      <c r="C1931" s="46" t="s">
        <v>5662</v>
      </c>
      <c r="D1931" s="46" t="s">
        <v>5838</v>
      </c>
      <c r="E1931" s="46" cm="1">
        <f t="array" ref="E1931">sch_num_funct_computers_acad_netswitch_depednondcp</f>
        <v>0</v>
      </c>
      <c r="F1931" s="46" t="b">
        <v>1</v>
      </c>
    </row>
    <row r="1932" spans="1:8">
      <c r="A1932" s="46" t="s">
        <v>5663</v>
      </c>
      <c r="B1932" s="46" t="s">
        <v>5654</v>
      </c>
      <c r="C1932" s="46" t="s">
        <v>5663</v>
      </c>
      <c r="D1932" s="46" t="s">
        <v>5839</v>
      </c>
      <c r="E1932" s="46" cm="1">
        <f t="array" ref="E1932">sch_num_funct_computers_acad_netswitch_lgusef</f>
        <v>0</v>
      </c>
      <c r="F1932" s="46" t="b">
        <v>1</v>
      </c>
    </row>
    <row r="1933" spans="1:8">
      <c r="A1933" s="46" t="s">
        <v>5664</v>
      </c>
      <c r="B1933" s="46" t="s">
        <v>5654</v>
      </c>
      <c r="C1933" s="46" t="s">
        <v>5664</v>
      </c>
      <c r="D1933" s="46" t="s">
        <v>5840</v>
      </c>
      <c r="E1933" s="46" cm="1">
        <f t="array" ref="E1933">sch_num_funct_computers_acad_netswitch_pta</f>
        <v>0</v>
      </c>
      <c r="F1933" s="46" t="b">
        <v>1</v>
      </c>
    </row>
    <row r="1934" spans="1:8">
      <c r="A1934" s="46" t="s">
        <v>5665</v>
      </c>
      <c r="B1934" s="46" t="s">
        <v>5654</v>
      </c>
      <c r="C1934" s="46" t="s">
        <v>5665</v>
      </c>
      <c r="D1934" s="46" t="s">
        <v>5841</v>
      </c>
      <c r="E1934" s="46" cm="1">
        <f t="array" ref="E1934">sch_num_funct_computers_acad_netswitch_privatedon</f>
        <v>0</v>
      </c>
      <c r="F1934" s="46" t="b">
        <v>1</v>
      </c>
    </row>
    <row r="1935" spans="1:8">
      <c r="A1935" s="46" t="s">
        <v>5666</v>
      </c>
      <c r="B1935" s="46" t="s">
        <v>5654</v>
      </c>
      <c r="C1935" s="46" t="s">
        <v>5666</v>
      </c>
      <c r="D1935" s="46" t="s">
        <v>5842</v>
      </c>
      <c r="E1935" s="46" cm="1">
        <f t="array" ref="E1935">sch_num_funct_computers_acad_netswitch_othergov</f>
        <v>0</v>
      </c>
      <c r="F1935" s="46" t="b">
        <v>1</v>
      </c>
    </row>
    <row r="1936" spans="1:8">
      <c r="A1936" s="46" t="s">
        <v>5667</v>
      </c>
      <c r="B1936" s="46" t="s">
        <v>5654</v>
      </c>
      <c r="C1936" s="46" t="s">
        <v>5667</v>
      </c>
      <c r="D1936" s="46" t="s">
        <v>5843</v>
      </c>
      <c r="E1936" s="46" cm="1">
        <f t="array" ref="E1936">sch_num_funct_computers_acad_netswitch_others</f>
        <v>0</v>
      </c>
      <c r="F1936" s="46" t="b">
        <v>1</v>
      </c>
    </row>
    <row r="1937" spans="1:6">
      <c r="A1937" s="46" t="s">
        <v>5668</v>
      </c>
      <c r="B1937" s="46" t="s">
        <v>5654</v>
      </c>
      <c r="C1937" s="46" t="s">
        <v>5668</v>
      </c>
      <c r="D1937" s="46" t="s">
        <v>5844</v>
      </c>
      <c r="E1937" s="46" cm="1">
        <f t="array" ref="E1937">sch_num_funct_computers_acad_printer_depeddcp</f>
        <v>2</v>
      </c>
      <c r="F1937" s="46" t="b">
        <v>1</v>
      </c>
    </row>
    <row r="1938" spans="1:6">
      <c r="A1938" s="46" t="s">
        <v>5669</v>
      </c>
      <c r="B1938" s="46" t="s">
        <v>5654</v>
      </c>
      <c r="C1938" s="46" t="s">
        <v>5669</v>
      </c>
      <c r="D1938" s="46" t="s">
        <v>5845</v>
      </c>
      <c r="E1938" s="46" cm="1">
        <f t="array" ref="E1938">sch_num_funct_computers_acad_printer_depednondcp</f>
        <v>0</v>
      </c>
      <c r="F1938" s="46" t="b">
        <v>1</v>
      </c>
    </row>
    <row r="1939" spans="1:6">
      <c r="A1939" s="46" t="s">
        <v>5670</v>
      </c>
      <c r="B1939" s="46" t="s">
        <v>5654</v>
      </c>
      <c r="C1939" s="46" t="s">
        <v>5670</v>
      </c>
      <c r="D1939" s="46" t="s">
        <v>5846</v>
      </c>
      <c r="E1939" s="46" cm="1">
        <f t="array" ref="E1939">sch_num_funct_computers_acad_printer_lgusef</f>
        <v>0</v>
      </c>
      <c r="F1939" s="46" t="b">
        <v>1</v>
      </c>
    </row>
    <row r="1940" spans="1:6">
      <c r="A1940" s="46" t="s">
        <v>5671</v>
      </c>
      <c r="B1940" s="46" t="s">
        <v>5654</v>
      </c>
      <c r="C1940" s="46" t="s">
        <v>5671</v>
      </c>
      <c r="D1940" s="46" t="s">
        <v>5847</v>
      </c>
      <c r="E1940" s="46" cm="1">
        <f t="array" ref="E1940">sch_num_funct_computers_acad_printer_pta</f>
        <v>0</v>
      </c>
      <c r="F1940" s="46" t="b">
        <v>1</v>
      </c>
    </row>
    <row r="1941" spans="1:6">
      <c r="A1941" s="46" t="s">
        <v>5672</v>
      </c>
      <c r="B1941" s="46" t="s">
        <v>5654</v>
      </c>
      <c r="C1941" s="46" t="s">
        <v>5672</v>
      </c>
      <c r="D1941" s="46" t="s">
        <v>5848</v>
      </c>
      <c r="E1941" s="46" cm="1">
        <f t="array" ref="E1941">sch_num_funct_computers_acad_printer_privatedon</f>
        <v>0</v>
      </c>
      <c r="F1941" s="46" t="b">
        <v>1</v>
      </c>
    </row>
    <row r="1942" spans="1:6">
      <c r="A1942" s="46" t="s">
        <v>5673</v>
      </c>
      <c r="B1942" s="46" t="s">
        <v>5654</v>
      </c>
      <c r="C1942" s="46" t="s">
        <v>5673</v>
      </c>
      <c r="D1942" s="46" t="s">
        <v>5849</v>
      </c>
      <c r="E1942" s="46" cm="1">
        <f t="array" ref="E1942">sch_num_funct_computers_acad_printer_othergov</f>
        <v>0</v>
      </c>
      <c r="F1942" s="46" t="b">
        <v>1</v>
      </c>
    </row>
    <row r="1943" spans="1:6">
      <c r="A1943" s="46" t="s">
        <v>5674</v>
      </c>
      <c r="B1943" s="46" t="s">
        <v>5654</v>
      </c>
      <c r="C1943" s="46" t="s">
        <v>5674</v>
      </c>
      <c r="D1943" s="46" t="s">
        <v>5850</v>
      </c>
      <c r="E1943" s="46" cm="1">
        <f t="array" ref="E1943">sch_num_funct_computers_acad_printer_others</f>
        <v>0</v>
      </c>
      <c r="F1943" s="46" t="b">
        <v>1</v>
      </c>
    </row>
    <row r="1944" spans="1:6">
      <c r="A1944" s="46" t="s">
        <v>5675</v>
      </c>
      <c r="B1944" s="46" t="s">
        <v>5654</v>
      </c>
      <c r="C1944" s="46" t="s">
        <v>5675</v>
      </c>
      <c r="D1944" s="46" t="s">
        <v>5851</v>
      </c>
      <c r="E1944" s="46" cm="1">
        <f t="array" ref="E1944">sch_num_funct_computers_acad_projector_depeddcp</f>
        <v>0</v>
      </c>
      <c r="F1944" s="46" t="b">
        <v>1</v>
      </c>
    </row>
    <row r="1945" spans="1:6">
      <c r="A1945" s="46" t="s">
        <v>5676</v>
      </c>
      <c r="B1945" s="46" t="s">
        <v>5654</v>
      </c>
      <c r="C1945" s="46" t="s">
        <v>5676</v>
      </c>
      <c r="D1945" s="46" t="s">
        <v>5852</v>
      </c>
      <c r="E1945" s="46" cm="1">
        <f t="array" ref="E1945">sch_num_funct_computers_acad_projector_depednondcp</f>
        <v>0</v>
      </c>
      <c r="F1945" s="46" t="b">
        <v>1</v>
      </c>
    </row>
    <row r="1946" spans="1:6">
      <c r="A1946" s="46" t="s">
        <v>5677</v>
      </c>
      <c r="B1946" s="46" t="s">
        <v>5654</v>
      </c>
      <c r="C1946" s="46" t="s">
        <v>5677</v>
      </c>
      <c r="D1946" s="46" t="s">
        <v>5853</v>
      </c>
      <c r="E1946" s="46" cm="1">
        <f t="array" ref="E1946">sch_num_funct_computers_acad_projector_lgusef</f>
        <v>0</v>
      </c>
      <c r="F1946" s="46" t="b">
        <v>1</v>
      </c>
    </row>
    <row r="1947" spans="1:6">
      <c r="A1947" s="46" t="s">
        <v>5678</v>
      </c>
      <c r="B1947" s="46" t="s">
        <v>5654</v>
      </c>
      <c r="C1947" s="46" t="s">
        <v>5678</v>
      </c>
      <c r="D1947" s="46" t="s">
        <v>5854</v>
      </c>
      <c r="E1947" s="46" cm="1">
        <f t="array" ref="E1947">sch_num_funct_computers_acad_projector_pta</f>
        <v>0</v>
      </c>
      <c r="F1947" s="46" t="b">
        <v>1</v>
      </c>
    </row>
    <row r="1948" spans="1:6">
      <c r="A1948" s="46" t="s">
        <v>5679</v>
      </c>
      <c r="B1948" s="46" t="s">
        <v>5654</v>
      </c>
      <c r="C1948" s="46" t="s">
        <v>5679</v>
      </c>
      <c r="D1948" s="46" t="s">
        <v>5855</v>
      </c>
      <c r="E1948" s="46" cm="1">
        <f t="array" ref="E1948">sch_num_funct_computers_acad_projector_privatedon</f>
        <v>0</v>
      </c>
      <c r="F1948" s="46" t="b">
        <v>1</v>
      </c>
    </row>
    <row r="1949" spans="1:6">
      <c r="A1949" s="46" t="s">
        <v>5680</v>
      </c>
      <c r="B1949" s="46" t="s">
        <v>5654</v>
      </c>
      <c r="C1949" s="46" t="s">
        <v>5680</v>
      </c>
      <c r="D1949" s="46" t="s">
        <v>5856</v>
      </c>
      <c r="E1949" s="46" cm="1">
        <f t="array" ref="E1949">sch_num_funct_computers_acad_projector_othergov</f>
        <v>0</v>
      </c>
      <c r="F1949" s="46" t="b">
        <v>1</v>
      </c>
    </row>
    <row r="1950" spans="1:6">
      <c r="A1950" s="46" t="s">
        <v>5681</v>
      </c>
      <c r="B1950" s="46" t="s">
        <v>5654</v>
      </c>
      <c r="C1950" s="46" t="s">
        <v>5681</v>
      </c>
      <c r="D1950" s="46" t="s">
        <v>5857</v>
      </c>
      <c r="E1950" s="46" cm="1">
        <f t="array" ref="E1950">sch_num_funct_computers_acad_projector_others</f>
        <v>0</v>
      </c>
      <c r="F1950" s="46" t="b">
        <v>1</v>
      </c>
    </row>
    <row r="1951" spans="1:6">
      <c r="A1951" s="46" t="s">
        <v>5682</v>
      </c>
      <c r="B1951" s="46" t="s">
        <v>5654</v>
      </c>
      <c r="C1951" s="46" t="s">
        <v>5682</v>
      </c>
      <c r="D1951" s="46" t="s">
        <v>5858</v>
      </c>
      <c r="E1951" s="46" cm="1">
        <f t="array" ref="E1951">sch_num_funct_computers_acad_ups_depeddcp</f>
        <v>12</v>
      </c>
      <c r="F1951" s="46" t="b">
        <v>1</v>
      </c>
    </row>
    <row r="1952" spans="1:6">
      <c r="A1952" s="46" t="s">
        <v>5683</v>
      </c>
      <c r="B1952" s="46" t="s">
        <v>5654</v>
      </c>
      <c r="C1952" s="46" t="s">
        <v>5683</v>
      </c>
      <c r="D1952" s="46" t="s">
        <v>5859</v>
      </c>
      <c r="E1952" s="46" cm="1">
        <f t="array" ref="E1952">sch_num_funct_computers_acad_ups_depednondcp</f>
        <v>0</v>
      </c>
      <c r="F1952" s="46" t="b">
        <v>1</v>
      </c>
    </row>
    <row r="1953" spans="1:6">
      <c r="A1953" s="46" t="s">
        <v>5684</v>
      </c>
      <c r="B1953" s="46" t="s">
        <v>5654</v>
      </c>
      <c r="C1953" s="46" t="s">
        <v>5684</v>
      </c>
      <c r="D1953" s="46" t="s">
        <v>5860</v>
      </c>
      <c r="E1953" s="46" cm="1">
        <f t="array" ref="E1953">sch_num_funct_computers_acad_ups_lgusef</f>
        <v>0</v>
      </c>
      <c r="F1953" s="46" t="b">
        <v>1</v>
      </c>
    </row>
    <row r="1954" spans="1:6">
      <c r="A1954" s="46" t="s">
        <v>5685</v>
      </c>
      <c r="B1954" s="46" t="s">
        <v>5654</v>
      </c>
      <c r="C1954" s="46" t="s">
        <v>5685</v>
      </c>
      <c r="D1954" s="46" t="s">
        <v>5861</v>
      </c>
      <c r="E1954" s="46" cm="1">
        <f t="array" ref="E1954">sch_num_funct_computers_acad_ups_pta</f>
        <v>0</v>
      </c>
      <c r="F1954" s="46" t="b">
        <v>1</v>
      </c>
    </row>
    <row r="1955" spans="1:6">
      <c r="A1955" s="46" t="s">
        <v>5686</v>
      </c>
      <c r="B1955" s="46" t="s">
        <v>5654</v>
      </c>
      <c r="C1955" s="46" t="s">
        <v>5686</v>
      </c>
      <c r="D1955" s="46" t="s">
        <v>5862</v>
      </c>
      <c r="E1955" s="46" cm="1">
        <f t="array" ref="E1955">sch_num_funct_computers_acad_ups_privatedon</f>
        <v>0</v>
      </c>
      <c r="F1955" s="46" t="b">
        <v>1</v>
      </c>
    </row>
    <row r="1956" spans="1:6">
      <c r="A1956" s="46" t="s">
        <v>5687</v>
      </c>
      <c r="B1956" s="46" t="s">
        <v>5654</v>
      </c>
      <c r="C1956" s="46" t="s">
        <v>5687</v>
      </c>
      <c r="D1956" s="46" t="s">
        <v>5863</v>
      </c>
      <c r="E1956" s="46" cm="1">
        <f t="array" ref="E1956">sch_num_funct_computers_acad_ups_othergov</f>
        <v>10</v>
      </c>
      <c r="F1956" s="46" t="b">
        <v>1</v>
      </c>
    </row>
    <row r="1957" spans="1:6">
      <c r="A1957" s="46" t="s">
        <v>5688</v>
      </c>
      <c r="B1957" s="46" t="s">
        <v>5654</v>
      </c>
      <c r="C1957" s="46" t="s">
        <v>5688</v>
      </c>
      <c r="D1957" s="46" t="s">
        <v>5864</v>
      </c>
      <c r="E1957" s="46" cm="1">
        <f t="array" ref="E1957">sch_num_funct_computers_acad_ups_others</f>
        <v>0</v>
      </c>
      <c r="F1957" s="46" t="b">
        <v>1</v>
      </c>
    </row>
    <row r="1958" spans="1:6">
      <c r="A1958" s="46" t="s">
        <v>5689</v>
      </c>
      <c r="B1958" s="46" t="s">
        <v>5654</v>
      </c>
      <c r="C1958" s="46" t="s">
        <v>5689</v>
      </c>
      <c r="D1958" s="46" t="s">
        <v>5865</v>
      </c>
      <c r="E1958" s="46" cm="1">
        <f t="array" ref="E1958">sch_num_funct_computers_acad_router_depeddcp</f>
        <v>5</v>
      </c>
      <c r="F1958" s="46" t="b">
        <v>1</v>
      </c>
    </row>
    <row r="1959" spans="1:6">
      <c r="A1959" s="46" t="s">
        <v>5690</v>
      </c>
      <c r="B1959" s="46" t="s">
        <v>5654</v>
      </c>
      <c r="C1959" s="46" t="s">
        <v>5690</v>
      </c>
      <c r="D1959" s="46" t="s">
        <v>5866</v>
      </c>
      <c r="E1959" s="46" cm="1">
        <f t="array" ref="E1959">sch_num_funct_computers_acad_router_depednondcp</f>
        <v>0</v>
      </c>
      <c r="F1959" s="46" t="b">
        <v>1</v>
      </c>
    </row>
    <row r="1960" spans="1:6">
      <c r="A1960" s="46" t="s">
        <v>5691</v>
      </c>
      <c r="B1960" s="46" t="s">
        <v>5654</v>
      </c>
      <c r="C1960" s="46" t="s">
        <v>5691</v>
      </c>
      <c r="D1960" s="46" t="s">
        <v>5867</v>
      </c>
      <c r="E1960" s="46" cm="1">
        <f t="array" ref="E1960">sch_num_funct_computers_acad_router_lgusef</f>
        <v>0</v>
      </c>
      <c r="F1960" s="46" t="b">
        <v>1</v>
      </c>
    </row>
    <row r="1961" spans="1:6">
      <c r="A1961" s="46" t="s">
        <v>5692</v>
      </c>
      <c r="B1961" s="46" t="s">
        <v>5654</v>
      </c>
      <c r="C1961" s="46" t="s">
        <v>5692</v>
      </c>
      <c r="D1961" s="46" t="s">
        <v>5868</v>
      </c>
      <c r="E1961" s="46" cm="1">
        <f t="array" ref="E1961">sch_num_funct_computers_acad_router_pta</f>
        <v>0</v>
      </c>
      <c r="F1961" s="46" t="b">
        <v>1</v>
      </c>
    </row>
    <row r="1962" spans="1:6">
      <c r="A1962" s="46" t="s">
        <v>5693</v>
      </c>
      <c r="B1962" s="46" t="s">
        <v>5654</v>
      </c>
      <c r="C1962" s="46" t="s">
        <v>5693</v>
      </c>
      <c r="D1962" s="46" t="s">
        <v>5869</v>
      </c>
      <c r="E1962" s="46" cm="1">
        <f t="array" ref="E1962">sch_num_funct_computers_acad_router_privatedon</f>
        <v>0</v>
      </c>
      <c r="F1962" s="46" t="b">
        <v>1</v>
      </c>
    </row>
    <row r="1963" spans="1:6">
      <c r="A1963" s="46" t="s">
        <v>5694</v>
      </c>
      <c r="B1963" s="46" t="s">
        <v>5654</v>
      </c>
      <c r="C1963" s="46" t="s">
        <v>5694</v>
      </c>
      <c r="D1963" s="46" t="s">
        <v>5870</v>
      </c>
      <c r="E1963" s="46" cm="1">
        <f t="array" ref="E1963">sch_num_funct_computers_acad_router_othergov</f>
        <v>0</v>
      </c>
      <c r="F1963" s="46" t="b">
        <v>1</v>
      </c>
    </row>
    <row r="1964" spans="1:6">
      <c r="A1964" s="46" t="s">
        <v>5695</v>
      </c>
      <c r="B1964" s="46" t="s">
        <v>5654</v>
      </c>
      <c r="C1964" s="46" t="s">
        <v>5695</v>
      </c>
      <c r="D1964" s="46" t="s">
        <v>5871</v>
      </c>
      <c r="E1964" s="46" cm="1">
        <f t="array" ref="E1964">sch_num_funct_computers_acad_router_others</f>
        <v>0</v>
      </c>
      <c r="F1964" s="46" t="b">
        <v>1</v>
      </c>
    </row>
    <row r="1965" spans="1:6">
      <c r="A1965" s="46" t="s">
        <v>5823</v>
      </c>
      <c r="B1965" s="46" t="s">
        <v>5654</v>
      </c>
      <c r="C1965" s="46" t="s">
        <v>5823</v>
      </c>
      <c r="D1965" s="46" t="s">
        <v>5872</v>
      </c>
      <c r="E1965" s="46" cm="1">
        <f t="array" ref="E1965">sch_num_funct_computers_acad_lapel_depeddcp</f>
        <v>0</v>
      </c>
      <c r="F1965" s="46" t="b">
        <v>1</v>
      </c>
    </row>
    <row r="1966" spans="1:6">
      <c r="A1966" s="46" t="s">
        <v>5824</v>
      </c>
      <c r="B1966" s="46" t="s">
        <v>5654</v>
      </c>
      <c r="C1966" s="46" t="s">
        <v>5824</v>
      </c>
      <c r="D1966" s="46" t="s">
        <v>5873</v>
      </c>
      <c r="E1966" s="46" cm="1">
        <f t="array" ref="E1966">sch_num_funct_computers_acad_lapel_depednondcp</f>
        <v>0</v>
      </c>
      <c r="F1966" s="46" t="b">
        <v>1</v>
      </c>
    </row>
    <row r="1967" spans="1:6">
      <c r="A1967" s="46" t="s">
        <v>5825</v>
      </c>
      <c r="B1967" s="46" t="s">
        <v>5654</v>
      </c>
      <c r="C1967" s="46" t="s">
        <v>5825</v>
      </c>
      <c r="D1967" s="46" t="s">
        <v>5874</v>
      </c>
      <c r="E1967" s="46" cm="1">
        <f t="array" ref="E1967">sch_num_funct_computers_acad_lapel_lgusef</f>
        <v>0</v>
      </c>
      <c r="F1967" s="46" t="b">
        <v>1</v>
      </c>
    </row>
    <row r="1968" spans="1:6">
      <c r="A1968" s="46" t="s">
        <v>5826</v>
      </c>
      <c r="B1968" s="46" t="s">
        <v>5654</v>
      </c>
      <c r="C1968" s="46" t="s">
        <v>5826</v>
      </c>
      <c r="D1968" s="46" t="s">
        <v>5875</v>
      </c>
      <c r="E1968" s="46" cm="1">
        <f t="array" ref="E1968">sch_num_funct_computers_acad_lapel_pta</f>
        <v>0</v>
      </c>
      <c r="F1968" s="46" t="b">
        <v>1</v>
      </c>
    </row>
    <row r="1969" spans="1:6">
      <c r="A1969" s="46" t="s">
        <v>5827</v>
      </c>
      <c r="B1969" s="46" t="s">
        <v>5654</v>
      </c>
      <c r="C1969" s="46" t="s">
        <v>5827</v>
      </c>
      <c r="D1969" s="46" t="s">
        <v>5876</v>
      </c>
      <c r="E1969" s="46" cm="1">
        <f t="array" ref="E1969">sch_num_funct_computers_acad_lapel_privatedon</f>
        <v>0</v>
      </c>
      <c r="F1969" s="46" t="b">
        <v>1</v>
      </c>
    </row>
    <row r="1970" spans="1:6">
      <c r="A1970" s="46" t="s">
        <v>5828</v>
      </c>
      <c r="B1970" s="46" t="s">
        <v>5654</v>
      </c>
      <c r="C1970" s="46" t="s">
        <v>5828</v>
      </c>
      <c r="D1970" s="46" t="s">
        <v>5877</v>
      </c>
      <c r="E1970" s="46" cm="1">
        <f t="array" ref="E1970">sch_num_funct_computers_acad_lapel_othergov</f>
        <v>0</v>
      </c>
      <c r="F1970" s="46" t="b">
        <v>1</v>
      </c>
    </row>
    <row r="1971" spans="1:6">
      <c r="A1971" s="46" t="s">
        <v>5829</v>
      </c>
      <c r="B1971" s="46" t="s">
        <v>5654</v>
      </c>
      <c r="C1971" s="46" t="s">
        <v>5829</v>
      </c>
      <c r="D1971" s="46" t="s">
        <v>5878</v>
      </c>
      <c r="E1971" s="46" cm="1">
        <f t="array" ref="E1971">sch_num_funct_computers_acad_lapel_others</f>
        <v>0</v>
      </c>
      <c r="F1971" s="46" t="b">
        <v>1</v>
      </c>
    </row>
    <row r="1972" spans="1:6">
      <c r="A1972" s="46" t="s">
        <v>5696</v>
      </c>
      <c r="B1972" s="46" t="s">
        <v>5654</v>
      </c>
      <c r="C1972" s="46" t="s">
        <v>5696</v>
      </c>
      <c r="D1972" s="46" t="s">
        <v>5879</v>
      </c>
      <c r="E1972" s="46" cm="1">
        <f t="array" ref="E1972">sch_num_funct_computers_admin_ledtv_depeddcp</f>
        <v>0</v>
      </c>
      <c r="F1972" s="46" t="b">
        <v>1</v>
      </c>
    </row>
    <row r="1973" spans="1:6">
      <c r="A1973" s="46" t="s">
        <v>5697</v>
      </c>
      <c r="B1973" s="46" t="s">
        <v>5654</v>
      </c>
      <c r="C1973" s="46" t="s">
        <v>5697</v>
      </c>
      <c r="D1973" s="46" t="s">
        <v>5880</v>
      </c>
      <c r="E1973" s="46" cm="1">
        <f t="array" ref="E1973">sch_num_funct_computers_admin_ledtv_depednondcp</f>
        <v>0</v>
      </c>
      <c r="F1973" s="46" t="b">
        <v>1</v>
      </c>
    </row>
    <row r="1974" spans="1:6">
      <c r="A1974" s="46" t="s">
        <v>5698</v>
      </c>
      <c r="B1974" s="46" t="s">
        <v>5654</v>
      </c>
      <c r="C1974" s="46" t="s">
        <v>5698</v>
      </c>
      <c r="D1974" s="46" t="s">
        <v>5881</v>
      </c>
      <c r="E1974" s="46" cm="1">
        <f t="array" ref="E1974">sch_num_funct_computers_admin_ledtv_lgusef</f>
        <v>0</v>
      </c>
      <c r="F1974" s="46" t="b">
        <v>1</v>
      </c>
    </row>
    <row r="1975" spans="1:6">
      <c r="A1975" s="46" t="s">
        <v>5699</v>
      </c>
      <c r="B1975" s="46" t="s">
        <v>5654</v>
      </c>
      <c r="C1975" s="46" t="s">
        <v>5699</v>
      </c>
      <c r="D1975" s="46" t="s">
        <v>5882</v>
      </c>
      <c r="E1975" s="46" cm="1">
        <f t="array" ref="E1975">sch_num_funct_computers_admin_ledtv_pta</f>
        <v>0</v>
      </c>
      <c r="F1975" s="46" t="b">
        <v>1</v>
      </c>
    </row>
    <row r="1976" spans="1:6">
      <c r="A1976" s="46" t="s">
        <v>5700</v>
      </c>
      <c r="B1976" s="46" t="s">
        <v>5654</v>
      </c>
      <c r="C1976" s="46" t="s">
        <v>5700</v>
      </c>
      <c r="D1976" s="46" t="s">
        <v>5883</v>
      </c>
      <c r="E1976" s="46" cm="1">
        <f t="array" ref="E1976">sch_num_funct_computers_admin_ledtv_privatedon</f>
        <v>0</v>
      </c>
      <c r="F1976" s="46" t="b">
        <v>1</v>
      </c>
    </row>
    <row r="1977" spans="1:6">
      <c r="A1977" s="46" t="s">
        <v>5701</v>
      </c>
      <c r="B1977" s="46" t="s">
        <v>5654</v>
      </c>
      <c r="C1977" s="46" t="s">
        <v>5701</v>
      </c>
      <c r="D1977" s="46" t="s">
        <v>5884</v>
      </c>
      <c r="E1977" s="46" cm="1">
        <f t="array" ref="E1977">sch_num_funct_computers_admin_ledtv_othergov</f>
        <v>0</v>
      </c>
      <c r="F1977" s="46" t="b">
        <v>1</v>
      </c>
    </row>
    <row r="1978" spans="1:6">
      <c r="A1978" s="46" t="s">
        <v>5702</v>
      </c>
      <c r="B1978" s="46" t="s">
        <v>5654</v>
      </c>
      <c r="C1978" s="46" t="s">
        <v>5702</v>
      </c>
      <c r="D1978" s="46" t="s">
        <v>5885</v>
      </c>
      <c r="E1978" s="46" cm="1">
        <f t="array" ref="E1978">sch_num_funct_computers_admin_ledtv_others</f>
        <v>0</v>
      </c>
      <c r="F1978" s="46" t="b">
        <v>1</v>
      </c>
    </row>
    <row r="1979" spans="1:6">
      <c r="A1979" s="46" t="s">
        <v>5703</v>
      </c>
      <c r="B1979" s="46" t="s">
        <v>5654</v>
      </c>
      <c r="C1979" s="46" t="s">
        <v>5703</v>
      </c>
      <c r="D1979" s="46" t="s">
        <v>5886</v>
      </c>
      <c r="E1979" s="46" cm="1">
        <f t="array" ref="E1979">sch_num_funct_computers_admin_netswitch_depeddcp</f>
        <v>0</v>
      </c>
      <c r="F1979" s="46" t="b">
        <v>1</v>
      </c>
    </row>
    <row r="1980" spans="1:6">
      <c r="A1980" s="46" t="s">
        <v>5704</v>
      </c>
      <c r="B1980" s="46" t="s">
        <v>5654</v>
      </c>
      <c r="C1980" s="46" t="s">
        <v>5704</v>
      </c>
      <c r="D1980" s="46" t="s">
        <v>5887</v>
      </c>
      <c r="E1980" s="46" cm="1">
        <f t="array" ref="E1980">sch_num_funct_computers_admin_netswitch_depednondcp</f>
        <v>0</v>
      </c>
      <c r="F1980" s="46" t="b">
        <v>1</v>
      </c>
    </row>
    <row r="1981" spans="1:6">
      <c r="A1981" s="46" t="s">
        <v>5705</v>
      </c>
      <c r="B1981" s="46" t="s">
        <v>5654</v>
      </c>
      <c r="C1981" s="46" t="s">
        <v>5705</v>
      </c>
      <c r="D1981" s="46" t="s">
        <v>5888</v>
      </c>
      <c r="E1981" s="46" cm="1">
        <f t="array" ref="E1981">sch_num_funct_computers_admin_netswitch_lgusef</f>
        <v>0</v>
      </c>
      <c r="F1981" s="46" t="b">
        <v>1</v>
      </c>
    </row>
    <row r="1982" spans="1:6">
      <c r="A1982" s="46" t="s">
        <v>5706</v>
      </c>
      <c r="B1982" s="46" t="s">
        <v>5654</v>
      </c>
      <c r="C1982" s="46" t="s">
        <v>5706</v>
      </c>
      <c r="D1982" s="46" t="s">
        <v>5889</v>
      </c>
      <c r="E1982" s="46" cm="1">
        <f t="array" ref="E1982">sch_num_funct_computers_admin_netswitch_pta</f>
        <v>0</v>
      </c>
      <c r="F1982" s="46" t="b">
        <v>1</v>
      </c>
    </row>
    <row r="1983" spans="1:6">
      <c r="A1983" s="46" t="s">
        <v>5707</v>
      </c>
      <c r="B1983" s="46" t="s">
        <v>5654</v>
      </c>
      <c r="C1983" s="46" t="s">
        <v>5707</v>
      </c>
      <c r="D1983" s="46" t="s">
        <v>5890</v>
      </c>
      <c r="E1983" s="46" cm="1">
        <f t="array" ref="E1983">sch_num_funct_computers_admin_netswitch_privatedon</f>
        <v>0</v>
      </c>
      <c r="F1983" s="46" t="b">
        <v>1</v>
      </c>
    </row>
    <row r="1984" spans="1:6">
      <c r="A1984" s="46" t="s">
        <v>5708</v>
      </c>
      <c r="B1984" s="46" t="s">
        <v>5654</v>
      </c>
      <c r="C1984" s="46" t="s">
        <v>5708</v>
      </c>
      <c r="D1984" s="46" t="s">
        <v>5891</v>
      </c>
      <c r="E1984" s="46" cm="1">
        <f t="array" ref="E1984">sch_num_funct_computers_admin_netswitch_othergov</f>
        <v>0</v>
      </c>
      <c r="F1984" s="46" t="b">
        <v>1</v>
      </c>
    </row>
    <row r="1985" spans="1:6">
      <c r="A1985" s="46" t="s">
        <v>5709</v>
      </c>
      <c r="B1985" s="46" t="s">
        <v>5654</v>
      </c>
      <c r="C1985" s="46" t="s">
        <v>5709</v>
      </c>
      <c r="D1985" s="46" t="s">
        <v>5892</v>
      </c>
      <c r="E1985" s="46" cm="1">
        <f t="array" ref="E1985">sch_num_funct_computers_admin_netswitch_others</f>
        <v>0</v>
      </c>
      <c r="F1985" s="46" t="b">
        <v>1</v>
      </c>
    </row>
    <row r="1986" spans="1:6">
      <c r="A1986" s="46" t="s">
        <v>5710</v>
      </c>
      <c r="B1986" s="46" t="s">
        <v>5654</v>
      </c>
      <c r="C1986" s="46" t="s">
        <v>5710</v>
      </c>
      <c r="D1986" s="46" t="s">
        <v>5893</v>
      </c>
      <c r="E1986" s="46" cm="1">
        <f t="array" ref="E1986">sch_num_funct_computers_admin_printer_depeddcp</f>
        <v>0</v>
      </c>
      <c r="F1986" s="46" t="b">
        <v>1</v>
      </c>
    </row>
    <row r="1987" spans="1:6">
      <c r="A1987" s="46" t="s">
        <v>5711</v>
      </c>
      <c r="B1987" s="46" t="s">
        <v>5654</v>
      </c>
      <c r="C1987" s="46" t="s">
        <v>5711</v>
      </c>
      <c r="D1987" s="46" t="s">
        <v>5894</v>
      </c>
      <c r="E1987" s="46" cm="1">
        <f t="array" ref="E1987">sch_num_funct_computers_admin_printer_depednondcp</f>
        <v>0</v>
      </c>
      <c r="F1987" s="46" t="b">
        <v>1</v>
      </c>
    </row>
    <row r="1988" spans="1:6">
      <c r="A1988" s="46" t="s">
        <v>5712</v>
      </c>
      <c r="B1988" s="46" t="s">
        <v>5654</v>
      </c>
      <c r="C1988" s="46" t="s">
        <v>5712</v>
      </c>
      <c r="D1988" s="46" t="s">
        <v>5895</v>
      </c>
      <c r="E1988" s="46" cm="1">
        <f t="array" ref="E1988">sch_num_funct_computers_admin_printer_lgusef</f>
        <v>0</v>
      </c>
      <c r="F1988" s="46" t="b">
        <v>1</v>
      </c>
    </row>
    <row r="1989" spans="1:6">
      <c r="A1989" s="46" t="s">
        <v>5713</v>
      </c>
      <c r="B1989" s="46" t="s">
        <v>5654</v>
      </c>
      <c r="C1989" s="46" t="s">
        <v>5713</v>
      </c>
      <c r="D1989" s="46" t="s">
        <v>5896</v>
      </c>
      <c r="E1989" s="46" cm="1">
        <f t="array" ref="E1989">sch_num_funct_computers_admin_printer_pta</f>
        <v>0</v>
      </c>
      <c r="F1989" s="46" t="b">
        <v>1</v>
      </c>
    </row>
    <row r="1990" spans="1:6">
      <c r="A1990" s="46" t="s">
        <v>5714</v>
      </c>
      <c r="B1990" s="46" t="s">
        <v>5654</v>
      </c>
      <c r="C1990" s="46" t="s">
        <v>5714</v>
      </c>
      <c r="D1990" s="46" t="s">
        <v>5897</v>
      </c>
      <c r="E1990" s="46" cm="1">
        <f t="array" ref="E1990">sch_num_funct_computers_admin_printer_privatedon</f>
        <v>0</v>
      </c>
      <c r="F1990" s="46" t="b">
        <v>1</v>
      </c>
    </row>
    <row r="1991" spans="1:6">
      <c r="A1991" s="46" t="s">
        <v>5715</v>
      </c>
      <c r="B1991" s="46" t="s">
        <v>5654</v>
      </c>
      <c r="C1991" s="46" t="s">
        <v>5715</v>
      </c>
      <c r="D1991" s="46" t="s">
        <v>5898</v>
      </c>
      <c r="E1991" s="46" cm="1">
        <f t="array" ref="E1991">sch_num_funct_computers_admin_printer_othergov</f>
        <v>0</v>
      </c>
      <c r="F1991" s="46" t="b">
        <v>1</v>
      </c>
    </row>
    <row r="1992" spans="1:6">
      <c r="A1992" s="46" t="s">
        <v>5716</v>
      </c>
      <c r="B1992" s="46" t="s">
        <v>5654</v>
      </c>
      <c r="C1992" s="46" t="s">
        <v>5716</v>
      </c>
      <c r="D1992" s="46" t="s">
        <v>5899</v>
      </c>
      <c r="E1992" s="46" cm="1">
        <f t="array" ref="E1992">sch_num_funct_computers_admin_printer_others</f>
        <v>0</v>
      </c>
      <c r="F1992" s="46" t="b">
        <v>1</v>
      </c>
    </row>
    <row r="1993" spans="1:6">
      <c r="A1993" s="46" t="s">
        <v>5717</v>
      </c>
      <c r="B1993" s="46" t="s">
        <v>5654</v>
      </c>
      <c r="C1993" s="46" t="s">
        <v>5717</v>
      </c>
      <c r="D1993" s="46" t="s">
        <v>5900</v>
      </c>
      <c r="E1993" s="46" cm="1">
        <f t="array" ref="E1993">sch_num_funct_computers_admin_projector_depeddcp</f>
        <v>0</v>
      </c>
      <c r="F1993" s="46" t="b">
        <v>1</v>
      </c>
    </row>
    <row r="1994" spans="1:6">
      <c r="A1994" s="46" t="s">
        <v>5718</v>
      </c>
      <c r="B1994" s="46" t="s">
        <v>5654</v>
      </c>
      <c r="C1994" s="46" t="s">
        <v>5718</v>
      </c>
      <c r="D1994" s="46" t="s">
        <v>5901</v>
      </c>
      <c r="E1994" s="46" cm="1">
        <f t="array" ref="E1994">sch_num_funct_computers_admin_projector_depednondcp</f>
        <v>0</v>
      </c>
      <c r="F1994" s="46" t="b">
        <v>1</v>
      </c>
    </row>
    <row r="1995" spans="1:6">
      <c r="A1995" s="46" t="s">
        <v>5719</v>
      </c>
      <c r="B1995" s="46" t="s">
        <v>5654</v>
      </c>
      <c r="C1995" s="46" t="s">
        <v>5719</v>
      </c>
      <c r="D1995" s="46" t="s">
        <v>5902</v>
      </c>
      <c r="E1995" s="46" cm="1">
        <f t="array" ref="E1995">sch_num_funct_computers_admin_projector_lgusef</f>
        <v>0</v>
      </c>
      <c r="F1995" s="46" t="b">
        <v>1</v>
      </c>
    </row>
    <row r="1996" spans="1:6">
      <c r="A1996" s="46" t="s">
        <v>5720</v>
      </c>
      <c r="B1996" s="46" t="s">
        <v>5654</v>
      </c>
      <c r="C1996" s="46" t="s">
        <v>5720</v>
      </c>
      <c r="D1996" s="46" t="s">
        <v>5903</v>
      </c>
      <c r="E1996" s="46" cm="1">
        <f t="array" ref="E1996">sch_num_funct_computers_admin_projector_pta</f>
        <v>0</v>
      </c>
      <c r="F1996" s="46" t="b">
        <v>1</v>
      </c>
    </row>
    <row r="1997" spans="1:6">
      <c r="A1997" s="46" t="s">
        <v>5721</v>
      </c>
      <c r="B1997" s="46" t="s">
        <v>5654</v>
      </c>
      <c r="C1997" s="46" t="s">
        <v>5721</v>
      </c>
      <c r="D1997" s="46" t="s">
        <v>5904</v>
      </c>
      <c r="E1997" s="46" cm="1">
        <f t="array" ref="E1997">sch_num_funct_computers_admin_projector_privatedon</f>
        <v>0</v>
      </c>
      <c r="F1997" s="46" t="b">
        <v>1</v>
      </c>
    </row>
    <row r="1998" spans="1:6">
      <c r="A1998" s="46" t="s">
        <v>5722</v>
      </c>
      <c r="B1998" s="46" t="s">
        <v>5654</v>
      </c>
      <c r="C1998" s="46" t="s">
        <v>5722</v>
      </c>
      <c r="D1998" s="46" t="s">
        <v>5905</v>
      </c>
      <c r="E1998" s="46" cm="1">
        <f t="array" ref="E1998">sch_num_funct_computers_admin_projector_othergov</f>
        <v>0</v>
      </c>
      <c r="F1998" s="46" t="b">
        <v>1</v>
      </c>
    </row>
    <row r="1999" spans="1:6">
      <c r="A1999" s="46" t="s">
        <v>5723</v>
      </c>
      <c r="B1999" s="46" t="s">
        <v>5654</v>
      </c>
      <c r="C1999" s="46" t="s">
        <v>5723</v>
      </c>
      <c r="D1999" s="46" t="s">
        <v>5906</v>
      </c>
      <c r="E1999" s="46" cm="1">
        <f t="array" ref="E1999">sch_num_funct_computers_admin_projector_others</f>
        <v>0</v>
      </c>
      <c r="F1999" s="46" t="b">
        <v>1</v>
      </c>
    </row>
    <row r="2000" spans="1:6">
      <c r="A2000" s="46" t="s">
        <v>5724</v>
      </c>
      <c r="B2000" s="46" t="s">
        <v>5654</v>
      </c>
      <c r="C2000" s="46" t="s">
        <v>5724</v>
      </c>
      <c r="D2000" s="46" t="s">
        <v>5907</v>
      </c>
      <c r="E2000" s="46" cm="1">
        <f t="array" ref="E2000">sch_num_funct_computers_admin_ups_depeddcp</f>
        <v>0</v>
      </c>
      <c r="F2000" s="46" t="b">
        <v>1</v>
      </c>
    </row>
    <row r="2001" spans="1:8">
      <c r="A2001" s="46" t="s">
        <v>5725</v>
      </c>
      <c r="B2001" s="46" t="s">
        <v>5654</v>
      </c>
      <c r="C2001" s="46" t="s">
        <v>5725</v>
      </c>
      <c r="D2001" s="46" t="s">
        <v>5908</v>
      </c>
      <c r="E2001" s="46" cm="1">
        <f t="array" ref="E2001">sch_num_funct_computers_admin_ups_depednondcp</f>
        <v>0</v>
      </c>
      <c r="F2001" s="46" t="b">
        <v>1</v>
      </c>
    </row>
    <row r="2002" spans="1:8">
      <c r="A2002" s="46" t="s">
        <v>5726</v>
      </c>
      <c r="B2002" s="46" t="s">
        <v>5654</v>
      </c>
      <c r="C2002" s="46" t="s">
        <v>5726</v>
      </c>
      <c r="D2002" s="46" t="s">
        <v>5909</v>
      </c>
      <c r="E2002" s="46" cm="1">
        <f t="array" ref="E2002">sch_num_funct_computers_admin_ups_lgusef</f>
        <v>0</v>
      </c>
      <c r="F2002" s="46" t="b">
        <v>1</v>
      </c>
    </row>
    <row r="2003" spans="1:8">
      <c r="A2003" s="46" t="s">
        <v>5727</v>
      </c>
      <c r="B2003" s="46" t="s">
        <v>5654</v>
      </c>
      <c r="C2003" s="46" t="s">
        <v>5727</v>
      </c>
      <c r="D2003" s="46" t="s">
        <v>5910</v>
      </c>
      <c r="E2003" s="46" cm="1">
        <f t="array" ref="E2003">sch_num_funct_computers_admin_ups_pta</f>
        <v>0</v>
      </c>
      <c r="F2003" s="46" t="b">
        <v>1</v>
      </c>
    </row>
    <row r="2004" spans="1:8">
      <c r="A2004" s="46" t="s">
        <v>5728</v>
      </c>
      <c r="B2004" s="46" t="s">
        <v>5654</v>
      </c>
      <c r="C2004" s="46" t="s">
        <v>5728</v>
      </c>
      <c r="D2004" s="46" t="s">
        <v>5911</v>
      </c>
      <c r="E2004" s="46" cm="1">
        <f t="array" ref="E2004">sch_num_funct_computers_admin_ups_privatedon</f>
        <v>0</v>
      </c>
      <c r="F2004" s="46" t="b">
        <v>1</v>
      </c>
    </row>
    <row r="2005" spans="1:8">
      <c r="A2005" s="46" t="s">
        <v>5729</v>
      </c>
      <c r="B2005" s="46" t="s">
        <v>5654</v>
      </c>
      <c r="C2005" s="46" t="s">
        <v>5729</v>
      </c>
      <c r="D2005" s="46" t="s">
        <v>5912</v>
      </c>
      <c r="E2005" s="46" cm="1">
        <f t="array" ref="E2005">sch_num_funct_computers_admin_ups_othergov</f>
        <v>0</v>
      </c>
      <c r="F2005" s="46" t="b">
        <v>1</v>
      </c>
    </row>
    <row r="2006" spans="1:8">
      <c r="A2006" s="46" t="s">
        <v>5730</v>
      </c>
      <c r="B2006" s="46" t="s">
        <v>5654</v>
      </c>
      <c r="C2006" s="46" t="s">
        <v>5730</v>
      </c>
      <c r="D2006" s="1759" t="s">
        <v>5913</v>
      </c>
      <c r="E2006" s="46" cm="1">
        <f t="array" ref="E2006">sch_num_funct_computers_admin_ups_others</f>
        <v>0</v>
      </c>
      <c r="F2006" s="46" t="b">
        <v>1</v>
      </c>
    </row>
    <row r="2007" spans="1:8">
      <c r="A2007" s="46" t="s">
        <v>5731</v>
      </c>
      <c r="B2007" s="46" t="s">
        <v>5654</v>
      </c>
      <c r="C2007" s="46" t="s">
        <v>5731</v>
      </c>
      <c r="D2007" s="46" t="s">
        <v>5914</v>
      </c>
      <c r="E2007" s="46" cm="1">
        <f t="array" ref="E2007">sch_num_funct_computers_admin_router_depeddcp</f>
        <v>0</v>
      </c>
      <c r="F2007" s="46" t="b">
        <v>1</v>
      </c>
    </row>
    <row r="2008" spans="1:8">
      <c r="A2008" s="46" t="s">
        <v>5732</v>
      </c>
      <c r="B2008" s="46" t="s">
        <v>5654</v>
      </c>
      <c r="C2008" s="46" t="s">
        <v>5732</v>
      </c>
      <c r="D2008" s="46" t="s">
        <v>5915</v>
      </c>
      <c r="E2008" s="46" cm="1">
        <f t="array" ref="E2008">sch_num_funct_computers_admin_router_depednondcp</f>
        <v>0</v>
      </c>
      <c r="F2008" s="46" t="b">
        <v>1</v>
      </c>
    </row>
    <row r="2009" spans="1:8">
      <c r="A2009" s="46" t="s">
        <v>5733</v>
      </c>
      <c r="B2009" s="46" t="s">
        <v>5654</v>
      </c>
      <c r="C2009" s="46" t="s">
        <v>5733</v>
      </c>
      <c r="D2009" s="46" t="s">
        <v>5916</v>
      </c>
      <c r="E2009" s="46" cm="1">
        <f t="array" ref="E2009">sch_num_funct_computers_admin_router_lgusef</f>
        <v>0</v>
      </c>
      <c r="F2009" s="46" t="b">
        <v>1</v>
      </c>
    </row>
    <row r="2010" spans="1:8">
      <c r="A2010" s="46" t="s">
        <v>5734</v>
      </c>
      <c r="B2010" s="46" t="s">
        <v>5654</v>
      </c>
      <c r="C2010" s="46" t="s">
        <v>5734</v>
      </c>
      <c r="D2010" s="46" t="s">
        <v>5917</v>
      </c>
      <c r="E2010" s="46" cm="1">
        <f t="array" ref="E2010">sch_num_funct_computers_admin_router_pta</f>
        <v>0</v>
      </c>
      <c r="F2010" s="46" t="b">
        <v>1</v>
      </c>
    </row>
    <row r="2011" spans="1:8">
      <c r="A2011" s="46" t="s">
        <v>5735</v>
      </c>
      <c r="B2011" s="46" t="s">
        <v>5654</v>
      </c>
      <c r="C2011" s="46" t="s">
        <v>5735</v>
      </c>
      <c r="D2011" s="46" t="s">
        <v>5918</v>
      </c>
      <c r="E2011" s="46" cm="1">
        <f t="array" ref="E2011">sch_num_funct_computers_admin_router_privatedon</f>
        <v>0</v>
      </c>
      <c r="F2011" s="46" t="b">
        <v>1</v>
      </c>
    </row>
    <row r="2012" spans="1:8">
      <c r="A2012" s="46" t="s">
        <v>5736</v>
      </c>
      <c r="B2012" s="46" t="s">
        <v>5654</v>
      </c>
      <c r="C2012" s="46" t="s">
        <v>5736</v>
      </c>
      <c r="D2012" s="46" t="s">
        <v>5919</v>
      </c>
      <c r="E2012" s="46" cm="1">
        <f t="array" ref="E2012">sch_num_funct_computers_admin_router_othergov</f>
        <v>0</v>
      </c>
      <c r="F2012" s="46" t="b">
        <v>1</v>
      </c>
    </row>
    <row r="2013" spans="1:8" ht="16.5" thickBot="1">
      <c r="A2013" s="479" t="s">
        <v>5737</v>
      </c>
      <c r="B2013" s="479" t="s">
        <v>5654</v>
      </c>
      <c r="C2013" s="479" t="s">
        <v>5737</v>
      </c>
      <c r="D2013" s="479" t="s">
        <v>5920</v>
      </c>
      <c r="E2013" s="479" cm="1">
        <f t="array" ref="E2013">sch_num_funct_computers_admin_router_others</f>
        <v>0</v>
      </c>
      <c r="F2013" s="479" t="b">
        <v>1</v>
      </c>
      <c r="G2013" s="479"/>
      <c r="H2013" s="479"/>
    </row>
    <row r="2014" spans="1:8" ht="16.5" thickTop="1">
      <c r="A2014" s="46" t="s">
        <v>5921</v>
      </c>
      <c r="B2014" s="46" t="s">
        <v>5922</v>
      </c>
      <c r="C2014" s="46" t="s">
        <v>5921</v>
      </c>
      <c r="D2014" s="46" t="s">
        <v>5997</v>
      </c>
      <c r="E2014" s="46" t="b" cm="1">
        <f t="array" ref="E2014">sch_intercon_isp_yes</f>
        <v>1</v>
      </c>
      <c r="F2014" s="1696" t="b">
        <f t="shared" ref="F2014:F2026" si="4">OR(E2014=TRUE, E2014=FALSE)</f>
        <v>1</v>
      </c>
      <c r="G2014" s="46" t="s">
        <v>11265</v>
      </c>
    </row>
    <row r="2015" spans="1:8">
      <c r="A2015" s="46" t="s">
        <v>5923</v>
      </c>
      <c r="B2015" s="46" t="s">
        <v>5922</v>
      </c>
      <c r="C2015" s="46" t="s">
        <v>5923</v>
      </c>
      <c r="D2015" s="46" t="s">
        <v>5960</v>
      </c>
      <c r="E2015" s="46" t="b" cm="1">
        <f t="array" ref="E2015">sch_intercon_isp_yes_bayantel</f>
        <v>0</v>
      </c>
      <c r="F2015" s="1696" t="b">
        <f t="shared" si="4"/>
        <v>1</v>
      </c>
      <c r="G2015" s="46" t="s">
        <v>11265</v>
      </c>
    </row>
    <row r="2016" spans="1:8">
      <c r="A2016" s="46" t="s">
        <v>5924</v>
      </c>
      <c r="B2016" s="46" t="s">
        <v>5922</v>
      </c>
      <c r="C2016" s="46" t="s">
        <v>5924</v>
      </c>
      <c r="D2016" s="46" t="s">
        <v>5961</v>
      </c>
      <c r="E2016" s="46" t="b" cm="1">
        <f t="array" ref="E2016">sch_intercon_isp_yes_digitel</f>
        <v>0</v>
      </c>
      <c r="F2016" s="1696" t="b">
        <f t="shared" si="4"/>
        <v>1</v>
      </c>
      <c r="G2016" s="46" t="s">
        <v>11265</v>
      </c>
    </row>
    <row r="2017" spans="1:8">
      <c r="A2017" s="46" t="s">
        <v>5925</v>
      </c>
      <c r="B2017" s="46" t="s">
        <v>5922</v>
      </c>
      <c r="C2017" s="46" t="s">
        <v>5925</v>
      </c>
      <c r="D2017" s="46" t="s">
        <v>5962</v>
      </c>
      <c r="E2017" s="46" t="b" cm="1">
        <f t="array" ref="E2017">sch_intercon_isp_yes_globe</f>
        <v>1</v>
      </c>
      <c r="F2017" s="1696" t="b">
        <f t="shared" si="4"/>
        <v>1</v>
      </c>
      <c r="G2017" s="46" t="s">
        <v>11265</v>
      </c>
    </row>
    <row r="2018" spans="1:8">
      <c r="A2018" s="46" t="s">
        <v>5926</v>
      </c>
      <c r="B2018" s="46" t="s">
        <v>5922</v>
      </c>
      <c r="C2018" s="46" t="s">
        <v>5926</v>
      </c>
      <c r="D2018" s="46" t="s">
        <v>5963</v>
      </c>
      <c r="E2018" s="46" t="b" cm="1">
        <f t="array" ref="E2018">sch_intercon_isp_yes_pldt</f>
        <v>1</v>
      </c>
      <c r="F2018" s="1696" t="b">
        <f t="shared" si="4"/>
        <v>1</v>
      </c>
      <c r="G2018" s="46" t="s">
        <v>11265</v>
      </c>
    </row>
    <row r="2019" spans="1:8">
      <c r="A2019" s="46" t="s">
        <v>5927</v>
      </c>
      <c r="B2019" s="46" t="s">
        <v>5922</v>
      </c>
      <c r="C2019" s="46" t="s">
        <v>5927</v>
      </c>
      <c r="D2019" s="46" t="s">
        <v>5964</v>
      </c>
      <c r="E2019" s="46" t="b" cm="1">
        <f t="array" ref="E2019">sch_intercon_isp_yes_smart</f>
        <v>1</v>
      </c>
      <c r="F2019" s="1696" t="b">
        <f t="shared" si="4"/>
        <v>1</v>
      </c>
      <c r="G2019" s="46" t="s">
        <v>11265</v>
      </c>
    </row>
    <row r="2020" spans="1:8">
      <c r="A2020" s="46" t="s">
        <v>5928</v>
      </c>
      <c r="B2020" s="46" t="s">
        <v>5922</v>
      </c>
      <c r="C2020" s="46" t="s">
        <v>5928</v>
      </c>
      <c r="D2020" s="46" t="s">
        <v>5965</v>
      </c>
      <c r="E2020" s="46" t="b" cm="1">
        <f t="array" ref="E2020">sch_intercon_isp_yes_sun</f>
        <v>0</v>
      </c>
      <c r="F2020" s="1696" t="b">
        <f t="shared" si="4"/>
        <v>1</v>
      </c>
      <c r="G2020" s="46" t="s">
        <v>11265</v>
      </c>
    </row>
    <row r="2021" spans="1:8">
      <c r="A2021" s="46" t="s">
        <v>5929</v>
      </c>
      <c r="B2021" s="46" t="s">
        <v>5922</v>
      </c>
      <c r="C2021" s="46" t="s">
        <v>5929</v>
      </c>
      <c r="D2021" s="46" t="s">
        <v>5966</v>
      </c>
      <c r="E2021" s="46" t="b" cm="1">
        <f t="array" ref="E2021">sch_intercon_isp_yes_witg</f>
        <v>0</v>
      </c>
      <c r="F2021" s="1696" t="b">
        <f t="shared" si="4"/>
        <v>1</v>
      </c>
      <c r="G2021" s="46" t="s">
        <v>11265</v>
      </c>
    </row>
    <row r="2022" spans="1:8">
      <c r="A2022" s="46" t="s">
        <v>5930</v>
      </c>
      <c r="B2022" s="46" t="s">
        <v>5922</v>
      </c>
      <c r="C2022" s="46" t="s">
        <v>5930</v>
      </c>
      <c r="D2022" s="46" t="s">
        <v>5967</v>
      </c>
      <c r="E2022" s="46" t="b" cm="1">
        <f t="array" ref="E2022">sch_intercon_isp_yes_otherspec</f>
        <v>0</v>
      </c>
      <c r="F2022" s="1696" t="b">
        <f t="shared" si="4"/>
        <v>1</v>
      </c>
      <c r="G2022" s="46" t="s">
        <v>11265</v>
      </c>
    </row>
    <row r="2023" spans="1:8">
      <c r="A2023" s="46" t="s">
        <v>5931</v>
      </c>
      <c r="B2023" s="46" t="s">
        <v>5922</v>
      </c>
      <c r="C2023" s="46" t="s">
        <v>5931</v>
      </c>
      <c r="D2023" s="46" t="s">
        <v>5968</v>
      </c>
      <c r="E2023" s="46" cm="1">
        <f t="array" ref="E2023">sch_intercon_isp_yes_other_specify</f>
        <v>0</v>
      </c>
      <c r="F2023" s="46" t="b">
        <v>1</v>
      </c>
    </row>
    <row r="2024" spans="1:8">
      <c r="A2024" s="46" t="s">
        <v>5932</v>
      </c>
      <c r="B2024" s="46" t="s">
        <v>5922</v>
      </c>
      <c r="C2024" s="46" t="s">
        <v>5932</v>
      </c>
      <c r="D2024" s="46" t="s">
        <v>5969</v>
      </c>
      <c r="E2024" s="46" t="b" cm="1">
        <f t="array" ref="E2024">sch_intercon_isp_subscribe_yes</f>
        <v>1</v>
      </c>
      <c r="F2024" s="1696" t="b">
        <f t="shared" si="4"/>
        <v>1</v>
      </c>
      <c r="G2024" s="46" t="s">
        <v>11265</v>
      </c>
    </row>
    <row r="2025" spans="1:8">
      <c r="A2025" s="46" t="s">
        <v>5933</v>
      </c>
      <c r="B2025" s="46" t="s">
        <v>5922</v>
      </c>
      <c r="C2025" s="46" t="s">
        <v>5933</v>
      </c>
      <c r="D2025" s="46" t="s">
        <v>5970</v>
      </c>
      <c r="E2025" s="46" t="b" cm="1">
        <f t="array" ref="E2025">sch_intercon_isp_subscribe_adminuse_yes</f>
        <v>1</v>
      </c>
      <c r="F2025" s="1696" t="b">
        <f t="shared" si="4"/>
        <v>1</v>
      </c>
      <c r="G2025" s="46" t="s">
        <v>11265</v>
      </c>
    </row>
    <row r="2026" spans="1:8">
      <c r="A2026" s="46" t="s">
        <v>5934</v>
      </c>
      <c r="B2026" s="46" t="s">
        <v>5922</v>
      </c>
      <c r="C2026" s="46" t="s">
        <v>5934</v>
      </c>
      <c r="D2026" s="46" t="s">
        <v>5971</v>
      </c>
      <c r="E2026" s="46" t="b" cm="1">
        <f t="array" ref="E2026">sch_intercon_isp_subscribe_clinstructionuse_yes</f>
        <v>1</v>
      </c>
      <c r="F2026" s="1696" t="b">
        <f t="shared" si="4"/>
        <v>1</v>
      </c>
      <c r="G2026" s="46" t="s">
        <v>11265</v>
      </c>
    </row>
    <row r="2027" spans="1:8">
      <c r="A2027" s="46" t="s">
        <v>5935</v>
      </c>
      <c r="B2027" s="46" t="s">
        <v>5922</v>
      </c>
      <c r="C2027" s="46" t="s">
        <v>5935</v>
      </c>
      <c r="D2027" s="46" t="s">
        <v>5972</v>
      </c>
      <c r="E2027" s="1761" cm="1">
        <f t="array" ref="E2027">sch_intercon_speedtest_datetested_mm_dd_yyyy</f>
        <v>44865</v>
      </c>
      <c r="F2027" s="46" t="b">
        <v>1</v>
      </c>
    </row>
    <row r="2028" spans="1:8">
      <c r="A2028" s="46" t="s">
        <v>5936</v>
      </c>
      <c r="B2028" s="46" t="s">
        <v>5922</v>
      </c>
      <c r="C2028" s="46" t="s">
        <v>5936</v>
      </c>
      <c r="D2028" s="46" t="s">
        <v>5973</v>
      </c>
      <c r="E2028" s="1762" cm="1">
        <f t="array" ref="E2028">sch_intercon_num_speedtest_timetested</f>
        <v>0.39583333333333331</v>
      </c>
      <c r="F2028" s="46" t="b">
        <v>1</v>
      </c>
    </row>
    <row r="2029" spans="1:8">
      <c r="A2029" s="46" t="s">
        <v>5937</v>
      </c>
      <c r="B2029" s="46" t="s">
        <v>5922</v>
      </c>
      <c r="C2029" s="46" t="s">
        <v>5937</v>
      </c>
      <c r="D2029" s="46" t="s">
        <v>5974</v>
      </c>
      <c r="E2029" s="46" cm="1">
        <f t="array" ref="E2029">sch_intercon_num_speedtest_ping_ms</f>
        <v>11</v>
      </c>
      <c r="F2029" s="46" t="b">
        <v>1</v>
      </c>
    </row>
    <row r="2030" spans="1:8">
      <c r="A2030" s="46" t="s">
        <v>5938</v>
      </c>
      <c r="B2030" s="46" t="s">
        <v>5922</v>
      </c>
      <c r="C2030" s="46" t="s">
        <v>5938</v>
      </c>
      <c r="D2030" s="46" t="s">
        <v>5975</v>
      </c>
      <c r="E2030" s="1777" cm="1">
        <f t="array" ref="E2030">sch_intercon_num_speedtest_download_mbps</f>
        <v>902</v>
      </c>
      <c r="F2030" s="46" t="b">
        <v>1</v>
      </c>
    </row>
    <row r="2031" spans="1:8" ht="16.5" thickBot="1">
      <c r="A2031" s="479" t="s">
        <v>5939</v>
      </c>
      <c r="B2031" s="479" t="s">
        <v>5922</v>
      </c>
      <c r="C2031" s="479" t="s">
        <v>5939</v>
      </c>
      <c r="D2031" s="479" t="s">
        <v>5976</v>
      </c>
      <c r="E2031" s="1778" cm="1">
        <f t="array" ref="E2031">sch_intercon_num_speedtest_upload_mbps</f>
        <v>463</v>
      </c>
      <c r="F2031" s="479" t="b">
        <v>1</v>
      </c>
      <c r="G2031" s="479"/>
      <c r="H2031" s="479"/>
    </row>
    <row r="2032" spans="1:8" ht="16.5" thickTop="1">
      <c r="A2032" s="46" t="s">
        <v>5940</v>
      </c>
      <c r="B2032" s="46" t="s">
        <v>5922</v>
      </c>
      <c r="C2032" s="46" t="s">
        <v>5940</v>
      </c>
      <c r="D2032" s="46" t="s">
        <v>5977</v>
      </c>
      <c r="E2032" s="46" t="str">
        <f>VLOOKUP(combo_avemontlyexpense_typesofinternet1, _ref_internet, 1, FALSE)</f>
        <v>Fixed wireless</v>
      </c>
      <c r="F2032" s="46" t="b">
        <v>1</v>
      </c>
    </row>
    <row r="2033" spans="1:6">
      <c r="A2033" s="46" t="s">
        <v>5941</v>
      </c>
      <c r="B2033" s="46" t="s">
        <v>5922</v>
      </c>
      <c r="C2033" s="46" t="s">
        <v>5941</v>
      </c>
      <c r="D2033" s="46" t="s">
        <v>5978</v>
      </c>
      <c r="E2033" s="46" t="e">
        <f>VLOOKUP(combo_avemontlyexpense_typesofinternet2, _ref_internet, 1, FALSE)</f>
        <v>#N/A</v>
      </c>
      <c r="F2033" s="46" t="b">
        <v>1</v>
      </c>
    </row>
    <row r="2034" spans="1:6">
      <c r="A2034" s="46" t="s">
        <v>5942</v>
      </c>
      <c r="B2034" s="46" t="s">
        <v>5922</v>
      </c>
      <c r="C2034" s="46" t="s">
        <v>5942</v>
      </c>
      <c r="D2034" s="46" t="s">
        <v>5979</v>
      </c>
      <c r="E2034" s="46" t="e">
        <f>VLOOKUP(combo_avemontlyexpense_typesofinternet3, _ref_internet, 1, FALSE)</f>
        <v>#N/A</v>
      </c>
      <c r="F2034" s="46" t="b">
        <v>1</v>
      </c>
    </row>
    <row r="2035" spans="1:6">
      <c r="A2035" s="46" t="s">
        <v>5943</v>
      </c>
      <c r="B2035" s="46" t="s">
        <v>5922</v>
      </c>
      <c r="C2035" s="46" t="s">
        <v>5943</v>
      </c>
      <c r="D2035" s="46" t="s">
        <v>5980</v>
      </c>
      <c r="E2035" s="46" t="e">
        <f>VLOOKUP(combo_avemontlyexpense_typesofinternet4, _ref_internet, 1, FALSE)</f>
        <v>#N/A</v>
      </c>
      <c r="F2035" s="46" t="b">
        <v>1</v>
      </c>
    </row>
    <row r="2036" spans="1:6">
      <c r="A2036" s="46" t="s">
        <v>5944</v>
      </c>
      <c r="B2036" s="46" t="s">
        <v>5922</v>
      </c>
      <c r="C2036" s="46" t="s">
        <v>5944</v>
      </c>
      <c r="D2036" s="46" t="s">
        <v>5981</v>
      </c>
      <c r="E2036" s="46" t="e">
        <f>VLOOKUP(combo_avemontlyexpense_typesofinternet5, _ref_internet, 1, FALSE)</f>
        <v>#N/A</v>
      </c>
      <c r="F2036" s="46" t="b">
        <v>1</v>
      </c>
    </row>
    <row r="2037" spans="1:6">
      <c r="A2037" s="46" t="s">
        <v>5945</v>
      </c>
      <c r="B2037" s="46" t="s">
        <v>5922</v>
      </c>
      <c r="C2037" s="46" t="s">
        <v>5945</v>
      </c>
      <c r="D2037" s="46" t="s">
        <v>5982</v>
      </c>
      <c r="E2037" s="46" t="str">
        <f>VLOOKUP(combo_avemonthlyexpense_internetserviceprovider1, _ref_service_provider, 1, FALSE)</f>
        <v>Globe</v>
      </c>
      <c r="F2037" s="46" t="b">
        <v>1</v>
      </c>
    </row>
    <row r="2038" spans="1:6">
      <c r="A2038" s="46" t="s">
        <v>5946</v>
      </c>
      <c r="B2038" s="46" t="s">
        <v>5922</v>
      </c>
      <c r="C2038" s="46" t="s">
        <v>5946</v>
      </c>
      <c r="D2038" s="46" t="s">
        <v>5983</v>
      </c>
      <c r="E2038" s="46" t="e">
        <f>VLOOKUP(combo_avemonthlyexpense_internetserviceprovider2, _ref_service_provider, 1, FALSE)</f>
        <v>#N/A</v>
      </c>
      <c r="F2038" s="46" t="b">
        <v>1</v>
      </c>
    </row>
    <row r="2039" spans="1:6">
      <c r="A2039" s="46" t="s">
        <v>5947</v>
      </c>
      <c r="B2039" s="46" t="s">
        <v>5922</v>
      </c>
      <c r="C2039" s="46" t="s">
        <v>5947</v>
      </c>
      <c r="D2039" s="46" t="s">
        <v>5984</v>
      </c>
      <c r="E2039" s="46" t="e">
        <f>VLOOKUP(combo_avemonthlyexpense_internetserviceprovider3, _ref_service_provider, 1, FALSE)</f>
        <v>#N/A</v>
      </c>
      <c r="F2039" s="46" t="b">
        <v>1</v>
      </c>
    </row>
    <row r="2040" spans="1:6">
      <c r="A2040" s="46" t="s">
        <v>5948</v>
      </c>
      <c r="B2040" s="46" t="s">
        <v>5922</v>
      </c>
      <c r="C2040" s="46" t="s">
        <v>5948</v>
      </c>
      <c r="D2040" s="46" t="s">
        <v>5985</v>
      </c>
      <c r="E2040" s="46" t="e">
        <f>VLOOKUP(combo_avemonthlyexpense_internetserviceprovider4, _ref_service_provider, 1, FALSE)</f>
        <v>#N/A</v>
      </c>
      <c r="F2040" s="46" t="b">
        <v>1</v>
      </c>
    </row>
    <row r="2041" spans="1:6">
      <c r="A2041" s="46" t="s">
        <v>5949</v>
      </c>
      <c r="B2041" s="46" t="s">
        <v>5922</v>
      </c>
      <c r="C2041" s="46" t="s">
        <v>5949</v>
      </c>
      <c r="D2041" s="46" t="s">
        <v>5986</v>
      </c>
      <c r="E2041" s="46" t="e">
        <f>VLOOKUP(combo_avemonthlyexpense_internetserviceprovider5, _ref_service_provider, 1, FALSE)</f>
        <v>#N/A</v>
      </c>
      <c r="F2041" s="46" t="b">
        <v>1</v>
      </c>
    </row>
    <row r="2042" spans="1:6">
      <c r="A2042" s="46" t="s">
        <v>5950</v>
      </c>
      <c r="B2042" s="46" t="s">
        <v>5922</v>
      </c>
      <c r="C2042" s="46" t="s">
        <v>5950</v>
      </c>
      <c r="D2042" s="46" t="s">
        <v>5987</v>
      </c>
      <c r="E2042" s="1777" cm="1">
        <f t="array" ref="E2042">sch_internet_avemonthlyexpense1</f>
        <v>7500</v>
      </c>
      <c r="F2042" s="46" t="b">
        <v>1</v>
      </c>
    </row>
    <row r="2043" spans="1:6">
      <c r="A2043" s="46" t="s">
        <v>5951</v>
      </c>
      <c r="B2043" s="46" t="s">
        <v>5922</v>
      </c>
      <c r="C2043" s="46" t="s">
        <v>5951</v>
      </c>
      <c r="D2043" s="46" t="s">
        <v>5988</v>
      </c>
      <c r="E2043" s="1777" cm="1">
        <f t="array" ref="E2043">sch_internet_avemonthlyexpense2</f>
        <v>0</v>
      </c>
      <c r="F2043" s="46" t="b">
        <v>1</v>
      </c>
    </row>
    <row r="2044" spans="1:6">
      <c r="A2044" s="46" t="s">
        <v>5952</v>
      </c>
      <c r="B2044" s="46" t="s">
        <v>5922</v>
      </c>
      <c r="C2044" s="46" t="s">
        <v>5952</v>
      </c>
      <c r="D2044" s="46" t="s">
        <v>5989</v>
      </c>
      <c r="E2044" s="1777" cm="1">
        <f t="array" ref="E2044">sch_internet_avemonthlyexpense3</f>
        <v>0</v>
      </c>
      <c r="F2044" s="46" t="b">
        <v>1</v>
      </c>
    </row>
    <row r="2045" spans="1:6">
      <c r="A2045" s="46" t="s">
        <v>5953</v>
      </c>
      <c r="B2045" s="46" t="s">
        <v>5922</v>
      </c>
      <c r="C2045" s="46" t="s">
        <v>5953</v>
      </c>
      <c r="D2045" s="46" t="s">
        <v>5990</v>
      </c>
      <c r="E2045" s="1777" cm="1">
        <f t="array" ref="E2045">sch_internet_avemonthlyexpense4</f>
        <v>0</v>
      </c>
      <c r="F2045" s="46" t="b">
        <v>1</v>
      </c>
    </row>
    <row r="2046" spans="1:6">
      <c r="A2046" s="46" t="s">
        <v>5954</v>
      </c>
      <c r="B2046" s="46" t="s">
        <v>5922</v>
      </c>
      <c r="C2046" s="46" t="s">
        <v>5954</v>
      </c>
      <c r="D2046" s="46" t="s">
        <v>5991</v>
      </c>
      <c r="E2046" s="1777" cm="1">
        <f t="array" ref="E2046">sch_internet_avemonthlyexpense5</f>
        <v>0</v>
      </c>
      <c r="F2046" s="46" t="b">
        <v>1</v>
      </c>
    </row>
    <row r="2047" spans="1:6">
      <c r="A2047" s="46" t="s">
        <v>5955</v>
      </c>
      <c r="B2047" s="46" t="s">
        <v>5922</v>
      </c>
      <c r="C2047" s="46" t="s">
        <v>5955</v>
      </c>
      <c r="D2047" s="46" t="s">
        <v>5992</v>
      </c>
      <c r="E2047" s="46" t="str">
        <f>VLOOKUP(combo_avemonthlyexpense_fundingsource1, _ref_funding_source, 1, FALSE)</f>
        <v>MOOE</v>
      </c>
      <c r="F2047" s="46" t="b">
        <v>1</v>
      </c>
    </row>
    <row r="2048" spans="1:6">
      <c r="A2048" s="46" t="s">
        <v>5956</v>
      </c>
      <c r="B2048" s="46" t="s">
        <v>5922</v>
      </c>
      <c r="C2048" s="46" t="s">
        <v>5956</v>
      </c>
      <c r="D2048" s="46" t="s">
        <v>5993</v>
      </c>
      <c r="E2048" s="46" t="e">
        <f>VLOOKUP(combo_avemonthlyexpense_fundingsource2, _ref_funding_source, 1, FALSE)</f>
        <v>#N/A</v>
      </c>
      <c r="F2048" s="46" t="b">
        <v>1</v>
      </c>
    </row>
    <row r="2049" spans="1:8">
      <c r="A2049" s="46" t="s">
        <v>5957</v>
      </c>
      <c r="B2049" s="46" t="s">
        <v>5922</v>
      </c>
      <c r="C2049" s="46" t="s">
        <v>5957</v>
      </c>
      <c r="D2049" s="46" t="s">
        <v>5994</v>
      </c>
      <c r="E2049" s="46" t="e">
        <f>VLOOKUP(combo_avemonthlyexpense_fundingsource3, _ref_funding_source, 1, FALSE)</f>
        <v>#N/A</v>
      </c>
      <c r="F2049" s="46" t="b">
        <v>1</v>
      </c>
    </row>
    <row r="2050" spans="1:8">
      <c r="A2050" s="46" t="s">
        <v>5958</v>
      </c>
      <c r="B2050" s="46" t="s">
        <v>5922</v>
      </c>
      <c r="C2050" s="46" t="s">
        <v>5958</v>
      </c>
      <c r="D2050" s="46" t="s">
        <v>5995</v>
      </c>
      <c r="E2050" s="46" t="e">
        <f>VLOOKUP(combo_avemonthlyexpense_fundingsource4, _ref_funding_source, 1, FALSE)</f>
        <v>#N/A</v>
      </c>
      <c r="F2050" s="46" t="b">
        <v>1</v>
      </c>
    </row>
    <row r="2051" spans="1:8" ht="16.5" thickBot="1">
      <c r="A2051" s="479" t="s">
        <v>5959</v>
      </c>
      <c r="B2051" s="479" t="s">
        <v>5922</v>
      </c>
      <c r="C2051" s="479" t="s">
        <v>5959</v>
      </c>
      <c r="D2051" s="479" t="s">
        <v>5996</v>
      </c>
      <c r="E2051" s="479" t="e">
        <f>VLOOKUP(combo_avemonthlyexpense_fundingsource5, _ref_funding_source, 1, FALSE)</f>
        <v>#N/A</v>
      </c>
      <c r="F2051" s="479" t="b">
        <v>1</v>
      </c>
      <c r="G2051" s="479"/>
      <c r="H2051" s="479"/>
    </row>
    <row r="2052" spans="1:8" ht="16.5" thickTop="1">
      <c r="A2052" s="46" t="s">
        <v>5998</v>
      </c>
      <c r="B2052" s="46" t="s">
        <v>6003</v>
      </c>
      <c r="C2052" s="46" t="s">
        <v>5998</v>
      </c>
      <c r="D2052" s="1763" t="s">
        <v>6004</v>
      </c>
      <c r="E2052" s="46" t="e">
        <f>VLOOKUP(combo_sch_cellular_com_prov1, _ref_cell_serv_provider, 1, FALSE)</f>
        <v>#N/A</v>
      </c>
      <c r="F2052" s="46" t="b">
        <v>1</v>
      </c>
    </row>
    <row r="2053" spans="1:8">
      <c r="A2053" s="46" t="s">
        <v>5999</v>
      </c>
      <c r="B2053" s="46" t="s">
        <v>6003</v>
      </c>
      <c r="C2053" s="46" t="s">
        <v>5999</v>
      </c>
      <c r="D2053" s="1764" t="s">
        <v>6005</v>
      </c>
      <c r="E2053" s="46" t="e">
        <f>VLOOKUP(combo_sch_cellular_com_prov2, _ref_cell_serv_provider, 1, FALSE)</f>
        <v>#N/A</v>
      </c>
      <c r="F2053" s="46" t="b">
        <v>1</v>
      </c>
    </row>
    <row r="2054" spans="1:8">
      <c r="A2054" s="46" t="s">
        <v>6000</v>
      </c>
      <c r="B2054" s="46" t="s">
        <v>6003</v>
      </c>
      <c r="C2054" s="46" t="s">
        <v>6000</v>
      </c>
      <c r="D2054" s="1764" t="s">
        <v>6006</v>
      </c>
      <c r="E2054" s="46" t="e">
        <f>VLOOKUP(combo_sch_cellular_com_prov3, _ref_cell_serv_provider, 1, FALSE)</f>
        <v>#N/A</v>
      </c>
      <c r="F2054" s="46" t="b">
        <v>1</v>
      </c>
    </row>
    <row r="2055" spans="1:8">
      <c r="A2055" s="46" t="s">
        <v>6001</v>
      </c>
      <c r="B2055" s="46" t="s">
        <v>6003</v>
      </c>
      <c r="C2055" s="46" t="s">
        <v>6001</v>
      </c>
      <c r="D2055" s="1764" t="s">
        <v>6007</v>
      </c>
      <c r="E2055" s="46" t="e">
        <f>VLOOKUP(combo_sch_cellular_com_prov4, _ref_cell_serv_provider, 1, FALSE)</f>
        <v>#N/A</v>
      </c>
      <c r="F2055" s="46" t="b">
        <v>1</v>
      </c>
    </row>
    <row r="2056" spans="1:8">
      <c r="A2056" s="46" t="s">
        <v>6002</v>
      </c>
      <c r="B2056" s="46" t="s">
        <v>6003</v>
      </c>
      <c r="C2056" s="46" t="s">
        <v>6002</v>
      </c>
      <c r="D2056" s="1764" t="s">
        <v>6008</v>
      </c>
      <c r="E2056" s="46" t="e">
        <f>VLOOKUP(combo_sch_cellular_com_prov5, _ref_cell_serv_provider, 1, FALSE)</f>
        <v>#N/A</v>
      </c>
      <c r="F2056" s="46" t="b">
        <v>1</v>
      </c>
    </row>
    <row r="2057" spans="1:8">
      <c r="A2057" s="46" t="s">
        <v>6034</v>
      </c>
      <c r="B2057" s="46" t="s">
        <v>6003</v>
      </c>
      <c r="C2057" s="46" t="s">
        <v>6034</v>
      </c>
      <c r="D2057" s="1764" t="s">
        <v>6009</v>
      </c>
      <c r="E2057" s="46" t="b" cm="1">
        <f t="array" ref="E2057">sch_cellular_com_text_sms1</f>
        <v>0</v>
      </c>
      <c r="F2057" s="1696" t="b">
        <f t="shared" ref="F2057:F2081" si="5">OR(E2057=TRUE, E2057=FALSE)</f>
        <v>1</v>
      </c>
      <c r="G2057" s="46" t="s">
        <v>11265</v>
      </c>
    </row>
    <row r="2058" spans="1:8">
      <c r="A2058" s="46" t="s">
        <v>6084</v>
      </c>
      <c r="B2058" s="46" t="s">
        <v>6003</v>
      </c>
      <c r="C2058" s="46" t="s">
        <v>6084</v>
      </c>
      <c r="D2058" s="1764" t="s">
        <v>6010</v>
      </c>
      <c r="E2058" s="46" t="b" cm="1">
        <f t="array" ref="E2058">sch_cellular_com_call1</f>
        <v>0</v>
      </c>
      <c r="F2058" s="1696" t="b">
        <f t="shared" si="5"/>
        <v>1</v>
      </c>
      <c r="G2058" s="46" t="s">
        <v>11265</v>
      </c>
    </row>
    <row r="2059" spans="1:8">
      <c r="A2059" s="46" t="s">
        <v>6035</v>
      </c>
      <c r="B2059" s="46" t="s">
        <v>6003</v>
      </c>
      <c r="C2059" s="46" t="s">
        <v>6035</v>
      </c>
      <c r="D2059" s="1764" t="s">
        <v>6011</v>
      </c>
      <c r="E2059" s="46" t="b" cm="1">
        <f t="array" ref="E2059">sch_cellular_com_send_viewimage1</f>
        <v>0</v>
      </c>
      <c r="F2059" s="1696" t="b">
        <f t="shared" si="5"/>
        <v>1</v>
      </c>
      <c r="G2059" s="46" t="s">
        <v>11265</v>
      </c>
    </row>
    <row r="2060" spans="1:8">
      <c r="A2060" s="46" t="s">
        <v>6036</v>
      </c>
      <c r="B2060" s="46" t="s">
        <v>6003</v>
      </c>
      <c r="C2060" s="46" t="s">
        <v>6036</v>
      </c>
      <c r="D2060" s="1764" t="s">
        <v>6012</v>
      </c>
      <c r="E2060" s="46" t="b" cm="1">
        <f t="array" ref="E2060">sch_cellular_com_vcall1</f>
        <v>0</v>
      </c>
      <c r="F2060" s="1696" t="b">
        <f t="shared" si="5"/>
        <v>1</v>
      </c>
      <c r="G2060" s="46" t="s">
        <v>11265</v>
      </c>
    </row>
    <row r="2061" spans="1:8">
      <c r="A2061" s="46" t="s">
        <v>6037</v>
      </c>
      <c r="B2061" s="46" t="s">
        <v>6003</v>
      </c>
      <c r="C2061" s="46" t="s">
        <v>6037</v>
      </c>
      <c r="D2061" s="1764" t="s">
        <v>6013</v>
      </c>
      <c r="E2061" s="46" t="b" cm="1">
        <f t="array" ref="E2061">sch_cellular_com_nosign1</f>
        <v>0</v>
      </c>
      <c r="F2061" s="1696" t="b">
        <f t="shared" si="5"/>
        <v>1</v>
      </c>
      <c r="G2061" s="46" t="s">
        <v>11265</v>
      </c>
    </row>
    <row r="2062" spans="1:8">
      <c r="A2062" s="46" t="s">
        <v>6038</v>
      </c>
      <c r="B2062" s="46" t="s">
        <v>6003</v>
      </c>
      <c r="C2062" s="46" t="s">
        <v>6038</v>
      </c>
      <c r="D2062" s="1764" t="s">
        <v>6014</v>
      </c>
      <c r="E2062" s="46" t="b" cm="1">
        <f t="array" ref="E2062">sch_cellular_com_text_sms2</f>
        <v>0</v>
      </c>
      <c r="F2062" s="1696" t="b">
        <f t="shared" si="5"/>
        <v>1</v>
      </c>
      <c r="G2062" s="46" t="s">
        <v>11265</v>
      </c>
    </row>
    <row r="2063" spans="1:8">
      <c r="A2063" s="46" t="s">
        <v>6085</v>
      </c>
      <c r="B2063" s="46" t="s">
        <v>6003</v>
      </c>
      <c r="C2063" s="46" t="s">
        <v>6085</v>
      </c>
      <c r="D2063" s="1764" t="s">
        <v>6015</v>
      </c>
      <c r="E2063" s="46" t="b" cm="1">
        <f t="array" ref="E2063">sch_cellular_com_call2</f>
        <v>0</v>
      </c>
      <c r="F2063" s="1696" t="b">
        <f t="shared" si="5"/>
        <v>1</v>
      </c>
      <c r="G2063" s="46" t="s">
        <v>11265</v>
      </c>
    </row>
    <row r="2064" spans="1:8">
      <c r="A2064" s="46" t="s">
        <v>6039</v>
      </c>
      <c r="B2064" s="46" t="s">
        <v>6003</v>
      </c>
      <c r="C2064" s="46" t="s">
        <v>6039</v>
      </c>
      <c r="D2064" s="1764" t="s">
        <v>6016</v>
      </c>
      <c r="E2064" s="46" t="b" cm="1">
        <f t="array" ref="E2064">sch_cellular_com_send_viewimage2</f>
        <v>0</v>
      </c>
      <c r="F2064" s="1696" t="b">
        <f t="shared" si="5"/>
        <v>1</v>
      </c>
      <c r="G2064" s="46" t="s">
        <v>11265</v>
      </c>
    </row>
    <row r="2065" spans="1:7">
      <c r="A2065" s="46" t="s">
        <v>6040</v>
      </c>
      <c r="B2065" s="46" t="s">
        <v>6003</v>
      </c>
      <c r="C2065" s="46" t="s">
        <v>6040</v>
      </c>
      <c r="D2065" s="1764" t="s">
        <v>6017</v>
      </c>
      <c r="E2065" s="46" t="b" cm="1">
        <f t="array" ref="E2065">sch_cellular_com_vcall2</f>
        <v>0</v>
      </c>
      <c r="F2065" s="1696" t="b">
        <f t="shared" si="5"/>
        <v>1</v>
      </c>
      <c r="G2065" s="46" t="s">
        <v>11265</v>
      </c>
    </row>
    <row r="2066" spans="1:7">
      <c r="A2066" s="46" t="s">
        <v>6041</v>
      </c>
      <c r="B2066" s="46" t="s">
        <v>6003</v>
      </c>
      <c r="C2066" s="46" t="s">
        <v>6041</v>
      </c>
      <c r="D2066" s="1764" t="s">
        <v>6018</v>
      </c>
      <c r="E2066" s="46" t="b" cm="1">
        <f t="array" ref="E2066">sch_cellular_com_nosign2</f>
        <v>0</v>
      </c>
      <c r="F2066" s="1696" t="b">
        <f t="shared" si="5"/>
        <v>1</v>
      </c>
      <c r="G2066" s="46" t="s">
        <v>11265</v>
      </c>
    </row>
    <row r="2067" spans="1:7">
      <c r="A2067" s="46" t="s">
        <v>6042</v>
      </c>
      <c r="B2067" s="46" t="s">
        <v>6003</v>
      </c>
      <c r="C2067" s="46" t="s">
        <v>6042</v>
      </c>
      <c r="D2067" s="1764" t="s">
        <v>6019</v>
      </c>
      <c r="E2067" s="46" t="b" cm="1">
        <f t="array" ref="E2067">sch_cellular_com_text_sms3</f>
        <v>0</v>
      </c>
      <c r="F2067" s="1696" t="b">
        <f t="shared" si="5"/>
        <v>1</v>
      </c>
      <c r="G2067" s="46" t="s">
        <v>11265</v>
      </c>
    </row>
    <row r="2068" spans="1:7">
      <c r="A2068" s="46" t="s">
        <v>6086</v>
      </c>
      <c r="B2068" s="46" t="s">
        <v>6003</v>
      </c>
      <c r="C2068" s="46" t="s">
        <v>6086</v>
      </c>
      <c r="D2068" s="1764" t="s">
        <v>6020</v>
      </c>
      <c r="E2068" s="46" t="b" cm="1">
        <f t="array" ref="E2068">sch_cellular_com_call3</f>
        <v>0</v>
      </c>
      <c r="F2068" s="1696" t="b">
        <f t="shared" si="5"/>
        <v>1</v>
      </c>
      <c r="G2068" s="46" t="s">
        <v>11265</v>
      </c>
    </row>
    <row r="2069" spans="1:7">
      <c r="A2069" s="46" t="s">
        <v>6043</v>
      </c>
      <c r="B2069" s="46" t="s">
        <v>6003</v>
      </c>
      <c r="C2069" s="46" t="s">
        <v>6043</v>
      </c>
      <c r="D2069" s="1764" t="s">
        <v>6021</v>
      </c>
      <c r="E2069" s="46" t="b" cm="1">
        <f t="array" ref="E2069">sch_cellular_com_send_viewimage3</f>
        <v>0</v>
      </c>
      <c r="F2069" s="1696" t="b">
        <f t="shared" si="5"/>
        <v>1</v>
      </c>
      <c r="G2069" s="46" t="s">
        <v>11265</v>
      </c>
    </row>
    <row r="2070" spans="1:7">
      <c r="A2070" s="46" t="s">
        <v>6044</v>
      </c>
      <c r="B2070" s="46" t="s">
        <v>6003</v>
      </c>
      <c r="C2070" s="46" t="s">
        <v>6044</v>
      </c>
      <c r="D2070" s="1764" t="s">
        <v>6022</v>
      </c>
      <c r="E2070" s="46" t="b" cm="1">
        <f t="array" ref="E2070">sch_cellular_com_vcall3</f>
        <v>0</v>
      </c>
      <c r="F2070" s="1696" t="b">
        <f t="shared" si="5"/>
        <v>1</v>
      </c>
      <c r="G2070" s="46" t="s">
        <v>11265</v>
      </c>
    </row>
    <row r="2071" spans="1:7">
      <c r="A2071" s="46" t="s">
        <v>6045</v>
      </c>
      <c r="B2071" s="46" t="s">
        <v>6003</v>
      </c>
      <c r="C2071" s="46" t="s">
        <v>6045</v>
      </c>
      <c r="D2071" s="1764" t="s">
        <v>6023</v>
      </c>
      <c r="E2071" s="46" t="b" cm="1">
        <f t="array" ref="E2071">sch_cellular_com_nosign3</f>
        <v>0</v>
      </c>
      <c r="F2071" s="1696" t="b">
        <f t="shared" si="5"/>
        <v>1</v>
      </c>
      <c r="G2071" s="46" t="s">
        <v>11265</v>
      </c>
    </row>
    <row r="2072" spans="1:7">
      <c r="A2072" s="46" t="s">
        <v>6046</v>
      </c>
      <c r="B2072" s="46" t="s">
        <v>6003</v>
      </c>
      <c r="C2072" s="46" t="s">
        <v>6046</v>
      </c>
      <c r="D2072" s="1764" t="s">
        <v>6024</v>
      </c>
      <c r="E2072" s="46" t="b" cm="1">
        <f t="array" ref="E2072">sch_cellular_com_text_sms4</f>
        <v>0</v>
      </c>
      <c r="F2072" s="1696" t="b">
        <f t="shared" si="5"/>
        <v>1</v>
      </c>
      <c r="G2072" s="46" t="s">
        <v>11265</v>
      </c>
    </row>
    <row r="2073" spans="1:7">
      <c r="A2073" s="46" t="s">
        <v>6087</v>
      </c>
      <c r="B2073" s="46" t="s">
        <v>6003</v>
      </c>
      <c r="C2073" s="46" t="s">
        <v>6087</v>
      </c>
      <c r="D2073" s="1764" t="s">
        <v>6025</v>
      </c>
      <c r="E2073" s="46" t="b" cm="1">
        <f t="array" ref="E2073">sch_cellular_com_call4</f>
        <v>0</v>
      </c>
      <c r="F2073" s="1696" t="b">
        <f t="shared" si="5"/>
        <v>1</v>
      </c>
      <c r="G2073" s="46" t="s">
        <v>11265</v>
      </c>
    </row>
    <row r="2074" spans="1:7">
      <c r="A2074" s="46" t="s">
        <v>6047</v>
      </c>
      <c r="B2074" s="46" t="s">
        <v>6003</v>
      </c>
      <c r="C2074" s="46" t="s">
        <v>6047</v>
      </c>
      <c r="D2074" s="1764" t="s">
        <v>6026</v>
      </c>
      <c r="E2074" s="46" t="b" cm="1">
        <f t="array" ref="E2074">sch_cellular_com_send_viewimage4</f>
        <v>0</v>
      </c>
      <c r="F2074" s="1696" t="b">
        <f t="shared" si="5"/>
        <v>1</v>
      </c>
      <c r="G2074" s="46" t="s">
        <v>11265</v>
      </c>
    </row>
    <row r="2075" spans="1:7">
      <c r="A2075" s="46" t="s">
        <v>6048</v>
      </c>
      <c r="B2075" s="46" t="s">
        <v>6003</v>
      </c>
      <c r="C2075" s="46" t="s">
        <v>6048</v>
      </c>
      <c r="D2075" s="1764" t="s">
        <v>6027</v>
      </c>
      <c r="E2075" s="46" t="b" cm="1">
        <f t="array" ref="E2075">sch_cellular_com_vcall4</f>
        <v>0</v>
      </c>
      <c r="F2075" s="1696" t="b">
        <f t="shared" si="5"/>
        <v>1</v>
      </c>
      <c r="G2075" s="46" t="s">
        <v>11265</v>
      </c>
    </row>
    <row r="2076" spans="1:7">
      <c r="A2076" s="46" t="s">
        <v>6049</v>
      </c>
      <c r="B2076" s="46" t="s">
        <v>6003</v>
      </c>
      <c r="C2076" s="46" t="s">
        <v>6049</v>
      </c>
      <c r="D2076" s="1764" t="s">
        <v>6028</v>
      </c>
      <c r="E2076" s="46" t="b" cm="1">
        <f t="array" ref="E2076">sch_cellular_com_nosign4</f>
        <v>0</v>
      </c>
      <c r="F2076" s="1696" t="b">
        <f t="shared" si="5"/>
        <v>1</v>
      </c>
      <c r="G2076" s="46" t="s">
        <v>11265</v>
      </c>
    </row>
    <row r="2077" spans="1:7">
      <c r="A2077" s="46" t="s">
        <v>6050</v>
      </c>
      <c r="B2077" s="46" t="s">
        <v>6003</v>
      </c>
      <c r="C2077" s="46" t="s">
        <v>6050</v>
      </c>
      <c r="D2077" s="1764" t="s">
        <v>6029</v>
      </c>
      <c r="E2077" s="46" t="b" cm="1">
        <f t="array" ref="E2077">sch_cellular_com_text_sms5</f>
        <v>0</v>
      </c>
      <c r="F2077" s="1696" t="b">
        <f t="shared" si="5"/>
        <v>1</v>
      </c>
      <c r="G2077" s="46" t="s">
        <v>11265</v>
      </c>
    </row>
    <row r="2078" spans="1:7">
      <c r="A2078" s="46" t="s">
        <v>6088</v>
      </c>
      <c r="B2078" s="46" t="s">
        <v>6003</v>
      </c>
      <c r="C2078" s="46" t="s">
        <v>6088</v>
      </c>
      <c r="D2078" s="1764" t="s">
        <v>6030</v>
      </c>
      <c r="E2078" s="46" t="b" cm="1">
        <f t="array" ref="E2078">sch_cellular_com_call5</f>
        <v>0</v>
      </c>
      <c r="F2078" s="1696" t="b">
        <f t="shared" si="5"/>
        <v>1</v>
      </c>
      <c r="G2078" s="46" t="s">
        <v>11265</v>
      </c>
    </row>
    <row r="2079" spans="1:7">
      <c r="A2079" s="46" t="s">
        <v>6051</v>
      </c>
      <c r="B2079" s="46" t="s">
        <v>6003</v>
      </c>
      <c r="C2079" s="46" t="s">
        <v>6051</v>
      </c>
      <c r="D2079" s="1764" t="s">
        <v>6031</v>
      </c>
      <c r="E2079" s="46" t="b" cm="1">
        <f t="array" ref="E2079">sch_cellular_com_send_viewimage5</f>
        <v>0</v>
      </c>
      <c r="F2079" s="1696" t="b">
        <f t="shared" si="5"/>
        <v>1</v>
      </c>
      <c r="G2079" s="46" t="s">
        <v>11265</v>
      </c>
    </row>
    <row r="2080" spans="1:7">
      <c r="A2080" s="46" t="s">
        <v>6052</v>
      </c>
      <c r="B2080" s="46" t="s">
        <v>6003</v>
      </c>
      <c r="C2080" s="46" t="s">
        <v>6052</v>
      </c>
      <c r="D2080" s="1764" t="s">
        <v>6032</v>
      </c>
      <c r="E2080" s="46" t="b" cm="1">
        <f t="array" ref="E2080">sch_cellular_com_vcall5</f>
        <v>0</v>
      </c>
      <c r="F2080" s="1696" t="b">
        <f t="shared" si="5"/>
        <v>1</v>
      </c>
      <c r="G2080" s="46" t="s">
        <v>11265</v>
      </c>
    </row>
    <row r="2081" spans="1:8">
      <c r="A2081" s="46" t="s">
        <v>6053</v>
      </c>
      <c r="B2081" s="46" t="s">
        <v>6003</v>
      </c>
      <c r="C2081" s="46" t="s">
        <v>6053</v>
      </c>
      <c r="D2081" s="1764" t="s">
        <v>6033</v>
      </c>
      <c r="E2081" s="46" t="b" cm="1">
        <f t="array" ref="E2081">sch_cellular_com_nosign5</f>
        <v>0</v>
      </c>
      <c r="F2081" s="1696" t="b">
        <f t="shared" si="5"/>
        <v>1</v>
      </c>
      <c r="G2081" s="46" t="s">
        <v>11265</v>
      </c>
    </row>
    <row r="2082" spans="1:8">
      <c r="A2082" s="46" t="s">
        <v>6054</v>
      </c>
      <c r="B2082" s="46" t="s">
        <v>6003</v>
      </c>
      <c r="C2082" s="46" t="s">
        <v>6054</v>
      </c>
      <c r="D2082" s="1759" t="s">
        <v>6059</v>
      </c>
      <c r="E2082" s="46" t="e">
        <f>VLOOKUP(combo_sch_cellular_wireless_tech1, _ref_cell_wtg, 1, FALSE)</f>
        <v>#N/A</v>
      </c>
      <c r="F2082" s="46" t="b">
        <v>1</v>
      </c>
    </row>
    <row r="2083" spans="1:8">
      <c r="A2083" s="46" t="s">
        <v>6055</v>
      </c>
      <c r="B2083" s="46" t="s">
        <v>6003</v>
      </c>
      <c r="C2083" s="46" t="s">
        <v>6055</v>
      </c>
      <c r="D2083" s="1764" t="s">
        <v>6060</v>
      </c>
      <c r="E2083" s="46" t="e">
        <f>VLOOKUP(combo_sch_cellular_wireless_tech2, _ref_cell_wtg, 1, FALSE)</f>
        <v>#N/A</v>
      </c>
      <c r="F2083" s="46" t="b">
        <v>1</v>
      </c>
    </row>
    <row r="2084" spans="1:8">
      <c r="A2084" s="46" t="s">
        <v>6056</v>
      </c>
      <c r="B2084" s="46" t="s">
        <v>6003</v>
      </c>
      <c r="C2084" s="46" t="s">
        <v>6056</v>
      </c>
      <c r="D2084" s="1764" t="s">
        <v>6061</v>
      </c>
      <c r="E2084" s="46" t="e">
        <f>VLOOKUP(combo_sch_cellular_wireless_tech3, _ref_cell_wtg, 1, FALSE)</f>
        <v>#N/A</v>
      </c>
      <c r="F2084" s="46" t="b">
        <v>1</v>
      </c>
    </row>
    <row r="2085" spans="1:8">
      <c r="A2085" s="46" t="s">
        <v>6057</v>
      </c>
      <c r="B2085" s="46" t="s">
        <v>6003</v>
      </c>
      <c r="C2085" s="46" t="s">
        <v>6057</v>
      </c>
      <c r="D2085" s="1764" t="s">
        <v>6062</v>
      </c>
      <c r="E2085" s="46" t="e">
        <f>VLOOKUP(combo_sch_cellular_wireless_tech4, _ref_cell_wtg, 1, FALSE)</f>
        <v>#N/A</v>
      </c>
      <c r="F2085" s="46" t="b">
        <v>1</v>
      </c>
    </row>
    <row r="2086" spans="1:8">
      <c r="A2086" s="46" t="s">
        <v>6058</v>
      </c>
      <c r="B2086" s="46" t="s">
        <v>6003</v>
      </c>
      <c r="C2086" s="46" t="s">
        <v>6058</v>
      </c>
      <c r="D2086" s="1764" t="s">
        <v>6063</v>
      </c>
      <c r="E2086" s="46" t="e">
        <f>VLOOKUP(combo_sch_cellular_wireless_tech5, _ref_cell_wtg, 1, FALSE)</f>
        <v>#N/A</v>
      </c>
      <c r="F2086" s="46" t="b">
        <v>1</v>
      </c>
    </row>
    <row r="2087" spans="1:8">
      <c r="A2087" s="46" t="s">
        <v>6064</v>
      </c>
      <c r="B2087" s="46" t="s">
        <v>6003</v>
      </c>
      <c r="C2087" s="46" t="s">
        <v>6064</v>
      </c>
      <c r="D2087" s="1759" t="s">
        <v>6069</v>
      </c>
      <c r="E2087" s="1777" cm="1">
        <f t="array" ref="E2087">sch_cellular_avemonthlyexpense1</f>
        <v>0</v>
      </c>
      <c r="F2087" s="46" t="b">
        <v>1</v>
      </c>
    </row>
    <row r="2088" spans="1:8">
      <c r="A2088" s="46" t="s">
        <v>6065</v>
      </c>
      <c r="B2088" s="46" t="s">
        <v>6003</v>
      </c>
      <c r="C2088" s="46" t="s">
        <v>6065</v>
      </c>
      <c r="D2088" s="1764" t="s">
        <v>6070</v>
      </c>
      <c r="E2088" s="1777" cm="1">
        <f t="array" ref="E2088">sch_cellular_avemonthlyexpense2</f>
        <v>0</v>
      </c>
      <c r="F2088" s="46" t="b">
        <v>1</v>
      </c>
    </row>
    <row r="2089" spans="1:8">
      <c r="A2089" s="46" t="s">
        <v>6066</v>
      </c>
      <c r="B2089" s="46" t="s">
        <v>6003</v>
      </c>
      <c r="C2089" s="46" t="s">
        <v>6066</v>
      </c>
      <c r="D2089" s="1764" t="s">
        <v>6071</v>
      </c>
      <c r="E2089" s="1777" cm="1">
        <f t="array" ref="E2089">sch_cellular_avemonthlyexpense3</f>
        <v>0</v>
      </c>
      <c r="F2089" s="46" t="b">
        <v>1</v>
      </c>
    </row>
    <row r="2090" spans="1:8">
      <c r="A2090" s="46" t="s">
        <v>6067</v>
      </c>
      <c r="B2090" s="46" t="s">
        <v>6003</v>
      </c>
      <c r="C2090" s="46" t="s">
        <v>6067</v>
      </c>
      <c r="D2090" s="1764" t="s">
        <v>6072</v>
      </c>
      <c r="E2090" s="1777" cm="1">
        <f t="array" ref="E2090">sch_cellular_avemonthlyexpense4</f>
        <v>0</v>
      </c>
      <c r="F2090" s="46" t="b">
        <v>1</v>
      </c>
    </row>
    <row r="2091" spans="1:8">
      <c r="A2091" s="46" t="s">
        <v>6068</v>
      </c>
      <c r="B2091" s="46" t="s">
        <v>6003</v>
      </c>
      <c r="C2091" s="46" t="s">
        <v>6068</v>
      </c>
      <c r="D2091" s="1764" t="s">
        <v>6073</v>
      </c>
      <c r="E2091" s="1777" cm="1">
        <f t="array" ref="E2091">sch_cellular_avemonthlyexpense5</f>
        <v>0</v>
      </c>
      <c r="F2091" s="46" t="b">
        <v>1</v>
      </c>
    </row>
    <row r="2092" spans="1:8">
      <c r="A2092" s="46" t="s">
        <v>6074</v>
      </c>
      <c r="B2092" s="46" t="s">
        <v>6003</v>
      </c>
      <c r="C2092" s="46" t="s">
        <v>6074</v>
      </c>
      <c r="D2092" s="1759" t="s">
        <v>6079</v>
      </c>
      <c r="E2092" s="46" t="e">
        <f>VLOOKUP(combo_sch_cellular_fundingsource1, _ref_funding_source, 1, FALSE)</f>
        <v>#N/A</v>
      </c>
      <c r="F2092" s="46" t="b">
        <v>1</v>
      </c>
    </row>
    <row r="2093" spans="1:8">
      <c r="A2093" s="46" t="s">
        <v>6075</v>
      </c>
      <c r="B2093" s="46" t="s">
        <v>6003</v>
      </c>
      <c r="C2093" s="46" t="s">
        <v>6075</v>
      </c>
      <c r="D2093" s="1764" t="s">
        <v>6080</v>
      </c>
      <c r="E2093" s="46" t="e">
        <f>VLOOKUP(combo_sch_cellular_fundingsource2, _ref_funding_source, 1, FALSE)</f>
        <v>#N/A</v>
      </c>
      <c r="F2093" s="46" t="b">
        <v>1</v>
      </c>
    </row>
    <row r="2094" spans="1:8">
      <c r="A2094" s="46" t="s">
        <v>6076</v>
      </c>
      <c r="B2094" s="46" t="s">
        <v>6003</v>
      </c>
      <c r="C2094" s="46" t="s">
        <v>6076</v>
      </c>
      <c r="D2094" s="1764" t="s">
        <v>6081</v>
      </c>
      <c r="E2094" s="46" t="e">
        <f>VLOOKUP(combo_sch_cellular_fundingsource3, _ref_funding_source, 1, FALSE)</f>
        <v>#N/A</v>
      </c>
      <c r="F2094" s="46" t="b">
        <v>1</v>
      </c>
    </row>
    <row r="2095" spans="1:8">
      <c r="A2095" s="46" t="s">
        <v>6077</v>
      </c>
      <c r="B2095" s="46" t="s">
        <v>6003</v>
      </c>
      <c r="C2095" s="46" t="s">
        <v>6077</v>
      </c>
      <c r="D2095" s="1764" t="s">
        <v>6082</v>
      </c>
      <c r="E2095" s="46" t="e">
        <f>VLOOKUP(combo_sch_cellular_fundingsource4, _ref_funding_source, 1, FALSE)</f>
        <v>#N/A</v>
      </c>
      <c r="F2095" s="46" t="b">
        <v>1</v>
      </c>
    </row>
    <row r="2096" spans="1:8" ht="16.5" thickBot="1">
      <c r="A2096" s="479" t="s">
        <v>6078</v>
      </c>
      <c r="B2096" s="479" t="s">
        <v>6003</v>
      </c>
      <c r="C2096" s="479" t="s">
        <v>6078</v>
      </c>
      <c r="D2096" s="1760" t="s">
        <v>6083</v>
      </c>
      <c r="E2096" s="479" t="e">
        <f>VLOOKUP(combo_sch_cellular_fundingsource5, _ref_funding_source, 1, FALSE)</f>
        <v>#N/A</v>
      </c>
      <c r="F2096" s="479" t="b">
        <v>1</v>
      </c>
      <c r="G2096" s="479"/>
      <c r="H2096" s="479"/>
    </row>
    <row r="2097" spans="1:6" ht="16.5" thickTop="1">
      <c r="A2097" s="46" t="s">
        <v>6089</v>
      </c>
      <c r="B2097" s="46" t="s">
        <v>6099</v>
      </c>
      <c r="C2097" s="46" t="s">
        <v>6089</v>
      </c>
      <c r="D2097" s="46" t="s">
        <v>6100</v>
      </c>
      <c r="E2097" s="46" t="str">
        <f>VLOOKUP(combo_sch_print_copy1, _ref_type_printer, 1, FALSE)</f>
        <v>Multifunction Printer</v>
      </c>
      <c r="F2097" s="46" t="b">
        <v>1</v>
      </c>
    </row>
    <row r="2098" spans="1:6">
      <c r="A2098" s="46" t="s">
        <v>6090</v>
      </c>
      <c r="B2098" s="46" t="s">
        <v>6099</v>
      </c>
      <c r="C2098" s="46" t="s">
        <v>6090</v>
      </c>
      <c r="D2098" s="46" t="s">
        <v>6101</v>
      </c>
      <c r="E2098" s="46" t="str">
        <f>VLOOKUP(combo_sch_print_copy2, _ref_type_printer, 1, FALSE)</f>
        <v>Multifunction Printer</v>
      </c>
      <c r="F2098" s="46" t="b">
        <v>1</v>
      </c>
    </row>
    <row r="2099" spans="1:6">
      <c r="A2099" s="46" t="s">
        <v>6091</v>
      </c>
      <c r="B2099" s="46" t="s">
        <v>6099</v>
      </c>
      <c r="C2099" s="46" t="s">
        <v>6091</v>
      </c>
      <c r="D2099" s="46" t="s">
        <v>6102</v>
      </c>
      <c r="E2099" s="46" t="str">
        <f>VLOOKUP(combo_sch_print_copy3, _ref_type_printer, 1, FALSE)</f>
        <v>Multifunction Printer</v>
      </c>
      <c r="F2099" s="46" t="b">
        <v>1</v>
      </c>
    </row>
    <row r="2100" spans="1:6">
      <c r="A2100" s="46" t="s">
        <v>6092</v>
      </c>
      <c r="B2100" s="46" t="s">
        <v>6099</v>
      </c>
      <c r="C2100" s="46" t="s">
        <v>6092</v>
      </c>
      <c r="D2100" s="46" t="s">
        <v>6103</v>
      </c>
      <c r="E2100" s="46" t="e">
        <f>VLOOKUP(combo_sch_print_copy4, _ref_type_printer, 1, FALSE)</f>
        <v>#N/A</v>
      </c>
      <c r="F2100" s="46" t="b">
        <v>1</v>
      </c>
    </row>
    <row r="2101" spans="1:6">
      <c r="A2101" s="46" t="s">
        <v>6093</v>
      </c>
      <c r="B2101" s="46" t="s">
        <v>6099</v>
      </c>
      <c r="C2101" s="46" t="s">
        <v>6093</v>
      </c>
      <c r="D2101" s="46" t="s">
        <v>6104</v>
      </c>
      <c r="E2101" s="46" t="e">
        <f>VLOOKUP(combo_sch_print_copy5, _ref_type_printer, 1, FALSE)</f>
        <v>#N/A</v>
      </c>
      <c r="F2101" s="46" t="b">
        <v>1</v>
      </c>
    </row>
    <row r="2102" spans="1:6">
      <c r="A2102" s="46" t="s">
        <v>6094</v>
      </c>
      <c r="B2102" s="46" t="s">
        <v>6099</v>
      </c>
      <c r="C2102" s="46" t="s">
        <v>6094</v>
      </c>
      <c r="D2102" s="46" t="s">
        <v>6105</v>
      </c>
      <c r="E2102" s="46" t="e">
        <f>VLOOKUP(combo_sch_print_copy6, _ref_type_printer, 1, FALSE)</f>
        <v>#N/A</v>
      </c>
      <c r="F2102" s="46" t="b">
        <v>1</v>
      </c>
    </row>
    <row r="2103" spans="1:6">
      <c r="A2103" s="46" t="s">
        <v>6095</v>
      </c>
      <c r="B2103" s="46" t="s">
        <v>6099</v>
      </c>
      <c r="C2103" s="46" t="s">
        <v>6095</v>
      </c>
      <c r="D2103" s="46" t="s">
        <v>6106</v>
      </c>
      <c r="E2103" s="46" t="e">
        <f>VLOOKUP(combo_sch_print_copy7, _ref_type_printer, 1, FALSE)</f>
        <v>#N/A</v>
      </c>
      <c r="F2103" s="46" t="b">
        <v>1</v>
      </c>
    </row>
    <row r="2104" spans="1:6">
      <c r="A2104" s="46" t="s">
        <v>6096</v>
      </c>
      <c r="B2104" s="46" t="s">
        <v>6099</v>
      </c>
      <c r="C2104" s="46" t="s">
        <v>6096</v>
      </c>
      <c r="D2104" s="46" t="s">
        <v>6107</v>
      </c>
      <c r="E2104" s="46" t="e">
        <f>VLOOKUP(combo_sch_print_copy8, _ref_type_printer, 1, FALSE)</f>
        <v>#N/A</v>
      </c>
      <c r="F2104" s="46" t="b">
        <v>1</v>
      </c>
    </row>
    <row r="2105" spans="1:6">
      <c r="A2105" s="46" t="s">
        <v>6097</v>
      </c>
      <c r="B2105" s="46" t="s">
        <v>6099</v>
      </c>
      <c r="C2105" s="46" t="s">
        <v>6097</v>
      </c>
      <c r="D2105" s="46" t="s">
        <v>6108</v>
      </c>
      <c r="E2105" s="46" t="e">
        <f>VLOOKUP(combo_sch_print_copy9, _ref_type_printer, 1, FALSE)</f>
        <v>#N/A</v>
      </c>
      <c r="F2105" s="46" t="b">
        <v>1</v>
      </c>
    </row>
    <row r="2106" spans="1:6">
      <c r="A2106" s="46" t="s">
        <v>6098</v>
      </c>
      <c r="B2106" s="46" t="s">
        <v>6099</v>
      </c>
      <c r="C2106" s="46" t="s">
        <v>6098</v>
      </c>
      <c r="D2106" s="46" t="s">
        <v>6109</v>
      </c>
      <c r="E2106" s="46" t="e">
        <f>VLOOKUP(combo_sch_print_copy10, _ref_type_printer, 1, FALSE)</f>
        <v>#N/A</v>
      </c>
      <c r="F2106" s="46" t="b">
        <v>1</v>
      </c>
    </row>
    <row r="2107" spans="1:6">
      <c r="A2107" s="46" t="s">
        <v>6120</v>
      </c>
      <c r="B2107" s="46" t="s">
        <v>6099</v>
      </c>
      <c r="C2107" s="46" t="s">
        <v>6120</v>
      </c>
      <c r="D2107" s="46" t="s">
        <v>6110</v>
      </c>
      <c r="E2107" s="46" t="str" cm="1">
        <f t="array" ref="E2107">sch_print_copy_brand_model1</f>
        <v>Brother -DCP-1720DW</v>
      </c>
      <c r="F2107" s="46" t="b">
        <v>1</v>
      </c>
    </row>
    <row r="2108" spans="1:6">
      <c r="A2108" s="46" t="s">
        <v>6121</v>
      </c>
      <c r="B2108" s="46" t="s">
        <v>6099</v>
      </c>
      <c r="C2108" s="46" t="s">
        <v>6121</v>
      </c>
      <c r="D2108" s="46" t="s">
        <v>6111</v>
      </c>
      <c r="E2108" s="46" t="str" cm="1">
        <f t="array" ref="E2108">sch_print_copy_brand_model2</f>
        <v>EPSON L3110</v>
      </c>
      <c r="F2108" s="46" t="b">
        <v>1</v>
      </c>
    </row>
    <row r="2109" spans="1:6">
      <c r="A2109" s="46" t="s">
        <v>6122</v>
      </c>
      <c r="B2109" s="46" t="s">
        <v>6099</v>
      </c>
      <c r="C2109" s="46" t="s">
        <v>6122</v>
      </c>
      <c r="D2109" s="46" t="s">
        <v>6112</v>
      </c>
      <c r="E2109" s="46" t="str" cm="1">
        <f t="array" ref="E2109">sch_print_copy_brand_model3</f>
        <v>EPSON L6170</v>
      </c>
      <c r="F2109" s="46" t="b">
        <v>1</v>
      </c>
    </row>
    <row r="2110" spans="1:6">
      <c r="A2110" s="46" t="s">
        <v>6123</v>
      </c>
      <c r="B2110" s="46" t="s">
        <v>6099</v>
      </c>
      <c r="C2110" s="46" t="s">
        <v>6123</v>
      </c>
      <c r="D2110" s="46" t="s">
        <v>6113</v>
      </c>
      <c r="E2110" s="46" cm="1">
        <f t="array" ref="E2110">sch_print_copy_brand_model4</f>
        <v>0</v>
      </c>
      <c r="F2110" s="46" t="b">
        <v>1</v>
      </c>
    </row>
    <row r="2111" spans="1:6">
      <c r="A2111" s="46" t="s">
        <v>6124</v>
      </c>
      <c r="B2111" s="46" t="s">
        <v>6099</v>
      </c>
      <c r="C2111" s="46" t="s">
        <v>6124</v>
      </c>
      <c r="D2111" s="46" t="s">
        <v>6114</v>
      </c>
      <c r="E2111" s="46" cm="1">
        <f t="array" ref="E2111">sch_print_copy_brand_model5</f>
        <v>0</v>
      </c>
      <c r="F2111" s="46" t="b">
        <v>1</v>
      </c>
    </row>
    <row r="2112" spans="1:6">
      <c r="A2112" s="46" t="s">
        <v>6125</v>
      </c>
      <c r="B2112" s="46" t="s">
        <v>6099</v>
      </c>
      <c r="C2112" s="46" t="s">
        <v>6125</v>
      </c>
      <c r="D2112" s="46" t="s">
        <v>6115</v>
      </c>
      <c r="E2112" s="46" cm="1">
        <f t="array" ref="E2112">sch_print_copy_brand_model6</f>
        <v>0</v>
      </c>
      <c r="F2112" s="46" t="b">
        <v>1</v>
      </c>
    </row>
    <row r="2113" spans="1:6">
      <c r="A2113" s="46" t="s">
        <v>6126</v>
      </c>
      <c r="B2113" s="46" t="s">
        <v>6099</v>
      </c>
      <c r="C2113" s="46" t="s">
        <v>6126</v>
      </c>
      <c r="D2113" s="46" t="s">
        <v>6116</v>
      </c>
      <c r="E2113" s="46" cm="1">
        <f t="array" ref="E2113">sch_print_copy_brand_model7</f>
        <v>0</v>
      </c>
      <c r="F2113" s="46" t="b">
        <v>1</v>
      </c>
    </row>
    <row r="2114" spans="1:6">
      <c r="A2114" s="46" t="s">
        <v>6127</v>
      </c>
      <c r="B2114" s="46" t="s">
        <v>6099</v>
      </c>
      <c r="C2114" s="46" t="s">
        <v>6127</v>
      </c>
      <c r="D2114" s="46" t="s">
        <v>6117</v>
      </c>
      <c r="E2114" s="46" cm="1">
        <f t="array" ref="E2114">sch_print_copy_brand_model8</f>
        <v>0</v>
      </c>
      <c r="F2114" s="46" t="b">
        <v>1</v>
      </c>
    </row>
    <row r="2115" spans="1:6">
      <c r="A2115" s="46" t="s">
        <v>6128</v>
      </c>
      <c r="B2115" s="46" t="s">
        <v>6099</v>
      </c>
      <c r="C2115" s="46" t="s">
        <v>6128</v>
      </c>
      <c r="D2115" s="46" t="s">
        <v>6118</v>
      </c>
      <c r="E2115" s="46" cm="1">
        <f t="array" ref="E2115">sch_print_copy_brand_model9</f>
        <v>0</v>
      </c>
      <c r="F2115" s="46" t="b">
        <v>1</v>
      </c>
    </row>
    <row r="2116" spans="1:6">
      <c r="A2116" s="46" t="s">
        <v>6129</v>
      </c>
      <c r="B2116" s="46" t="s">
        <v>6099</v>
      </c>
      <c r="C2116" s="46" t="s">
        <v>6129</v>
      </c>
      <c r="D2116" s="46" t="s">
        <v>6119</v>
      </c>
      <c r="E2116" s="46" cm="1">
        <f t="array" ref="E2116">sch_print_copy_brand_model10</f>
        <v>0</v>
      </c>
      <c r="F2116" s="46" t="b">
        <v>1</v>
      </c>
    </row>
    <row r="2117" spans="1:6">
      <c r="A2117" s="46" t="s">
        <v>6130</v>
      </c>
      <c r="B2117" s="46" t="s">
        <v>6099</v>
      </c>
      <c r="C2117" s="46" t="s">
        <v>6130</v>
      </c>
      <c r="D2117" s="46" t="s">
        <v>6140</v>
      </c>
      <c r="E2117" s="1777" cm="1">
        <f t="array" ref="E2117">sch_print_copy_avemonthexp1</f>
        <v>1200</v>
      </c>
      <c r="F2117" s="46" t="b">
        <v>1</v>
      </c>
    </row>
    <row r="2118" spans="1:6">
      <c r="A2118" s="46" t="s">
        <v>6131</v>
      </c>
      <c r="B2118" s="46" t="s">
        <v>6099</v>
      </c>
      <c r="C2118" s="46" t="s">
        <v>6131</v>
      </c>
      <c r="D2118" s="46" t="s">
        <v>6141</v>
      </c>
      <c r="E2118" s="1777" cm="1">
        <f t="array" ref="E2118">sch_print_copy_avemonthexp2</f>
        <v>1200</v>
      </c>
      <c r="F2118" s="46" t="b">
        <v>1</v>
      </c>
    </row>
    <row r="2119" spans="1:6">
      <c r="A2119" s="46" t="s">
        <v>6132</v>
      </c>
      <c r="B2119" s="46" t="s">
        <v>6099</v>
      </c>
      <c r="C2119" s="46" t="s">
        <v>6132</v>
      </c>
      <c r="D2119" s="46" t="s">
        <v>6142</v>
      </c>
      <c r="E2119" s="1777" cm="1">
        <f t="array" ref="E2119">sch_print_copy_avemonthexp3</f>
        <v>1200</v>
      </c>
      <c r="F2119" s="46" t="b">
        <v>1</v>
      </c>
    </row>
    <row r="2120" spans="1:6">
      <c r="A2120" s="46" t="s">
        <v>6133</v>
      </c>
      <c r="B2120" s="46" t="s">
        <v>6099</v>
      </c>
      <c r="C2120" s="46" t="s">
        <v>6133</v>
      </c>
      <c r="D2120" s="46" t="s">
        <v>6143</v>
      </c>
      <c r="E2120" s="1777" cm="1">
        <f t="array" ref="E2120">sch_print_copy_avemonthexp4</f>
        <v>0</v>
      </c>
      <c r="F2120" s="46" t="b">
        <v>1</v>
      </c>
    </row>
    <row r="2121" spans="1:6">
      <c r="A2121" s="46" t="s">
        <v>6134</v>
      </c>
      <c r="B2121" s="46" t="s">
        <v>6099</v>
      </c>
      <c r="C2121" s="46" t="s">
        <v>6134</v>
      </c>
      <c r="D2121" s="46" t="s">
        <v>6144</v>
      </c>
      <c r="E2121" s="1777" cm="1">
        <f t="array" ref="E2121">sch_print_copy_avemonthexp5</f>
        <v>0</v>
      </c>
      <c r="F2121" s="46" t="b">
        <v>1</v>
      </c>
    </row>
    <row r="2122" spans="1:6">
      <c r="A2122" s="46" t="s">
        <v>6135</v>
      </c>
      <c r="B2122" s="46" t="s">
        <v>6099</v>
      </c>
      <c r="C2122" s="46" t="s">
        <v>6135</v>
      </c>
      <c r="D2122" s="46" t="s">
        <v>6145</v>
      </c>
      <c r="E2122" s="1777" cm="1">
        <f t="array" ref="E2122">sch_print_copy_avemonthexp6</f>
        <v>0</v>
      </c>
      <c r="F2122" s="46" t="b">
        <v>1</v>
      </c>
    </row>
    <row r="2123" spans="1:6">
      <c r="A2123" s="46" t="s">
        <v>6136</v>
      </c>
      <c r="B2123" s="46" t="s">
        <v>6099</v>
      </c>
      <c r="C2123" s="46" t="s">
        <v>6136</v>
      </c>
      <c r="D2123" s="46" t="s">
        <v>6146</v>
      </c>
      <c r="E2123" s="1777" cm="1">
        <f t="array" ref="E2123">sch_print_copy_avemonthexp7</f>
        <v>0</v>
      </c>
      <c r="F2123" s="46" t="b">
        <v>1</v>
      </c>
    </row>
    <row r="2124" spans="1:6">
      <c r="A2124" s="46" t="s">
        <v>6137</v>
      </c>
      <c r="B2124" s="46" t="s">
        <v>6099</v>
      </c>
      <c r="C2124" s="46" t="s">
        <v>6137</v>
      </c>
      <c r="D2124" s="46" t="s">
        <v>6147</v>
      </c>
      <c r="E2124" s="1777" cm="1">
        <f t="array" ref="E2124">sch_print_copy_avemonthexp8</f>
        <v>0</v>
      </c>
      <c r="F2124" s="46" t="b">
        <v>1</v>
      </c>
    </row>
    <row r="2125" spans="1:6">
      <c r="A2125" s="46" t="s">
        <v>6138</v>
      </c>
      <c r="B2125" s="46" t="s">
        <v>6099</v>
      </c>
      <c r="C2125" s="46" t="s">
        <v>6138</v>
      </c>
      <c r="D2125" s="46" t="s">
        <v>6148</v>
      </c>
      <c r="E2125" s="1777" cm="1">
        <f t="array" ref="E2125">sch_print_copy_avemonthexp9</f>
        <v>0</v>
      </c>
      <c r="F2125" s="46" t="b">
        <v>1</v>
      </c>
    </row>
    <row r="2126" spans="1:6">
      <c r="A2126" s="46" t="s">
        <v>6139</v>
      </c>
      <c r="B2126" s="46" t="s">
        <v>6099</v>
      </c>
      <c r="C2126" s="46" t="s">
        <v>6139</v>
      </c>
      <c r="D2126" s="46" t="s">
        <v>6149</v>
      </c>
      <c r="E2126" s="1777" cm="1">
        <f t="array" ref="E2126">sch_print_copy_avemonthexp10</f>
        <v>0</v>
      </c>
      <c r="F2126" s="46" t="b">
        <v>1</v>
      </c>
    </row>
    <row r="2127" spans="1:6">
      <c r="A2127" s="46" t="s">
        <v>6150</v>
      </c>
      <c r="B2127" s="46" t="s">
        <v>6099</v>
      </c>
      <c r="C2127" s="46" t="s">
        <v>6150</v>
      </c>
      <c r="D2127" s="46" t="s">
        <v>6160</v>
      </c>
      <c r="E2127" s="46" t="str">
        <f>VLOOKUP(combo_print_copy_fundingsource1, _ref_funding_source, 1, FALSE)</f>
        <v>MOOE</v>
      </c>
      <c r="F2127" s="46" t="b">
        <v>1</v>
      </c>
    </row>
    <row r="2128" spans="1:6">
      <c r="A2128" s="46" t="s">
        <v>6151</v>
      </c>
      <c r="B2128" s="46" t="s">
        <v>6099</v>
      </c>
      <c r="C2128" s="46" t="s">
        <v>6151</v>
      </c>
      <c r="D2128" s="46" t="s">
        <v>6161</v>
      </c>
      <c r="E2128" s="46" t="str">
        <f>VLOOKUP(combo_print_copy_fundingsource2, _ref_funding_source, 1, FALSE)</f>
        <v>MOOE</v>
      </c>
      <c r="F2128" s="46" t="b">
        <v>1</v>
      </c>
    </row>
    <row r="2129" spans="1:6">
      <c r="A2129" s="46" t="s">
        <v>6152</v>
      </c>
      <c r="B2129" s="46" t="s">
        <v>6099</v>
      </c>
      <c r="C2129" s="46" t="s">
        <v>6152</v>
      </c>
      <c r="D2129" s="46" t="s">
        <v>6162</v>
      </c>
      <c r="E2129" s="46" t="str">
        <f>VLOOKUP(combo_print_copy_fundingsource3, _ref_funding_source, 1, FALSE)</f>
        <v>MOOE</v>
      </c>
      <c r="F2129" s="46" t="b">
        <v>1</v>
      </c>
    </row>
    <row r="2130" spans="1:6">
      <c r="A2130" s="46" t="s">
        <v>6153</v>
      </c>
      <c r="B2130" s="46" t="s">
        <v>6099</v>
      </c>
      <c r="C2130" s="46" t="s">
        <v>6153</v>
      </c>
      <c r="D2130" s="46" t="s">
        <v>6163</v>
      </c>
      <c r="E2130" s="46" t="e">
        <f>VLOOKUP(combo_print_copy_fundingsource4, _ref_funding_source, 1, FALSE)</f>
        <v>#N/A</v>
      </c>
      <c r="F2130" s="46" t="b">
        <v>1</v>
      </c>
    </row>
    <row r="2131" spans="1:6">
      <c r="A2131" s="46" t="s">
        <v>6154</v>
      </c>
      <c r="B2131" s="46" t="s">
        <v>6099</v>
      </c>
      <c r="C2131" s="46" t="s">
        <v>6154</v>
      </c>
      <c r="D2131" s="46" t="s">
        <v>6164</v>
      </c>
      <c r="E2131" s="46" t="e">
        <f>VLOOKUP(combo_print_copy_fundingsource5, _ref_funding_source, 1, FALSE)</f>
        <v>#N/A</v>
      </c>
      <c r="F2131" s="46" t="b">
        <v>1</v>
      </c>
    </row>
    <row r="2132" spans="1:6">
      <c r="A2132" s="46" t="s">
        <v>6155</v>
      </c>
      <c r="B2132" s="46" t="s">
        <v>6099</v>
      </c>
      <c r="C2132" s="46" t="s">
        <v>6155</v>
      </c>
      <c r="D2132" s="46" t="s">
        <v>6165</v>
      </c>
      <c r="E2132" s="46" t="e">
        <f>VLOOKUP(combo_print_copy_fundingsource6, _ref_funding_source, 1, FALSE)</f>
        <v>#N/A</v>
      </c>
      <c r="F2132" s="46" t="b">
        <v>1</v>
      </c>
    </row>
    <row r="2133" spans="1:6">
      <c r="A2133" s="46" t="s">
        <v>6156</v>
      </c>
      <c r="B2133" s="46" t="s">
        <v>6099</v>
      </c>
      <c r="C2133" s="46" t="s">
        <v>6156</v>
      </c>
      <c r="D2133" s="46" t="s">
        <v>6166</v>
      </c>
      <c r="E2133" s="46" t="e">
        <f>VLOOKUP(combo_print_copy_fundingsource7, _ref_funding_source, 1, FALSE)</f>
        <v>#N/A</v>
      </c>
      <c r="F2133" s="46" t="b">
        <v>1</v>
      </c>
    </row>
    <row r="2134" spans="1:6">
      <c r="A2134" s="46" t="s">
        <v>6157</v>
      </c>
      <c r="B2134" s="46" t="s">
        <v>6099</v>
      </c>
      <c r="C2134" s="46" t="s">
        <v>6157</v>
      </c>
      <c r="D2134" s="46" t="s">
        <v>6167</v>
      </c>
      <c r="E2134" s="46" t="e">
        <f>VLOOKUP(combo_print_copy_fundingsource8, _ref_funding_source, 1, FALSE)</f>
        <v>#N/A</v>
      </c>
      <c r="F2134" s="46" t="b">
        <v>1</v>
      </c>
    </row>
    <row r="2135" spans="1:6">
      <c r="A2135" s="46" t="s">
        <v>6158</v>
      </c>
      <c r="B2135" s="46" t="s">
        <v>6099</v>
      </c>
      <c r="C2135" s="46" t="s">
        <v>6158</v>
      </c>
      <c r="D2135" s="46" t="s">
        <v>6168</v>
      </c>
      <c r="E2135" s="46" t="e">
        <f>VLOOKUP(combo_print_copy_fundingsource9, _ref_funding_source, 1, FALSE)</f>
        <v>#N/A</v>
      </c>
      <c r="F2135" s="46" t="b">
        <v>1</v>
      </c>
    </row>
    <row r="2136" spans="1:6">
      <c r="A2136" s="46" t="s">
        <v>6159</v>
      </c>
      <c r="B2136" s="46" t="s">
        <v>6099</v>
      </c>
      <c r="C2136" s="46" t="s">
        <v>6159</v>
      </c>
      <c r="D2136" s="46" t="s">
        <v>6169</v>
      </c>
      <c r="E2136" s="46" t="e">
        <f>VLOOKUP(combo_print_copy_fundingsource10, _ref_funding_source, 1, FALSE)</f>
        <v>#N/A</v>
      </c>
      <c r="F2136" s="46" t="b">
        <v>1</v>
      </c>
    </row>
    <row r="2137" spans="1:6">
      <c r="A2137" s="46" t="s">
        <v>6170</v>
      </c>
      <c r="B2137" s="46" t="s">
        <v>6099</v>
      </c>
      <c r="C2137" s="46" t="s">
        <v>6170</v>
      </c>
      <c r="D2137" s="46" t="s">
        <v>6180</v>
      </c>
      <c r="E2137" s="46" t="str">
        <f>VLOOKUP(combo_print_copy_purpose1, _ref_purpose, 1, FALSE)</f>
        <v>For both administrative &amp; classroom instruction use</v>
      </c>
      <c r="F2137" s="46" t="b">
        <v>1</v>
      </c>
    </row>
    <row r="2138" spans="1:6">
      <c r="A2138" s="46" t="s">
        <v>6171</v>
      </c>
      <c r="B2138" s="46" t="s">
        <v>6099</v>
      </c>
      <c r="C2138" s="46" t="s">
        <v>6171</v>
      </c>
      <c r="D2138" s="46" t="s">
        <v>6181</v>
      </c>
      <c r="E2138" s="46" t="str">
        <f>VLOOKUP(combo_print_copy_purpose2, _ref_purpose, 1, FALSE)</f>
        <v>For both administrative &amp; classroom instruction use</v>
      </c>
      <c r="F2138" s="46" t="b">
        <v>1</v>
      </c>
    </row>
    <row r="2139" spans="1:6">
      <c r="A2139" s="46" t="s">
        <v>6172</v>
      </c>
      <c r="B2139" s="46" t="s">
        <v>6099</v>
      </c>
      <c r="C2139" s="46" t="s">
        <v>6172</v>
      </c>
      <c r="D2139" s="46" t="s">
        <v>6182</v>
      </c>
      <c r="E2139" s="46" t="str">
        <f>VLOOKUP(combo_print_copy_purpose3, _ref_purpose, 1, FALSE)</f>
        <v>For both administrative &amp; classroom instruction use</v>
      </c>
      <c r="F2139" s="46" t="b">
        <v>1</v>
      </c>
    </row>
    <row r="2140" spans="1:6">
      <c r="A2140" s="46" t="s">
        <v>6173</v>
      </c>
      <c r="B2140" s="46" t="s">
        <v>6099</v>
      </c>
      <c r="C2140" s="46" t="s">
        <v>6173</v>
      </c>
      <c r="D2140" s="46" t="s">
        <v>6183</v>
      </c>
      <c r="E2140" s="46" t="e">
        <f>VLOOKUP(combo_print_copy_purpose4, _ref_purpose, 1, FALSE)</f>
        <v>#N/A</v>
      </c>
      <c r="F2140" s="46" t="b">
        <v>1</v>
      </c>
    </row>
    <row r="2141" spans="1:6">
      <c r="A2141" s="46" t="s">
        <v>6174</v>
      </c>
      <c r="B2141" s="46" t="s">
        <v>6099</v>
      </c>
      <c r="C2141" s="46" t="s">
        <v>6174</v>
      </c>
      <c r="D2141" s="46" t="s">
        <v>6184</v>
      </c>
      <c r="E2141" s="46" t="e">
        <f>VLOOKUP(combo_print_copy_purpose5, _ref_purpose, 1, FALSE)</f>
        <v>#N/A</v>
      </c>
      <c r="F2141" s="46" t="b">
        <v>1</v>
      </c>
    </row>
    <row r="2142" spans="1:6">
      <c r="A2142" s="46" t="s">
        <v>6175</v>
      </c>
      <c r="B2142" s="46" t="s">
        <v>6099</v>
      </c>
      <c r="C2142" s="46" t="s">
        <v>6175</v>
      </c>
      <c r="D2142" s="46" t="s">
        <v>6185</v>
      </c>
      <c r="E2142" s="46" t="e">
        <f>VLOOKUP(combo_print_copy_purpose6, _ref_purpose, 1, FALSE)</f>
        <v>#N/A</v>
      </c>
      <c r="F2142" s="46" t="b">
        <v>1</v>
      </c>
    </row>
    <row r="2143" spans="1:6">
      <c r="A2143" s="46" t="s">
        <v>6176</v>
      </c>
      <c r="B2143" s="46" t="s">
        <v>6099</v>
      </c>
      <c r="C2143" s="46" t="s">
        <v>6176</v>
      </c>
      <c r="D2143" s="46" t="s">
        <v>6186</v>
      </c>
      <c r="E2143" s="46" t="e">
        <f>VLOOKUP(combo_print_copy_purpose7, _ref_purpose, 1, FALSE)</f>
        <v>#N/A</v>
      </c>
      <c r="F2143" s="46" t="b">
        <v>1</v>
      </c>
    </row>
    <row r="2144" spans="1:6">
      <c r="A2144" s="46" t="s">
        <v>6177</v>
      </c>
      <c r="B2144" s="46" t="s">
        <v>6099</v>
      </c>
      <c r="C2144" s="46" t="s">
        <v>6177</v>
      </c>
      <c r="D2144" s="46" t="s">
        <v>6187</v>
      </c>
      <c r="E2144" s="46" t="e">
        <f>VLOOKUP(combo_print_copy_purpose8, _ref_purpose, 1, FALSE)</f>
        <v>#N/A</v>
      </c>
      <c r="F2144" s="46" t="b">
        <v>1</v>
      </c>
    </row>
    <row r="2145" spans="1:8">
      <c r="A2145" s="46" t="s">
        <v>6178</v>
      </c>
      <c r="B2145" s="46" t="s">
        <v>6099</v>
      </c>
      <c r="C2145" s="46" t="s">
        <v>6178</v>
      </c>
      <c r="D2145" s="46" t="s">
        <v>6188</v>
      </c>
      <c r="E2145" s="46" t="e">
        <f>VLOOKUP(combo_print_copy_purpose9, _ref_purpose, 1, FALSE)</f>
        <v>#N/A</v>
      </c>
      <c r="F2145" s="46" t="b">
        <v>1</v>
      </c>
    </row>
    <row r="2146" spans="1:8" ht="16.5" thickBot="1">
      <c r="A2146" s="479" t="s">
        <v>6179</v>
      </c>
      <c r="B2146" s="479" t="s">
        <v>6099</v>
      </c>
      <c r="C2146" s="479" t="s">
        <v>6179</v>
      </c>
      <c r="D2146" s="479" t="s">
        <v>6189</v>
      </c>
      <c r="E2146" s="479" t="e">
        <f>VLOOKUP(combo_print_copy_purpose10, _ref_purpose, 1, FALSE)</f>
        <v>#N/A</v>
      </c>
      <c r="F2146" s="479" t="b">
        <v>1</v>
      </c>
      <c r="G2146" s="479"/>
      <c r="H2146" s="479"/>
    </row>
    <row r="2147" spans="1:8" ht="16.5" thickTop="1">
      <c r="A2147" s="46" t="s">
        <v>6202</v>
      </c>
      <c r="B2147" s="46" t="s">
        <v>6192</v>
      </c>
      <c r="C2147" s="46" t="s">
        <v>6202</v>
      </c>
      <c r="D2147" s="46" t="s">
        <v>6193</v>
      </c>
      <c r="E2147" s="46" t="e">
        <f>VLOOKUP(combo_shs_broadcast_station_type1, _ref_broadcast_station,1,0)</f>
        <v>#N/A</v>
      </c>
      <c r="F2147" s="46" t="b">
        <v>1</v>
      </c>
    </row>
    <row r="2148" spans="1:8">
      <c r="A2148" s="46" t="s">
        <v>6203</v>
      </c>
      <c r="B2148" s="46" t="s">
        <v>6192</v>
      </c>
      <c r="C2148" s="46" t="s">
        <v>6203</v>
      </c>
      <c r="D2148" s="46" t="s">
        <v>6194</v>
      </c>
      <c r="E2148" s="46" t="e">
        <f>VLOOKUP(combo_shs_broadcast_station_type2, _ref_broadcast_station,1,0)</f>
        <v>#N/A</v>
      </c>
      <c r="F2148" s="46" t="b">
        <v>1</v>
      </c>
    </row>
    <row r="2149" spans="1:8">
      <c r="A2149" s="46" t="s">
        <v>6204</v>
      </c>
      <c r="B2149" s="46" t="s">
        <v>6192</v>
      </c>
      <c r="C2149" s="46" t="s">
        <v>6204</v>
      </c>
      <c r="D2149" s="46" t="s">
        <v>6195</v>
      </c>
      <c r="E2149" s="46" t="e">
        <f>VLOOKUP(combo_shs_broadcast_station_type3, _ref_broadcast_station,1,0)</f>
        <v>#N/A</v>
      </c>
      <c r="F2149" s="46" t="b">
        <v>1</v>
      </c>
    </row>
    <row r="2150" spans="1:8">
      <c r="A2150" s="46" t="s">
        <v>6205</v>
      </c>
      <c r="B2150" s="46" t="s">
        <v>6192</v>
      </c>
      <c r="C2150" s="46" t="s">
        <v>6205</v>
      </c>
      <c r="D2150" s="46" t="s">
        <v>6196</v>
      </c>
      <c r="E2150" s="46" t="e">
        <f>VLOOKUP(combo_shs_broadcast_station_type4, _ref_broadcast_station,1,0)</f>
        <v>#N/A</v>
      </c>
      <c r="F2150" s="46" t="b">
        <v>1</v>
      </c>
    </row>
    <row r="2151" spans="1:8">
      <c r="A2151" s="46" t="s">
        <v>6206</v>
      </c>
      <c r="B2151" s="46" t="s">
        <v>6192</v>
      </c>
      <c r="C2151" s="46" t="s">
        <v>6206</v>
      </c>
      <c r="D2151" s="46" t="s">
        <v>6197</v>
      </c>
      <c r="E2151" s="46" t="e">
        <f>VLOOKUP(combo_shs_broadcast_station_type5, _ref_broadcast_station,1,0)</f>
        <v>#N/A</v>
      </c>
      <c r="F2151" s="46" t="b">
        <v>1</v>
      </c>
    </row>
    <row r="2152" spans="1:8">
      <c r="A2152" s="46" t="s">
        <v>6207</v>
      </c>
      <c r="B2152" s="46" t="s">
        <v>6192</v>
      </c>
      <c r="C2152" s="46" t="s">
        <v>6207</v>
      </c>
      <c r="D2152" s="46" t="s">
        <v>6198</v>
      </c>
      <c r="E2152" s="46" t="e">
        <f>VLOOKUP(combo_shs_broadcast_station_type6, _ref_broadcast_station,1,0)</f>
        <v>#N/A</v>
      </c>
      <c r="F2152" s="46" t="b">
        <v>1</v>
      </c>
    </row>
    <row r="2153" spans="1:8">
      <c r="A2153" s="46" t="s">
        <v>6208</v>
      </c>
      <c r="B2153" s="46" t="s">
        <v>6192</v>
      </c>
      <c r="C2153" s="46" t="s">
        <v>6208</v>
      </c>
      <c r="D2153" s="46" t="s">
        <v>6199</v>
      </c>
      <c r="E2153" s="46" t="e">
        <f>VLOOKUP(combo_shs_broadcast_station_type7, _ref_broadcast_station,1,0)</f>
        <v>#N/A</v>
      </c>
      <c r="F2153" s="46" t="b">
        <v>1</v>
      </c>
    </row>
    <row r="2154" spans="1:8">
      <c r="A2154" s="46" t="s">
        <v>6209</v>
      </c>
      <c r="B2154" s="46" t="s">
        <v>6192</v>
      </c>
      <c r="C2154" s="46" t="s">
        <v>6209</v>
      </c>
      <c r="D2154" s="46" t="s">
        <v>6200</v>
      </c>
      <c r="E2154" s="46" t="e">
        <f>VLOOKUP(combo_shs_broadcast_station_type8, _ref_broadcast_station,1,0)</f>
        <v>#N/A</v>
      </c>
      <c r="F2154" s="46" t="b">
        <v>1</v>
      </c>
    </row>
    <row r="2155" spans="1:8">
      <c r="A2155" s="46" t="s">
        <v>6210</v>
      </c>
      <c r="B2155" s="46" t="s">
        <v>6192</v>
      </c>
      <c r="C2155" s="46" t="s">
        <v>6210</v>
      </c>
      <c r="D2155" s="46" t="s">
        <v>6201</v>
      </c>
      <c r="E2155" s="46" t="e">
        <f>VLOOKUP(combo_shs_broadcast_station_type9, _ref_broadcast_station,1,0)</f>
        <v>#N/A</v>
      </c>
      <c r="F2155" s="46" t="b">
        <v>1</v>
      </c>
    </row>
    <row r="2156" spans="1:8">
      <c r="A2156" s="46" t="s">
        <v>6211</v>
      </c>
      <c r="B2156" s="46" t="s">
        <v>6192</v>
      </c>
      <c r="C2156" s="46" t="s">
        <v>6211</v>
      </c>
      <c r="D2156" s="46" t="s">
        <v>6220</v>
      </c>
      <c r="E2156" s="46" t="str" cm="1">
        <f t="array" ref="E2156">shs_broadcast_station_name1</f>
        <v>Not Applicable</v>
      </c>
      <c r="F2156" s="46" t="b">
        <v>1</v>
      </c>
    </row>
    <row r="2157" spans="1:8">
      <c r="A2157" s="46" t="s">
        <v>6212</v>
      </c>
      <c r="B2157" s="46" t="s">
        <v>6192</v>
      </c>
      <c r="C2157" s="46" t="s">
        <v>6212</v>
      </c>
      <c r="D2157" s="46" t="s">
        <v>6221</v>
      </c>
      <c r="E2157" s="46" cm="1">
        <f t="array" ref="E2157">shs_broadcast_station_name2</f>
        <v>0</v>
      </c>
      <c r="F2157" s="46" t="b">
        <v>1</v>
      </c>
    </row>
    <row r="2158" spans="1:8">
      <c r="A2158" s="46" t="s">
        <v>6213</v>
      </c>
      <c r="B2158" s="46" t="s">
        <v>6192</v>
      </c>
      <c r="C2158" s="46" t="s">
        <v>6213</v>
      </c>
      <c r="D2158" s="46" t="s">
        <v>6222</v>
      </c>
      <c r="E2158" s="46" cm="1">
        <f t="array" ref="E2158">shs_broadcast_station_name3</f>
        <v>0</v>
      </c>
      <c r="F2158" s="46" t="b">
        <v>1</v>
      </c>
    </row>
    <row r="2159" spans="1:8">
      <c r="A2159" s="46" t="s">
        <v>6214</v>
      </c>
      <c r="B2159" s="46" t="s">
        <v>6192</v>
      </c>
      <c r="C2159" s="46" t="s">
        <v>6214</v>
      </c>
      <c r="D2159" s="46" t="s">
        <v>6223</v>
      </c>
      <c r="E2159" s="46" cm="1">
        <f t="array" ref="E2159">shs_broadcast_station_name4</f>
        <v>0</v>
      </c>
      <c r="F2159" s="46" t="b">
        <v>1</v>
      </c>
    </row>
    <row r="2160" spans="1:8">
      <c r="A2160" s="46" t="s">
        <v>6215</v>
      </c>
      <c r="B2160" s="46" t="s">
        <v>6192</v>
      </c>
      <c r="C2160" s="46" t="s">
        <v>6215</v>
      </c>
      <c r="D2160" s="46" t="s">
        <v>6224</v>
      </c>
      <c r="E2160" s="46" cm="1">
        <f t="array" ref="E2160">shs_broadcast_station_name5</f>
        <v>0</v>
      </c>
      <c r="F2160" s="46" t="b">
        <v>1</v>
      </c>
    </row>
    <row r="2161" spans="1:6">
      <c r="A2161" s="46" t="s">
        <v>6216</v>
      </c>
      <c r="B2161" s="46" t="s">
        <v>6192</v>
      </c>
      <c r="C2161" s="46" t="s">
        <v>6216</v>
      </c>
      <c r="D2161" s="46" t="s">
        <v>6225</v>
      </c>
      <c r="E2161" s="46" cm="1">
        <f t="array" ref="E2161">shs_broadcast_station_name6</f>
        <v>0</v>
      </c>
      <c r="F2161" s="46" t="b">
        <v>1</v>
      </c>
    </row>
    <row r="2162" spans="1:6">
      <c r="A2162" s="46" t="s">
        <v>6217</v>
      </c>
      <c r="B2162" s="46" t="s">
        <v>6192</v>
      </c>
      <c r="C2162" s="46" t="s">
        <v>6217</v>
      </c>
      <c r="D2162" s="46" t="s">
        <v>6226</v>
      </c>
      <c r="E2162" s="46" cm="1">
        <f t="array" ref="E2162">shs_broadcast_station_name7</f>
        <v>0</v>
      </c>
      <c r="F2162" s="46" t="b">
        <v>1</v>
      </c>
    </row>
    <row r="2163" spans="1:6">
      <c r="A2163" s="46" t="s">
        <v>6218</v>
      </c>
      <c r="B2163" s="46" t="s">
        <v>6192</v>
      </c>
      <c r="C2163" s="46" t="s">
        <v>6218</v>
      </c>
      <c r="D2163" s="46" t="s">
        <v>6227</v>
      </c>
      <c r="E2163" s="46" cm="1">
        <f t="array" ref="E2163">shs_broadcast_station_name8</f>
        <v>0</v>
      </c>
      <c r="F2163" s="46" t="b">
        <v>1</v>
      </c>
    </row>
    <row r="2164" spans="1:6">
      <c r="A2164" s="46" t="s">
        <v>6219</v>
      </c>
      <c r="B2164" s="46" t="s">
        <v>6192</v>
      </c>
      <c r="C2164" s="46" t="s">
        <v>6219</v>
      </c>
      <c r="D2164" s="46" t="s">
        <v>6228</v>
      </c>
      <c r="E2164" s="46" cm="1">
        <f t="array" ref="E2164">shs_broadcast_station_name9</f>
        <v>0</v>
      </c>
      <c r="F2164" s="46" t="b">
        <v>1</v>
      </c>
    </row>
    <row r="2165" spans="1:6">
      <c r="A2165" s="46" t="s">
        <v>6229</v>
      </c>
      <c r="B2165" s="46" t="s">
        <v>6192</v>
      </c>
      <c r="C2165" s="46" t="s">
        <v>6229</v>
      </c>
      <c r="D2165" s="46" t="s">
        <v>6238</v>
      </c>
      <c r="E2165" s="46" cm="1">
        <f t="array" ref="E2165">shs_broadcast_station_frequency1</f>
        <v>0</v>
      </c>
      <c r="F2165" s="46" t="b">
        <v>1</v>
      </c>
    </row>
    <row r="2166" spans="1:6">
      <c r="A2166" s="46" t="s">
        <v>6230</v>
      </c>
      <c r="B2166" s="46" t="s">
        <v>6192</v>
      </c>
      <c r="C2166" s="46" t="s">
        <v>6230</v>
      </c>
      <c r="D2166" s="46" t="s">
        <v>6239</v>
      </c>
      <c r="E2166" s="46" cm="1">
        <f t="array" ref="E2166">shs_broadcast_station_frequency2</f>
        <v>0</v>
      </c>
      <c r="F2166" s="46" t="b">
        <v>1</v>
      </c>
    </row>
    <row r="2167" spans="1:6">
      <c r="A2167" s="46" t="s">
        <v>6231</v>
      </c>
      <c r="B2167" s="46" t="s">
        <v>6192</v>
      </c>
      <c r="C2167" s="46" t="s">
        <v>6231</v>
      </c>
      <c r="D2167" s="46" t="s">
        <v>6240</v>
      </c>
      <c r="E2167" s="46" cm="1">
        <f t="array" ref="E2167">shs_broadcast_station_frequency3</f>
        <v>0</v>
      </c>
      <c r="F2167" s="46" t="b">
        <v>1</v>
      </c>
    </row>
    <row r="2168" spans="1:6">
      <c r="A2168" s="46" t="s">
        <v>6232</v>
      </c>
      <c r="B2168" s="46" t="s">
        <v>6192</v>
      </c>
      <c r="C2168" s="46" t="s">
        <v>6232</v>
      </c>
      <c r="D2168" s="46" t="s">
        <v>6241</v>
      </c>
      <c r="E2168" s="46" cm="1">
        <f t="array" ref="E2168">shs_broadcast_station_frequency4</f>
        <v>0</v>
      </c>
      <c r="F2168" s="46" t="b">
        <v>1</v>
      </c>
    </row>
    <row r="2169" spans="1:6">
      <c r="A2169" s="46" t="s">
        <v>6233</v>
      </c>
      <c r="B2169" s="46" t="s">
        <v>6192</v>
      </c>
      <c r="C2169" s="46" t="s">
        <v>6233</v>
      </c>
      <c r="D2169" s="46" t="s">
        <v>6242</v>
      </c>
      <c r="E2169" s="46" cm="1">
        <f t="array" ref="E2169">shs_broadcast_station_frequency5</f>
        <v>0</v>
      </c>
      <c r="F2169" s="46" t="b">
        <v>1</v>
      </c>
    </row>
    <row r="2170" spans="1:6">
      <c r="A2170" s="46" t="s">
        <v>6234</v>
      </c>
      <c r="B2170" s="46" t="s">
        <v>6192</v>
      </c>
      <c r="C2170" s="46" t="s">
        <v>6234</v>
      </c>
      <c r="D2170" s="46" t="s">
        <v>6243</v>
      </c>
      <c r="E2170" s="46" cm="1">
        <f t="array" ref="E2170">shs_broadcast_station_frequency6</f>
        <v>0</v>
      </c>
      <c r="F2170" s="46" t="b">
        <v>1</v>
      </c>
    </row>
    <row r="2171" spans="1:6">
      <c r="A2171" s="46" t="s">
        <v>6235</v>
      </c>
      <c r="B2171" s="46" t="s">
        <v>6192</v>
      </c>
      <c r="C2171" s="46" t="s">
        <v>6235</v>
      </c>
      <c r="D2171" s="46" t="s">
        <v>6244</v>
      </c>
      <c r="E2171" s="46" cm="1">
        <f t="array" ref="E2171">shs_broadcast_station_frequency7</f>
        <v>0</v>
      </c>
      <c r="F2171" s="46" t="b">
        <v>1</v>
      </c>
    </row>
    <row r="2172" spans="1:6">
      <c r="A2172" s="46" t="s">
        <v>6236</v>
      </c>
      <c r="B2172" s="46" t="s">
        <v>6192</v>
      </c>
      <c r="C2172" s="46" t="s">
        <v>6236</v>
      </c>
      <c r="D2172" s="46" t="s">
        <v>6245</v>
      </c>
      <c r="E2172" s="46" cm="1">
        <f t="array" ref="E2172">shs_broadcast_station_frequency8</f>
        <v>0</v>
      </c>
      <c r="F2172" s="46" t="b">
        <v>1</v>
      </c>
    </row>
    <row r="2173" spans="1:6">
      <c r="A2173" s="46" t="s">
        <v>6237</v>
      </c>
      <c r="B2173" s="46" t="s">
        <v>6192</v>
      </c>
      <c r="C2173" s="46" t="s">
        <v>6237</v>
      </c>
      <c r="D2173" s="46" t="s">
        <v>6246</v>
      </c>
      <c r="E2173" s="46" cm="1">
        <f t="array" ref="E2173">shs_broadcast_station_frequency9</f>
        <v>0</v>
      </c>
      <c r="F2173" s="46" t="b">
        <v>1</v>
      </c>
    </row>
    <row r="2174" spans="1:6">
      <c r="A2174" s="46" t="s">
        <v>6310</v>
      </c>
      <c r="B2174" s="46" t="s">
        <v>6192</v>
      </c>
      <c r="C2174" s="46" t="s">
        <v>6310</v>
      </c>
      <c r="D2174" s="46" t="s">
        <v>6247</v>
      </c>
      <c r="E2174" s="46" cm="1">
        <f t="array" ref="E2174">shs_broadcast_station_ntc_lic1</f>
        <v>0</v>
      </c>
      <c r="F2174" s="46" t="b">
        <v>1</v>
      </c>
    </row>
    <row r="2175" spans="1:6">
      <c r="A2175" s="46" t="s">
        <v>6311</v>
      </c>
      <c r="B2175" s="46" t="s">
        <v>6192</v>
      </c>
      <c r="C2175" s="46" t="s">
        <v>6311</v>
      </c>
      <c r="D2175" s="46" t="s">
        <v>6248</v>
      </c>
      <c r="E2175" s="46" cm="1">
        <f t="array" ref="E2175">shs_broadcast_station_ntc_lic2</f>
        <v>0</v>
      </c>
      <c r="F2175" s="46" t="b">
        <v>1</v>
      </c>
    </row>
    <row r="2176" spans="1:6">
      <c r="A2176" s="46" t="s">
        <v>6312</v>
      </c>
      <c r="B2176" s="46" t="s">
        <v>6192</v>
      </c>
      <c r="C2176" s="46" t="s">
        <v>6312</v>
      </c>
      <c r="D2176" s="46" t="s">
        <v>6249</v>
      </c>
      <c r="E2176" s="46" cm="1">
        <f t="array" ref="E2176">shs_broadcast_station_ntc_lic3</f>
        <v>0</v>
      </c>
      <c r="F2176" s="46" t="b">
        <v>1</v>
      </c>
    </row>
    <row r="2177" spans="1:6">
      <c r="A2177" s="46" t="s">
        <v>6313</v>
      </c>
      <c r="B2177" s="46" t="s">
        <v>6192</v>
      </c>
      <c r="C2177" s="46" t="s">
        <v>6313</v>
      </c>
      <c r="D2177" s="46" t="s">
        <v>6250</v>
      </c>
      <c r="E2177" s="46" cm="1">
        <f t="array" ref="E2177">shs_broadcast_station_ntc_lic4</f>
        <v>0</v>
      </c>
      <c r="F2177" s="46" t="b">
        <v>1</v>
      </c>
    </row>
    <row r="2178" spans="1:6">
      <c r="A2178" s="46" t="s">
        <v>6314</v>
      </c>
      <c r="B2178" s="46" t="s">
        <v>6192</v>
      </c>
      <c r="C2178" s="46" t="s">
        <v>6314</v>
      </c>
      <c r="D2178" s="46" t="s">
        <v>6251</v>
      </c>
      <c r="E2178" s="46" cm="1">
        <f t="array" ref="E2178">shs_broadcast_station_ntc_lic5</f>
        <v>0</v>
      </c>
      <c r="F2178" s="46" t="b">
        <v>1</v>
      </c>
    </row>
    <row r="2179" spans="1:6">
      <c r="A2179" s="46" t="s">
        <v>6315</v>
      </c>
      <c r="B2179" s="46" t="s">
        <v>6192</v>
      </c>
      <c r="C2179" s="46" t="s">
        <v>6315</v>
      </c>
      <c r="D2179" s="46" t="s">
        <v>6252</v>
      </c>
      <c r="E2179" s="46" cm="1">
        <f t="array" ref="E2179">shs_broadcast_station_ntc_lic6</f>
        <v>0</v>
      </c>
      <c r="F2179" s="46" t="b">
        <v>1</v>
      </c>
    </row>
    <row r="2180" spans="1:6">
      <c r="A2180" s="46" t="s">
        <v>6316</v>
      </c>
      <c r="B2180" s="46" t="s">
        <v>6192</v>
      </c>
      <c r="C2180" s="46" t="s">
        <v>6316</v>
      </c>
      <c r="D2180" s="46" t="s">
        <v>6253</v>
      </c>
      <c r="E2180" s="46" cm="1">
        <f t="array" ref="E2180">shs_broadcast_station_ntc_lic7</f>
        <v>0</v>
      </c>
      <c r="F2180" s="46" t="b">
        <v>1</v>
      </c>
    </row>
    <row r="2181" spans="1:6">
      <c r="A2181" s="46" t="s">
        <v>6317</v>
      </c>
      <c r="B2181" s="46" t="s">
        <v>6192</v>
      </c>
      <c r="C2181" s="46" t="s">
        <v>6317</v>
      </c>
      <c r="D2181" s="46" t="s">
        <v>6254</v>
      </c>
      <c r="E2181" s="46" cm="1">
        <f t="array" ref="E2181">shs_broadcast_station_ntc_lic8</f>
        <v>0</v>
      </c>
      <c r="F2181" s="46" t="b">
        <v>1</v>
      </c>
    </row>
    <row r="2182" spans="1:6">
      <c r="A2182" s="46" t="s">
        <v>6318</v>
      </c>
      <c r="B2182" s="46" t="s">
        <v>6192</v>
      </c>
      <c r="C2182" s="46" t="s">
        <v>6318</v>
      </c>
      <c r="D2182" s="46" t="s">
        <v>6255</v>
      </c>
      <c r="E2182" s="46" cm="1">
        <f t="array" ref="E2182">shs_broadcast_station_ntc_lic9</f>
        <v>0</v>
      </c>
      <c r="F2182" s="46" t="b">
        <v>1</v>
      </c>
    </row>
    <row r="2183" spans="1:6">
      <c r="A2183" s="46" t="s">
        <v>6319</v>
      </c>
      <c r="B2183" s="46" t="s">
        <v>6192</v>
      </c>
      <c r="C2183" s="46" t="s">
        <v>6319</v>
      </c>
      <c r="D2183" s="46" t="s">
        <v>6256</v>
      </c>
      <c r="E2183" s="46" cm="1">
        <f t="array" ref="E2183">shs_broadcast_station_owner_name1</f>
        <v>0</v>
      </c>
      <c r="F2183" s="46" t="b">
        <v>1</v>
      </c>
    </row>
    <row r="2184" spans="1:6">
      <c r="A2184" s="46" t="s">
        <v>6320</v>
      </c>
      <c r="B2184" s="46" t="s">
        <v>6192</v>
      </c>
      <c r="C2184" s="46" t="s">
        <v>6320</v>
      </c>
      <c r="D2184" s="46" t="s">
        <v>6257</v>
      </c>
      <c r="E2184" s="46" cm="1">
        <f t="array" ref="E2184">shs_broadcast_station_owner_name2</f>
        <v>0</v>
      </c>
      <c r="F2184" s="46" t="b">
        <v>1</v>
      </c>
    </row>
    <row r="2185" spans="1:6">
      <c r="A2185" s="46" t="s">
        <v>6321</v>
      </c>
      <c r="B2185" s="46" t="s">
        <v>6192</v>
      </c>
      <c r="C2185" s="46" t="s">
        <v>6321</v>
      </c>
      <c r="D2185" s="46" t="s">
        <v>6258</v>
      </c>
      <c r="E2185" s="46" cm="1">
        <f t="array" ref="E2185">shs_broadcast_station_owner_name3</f>
        <v>0</v>
      </c>
      <c r="F2185" s="46" t="b">
        <v>1</v>
      </c>
    </row>
    <row r="2186" spans="1:6">
      <c r="A2186" s="46" t="s">
        <v>6322</v>
      </c>
      <c r="B2186" s="46" t="s">
        <v>6192</v>
      </c>
      <c r="C2186" s="46" t="s">
        <v>6322</v>
      </c>
      <c r="D2186" s="46" t="s">
        <v>6259</v>
      </c>
      <c r="E2186" s="46" cm="1">
        <f t="array" ref="E2186">shs_broadcast_station_owner_name4</f>
        <v>0</v>
      </c>
      <c r="F2186" s="46" t="b">
        <v>1</v>
      </c>
    </row>
    <row r="2187" spans="1:6">
      <c r="A2187" s="46" t="s">
        <v>6323</v>
      </c>
      <c r="B2187" s="46" t="s">
        <v>6192</v>
      </c>
      <c r="C2187" s="46" t="s">
        <v>6323</v>
      </c>
      <c r="D2187" s="46" t="s">
        <v>6260</v>
      </c>
      <c r="E2187" s="46" cm="1">
        <f t="array" ref="E2187">shs_broadcast_station_owner_name5</f>
        <v>0</v>
      </c>
      <c r="F2187" s="46" t="b">
        <v>1</v>
      </c>
    </row>
    <row r="2188" spans="1:6">
      <c r="A2188" s="46" t="s">
        <v>6324</v>
      </c>
      <c r="B2188" s="46" t="s">
        <v>6192</v>
      </c>
      <c r="C2188" s="46" t="s">
        <v>6324</v>
      </c>
      <c r="D2188" s="46" t="s">
        <v>6261</v>
      </c>
      <c r="E2188" s="46" cm="1">
        <f t="array" ref="E2188">shs_broadcast_station_owner_name6</f>
        <v>0</v>
      </c>
      <c r="F2188" s="46" t="b">
        <v>1</v>
      </c>
    </row>
    <row r="2189" spans="1:6">
      <c r="A2189" s="46" t="s">
        <v>6325</v>
      </c>
      <c r="B2189" s="46" t="s">
        <v>6192</v>
      </c>
      <c r="C2189" s="46" t="s">
        <v>6325</v>
      </c>
      <c r="D2189" s="46" t="s">
        <v>6262</v>
      </c>
      <c r="E2189" s="46" cm="1">
        <f t="array" ref="E2189">shs_broadcast_station_owner_name7</f>
        <v>0</v>
      </c>
      <c r="F2189" s="46" t="b">
        <v>1</v>
      </c>
    </row>
    <row r="2190" spans="1:6">
      <c r="A2190" s="46" t="s">
        <v>6326</v>
      </c>
      <c r="B2190" s="46" t="s">
        <v>6192</v>
      </c>
      <c r="C2190" s="46" t="s">
        <v>6326</v>
      </c>
      <c r="D2190" s="46" t="s">
        <v>6263</v>
      </c>
      <c r="E2190" s="46" cm="1">
        <f t="array" ref="E2190">shs_broadcast_station_owner_name8</f>
        <v>0</v>
      </c>
      <c r="F2190" s="46" t="b">
        <v>1</v>
      </c>
    </row>
    <row r="2191" spans="1:6">
      <c r="A2191" s="46" t="s">
        <v>6327</v>
      </c>
      <c r="B2191" s="46" t="s">
        <v>6192</v>
      </c>
      <c r="C2191" s="46" t="s">
        <v>6327</v>
      </c>
      <c r="D2191" s="46" t="s">
        <v>6264</v>
      </c>
      <c r="E2191" s="46" cm="1">
        <f t="array" ref="E2191">shs_broadcast_station_owner_name9</f>
        <v>0</v>
      </c>
      <c r="F2191" s="46" t="b">
        <v>1</v>
      </c>
    </row>
    <row r="2192" spans="1:6">
      <c r="A2192" s="46" t="s">
        <v>6328</v>
      </c>
      <c r="B2192" s="46" t="s">
        <v>6192</v>
      </c>
      <c r="C2192" s="46" t="s">
        <v>6328</v>
      </c>
      <c r="D2192" s="46" t="s">
        <v>6265</v>
      </c>
      <c r="E2192" s="46" t="e">
        <f>VLOOKUP(shs_broadcast_station_part_status1, _ref_stat_partnership, 1, FALSE)</f>
        <v>#N/A</v>
      </c>
      <c r="F2192" s="46" t="b">
        <v>1</v>
      </c>
    </row>
    <row r="2193" spans="1:6">
      <c r="A2193" s="46" t="s">
        <v>6329</v>
      </c>
      <c r="B2193" s="46" t="s">
        <v>6192</v>
      </c>
      <c r="C2193" s="46" t="s">
        <v>6329</v>
      </c>
      <c r="D2193" s="46" t="s">
        <v>6266</v>
      </c>
      <c r="E2193" s="46" t="e">
        <f>VLOOKUP(shs_broadcast_station_part_status2, _ref_stat_partnership, 1, FALSE)</f>
        <v>#N/A</v>
      </c>
      <c r="F2193" s="46" t="b">
        <v>1</v>
      </c>
    </row>
    <row r="2194" spans="1:6">
      <c r="A2194" s="46" t="s">
        <v>6330</v>
      </c>
      <c r="B2194" s="46" t="s">
        <v>6192</v>
      </c>
      <c r="C2194" s="46" t="s">
        <v>6330</v>
      </c>
      <c r="D2194" s="46" t="s">
        <v>6267</v>
      </c>
      <c r="E2194" s="46" t="e">
        <f>VLOOKUP(shs_broadcast_station_part_status3, _ref_stat_partnership, 2, FALSE)</f>
        <v>#N/A</v>
      </c>
      <c r="F2194" s="46" t="b">
        <v>1</v>
      </c>
    </row>
    <row r="2195" spans="1:6">
      <c r="A2195" s="46" t="s">
        <v>6331</v>
      </c>
      <c r="B2195" s="46" t="s">
        <v>6192</v>
      </c>
      <c r="C2195" s="46" t="s">
        <v>6331</v>
      </c>
      <c r="D2195" s="46" t="s">
        <v>6268</v>
      </c>
      <c r="E2195" s="46" t="e">
        <f>VLOOKUP(shs_broadcast_station_part_status4, _ref_stat_partnership, 2, FALSE)</f>
        <v>#N/A</v>
      </c>
      <c r="F2195" s="46" t="b">
        <v>1</v>
      </c>
    </row>
    <row r="2196" spans="1:6">
      <c r="A2196" s="46" t="s">
        <v>6332</v>
      </c>
      <c r="B2196" s="46" t="s">
        <v>6192</v>
      </c>
      <c r="C2196" s="46" t="s">
        <v>6332</v>
      </c>
      <c r="D2196" s="46" t="s">
        <v>6269</v>
      </c>
      <c r="E2196" s="46" t="e">
        <f>VLOOKUP(shs_broadcast_station_part_status5, _ref_stat_partnership, 2, FALSE)</f>
        <v>#N/A</v>
      </c>
      <c r="F2196" s="46" t="b">
        <v>1</v>
      </c>
    </row>
    <row r="2197" spans="1:6">
      <c r="A2197" s="46" t="s">
        <v>6333</v>
      </c>
      <c r="B2197" s="46" t="s">
        <v>6192</v>
      </c>
      <c r="C2197" s="46" t="s">
        <v>6333</v>
      </c>
      <c r="D2197" s="46" t="s">
        <v>6270</v>
      </c>
      <c r="E2197" s="46" t="e">
        <f>VLOOKUP(shs_broadcast_station_part_status5, _ref_stat_partnership, 2, FALSE)</f>
        <v>#N/A</v>
      </c>
      <c r="F2197" s="46" t="b">
        <v>1</v>
      </c>
    </row>
    <row r="2198" spans="1:6">
      <c r="A2198" s="46" t="s">
        <v>6334</v>
      </c>
      <c r="B2198" s="46" t="s">
        <v>6192</v>
      </c>
      <c r="C2198" s="46" t="s">
        <v>6334</v>
      </c>
      <c r="D2198" s="46" t="s">
        <v>6271</v>
      </c>
      <c r="E2198" s="46" t="e">
        <f>VLOOKUP(shs_broadcast_station_part_status7, _ref_stat_partnership, 2, FALSE)</f>
        <v>#N/A</v>
      </c>
      <c r="F2198" s="46" t="b">
        <v>1</v>
      </c>
    </row>
    <row r="2199" spans="1:6">
      <c r="A2199" s="46" t="s">
        <v>6335</v>
      </c>
      <c r="B2199" s="46" t="s">
        <v>6192</v>
      </c>
      <c r="C2199" s="46" t="s">
        <v>6335</v>
      </c>
      <c r="D2199" s="46" t="s">
        <v>6272</v>
      </c>
      <c r="E2199" s="46" t="e">
        <f>VLOOKUP(shs_broadcast_station_part_status8, _ref_stat_partnership, 2, FALSE)</f>
        <v>#N/A</v>
      </c>
      <c r="F2199" s="46" t="b">
        <v>1</v>
      </c>
    </row>
    <row r="2200" spans="1:6">
      <c r="A2200" s="46" t="s">
        <v>6336</v>
      </c>
      <c r="B2200" s="46" t="s">
        <v>6192</v>
      </c>
      <c r="C2200" s="46" t="s">
        <v>6336</v>
      </c>
      <c r="D2200" s="46" t="s">
        <v>6273</v>
      </c>
      <c r="E2200" s="46" t="e">
        <f>VLOOKUP(shs_broadcast_station_part_status9, _ref_stat_partnership, 2, FALSE)</f>
        <v>#N/A</v>
      </c>
      <c r="F2200" s="46" t="b">
        <v>1</v>
      </c>
    </row>
    <row r="2201" spans="1:6">
      <c r="A2201" s="46" t="s">
        <v>6337</v>
      </c>
      <c r="B2201" s="46" t="s">
        <v>6192</v>
      </c>
      <c r="C2201" s="46" t="s">
        <v>6337</v>
      </c>
      <c r="D2201" s="46" t="s">
        <v>6274</v>
      </c>
      <c r="E2201" s="1761" cm="1">
        <f t="array" ref="E2201">shs_broadcast_station_broadcast_start1</f>
        <v>0</v>
      </c>
      <c r="F2201" s="46" t="b">
        <v>1</v>
      </c>
    </row>
    <row r="2202" spans="1:6">
      <c r="A2202" s="46" t="s">
        <v>6338</v>
      </c>
      <c r="B2202" s="46" t="s">
        <v>6192</v>
      </c>
      <c r="C2202" s="46" t="s">
        <v>6338</v>
      </c>
      <c r="D2202" s="46" t="s">
        <v>6275</v>
      </c>
      <c r="E2202" s="1761" cm="1">
        <f t="array" ref="E2202">shs_broadcast_station_broadcast_start2</f>
        <v>0</v>
      </c>
      <c r="F2202" s="46" t="b">
        <v>1</v>
      </c>
    </row>
    <row r="2203" spans="1:6">
      <c r="A2203" s="46" t="s">
        <v>6339</v>
      </c>
      <c r="B2203" s="46" t="s">
        <v>6192</v>
      </c>
      <c r="C2203" s="46" t="s">
        <v>6339</v>
      </c>
      <c r="D2203" s="46" t="s">
        <v>6276</v>
      </c>
      <c r="E2203" s="1761" cm="1">
        <f t="array" ref="E2203">shs_broadcast_station_broadcast_start3</f>
        <v>0</v>
      </c>
      <c r="F2203" s="46" t="b">
        <v>1</v>
      </c>
    </row>
    <row r="2204" spans="1:6">
      <c r="A2204" s="46" t="s">
        <v>6340</v>
      </c>
      <c r="B2204" s="46" t="s">
        <v>6192</v>
      </c>
      <c r="C2204" s="46" t="s">
        <v>6340</v>
      </c>
      <c r="D2204" s="46" t="s">
        <v>6277</v>
      </c>
      <c r="E2204" s="1761" cm="1">
        <f t="array" ref="E2204">shs_broadcast_station_broadcast_start4</f>
        <v>0</v>
      </c>
      <c r="F2204" s="46" t="b">
        <v>1</v>
      </c>
    </row>
    <row r="2205" spans="1:6">
      <c r="A2205" s="46" t="s">
        <v>6341</v>
      </c>
      <c r="B2205" s="46" t="s">
        <v>6192</v>
      </c>
      <c r="C2205" s="46" t="s">
        <v>6341</v>
      </c>
      <c r="D2205" s="46" t="s">
        <v>6278</v>
      </c>
      <c r="E2205" s="1761" cm="1">
        <f t="array" ref="E2205">shs_broadcast_station_broadcast_start5</f>
        <v>0</v>
      </c>
      <c r="F2205" s="46" t="b">
        <v>1</v>
      </c>
    </row>
    <row r="2206" spans="1:6">
      <c r="A2206" s="46" t="s">
        <v>6342</v>
      </c>
      <c r="B2206" s="46" t="s">
        <v>6192</v>
      </c>
      <c r="C2206" s="46" t="s">
        <v>6342</v>
      </c>
      <c r="D2206" s="46" t="s">
        <v>6279</v>
      </c>
      <c r="E2206" s="1761" cm="1">
        <f t="array" ref="E2206">shs_broadcast_station_broadcast_start6</f>
        <v>0</v>
      </c>
      <c r="F2206" s="46" t="b">
        <v>1</v>
      </c>
    </row>
    <row r="2207" spans="1:6">
      <c r="A2207" s="46" t="s">
        <v>6343</v>
      </c>
      <c r="B2207" s="46" t="s">
        <v>6192</v>
      </c>
      <c r="C2207" s="46" t="s">
        <v>6343</v>
      </c>
      <c r="D2207" s="46" t="s">
        <v>6280</v>
      </c>
      <c r="E2207" s="1761" cm="1">
        <f t="array" ref="E2207">shs_broadcast_station_broadcast_start7</f>
        <v>0</v>
      </c>
      <c r="F2207" s="46" t="b">
        <v>1</v>
      </c>
    </row>
    <row r="2208" spans="1:6">
      <c r="A2208" s="46" t="s">
        <v>6344</v>
      </c>
      <c r="B2208" s="46" t="s">
        <v>6192</v>
      </c>
      <c r="C2208" s="46" t="s">
        <v>6344</v>
      </c>
      <c r="D2208" s="46" t="s">
        <v>6281</v>
      </c>
      <c r="E2208" s="1761" cm="1">
        <f t="array" ref="E2208">shs_broadcast_station_broadcast_start8</f>
        <v>0</v>
      </c>
      <c r="F2208" s="46" t="b">
        <v>1</v>
      </c>
    </row>
    <row r="2209" spans="1:6">
      <c r="A2209" s="46" t="s">
        <v>6345</v>
      </c>
      <c r="B2209" s="46" t="s">
        <v>6192</v>
      </c>
      <c r="C2209" s="46" t="s">
        <v>6345</v>
      </c>
      <c r="D2209" s="46" t="s">
        <v>6282</v>
      </c>
      <c r="E2209" s="1761" cm="1">
        <f t="array" ref="E2209">shs_broadcast_station_broadcast_start9</f>
        <v>0</v>
      </c>
      <c r="F2209" s="46" t="b">
        <v>1</v>
      </c>
    </row>
    <row r="2210" spans="1:6">
      <c r="A2210" s="46" t="s">
        <v>6346</v>
      </c>
      <c r="B2210" s="46" t="s">
        <v>6192</v>
      </c>
      <c r="C2210" s="46" t="s">
        <v>6346</v>
      </c>
      <c r="D2210" s="46" t="s">
        <v>6283</v>
      </c>
      <c r="E2210" s="46" cm="1">
        <f t="array" ref="E2210">shs_broadcast_station_tel_cell1</f>
        <v>0</v>
      </c>
      <c r="F2210" s="46" t="b">
        <v>1</v>
      </c>
    </row>
    <row r="2211" spans="1:6">
      <c r="A2211" s="46" t="s">
        <v>6347</v>
      </c>
      <c r="B2211" s="46" t="s">
        <v>6192</v>
      </c>
      <c r="C2211" s="46" t="s">
        <v>6347</v>
      </c>
      <c r="D2211" s="46" t="s">
        <v>6284</v>
      </c>
      <c r="E2211" s="46" cm="1">
        <f t="array" ref="E2211">shs_broadcast_station_tel_cell2</f>
        <v>0</v>
      </c>
      <c r="F2211" s="46" t="b">
        <v>1</v>
      </c>
    </row>
    <row r="2212" spans="1:6">
      <c r="A2212" s="46" t="s">
        <v>6348</v>
      </c>
      <c r="B2212" s="46" t="s">
        <v>6192</v>
      </c>
      <c r="C2212" s="46" t="s">
        <v>6348</v>
      </c>
      <c r="D2212" s="46" t="s">
        <v>6285</v>
      </c>
      <c r="E2212" s="46" cm="1">
        <f t="array" ref="E2212">shs_broadcast_station_tel_cell3</f>
        <v>0</v>
      </c>
      <c r="F2212" s="46" t="b">
        <v>1</v>
      </c>
    </row>
    <row r="2213" spans="1:6">
      <c r="A2213" s="46" t="s">
        <v>6349</v>
      </c>
      <c r="B2213" s="46" t="s">
        <v>6192</v>
      </c>
      <c r="C2213" s="46" t="s">
        <v>6349</v>
      </c>
      <c r="D2213" s="46" t="s">
        <v>6286</v>
      </c>
      <c r="E2213" s="46" cm="1">
        <f t="array" ref="E2213">shs_broadcast_station_tel_cell4</f>
        <v>0</v>
      </c>
      <c r="F2213" s="46" t="b">
        <v>1</v>
      </c>
    </row>
    <row r="2214" spans="1:6">
      <c r="A2214" s="46" t="s">
        <v>6350</v>
      </c>
      <c r="B2214" s="46" t="s">
        <v>6192</v>
      </c>
      <c r="C2214" s="46" t="s">
        <v>6350</v>
      </c>
      <c r="D2214" s="46" t="s">
        <v>6287</v>
      </c>
      <c r="E2214" s="46" cm="1">
        <f t="array" ref="E2214">shs_broadcast_station_tel_cell5</f>
        <v>0</v>
      </c>
      <c r="F2214" s="46" t="b">
        <v>1</v>
      </c>
    </row>
    <row r="2215" spans="1:6">
      <c r="A2215" s="46" t="s">
        <v>6351</v>
      </c>
      <c r="B2215" s="46" t="s">
        <v>6192</v>
      </c>
      <c r="C2215" s="46" t="s">
        <v>6351</v>
      </c>
      <c r="D2215" s="46" t="s">
        <v>6288</v>
      </c>
      <c r="E2215" s="46" cm="1">
        <f t="array" ref="E2215">shs_broadcast_station_tel_cell6</f>
        <v>0</v>
      </c>
      <c r="F2215" s="46" t="b">
        <v>1</v>
      </c>
    </row>
    <row r="2216" spans="1:6">
      <c r="A2216" s="46" t="s">
        <v>6352</v>
      </c>
      <c r="B2216" s="46" t="s">
        <v>6192</v>
      </c>
      <c r="C2216" s="46" t="s">
        <v>6352</v>
      </c>
      <c r="D2216" s="46" t="s">
        <v>6289</v>
      </c>
      <c r="E2216" s="46" cm="1">
        <f t="array" ref="E2216">shs_broadcast_station_tel_cell7</f>
        <v>0</v>
      </c>
      <c r="F2216" s="46" t="b">
        <v>1</v>
      </c>
    </row>
    <row r="2217" spans="1:6">
      <c r="A2217" s="46" t="s">
        <v>6353</v>
      </c>
      <c r="B2217" s="46" t="s">
        <v>6192</v>
      </c>
      <c r="C2217" s="46" t="s">
        <v>6353</v>
      </c>
      <c r="D2217" s="46" t="s">
        <v>6290</v>
      </c>
      <c r="E2217" s="46" cm="1">
        <f t="array" ref="E2217">shs_broadcast_station_tel_cell8</f>
        <v>0</v>
      </c>
      <c r="F2217" s="46" t="b">
        <v>1</v>
      </c>
    </row>
    <row r="2218" spans="1:6">
      <c r="A2218" s="46" t="s">
        <v>6354</v>
      </c>
      <c r="B2218" s="46" t="s">
        <v>6192</v>
      </c>
      <c r="C2218" s="46" t="s">
        <v>6354</v>
      </c>
      <c r="D2218" s="46" t="s">
        <v>6291</v>
      </c>
      <c r="E2218" s="46" cm="1">
        <f t="array" ref="E2218">shs_broadcast_station_tel_cell9</f>
        <v>0</v>
      </c>
      <c r="F2218" s="46" t="b">
        <v>1</v>
      </c>
    </row>
    <row r="2219" spans="1:6">
      <c r="A2219" s="46" t="s">
        <v>6355</v>
      </c>
      <c r="B2219" s="46" t="s">
        <v>6192</v>
      </c>
      <c r="C2219" s="46" t="s">
        <v>6355</v>
      </c>
      <c r="D2219" s="46" t="s">
        <v>6292</v>
      </c>
      <c r="E2219" s="46" cm="1">
        <f t="array" ref="E2219">shs_broadcast_station_add1</f>
        <v>0</v>
      </c>
      <c r="F2219" s="46" t="b">
        <v>1</v>
      </c>
    </row>
    <row r="2220" spans="1:6">
      <c r="A2220" s="46" t="s">
        <v>6356</v>
      </c>
      <c r="B2220" s="46" t="s">
        <v>6192</v>
      </c>
      <c r="C2220" s="46" t="s">
        <v>6356</v>
      </c>
      <c r="D2220" s="46" t="s">
        <v>6293</v>
      </c>
      <c r="E2220" s="46" cm="1">
        <f t="array" ref="E2220">shs_broadcast_station_add2</f>
        <v>0</v>
      </c>
      <c r="F2220" s="46" t="b">
        <v>1</v>
      </c>
    </row>
    <row r="2221" spans="1:6">
      <c r="A2221" s="46" t="s">
        <v>6357</v>
      </c>
      <c r="B2221" s="46" t="s">
        <v>6192</v>
      </c>
      <c r="C2221" s="46" t="s">
        <v>6357</v>
      </c>
      <c r="D2221" s="46" t="s">
        <v>6294</v>
      </c>
      <c r="E2221" s="46" cm="1">
        <f t="array" ref="E2221">shs_broadcast_station_add3</f>
        <v>0</v>
      </c>
      <c r="F2221" s="46" t="b">
        <v>1</v>
      </c>
    </row>
    <row r="2222" spans="1:6">
      <c r="A2222" s="46" t="s">
        <v>6358</v>
      </c>
      <c r="B2222" s="46" t="s">
        <v>6192</v>
      </c>
      <c r="C2222" s="46" t="s">
        <v>6358</v>
      </c>
      <c r="D2222" s="46" t="s">
        <v>6295</v>
      </c>
      <c r="E2222" s="46" cm="1">
        <f t="array" ref="E2222">shs_broadcast_station_add4</f>
        <v>0</v>
      </c>
      <c r="F2222" s="46" t="b">
        <v>1</v>
      </c>
    </row>
    <row r="2223" spans="1:6">
      <c r="A2223" s="46" t="s">
        <v>6359</v>
      </c>
      <c r="B2223" s="46" t="s">
        <v>6192</v>
      </c>
      <c r="C2223" s="46" t="s">
        <v>6359</v>
      </c>
      <c r="D2223" s="46" t="s">
        <v>6296</v>
      </c>
      <c r="E2223" s="46" cm="1">
        <f t="array" ref="E2223">shs_broadcast_station_add5</f>
        <v>0</v>
      </c>
      <c r="F2223" s="46" t="b">
        <v>1</v>
      </c>
    </row>
    <row r="2224" spans="1:6">
      <c r="A2224" s="46" t="s">
        <v>6360</v>
      </c>
      <c r="B2224" s="46" t="s">
        <v>6192</v>
      </c>
      <c r="C2224" s="46" t="s">
        <v>6360</v>
      </c>
      <c r="D2224" s="46" t="s">
        <v>6297</v>
      </c>
      <c r="E2224" s="46" cm="1">
        <f t="array" ref="E2224">shs_broadcast_station_add6</f>
        <v>0</v>
      </c>
      <c r="F2224" s="46" t="b">
        <v>1</v>
      </c>
    </row>
    <row r="2225" spans="1:8">
      <c r="A2225" s="46" t="s">
        <v>6361</v>
      </c>
      <c r="B2225" s="46" t="s">
        <v>6192</v>
      </c>
      <c r="C2225" s="46" t="s">
        <v>6361</v>
      </c>
      <c r="D2225" s="46" t="s">
        <v>6298</v>
      </c>
      <c r="E2225" s="46" cm="1">
        <f t="array" ref="E2225">shs_broadcast_station_add7</f>
        <v>0</v>
      </c>
      <c r="F2225" s="46" t="b">
        <v>1</v>
      </c>
    </row>
    <row r="2226" spans="1:8">
      <c r="A2226" s="46" t="s">
        <v>6362</v>
      </c>
      <c r="B2226" s="46" t="s">
        <v>6192</v>
      </c>
      <c r="C2226" s="46" t="s">
        <v>6362</v>
      </c>
      <c r="D2226" s="46" t="s">
        <v>6299</v>
      </c>
      <c r="E2226" s="46" cm="1">
        <f t="array" ref="E2226">shs_broadcast_station_add8</f>
        <v>0</v>
      </c>
      <c r="F2226" s="46" t="b">
        <v>1</v>
      </c>
    </row>
    <row r="2227" spans="1:8">
      <c r="A2227" s="46" t="s">
        <v>6363</v>
      </c>
      <c r="B2227" s="46" t="s">
        <v>6192</v>
      </c>
      <c r="C2227" s="46" t="s">
        <v>6363</v>
      </c>
      <c r="D2227" s="46" t="s">
        <v>6300</v>
      </c>
      <c r="E2227" s="46" cm="1">
        <f t="array" ref="E2227">shs_broadcast_station_add9</f>
        <v>0</v>
      </c>
      <c r="F2227" s="46" t="b">
        <v>1</v>
      </c>
    </row>
    <row r="2228" spans="1:8">
      <c r="A2228" s="46" t="s">
        <v>6364</v>
      </c>
      <c r="B2228" s="46" t="s">
        <v>6192</v>
      </c>
      <c r="C2228" s="46" t="s">
        <v>6364</v>
      </c>
      <c r="D2228" s="46" t="s">
        <v>6301</v>
      </c>
      <c r="E2228" s="46" cm="1">
        <f t="array" ref="E2228">shs_broadcast_station_e_add1</f>
        <v>0</v>
      </c>
      <c r="F2228" s="46" t="b">
        <v>1</v>
      </c>
    </row>
    <row r="2229" spans="1:8">
      <c r="A2229" s="46" t="s">
        <v>6365</v>
      </c>
      <c r="B2229" s="46" t="s">
        <v>6192</v>
      </c>
      <c r="C2229" s="46" t="s">
        <v>6365</v>
      </c>
      <c r="D2229" s="46" t="s">
        <v>6302</v>
      </c>
      <c r="E2229" s="46" cm="1">
        <f t="array" ref="E2229">shs_broadcast_station_e_add2</f>
        <v>0</v>
      </c>
      <c r="F2229" s="46" t="b">
        <v>1</v>
      </c>
    </row>
    <row r="2230" spans="1:8">
      <c r="A2230" s="46" t="s">
        <v>6366</v>
      </c>
      <c r="B2230" s="46" t="s">
        <v>6192</v>
      </c>
      <c r="C2230" s="46" t="s">
        <v>6366</v>
      </c>
      <c r="D2230" s="46" t="s">
        <v>6303</v>
      </c>
      <c r="E2230" s="46" cm="1">
        <f t="array" ref="E2230">shs_broadcast_station_e_add3</f>
        <v>0</v>
      </c>
      <c r="F2230" s="46" t="b">
        <v>1</v>
      </c>
    </row>
    <row r="2231" spans="1:8">
      <c r="A2231" s="46" t="s">
        <v>6367</v>
      </c>
      <c r="B2231" s="46" t="s">
        <v>6192</v>
      </c>
      <c r="C2231" s="46" t="s">
        <v>6367</v>
      </c>
      <c r="D2231" s="46" t="s">
        <v>6304</v>
      </c>
      <c r="E2231" s="46" cm="1">
        <f t="array" ref="E2231">shs_broadcast_station_e_add4</f>
        <v>0</v>
      </c>
      <c r="F2231" s="46" t="b">
        <v>1</v>
      </c>
    </row>
    <row r="2232" spans="1:8">
      <c r="A2232" s="46" t="s">
        <v>6368</v>
      </c>
      <c r="B2232" s="46" t="s">
        <v>6192</v>
      </c>
      <c r="C2232" s="46" t="s">
        <v>6368</v>
      </c>
      <c r="D2232" s="46" t="s">
        <v>6305</v>
      </c>
      <c r="E2232" s="46" cm="1">
        <f t="array" ref="E2232">shs_broadcast_station_e_add5</f>
        <v>0</v>
      </c>
      <c r="F2232" s="46" t="b">
        <v>1</v>
      </c>
    </row>
    <row r="2233" spans="1:8">
      <c r="A2233" s="46" t="s">
        <v>6369</v>
      </c>
      <c r="B2233" s="46" t="s">
        <v>6192</v>
      </c>
      <c r="C2233" s="46" t="s">
        <v>6369</v>
      </c>
      <c r="D2233" s="46" t="s">
        <v>6306</v>
      </c>
      <c r="E2233" s="46" cm="1">
        <f t="array" ref="E2233">shs_broadcast_station_e_add6</f>
        <v>0</v>
      </c>
      <c r="F2233" s="46" t="b">
        <v>1</v>
      </c>
    </row>
    <row r="2234" spans="1:8">
      <c r="A2234" s="46" t="s">
        <v>6370</v>
      </c>
      <c r="B2234" s="46" t="s">
        <v>6192</v>
      </c>
      <c r="C2234" s="46" t="s">
        <v>6370</v>
      </c>
      <c r="D2234" s="46" t="s">
        <v>6307</v>
      </c>
      <c r="E2234" s="46" cm="1">
        <f t="array" ref="E2234">shs_broadcast_station_e_add7</f>
        <v>0</v>
      </c>
      <c r="F2234" s="46" t="b">
        <v>1</v>
      </c>
    </row>
    <row r="2235" spans="1:8">
      <c r="A2235" s="46" t="s">
        <v>6371</v>
      </c>
      <c r="B2235" s="46" t="s">
        <v>6192</v>
      </c>
      <c r="C2235" s="46" t="s">
        <v>6371</v>
      </c>
      <c r="D2235" s="46" t="s">
        <v>6308</v>
      </c>
      <c r="E2235" s="46" cm="1">
        <f t="array" ref="E2235">shs_broadcast_station_e_add8</f>
        <v>0</v>
      </c>
      <c r="F2235" s="46" t="b">
        <v>1</v>
      </c>
    </row>
    <row r="2236" spans="1:8" ht="16.5" thickBot="1">
      <c r="A2236" s="479" t="s">
        <v>6372</v>
      </c>
      <c r="B2236" s="479" t="s">
        <v>6192</v>
      </c>
      <c r="C2236" s="479" t="s">
        <v>6372</v>
      </c>
      <c r="D2236" s="479" t="s">
        <v>6309</v>
      </c>
      <c r="E2236" s="479" cm="1">
        <f t="array" ref="E2236">shs_broadcast_station_e_add9</f>
        <v>0</v>
      </c>
      <c r="F2236" s="479" t="b">
        <v>1</v>
      </c>
      <c r="G2236" s="479"/>
      <c r="H2236" s="479"/>
    </row>
    <row r="2237" spans="1:8" ht="16.5" thickTop="1">
      <c r="A2237" s="46" t="s">
        <v>6393</v>
      </c>
      <c r="B2237" s="46" t="s">
        <v>6472</v>
      </c>
      <c r="C2237" s="46" t="s">
        <v>6393</v>
      </c>
      <c r="D2237" s="46" t="s">
        <v>6422</v>
      </c>
      <c r="E2237" s="46" t="e">
        <f>VLOOKUP(combo_sch_shs_radio_type1, _ref_type_radio, 1, FALSE)</f>
        <v>#N/A</v>
      </c>
      <c r="F2237" s="46" t="b">
        <v>1</v>
      </c>
    </row>
    <row r="2238" spans="1:8">
      <c r="A2238" s="46" t="s">
        <v>6394</v>
      </c>
      <c r="B2238" s="46" t="s">
        <v>6472</v>
      </c>
      <c r="C2238" s="46" t="s">
        <v>6394</v>
      </c>
      <c r="D2238" s="46" t="s">
        <v>6423</v>
      </c>
      <c r="E2238" s="46" t="e">
        <f>VLOOKUP(combo_sch_shs_radio_type2, _ref_type_radio, 1, FALSE)</f>
        <v>#N/A</v>
      </c>
      <c r="F2238" s="46" t="b">
        <v>1</v>
      </c>
    </row>
    <row r="2239" spans="1:8">
      <c r="A2239" s="46" t="s">
        <v>6395</v>
      </c>
      <c r="B2239" s="46" t="s">
        <v>6472</v>
      </c>
      <c r="C2239" s="46" t="s">
        <v>6395</v>
      </c>
      <c r="D2239" s="46" t="s">
        <v>6424</v>
      </c>
      <c r="E2239" s="46" t="e">
        <f>VLOOKUP(combo_sch_shs_radio_type3, _ref_type_radio, 1, FALSE)</f>
        <v>#N/A</v>
      </c>
      <c r="F2239" s="46" t="b">
        <v>1</v>
      </c>
    </row>
    <row r="2240" spans="1:8">
      <c r="A2240" s="46" t="s">
        <v>6396</v>
      </c>
      <c r="B2240" s="46" t="s">
        <v>6472</v>
      </c>
      <c r="C2240" s="46" t="s">
        <v>6396</v>
      </c>
      <c r="D2240" s="46" t="s">
        <v>6425</v>
      </c>
      <c r="E2240" s="46" t="e">
        <f>VLOOKUP(combo_sch_shs_radio_type4, _ref_type_radio, 1, FALSE)</f>
        <v>#N/A</v>
      </c>
      <c r="F2240" s="46" t="b">
        <v>1</v>
      </c>
    </row>
    <row r="2241" spans="1:6">
      <c r="A2241" s="46" t="s">
        <v>6397</v>
      </c>
      <c r="B2241" s="46" t="s">
        <v>6472</v>
      </c>
      <c r="C2241" s="46" t="s">
        <v>6397</v>
      </c>
      <c r="D2241" s="46" t="s">
        <v>6426</v>
      </c>
      <c r="E2241" s="46" t="e">
        <f>VLOOKUP(combo_sch_shs_radio_type5, _ref_type_radio, 1, FALSE)</f>
        <v>#N/A</v>
      </c>
      <c r="F2241" s="46" t="b">
        <v>1</v>
      </c>
    </row>
    <row r="2242" spans="1:6">
      <c r="A2242" s="46" t="s">
        <v>6398</v>
      </c>
      <c r="B2242" s="46" t="s">
        <v>6472</v>
      </c>
      <c r="C2242" s="46" t="s">
        <v>6398</v>
      </c>
      <c r="D2242" s="46" t="s">
        <v>6427</v>
      </c>
      <c r="E2242" s="46" t="e">
        <f>VLOOKUP(combo_sch_shs_radio_type6, _ref_type_radio, 1, FALSE)</f>
        <v>#N/A</v>
      </c>
      <c r="F2242" s="46" t="b">
        <v>1</v>
      </c>
    </row>
    <row r="2243" spans="1:6">
      <c r="A2243" s="46" t="s">
        <v>6399</v>
      </c>
      <c r="B2243" s="46" t="s">
        <v>6472</v>
      </c>
      <c r="C2243" s="46" t="s">
        <v>6399</v>
      </c>
      <c r="D2243" s="46" t="s">
        <v>6428</v>
      </c>
      <c r="E2243" s="46" t="e">
        <f>VLOOKUP(combo_sch_shs_radio_type7, _ref_type_radio, 1, FALSE)</f>
        <v>#N/A</v>
      </c>
      <c r="F2243" s="46" t="b">
        <v>1</v>
      </c>
    </row>
    <row r="2244" spans="1:6">
      <c r="A2244" s="46" t="s">
        <v>6400</v>
      </c>
      <c r="B2244" s="46" t="s">
        <v>6472</v>
      </c>
      <c r="C2244" s="46" t="s">
        <v>6400</v>
      </c>
      <c r="D2244" s="46" t="s">
        <v>6429</v>
      </c>
      <c r="E2244" s="46" t="e">
        <f>VLOOKUP(combo_sch_shs_radio_type8, _ref_type_radio, 1, FALSE)</f>
        <v>#N/A</v>
      </c>
      <c r="F2244" s="46" t="b">
        <v>1</v>
      </c>
    </row>
    <row r="2245" spans="1:6">
      <c r="A2245" s="46" t="s">
        <v>6401</v>
      </c>
      <c r="B2245" s="46" t="s">
        <v>6472</v>
      </c>
      <c r="C2245" s="46" t="s">
        <v>6401</v>
      </c>
      <c r="D2245" s="46" t="s">
        <v>6430</v>
      </c>
      <c r="E2245" s="46" t="e">
        <f>VLOOKUP(combo_sch_shs_radio_type9, _ref_type_radio, 1, FALSE)</f>
        <v>#N/A</v>
      </c>
      <c r="F2245" s="46" t="b">
        <v>1</v>
      </c>
    </row>
    <row r="2246" spans="1:6">
      <c r="A2246" s="46" t="s">
        <v>6473</v>
      </c>
      <c r="B2246" s="46" t="s">
        <v>6472</v>
      </c>
      <c r="C2246" s="46" t="s">
        <v>6473</v>
      </c>
      <c r="D2246" s="46" t="s">
        <v>6431</v>
      </c>
      <c r="E2246" s="46" t="e">
        <f>VLOOKUP(combo_sch_shs_radio_type10, _ref_type_radio, 1, FALSE)</f>
        <v>#N/A</v>
      </c>
      <c r="F2246" s="46" t="b">
        <v>1</v>
      </c>
    </row>
    <row r="2247" spans="1:6">
      <c r="A2247" s="46" t="s">
        <v>6373</v>
      </c>
      <c r="B2247" s="46" t="s">
        <v>6472</v>
      </c>
      <c r="C2247" s="46" t="s">
        <v>6373</v>
      </c>
      <c r="D2247" s="46" t="s">
        <v>6432</v>
      </c>
      <c r="E2247" s="46" t="e">
        <f>VLOOKUP(sch_shs_radio_purpose1, _ref_purpose, 1, FALSE)</f>
        <v>#N/A</v>
      </c>
      <c r="F2247" s="46" t="b">
        <v>1</v>
      </c>
    </row>
    <row r="2248" spans="1:6">
      <c r="A2248" s="46" t="s">
        <v>6374</v>
      </c>
      <c r="B2248" s="46" t="s">
        <v>6472</v>
      </c>
      <c r="C2248" s="46" t="s">
        <v>6374</v>
      </c>
      <c r="D2248" s="46" t="s">
        <v>6433</v>
      </c>
      <c r="E2248" s="46" t="e">
        <f>VLOOKUP(sch_shs_radio_purpose2, _ref_purpose, 1, FALSE)</f>
        <v>#N/A</v>
      </c>
      <c r="F2248" s="46" t="b">
        <v>1</v>
      </c>
    </row>
    <row r="2249" spans="1:6">
      <c r="A2249" s="46" t="s">
        <v>6375</v>
      </c>
      <c r="B2249" s="46" t="s">
        <v>6472</v>
      </c>
      <c r="C2249" s="46" t="s">
        <v>6375</v>
      </c>
      <c r="D2249" s="46" t="s">
        <v>6434</v>
      </c>
      <c r="E2249" s="46" t="e">
        <f>VLOOKUP(sch_shs_radio_purpose3, _ref_purpose, 1, FALSE)</f>
        <v>#N/A</v>
      </c>
      <c r="F2249" s="46" t="b">
        <v>1</v>
      </c>
    </row>
    <row r="2250" spans="1:6">
      <c r="A2250" s="46" t="s">
        <v>6376</v>
      </c>
      <c r="B2250" s="46" t="s">
        <v>6472</v>
      </c>
      <c r="C2250" s="46" t="s">
        <v>6376</v>
      </c>
      <c r="D2250" s="46" t="s">
        <v>6435</v>
      </c>
      <c r="E2250" s="46" t="e">
        <f>VLOOKUP(sch_shs_radio_purpose4, _ref_purpose, 1, FALSE)</f>
        <v>#N/A</v>
      </c>
      <c r="F2250" s="46" t="b">
        <v>1</v>
      </c>
    </row>
    <row r="2251" spans="1:6">
      <c r="A2251" s="46" t="s">
        <v>6377</v>
      </c>
      <c r="B2251" s="46" t="s">
        <v>6472</v>
      </c>
      <c r="C2251" s="46" t="s">
        <v>6377</v>
      </c>
      <c r="D2251" s="46" t="s">
        <v>6436</v>
      </c>
      <c r="E2251" s="46" t="e">
        <f>VLOOKUP(sch_shs_radio_purpose5, _ref_purpose, 1, FALSE)</f>
        <v>#N/A</v>
      </c>
      <c r="F2251" s="46" t="b">
        <v>1</v>
      </c>
    </row>
    <row r="2252" spans="1:6">
      <c r="A2252" s="46" t="s">
        <v>6378</v>
      </c>
      <c r="B2252" s="46" t="s">
        <v>6472</v>
      </c>
      <c r="C2252" s="46" t="s">
        <v>6378</v>
      </c>
      <c r="D2252" s="46" t="s">
        <v>6437</v>
      </c>
      <c r="E2252" s="46" t="e">
        <f>VLOOKUP(sch_shs_radio_purpose6, _ref_purpose, 1, FALSE)</f>
        <v>#N/A</v>
      </c>
      <c r="F2252" s="46" t="b">
        <v>1</v>
      </c>
    </row>
    <row r="2253" spans="1:6">
      <c r="A2253" s="46" t="s">
        <v>6379</v>
      </c>
      <c r="B2253" s="46" t="s">
        <v>6472</v>
      </c>
      <c r="C2253" s="46" t="s">
        <v>6379</v>
      </c>
      <c r="D2253" s="46" t="s">
        <v>6438</v>
      </c>
      <c r="E2253" s="46" t="e">
        <f>VLOOKUP(sch_shs_radio_purpose7, _ref_purpose, 1, FALSE)</f>
        <v>#N/A</v>
      </c>
      <c r="F2253" s="46" t="b">
        <v>1</v>
      </c>
    </row>
    <row r="2254" spans="1:6">
      <c r="A2254" s="46" t="s">
        <v>6380</v>
      </c>
      <c r="B2254" s="46" t="s">
        <v>6472</v>
      </c>
      <c r="C2254" s="46" t="s">
        <v>6380</v>
      </c>
      <c r="D2254" s="46" t="s">
        <v>6439</v>
      </c>
      <c r="E2254" s="46" t="e">
        <f>VLOOKUP(sch_shs_radio_purpose8, _ref_purpose, 1, FALSE)</f>
        <v>#N/A</v>
      </c>
      <c r="F2254" s="46" t="b">
        <v>1</v>
      </c>
    </row>
    <row r="2255" spans="1:6">
      <c r="A2255" s="46" t="s">
        <v>6381</v>
      </c>
      <c r="B2255" s="46" t="s">
        <v>6472</v>
      </c>
      <c r="C2255" s="46" t="s">
        <v>6381</v>
      </c>
      <c r="D2255" s="46" t="s">
        <v>6440</v>
      </c>
      <c r="E2255" s="46" t="e">
        <f>VLOOKUP(sch_shs_radio_purpose9, _ref_purpose, 1, FALSE)</f>
        <v>#N/A</v>
      </c>
      <c r="F2255" s="46" t="b">
        <v>1</v>
      </c>
    </row>
    <row r="2256" spans="1:6">
      <c r="A2256" s="46" t="s">
        <v>6382</v>
      </c>
      <c r="B2256" s="46" t="s">
        <v>6472</v>
      </c>
      <c r="C2256" s="46" t="s">
        <v>6382</v>
      </c>
      <c r="D2256" s="46" t="s">
        <v>6441</v>
      </c>
      <c r="E2256" s="46" t="e">
        <f>VLOOKUP(sch_shs_radio_purpose10, _ref_purpose, 1, FALSE)</f>
        <v>#N/A</v>
      </c>
      <c r="F2256" s="46" t="b">
        <v>1</v>
      </c>
    </row>
    <row r="2257" spans="1:6">
      <c r="A2257" s="46" t="s">
        <v>6383</v>
      </c>
      <c r="B2257" s="46" t="s">
        <v>6472</v>
      </c>
      <c r="C2257" s="46" t="s">
        <v>6383</v>
      </c>
      <c r="D2257" s="46" t="s">
        <v>6442</v>
      </c>
      <c r="E2257" s="46" t="str" cm="1">
        <f t="array" ref="E2257">sch_shs_radio_frequency1</f>
        <v>Not Applicable</v>
      </c>
      <c r="F2257" s="46" t="b">
        <v>1</v>
      </c>
    </row>
    <row r="2258" spans="1:6">
      <c r="A2258" s="46" t="s">
        <v>6384</v>
      </c>
      <c r="B2258" s="46" t="s">
        <v>6472</v>
      </c>
      <c r="C2258" s="46" t="s">
        <v>6384</v>
      </c>
      <c r="D2258" s="46" t="s">
        <v>6443</v>
      </c>
      <c r="E2258" s="46" cm="1">
        <f t="array" ref="E2258">sch_shs_radio_frequency2</f>
        <v>0</v>
      </c>
      <c r="F2258" s="46" t="b">
        <v>1</v>
      </c>
    </row>
    <row r="2259" spans="1:6">
      <c r="A2259" s="46" t="s">
        <v>6385</v>
      </c>
      <c r="B2259" s="46" t="s">
        <v>6472</v>
      </c>
      <c r="C2259" s="46" t="s">
        <v>6385</v>
      </c>
      <c r="D2259" s="46" t="s">
        <v>6444</v>
      </c>
      <c r="E2259" s="46" cm="1">
        <f t="array" ref="E2259">sch_shs_radio_frequency3</f>
        <v>0</v>
      </c>
      <c r="F2259" s="46" t="b">
        <v>1</v>
      </c>
    </row>
    <row r="2260" spans="1:6">
      <c r="A2260" s="46" t="s">
        <v>6386</v>
      </c>
      <c r="B2260" s="46" t="s">
        <v>6472</v>
      </c>
      <c r="C2260" s="46" t="s">
        <v>6386</v>
      </c>
      <c r="D2260" s="46" t="s">
        <v>6445</v>
      </c>
      <c r="E2260" s="46" cm="1">
        <f t="array" ref="E2260">sch_shs_radio_frequency4</f>
        <v>0</v>
      </c>
      <c r="F2260" s="46" t="b">
        <v>1</v>
      </c>
    </row>
    <row r="2261" spans="1:6">
      <c r="A2261" s="46" t="s">
        <v>6387</v>
      </c>
      <c r="B2261" s="46" t="s">
        <v>6472</v>
      </c>
      <c r="C2261" s="46" t="s">
        <v>6387</v>
      </c>
      <c r="D2261" s="46" t="s">
        <v>6446</v>
      </c>
      <c r="E2261" s="46" cm="1">
        <f t="array" ref="E2261">sch_shs_radio_frequency5</f>
        <v>0</v>
      </c>
      <c r="F2261" s="46" t="b">
        <v>1</v>
      </c>
    </row>
    <row r="2262" spans="1:6">
      <c r="A2262" s="46" t="s">
        <v>6388</v>
      </c>
      <c r="B2262" s="46" t="s">
        <v>6472</v>
      </c>
      <c r="C2262" s="46" t="s">
        <v>6388</v>
      </c>
      <c r="D2262" s="46" t="s">
        <v>6447</v>
      </c>
      <c r="E2262" s="46" cm="1">
        <f t="array" ref="E2262">sch_shs_radio_frequency6</f>
        <v>0</v>
      </c>
      <c r="F2262" s="46" t="b">
        <v>1</v>
      </c>
    </row>
    <row r="2263" spans="1:6">
      <c r="A2263" s="46" t="s">
        <v>6389</v>
      </c>
      <c r="B2263" s="46" t="s">
        <v>6472</v>
      </c>
      <c r="C2263" s="46" t="s">
        <v>6389</v>
      </c>
      <c r="D2263" s="46" t="s">
        <v>6448</v>
      </c>
      <c r="E2263" s="46" cm="1">
        <f t="array" ref="E2263">sch_shs_radio_frequency7</f>
        <v>0</v>
      </c>
      <c r="F2263" s="46" t="b">
        <v>1</v>
      </c>
    </row>
    <row r="2264" spans="1:6">
      <c r="A2264" s="46" t="s">
        <v>6390</v>
      </c>
      <c r="B2264" s="46" t="s">
        <v>6472</v>
      </c>
      <c r="C2264" s="46" t="s">
        <v>6390</v>
      </c>
      <c r="D2264" s="46" t="s">
        <v>6449</v>
      </c>
      <c r="E2264" s="46" cm="1">
        <f t="array" ref="E2264">sch_shs_radio_frequency8</f>
        <v>0</v>
      </c>
      <c r="F2264" s="46" t="b">
        <v>1</v>
      </c>
    </row>
    <row r="2265" spans="1:6">
      <c r="A2265" s="46" t="s">
        <v>6391</v>
      </c>
      <c r="B2265" s="46" t="s">
        <v>6472</v>
      </c>
      <c r="C2265" s="46" t="s">
        <v>6391</v>
      </c>
      <c r="D2265" s="46" t="s">
        <v>6450</v>
      </c>
      <c r="E2265" s="46" cm="1">
        <f t="array" ref="E2265">sch_shs_radio_frequency9</f>
        <v>0</v>
      </c>
      <c r="F2265" s="46" t="b">
        <v>1</v>
      </c>
    </row>
    <row r="2266" spans="1:6">
      <c r="A2266" s="46" t="s">
        <v>6392</v>
      </c>
      <c r="B2266" s="46" t="s">
        <v>6472</v>
      </c>
      <c r="C2266" s="46" t="s">
        <v>6392</v>
      </c>
      <c r="D2266" s="46" t="s">
        <v>6451</v>
      </c>
      <c r="E2266" s="46" cm="1">
        <f t="array" ref="E2266">sch_shs_radio_frequency10</f>
        <v>0</v>
      </c>
      <c r="F2266" s="46" t="b">
        <v>1</v>
      </c>
    </row>
    <row r="2267" spans="1:6">
      <c r="A2267" s="46" t="s">
        <v>6402</v>
      </c>
      <c r="B2267" s="46" t="s">
        <v>6472</v>
      </c>
      <c r="C2267" s="46" t="s">
        <v>6402</v>
      </c>
      <c r="D2267" s="46" t="s">
        <v>6452</v>
      </c>
      <c r="E2267" s="46" cm="1">
        <f t="array" ref="E2267">sch_shs_radio_ntc_lic1</f>
        <v>0</v>
      </c>
      <c r="F2267" s="46" t="b">
        <v>1</v>
      </c>
    </row>
    <row r="2268" spans="1:6">
      <c r="A2268" s="46" t="s">
        <v>6403</v>
      </c>
      <c r="B2268" s="46" t="s">
        <v>6472</v>
      </c>
      <c r="C2268" s="46" t="s">
        <v>6403</v>
      </c>
      <c r="D2268" s="46" t="s">
        <v>6453</v>
      </c>
      <c r="E2268" s="46" cm="1">
        <f t="array" ref="E2268">sch_shs_radio_ntc_lic2</f>
        <v>0</v>
      </c>
      <c r="F2268" s="46" t="b">
        <v>1</v>
      </c>
    </row>
    <row r="2269" spans="1:6">
      <c r="A2269" s="46" t="s">
        <v>6404</v>
      </c>
      <c r="B2269" s="46" t="s">
        <v>6472</v>
      </c>
      <c r="C2269" s="46" t="s">
        <v>6404</v>
      </c>
      <c r="D2269" s="46" t="s">
        <v>6454</v>
      </c>
      <c r="E2269" s="46" cm="1">
        <f t="array" ref="E2269">sch_shs_radio_ntc_lic3</f>
        <v>0</v>
      </c>
      <c r="F2269" s="46" t="b">
        <v>1</v>
      </c>
    </row>
    <row r="2270" spans="1:6">
      <c r="A2270" s="46" t="s">
        <v>6405</v>
      </c>
      <c r="B2270" s="46" t="s">
        <v>6472</v>
      </c>
      <c r="C2270" s="46" t="s">
        <v>6405</v>
      </c>
      <c r="D2270" s="46" t="s">
        <v>6455</v>
      </c>
      <c r="E2270" s="46" cm="1">
        <f t="array" ref="E2270">sch_shs_radio_ntc_lic4</f>
        <v>0</v>
      </c>
      <c r="F2270" s="46" t="b">
        <v>1</v>
      </c>
    </row>
    <row r="2271" spans="1:6">
      <c r="A2271" s="46" t="s">
        <v>6406</v>
      </c>
      <c r="B2271" s="46" t="s">
        <v>6472</v>
      </c>
      <c r="C2271" s="46" t="s">
        <v>6406</v>
      </c>
      <c r="D2271" s="46" t="s">
        <v>6456</v>
      </c>
      <c r="E2271" s="46" cm="1">
        <f t="array" ref="E2271">sch_shs_radio_ntc_lic5</f>
        <v>0</v>
      </c>
      <c r="F2271" s="46" t="b">
        <v>1</v>
      </c>
    </row>
    <row r="2272" spans="1:6">
      <c r="A2272" s="46" t="s">
        <v>6407</v>
      </c>
      <c r="B2272" s="46" t="s">
        <v>6472</v>
      </c>
      <c r="C2272" s="46" t="s">
        <v>6407</v>
      </c>
      <c r="D2272" s="46" t="s">
        <v>6457</v>
      </c>
      <c r="E2272" s="46" cm="1">
        <f t="array" ref="E2272">sch_shs_radio_ntc_lic6</f>
        <v>0</v>
      </c>
      <c r="F2272" s="46" t="b">
        <v>1</v>
      </c>
    </row>
    <row r="2273" spans="1:8">
      <c r="A2273" s="46" t="s">
        <v>6408</v>
      </c>
      <c r="B2273" s="46" t="s">
        <v>6472</v>
      </c>
      <c r="C2273" s="46" t="s">
        <v>6408</v>
      </c>
      <c r="D2273" s="46" t="s">
        <v>6458</v>
      </c>
      <c r="E2273" s="46" cm="1">
        <f t="array" ref="E2273">sch_shs_radio_ntc_lic7</f>
        <v>0</v>
      </c>
      <c r="F2273" s="46" t="b">
        <v>1</v>
      </c>
    </row>
    <row r="2274" spans="1:8">
      <c r="A2274" s="46" t="s">
        <v>6409</v>
      </c>
      <c r="B2274" s="46" t="s">
        <v>6472</v>
      </c>
      <c r="C2274" s="46" t="s">
        <v>6409</v>
      </c>
      <c r="D2274" s="46" t="s">
        <v>6459</v>
      </c>
      <c r="E2274" s="46" cm="1">
        <f t="array" ref="E2274">sch_shs_radio_ntc_lic8</f>
        <v>0</v>
      </c>
      <c r="F2274" s="46" t="b">
        <v>1</v>
      </c>
    </row>
    <row r="2275" spans="1:8">
      <c r="A2275" s="46" t="s">
        <v>6410</v>
      </c>
      <c r="B2275" s="46" t="s">
        <v>6472</v>
      </c>
      <c r="C2275" s="46" t="s">
        <v>6410</v>
      </c>
      <c r="D2275" s="46" t="s">
        <v>6460</v>
      </c>
      <c r="E2275" s="46" cm="1">
        <f t="array" ref="E2275">sch_shs_radio_ntc_lic9</f>
        <v>0</v>
      </c>
      <c r="F2275" s="46" t="b">
        <v>1</v>
      </c>
    </row>
    <row r="2276" spans="1:8">
      <c r="A2276" s="46" t="s">
        <v>6411</v>
      </c>
      <c r="B2276" s="46" t="s">
        <v>6472</v>
      </c>
      <c r="C2276" s="46" t="s">
        <v>6411</v>
      </c>
      <c r="D2276" s="46" t="s">
        <v>6461</v>
      </c>
      <c r="E2276" s="46" cm="1">
        <f t="array" ref="E2276">sch_shs_radio_ntc_lic10</f>
        <v>0</v>
      </c>
      <c r="F2276" s="46" t="b">
        <v>1</v>
      </c>
    </row>
    <row r="2277" spans="1:8">
      <c r="A2277" s="46" t="s">
        <v>6412</v>
      </c>
      <c r="B2277" s="46" t="s">
        <v>6472</v>
      </c>
      <c r="C2277" s="46" t="s">
        <v>6412</v>
      </c>
      <c r="D2277" s="46" t="s">
        <v>6462</v>
      </c>
      <c r="E2277" s="46" cm="1">
        <f t="array" ref="E2277">sch_shs_radio_unit1</f>
        <v>0</v>
      </c>
      <c r="F2277" s="46" t="b">
        <v>1</v>
      </c>
    </row>
    <row r="2278" spans="1:8">
      <c r="A2278" s="46" t="s">
        <v>6413</v>
      </c>
      <c r="B2278" s="46" t="s">
        <v>6472</v>
      </c>
      <c r="C2278" s="46" t="s">
        <v>6413</v>
      </c>
      <c r="D2278" s="46" t="s">
        <v>6463</v>
      </c>
      <c r="E2278" s="46" cm="1">
        <f t="array" ref="E2278">sch_shs_radio_unit2</f>
        <v>0</v>
      </c>
      <c r="F2278" s="46" t="b">
        <v>1</v>
      </c>
    </row>
    <row r="2279" spans="1:8">
      <c r="A2279" s="46" t="s">
        <v>6414</v>
      </c>
      <c r="B2279" s="46" t="s">
        <v>6472</v>
      </c>
      <c r="C2279" s="46" t="s">
        <v>6414</v>
      </c>
      <c r="D2279" s="46" t="s">
        <v>6464</v>
      </c>
      <c r="E2279" s="46" cm="1">
        <f t="array" ref="E2279">sch_shs_radio_unit3</f>
        <v>0</v>
      </c>
      <c r="F2279" s="46" t="b">
        <v>1</v>
      </c>
    </row>
    <row r="2280" spans="1:8">
      <c r="A2280" s="46" t="s">
        <v>6415</v>
      </c>
      <c r="B2280" s="46" t="s">
        <v>6472</v>
      </c>
      <c r="C2280" s="46" t="s">
        <v>6415</v>
      </c>
      <c r="D2280" s="46" t="s">
        <v>6465</v>
      </c>
      <c r="E2280" s="46" cm="1">
        <f t="array" ref="E2280">sch_shs_radio_unit4</f>
        <v>0</v>
      </c>
      <c r="F2280" s="46" t="b">
        <v>1</v>
      </c>
    </row>
    <row r="2281" spans="1:8">
      <c r="A2281" s="46" t="s">
        <v>6416</v>
      </c>
      <c r="B2281" s="46" t="s">
        <v>6472</v>
      </c>
      <c r="C2281" s="46" t="s">
        <v>6416</v>
      </c>
      <c r="D2281" s="46" t="s">
        <v>6466</v>
      </c>
      <c r="E2281" s="46" cm="1">
        <f t="array" ref="E2281">sch_shs_radio_unit5</f>
        <v>0</v>
      </c>
      <c r="F2281" s="46" t="b">
        <v>1</v>
      </c>
    </row>
    <row r="2282" spans="1:8">
      <c r="A2282" s="46" t="s">
        <v>6417</v>
      </c>
      <c r="B2282" s="46" t="s">
        <v>6472</v>
      </c>
      <c r="C2282" s="46" t="s">
        <v>6417</v>
      </c>
      <c r="D2282" s="46" t="s">
        <v>6467</v>
      </c>
      <c r="E2282" s="46" cm="1">
        <f t="array" ref="E2282">sch_shs_radio_unit6</f>
        <v>0</v>
      </c>
      <c r="F2282" s="46" t="b">
        <v>1</v>
      </c>
    </row>
    <row r="2283" spans="1:8">
      <c r="A2283" s="46" t="s">
        <v>6418</v>
      </c>
      <c r="B2283" s="46" t="s">
        <v>6472</v>
      </c>
      <c r="C2283" s="46" t="s">
        <v>6418</v>
      </c>
      <c r="D2283" s="46" t="s">
        <v>6468</v>
      </c>
      <c r="E2283" s="46" cm="1">
        <f t="array" ref="E2283">sch_shs_radio_unit7</f>
        <v>0</v>
      </c>
      <c r="F2283" s="46" t="b">
        <v>1</v>
      </c>
    </row>
    <row r="2284" spans="1:8">
      <c r="A2284" s="46" t="s">
        <v>6419</v>
      </c>
      <c r="B2284" s="46" t="s">
        <v>6472</v>
      </c>
      <c r="C2284" s="46" t="s">
        <v>6419</v>
      </c>
      <c r="D2284" s="46" t="s">
        <v>6469</v>
      </c>
      <c r="E2284" s="46" cm="1">
        <f t="array" ref="E2284">sch_shs_radio_unit8</f>
        <v>0</v>
      </c>
      <c r="F2284" s="46" t="b">
        <v>1</v>
      </c>
    </row>
    <row r="2285" spans="1:8">
      <c r="A2285" s="46" t="s">
        <v>6420</v>
      </c>
      <c r="B2285" s="46" t="s">
        <v>6472</v>
      </c>
      <c r="C2285" s="46" t="s">
        <v>6420</v>
      </c>
      <c r="D2285" s="46" t="s">
        <v>6470</v>
      </c>
      <c r="E2285" s="46" cm="1">
        <f t="array" ref="E2285">sch_shs_radio_unit9</f>
        <v>0</v>
      </c>
      <c r="F2285" s="46" t="b">
        <v>1</v>
      </c>
    </row>
    <row r="2286" spans="1:8" ht="16.5" thickBot="1">
      <c r="A2286" s="46" t="s">
        <v>6421</v>
      </c>
      <c r="B2286" s="479" t="s">
        <v>6472</v>
      </c>
      <c r="C2286" s="479" t="s">
        <v>6421</v>
      </c>
      <c r="D2286" s="479" t="s">
        <v>6471</v>
      </c>
      <c r="E2286" s="479" cm="1">
        <f t="array" ref="E2286">sch_shs_radio_unit10</f>
        <v>0</v>
      </c>
      <c r="F2286" s="479" t="b">
        <v>1</v>
      </c>
      <c r="G2286" s="479"/>
      <c r="H2286" s="479"/>
    </row>
    <row r="2287" spans="1:8" ht="16.5" thickTop="1">
      <c r="A2287" s="977" t="s">
        <v>6495</v>
      </c>
      <c r="B2287" s="977" t="s">
        <v>6496</v>
      </c>
      <c r="C2287" s="977" t="s">
        <v>6495</v>
      </c>
      <c r="D2287" s="46" t="s">
        <v>6499</v>
      </c>
      <c r="E2287" s="1779">
        <f>mooe_alloc_jantodec_amount</f>
        <v>1367000</v>
      </c>
      <c r="F2287" s="46" t="b">
        <v>1</v>
      </c>
    </row>
    <row r="2288" spans="1:8">
      <c r="A2288" s="46" t="s">
        <v>6497</v>
      </c>
      <c r="B2288" s="46" t="s">
        <v>6496</v>
      </c>
      <c r="C2288" s="46" t="s">
        <v>6497</v>
      </c>
      <c r="D2288" s="46" t="s">
        <v>6500</v>
      </c>
      <c r="E2288" s="1777">
        <f>utili_jantodec_amount</f>
        <v>1367000</v>
      </c>
      <c r="F2288" s="46" t="b">
        <v>1</v>
      </c>
    </row>
    <row r="2289" spans="1:7">
      <c r="A2289" s="46" t="s">
        <v>6498</v>
      </c>
      <c r="B2289" s="46" t="s">
        <v>6496</v>
      </c>
      <c r="C2289" s="46" t="s">
        <v>6498</v>
      </c>
      <c r="D2289" s="46" t="s">
        <v>6501</v>
      </c>
      <c r="E2289" s="1777">
        <f>liqui_jantodec_amount</f>
        <v>1367000</v>
      </c>
      <c r="F2289" s="46" t="b">
        <v>1</v>
      </c>
    </row>
    <row r="2290" spans="1:7">
      <c r="A2290" s="46" t="s">
        <v>6491</v>
      </c>
      <c r="B2290" s="46" t="s">
        <v>6496</v>
      </c>
      <c r="C2290" s="46" t="s">
        <v>6491</v>
      </c>
      <c r="D2290" s="46" t="s">
        <v>6518</v>
      </c>
      <c r="E2290" s="46" t="str">
        <f>do_accountant_name</f>
        <v>ROBERTO L. TORRES / March 17, 2023</v>
      </c>
      <c r="F2290" s="46" t="b">
        <v>1</v>
      </c>
    </row>
    <row r="2291" spans="1:7" s="479" customFormat="1" ht="16.5" thickBot="1">
      <c r="A2291" s="479" t="s">
        <v>6492</v>
      </c>
      <c r="B2291" s="479" t="s">
        <v>6496</v>
      </c>
      <c r="C2291" s="479" t="s">
        <v>6492</v>
      </c>
      <c r="D2291" s="479" t="s">
        <v>6519</v>
      </c>
      <c r="E2291" s="479" t="str">
        <f>do_accountant_pos</f>
        <v>ACCOUNTANT III</v>
      </c>
      <c r="F2291" s="479" t="b">
        <v>1</v>
      </c>
    </row>
    <row r="2292" spans="1:7" ht="16.5" thickTop="1">
      <c r="A2292" s="46" t="s">
        <v>6474</v>
      </c>
      <c r="B2292" s="46" t="s">
        <v>6475</v>
      </c>
      <c r="C2292" s="46" t="s">
        <v>6474</v>
      </c>
      <c r="D2292" s="46" t="s">
        <v>6502</v>
      </c>
      <c r="E2292" s="46" t="b">
        <f>electrical_supply_sources_grid</f>
        <v>1</v>
      </c>
      <c r="F2292" s="1696" t="b">
        <f t="shared" ref="F2292:F2305" si="6">OR(E2292=TRUE, E2292=FALSE)</f>
        <v>1</v>
      </c>
      <c r="G2292" s="46" t="s">
        <v>11265</v>
      </c>
    </row>
    <row r="2293" spans="1:7">
      <c r="A2293" s="46" t="s">
        <v>6476</v>
      </c>
      <c r="B2293" s="46" t="s">
        <v>6475</v>
      </c>
      <c r="C2293" s="46" t="s">
        <v>6476</v>
      </c>
      <c r="D2293" s="46" t="s">
        <v>6503</v>
      </c>
      <c r="E2293" s="46" t="b">
        <f>electrical_supply_sources_offgrid</f>
        <v>0</v>
      </c>
      <c r="F2293" s="1696" t="b">
        <f t="shared" si="6"/>
        <v>1</v>
      </c>
      <c r="G2293" s="46" t="s">
        <v>11265</v>
      </c>
    </row>
    <row r="2294" spans="1:7">
      <c r="A2294" s="46" t="s">
        <v>6477</v>
      </c>
      <c r="B2294" s="46" t="s">
        <v>6475</v>
      </c>
      <c r="C2294" s="46" t="s">
        <v>6477</v>
      </c>
      <c r="D2294" s="46" t="s">
        <v>6504</v>
      </c>
      <c r="E2294" s="46" t="b">
        <f>electrical_offgrid_solar_power</f>
        <v>0</v>
      </c>
      <c r="F2294" s="1696" t="b">
        <f t="shared" si="6"/>
        <v>1</v>
      </c>
      <c r="G2294" s="46" t="s">
        <v>11265</v>
      </c>
    </row>
    <row r="2295" spans="1:7">
      <c r="A2295" s="46" t="s">
        <v>6478</v>
      </c>
      <c r="B2295" s="46" t="s">
        <v>6475</v>
      </c>
      <c r="C2295" s="46" t="s">
        <v>6478</v>
      </c>
      <c r="D2295" s="46" t="s">
        <v>6505</v>
      </c>
      <c r="E2295" s="46" t="b">
        <f>electrical_offgrid_generator</f>
        <v>0</v>
      </c>
      <c r="F2295" s="1696" t="b">
        <f t="shared" si="6"/>
        <v>1</v>
      </c>
      <c r="G2295" s="46" t="s">
        <v>11265</v>
      </c>
    </row>
    <row r="2296" spans="1:7">
      <c r="A2296" s="46" t="s">
        <v>6479</v>
      </c>
      <c r="B2296" s="46" t="s">
        <v>6475</v>
      </c>
      <c r="C2296" s="46" t="s">
        <v>6479</v>
      </c>
      <c r="D2296" s="46" t="s">
        <v>6506</v>
      </c>
      <c r="E2296" s="46" t="b">
        <f>electrical_offgrid_others</f>
        <v>0</v>
      </c>
      <c r="F2296" s="1696" t="b">
        <f t="shared" si="6"/>
        <v>1</v>
      </c>
      <c r="G2296" s="46" t="s">
        <v>11265</v>
      </c>
    </row>
    <row r="2297" spans="1:7">
      <c r="A2297" s="46" t="s">
        <v>6480</v>
      </c>
      <c r="B2297" s="46" t="s">
        <v>6475</v>
      </c>
      <c r="C2297" s="46" t="s">
        <v>6480</v>
      </c>
      <c r="D2297" s="46" t="s">
        <v>6507</v>
      </c>
      <c r="E2297" s="46">
        <f>electrical_offgrid_others_specify</f>
        <v>0</v>
      </c>
      <c r="F2297" s="46" t="b">
        <v>1</v>
      </c>
    </row>
    <row r="2298" spans="1:7">
      <c r="A2298" s="46" t="s">
        <v>6481</v>
      </c>
      <c r="B2298" s="46" t="s">
        <v>6475</v>
      </c>
      <c r="C2298" s="46" t="s">
        <v>6481</v>
      </c>
      <c r="D2298" s="46" t="s">
        <v>6508</v>
      </c>
      <c r="E2298" s="46" t="b">
        <f>electrical_no_source</f>
        <v>0</v>
      </c>
      <c r="F2298" s="1696" t="b">
        <f t="shared" si="6"/>
        <v>1</v>
      </c>
      <c r="G2298" s="46" t="s">
        <v>11265</v>
      </c>
    </row>
    <row r="2299" spans="1:7">
      <c r="A2299" s="46" t="s">
        <v>6482</v>
      </c>
      <c r="B2299" s="46" t="s">
        <v>6475</v>
      </c>
      <c r="C2299" s="46" t="s">
        <v>6482</v>
      </c>
      <c r="D2299" s="46" t="s">
        <v>6509</v>
      </c>
      <c r="E2299" s="1777">
        <f>ave_cost_monthly_bills_amount</f>
        <v>137000</v>
      </c>
      <c r="F2299" s="46" t="b">
        <v>1</v>
      </c>
    </row>
    <row r="2300" spans="1:7">
      <c r="A2300" s="46" t="s">
        <v>6483</v>
      </c>
      <c r="B2300" s="46" t="s">
        <v>6475</v>
      </c>
      <c r="C2300" s="46" t="s">
        <v>6483</v>
      </c>
      <c r="D2300" s="46" t="s">
        <v>6510</v>
      </c>
      <c r="E2300" s="46" t="b">
        <f>electrical_funding_source_mooe</f>
        <v>1</v>
      </c>
      <c r="F2300" s="1696" t="b">
        <f t="shared" si="6"/>
        <v>1</v>
      </c>
      <c r="G2300" s="46" t="s">
        <v>11265</v>
      </c>
    </row>
    <row r="2301" spans="1:7">
      <c r="A2301" s="46" t="s">
        <v>6484</v>
      </c>
      <c r="B2301" s="46" t="s">
        <v>6475</v>
      </c>
      <c r="C2301" s="46" t="s">
        <v>6484</v>
      </c>
      <c r="D2301" s="46" t="s">
        <v>6511</v>
      </c>
      <c r="E2301" s="46" t="b">
        <f>electrical_funding_source_lgu</f>
        <v>0</v>
      </c>
      <c r="F2301" s="1696" t="b">
        <f t="shared" si="6"/>
        <v>1</v>
      </c>
      <c r="G2301" s="46" t="s">
        <v>11265</v>
      </c>
    </row>
    <row r="2302" spans="1:7">
      <c r="A2302" s="46" t="s">
        <v>6485</v>
      </c>
      <c r="B2302" s="46" t="s">
        <v>6475</v>
      </c>
      <c r="C2302" s="46" t="s">
        <v>6485</v>
      </c>
      <c r="D2302" s="46" t="s">
        <v>6512</v>
      </c>
      <c r="E2302" s="46" t="b">
        <f>electrical_funding_source_pta</f>
        <v>0</v>
      </c>
      <c r="F2302" s="1696" t="b">
        <f t="shared" si="6"/>
        <v>1</v>
      </c>
      <c r="G2302" s="46" t="s">
        <v>11265</v>
      </c>
    </row>
    <row r="2303" spans="1:7">
      <c r="A2303" s="46" t="s">
        <v>6486</v>
      </c>
      <c r="B2303" s="46" t="s">
        <v>6475</v>
      </c>
      <c r="C2303" s="46" t="s">
        <v>6486</v>
      </c>
      <c r="D2303" s="46" t="s">
        <v>6513</v>
      </c>
      <c r="E2303" s="46" t="b">
        <f>electrical_funding_source_canteen</f>
        <v>0</v>
      </c>
      <c r="F2303" s="1696" t="b">
        <f t="shared" si="6"/>
        <v>1</v>
      </c>
      <c r="G2303" s="46" t="s">
        <v>11265</v>
      </c>
    </row>
    <row r="2304" spans="1:7">
      <c r="A2304" s="46" t="s">
        <v>6487</v>
      </c>
      <c r="B2304" s="46" t="s">
        <v>6475</v>
      </c>
      <c r="C2304" s="46" t="s">
        <v>6487</v>
      </c>
      <c r="D2304" s="46" t="s">
        <v>6514</v>
      </c>
      <c r="E2304" s="46" t="b">
        <f>electrical_funding_source_private</f>
        <v>0</v>
      </c>
      <c r="F2304" s="1696" t="b">
        <f t="shared" si="6"/>
        <v>1</v>
      </c>
      <c r="G2304" s="46" t="s">
        <v>11265</v>
      </c>
    </row>
    <row r="2305" spans="1:8">
      <c r="A2305" s="46" t="s">
        <v>6488</v>
      </c>
      <c r="B2305" s="46" t="s">
        <v>6475</v>
      </c>
      <c r="C2305" s="46" t="s">
        <v>6488</v>
      </c>
      <c r="D2305" s="46" t="s">
        <v>6515</v>
      </c>
      <c r="E2305" s="46" t="b">
        <f>electrical_funding_source_others</f>
        <v>0</v>
      </c>
      <c r="F2305" s="1696" t="b">
        <f t="shared" si="6"/>
        <v>1</v>
      </c>
      <c r="G2305" s="46" t="s">
        <v>11265</v>
      </c>
    </row>
    <row r="2306" spans="1:8">
      <c r="A2306" s="46" t="s">
        <v>6489</v>
      </c>
      <c r="B2306" s="46" t="s">
        <v>6475</v>
      </c>
      <c r="C2306" s="46" t="s">
        <v>6489</v>
      </c>
      <c r="D2306" s="46" t="s">
        <v>6516</v>
      </c>
      <c r="E2306" s="46">
        <f>electrical_funding_source_others_specify</f>
        <v>0</v>
      </c>
      <c r="F2306" s="46" t="b">
        <v>1</v>
      </c>
    </row>
    <row r="2307" spans="1:8">
      <c r="A2307" s="46" t="s">
        <v>6490</v>
      </c>
      <c r="B2307" s="46" t="s">
        <v>6475</v>
      </c>
      <c r="C2307" s="46" t="s">
        <v>6490</v>
      </c>
      <c r="D2307" s="46" t="s">
        <v>6517</v>
      </c>
      <c r="E2307" s="46">
        <f>electrical_available_inaday_hours</f>
        <v>24</v>
      </c>
      <c r="F2307" s="46" t="b">
        <v>1</v>
      </c>
    </row>
    <row r="2308" spans="1:8">
      <c r="A2308" s="46" t="s">
        <v>6493</v>
      </c>
      <c r="B2308" s="46" t="s">
        <v>6475</v>
      </c>
      <c r="C2308" s="46" t="s">
        <v>6493</v>
      </c>
      <c r="D2308" s="46" t="s">
        <v>6520</v>
      </c>
      <c r="E2308" s="46" t="str">
        <f>phyfacoor_doengr_name</f>
        <v>BRYAN REY P. JAMIS / March 17. 2023</v>
      </c>
      <c r="F2308" s="46" t="b">
        <v>1</v>
      </c>
    </row>
    <row r="2309" spans="1:8" ht="16.5" thickBot="1">
      <c r="A2309" s="479" t="s">
        <v>6494</v>
      </c>
      <c r="B2309" s="479" t="s">
        <v>6475</v>
      </c>
      <c r="C2309" s="479" t="s">
        <v>6494</v>
      </c>
      <c r="D2309" s="479" t="s">
        <v>6521</v>
      </c>
      <c r="E2309" s="479" t="str">
        <f>phyfacoor_doengr_pos</f>
        <v>ENGINEER III</v>
      </c>
      <c r="F2309" s="479" t="b">
        <v>1</v>
      </c>
      <c r="G2309" s="479"/>
      <c r="H2309" s="479"/>
    </row>
    <row r="2310" spans="1:8" ht="16.5" thickTop="1">
      <c r="A2310" s="977" t="s">
        <v>6522</v>
      </c>
      <c r="B2310" s="977" t="s">
        <v>6523</v>
      </c>
      <c r="C2310" s="977" t="s">
        <v>6522</v>
      </c>
      <c r="D2310" s="1765" t="s">
        <v>6586</v>
      </c>
      <c r="E2310" s="977" t="b" cm="1">
        <f t="array" ref="E2310">site_deped</f>
        <v>1</v>
      </c>
      <c r="F2310" s="1696" t="b">
        <f t="shared" ref="F2310:F2329" si="7">OR(E2310=TRUE, E2310=FALSE)</f>
        <v>1</v>
      </c>
      <c r="G2310" s="46" t="s">
        <v>11265</v>
      </c>
    </row>
    <row r="2311" spans="1:8">
      <c r="A2311" s="46" t="s">
        <v>6524</v>
      </c>
      <c r="B2311" s="46" t="s">
        <v>6523</v>
      </c>
      <c r="C2311" s="46" t="s">
        <v>6524</v>
      </c>
      <c r="D2311" s="1018" t="s">
        <v>6587</v>
      </c>
      <c r="E2311" s="46" t="b" cm="1">
        <f t="array" ref="E2311">site_lgu</f>
        <v>0</v>
      </c>
      <c r="F2311" s="1696" t="b">
        <f t="shared" si="7"/>
        <v>1</v>
      </c>
      <c r="G2311" s="46" t="s">
        <v>11265</v>
      </c>
    </row>
    <row r="2312" spans="1:8">
      <c r="A2312" s="46" t="s">
        <v>6525</v>
      </c>
      <c r="B2312" s="46" t="s">
        <v>6523</v>
      </c>
      <c r="C2312" s="46" t="s">
        <v>6525</v>
      </c>
      <c r="D2312" s="1018" t="s">
        <v>6588</v>
      </c>
      <c r="E2312" s="46" t="b" cm="1">
        <f t="array" ref="E2312">site_othergov</f>
        <v>0</v>
      </c>
      <c r="F2312" s="1696" t="b">
        <f t="shared" si="7"/>
        <v>1</v>
      </c>
      <c r="G2312" s="46" t="s">
        <v>11265</v>
      </c>
    </row>
    <row r="2313" spans="1:8">
      <c r="A2313" s="46" t="s">
        <v>6526</v>
      </c>
      <c r="B2313" s="46" t="s">
        <v>6523</v>
      </c>
      <c r="C2313" s="46" t="s">
        <v>6526</v>
      </c>
      <c r="D2313" s="1018" t="s">
        <v>6589</v>
      </c>
      <c r="E2313" s="46" t="b" cm="1">
        <f t="array" ref="E2313">site_prvt_ind</f>
        <v>0</v>
      </c>
      <c r="F2313" s="1696" t="b">
        <f t="shared" si="7"/>
        <v>1</v>
      </c>
      <c r="G2313" s="46" t="s">
        <v>11265</v>
      </c>
    </row>
    <row r="2314" spans="1:8">
      <c r="A2314" s="46" t="s">
        <v>6527</v>
      </c>
      <c r="B2314" s="46" t="s">
        <v>6523</v>
      </c>
      <c r="C2314" s="46" t="s">
        <v>6527</v>
      </c>
      <c r="D2314" s="1018" t="s">
        <v>6614</v>
      </c>
      <c r="E2314" s="46" t="b" cm="1">
        <f t="array" ref="E2314">site_yes</f>
        <v>1</v>
      </c>
      <c r="F2314" s="1696" t="b">
        <f t="shared" si="7"/>
        <v>1</v>
      </c>
      <c r="G2314" s="46" t="s">
        <v>11265</v>
      </c>
    </row>
    <row r="2315" spans="1:8">
      <c r="A2315" s="46" t="s">
        <v>6528</v>
      </c>
      <c r="B2315" s="46" t="s">
        <v>6523</v>
      </c>
      <c r="C2315" s="46" t="s">
        <v>6528</v>
      </c>
      <c r="D2315" s="1018" t="s">
        <v>6615</v>
      </c>
      <c r="E2315" s="46" t="b" cm="1">
        <f t="array" ref="E2315">site_yes_oct</f>
        <v>1</v>
      </c>
      <c r="F2315" s="1696" t="b">
        <f t="shared" si="7"/>
        <v>1</v>
      </c>
      <c r="G2315" s="46" t="s">
        <v>11265</v>
      </c>
    </row>
    <row r="2316" spans="1:8">
      <c r="A2316" s="46" t="s">
        <v>6529</v>
      </c>
      <c r="B2316" s="46" t="s">
        <v>6523</v>
      </c>
      <c r="C2316" s="46" t="s">
        <v>6529</v>
      </c>
      <c r="D2316" s="1018" t="s">
        <v>6590</v>
      </c>
      <c r="E2316" s="46" t="b" cm="1">
        <f t="array" ref="E2316">site_yes_tct</f>
        <v>1</v>
      </c>
      <c r="F2316" s="1696" t="b">
        <f t="shared" si="7"/>
        <v>1</v>
      </c>
      <c r="G2316" s="46" t="s">
        <v>11265</v>
      </c>
    </row>
    <row r="2317" spans="1:8">
      <c r="A2317" s="46" t="s">
        <v>6530</v>
      </c>
      <c r="B2317" s="46" t="s">
        <v>6523</v>
      </c>
      <c r="C2317" s="46" t="s">
        <v>6530</v>
      </c>
      <c r="D2317" s="1018" t="s">
        <v>6591</v>
      </c>
      <c r="E2317" s="46" t="b" cm="1">
        <f t="array" ref="E2317">site_yes_cloa</f>
        <v>0</v>
      </c>
      <c r="F2317" s="1696" t="b">
        <f t="shared" si="7"/>
        <v>1</v>
      </c>
      <c r="G2317" s="46" t="s">
        <v>11265</v>
      </c>
    </row>
    <row r="2318" spans="1:8">
      <c r="A2318" s="46" t="s">
        <v>6531</v>
      </c>
      <c r="B2318" s="46" t="s">
        <v>6523</v>
      </c>
      <c r="C2318" s="46" t="s">
        <v>6531</v>
      </c>
      <c r="D2318" s="1018" t="s">
        <v>6592</v>
      </c>
      <c r="E2318" s="46" t="b" cm="1">
        <f t="array" ref="E2318">site_yes_spl_patent</f>
        <v>0</v>
      </c>
      <c r="F2318" s="1696" t="b">
        <f t="shared" si="7"/>
        <v>1</v>
      </c>
      <c r="G2318" s="46" t="s">
        <v>11265</v>
      </c>
    </row>
    <row r="2319" spans="1:8">
      <c r="A2319" s="46" t="s">
        <v>6532</v>
      </c>
      <c r="B2319" s="46" t="s">
        <v>6523</v>
      </c>
      <c r="C2319" s="46" t="s">
        <v>6532</v>
      </c>
      <c r="D2319" s="1018" t="s">
        <v>6593</v>
      </c>
      <c r="E2319" s="46" t="b" cm="1">
        <f t="array" ref="E2319">site_yes_pres_proc</f>
        <v>0</v>
      </c>
      <c r="F2319" s="1696" t="b">
        <f t="shared" si="7"/>
        <v>1</v>
      </c>
      <c r="G2319" s="46" t="s">
        <v>11265</v>
      </c>
    </row>
    <row r="2320" spans="1:8">
      <c r="A2320" s="46" t="s">
        <v>6533</v>
      </c>
      <c r="B2320" s="46" t="s">
        <v>6523</v>
      </c>
      <c r="C2320" s="46" t="s">
        <v>6533</v>
      </c>
      <c r="D2320" s="1018" t="s">
        <v>6594</v>
      </c>
      <c r="E2320" s="46" t="b" cm="1">
        <f t="array" ref="E2320">site_yes_tax_dec</f>
        <v>1</v>
      </c>
      <c r="F2320" s="1696" t="b">
        <f t="shared" si="7"/>
        <v>1</v>
      </c>
      <c r="G2320" s="46" t="s">
        <v>11265</v>
      </c>
    </row>
    <row r="2321" spans="1:7">
      <c r="A2321" s="46" t="s">
        <v>6534</v>
      </c>
      <c r="B2321" s="46" t="s">
        <v>6523</v>
      </c>
      <c r="C2321" s="46" t="s">
        <v>6534</v>
      </c>
      <c r="D2321" s="1018" t="s">
        <v>6595</v>
      </c>
      <c r="E2321" s="46" t="b" cm="1">
        <f t="array" ref="E2321">site_yes_deed_abso</f>
        <v>0</v>
      </c>
      <c r="F2321" s="1696" t="b">
        <f t="shared" si="7"/>
        <v>1</v>
      </c>
      <c r="G2321" s="46" t="s">
        <v>11265</v>
      </c>
    </row>
    <row r="2322" spans="1:7">
      <c r="A2322" s="46" t="s">
        <v>6535</v>
      </c>
      <c r="B2322" s="46" t="s">
        <v>6523</v>
      </c>
      <c r="C2322" s="46" t="s">
        <v>6535</v>
      </c>
      <c r="D2322" s="1018" t="s">
        <v>6596</v>
      </c>
      <c r="E2322" s="46" t="b" cm="1">
        <f t="array" ref="E2322">site_yes_deed_donation</f>
        <v>0</v>
      </c>
      <c r="F2322" s="1696" t="b">
        <f t="shared" si="7"/>
        <v>1</v>
      </c>
      <c r="G2322" s="46" t="s">
        <v>11265</v>
      </c>
    </row>
    <row r="2323" spans="1:7">
      <c r="A2323" s="46" t="s">
        <v>6536</v>
      </c>
      <c r="B2323" s="46" t="s">
        <v>6523</v>
      </c>
      <c r="C2323" s="46" t="s">
        <v>6536</v>
      </c>
      <c r="D2323" s="1018" t="s">
        <v>6597</v>
      </c>
      <c r="E2323" s="46" t="b" cm="1">
        <f t="array" ref="E2323">site_yes_cert_stew</f>
        <v>0</v>
      </c>
      <c r="F2323" s="1696" t="b">
        <f t="shared" si="7"/>
        <v>1</v>
      </c>
      <c r="G2323" s="46" t="s">
        <v>11265</v>
      </c>
    </row>
    <row r="2324" spans="1:7">
      <c r="A2324" s="46" t="s">
        <v>6537</v>
      </c>
      <c r="B2324" s="46" t="s">
        <v>6523</v>
      </c>
      <c r="C2324" s="46" t="s">
        <v>6537</v>
      </c>
      <c r="D2324" s="1018" t="s">
        <v>6598</v>
      </c>
      <c r="E2324" s="46" t="b" cm="1">
        <f t="array" ref="E2324">site_yes_slup</f>
        <v>0</v>
      </c>
      <c r="F2324" s="1696" t="b">
        <f t="shared" si="7"/>
        <v>1</v>
      </c>
      <c r="G2324" s="46" t="s">
        <v>11265</v>
      </c>
    </row>
    <row r="2325" spans="1:7">
      <c r="A2325" s="46" t="s">
        <v>6538</v>
      </c>
      <c r="B2325" s="46" t="s">
        <v>6523</v>
      </c>
      <c r="C2325" s="46" t="s">
        <v>6538</v>
      </c>
      <c r="D2325" s="1018" t="s">
        <v>6616</v>
      </c>
      <c r="E2325" s="46" t="b" cm="1">
        <f t="array" ref="E2325">site_yes_usufruct</f>
        <v>0</v>
      </c>
      <c r="F2325" s="1696" t="b">
        <f t="shared" si="7"/>
        <v>1</v>
      </c>
      <c r="G2325" s="46" t="s">
        <v>11265</v>
      </c>
    </row>
    <row r="2326" spans="1:7">
      <c r="A2326" s="46" t="s">
        <v>6539</v>
      </c>
      <c r="B2326" s="46" t="s">
        <v>6523</v>
      </c>
      <c r="C2326" s="46" t="s">
        <v>6539</v>
      </c>
      <c r="D2326" s="1018" t="s">
        <v>6599</v>
      </c>
      <c r="E2326" s="46" t="b" cm="1">
        <f t="array" ref="E2326">site_yes_moa</f>
        <v>0</v>
      </c>
      <c r="F2326" s="1696" t="b">
        <f t="shared" si="7"/>
        <v>1</v>
      </c>
      <c r="G2326" s="46" t="s">
        <v>11265</v>
      </c>
    </row>
    <row r="2327" spans="1:7">
      <c r="A2327" s="46" t="s">
        <v>6540</v>
      </c>
      <c r="B2327" s="46" t="s">
        <v>6523</v>
      </c>
      <c r="C2327" s="46" t="s">
        <v>6540</v>
      </c>
      <c r="D2327" s="1018" t="s">
        <v>6600</v>
      </c>
      <c r="E2327" s="46" t="b" cm="1">
        <f t="array" ref="E2327">site_yes_lease</f>
        <v>0</v>
      </c>
      <c r="F2327" s="1696" t="b">
        <f t="shared" si="7"/>
        <v>1</v>
      </c>
      <c r="G2327" s="46" t="s">
        <v>11265</v>
      </c>
    </row>
    <row r="2328" spans="1:7">
      <c r="A2328" s="46" t="s">
        <v>6617</v>
      </c>
      <c r="B2328" s="46" t="s">
        <v>6523</v>
      </c>
      <c r="C2328" s="46" t="s">
        <v>6617</v>
      </c>
      <c r="D2328" s="1018" t="s">
        <v>6601</v>
      </c>
      <c r="E2328" s="46" t="b" cm="1">
        <f t="array" ref="E2328">site_yes_flag</f>
        <v>0</v>
      </c>
      <c r="F2328" s="1696" t="b">
        <f t="shared" si="7"/>
        <v>1</v>
      </c>
      <c r="G2328" s="46" t="s">
        <v>11265</v>
      </c>
    </row>
    <row r="2329" spans="1:7">
      <c r="A2329" s="46" t="s">
        <v>6541</v>
      </c>
      <c r="B2329" s="46" t="s">
        <v>6523</v>
      </c>
      <c r="C2329" s="46" t="s">
        <v>6541</v>
      </c>
      <c r="D2329" s="1018" t="s">
        <v>6602</v>
      </c>
      <c r="E2329" s="46" t="b" cm="1">
        <f t="array" ref="E2329">site_yes_others</f>
        <v>0</v>
      </c>
      <c r="F2329" s="1696" t="b">
        <f t="shared" si="7"/>
        <v>1</v>
      </c>
      <c r="G2329" s="46" t="s">
        <v>11265</v>
      </c>
    </row>
    <row r="2330" spans="1:7">
      <c r="A2330" s="46" t="s">
        <v>6542</v>
      </c>
      <c r="B2330" s="46" t="s">
        <v>6523</v>
      </c>
      <c r="C2330" s="46" t="s">
        <v>6542</v>
      </c>
      <c r="D2330" s="1018" t="s">
        <v>6603</v>
      </c>
      <c r="E2330" s="46" cm="1">
        <f t="array" ref="E2330">site_specify</f>
        <v>0</v>
      </c>
      <c r="F2330" s="46" t="b">
        <v>1</v>
      </c>
    </row>
    <row r="2331" spans="1:7">
      <c r="A2331" s="46" t="s">
        <v>6543</v>
      </c>
      <c r="B2331" s="46" t="s">
        <v>6523</v>
      </c>
      <c r="C2331" s="46" t="s">
        <v>6543</v>
      </c>
      <c r="D2331" s="1018" t="s">
        <v>6618</v>
      </c>
      <c r="E2331" s="1777" cm="1">
        <f t="array" ref="E2331">site_land_area</f>
        <v>37707</v>
      </c>
      <c r="F2331" s="46" t="b">
        <v>1</v>
      </c>
    </row>
    <row r="2332" spans="1:7">
      <c r="A2332" s="46" t="s">
        <v>6544</v>
      </c>
      <c r="B2332" s="46" t="s">
        <v>6523</v>
      </c>
      <c r="C2332" s="46" t="s">
        <v>6544</v>
      </c>
      <c r="D2332" s="1018" t="s">
        <v>6627</v>
      </c>
      <c r="E2332" s="46" cm="1">
        <f t="array" ref="E2332">site_modeyr_donation</f>
        <v>1991</v>
      </c>
      <c r="F2332" s="46" t="b">
        <v>1</v>
      </c>
    </row>
    <row r="2333" spans="1:7">
      <c r="A2333" s="46" t="s">
        <v>6545</v>
      </c>
      <c r="B2333" s="46" t="s">
        <v>6523</v>
      </c>
      <c r="C2333" s="46" t="s">
        <v>6545</v>
      </c>
      <c r="D2333" s="1018" t="s">
        <v>6619</v>
      </c>
      <c r="E2333" s="46" cm="1">
        <f t="array" ref="E2333">site_modeyr_purchase</f>
        <v>1993</v>
      </c>
      <c r="F2333" s="46" t="b">
        <v>1</v>
      </c>
    </row>
    <row r="2334" spans="1:7">
      <c r="A2334" s="46" t="s">
        <v>6546</v>
      </c>
      <c r="B2334" s="46" t="s">
        <v>6523</v>
      </c>
      <c r="C2334" s="46" t="s">
        <v>6546</v>
      </c>
      <c r="D2334" s="1018" t="s">
        <v>6620</v>
      </c>
      <c r="E2334" s="46" cm="1">
        <f t="array" ref="E2334">site_modeyr_usufruct_agree</f>
        <v>0</v>
      </c>
      <c r="F2334" s="46" t="b">
        <v>1</v>
      </c>
    </row>
    <row r="2335" spans="1:7">
      <c r="A2335" s="46" t="s">
        <v>6547</v>
      </c>
      <c r="B2335" s="46" t="s">
        <v>6523</v>
      </c>
      <c r="C2335" s="46" t="s">
        <v>6547</v>
      </c>
      <c r="D2335" s="1018" t="s">
        <v>6621</v>
      </c>
      <c r="E2335" s="46" cm="1">
        <f t="array" ref="E2335">site_modeyr_expropriation</f>
        <v>0</v>
      </c>
      <c r="F2335" s="46" t="b">
        <v>1</v>
      </c>
    </row>
    <row r="2336" spans="1:7">
      <c r="A2336" s="46" t="s">
        <v>6548</v>
      </c>
      <c r="B2336" s="46" t="s">
        <v>6523</v>
      </c>
      <c r="C2336" s="46" t="s">
        <v>6548</v>
      </c>
      <c r="D2336" s="1018" t="s">
        <v>6622</v>
      </c>
      <c r="E2336" s="46" cm="1">
        <f t="array" ref="E2336">site_modeyr_exchange_swapping</f>
        <v>0</v>
      </c>
      <c r="F2336" s="46" t="b">
        <v>1</v>
      </c>
    </row>
    <row r="2337" spans="1:7">
      <c r="A2337" s="46" t="s">
        <v>6549</v>
      </c>
      <c r="B2337" s="46" t="s">
        <v>6523</v>
      </c>
      <c r="C2337" s="46" t="s">
        <v>6549</v>
      </c>
      <c r="D2337" s="1018" t="s">
        <v>6623</v>
      </c>
      <c r="E2337" s="46" cm="1">
        <f t="array" ref="E2337">site_modeyr_pres_proc</f>
        <v>0</v>
      </c>
      <c r="F2337" s="46" t="b">
        <v>1</v>
      </c>
    </row>
    <row r="2338" spans="1:7">
      <c r="A2338" s="46" t="s">
        <v>6550</v>
      </c>
      <c r="B2338" s="46" t="s">
        <v>6523</v>
      </c>
      <c r="C2338" s="46" t="s">
        <v>6550</v>
      </c>
      <c r="D2338" s="1018" t="s">
        <v>6624</v>
      </c>
      <c r="E2338" s="46" cm="1">
        <f t="array" ref="E2338">site_modeyr_spl_patent</f>
        <v>0</v>
      </c>
      <c r="F2338" s="46" t="b">
        <v>1</v>
      </c>
    </row>
    <row r="2339" spans="1:7">
      <c r="A2339" s="46" t="s">
        <v>6551</v>
      </c>
      <c r="B2339" s="46" t="s">
        <v>6523</v>
      </c>
      <c r="C2339" s="46" t="s">
        <v>6551</v>
      </c>
      <c r="D2339" s="1018" t="s">
        <v>6625</v>
      </c>
      <c r="E2339" s="46" cm="1">
        <f t="array" ref="E2339">site_modeyr_cloa</f>
        <v>0</v>
      </c>
      <c r="F2339" s="46" t="b">
        <v>1</v>
      </c>
    </row>
    <row r="2340" spans="1:7">
      <c r="A2340" s="46" t="s">
        <v>6552</v>
      </c>
      <c r="B2340" s="46" t="s">
        <v>6523</v>
      </c>
      <c r="C2340" s="46" t="s">
        <v>6552</v>
      </c>
      <c r="D2340" s="1018" t="s">
        <v>6638</v>
      </c>
      <c r="E2340" s="46" cm="1">
        <f t="array" ref="E2340">site_modeyr_slup</f>
        <v>0</v>
      </c>
      <c r="F2340" s="46" t="b">
        <v>1</v>
      </c>
    </row>
    <row r="2341" spans="1:7">
      <c r="A2341" s="46" t="s">
        <v>6553</v>
      </c>
      <c r="B2341" s="46" t="s">
        <v>6523</v>
      </c>
      <c r="C2341" s="46" t="s">
        <v>6553</v>
      </c>
      <c r="D2341" s="1018" t="s">
        <v>6626</v>
      </c>
      <c r="E2341" s="46" cm="1">
        <f t="array" ref="E2341">site_modeyr_others</f>
        <v>0</v>
      </c>
      <c r="F2341" s="46" t="b">
        <v>1</v>
      </c>
    </row>
    <row r="2342" spans="1:7">
      <c r="A2342" s="46" t="s">
        <v>6554</v>
      </c>
      <c r="B2342" s="46" t="s">
        <v>6523</v>
      </c>
      <c r="C2342" s="46" t="s">
        <v>6554</v>
      </c>
      <c r="D2342" s="1018" t="s">
        <v>6604</v>
      </c>
      <c r="E2342" s="46" cm="1">
        <f t="array" ref="E2342">site_mode_specify</f>
        <v>0</v>
      </c>
      <c r="F2342" s="46" t="b">
        <v>1</v>
      </c>
    </row>
    <row r="2343" spans="1:7">
      <c r="A2343" s="46" t="s">
        <v>6555</v>
      </c>
      <c r="B2343" s="46" t="s">
        <v>6523</v>
      </c>
      <c r="C2343" s="46" t="s">
        <v>6555</v>
      </c>
      <c r="D2343" s="1018" t="s">
        <v>6628</v>
      </c>
      <c r="E2343" s="46" t="b" cm="1">
        <f t="array" ref="E2343">site_mode_donation</f>
        <v>1</v>
      </c>
      <c r="F2343" s="1696" t="b">
        <f t="shared" ref="F2343:F2360" si="8">OR(E2343=TRUE, E2343=FALSE)</f>
        <v>1</v>
      </c>
      <c r="G2343" s="46" t="s">
        <v>11265</v>
      </c>
    </row>
    <row r="2344" spans="1:7">
      <c r="A2344" s="46" t="s">
        <v>6556</v>
      </c>
      <c r="B2344" s="46" t="s">
        <v>6523</v>
      </c>
      <c r="C2344" s="46" t="s">
        <v>6556</v>
      </c>
      <c r="D2344" s="1018" t="s">
        <v>6629</v>
      </c>
      <c r="E2344" s="46" t="b" cm="1">
        <f t="array" ref="E2344">site_mode_purchase</f>
        <v>1</v>
      </c>
      <c r="F2344" s="1696" t="b">
        <f t="shared" si="8"/>
        <v>1</v>
      </c>
      <c r="G2344" s="46" t="s">
        <v>11265</v>
      </c>
    </row>
    <row r="2345" spans="1:7">
      <c r="A2345" s="46" t="s">
        <v>6557</v>
      </c>
      <c r="B2345" s="46" t="s">
        <v>6523</v>
      </c>
      <c r="C2345" s="46" t="s">
        <v>6557</v>
      </c>
      <c r="D2345" s="1018" t="s">
        <v>6630</v>
      </c>
      <c r="E2345" s="46" t="b" cm="1">
        <f t="array" ref="E2345">site_mode_usufruct_agree</f>
        <v>0</v>
      </c>
      <c r="F2345" s="1696" t="b">
        <f t="shared" si="8"/>
        <v>1</v>
      </c>
      <c r="G2345" s="46" t="s">
        <v>11265</v>
      </c>
    </row>
    <row r="2346" spans="1:7">
      <c r="A2346" s="46" t="s">
        <v>6558</v>
      </c>
      <c r="B2346" s="46" t="s">
        <v>6523</v>
      </c>
      <c r="C2346" s="46" t="s">
        <v>6558</v>
      </c>
      <c r="D2346" s="1018" t="s">
        <v>6631</v>
      </c>
      <c r="E2346" s="46" t="b" cm="1">
        <f t="array" ref="E2346">site_mode_expropriation</f>
        <v>0</v>
      </c>
      <c r="F2346" s="1696" t="b">
        <f t="shared" si="8"/>
        <v>1</v>
      </c>
      <c r="G2346" s="46" t="s">
        <v>11265</v>
      </c>
    </row>
    <row r="2347" spans="1:7">
      <c r="A2347" s="46" t="s">
        <v>6559</v>
      </c>
      <c r="B2347" s="46" t="s">
        <v>6523</v>
      </c>
      <c r="C2347" s="46" t="s">
        <v>6559</v>
      </c>
      <c r="D2347" s="1018" t="s">
        <v>6632</v>
      </c>
      <c r="E2347" s="46" t="b" cm="1">
        <f t="array" ref="E2347">site_mode_exchange_swapping</f>
        <v>0</v>
      </c>
      <c r="F2347" s="1696" t="b">
        <f t="shared" si="8"/>
        <v>1</v>
      </c>
      <c r="G2347" s="46" t="s">
        <v>11265</v>
      </c>
    </row>
    <row r="2348" spans="1:7">
      <c r="A2348" s="46" t="s">
        <v>6560</v>
      </c>
      <c r="B2348" s="46" t="s">
        <v>6523</v>
      </c>
      <c r="C2348" s="46" t="s">
        <v>6560</v>
      </c>
      <c r="D2348" s="1018" t="s">
        <v>6633</v>
      </c>
      <c r="E2348" s="46" t="b" cm="1">
        <f t="array" ref="E2348">site_mode_pres_proc</f>
        <v>0</v>
      </c>
      <c r="F2348" s="1696" t="b">
        <f t="shared" si="8"/>
        <v>1</v>
      </c>
      <c r="G2348" s="46" t="s">
        <v>11265</v>
      </c>
    </row>
    <row r="2349" spans="1:7">
      <c r="A2349" s="46" t="s">
        <v>6561</v>
      </c>
      <c r="B2349" s="46" t="s">
        <v>6523</v>
      </c>
      <c r="C2349" s="46" t="s">
        <v>6561</v>
      </c>
      <c r="D2349" s="1018" t="s">
        <v>6634</v>
      </c>
      <c r="E2349" s="46" t="b" cm="1">
        <f t="array" ref="E2349">site_mode_spl_patent</f>
        <v>0</v>
      </c>
      <c r="F2349" s="1696" t="b">
        <f t="shared" si="8"/>
        <v>1</v>
      </c>
      <c r="G2349" s="46" t="s">
        <v>11265</v>
      </c>
    </row>
    <row r="2350" spans="1:7">
      <c r="A2350" s="46" t="s">
        <v>6562</v>
      </c>
      <c r="B2350" s="46" t="s">
        <v>6523</v>
      </c>
      <c r="C2350" s="46" t="s">
        <v>6562</v>
      </c>
      <c r="D2350" s="1018" t="s">
        <v>6635</v>
      </c>
      <c r="E2350" s="46" t="b" cm="1">
        <f t="array" ref="E2350">site_mode_cloa</f>
        <v>0</v>
      </c>
      <c r="F2350" s="1696" t="b">
        <f t="shared" si="8"/>
        <v>1</v>
      </c>
      <c r="G2350" s="46" t="s">
        <v>11265</v>
      </c>
    </row>
    <row r="2351" spans="1:7">
      <c r="A2351" s="46" t="s">
        <v>6563</v>
      </c>
      <c r="B2351" s="46" t="s">
        <v>6523</v>
      </c>
      <c r="C2351" s="46" t="s">
        <v>6563</v>
      </c>
      <c r="D2351" s="1018" t="s">
        <v>6637</v>
      </c>
      <c r="E2351" s="46" t="b" cm="1">
        <f t="array" ref="E2351">site_mode_slup</f>
        <v>0</v>
      </c>
      <c r="F2351" s="1696" t="b">
        <f t="shared" si="8"/>
        <v>1</v>
      </c>
      <c r="G2351" s="46" t="s">
        <v>11265</v>
      </c>
    </row>
    <row r="2352" spans="1:7">
      <c r="A2352" s="46" t="s">
        <v>6564</v>
      </c>
      <c r="B2352" s="46" t="s">
        <v>6523</v>
      </c>
      <c r="C2352" s="46" t="s">
        <v>6564</v>
      </c>
      <c r="D2352" s="1018" t="s">
        <v>6636</v>
      </c>
      <c r="E2352" s="46" t="b" cm="1">
        <f t="array" ref="E2352">site_mode_others</f>
        <v>0</v>
      </c>
      <c r="F2352" s="1696" t="b">
        <f t="shared" si="8"/>
        <v>1</v>
      </c>
      <c r="G2352" s="46" t="s">
        <v>11265</v>
      </c>
    </row>
    <row r="2353" spans="1:8">
      <c r="A2353" s="46" t="s">
        <v>6565</v>
      </c>
      <c r="B2353" s="46" t="s">
        <v>6523</v>
      </c>
      <c r="C2353" s="46" t="s">
        <v>6565</v>
      </c>
      <c r="D2353" s="1018" t="s">
        <v>6639</v>
      </c>
      <c r="E2353" s="46" t="b" cm="1">
        <f t="array" ref="E2353">site_w_ancesdom_usuyes</f>
        <v>0</v>
      </c>
      <c r="F2353" s="1696" t="b">
        <f t="shared" si="8"/>
        <v>1</v>
      </c>
      <c r="G2353" s="46" t="s">
        <v>11265</v>
      </c>
    </row>
    <row r="2354" spans="1:8">
      <c r="A2354" s="46" t="s">
        <v>6566</v>
      </c>
      <c r="B2354" s="46" t="s">
        <v>6523</v>
      </c>
      <c r="C2354" s="46" t="s">
        <v>6566</v>
      </c>
      <c r="D2354" s="1018" t="s">
        <v>6640</v>
      </c>
      <c r="E2354" s="46" t="b" cm="1">
        <f t="array" ref="E2354">site_w_ancesdom_cadtyes</f>
        <v>0</v>
      </c>
      <c r="F2354" s="1696" t="b">
        <f t="shared" si="8"/>
        <v>1</v>
      </c>
      <c r="G2354" s="46" t="s">
        <v>11265</v>
      </c>
    </row>
    <row r="2355" spans="1:8">
      <c r="A2355" s="46" t="s">
        <v>6567</v>
      </c>
      <c r="B2355" s="46" t="s">
        <v>6523</v>
      </c>
      <c r="C2355" s="46" t="s">
        <v>6567</v>
      </c>
      <c r="D2355" s="1018" t="s">
        <v>6644</v>
      </c>
      <c r="E2355" s="46" t="b" cm="1">
        <f t="array" ref="E2355">site_w_ancesland_usuyes</f>
        <v>0</v>
      </c>
      <c r="F2355" s="1696" t="b">
        <f t="shared" si="8"/>
        <v>1</v>
      </c>
      <c r="G2355" s="46" t="s">
        <v>11265</v>
      </c>
    </row>
    <row r="2356" spans="1:8">
      <c r="A2356" s="46" t="s">
        <v>6568</v>
      </c>
      <c r="B2356" s="46" t="s">
        <v>6523</v>
      </c>
      <c r="C2356" s="46" t="s">
        <v>6568</v>
      </c>
      <c r="D2356" s="1018" t="s">
        <v>6645</v>
      </c>
      <c r="E2356" s="46" t="b" cm="1">
        <f t="array" ref="E2356">site_w_ancesland_caltyes</f>
        <v>0</v>
      </c>
      <c r="F2356" s="1696" t="b">
        <f t="shared" si="8"/>
        <v>1</v>
      </c>
      <c r="G2356" s="46" t="s">
        <v>11265</v>
      </c>
    </row>
    <row r="2357" spans="1:8">
      <c r="A2357" s="46" t="s">
        <v>6569</v>
      </c>
      <c r="B2357" s="46" t="s">
        <v>6523</v>
      </c>
      <c r="C2357" s="46" t="s">
        <v>6569</v>
      </c>
      <c r="D2357" s="1018" t="s">
        <v>6646</v>
      </c>
      <c r="E2357" s="46" t="b" cm="1">
        <f t="array" ref="E2357">site_leg_own_adverseclaim</f>
        <v>1</v>
      </c>
      <c r="F2357" s="1696" t="b">
        <f t="shared" si="8"/>
        <v>1</v>
      </c>
      <c r="G2357" s="46" t="s">
        <v>11265</v>
      </c>
    </row>
    <row r="2358" spans="1:8">
      <c r="A2358" s="46" t="s">
        <v>6570</v>
      </c>
      <c r="B2358" s="46" t="s">
        <v>6523</v>
      </c>
      <c r="C2358" s="46" t="s">
        <v>6570</v>
      </c>
      <c r="D2358" s="1018" t="s">
        <v>6641</v>
      </c>
      <c r="E2358" s="46" t="b" cm="1">
        <f t="array" ref="E2358">site_leg_own_encroach</f>
        <v>0</v>
      </c>
      <c r="F2358" s="1696" t="b">
        <f t="shared" si="8"/>
        <v>1</v>
      </c>
      <c r="G2358" s="46" t="s">
        <v>11265</v>
      </c>
    </row>
    <row r="2359" spans="1:8">
      <c r="A2359" s="46" t="s">
        <v>6571</v>
      </c>
      <c r="B2359" s="46" t="s">
        <v>6523</v>
      </c>
      <c r="C2359" s="46" t="s">
        <v>6571</v>
      </c>
      <c r="D2359" s="1018" t="s">
        <v>6642</v>
      </c>
      <c r="E2359" s="46" t="b" cm="1">
        <f t="array" ref="E2359">site_leg_own_willegalsetler</f>
        <v>0</v>
      </c>
      <c r="F2359" s="1696" t="b">
        <f t="shared" si="8"/>
        <v>1</v>
      </c>
      <c r="G2359" s="46" t="s">
        <v>11265</v>
      </c>
    </row>
    <row r="2360" spans="1:8">
      <c r="A2360" s="46" t="s">
        <v>6572</v>
      </c>
      <c r="B2360" s="46" t="s">
        <v>6523</v>
      </c>
      <c r="C2360" s="46" t="s">
        <v>6572</v>
      </c>
      <c r="D2360" s="1018" t="s">
        <v>6643</v>
      </c>
      <c r="E2360" s="46" t="b" cm="1">
        <f t="array" ref="E2360">site_leg_own_others</f>
        <v>0</v>
      </c>
      <c r="F2360" s="1696" t="b">
        <f t="shared" si="8"/>
        <v>1</v>
      </c>
      <c r="G2360" s="46" t="s">
        <v>11265</v>
      </c>
    </row>
    <row r="2361" spans="1:8">
      <c r="A2361" s="46" t="s">
        <v>6573</v>
      </c>
      <c r="B2361" s="46" t="s">
        <v>6523</v>
      </c>
      <c r="C2361" s="46" t="s">
        <v>6573</v>
      </c>
      <c r="D2361" s="1018" t="s">
        <v>6647</v>
      </c>
      <c r="E2361" s="46" cm="1">
        <f t="array" ref="E2361">site_leg_own_specify</f>
        <v>0</v>
      </c>
      <c r="F2361" s="46" t="b">
        <v>1</v>
      </c>
    </row>
    <row r="2362" spans="1:8">
      <c r="A2362" s="46" t="s">
        <v>6574</v>
      </c>
      <c r="B2362" s="46" t="s">
        <v>6523</v>
      </c>
      <c r="C2362" s="46" t="s">
        <v>6574</v>
      </c>
      <c r="D2362" s="1018" t="s">
        <v>6648</v>
      </c>
      <c r="E2362" s="46" t="b">
        <f>site_schsite_protec_area</f>
        <v>0</v>
      </c>
      <c r="F2362" s="1696" t="b">
        <f t="shared" ref="F2362:F2371" si="9">OR(E2362=TRUE, E2362=FALSE)</f>
        <v>1</v>
      </c>
      <c r="G2362" s="46" t="s">
        <v>11265</v>
      </c>
    </row>
    <row r="2363" spans="1:8" ht="16.5" thickBot="1">
      <c r="A2363" s="479" t="s">
        <v>6575</v>
      </c>
      <c r="B2363" s="479" t="s">
        <v>6523</v>
      </c>
      <c r="C2363" s="479" t="s">
        <v>6575</v>
      </c>
      <c r="D2363" s="1019" t="s">
        <v>6649</v>
      </c>
      <c r="E2363" s="479" t="b" cm="1">
        <f t="array" ref="E2363">site_schsite_timber_forest</f>
        <v>0</v>
      </c>
      <c r="F2363" s="1697" t="b">
        <f t="shared" si="9"/>
        <v>1</v>
      </c>
      <c r="G2363" s="479" t="s">
        <v>11265</v>
      </c>
      <c r="H2363" s="479"/>
    </row>
    <row r="2364" spans="1:8" ht="16.5" thickTop="1">
      <c r="A2364" s="46" t="s">
        <v>6576</v>
      </c>
      <c r="B2364" s="46" t="s">
        <v>6577</v>
      </c>
      <c r="C2364" s="46" t="s">
        <v>6576</v>
      </c>
      <c r="D2364" s="1018" t="s">
        <v>6613</v>
      </c>
      <c r="E2364" s="46" t="b" cm="1">
        <f t="array" ref="E2364">loc_althighway</f>
        <v>1</v>
      </c>
      <c r="F2364" s="1696" t="b">
        <f t="shared" si="9"/>
        <v>1</v>
      </c>
      <c r="G2364" s="46" t="s">
        <v>11265</v>
      </c>
    </row>
    <row r="2365" spans="1:8">
      <c r="A2365" s="46" t="s">
        <v>6578</v>
      </c>
      <c r="B2365" s="46" t="s">
        <v>6577</v>
      </c>
      <c r="C2365" s="46" t="s">
        <v>6578</v>
      </c>
      <c r="D2365" s="1018" t="s">
        <v>6605</v>
      </c>
      <c r="E2365" s="46" t="b" cm="1">
        <f t="array" ref="E2365">loc_bythillside</f>
        <v>0</v>
      </c>
      <c r="F2365" s="1696" t="b">
        <f t="shared" si="9"/>
        <v>1</v>
      </c>
      <c r="G2365" s="46" t="s">
        <v>11265</v>
      </c>
    </row>
    <row r="2366" spans="1:8">
      <c r="A2366" s="46" t="s">
        <v>6579</v>
      </c>
      <c r="B2366" s="46" t="s">
        <v>6577</v>
      </c>
      <c r="C2366" s="46" t="s">
        <v>6579</v>
      </c>
      <c r="D2366" s="1018" t="s">
        <v>6606</v>
      </c>
      <c r="E2366" s="46" t="b" cm="1">
        <f t="array" ref="E2366">loc_ontopmount</f>
        <v>0</v>
      </c>
      <c r="F2366" s="1696" t="b">
        <f t="shared" si="9"/>
        <v>1</v>
      </c>
      <c r="G2366" s="46" t="s">
        <v>11265</v>
      </c>
    </row>
    <row r="2367" spans="1:8">
      <c r="A2367" s="46" t="s">
        <v>6580</v>
      </c>
      <c r="B2367" s="46" t="s">
        <v>6577</v>
      </c>
      <c r="C2367" s="46" t="s">
        <v>6580</v>
      </c>
      <c r="D2367" s="1018" t="s">
        <v>6607</v>
      </c>
      <c r="E2367" s="46" t="b" cm="1">
        <f t="array" ref="E2367">loc_onsmllisland</f>
        <v>0</v>
      </c>
      <c r="F2367" s="1696" t="b">
        <f t="shared" si="9"/>
        <v>1</v>
      </c>
      <c r="G2367" s="46" t="s">
        <v>11265</v>
      </c>
    </row>
    <row r="2368" spans="1:8">
      <c r="A2368" s="46" t="s">
        <v>6581</v>
      </c>
      <c r="B2368" s="46" t="s">
        <v>6577</v>
      </c>
      <c r="C2368" s="46" t="s">
        <v>6581</v>
      </c>
      <c r="D2368" s="1018" t="s">
        <v>6608</v>
      </c>
      <c r="E2368" s="46" t="b" cm="1">
        <f t="array" ref="E2368">loc_nearcoast</f>
        <v>0</v>
      </c>
      <c r="F2368" s="1696" t="b">
        <f t="shared" si="9"/>
        <v>1</v>
      </c>
      <c r="G2368" s="46" t="s">
        <v>11265</v>
      </c>
    </row>
    <row r="2369" spans="1:8">
      <c r="A2369" s="46" t="s">
        <v>6582</v>
      </c>
      <c r="B2369" s="46" t="s">
        <v>6577</v>
      </c>
      <c r="C2369" s="46" t="s">
        <v>6582</v>
      </c>
      <c r="D2369" s="1018" t="s">
        <v>6609</v>
      </c>
      <c r="E2369" s="46" t="b" cm="1">
        <f t="array" ref="E2369">loc_nearriverwway</f>
        <v>1</v>
      </c>
      <c r="F2369" s="1696" t="b">
        <f t="shared" si="9"/>
        <v>1</v>
      </c>
      <c r="G2369" s="46" t="s">
        <v>11265</v>
      </c>
    </row>
    <row r="2370" spans="1:8">
      <c r="A2370" s="46" t="s">
        <v>6583</v>
      </c>
      <c r="B2370" s="46" t="s">
        <v>6577</v>
      </c>
      <c r="C2370" s="46" t="s">
        <v>6583</v>
      </c>
      <c r="D2370" s="1018" t="s">
        <v>6610</v>
      </c>
      <c r="E2370" s="46" t="b" cm="1">
        <f t="array" ref="E2370">loc_nearfaultl</f>
        <v>0</v>
      </c>
      <c r="F2370" s="1696" t="b">
        <f t="shared" si="9"/>
        <v>1</v>
      </c>
      <c r="G2370" s="46" t="s">
        <v>11265</v>
      </c>
    </row>
    <row r="2371" spans="1:8">
      <c r="A2371" s="46" t="s">
        <v>6584</v>
      </c>
      <c r="B2371" s="46" t="s">
        <v>6577</v>
      </c>
      <c r="C2371" s="46" t="s">
        <v>6584</v>
      </c>
      <c r="D2371" s="1018" t="s">
        <v>6611</v>
      </c>
      <c r="E2371" s="46" t="b" cm="1">
        <f t="array" ref="E2371">loc_other</f>
        <v>0</v>
      </c>
      <c r="F2371" s="1696" t="b">
        <f t="shared" si="9"/>
        <v>1</v>
      </c>
      <c r="G2371" s="46" t="s">
        <v>11265</v>
      </c>
    </row>
    <row r="2372" spans="1:8" ht="16.5" thickBot="1">
      <c r="A2372" s="479" t="s">
        <v>6585</v>
      </c>
      <c r="B2372" s="479" t="s">
        <v>6577</v>
      </c>
      <c r="C2372" s="479" t="s">
        <v>6585</v>
      </c>
      <c r="D2372" s="1019" t="s">
        <v>6612</v>
      </c>
      <c r="E2372" s="479" cm="1">
        <f t="array" ref="E2372">loc_other_specify</f>
        <v>0</v>
      </c>
      <c r="F2372" s="479" t="b">
        <v>1</v>
      </c>
      <c r="G2372" s="479"/>
      <c r="H2372" s="479"/>
    </row>
    <row r="2373" spans="1:8" ht="16.5" thickTop="1">
      <c r="A2373" s="46" t="s">
        <v>11344</v>
      </c>
      <c r="B2373" s="46" t="s">
        <v>6655</v>
      </c>
      <c r="C2373" s="46" t="s">
        <v>11344</v>
      </c>
      <c r="D2373" s="1018" t="s">
        <v>6727</v>
      </c>
      <c r="E2373" s="46" cm="1">
        <f t="array" ref="E2373">sch_heath_vacc_mcv_g11_m</f>
        <v>0</v>
      </c>
      <c r="F2373" s="46" t="b">
        <v>1</v>
      </c>
    </row>
    <row r="2374" spans="1:8">
      <c r="A2374" s="46" t="s">
        <v>11345</v>
      </c>
      <c r="B2374" s="46" t="s">
        <v>6655</v>
      </c>
      <c r="C2374" s="46" t="s">
        <v>11345</v>
      </c>
      <c r="D2374" s="1018" t="s">
        <v>6728</v>
      </c>
      <c r="E2374" s="46" cm="1">
        <f t="array" ref="E2374">sch_heath_vacc_mcv_g11_f</f>
        <v>0</v>
      </c>
      <c r="F2374" s="46" t="b">
        <v>1</v>
      </c>
    </row>
    <row r="2375" spans="1:8">
      <c r="A2375" s="46" t="s">
        <v>11346</v>
      </c>
      <c r="B2375" s="46" t="s">
        <v>6655</v>
      </c>
      <c r="C2375" s="46" t="s">
        <v>11346</v>
      </c>
      <c r="D2375" s="1018" t="s">
        <v>6729</v>
      </c>
      <c r="E2375" s="46" cm="1">
        <f t="array" ref="E2375">sch_heath_vacc_mcv_g12_m</f>
        <v>0</v>
      </c>
      <c r="F2375" s="46" t="b">
        <v>1</v>
      </c>
    </row>
    <row r="2376" spans="1:8">
      <c r="A2376" s="46" t="s">
        <v>11347</v>
      </c>
      <c r="B2376" s="46" t="s">
        <v>6655</v>
      </c>
      <c r="C2376" s="46" t="s">
        <v>11347</v>
      </c>
      <c r="D2376" s="1018" t="s">
        <v>6730</v>
      </c>
      <c r="E2376" s="46" cm="1">
        <f t="array" ref="E2376">sch_heath_vacc_mcv_g12_f</f>
        <v>0</v>
      </c>
      <c r="F2376" s="46" t="b">
        <v>1</v>
      </c>
    </row>
    <row r="2377" spans="1:8">
      <c r="A2377" s="46" t="s">
        <v>11348</v>
      </c>
      <c r="B2377" s="46" t="s">
        <v>6655</v>
      </c>
      <c r="C2377" s="46" t="s">
        <v>11348</v>
      </c>
      <c r="D2377" s="1018" t="s">
        <v>6695</v>
      </c>
      <c r="E2377" s="46" cm="1">
        <f t="array" ref="E2377">sch_heath_vacc_td_g11_m</f>
        <v>0</v>
      </c>
      <c r="F2377" s="46" t="b">
        <v>1</v>
      </c>
    </row>
    <row r="2378" spans="1:8">
      <c r="A2378" s="46" t="s">
        <v>11349</v>
      </c>
      <c r="B2378" s="46" t="s">
        <v>6655</v>
      </c>
      <c r="C2378" s="46" t="s">
        <v>11349</v>
      </c>
      <c r="D2378" s="1018" t="s">
        <v>6696</v>
      </c>
      <c r="E2378" s="46" cm="1">
        <f t="array" ref="E2378">sch_heath_vacc_td_g11_f</f>
        <v>0</v>
      </c>
      <c r="F2378" s="46" t="b">
        <v>1</v>
      </c>
    </row>
    <row r="2379" spans="1:8">
      <c r="A2379" s="46" t="s">
        <v>11350</v>
      </c>
      <c r="B2379" s="46" t="s">
        <v>6655</v>
      </c>
      <c r="C2379" s="46" t="s">
        <v>11350</v>
      </c>
      <c r="D2379" s="1018" t="s">
        <v>6697</v>
      </c>
      <c r="E2379" s="46" cm="1">
        <f t="array" ref="E2379">sch_heath_vacc_td_g12_m</f>
        <v>0</v>
      </c>
      <c r="F2379" s="46" t="b">
        <v>1</v>
      </c>
    </row>
    <row r="2380" spans="1:8" s="479" customFormat="1" ht="16.5" thickBot="1">
      <c r="A2380" s="479" t="s">
        <v>11351</v>
      </c>
      <c r="B2380" s="479" t="s">
        <v>6655</v>
      </c>
      <c r="C2380" s="479" t="s">
        <v>11351</v>
      </c>
      <c r="D2380" s="1019" t="s">
        <v>6698</v>
      </c>
      <c r="E2380" s="479" cm="1">
        <f t="array" ref="E2380">sch_heath_vacc_td_g12_f</f>
        <v>0</v>
      </c>
      <c r="F2380" s="479" t="b">
        <v>1</v>
      </c>
    </row>
    <row r="2381" spans="1:8" ht="16.5" thickTop="1">
      <c r="A2381" s="46" t="s">
        <v>6656</v>
      </c>
      <c r="B2381" s="46" t="s">
        <v>6657</v>
      </c>
      <c r="C2381" s="46" t="s">
        <v>6656</v>
      </c>
      <c r="D2381" s="1018" t="s">
        <v>6731</v>
      </c>
      <c r="E2381" s="46" cm="1">
        <f t="array" ref="E2381">sch_health_nsw_normal_g11_m</f>
        <v>270</v>
      </c>
      <c r="F2381" s="46" t="b">
        <v>1</v>
      </c>
    </row>
    <row r="2382" spans="1:8">
      <c r="A2382" s="46" t="s">
        <v>6658</v>
      </c>
      <c r="B2382" s="46" t="s">
        <v>6657</v>
      </c>
      <c r="C2382" s="46" t="s">
        <v>6658</v>
      </c>
      <c r="D2382" s="1018" t="s">
        <v>6732</v>
      </c>
      <c r="E2382" s="46" cm="1">
        <f t="array" ref="E2382">sch_health_nsw_normal_g11_f</f>
        <v>180</v>
      </c>
      <c r="F2382" s="46" t="b">
        <v>1</v>
      </c>
    </row>
    <row r="2383" spans="1:8">
      <c r="A2383" s="46" t="s">
        <v>6659</v>
      </c>
      <c r="B2383" s="46" t="s">
        <v>6657</v>
      </c>
      <c r="C2383" s="46" t="s">
        <v>6659</v>
      </c>
      <c r="D2383" s="1018" t="s">
        <v>6733</v>
      </c>
      <c r="E2383" s="46" cm="1">
        <f t="array" ref="E2383">sch_health_nsw_normal_g12_m</f>
        <v>201</v>
      </c>
      <c r="F2383" s="46" t="b">
        <v>1</v>
      </c>
    </row>
    <row r="2384" spans="1:8">
      <c r="A2384" s="46" t="s">
        <v>6660</v>
      </c>
      <c r="B2384" s="46" t="s">
        <v>6657</v>
      </c>
      <c r="C2384" s="46" t="s">
        <v>6660</v>
      </c>
      <c r="D2384" s="1018" t="s">
        <v>6734</v>
      </c>
      <c r="E2384" s="46" cm="1">
        <f t="array" ref="E2384">sch_health_nsw_normal_g12_f</f>
        <v>222</v>
      </c>
      <c r="F2384" s="46" t="b">
        <v>1</v>
      </c>
    </row>
    <row r="2385" spans="1:6">
      <c r="A2385" s="46" t="s">
        <v>6661</v>
      </c>
      <c r="B2385" s="46" t="s">
        <v>6657</v>
      </c>
      <c r="C2385" s="46" t="s">
        <v>6661</v>
      </c>
      <c r="D2385" s="1018" t="s">
        <v>6699</v>
      </c>
      <c r="E2385" s="46" cm="1">
        <f t="array" ref="E2385">sch_health_nsw_obese_g11_m</f>
        <v>0</v>
      </c>
      <c r="F2385" s="46" t="b">
        <v>1</v>
      </c>
    </row>
    <row r="2386" spans="1:6">
      <c r="A2386" s="46" t="s">
        <v>6662</v>
      </c>
      <c r="B2386" s="46" t="s">
        <v>6657</v>
      </c>
      <c r="C2386" s="46" t="s">
        <v>6662</v>
      </c>
      <c r="D2386" s="1018" t="s">
        <v>6700</v>
      </c>
      <c r="E2386" s="46" cm="1">
        <f t="array" ref="E2386">sch_health_nsw_obese_g11_f</f>
        <v>0</v>
      </c>
      <c r="F2386" s="46" t="b">
        <v>1</v>
      </c>
    </row>
    <row r="2387" spans="1:6">
      <c r="A2387" s="46" t="s">
        <v>6663</v>
      </c>
      <c r="B2387" s="46" t="s">
        <v>6657</v>
      </c>
      <c r="C2387" s="46" t="s">
        <v>6663</v>
      </c>
      <c r="D2387" s="1018" t="s">
        <v>6701</v>
      </c>
      <c r="E2387" s="46" cm="1">
        <f t="array" ref="E2387">sch_health_nsw_obese_g12_m</f>
        <v>0</v>
      </c>
      <c r="F2387" s="46" t="b">
        <v>1</v>
      </c>
    </row>
    <row r="2388" spans="1:6">
      <c r="A2388" s="46" t="s">
        <v>6664</v>
      </c>
      <c r="B2388" s="46" t="s">
        <v>6657</v>
      </c>
      <c r="C2388" s="46" t="s">
        <v>6664</v>
      </c>
      <c r="D2388" s="1018" t="s">
        <v>6702</v>
      </c>
      <c r="E2388" s="46" cm="1">
        <f t="array" ref="E2388">sch_health_nsw_obese_g12_f</f>
        <v>0</v>
      </c>
      <c r="F2388" s="46" t="b">
        <v>1</v>
      </c>
    </row>
    <row r="2389" spans="1:6">
      <c r="A2389" s="46" t="s">
        <v>6665</v>
      </c>
      <c r="B2389" s="46" t="s">
        <v>6657</v>
      </c>
      <c r="C2389" s="46" t="s">
        <v>6665</v>
      </c>
      <c r="D2389" s="1018" t="s">
        <v>6703</v>
      </c>
      <c r="E2389" s="46" cm="1">
        <f t="array" ref="E2389">sch_health_nsw_overweight_g11_m</f>
        <v>13</v>
      </c>
      <c r="F2389" s="46" t="b">
        <v>1</v>
      </c>
    </row>
    <row r="2390" spans="1:6">
      <c r="A2390" s="46" t="s">
        <v>6666</v>
      </c>
      <c r="B2390" s="46" t="s">
        <v>6657</v>
      </c>
      <c r="C2390" s="46" t="s">
        <v>6666</v>
      </c>
      <c r="D2390" s="1018" t="s">
        <v>6704</v>
      </c>
      <c r="E2390" s="46" cm="1">
        <f t="array" ref="E2390">sch_health_nsw_overweight_g11_f</f>
        <v>0</v>
      </c>
      <c r="F2390" s="46" t="b">
        <v>1</v>
      </c>
    </row>
    <row r="2391" spans="1:6">
      <c r="A2391" s="46" t="s">
        <v>6667</v>
      </c>
      <c r="B2391" s="46" t="s">
        <v>6657</v>
      </c>
      <c r="C2391" s="46" t="s">
        <v>6667</v>
      </c>
      <c r="D2391" s="1018" t="s">
        <v>6705</v>
      </c>
      <c r="E2391" s="46" cm="1">
        <f t="array" ref="E2391">sch_health_nsw_overweight_g12_m</f>
        <v>9</v>
      </c>
      <c r="F2391" s="46" t="b">
        <v>1</v>
      </c>
    </row>
    <row r="2392" spans="1:6">
      <c r="A2392" s="46" t="s">
        <v>6668</v>
      </c>
      <c r="B2392" s="46" t="s">
        <v>6657</v>
      </c>
      <c r="C2392" s="46" t="s">
        <v>6668</v>
      </c>
      <c r="D2392" s="1018" t="s">
        <v>6706</v>
      </c>
      <c r="E2392" s="46" cm="1">
        <f t="array" ref="E2392">sch_health_nsw_overweight_g12_f</f>
        <v>0</v>
      </c>
      <c r="F2392" s="46" t="b">
        <v>1</v>
      </c>
    </row>
    <row r="2393" spans="1:6">
      <c r="A2393" s="46" t="s">
        <v>6669</v>
      </c>
      <c r="B2393" s="46" t="s">
        <v>6657</v>
      </c>
      <c r="C2393" s="46" t="s">
        <v>6669</v>
      </c>
      <c r="D2393" s="1018" t="s">
        <v>6707</v>
      </c>
      <c r="E2393" s="46" cm="1">
        <f t="array" ref="E2393">sch_health_nsw_severelywasted_g11_m</f>
        <v>4</v>
      </c>
      <c r="F2393" s="46" t="b">
        <v>1</v>
      </c>
    </row>
    <row r="2394" spans="1:6">
      <c r="A2394" s="46" t="s">
        <v>6670</v>
      </c>
      <c r="B2394" s="46" t="s">
        <v>6657</v>
      </c>
      <c r="C2394" s="46" t="s">
        <v>6670</v>
      </c>
      <c r="D2394" s="1018" t="s">
        <v>6708</v>
      </c>
      <c r="E2394" s="46" cm="1">
        <f t="array" ref="E2394">sch_health_nsw_severelywasted_g11_f</f>
        <v>0</v>
      </c>
      <c r="F2394" s="46" t="b">
        <v>1</v>
      </c>
    </row>
    <row r="2395" spans="1:6">
      <c r="A2395" s="46" t="s">
        <v>6671</v>
      </c>
      <c r="B2395" s="46" t="s">
        <v>6657</v>
      </c>
      <c r="C2395" s="46" t="s">
        <v>6671</v>
      </c>
      <c r="D2395" s="1018" t="s">
        <v>6709</v>
      </c>
      <c r="E2395" s="46" cm="1">
        <f t="array" ref="E2395">sch_health_nsw_severelywasted_g12_m</f>
        <v>12</v>
      </c>
      <c r="F2395" s="46" t="b">
        <v>1</v>
      </c>
    </row>
    <row r="2396" spans="1:6">
      <c r="A2396" s="46" t="s">
        <v>6672</v>
      </c>
      <c r="B2396" s="46" t="s">
        <v>6657</v>
      </c>
      <c r="C2396" s="46" t="s">
        <v>6672</v>
      </c>
      <c r="D2396" s="1018" t="s">
        <v>6710</v>
      </c>
      <c r="E2396" s="46" cm="1">
        <f t="array" ref="E2396">sch_health_nsw_severelywasted_g12_f</f>
        <v>0</v>
      </c>
      <c r="F2396" s="46" t="b">
        <v>1</v>
      </c>
    </row>
    <row r="2397" spans="1:6">
      <c r="A2397" s="46" t="s">
        <v>6673</v>
      </c>
      <c r="B2397" s="46" t="s">
        <v>6657</v>
      </c>
      <c r="C2397" s="46" t="s">
        <v>6673</v>
      </c>
      <c r="D2397" s="1018" t="s">
        <v>6711</v>
      </c>
      <c r="E2397" s="46" cm="1">
        <f t="array" ref="E2397">sch_health_nsw_wasted_g11_m</f>
        <v>33</v>
      </c>
      <c r="F2397" s="46" t="b">
        <v>1</v>
      </c>
    </row>
    <row r="2398" spans="1:6">
      <c r="A2398" s="46" t="s">
        <v>6674</v>
      </c>
      <c r="B2398" s="46" t="s">
        <v>6657</v>
      </c>
      <c r="C2398" s="46" t="s">
        <v>6674</v>
      </c>
      <c r="D2398" s="1018" t="s">
        <v>6712</v>
      </c>
      <c r="E2398" s="46" cm="1">
        <f t="array" ref="E2398">sch_health_nsw_wasted_g11_f</f>
        <v>40</v>
      </c>
      <c r="F2398" s="46" t="b">
        <v>1</v>
      </c>
    </row>
    <row r="2399" spans="1:6">
      <c r="A2399" s="46" t="s">
        <v>6675</v>
      </c>
      <c r="B2399" s="46" t="s">
        <v>6657</v>
      </c>
      <c r="C2399" s="46" t="s">
        <v>6675</v>
      </c>
      <c r="D2399" s="1018" t="s">
        <v>6713</v>
      </c>
      <c r="E2399" s="46" cm="1">
        <f t="array" ref="E2399">sch_health_nsw_wasted_g12_m</f>
        <v>17</v>
      </c>
      <c r="F2399" s="46" t="b">
        <v>1</v>
      </c>
    </row>
    <row r="2400" spans="1:6">
      <c r="A2400" s="46" t="s">
        <v>6676</v>
      </c>
      <c r="B2400" s="46" t="s">
        <v>6657</v>
      </c>
      <c r="C2400" s="46" t="s">
        <v>6676</v>
      </c>
      <c r="D2400" s="1018" t="s">
        <v>6714</v>
      </c>
      <c r="E2400" s="46" cm="1">
        <f t="array" ref="E2400">sch_health_nsw_wasted_g12_f</f>
        <v>26</v>
      </c>
      <c r="F2400" s="46" t="b">
        <v>1</v>
      </c>
    </row>
    <row r="2401" spans="1:6">
      <c r="A2401" s="46" t="s">
        <v>6677</v>
      </c>
      <c r="B2401" s="46" t="s">
        <v>6657</v>
      </c>
      <c r="C2401" s="46" t="s">
        <v>6677</v>
      </c>
      <c r="D2401" s="1018" t="s">
        <v>6735</v>
      </c>
      <c r="E2401" s="46" cm="1">
        <f t="array" ref="E2401">sch_health_nsh_severely_stunted_g11_m</f>
        <v>70</v>
      </c>
      <c r="F2401" s="46" t="b">
        <v>1</v>
      </c>
    </row>
    <row r="2402" spans="1:6">
      <c r="A2402" s="46" t="s">
        <v>6678</v>
      </c>
      <c r="B2402" s="46" t="s">
        <v>6657</v>
      </c>
      <c r="C2402" s="46" t="s">
        <v>6678</v>
      </c>
      <c r="D2402" s="1018" t="s">
        <v>6736</v>
      </c>
      <c r="E2402" s="46" cm="1">
        <f t="array" ref="E2402">sch_health_nsh_severely_stunted_g11_f</f>
        <v>4</v>
      </c>
      <c r="F2402" s="46" t="b">
        <v>1</v>
      </c>
    </row>
    <row r="2403" spans="1:6">
      <c r="A2403" s="46" t="s">
        <v>6679</v>
      </c>
      <c r="B2403" s="46" t="s">
        <v>6657</v>
      </c>
      <c r="C2403" s="46" t="s">
        <v>6679</v>
      </c>
      <c r="D2403" s="1018" t="s">
        <v>6737</v>
      </c>
      <c r="E2403" s="46" cm="1">
        <f t="array" ref="E2403">sch_health_nsh_severely_stunted_g12_m</f>
        <v>35</v>
      </c>
      <c r="F2403" s="46" t="b">
        <v>1</v>
      </c>
    </row>
    <row r="2404" spans="1:6">
      <c r="A2404" s="46" t="s">
        <v>6680</v>
      </c>
      <c r="B2404" s="46" t="s">
        <v>6657</v>
      </c>
      <c r="C2404" s="46" t="s">
        <v>6680</v>
      </c>
      <c r="D2404" s="1018" t="s">
        <v>6738</v>
      </c>
      <c r="E2404" s="46" cm="1">
        <f t="array" ref="E2404">sch_health_nsh_severely_stunted_g12_f</f>
        <v>4</v>
      </c>
      <c r="F2404" s="46" t="b">
        <v>1</v>
      </c>
    </row>
    <row r="2405" spans="1:6">
      <c r="A2405" s="46" t="s">
        <v>6681</v>
      </c>
      <c r="B2405" s="46" t="s">
        <v>6657</v>
      </c>
      <c r="C2405" s="46" t="s">
        <v>6681</v>
      </c>
      <c r="D2405" s="1018" t="s">
        <v>6715</v>
      </c>
      <c r="E2405" s="46" cm="1">
        <f t="array" ref="E2405">sch_health_nsh_stunted_g11_m</f>
        <v>112</v>
      </c>
      <c r="F2405" s="46" t="b">
        <v>1</v>
      </c>
    </row>
    <row r="2406" spans="1:6">
      <c r="A2406" s="46" t="s">
        <v>6682</v>
      </c>
      <c r="B2406" s="46" t="s">
        <v>6657</v>
      </c>
      <c r="C2406" s="46" t="s">
        <v>6682</v>
      </c>
      <c r="D2406" s="1018" t="s">
        <v>6716</v>
      </c>
      <c r="E2406" s="46" cm="1">
        <f t="array" ref="E2406">sch_health_nsh_stunted_g11_f</f>
        <v>21</v>
      </c>
      <c r="F2406" s="46" t="b">
        <v>1</v>
      </c>
    </row>
    <row r="2407" spans="1:6">
      <c r="A2407" s="46" t="s">
        <v>6683</v>
      </c>
      <c r="B2407" s="46" t="s">
        <v>6657</v>
      </c>
      <c r="C2407" s="46" t="s">
        <v>6683</v>
      </c>
      <c r="D2407" s="1018" t="s">
        <v>6717</v>
      </c>
      <c r="E2407" s="46" cm="1">
        <f t="array" ref="E2407">sch_health_nsh_stunted_g12_m</f>
        <v>121</v>
      </c>
      <c r="F2407" s="46" t="b">
        <v>1</v>
      </c>
    </row>
    <row r="2408" spans="1:6">
      <c r="A2408" s="46" t="s">
        <v>6684</v>
      </c>
      <c r="B2408" s="46" t="s">
        <v>6657</v>
      </c>
      <c r="C2408" s="46" t="s">
        <v>6684</v>
      </c>
      <c r="D2408" s="1018" t="s">
        <v>6718</v>
      </c>
      <c r="E2408" s="46" cm="1">
        <f t="array" ref="E2408">sch_health_nsh_stunted_g12_f</f>
        <v>64</v>
      </c>
      <c r="F2408" s="46" t="b">
        <v>1</v>
      </c>
    </row>
    <row r="2409" spans="1:6">
      <c r="A2409" s="46" t="s">
        <v>6685</v>
      </c>
      <c r="B2409" s="46" t="s">
        <v>6657</v>
      </c>
      <c r="C2409" s="46" t="s">
        <v>6685</v>
      </c>
      <c r="D2409" s="1018" t="s">
        <v>6719</v>
      </c>
      <c r="E2409" s="46" cm="1">
        <f t="array" ref="E2409">sch_health_nsh_normal_g11_m</f>
        <v>137</v>
      </c>
      <c r="F2409" s="46" t="b">
        <v>1</v>
      </c>
    </row>
    <row r="2410" spans="1:6">
      <c r="A2410" s="46" t="s">
        <v>6686</v>
      </c>
      <c r="B2410" s="46" t="s">
        <v>6657</v>
      </c>
      <c r="C2410" s="46" t="s">
        <v>6686</v>
      </c>
      <c r="D2410" s="1018" t="s">
        <v>6720</v>
      </c>
      <c r="E2410" s="46" cm="1">
        <f t="array" ref="E2410">sch_health_nsh_normal_g11_f</f>
        <v>195</v>
      </c>
      <c r="F2410" s="46" t="b">
        <v>1</v>
      </c>
    </row>
    <row r="2411" spans="1:6">
      <c r="A2411" s="46" t="s">
        <v>6687</v>
      </c>
      <c r="B2411" s="46" t="s">
        <v>6657</v>
      </c>
      <c r="C2411" s="46" t="s">
        <v>6687</v>
      </c>
      <c r="D2411" s="1018" t="s">
        <v>6721</v>
      </c>
      <c r="E2411" s="46" cm="1">
        <f t="array" ref="E2411">sch_health_nsh_normal_g12_m</f>
        <v>80</v>
      </c>
      <c r="F2411" s="46" t="b">
        <v>1</v>
      </c>
    </row>
    <row r="2412" spans="1:6">
      <c r="A2412" s="46" t="s">
        <v>6688</v>
      </c>
      <c r="B2412" s="46" t="s">
        <v>6657</v>
      </c>
      <c r="C2412" s="46" t="s">
        <v>6688</v>
      </c>
      <c r="D2412" s="1018" t="s">
        <v>6722</v>
      </c>
      <c r="E2412" s="46" cm="1">
        <f t="array" ref="E2412">sch_health_nsh_normal_g12_f</f>
        <v>178</v>
      </c>
      <c r="F2412" s="46" t="b">
        <v>1</v>
      </c>
    </row>
    <row r="2413" spans="1:6">
      <c r="A2413" s="46" t="s">
        <v>6689</v>
      </c>
      <c r="B2413" s="46" t="s">
        <v>6657</v>
      </c>
      <c r="C2413" s="46" t="s">
        <v>6689</v>
      </c>
      <c r="D2413" s="1018" t="s">
        <v>6723</v>
      </c>
      <c r="E2413" s="46" cm="1">
        <f t="array" ref="E2413">sch_health_nsh_tall_g11_m</f>
        <v>0</v>
      </c>
      <c r="F2413" s="46" t="b">
        <v>1</v>
      </c>
    </row>
    <row r="2414" spans="1:6">
      <c r="A2414" s="46" t="s">
        <v>6690</v>
      </c>
      <c r="B2414" s="46" t="s">
        <v>6657</v>
      </c>
      <c r="C2414" s="46" t="s">
        <v>6690</v>
      </c>
      <c r="D2414" s="1018" t="s">
        <v>6724</v>
      </c>
      <c r="E2414" s="46" cm="1">
        <f t="array" ref="E2414">sch_health_nsh_tall_g11_f</f>
        <v>0</v>
      </c>
      <c r="F2414" s="46" t="b">
        <v>1</v>
      </c>
    </row>
    <row r="2415" spans="1:6">
      <c r="A2415" s="46" t="s">
        <v>6691</v>
      </c>
      <c r="B2415" s="46" t="s">
        <v>6657</v>
      </c>
      <c r="C2415" s="46" t="s">
        <v>6691</v>
      </c>
      <c r="D2415" s="1018" t="s">
        <v>6725</v>
      </c>
      <c r="E2415" s="46" cm="1">
        <f t="array" ref="E2415">sch_health_nsh_tall_g12_m</f>
        <v>0</v>
      </c>
      <c r="F2415" s="46" t="b">
        <v>1</v>
      </c>
    </row>
    <row r="2416" spans="1:6">
      <c r="A2416" s="46" t="s">
        <v>6692</v>
      </c>
      <c r="B2416" s="46" t="s">
        <v>6657</v>
      </c>
      <c r="C2416" s="46" t="s">
        <v>6692</v>
      </c>
      <c r="D2416" s="1018" t="s">
        <v>6726</v>
      </c>
      <c r="E2416" s="46" cm="1">
        <f t="array" ref="E2416">sch_health_nsh_tall_g12_f</f>
        <v>0</v>
      </c>
      <c r="F2416" s="46" t="b">
        <v>1</v>
      </c>
    </row>
    <row r="2417" spans="1:8">
      <c r="A2417" s="46" t="s">
        <v>6693</v>
      </c>
      <c r="B2417" s="46" t="s">
        <v>6657</v>
      </c>
      <c r="C2417" s="46" t="s">
        <v>6693</v>
      </c>
      <c r="D2417" s="1018" t="s">
        <v>6739</v>
      </c>
      <c r="E2417" s="46" t="str" cm="1">
        <f t="array" ref="E2417">+do_school_health_coor_name</f>
        <v>RACQUEL N. ACOMPANADO / March 17, 2023</v>
      </c>
      <c r="F2417" s="46" t="b">
        <v>1</v>
      </c>
    </row>
    <row r="2418" spans="1:8" ht="16.5" thickBot="1">
      <c r="A2418" s="479" t="s">
        <v>6694</v>
      </c>
      <c r="B2418" s="479" t="s">
        <v>6657</v>
      </c>
      <c r="C2418" s="479" t="s">
        <v>6694</v>
      </c>
      <c r="D2418" s="1019" t="s">
        <v>6740</v>
      </c>
      <c r="E2418" s="479" t="str" cm="1">
        <f t="array" ref="E2418">do_school_health_coor_pos</f>
        <v>NURSE II</v>
      </c>
      <c r="F2418" s="479" t="b">
        <v>1</v>
      </c>
      <c r="G2418" s="479"/>
      <c r="H2418" s="479"/>
    </row>
    <row r="2419" spans="1:8" ht="16.5" thickTop="1">
      <c r="A2419" s="977" t="s">
        <v>6650</v>
      </c>
      <c r="B2419" s="977" t="s">
        <v>6651</v>
      </c>
      <c r="C2419" s="977" t="s">
        <v>6650</v>
      </c>
      <c r="D2419" s="46" t="s">
        <v>6760</v>
      </c>
      <c r="E2419" s="977" cm="1">
        <f t="array" ref="E2419">sch_health_learners_dewormed_g11_m</f>
        <v>0</v>
      </c>
      <c r="F2419" s="46" t="b">
        <v>1</v>
      </c>
    </row>
    <row r="2420" spans="1:8">
      <c r="A2420" s="46" t="s">
        <v>6652</v>
      </c>
      <c r="B2420" s="46" t="s">
        <v>6651</v>
      </c>
      <c r="C2420" s="46" t="s">
        <v>6652</v>
      </c>
      <c r="D2420" s="46" t="s">
        <v>6761</v>
      </c>
      <c r="E2420" s="46" cm="1">
        <f t="array" ref="E2420">sch_health_learners_dewormed_g11_f</f>
        <v>0</v>
      </c>
      <c r="F2420" s="46" t="b">
        <v>1</v>
      </c>
    </row>
    <row r="2421" spans="1:8">
      <c r="A2421" s="46" t="s">
        <v>6653</v>
      </c>
      <c r="B2421" s="46" t="s">
        <v>6651</v>
      </c>
      <c r="C2421" s="46" t="s">
        <v>6653</v>
      </c>
      <c r="D2421" s="46" t="s">
        <v>6762</v>
      </c>
      <c r="E2421" s="46" cm="1">
        <f t="array" ref="E2421">sch_health_learners_dewormed_g12_m</f>
        <v>0</v>
      </c>
      <c r="F2421" s="46" t="b">
        <v>1</v>
      </c>
    </row>
    <row r="2422" spans="1:8" ht="16.5" thickBot="1">
      <c r="A2422" s="479" t="s">
        <v>6654</v>
      </c>
      <c r="B2422" s="479" t="s">
        <v>6651</v>
      </c>
      <c r="C2422" s="479" t="s">
        <v>6654</v>
      </c>
      <c r="D2422" s="479" t="s">
        <v>6763</v>
      </c>
      <c r="E2422" s="479" cm="1">
        <f t="array" ref="E2422">sch_health_learners_dewormed_g12_f</f>
        <v>0</v>
      </c>
      <c r="F2422" s="479" t="b">
        <v>1</v>
      </c>
      <c r="G2422" s="479"/>
      <c r="H2422" s="479"/>
    </row>
    <row r="2423" spans="1:8" ht="16.5" thickTop="1">
      <c r="A2423" s="46" t="s">
        <v>6741</v>
      </c>
      <c r="B2423" s="46" t="s">
        <v>6651</v>
      </c>
      <c r="C2423" s="46" t="s">
        <v>6741</v>
      </c>
      <c r="D2423" s="46" t="s">
        <v>6764</v>
      </c>
      <c r="E2423" s="46" cm="1">
        <f t="array" ref="E2423">sch_female_learners_wifa_with_consent_g11</f>
        <v>0</v>
      </c>
      <c r="F2423" s="46" t="b">
        <v>1</v>
      </c>
    </row>
    <row r="2424" spans="1:8">
      <c r="A2424" s="46" t="s">
        <v>6742</v>
      </c>
      <c r="B2424" s="46" t="s">
        <v>6651</v>
      </c>
      <c r="C2424" s="46" t="s">
        <v>6742</v>
      </c>
      <c r="D2424" s="46" t="s">
        <v>6765</v>
      </c>
      <c r="E2424" s="46" cm="1">
        <f t="array" ref="E2424">sch_female_learners_wifa_with_consent_g12</f>
        <v>0</v>
      </c>
      <c r="F2424" s="46" t="b">
        <v>1</v>
      </c>
    </row>
    <row r="2425" spans="1:8">
      <c r="A2425" s="46" t="s">
        <v>6786</v>
      </c>
      <c r="B2425" s="46" t="s">
        <v>6651</v>
      </c>
      <c r="C2425" s="46" t="s">
        <v>6786</v>
      </c>
      <c r="D2425" s="46" t="s">
        <v>6766</v>
      </c>
      <c r="E2425" s="46" cm="1">
        <f t="array" ref="E2425">sch_female_learners_given_wifa_july_sept_2020_g11</f>
        <v>0</v>
      </c>
      <c r="F2425" s="46" t="b">
        <v>1</v>
      </c>
    </row>
    <row r="2426" spans="1:8">
      <c r="A2426" s="46" t="s">
        <v>6787</v>
      </c>
      <c r="B2426" s="46" t="s">
        <v>6651</v>
      </c>
      <c r="C2426" s="46" t="s">
        <v>6787</v>
      </c>
      <c r="D2426" s="46" t="s">
        <v>6767</v>
      </c>
      <c r="E2426" s="46" cm="1">
        <f t="array" ref="E2426">sch_female_learners_given_wifa_july_sept_2020_g12</f>
        <v>0</v>
      </c>
      <c r="F2426" s="46" t="b">
        <v>1</v>
      </c>
    </row>
    <row r="2427" spans="1:8">
      <c r="A2427" s="46" t="s">
        <v>6788</v>
      </c>
      <c r="B2427" s="46" t="s">
        <v>6651</v>
      </c>
      <c r="C2427" s="46" t="s">
        <v>6788</v>
      </c>
      <c r="D2427" s="46" t="s">
        <v>6768</v>
      </c>
      <c r="E2427" s="46" cm="1">
        <f t="array" ref="E2427">sch_female_learners_given_wifa_jan_mar_2021_g11</f>
        <v>0</v>
      </c>
      <c r="F2427" s="46" t="b">
        <v>1</v>
      </c>
    </row>
    <row r="2428" spans="1:8" ht="16.5" thickBot="1">
      <c r="A2428" s="479" t="s">
        <v>6789</v>
      </c>
      <c r="B2428" s="479" t="s">
        <v>6651</v>
      </c>
      <c r="C2428" s="479" t="s">
        <v>6789</v>
      </c>
      <c r="D2428" s="479" t="s">
        <v>6769</v>
      </c>
      <c r="E2428" s="479" cm="1">
        <f t="array" ref="E2428">sch_female_learners_given_wifa_jan_mar_2021_g12</f>
        <v>0</v>
      </c>
      <c r="F2428" s="479" t="b">
        <v>1</v>
      </c>
      <c r="G2428" s="479"/>
      <c r="H2428" s="479"/>
    </row>
    <row r="2429" spans="1:8" ht="16.5" thickTop="1">
      <c r="A2429" s="46" t="s">
        <v>6743</v>
      </c>
      <c r="B2429" s="46" t="s">
        <v>6744</v>
      </c>
      <c r="C2429" s="46" t="s">
        <v>6743</v>
      </c>
      <c r="D2429" s="46" t="s">
        <v>6770</v>
      </c>
      <c r="E2429" s="46" t="b" cm="1">
        <f t="array" ref="E2429">sch_clinic_designated_yes</f>
        <v>1</v>
      </c>
      <c r="F2429" s="1696" t="b">
        <f t="shared" ref="F2429:F2430" si="10">OR(E2429=TRUE, E2429=FALSE)</f>
        <v>1</v>
      </c>
      <c r="G2429" s="46" t="s">
        <v>11265</v>
      </c>
    </row>
    <row r="2430" spans="1:8">
      <c r="A2430" s="46" t="s">
        <v>6745</v>
      </c>
      <c r="B2430" s="46" t="s">
        <v>6744</v>
      </c>
      <c r="C2430" s="46" t="s">
        <v>6745</v>
      </c>
      <c r="D2430" s="46" t="s">
        <v>6771</v>
      </c>
      <c r="E2430" s="46" t="b" cm="1">
        <f t="array" ref="E2430">sch_clinic_designated_teach_yes</f>
        <v>1</v>
      </c>
      <c r="F2430" s="1696" t="b">
        <f t="shared" si="10"/>
        <v>1</v>
      </c>
      <c r="G2430" s="46" t="s">
        <v>11265</v>
      </c>
    </row>
    <row r="2431" spans="1:8">
      <c r="A2431" s="46" t="s">
        <v>6746</v>
      </c>
      <c r="B2431" s="46" t="s">
        <v>6744</v>
      </c>
      <c r="C2431" s="46" t="s">
        <v>6746</v>
      </c>
      <c r="D2431" s="46" t="s">
        <v>6772</v>
      </c>
      <c r="E2431" s="46" cm="1">
        <f t="array" ref="E2431">sch_clinic_scale_bathroom_unit</f>
        <v>1</v>
      </c>
      <c r="F2431" s="46" t="b">
        <v>1</v>
      </c>
    </row>
    <row r="2432" spans="1:8">
      <c r="A2432" s="46" t="s">
        <v>6747</v>
      </c>
      <c r="B2432" s="46" t="s">
        <v>6744</v>
      </c>
      <c r="C2432" s="46" t="s">
        <v>6747</v>
      </c>
      <c r="D2432" s="46" t="s">
        <v>6773</v>
      </c>
      <c r="E2432" s="46" cm="1">
        <f t="array" ref="E2432">sch_clinic_scale_beambalance_unit</f>
        <v>2</v>
      </c>
      <c r="F2432" s="46" t="b">
        <v>1</v>
      </c>
    </row>
    <row r="2433" spans="1:8">
      <c r="A2433" s="46" t="s">
        <v>6748</v>
      </c>
      <c r="B2433" s="46" t="s">
        <v>6744</v>
      </c>
      <c r="C2433" s="46" t="s">
        <v>6748</v>
      </c>
      <c r="D2433" s="46" t="s">
        <v>6774</v>
      </c>
      <c r="E2433" s="46" cm="1">
        <f t="array" ref="E2433">sch_clinic_scale_others_specify_unit</f>
        <v>0</v>
      </c>
      <c r="F2433" s="46" t="b">
        <v>1</v>
      </c>
    </row>
    <row r="2434" spans="1:8">
      <c r="A2434" s="46" t="s">
        <v>6749</v>
      </c>
      <c r="B2434" s="46" t="s">
        <v>6744</v>
      </c>
      <c r="C2434" s="46" t="s">
        <v>6749</v>
      </c>
      <c r="D2434" s="46" t="s">
        <v>6775</v>
      </c>
      <c r="E2434" s="46" cm="1">
        <f t="array" ref="E2434">sch_clinic_scale_others_unit</f>
        <v>0</v>
      </c>
      <c r="F2434" s="46" t="b">
        <v>1</v>
      </c>
    </row>
    <row r="2435" spans="1:8">
      <c r="A2435" s="46" t="s">
        <v>6750</v>
      </c>
      <c r="B2435" s="46" t="s">
        <v>6744</v>
      </c>
      <c r="C2435" s="46" t="s">
        <v>6750</v>
      </c>
      <c r="D2435" s="46" t="s">
        <v>6776</v>
      </c>
      <c r="E2435" s="46" t="b" cm="1">
        <f t="array" ref="E2435">sch_clinic_tools_height_tapemeasure</f>
        <v>0</v>
      </c>
      <c r="F2435" s="1696" t="b">
        <f t="shared" ref="F2435:F2439" si="11">OR(E2435=TRUE, E2435=FALSE)</f>
        <v>1</v>
      </c>
      <c r="G2435" s="46" t="s">
        <v>11265</v>
      </c>
    </row>
    <row r="2436" spans="1:8">
      <c r="A2436" s="46" t="s">
        <v>6751</v>
      </c>
      <c r="B2436" s="46" t="s">
        <v>6744</v>
      </c>
      <c r="C2436" s="46" t="s">
        <v>6751</v>
      </c>
      <c r="D2436" s="46" t="s">
        <v>6777</v>
      </c>
      <c r="E2436" s="46" t="b" cm="1">
        <f t="array" ref="E2436">sch_clinic_tools_height_steeltape</f>
        <v>0</v>
      </c>
      <c r="F2436" s="1696" t="b">
        <f t="shared" si="11"/>
        <v>1</v>
      </c>
      <c r="G2436" s="46" t="s">
        <v>11265</v>
      </c>
    </row>
    <row r="2437" spans="1:8">
      <c r="A2437" s="46" t="s">
        <v>6752</v>
      </c>
      <c r="B2437" s="46" t="s">
        <v>6744</v>
      </c>
      <c r="C2437" s="46" t="s">
        <v>6752</v>
      </c>
      <c r="D2437" s="46" t="s">
        <v>6778</v>
      </c>
      <c r="E2437" s="46" t="b" cm="1">
        <f t="array" ref="E2437">sch_clinic_tools_height_microtoise</f>
        <v>1</v>
      </c>
      <c r="F2437" s="1696" t="b">
        <f t="shared" si="11"/>
        <v>1</v>
      </c>
      <c r="G2437" s="46" t="s">
        <v>11265</v>
      </c>
    </row>
    <row r="2438" spans="1:8">
      <c r="A2438" s="46" t="s">
        <v>6753</v>
      </c>
      <c r="B2438" s="46" t="s">
        <v>6744</v>
      </c>
      <c r="C2438" s="46" t="s">
        <v>6753</v>
      </c>
      <c r="D2438" s="46" t="s">
        <v>6779</v>
      </c>
      <c r="E2438" s="46" t="b" cm="1">
        <f t="array" ref="E2438">sch_clinic_tools_height_stadiometer</f>
        <v>0</v>
      </c>
      <c r="F2438" s="1696" t="b">
        <f t="shared" si="11"/>
        <v>1</v>
      </c>
      <c r="G2438" s="46" t="s">
        <v>11265</v>
      </c>
    </row>
    <row r="2439" spans="1:8">
      <c r="A2439" s="46" t="s">
        <v>6754</v>
      </c>
      <c r="B2439" s="46" t="s">
        <v>6744</v>
      </c>
      <c r="C2439" s="46" t="s">
        <v>6754</v>
      </c>
      <c r="D2439" s="46" t="s">
        <v>6780</v>
      </c>
      <c r="E2439" s="46" t="b" cm="1">
        <f t="array" ref="E2439">sch_clinic_tools_height_others_specify_value</f>
        <v>0</v>
      </c>
      <c r="F2439" s="1696" t="b">
        <f t="shared" si="11"/>
        <v>1</v>
      </c>
      <c r="G2439" s="46" t="s">
        <v>11265</v>
      </c>
    </row>
    <row r="2440" spans="1:8">
      <c r="A2440" s="46" t="s">
        <v>6755</v>
      </c>
      <c r="B2440" s="46" t="s">
        <v>6744</v>
      </c>
      <c r="C2440" s="46" t="s">
        <v>6755</v>
      </c>
      <c r="D2440" s="46" t="s">
        <v>6781</v>
      </c>
      <c r="E2440" s="46" cm="1">
        <f t="array" ref="E2440">sch_clinic_tools_height_others_value</f>
        <v>0</v>
      </c>
      <c r="F2440" s="46" t="b">
        <v>1</v>
      </c>
    </row>
    <row r="2441" spans="1:8">
      <c r="A2441" s="46" t="s">
        <v>6756</v>
      </c>
      <c r="B2441" s="46" t="s">
        <v>6744</v>
      </c>
      <c r="C2441" s="46" t="s">
        <v>6756</v>
      </c>
      <c r="D2441" s="46" t="s">
        <v>6782</v>
      </c>
      <c r="E2441" s="46" cm="1">
        <f t="array" ref="E2441">sch_clinic_first_aids</f>
        <v>2</v>
      </c>
      <c r="F2441" s="46" t="b">
        <v>1</v>
      </c>
    </row>
    <row r="2442" spans="1:8">
      <c r="A2442" s="46" t="s">
        <v>6757</v>
      </c>
      <c r="B2442" s="46" t="s">
        <v>6744</v>
      </c>
      <c r="C2442" s="46" t="s">
        <v>6757</v>
      </c>
      <c r="D2442" s="46" t="s">
        <v>6783</v>
      </c>
      <c r="E2442" s="46" cm="1">
        <f t="array" ref="E2442">sch_clinic_thermometers</f>
        <v>3</v>
      </c>
      <c r="F2442" s="46" t="b">
        <v>1</v>
      </c>
    </row>
    <row r="2443" spans="1:8">
      <c r="A2443" s="46" t="s">
        <v>6758</v>
      </c>
      <c r="B2443" s="46" t="s">
        <v>6744</v>
      </c>
      <c r="C2443" s="46" t="s">
        <v>6758</v>
      </c>
      <c r="D2443" s="46" t="s">
        <v>6784</v>
      </c>
      <c r="E2443" s="46" cm="1">
        <f t="array" ref="E2443">sch_clinic_bpa</f>
        <v>2</v>
      </c>
      <c r="F2443" s="46" t="b">
        <v>1</v>
      </c>
    </row>
    <row r="2444" spans="1:8" ht="16.5" thickBot="1">
      <c r="A2444" s="479" t="s">
        <v>6759</v>
      </c>
      <c r="B2444" s="479" t="s">
        <v>6744</v>
      </c>
      <c r="C2444" s="479" t="s">
        <v>6759</v>
      </c>
      <c r="D2444" s="479" t="s">
        <v>6785</v>
      </c>
      <c r="E2444" s="479" cm="1">
        <f t="array" ref="E2444">sch_clinic_training</f>
        <v>1</v>
      </c>
      <c r="F2444" s="479" t="b">
        <v>1</v>
      </c>
      <c r="G2444" s="479"/>
      <c r="H2444" s="479"/>
    </row>
    <row r="2445" spans="1:8" ht="16.5" thickTop="1">
      <c r="A2445" s="46" t="s">
        <v>6790</v>
      </c>
      <c r="B2445" s="46" t="s">
        <v>6791</v>
      </c>
      <c r="C2445" s="46" t="s">
        <v>6790</v>
      </c>
      <c r="D2445" s="1018" t="s">
        <v>6830</v>
      </c>
      <c r="E2445" s="46" t="b" cm="1">
        <f t="array" ref="E2445">sch_ws_wsource_yes</f>
        <v>1</v>
      </c>
      <c r="F2445" s="1696" t="b">
        <f t="shared" ref="F2445:F2450" si="12">OR(E2445=TRUE, E2445=FALSE)</f>
        <v>1</v>
      </c>
      <c r="G2445" s="46" t="s">
        <v>11265</v>
      </c>
    </row>
    <row r="2446" spans="1:8">
      <c r="A2446" s="46" t="s">
        <v>6792</v>
      </c>
      <c r="B2446" s="46" t="s">
        <v>6791</v>
      </c>
      <c r="C2446" s="46" t="s">
        <v>6792</v>
      </c>
      <c r="D2446" s="1018" t="s">
        <v>6831</v>
      </c>
      <c r="E2446" s="46" t="b" cm="1">
        <f t="array" ref="E2446">sch_ws_ifyshs_pipe</f>
        <v>1</v>
      </c>
      <c r="F2446" s="1696" t="b">
        <f t="shared" si="12"/>
        <v>1</v>
      </c>
      <c r="G2446" s="46" t="s">
        <v>11265</v>
      </c>
    </row>
    <row r="2447" spans="1:8">
      <c r="A2447" s="46" t="s">
        <v>6793</v>
      </c>
      <c r="B2447" s="46" t="s">
        <v>6791</v>
      </c>
      <c r="C2447" s="46" t="s">
        <v>6793</v>
      </c>
      <c r="D2447" s="1018" t="s">
        <v>6832</v>
      </c>
      <c r="E2447" s="46" t="b" cm="1">
        <f t="array" ref="E2447">sch_ws_ifyshs_well</f>
        <v>0</v>
      </c>
      <c r="F2447" s="1696" t="b">
        <f t="shared" si="12"/>
        <v>1</v>
      </c>
      <c r="G2447" s="46" t="s">
        <v>11265</v>
      </c>
    </row>
    <row r="2448" spans="1:8">
      <c r="A2448" s="46" t="s">
        <v>6794</v>
      </c>
      <c r="B2448" s="46" t="s">
        <v>6791</v>
      </c>
      <c r="C2448" s="46" t="s">
        <v>6794</v>
      </c>
      <c r="D2448" s="1018" t="s">
        <v>6833</v>
      </c>
      <c r="E2448" s="46" t="b" cm="1">
        <f t="array" ref="E2448">sch_ws_ifyshs_natural</f>
        <v>1</v>
      </c>
      <c r="F2448" s="1696" t="b">
        <f t="shared" si="12"/>
        <v>1</v>
      </c>
      <c r="G2448" s="46" t="s">
        <v>11265</v>
      </c>
    </row>
    <row r="2449" spans="1:7">
      <c r="A2449" s="46" t="s">
        <v>6795</v>
      </c>
      <c r="B2449" s="46" t="s">
        <v>6791</v>
      </c>
      <c r="C2449" s="46" t="s">
        <v>6795</v>
      </c>
      <c r="D2449" s="1018" t="s">
        <v>6834</v>
      </c>
      <c r="E2449" s="46" t="b" cm="1">
        <f t="array" ref="E2449">sch_ws_ifyshs_rainwater</f>
        <v>0</v>
      </c>
      <c r="F2449" s="1696" t="b">
        <f t="shared" si="12"/>
        <v>1</v>
      </c>
      <c r="G2449" s="46" t="s">
        <v>11265</v>
      </c>
    </row>
    <row r="2450" spans="1:7">
      <c r="A2450" s="46" t="s">
        <v>6796</v>
      </c>
      <c r="B2450" s="46" t="s">
        <v>6791</v>
      </c>
      <c r="C2450" s="46" t="s">
        <v>6796</v>
      </c>
      <c r="D2450" s="1018" t="s">
        <v>6835</v>
      </c>
      <c r="E2450" s="46" t="b" cm="1">
        <f t="array" ref="E2450">sch_ws_ifyshs_others</f>
        <v>0</v>
      </c>
      <c r="F2450" s="1696" t="b">
        <f t="shared" si="12"/>
        <v>1</v>
      </c>
      <c r="G2450" s="46" t="s">
        <v>11265</v>
      </c>
    </row>
    <row r="2451" spans="1:7">
      <c r="A2451" s="46" t="s">
        <v>6797</v>
      </c>
      <c r="B2451" s="46" t="s">
        <v>6791</v>
      </c>
      <c r="C2451" s="46" t="s">
        <v>6797</v>
      </c>
      <c r="D2451" s="1018" t="s">
        <v>6836</v>
      </c>
      <c r="E2451" s="46" cm="1">
        <f t="array" ref="E2451">sch_ws_ifyshs_others_specify</f>
        <v>0</v>
      </c>
      <c r="F2451" s="46" t="b">
        <v>1</v>
      </c>
    </row>
    <row r="2452" spans="1:7">
      <c r="A2452" s="46" t="s">
        <v>6798</v>
      </c>
      <c r="B2452" s="46" t="s">
        <v>6791</v>
      </c>
      <c r="C2452" s="46" t="s">
        <v>6798</v>
      </c>
      <c r="D2452" s="1018" t="s">
        <v>6837</v>
      </c>
      <c r="E2452" s="1777" cm="1">
        <f t="array" ref="E2452">sch_ws_ifyshs_avecost</f>
        <v>3000</v>
      </c>
      <c r="F2452" s="46" t="b">
        <v>1</v>
      </c>
    </row>
    <row r="2453" spans="1:7">
      <c r="A2453" s="46" t="s">
        <v>6799</v>
      </c>
      <c r="B2453" s="46" t="s">
        <v>6791</v>
      </c>
      <c r="C2453" s="46" t="s">
        <v>6799</v>
      </c>
      <c r="D2453" s="1018" t="s">
        <v>6838</v>
      </c>
      <c r="E2453" s="46" t="b">
        <f>sch_ws_ifyshs_fundsource_schmooe</f>
        <v>1</v>
      </c>
      <c r="F2453" s="1696" t="b">
        <f t="shared" ref="F2453:F2458" si="13">OR(E2453=TRUE, E2453=FALSE)</f>
        <v>1</v>
      </c>
      <c r="G2453" s="46" t="s">
        <v>11265</v>
      </c>
    </row>
    <row r="2454" spans="1:7">
      <c r="A2454" s="46" t="s">
        <v>6800</v>
      </c>
      <c r="B2454" s="46" t="s">
        <v>6791</v>
      </c>
      <c r="C2454" s="46" t="s">
        <v>6800</v>
      </c>
      <c r="D2454" s="1018" t="s">
        <v>6839</v>
      </c>
      <c r="E2454" s="46" t="b" cm="1">
        <f t="array" ref="E2454">sch_ws_ifyshs_fundsource_lgu</f>
        <v>0</v>
      </c>
      <c r="F2454" s="1696" t="b">
        <f t="shared" si="13"/>
        <v>1</v>
      </c>
      <c r="G2454" s="46" t="s">
        <v>11265</v>
      </c>
    </row>
    <row r="2455" spans="1:7">
      <c r="A2455" s="46" t="s">
        <v>6801</v>
      </c>
      <c r="B2455" s="46" t="s">
        <v>6791</v>
      </c>
      <c r="C2455" s="46" t="s">
        <v>6801</v>
      </c>
      <c r="D2455" s="1018" t="s">
        <v>6840</v>
      </c>
      <c r="E2455" s="46" t="b" cm="1">
        <f t="array" ref="E2455">sch_ws_ifyshs_fundsource_pta</f>
        <v>0</v>
      </c>
      <c r="F2455" s="1696" t="b">
        <f t="shared" si="13"/>
        <v>1</v>
      </c>
      <c r="G2455" s="46" t="s">
        <v>11265</v>
      </c>
    </row>
    <row r="2456" spans="1:7">
      <c r="A2456" s="46" t="s">
        <v>6802</v>
      </c>
      <c r="B2456" s="46" t="s">
        <v>6791</v>
      </c>
      <c r="C2456" s="46" t="s">
        <v>6802</v>
      </c>
      <c r="D2456" s="1018" t="s">
        <v>6841</v>
      </c>
      <c r="E2456" s="46" t="b">
        <f>sch_ws_ifyshs_fundsource_schcanteen</f>
        <v>0</v>
      </c>
      <c r="F2456" s="1696" t="b">
        <f t="shared" si="13"/>
        <v>1</v>
      </c>
      <c r="G2456" s="46" t="s">
        <v>11265</v>
      </c>
    </row>
    <row r="2457" spans="1:7">
      <c r="A2457" s="46" t="s">
        <v>6803</v>
      </c>
      <c r="B2457" s="46" t="s">
        <v>6791</v>
      </c>
      <c r="C2457" s="46" t="s">
        <v>6803</v>
      </c>
      <c r="D2457" s="1018" t="s">
        <v>6842</v>
      </c>
      <c r="E2457" s="46" t="b" cm="1">
        <f t="array" ref="E2457">sch_ws_ifyshs_fundsource_private</f>
        <v>0</v>
      </c>
      <c r="F2457" s="1696" t="b">
        <f t="shared" si="13"/>
        <v>1</v>
      </c>
      <c r="G2457" s="46" t="s">
        <v>11265</v>
      </c>
    </row>
    <row r="2458" spans="1:7">
      <c r="A2458" s="46" t="s">
        <v>6804</v>
      </c>
      <c r="B2458" s="46" t="s">
        <v>6791</v>
      </c>
      <c r="C2458" s="46" t="s">
        <v>6804</v>
      </c>
      <c r="D2458" s="1018" t="s">
        <v>6843</v>
      </c>
      <c r="E2458" s="46" t="b" cm="1">
        <f t="array" ref="E2458">sch_ws_ifyshs_fundsource_others</f>
        <v>0</v>
      </c>
      <c r="F2458" s="1696" t="b">
        <f t="shared" si="13"/>
        <v>1</v>
      </c>
      <c r="G2458" s="46" t="s">
        <v>11265</v>
      </c>
    </row>
    <row r="2459" spans="1:7">
      <c r="A2459" s="46" t="s">
        <v>6805</v>
      </c>
      <c r="B2459" s="46" t="s">
        <v>6791</v>
      </c>
      <c r="C2459" s="46" t="s">
        <v>6805</v>
      </c>
      <c r="D2459" s="1018" t="s">
        <v>6844</v>
      </c>
      <c r="E2459" s="46" cm="1">
        <f t="array" ref="E2459">sch_ws_ifyshs_fundsource_others_specify</f>
        <v>0</v>
      </c>
      <c r="F2459" s="46" t="b">
        <v>1</v>
      </c>
    </row>
    <row r="2460" spans="1:7">
      <c r="A2460" s="46" t="s">
        <v>6806</v>
      </c>
      <c r="B2460" s="46" t="s">
        <v>6791</v>
      </c>
      <c r="C2460" s="46" t="s">
        <v>6806</v>
      </c>
      <c r="D2460" s="1018" t="s">
        <v>6845</v>
      </c>
      <c r="E2460" s="46" t="b" cm="1">
        <f t="array" ref="E2460">sch_ws_drinking_yes</f>
        <v>0</v>
      </c>
      <c r="F2460" s="1696" t="b">
        <f t="shared" ref="F2460:F2466" si="14">OR(E2460=TRUE, E2460=FALSE)</f>
        <v>1</v>
      </c>
      <c r="G2460" s="46" t="s">
        <v>11265</v>
      </c>
    </row>
    <row r="2461" spans="1:7">
      <c r="A2461" s="46" t="s">
        <v>6807</v>
      </c>
      <c r="B2461" s="46" t="s">
        <v>6791</v>
      </c>
      <c r="C2461" s="46" t="s">
        <v>6807</v>
      </c>
      <c r="D2461" s="1018" t="s">
        <v>6846</v>
      </c>
      <c r="E2461" s="46" t="b" cm="1">
        <f t="array" ref="E2461">sch_ws_water_safety_yes</f>
        <v>0</v>
      </c>
      <c r="F2461" s="1696" t="b">
        <f t="shared" si="14"/>
        <v>1</v>
      </c>
      <c r="G2461" s="46" t="s">
        <v>11265</v>
      </c>
    </row>
    <row r="2462" spans="1:7">
      <c r="A2462" s="46" t="s">
        <v>6808</v>
      </c>
      <c r="B2462" s="46" t="s">
        <v>6791</v>
      </c>
      <c r="C2462" s="46" t="s">
        <v>6808</v>
      </c>
      <c r="D2462" s="1018" t="s">
        <v>6847</v>
      </c>
      <c r="E2462" s="46" t="b" cm="1">
        <f t="array" ref="E2462">sch_ws_result_safe_yes</f>
        <v>0</v>
      </c>
      <c r="F2462" s="1696" t="b">
        <f t="shared" si="14"/>
        <v>1</v>
      </c>
      <c r="G2462" s="46" t="s">
        <v>11265</v>
      </c>
    </row>
    <row r="2463" spans="1:7">
      <c r="A2463" s="46" t="s">
        <v>6809</v>
      </c>
      <c r="B2463" s="46" t="s">
        <v>6791</v>
      </c>
      <c r="C2463" s="46" t="s">
        <v>6809</v>
      </c>
      <c r="D2463" s="1018" t="s">
        <v>6848</v>
      </c>
      <c r="E2463" s="46" t="b" cm="1">
        <f t="array" ref="E2463">sch_ws_ifyshs_test_frequency_monthly</f>
        <v>0</v>
      </c>
      <c r="F2463" s="1696" t="b">
        <f t="shared" si="14"/>
        <v>1</v>
      </c>
      <c r="G2463" s="46" t="s">
        <v>11265</v>
      </c>
    </row>
    <row r="2464" spans="1:7">
      <c r="A2464" s="46" t="s">
        <v>6810</v>
      </c>
      <c r="B2464" s="46" t="s">
        <v>6791</v>
      </c>
      <c r="C2464" s="46" t="s">
        <v>6810</v>
      </c>
      <c r="D2464" s="1018" t="s">
        <v>6849</v>
      </c>
      <c r="E2464" s="46" t="b" cm="1">
        <f t="array" ref="E2464">sch_ws_ifyshs_test_frequency_annually</f>
        <v>1</v>
      </c>
      <c r="F2464" s="1696" t="b">
        <f t="shared" si="14"/>
        <v>1</v>
      </c>
      <c r="G2464" s="46" t="s">
        <v>11265</v>
      </c>
    </row>
    <row r="2465" spans="1:7">
      <c r="A2465" s="46" t="s">
        <v>6811</v>
      </c>
      <c r="B2465" s="46" t="s">
        <v>6791</v>
      </c>
      <c r="C2465" s="46" t="s">
        <v>6811</v>
      </c>
      <c r="D2465" s="1018" t="s">
        <v>6850</v>
      </c>
      <c r="E2465" s="46" t="b" cm="1">
        <f t="array" ref="E2465">sch_ws_ifyshs_test_frequency_quarterly</f>
        <v>0</v>
      </c>
      <c r="F2465" s="1696" t="b">
        <f t="shared" si="14"/>
        <v>1</v>
      </c>
      <c r="G2465" s="46" t="s">
        <v>11265</v>
      </c>
    </row>
    <row r="2466" spans="1:7">
      <c r="A2466" s="46" t="s">
        <v>6812</v>
      </c>
      <c r="B2466" s="46" t="s">
        <v>6791</v>
      </c>
      <c r="C2466" s="46" t="s">
        <v>6812</v>
      </c>
      <c r="D2466" s="1018" t="s">
        <v>6851</v>
      </c>
      <c r="E2466" s="46" t="b" cm="1">
        <f t="array" ref="E2466">sch_ws_ifyshs_test_frequent_others</f>
        <v>0</v>
      </c>
      <c r="F2466" s="1696" t="b">
        <f t="shared" si="14"/>
        <v>1</v>
      </c>
      <c r="G2466" s="46" t="s">
        <v>11265</v>
      </c>
    </row>
    <row r="2467" spans="1:7">
      <c r="A2467" s="46" t="s">
        <v>6813</v>
      </c>
      <c r="B2467" s="46" t="s">
        <v>6791</v>
      </c>
      <c r="C2467" s="46" t="s">
        <v>6813</v>
      </c>
      <c r="D2467" s="1018" t="s">
        <v>6852</v>
      </c>
      <c r="E2467" s="46" cm="1">
        <f t="array" ref="E2467">sch_ws_ifyshs_test_frequent_others_specify</f>
        <v>0</v>
      </c>
      <c r="F2467" s="46" t="b">
        <v>1</v>
      </c>
    </row>
    <row r="2468" spans="1:7">
      <c r="A2468" s="46" t="s">
        <v>6814</v>
      </c>
      <c r="B2468" s="46" t="s">
        <v>6791</v>
      </c>
      <c r="C2468" s="46" t="s">
        <v>6814</v>
      </c>
      <c r="D2468" s="1018" t="s">
        <v>6853</v>
      </c>
      <c r="E2468" s="1761" cm="1">
        <f t="array" ref="E2468">sch_ws_ifyshs_test_last</f>
        <v>0</v>
      </c>
      <c r="F2468" s="46" t="b">
        <v>1</v>
      </c>
    </row>
    <row r="2469" spans="1:7">
      <c r="A2469" s="46" t="s">
        <v>6815</v>
      </c>
      <c r="B2469" s="46" t="s">
        <v>6791</v>
      </c>
      <c r="C2469" s="46" t="s">
        <v>6815</v>
      </c>
      <c r="D2469" s="1018" t="s">
        <v>6854</v>
      </c>
      <c r="E2469" s="46" t="b" cm="1">
        <f t="array" ref="E2469">sch_ws_ifyshs_water_unavailable_yes</f>
        <v>0</v>
      </c>
      <c r="F2469" s="1696" t="b">
        <f t="shared" ref="F2469:F2474" si="15">OR(E2469=TRUE, E2469=FALSE)</f>
        <v>1</v>
      </c>
      <c r="G2469" s="46" t="s">
        <v>11265</v>
      </c>
    </row>
    <row r="2470" spans="1:7">
      <c r="A2470" s="46" t="s">
        <v>6816</v>
      </c>
      <c r="B2470" s="46" t="s">
        <v>6791</v>
      </c>
      <c r="C2470" s="46" t="s">
        <v>6816</v>
      </c>
      <c r="D2470" s="1018" t="s">
        <v>6855</v>
      </c>
      <c r="E2470" s="46" t="b" cm="1">
        <f t="array" ref="E2470">sch_ws_ifyshs_mechanism_yes</f>
        <v>1</v>
      </c>
      <c r="F2470" s="1696" t="b">
        <f t="shared" si="15"/>
        <v>1</v>
      </c>
      <c r="G2470" s="46" t="s">
        <v>11265</v>
      </c>
    </row>
    <row r="2471" spans="1:7">
      <c r="A2471" s="46" t="s">
        <v>6817</v>
      </c>
      <c r="B2471" s="46" t="s">
        <v>6791</v>
      </c>
      <c r="C2471" s="46" t="s">
        <v>6817</v>
      </c>
      <c r="D2471" s="1018" t="s">
        <v>6856</v>
      </c>
      <c r="E2471" s="46" t="b" cm="1">
        <f t="array" ref="E2471">sch_ws_mechanism_ifyshs_bring_water</f>
        <v>1</v>
      </c>
      <c r="F2471" s="1696" t="b">
        <f t="shared" si="15"/>
        <v>1</v>
      </c>
      <c r="G2471" s="46" t="s">
        <v>11265</v>
      </c>
    </row>
    <row r="2472" spans="1:7">
      <c r="A2472" s="46" t="s">
        <v>6818</v>
      </c>
      <c r="B2472" s="46" t="s">
        <v>6791</v>
      </c>
      <c r="C2472" s="46" t="s">
        <v>6818</v>
      </c>
      <c r="D2472" s="1018" t="s">
        <v>6857</v>
      </c>
      <c r="E2472" s="46" t="b" cm="1">
        <f t="array" ref="E2472">sch_ws_mechanism_ifyshs_refillable_containers</f>
        <v>1</v>
      </c>
      <c r="F2472" s="1696" t="b">
        <f t="shared" si="15"/>
        <v>1</v>
      </c>
      <c r="G2472" s="46" t="s">
        <v>11265</v>
      </c>
    </row>
    <row r="2473" spans="1:7">
      <c r="A2473" s="46" t="s">
        <v>6819</v>
      </c>
      <c r="B2473" s="46" t="s">
        <v>6791</v>
      </c>
      <c r="C2473" s="46" t="s">
        <v>6819</v>
      </c>
      <c r="D2473" s="1018" t="s">
        <v>6858</v>
      </c>
      <c r="E2473" s="46" t="b" cm="1">
        <f t="array" ref="E2473">sch_ws_mechanism_ifyshs_accessible_water</f>
        <v>0</v>
      </c>
      <c r="F2473" s="1696" t="b">
        <f t="shared" si="15"/>
        <v>1</v>
      </c>
      <c r="G2473" s="46" t="s">
        <v>11265</v>
      </c>
    </row>
    <row r="2474" spans="1:7">
      <c r="A2474" s="46" t="s">
        <v>6820</v>
      </c>
      <c r="B2474" s="46" t="s">
        <v>6791</v>
      </c>
      <c r="C2474" s="46" t="s">
        <v>6820</v>
      </c>
      <c r="D2474" s="1018" t="s">
        <v>6859</v>
      </c>
      <c r="E2474" s="46" t="b" cm="1">
        <f t="array" ref="E2474">sch_ws_mechanism_ifyshs_others</f>
        <v>0</v>
      </c>
      <c r="F2474" s="1696" t="b">
        <f t="shared" si="15"/>
        <v>1</v>
      </c>
      <c r="G2474" s="46" t="s">
        <v>11265</v>
      </c>
    </row>
    <row r="2475" spans="1:7">
      <c r="A2475" s="46" t="s">
        <v>6821</v>
      </c>
      <c r="B2475" s="46" t="s">
        <v>6791</v>
      </c>
      <c r="C2475" s="46" t="s">
        <v>6821</v>
      </c>
      <c r="D2475" s="1018" t="s">
        <v>6860</v>
      </c>
      <c r="E2475" s="46" cm="1">
        <f t="array" ref="E2475">sch_ws_mechanism_ifyshs_others_specify</f>
        <v>0</v>
      </c>
      <c r="F2475" s="46" t="b">
        <v>1</v>
      </c>
    </row>
    <row r="2476" spans="1:7">
      <c r="A2476" s="46" t="s">
        <v>6822</v>
      </c>
      <c r="B2476" s="46" t="s">
        <v>6791</v>
      </c>
      <c r="C2476" s="46" t="s">
        <v>6822</v>
      </c>
      <c r="D2476" s="1018" t="s">
        <v>6861</v>
      </c>
      <c r="E2476" s="46" cm="1">
        <f t="array" ref="E2476">sch_wf_group_hw_wsoap</f>
        <v>13</v>
      </c>
      <c r="F2476" s="46" t="b">
        <v>1</v>
      </c>
    </row>
    <row r="2477" spans="1:7">
      <c r="A2477" s="46" t="s">
        <v>6823</v>
      </c>
      <c r="B2477" s="46" t="s">
        <v>6791</v>
      </c>
      <c r="C2477" s="46" t="s">
        <v>6823</v>
      </c>
      <c r="D2477" s="1018" t="s">
        <v>6862</v>
      </c>
      <c r="E2477" s="46" cm="1">
        <f t="array" ref="E2477">sch_wf_group_hw_wosoap</f>
        <v>0</v>
      </c>
      <c r="F2477" s="46" t="b">
        <v>1</v>
      </c>
    </row>
    <row r="2478" spans="1:7">
      <c r="A2478" s="46" t="s">
        <v>6824</v>
      </c>
      <c r="B2478" s="46" t="s">
        <v>6791</v>
      </c>
      <c r="C2478" s="46" t="s">
        <v>6824</v>
      </c>
      <c r="D2478" s="1018" t="s">
        <v>6863</v>
      </c>
      <c r="E2478" s="46" cm="1">
        <f t="array" ref="E2478">sch_wf_group_hw_nonfunctional</f>
        <v>0</v>
      </c>
      <c r="F2478" s="46" t="b">
        <v>1</v>
      </c>
    </row>
    <row r="2479" spans="1:7">
      <c r="A2479" s="46" t="s">
        <v>6825</v>
      </c>
      <c r="B2479" s="46" t="s">
        <v>6791</v>
      </c>
      <c r="C2479" s="46" t="s">
        <v>6825</v>
      </c>
      <c r="D2479" s="1018" t="s">
        <v>6864</v>
      </c>
      <c r="E2479" s="46" cm="1">
        <f t="array" ref="E2479">sch_wf_group_hw_no_water_outlets</f>
        <v>3</v>
      </c>
      <c r="F2479" s="46" t="b">
        <v>1</v>
      </c>
    </row>
    <row r="2480" spans="1:7">
      <c r="A2480" s="46" t="s">
        <v>6826</v>
      </c>
      <c r="B2480" s="46" t="s">
        <v>6791</v>
      </c>
      <c r="C2480" s="46" t="s">
        <v>6826</v>
      </c>
      <c r="D2480" s="1018" t="s">
        <v>6865</v>
      </c>
      <c r="E2480" s="46" cm="1">
        <f t="array" ref="E2480">sch_wf_individual_hw_wsoap</f>
        <v>13</v>
      </c>
      <c r="F2480" s="46" t="b">
        <v>1</v>
      </c>
    </row>
    <row r="2481" spans="1:8">
      <c r="A2481" s="46" t="s">
        <v>6827</v>
      </c>
      <c r="B2481" s="46" t="s">
        <v>6791</v>
      </c>
      <c r="C2481" s="46" t="s">
        <v>6827</v>
      </c>
      <c r="D2481" s="1018" t="s">
        <v>6866</v>
      </c>
      <c r="E2481" s="46" cm="1">
        <f t="array" ref="E2481">sch_wf_individual_hw_wosoap</f>
        <v>0</v>
      </c>
      <c r="F2481" s="46" t="b">
        <v>1</v>
      </c>
    </row>
    <row r="2482" spans="1:8">
      <c r="A2482" s="46" t="s">
        <v>6828</v>
      </c>
      <c r="B2482" s="46" t="s">
        <v>6791</v>
      </c>
      <c r="C2482" s="46" t="s">
        <v>6828</v>
      </c>
      <c r="D2482" s="1018" t="s">
        <v>6867</v>
      </c>
      <c r="E2482" s="46" cm="1">
        <f t="array" ref="E2482">sch_wf_individual_hw_nonfunctional</f>
        <v>0</v>
      </c>
      <c r="F2482" s="46" t="b">
        <v>1</v>
      </c>
    </row>
    <row r="2483" spans="1:8" ht="16.5" thickBot="1">
      <c r="A2483" s="479" t="s">
        <v>6829</v>
      </c>
      <c r="B2483" s="479" t="s">
        <v>6791</v>
      </c>
      <c r="C2483" s="479" t="s">
        <v>6829</v>
      </c>
      <c r="D2483" s="1019" t="s">
        <v>6868</v>
      </c>
      <c r="E2483" s="479" cm="1">
        <f t="array" ref="E2483">sch_wf_individual_hw_no_water_outlets</f>
        <v>0</v>
      </c>
      <c r="F2483" s="479" t="b">
        <v>1</v>
      </c>
      <c r="G2483" s="479"/>
      <c r="H2483" s="479"/>
    </row>
    <row r="2484" spans="1:8" ht="16.5" thickTop="1">
      <c r="A2484" s="46" t="s">
        <v>6869</v>
      </c>
      <c r="B2484" s="46" t="s">
        <v>6870</v>
      </c>
      <c r="C2484" s="46" t="s">
        <v>6869</v>
      </c>
      <c r="D2484" s="1018" t="s">
        <v>6910</v>
      </c>
      <c r="E2484" s="46">
        <f>sch_oralh_details_num_lexamined_g11</f>
        <v>0</v>
      </c>
      <c r="F2484" s="46" t="b">
        <v>1</v>
      </c>
    </row>
    <row r="2485" spans="1:8">
      <c r="A2485" s="46" t="s">
        <v>6871</v>
      </c>
      <c r="B2485" s="46" t="s">
        <v>6870</v>
      </c>
      <c r="C2485" s="46" t="s">
        <v>6871</v>
      </c>
      <c r="D2485" s="1018" t="s">
        <v>6911</v>
      </c>
      <c r="E2485" s="46">
        <f>sch_oralh_details_num_lexamined_g12</f>
        <v>0</v>
      </c>
      <c r="F2485" s="46" t="b">
        <v>1</v>
      </c>
    </row>
    <row r="2486" spans="1:8">
      <c r="A2486" s="46" t="s">
        <v>6872</v>
      </c>
      <c r="B2486" s="46" t="s">
        <v>6870</v>
      </c>
      <c r="C2486" s="46" t="s">
        <v>6872</v>
      </c>
      <c r="D2486" s="1018" t="s">
        <v>6912</v>
      </c>
      <c r="E2486" s="46">
        <f>sch_oralh_details_num_learner_dmftpermatet_11</f>
        <v>0</v>
      </c>
      <c r="F2486" s="46" t="b">
        <v>1</v>
      </c>
    </row>
    <row r="2487" spans="1:8">
      <c r="A2487" s="46" t="s">
        <v>6873</v>
      </c>
      <c r="B2487" s="46" t="s">
        <v>6870</v>
      </c>
      <c r="C2487" s="46" t="s">
        <v>6873</v>
      </c>
      <c r="D2487" s="1018" t="s">
        <v>6918</v>
      </c>
      <c r="E2487" s="46">
        <f>sch_oralh_details_num_learner_dmftpermatet_12</f>
        <v>0</v>
      </c>
      <c r="F2487" s="46" t="b">
        <v>1</v>
      </c>
    </row>
    <row r="2488" spans="1:8">
      <c r="A2488" s="46" t="s">
        <v>6874</v>
      </c>
      <c r="B2488" s="46" t="s">
        <v>6870</v>
      </c>
      <c r="C2488" s="46" t="s">
        <v>6874</v>
      </c>
      <c r="D2488" s="1018" t="s">
        <v>6913</v>
      </c>
      <c r="E2488" s="46">
        <f>sch_oralh_details_num_dmftpermatet_g11</f>
        <v>0</v>
      </c>
      <c r="F2488" s="46" t="b">
        <v>1</v>
      </c>
    </row>
    <row r="2489" spans="1:8">
      <c r="A2489" s="46" t="s">
        <v>6875</v>
      </c>
      <c r="B2489" s="46" t="s">
        <v>6870</v>
      </c>
      <c r="C2489" s="46" t="s">
        <v>6875</v>
      </c>
      <c r="D2489" s="1018" t="s">
        <v>6919</v>
      </c>
      <c r="E2489" s="46">
        <f>sch_oralh_details_num_dmftpermatet_g12</f>
        <v>0</v>
      </c>
      <c r="F2489" s="46" t="b">
        <v>1</v>
      </c>
    </row>
    <row r="2490" spans="1:8">
      <c r="A2490" s="46" t="s">
        <v>6876</v>
      </c>
      <c r="B2490" s="46" t="s">
        <v>6870</v>
      </c>
      <c r="C2490" s="46" t="s">
        <v>6876</v>
      </c>
      <c r="D2490" s="1018" t="s">
        <v>6914</v>
      </c>
      <c r="E2490" s="46">
        <f>sch_oralh_details_num_learner_dmfttempotet_g11</f>
        <v>0</v>
      </c>
      <c r="F2490" s="46" t="b">
        <v>1</v>
      </c>
    </row>
    <row r="2491" spans="1:8">
      <c r="A2491" s="46" t="s">
        <v>6877</v>
      </c>
      <c r="B2491" s="46" t="s">
        <v>6870</v>
      </c>
      <c r="C2491" s="46" t="s">
        <v>6877</v>
      </c>
      <c r="D2491" s="1018" t="s">
        <v>6920</v>
      </c>
      <c r="E2491" s="46">
        <f>sch_oralh_details_num_learner_dmfttempotet_g12</f>
        <v>0</v>
      </c>
      <c r="F2491" s="46" t="b">
        <v>1</v>
      </c>
    </row>
    <row r="2492" spans="1:8">
      <c r="A2492" s="46" t="s">
        <v>6878</v>
      </c>
      <c r="B2492" s="46" t="s">
        <v>6870</v>
      </c>
      <c r="C2492" s="46" t="s">
        <v>6878</v>
      </c>
      <c r="D2492" s="1018" t="s">
        <v>6915</v>
      </c>
      <c r="E2492" s="46">
        <f>sch_oralh_details_num_dmfttempotet_g11</f>
        <v>0</v>
      </c>
      <c r="F2492" s="46" t="b">
        <v>1</v>
      </c>
    </row>
    <row r="2493" spans="1:8">
      <c r="A2493" s="46" t="s">
        <v>6879</v>
      </c>
      <c r="B2493" s="46" t="s">
        <v>6870</v>
      </c>
      <c r="C2493" s="46" t="s">
        <v>6879</v>
      </c>
      <c r="D2493" s="1018" t="s">
        <v>6921</v>
      </c>
      <c r="E2493" s="46">
        <f>sch_oralh_details_num_dmfttempotet_g12</f>
        <v>0</v>
      </c>
      <c r="F2493" s="46" t="b">
        <v>1</v>
      </c>
    </row>
    <row r="2494" spans="1:8">
      <c r="A2494" s="46" t="s">
        <v>6880</v>
      </c>
      <c r="B2494" s="46" t="s">
        <v>6870</v>
      </c>
      <c r="C2494" s="46" t="s">
        <v>6880</v>
      </c>
      <c r="D2494" s="1018" t="s">
        <v>6916</v>
      </c>
      <c r="E2494" s="46">
        <f>sch_oralh_details_num_learner_fthgumdisease_g11</f>
        <v>0</v>
      </c>
      <c r="F2494" s="46" t="b">
        <v>1</v>
      </c>
    </row>
    <row r="2495" spans="1:8">
      <c r="A2495" s="46" t="s">
        <v>6881</v>
      </c>
      <c r="B2495" s="46" t="s">
        <v>6870</v>
      </c>
      <c r="C2495" s="46" t="s">
        <v>6881</v>
      </c>
      <c r="D2495" s="1018" t="s">
        <v>6922</v>
      </c>
      <c r="E2495" s="46">
        <f>sch_oralh_details_num_learner_fthgumdisease_g12</f>
        <v>0</v>
      </c>
      <c r="F2495" s="46" t="b">
        <v>1</v>
      </c>
    </row>
    <row r="2496" spans="1:8">
      <c r="A2496" s="46" t="s">
        <v>6882</v>
      </c>
      <c r="B2496" s="46" t="s">
        <v>6870</v>
      </c>
      <c r="C2496" s="46" t="s">
        <v>6882</v>
      </c>
      <c r="D2496" s="1018" t="s">
        <v>6917</v>
      </c>
      <c r="E2496" s="46">
        <f>sch_oralh_details_num_learner_wosigdentalanom_g11</f>
        <v>0</v>
      </c>
      <c r="F2496" s="46" t="b">
        <v>1</v>
      </c>
    </row>
    <row r="2497" spans="1:8" ht="16.5" thickBot="1">
      <c r="A2497" s="479" t="s">
        <v>6883</v>
      </c>
      <c r="B2497" s="479" t="s">
        <v>6870</v>
      </c>
      <c r="C2497" s="479" t="s">
        <v>6883</v>
      </c>
      <c r="D2497" s="1019" t="s">
        <v>6923</v>
      </c>
      <c r="E2497" s="479">
        <f>sch_oralh_details_num_learner_wosigdentalanom_g12</f>
        <v>0</v>
      </c>
      <c r="F2497" s="479" t="b">
        <v>1</v>
      </c>
      <c r="G2497" s="479"/>
      <c r="H2497" s="479"/>
    </row>
    <row r="2498" spans="1:8" ht="16.5" thickTop="1">
      <c r="A2498" s="46" t="s">
        <v>6884</v>
      </c>
      <c r="B2498" s="46" t="s">
        <v>6885</v>
      </c>
      <c r="C2498" s="46" t="s">
        <v>6884</v>
      </c>
      <c r="D2498" s="1018" t="s">
        <v>6924</v>
      </c>
      <c r="E2498" s="46" cm="1">
        <f t="array" ref="E2498">mednurse_num_learn_exam_g11</f>
        <v>54</v>
      </c>
      <c r="F2498" s="46" t="b">
        <v>1</v>
      </c>
    </row>
    <row r="2499" spans="1:8">
      <c r="A2499" s="46" t="s">
        <v>6886</v>
      </c>
      <c r="B2499" s="46" t="s">
        <v>6885</v>
      </c>
      <c r="C2499" s="46" t="s">
        <v>6886</v>
      </c>
      <c r="D2499" s="1018" t="s">
        <v>6928</v>
      </c>
      <c r="E2499" s="46" cm="1">
        <f t="array" ref="E2499">mednurse_num_learn_exam_g12</f>
        <v>39</v>
      </c>
      <c r="F2499" s="46" t="b">
        <v>1</v>
      </c>
    </row>
    <row r="2500" spans="1:8">
      <c r="A2500" s="46" t="s">
        <v>6887</v>
      </c>
      <c r="B2500" s="46" t="s">
        <v>6885</v>
      </c>
      <c r="C2500" s="46" t="s">
        <v>6887</v>
      </c>
      <c r="D2500" s="1018" t="s">
        <v>6925</v>
      </c>
      <c r="E2500" s="46" cm="1">
        <f t="array" ref="E2500">mednurse_num_learn_findings_g11</f>
        <v>0</v>
      </c>
      <c r="F2500" s="46" t="b">
        <v>1</v>
      </c>
    </row>
    <row r="2501" spans="1:8">
      <c r="A2501" s="46" t="s">
        <v>6888</v>
      </c>
      <c r="B2501" s="46" t="s">
        <v>6885</v>
      </c>
      <c r="C2501" s="46" t="s">
        <v>6888</v>
      </c>
      <c r="D2501" s="1018" t="s">
        <v>6929</v>
      </c>
      <c r="E2501" s="46" cm="1">
        <f t="array" ref="E2501">mednurse_num_learn_findings_g12</f>
        <v>2</v>
      </c>
      <c r="F2501" s="46" t="b">
        <v>1</v>
      </c>
    </row>
    <row r="2502" spans="1:8">
      <c r="A2502" s="46" t="s">
        <v>6889</v>
      </c>
      <c r="B2502" s="46" t="s">
        <v>6885</v>
      </c>
      <c r="C2502" s="46" t="s">
        <v>6889</v>
      </c>
      <c r="D2502" s="1018" t="s">
        <v>6926</v>
      </c>
      <c r="E2502" s="46" cm="1">
        <f t="array" ref="E2502">mednurse_num_learn_given_intervention_g11</f>
        <v>54</v>
      </c>
      <c r="F2502" s="46" t="b">
        <v>1</v>
      </c>
    </row>
    <row r="2503" spans="1:8">
      <c r="A2503" s="46" t="s">
        <v>6890</v>
      </c>
      <c r="B2503" s="46" t="s">
        <v>6885</v>
      </c>
      <c r="C2503" s="46" t="s">
        <v>6890</v>
      </c>
      <c r="D2503" s="1018" t="s">
        <v>6930</v>
      </c>
      <c r="E2503" s="46" cm="1">
        <f t="array" ref="E2503">mednurse_num_learn_given_intervention_g12</f>
        <v>39</v>
      </c>
      <c r="F2503" s="46" t="b">
        <v>1</v>
      </c>
    </row>
    <row r="2504" spans="1:8">
      <c r="A2504" s="46" t="s">
        <v>6891</v>
      </c>
      <c r="B2504" s="46" t="s">
        <v>6885</v>
      </c>
      <c r="C2504" s="46" t="s">
        <v>6891</v>
      </c>
      <c r="D2504" s="1018" t="s">
        <v>6927</v>
      </c>
      <c r="E2504" s="46" cm="1">
        <f t="array" ref="E2504">mednurse_num_learn_referred_g11</f>
        <v>0</v>
      </c>
      <c r="F2504" s="46" t="b">
        <v>1</v>
      </c>
    </row>
    <row r="2505" spans="1:8" ht="16.5" thickBot="1">
      <c r="A2505" s="479" t="s">
        <v>6892</v>
      </c>
      <c r="B2505" s="479" t="s">
        <v>6885</v>
      </c>
      <c r="C2505" s="479" t="s">
        <v>6892</v>
      </c>
      <c r="D2505" s="1019" t="s">
        <v>6931</v>
      </c>
      <c r="E2505" s="479" cm="1">
        <f t="array" ref="E2505">mednurse_num_learn_referred_g12</f>
        <v>0</v>
      </c>
      <c r="F2505" s="479" t="b">
        <v>1</v>
      </c>
      <c r="G2505" s="479"/>
      <c r="H2505" s="479"/>
    </row>
    <row r="2506" spans="1:8" ht="16.5" thickTop="1">
      <c r="A2506" s="46" t="s">
        <v>11288</v>
      </c>
      <c r="B2506" s="46" t="s">
        <v>6893</v>
      </c>
      <c r="C2506" s="46" t="s">
        <v>11288</v>
      </c>
      <c r="D2506" s="1018" t="s">
        <v>6932</v>
      </c>
      <c r="E2506" s="46" cm="1">
        <f t="array" ref="E2506">sch_mh_suicide_learners_lastsy_dec</f>
        <v>0</v>
      </c>
      <c r="F2506" s="46" t="b">
        <v>1</v>
      </c>
    </row>
    <row r="2507" spans="1:8">
      <c r="A2507" s="46" t="s">
        <v>11289</v>
      </c>
      <c r="B2507" s="46" t="s">
        <v>6893</v>
      </c>
      <c r="C2507" s="46" t="s">
        <v>11289</v>
      </c>
      <c r="D2507" s="1018" t="s">
        <v>6933</v>
      </c>
      <c r="E2507" s="46" cm="1">
        <f t="array" ref="E2507">sch_mh_suicide_learners_lastsy_jan</f>
        <v>0</v>
      </c>
      <c r="F2507" s="46" t="b">
        <v>1</v>
      </c>
    </row>
    <row r="2508" spans="1:8">
      <c r="A2508" s="46" t="s">
        <v>11290</v>
      </c>
      <c r="B2508" s="46" t="s">
        <v>6893</v>
      </c>
      <c r="C2508" s="46" t="s">
        <v>11290</v>
      </c>
      <c r="D2508" s="1018" t="s">
        <v>6934</v>
      </c>
      <c r="E2508" s="46" cm="1">
        <f t="array" ref="E2508">sch_mh_suicide_learners_lastsy_feb</f>
        <v>0</v>
      </c>
      <c r="F2508" s="46" t="b">
        <v>1</v>
      </c>
    </row>
    <row r="2509" spans="1:8">
      <c r="A2509" s="46" t="s">
        <v>11291</v>
      </c>
      <c r="B2509" s="46" t="s">
        <v>6893</v>
      </c>
      <c r="C2509" s="46" t="s">
        <v>11291</v>
      </c>
      <c r="D2509" s="1018" t="s">
        <v>6894</v>
      </c>
      <c r="E2509" s="46" cm="1">
        <f t="array" ref="E2509">sch_mh_suicide_learners_lastsy_mar</f>
        <v>0</v>
      </c>
      <c r="F2509" s="46" t="b">
        <v>1</v>
      </c>
    </row>
    <row r="2510" spans="1:8">
      <c r="A2510" s="46" t="s">
        <v>11292</v>
      </c>
      <c r="B2510" s="46" t="s">
        <v>6893</v>
      </c>
      <c r="C2510" s="46" t="s">
        <v>11292</v>
      </c>
      <c r="D2510" s="1018" t="s">
        <v>6895</v>
      </c>
      <c r="E2510" s="46" cm="1">
        <f t="array" ref="E2510">sch_mh_suicide_learners_lastsy_apr</f>
        <v>0</v>
      </c>
      <c r="F2510" s="46" t="b">
        <v>1</v>
      </c>
    </row>
    <row r="2511" spans="1:8">
      <c r="A2511" s="46" t="s">
        <v>11293</v>
      </c>
      <c r="B2511" s="46" t="s">
        <v>6893</v>
      </c>
      <c r="C2511" s="46" t="s">
        <v>11293</v>
      </c>
      <c r="D2511" s="1018" t="s">
        <v>6896</v>
      </c>
      <c r="E2511" s="46" cm="1">
        <f t="array" ref="E2511">sch_mh_suicide_learners_lastsy_may</f>
        <v>0</v>
      </c>
      <c r="F2511" s="46" t="b">
        <v>1</v>
      </c>
    </row>
    <row r="2512" spans="1:8">
      <c r="A2512" s="46" t="s">
        <v>11294</v>
      </c>
      <c r="B2512" s="46" t="s">
        <v>6893</v>
      </c>
      <c r="C2512" s="46" t="s">
        <v>11294</v>
      </c>
      <c r="D2512" s="1018" t="s">
        <v>6897</v>
      </c>
      <c r="E2512" s="46" cm="1">
        <f t="array" ref="E2512">sch_mh_suicide_learners_lastsy_jun</f>
        <v>0</v>
      </c>
      <c r="F2512" s="46" t="b">
        <v>1</v>
      </c>
    </row>
    <row r="2513" spans="1:6">
      <c r="A2513" s="46" t="s">
        <v>11881</v>
      </c>
      <c r="B2513" s="46" t="s">
        <v>6893</v>
      </c>
      <c r="C2513" s="46" t="s">
        <v>11881</v>
      </c>
      <c r="D2513" s="1018" t="s">
        <v>6898</v>
      </c>
      <c r="E2513" s="46" cm="1">
        <f t="array" ref="E2513">sch_mh_suicide_learners_aftersy_jun</f>
        <v>0</v>
      </c>
      <c r="F2513" s="46" t="b">
        <v>1</v>
      </c>
    </row>
    <row r="2514" spans="1:6">
      <c r="A2514" s="46" t="s">
        <v>11295</v>
      </c>
      <c r="B2514" s="46" t="s">
        <v>6893</v>
      </c>
      <c r="C2514" s="46" t="s">
        <v>11295</v>
      </c>
      <c r="D2514" s="1018" t="s">
        <v>6899</v>
      </c>
      <c r="E2514" s="46" cm="1">
        <f t="array" ref="E2514">sch_mh_suicide_learners_aftersy_jul</f>
        <v>0</v>
      </c>
      <c r="F2514" s="46" t="b">
        <v>1</v>
      </c>
    </row>
    <row r="2515" spans="1:6">
      <c r="A2515" s="46" t="s">
        <v>11296</v>
      </c>
      <c r="B2515" s="46" t="s">
        <v>6893</v>
      </c>
      <c r="C2515" s="46" t="s">
        <v>11296</v>
      </c>
      <c r="D2515" s="1018" t="s">
        <v>6900</v>
      </c>
      <c r="E2515" s="46" cm="1">
        <f t="array" ref="E2515">sch_mh_suicide_learners_aftersy_aug</f>
        <v>0</v>
      </c>
      <c r="F2515" s="46" t="b">
        <v>1</v>
      </c>
    </row>
    <row r="2516" spans="1:6">
      <c r="A2516" s="46" t="s">
        <v>11882</v>
      </c>
      <c r="B2516" s="46" t="s">
        <v>6893</v>
      </c>
      <c r="C2516" s="46" t="s">
        <v>11882</v>
      </c>
      <c r="D2516" s="1018" t="s">
        <v>6901</v>
      </c>
      <c r="E2516" s="46" cm="1">
        <f t="array" ref="E2516">sch_mh_suicide_learners_duringsy_aug</f>
        <v>0</v>
      </c>
      <c r="F2516" s="46" t="b">
        <v>1</v>
      </c>
    </row>
    <row r="2517" spans="1:6">
      <c r="A2517" s="46" t="s">
        <v>11297</v>
      </c>
      <c r="B2517" s="46" t="s">
        <v>6893</v>
      </c>
      <c r="C2517" s="46" t="s">
        <v>11297</v>
      </c>
      <c r="D2517" s="1018" t="s">
        <v>6902</v>
      </c>
      <c r="E2517" s="46" cm="1">
        <f t="array" ref="E2517">sch_mh_suicide_learners_duringsy_sep</f>
        <v>0</v>
      </c>
      <c r="F2517" s="46" t="b">
        <v>1</v>
      </c>
    </row>
    <row r="2518" spans="1:6">
      <c r="A2518" s="46" t="s">
        <v>11298</v>
      </c>
      <c r="B2518" s="46" t="s">
        <v>6893</v>
      </c>
      <c r="C2518" s="46" t="s">
        <v>11298</v>
      </c>
      <c r="D2518" s="1018" t="s">
        <v>6903</v>
      </c>
      <c r="E2518" s="46" cm="1">
        <f t="array" ref="E2518">sch_mh_suicide_learners_duringsy_oct</f>
        <v>0</v>
      </c>
      <c r="F2518" s="46" t="b">
        <v>1</v>
      </c>
    </row>
    <row r="2519" spans="1:6">
      <c r="A2519" s="46" t="s">
        <v>11299</v>
      </c>
      <c r="B2519" s="46" t="s">
        <v>6893</v>
      </c>
      <c r="C2519" s="46" t="s">
        <v>11299</v>
      </c>
      <c r="D2519" s="1018" t="s">
        <v>6904</v>
      </c>
      <c r="E2519" s="46" cm="1">
        <f t="array" ref="E2519">sch_mh_suicide_learners_duringsy_nov</f>
        <v>0</v>
      </c>
      <c r="F2519" s="46" t="b">
        <v>1</v>
      </c>
    </row>
    <row r="2520" spans="1:6">
      <c r="A2520" s="46" t="s">
        <v>11300</v>
      </c>
      <c r="B2520" s="46" t="s">
        <v>6893</v>
      </c>
      <c r="C2520" s="46" t="s">
        <v>11300</v>
      </c>
      <c r="D2520" s="1018" t="s">
        <v>6905</v>
      </c>
      <c r="E2520" s="46" cm="1">
        <f t="array" ref="E2520">sch_mh_suicide_personnel_lastsy_dec</f>
        <v>0</v>
      </c>
      <c r="F2520" s="46" t="b">
        <v>1</v>
      </c>
    </row>
    <row r="2521" spans="1:6">
      <c r="A2521" s="46" t="s">
        <v>11301</v>
      </c>
      <c r="B2521" s="46" t="s">
        <v>6893</v>
      </c>
      <c r="C2521" s="46" t="s">
        <v>11301</v>
      </c>
      <c r="D2521" s="1018" t="s">
        <v>6906</v>
      </c>
      <c r="E2521" s="46" cm="1">
        <f t="array" ref="E2521">sch_mh_suicide_personnel_lastsy_jan</f>
        <v>0</v>
      </c>
      <c r="F2521" s="46" t="b">
        <v>1</v>
      </c>
    </row>
    <row r="2522" spans="1:6">
      <c r="A2522" s="46" t="s">
        <v>11302</v>
      </c>
      <c r="B2522" s="46" t="s">
        <v>6893</v>
      </c>
      <c r="C2522" s="46" t="s">
        <v>11302</v>
      </c>
      <c r="D2522" s="1018" t="s">
        <v>6907</v>
      </c>
      <c r="E2522" s="46" cm="1">
        <f t="array" ref="E2522">sch_mh_suicide_personnel_lastsy_feb</f>
        <v>0</v>
      </c>
      <c r="F2522" s="46" t="b">
        <v>1</v>
      </c>
    </row>
    <row r="2523" spans="1:6">
      <c r="A2523" s="46" t="s">
        <v>11303</v>
      </c>
      <c r="B2523" s="46" t="s">
        <v>6893</v>
      </c>
      <c r="C2523" s="46" t="s">
        <v>11303</v>
      </c>
      <c r="D2523" s="1018" t="s">
        <v>6908</v>
      </c>
      <c r="E2523" s="46" cm="1">
        <f t="array" ref="E2523">sch_mh_suicide_personnel_lastsy_mar</f>
        <v>0</v>
      </c>
      <c r="F2523" s="46" t="b">
        <v>1</v>
      </c>
    </row>
    <row r="2524" spans="1:6">
      <c r="A2524" s="46" t="s">
        <v>11304</v>
      </c>
      <c r="B2524" s="46" t="s">
        <v>6893</v>
      </c>
      <c r="C2524" s="46" t="s">
        <v>11304</v>
      </c>
      <c r="D2524" s="1018" t="s">
        <v>6909</v>
      </c>
      <c r="E2524" s="46" cm="1">
        <f t="array" ref="E2524">sch_mh_suicide_personnel_lastsy_apr</f>
        <v>0</v>
      </c>
      <c r="F2524" s="46" t="b">
        <v>1</v>
      </c>
    </row>
    <row r="2525" spans="1:6">
      <c r="A2525" s="46" t="s">
        <v>11305</v>
      </c>
      <c r="B2525" s="46" t="s">
        <v>6893</v>
      </c>
      <c r="C2525" s="46" t="s">
        <v>11305</v>
      </c>
      <c r="D2525" s="1018" t="s">
        <v>6935</v>
      </c>
      <c r="E2525" s="46" cm="1">
        <f t="array" ref="E2525">sch_mh_suicide_personnel_lastsy_may</f>
        <v>0</v>
      </c>
      <c r="F2525" s="46" t="b">
        <v>1</v>
      </c>
    </row>
    <row r="2526" spans="1:6">
      <c r="A2526" s="46" t="s">
        <v>11306</v>
      </c>
      <c r="B2526" s="46" t="s">
        <v>6893</v>
      </c>
      <c r="C2526" s="46" t="s">
        <v>11306</v>
      </c>
      <c r="D2526" s="1018" t="s">
        <v>6936</v>
      </c>
      <c r="E2526" s="46" cm="1">
        <f t="array" ref="E2526">sch_mh_suicide_personnel_lastsy_jun</f>
        <v>0</v>
      </c>
      <c r="F2526" s="46" t="b">
        <v>1</v>
      </c>
    </row>
    <row r="2527" spans="1:6">
      <c r="A2527" s="46" t="s">
        <v>11885</v>
      </c>
      <c r="B2527" s="46" t="s">
        <v>6893</v>
      </c>
      <c r="C2527" s="46" t="s">
        <v>11885</v>
      </c>
      <c r="D2527" s="1018" t="s">
        <v>6937</v>
      </c>
      <c r="E2527" s="46" cm="1">
        <f t="array" ref="E2527">sch_mh_suicide_personnel_aftersy_jun</f>
        <v>0</v>
      </c>
      <c r="F2527" s="46" t="b">
        <v>1</v>
      </c>
    </row>
    <row r="2528" spans="1:6">
      <c r="A2528" s="46" t="s">
        <v>11307</v>
      </c>
      <c r="B2528" s="46" t="s">
        <v>6893</v>
      </c>
      <c r="C2528" s="46" t="s">
        <v>11307</v>
      </c>
      <c r="D2528" s="1018" t="s">
        <v>6938</v>
      </c>
      <c r="E2528" s="46" cm="1">
        <f t="array" ref="E2528">sch_mh_suicide_personnel_aftersy_jul</f>
        <v>0</v>
      </c>
      <c r="F2528" s="46" t="b">
        <v>1</v>
      </c>
    </row>
    <row r="2529" spans="1:6">
      <c r="A2529" s="46" t="s">
        <v>11308</v>
      </c>
      <c r="B2529" s="46" t="s">
        <v>6893</v>
      </c>
      <c r="C2529" s="46" t="s">
        <v>11308</v>
      </c>
      <c r="D2529" s="1018" t="s">
        <v>6939</v>
      </c>
      <c r="E2529" s="46" cm="1">
        <f t="array" ref="E2529">sch_mh_suicide_personnel_aftersy_aug</f>
        <v>0</v>
      </c>
      <c r="F2529" s="46" t="b">
        <v>1</v>
      </c>
    </row>
    <row r="2530" spans="1:6">
      <c r="A2530" s="46" t="s">
        <v>11887</v>
      </c>
      <c r="B2530" s="46" t="s">
        <v>6893</v>
      </c>
      <c r="C2530" s="46" t="s">
        <v>11887</v>
      </c>
      <c r="D2530" s="1018" t="s">
        <v>6940</v>
      </c>
      <c r="E2530" s="46" cm="1">
        <f t="array" ref="E2530">sch_mh_suicide_personnel_duringsy_aug</f>
        <v>0</v>
      </c>
      <c r="F2530" s="46" t="b">
        <v>1</v>
      </c>
    </row>
    <row r="2531" spans="1:6">
      <c r="A2531" s="46" t="s">
        <v>11309</v>
      </c>
      <c r="B2531" s="46" t="s">
        <v>6893</v>
      </c>
      <c r="C2531" s="46" t="s">
        <v>11309</v>
      </c>
      <c r="D2531" s="1018" t="s">
        <v>6941</v>
      </c>
      <c r="E2531" s="46" cm="1">
        <f t="array" ref="E2531">sch_mh_suicide_personnel_duringsy_sep</f>
        <v>0</v>
      </c>
      <c r="F2531" s="46" t="b">
        <v>1</v>
      </c>
    </row>
    <row r="2532" spans="1:6">
      <c r="A2532" s="46" t="s">
        <v>11310</v>
      </c>
      <c r="B2532" s="46" t="s">
        <v>6893</v>
      </c>
      <c r="C2532" s="46" t="s">
        <v>11310</v>
      </c>
      <c r="D2532" s="1018" t="s">
        <v>6942</v>
      </c>
      <c r="E2532" s="46" cm="1">
        <f t="array" ref="E2532">sch_mh_suicide_personnel_duringsy_oct</f>
        <v>0</v>
      </c>
      <c r="F2532" s="46" t="b">
        <v>1</v>
      </c>
    </row>
    <row r="2533" spans="1:6">
      <c r="A2533" s="46" t="s">
        <v>11311</v>
      </c>
      <c r="B2533" s="46" t="s">
        <v>6893</v>
      </c>
      <c r="C2533" s="46" t="s">
        <v>11311</v>
      </c>
      <c r="D2533" s="1018" t="s">
        <v>6943</v>
      </c>
      <c r="E2533" s="46" cm="1">
        <f t="array" ref="E2533">sch_mh_suicide_personnel_duringsy_nov</f>
        <v>0</v>
      </c>
      <c r="F2533" s="46" t="b">
        <v>1</v>
      </c>
    </row>
    <row r="2534" spans="1:6">
      <c r="A2534" s="46" t="s">
        <v>11312</v>
      </c>
      <c r="B2534" s="46" t="s">
        <v>6893</v>
      </c>
      <c r="C2534" s="46" t="s">
        <v>11312</v>
      </c>
      <c r="D2534" s="1018" t="s">
        <v>6944</v>
      </c>
      <c r="E2534" s="46" cm="1">
        <f t="array" ref="E2534">sch_mh_atpsuicide_learners_lastsy_dec</f>
        <v>0</v>
      </c>
      <c r="F2534" s="46" t="b">
        <v>1</v>
      </c>
    </row>
    <row r="2535" spans="1:6">
      <c r="A2535" s="46" t="s">
        <v>11313</v>
      </c>
      <c r="B2535" s="46" t="s">
        <v>6893</v>
      </c>
      <c r="C2535" s="46" t="s">
        <v>11313</v>
      </c>
      <c r="D2535" s="1018" t="s">
        <v>6945</v>
      </c>
      <c r="E2535" s="46" cm="1">
        <f t="array" ref="E2535">sch_mh_atpsuicide_learners_lastsy_jan</f>
        <v>0</v>
      </c>
      <c r="F2535" s="46" t="b">
        <v>1</v>
      </c>
    </row>
    <row r="2536" spans="1:6">
      <c r="A2536" s="46" t="s">
        <v>11314</v>
      </c>
      <c r="B2536" s="46" t="s">
        <v>6893</v>
      </c>
      <c r="C2536" s="46" t="s">
        <v>11314</v>
      </c>
      <c r="D2536" s="1018" t="s">
        <v>6946</v>
      </c>
      <c r="E2536" s="46" cm="1">
        <f t="array" ref="E2536">sch_mh_atpsuicide_learners_lastsy_feb</f>
        <v>0</v>
      </c>
      <c r="F2536" s="46" t="b">
        <v>1</v>
      </c>
    </row>
    <row r="2537" spans="1:6">
      <c r="A2537" s="46" t="s">
        <v>11315</v>
      </c>
      <c r="B2537" s="46" t="s">
        <v>6893</v>
      </c>
      <c r="C2537" s="46" t="s">
        <v>11315</v>
      </c>
      <c r="D2537" s="1018" t="s">
        <v>6947</v>
      </c>
      <c r="E2537" s="46" cm="1">
        <f t="array" ref="E2537">sch_mh_atpsuicide_learners_lastsy_mar</f>
        <v>0</v>
      </c>
      <c r="F2537" s="46" t="b">
        <v>1</v>
      </c>
    </row>
    <row r="2538" spans="1:6">
      <c r="A2538" s="46" t="s">
        <v>11316</v>
      </c>
      <c r="B2538" s="46" t="s">
        <v>6893</v>
      </c>
      <c r="C2538" s="46" t="s">
        <v>11316</v>
      </c>
      <c r="D2538" s="1018" t="s">
        <v>6948</v>
      </c>
      <c r="E2538" s="46" cm="1">
        <f t="array" ref="E2538">sch_mh_atpsuicide_learners_lastsy_apr</f>
        <v>0</v>
      </c>
      <c r="F2538" s="46" t="b">
        <v>1</v>
      </c>
    </row>
    <row r="2539" spans="1:6">
      <c r="A2539" s="46" t="s">
        <v>11317</v>
      </c>
      <c r="B2539" s="46" t="s">
        <v>6893</v>
      </c>
      <c r="C2539" s="46" t="s">
        <v>11317</v>
      </c>
      <c r="D2539" s="1018" t="s">
        <v>6949</v>
      </c>
      <c r="E2539" s="46" cm="1">
        <f t="array" ref="E2539">sch_mh_atpsuicide_learners_lastsy_may</f>
        <v>0</v>
      </c>
      <c r="F2539" s="46" t="b">
        <v>1</v>
      </c>
    </row>
    <row r="2540" spans="1:6">
      <c r="A2540" s="46" t="s">
        <v>11318</v>
      </c>
      <c r="B2540" s="46" t="s">
        <v>6893</v>
      </c>
      <c r="C2540" s="46" t="s">
        <v>11318</v>
      </c>
      <c r="D2540" s="1018" t="s">
        <v>6950</v>
      </c>
      <c r="E2540" s="46" cm="1">
        <f t="array" ref="E2540">sch_mh_atpsuicide_learners_lastsy_jun</f>
        <v>0</v>
      </c>
      <c r="F2540" s="46" t="b">
        <v>1</v>
      </c>
    </row>
    <row r="2541" spans="1:6">
      <c r="A2541" s="46" t="s">
        <v>11883</v>
      </c>
      <c r="B2541" s="46" t="s">
        <v>6893</v>
      </c>
      <c r="C2541" s="46" t="s">
        <v>11883</v>
      </c>
      <c r="D2541" s="1018" t="s">
        <v>6951</v>
      </c>
      <c r="E2541" s="46" cm="1">
        <f t="array" ref="E2541">sch_mh_atpsuicide_learners_aftersy_jun</f>
        <v>0</v>
      </c>
      <c r="F2541" s="46" t="b">
        <v>1</v>
      </c>
    </row>
    <row r="2542" spans="1:6">
      <c r="A2542" s="46" t="s">
        <v>11319</v>
      </c>
      <c r="B2542" s="46" t="s">
        <v>6893</v>
      </c>
      <c r="C2542" s="46" t="s">
        <v>11319</v>
      </c>
      <c r="D2542" s="1018" t="s">
        <v>6952</v>
      </c>
      <c r="E2542" s="46" cm="1">
        <f t="array" ref="E2542">sch_mh_atpsuicide_learners_aftersy_jul</f>
        <v>0</v>
      </c>
      <c r="F2542" s="46" t="b">
        <v>1</v>
      </c>
    </row>
    <row r="2543" spans="1:6">
      <c r="A2543" s="46" t="s">
        <v>11320</v>
      </c>
      <c r="B2543" s="46" t="s">
        <v>6893</v>
      </c>
      <c r="C2543" s="46" t="s">
        <v>11320</v>
      </c>
      <c r="D2543" s="1018" t="s">
        <v>6953</v>
      </c>
      <c r="E2543" s="46" cm="1">
        <f t="array" ref="E2543">sch_mh_atpsuicide_learners_aftersy_aug</f>
        <v>0</v>
      </c>
      <c r="F2543" s="46" t="b">
        <v>1</v>
      </c>
    </row>
    <row r="2544" spans="1:6">
      <c r="A2544" s="46" t="s">
        <v>11884</v>
      </c>
      <c r="B2544" s="46" t="s">
        <v>6893</v>
      </c>
      <c r="C2544" s="46" t="s">
        <v>11884</v>
      </c>
      <c r="D2544" s="1018" t="s">
        <v>6954</v>
      </c>
      <c r="E2544" s="46" cm="1">
        <f t="array" ref="E2544">sch_mh_atpsuicide_learners_duringsy_aug</f>
        <v>0</v>
      </c>
      <c r="F2544" s="46" t="b">
        <v>1</v>
      </c>
    </row>
    <row r="2545" spans="1:6">
      <c r="A2545" s="46" t="s">
        <v>11321</v>
      </c>
      <c r="B2545" s="46" t="s">
        <v>6893</v>
      </c>
      <c r="C2545" s="46" t="s">
        <v>11321</v>
      </c>
      <c r="D2545" s="1018" t="s">
        <v>6955</v>
      </c>
      <c r="E2545" s="46" cm="1">
        <f t="array" ref="E2545">sch_mh_atpsuicide_learners_duringsy_sep</f>
        <v>0</v>
      </c>
      <c r="F2545" s="46" t="b">
        <v>1</v>
      </c>
    </row>
    <row r="2546" spans="1:6">
      <c r="A2546" s="46" t="s">
        <v>11322</v>
      </c>
      <c r="B2546" s="46" t="s">
        <v>6893</v>
      </c>
      <c r="C2546" s="46" t="s">
        <v>11322</v>
      </c>
      <c r="D2546" s="1018" t="s">
        <v>6956</v>
      </c>
      <c r="E2546" s="46" cm="1">
        <f t="array" ref="E2546">sch_mh_atpsuicide_learners_duringsy_oct</f>
        <v>0</v>
      </c>
      <c r="F2546" s="46" t="b">
        <v>1</v>
      </c>
    </row>
    <row r="2547" spans="1:6">
      <c r="A2547" s="46" t="s">
        <v>11323</v>
      </c>
      <c r="B2547" s="46" t="s">
        <v>6893</v>
      </c>
      <c r="C2547" s="46" t="s">
        <v>11323</v>
      </c>
      <c r="D2547" s="1018" t="s">
        <v>6957</v>
      </c>
      <c r="E2547" s="46" cm="1">
        <f t="array" ref="E2547">sch_mh_atpsuicide_learners_duringsy_nov</f>
        <v>0</v>
      </c>
      <c r="F2547" s="46" t="b">
        <v>1</v>
      </c>
    </row>
    <row r="2548" spans="1:6">
      <c r="A2548" s="46" t="s">
        <v>11324</v>
      </c>
      <c r="B2548" s="46" t="s">
        <v>6893</v>
      </c>
      <c r="C2548" s="46" t="s">
        <v>11324</v>
      </c>
      <c r="D2548" s="1018" t="s">
        <v>6958</v>
      </c>
      <c r="E2548" s="46" cm="1">
        <f t="array" ref="E2548">sch_mh_atpsuicide_personnel_lastsy_dec</f>
        <v>0</v>
      </c>
      <c r="F2548" s="46" t="b">
        <v>1</v>
      </c>
    </row>
    <row r="2549" spans="1:6">
      <c r="A2549" s="46" t="s">
        <v>11325</v>
      </c>
      <c r="B2549" s="46" t="s">
        <v>6893</v>
      </c>
      <c r="C2549" s="46" t="s">
        <v>11325</v>
      </c>
      <c r="D2549" s="1018" t="s">
        <v>6959</v>
      </c>
      <c r="E2549" s="46" cm="1">
        <f t="array" ref="E2549">sch_mh_atpsuicide_personnel_lastsy_jan</f>
        <v>0</v>
      </c>
      <c r="F2549" s="46" t="b">
        <v>1</v>
      </c>
    </row>
    <row r="2550" spans="1:6">
      <c r="A2550" s="46" t="s">
        <v>11326</v>
      </c>
      <c r="B2550" s="46" t="s">
        <v>6893</v>
      </c>
      <c r="C2550" s="46" t="s">
        <v>11326</v>
      </c>
      <c r="D2550" s="1018" t="s">
        <v>6960</v>
      </c>
      <c r="E2550" s="46" cm="1">
        <f t="array" ref="E2550">sch_mh_atpsuicide_personnel_lastsy_feb</f>
        <v>0</v>
      </c>
      <c r="F2550" s="46" t="b">
        <v>1</v>
      </c>
    </row>
    <row r="2551" spans="1:6">
      <c r="A2551" s="46" t="s">
        <v>11327</v>
      </c>
      <c r="B2551" s="46" t="s">
        <v>6893</v>
      </c>
      <c r="C2551" s="46" t="s">
        <v>11327</v>
      </c>
      <c r="D2551" s="1018" t="s">
        <v>6961</v>
      </c>
      <c r="E2551" s="46" cm="1">
        <f t="array" ref="E2551">sch_mh_atpsuicide_personnel_lastsy_mar</f>
        <v>0</v>
      </c>
      <c r="F2551" s="46" t="b">
        <v>1</v>
      </c>
    </row>
    <row r="2552" spans="1:6">
      <c r="A2552" s="46" t="s">
        <v>11328</v>
      </c>
      <c r="B2552" s="46" t="s">
        <v>6893</v>
      </c>
      <c r="C2552" s="46" t="s">
        <v>11328</v>
      </c>
      <c r="D2552" s="1018" t="s">
        <v>6962</v>
      </c>
      <c r="E2552" s="46" cm="1">
        <f t="array" ref="E2552">sch_mh_atpsuicide_personnel_lastsy_apr</f>
        <v>0</v>
      </c>
      <c r="F2552" s="46" t="b">
        <v>1</v>
      </c>
    </row>
    <row r="2553" spans="1:6">
      <c r="A2553" s="46" t="s">
        <v>11329</v>
      </c>
      <c r="B2553" s="46" t="s">
        <v>6893</v>
      </c>
      <c r="C2553" s="46" t="s">
        <v>11329</v>
      </c>
      <c r="D2553" s="1018" t="s">
        <v>6963</v>
      </c>
      <c r="E2553" s="46" cm="1">
        <f t="array" ref="E2553">sch_mh_atpsuicide_personnel_lastsy_may</f>
        <v>0</v>
      </c>
      <c r="F2553" s="46" t="b">
        <v>1</v>
      </c>
    </row>
    <row r="2554" spans="1:6">
      <c r="A2554" s="46" t="s">
        <v>11330</v>
      </c>
      <c r="B2554" s="46" t="s">
        <v>6893</v>
      </c>
      <c r="C2554" s="46" t="s">
        <v>11330</v>
      </c>
      <c r="D2554" s="1018" t="s">
        <v>6964</v>
      </c>
      <c r="E2554" s="46" cm="1">
        <f t="array" ref="E2554">sch_mh_atpsuicide_personnel_lastsy_jun</f>
        <v>0</v>
      </c>
      <c r="F2554" s="46" t="b">
        <v>1</v>
      </c>
    </row>
    <row r="2555" spans="1:6">
      <c r="A2555" s="46" t="s">
        <v>11886</v>
      </c>
      <c r="B2555" s="46" t="s">
        <v>6893</v>
      </c>
      <c r="C2555" s="46" t="s">
        <v>11886</v>
      </c>
      <c r="D2555" s="1018" t="s">
        <v>6965</v>
      </c>
      <c r="E2555" s="46" cm="1">
        <f t="array" ref="E2555">sch_mh_atpsuicide_personnel_aftersy_jun</f>
        <v>0</v>
      </c>
      <c r="F2555" s="46" t="b">
        <v>1</v>
      </c>
    </row>
    <row r="2556" spans="1:6">
      <c r="A2556" s="46" t="s">
        <v>11331</v>
      </c>
      <c r="B2556" s="46" t="s">
        <v>6893</v>
      </c>
      <c r="C2556" s="46" t="s">
        <v>11331</v>
      </c>
      <c r="D2556" s="1018" t="s">
        <v>6966</v>
      </c>
      <c r="E2556" s="46" cm="1">
        <f t="array" ref="E2556">sch_mh_atpsuicide_personnel_aftersy_jul</f>
        <v>0</v>
      </c>
      <c r="F2556" s="46" t="b">
        <v>1</v>
      </c>
    </row>
    <row r="2557" spans="1:6">
      <c r="A2557" s="46" t="s">
        <v>11332</v>
      </c>
      <c r="B2557" s="46" t="s">
        <v>6893</v>
      </c>
      <c r="C2557" s="46" t="s">
        <v>11332</v>
      </c>
      <c r="D2557" s="1018" t="s">
        <v>6967</v>
      </c>
      <c r="E2557" s="46" cm="1">
        <f t="array" ref="E2557">sch_mh_atpsuicide_personnel_aftersy_aug</f>
        <v>0</v>
      </c>
      <c r="F2557" s="46" t="b">
        <v>1</v>
      </c>
    </row>
    <row r="2558" spans="1:6">
      <c r="A2558" s="46" t="s">
        <v>11888</v>
      </c>
      <c r="B2558" s="46" t="s">
        <v>6893</v>
      </c>
      <c r="C2558" s="46" t="s">
        <v>11888</v>
      </c>
      <c r="D2558" s="1018" t="s">
        <v>6968</v>
      </c>
      <c r="E2558" s="46" cm="1">
        <f t="array" ref="E2558">sch_mh_atpsuicide_personnel_duringsy_aug</f>
        <v>0</v>
      </c>
      <c r="F2558" s="46" t="b">
        <v>1</v>
      </c>
    </row>
    <row r="2559" spans="1:6">
      <c r="A2559" s="46" t="s">
        <v>11333</v>
      </c>
      <c r="B2559" s="46" t="s">
        <v>6893</v>
      </c>
      <c r="C2559" s="46" t="s">
        <v>11333</v>
      </c>
      <c r="D2559" s="1018" t="s">
        <v>6969</v>
      </c>
      <c r="E2559" s="46" cm="1">
        <f t="array" ref="E2559">sch_mh_atpsuicide_personnel_duringsy_sep</f>
        <v>0</v>
      </c>
      <c r="F2559" s="46" t="b">
        <v>1</v>
      </c>
    </row>
    <row r="2560" spans="1:6">
      <c r="A2560" s="46" t="s">
        <v>11334</v>
      </c>
      <c r="B2560" s="46" t="s">
        <v>6893</v>
      </c>
      <c r="C2560" s="46" t="s">
        <v>11334</v>
      </c>
      <c r="D2560" s="1018" t="s">
        <v>6970</v>
      </c>
      <c r="E2560" s="46" cm="1">
        <f t="array" ref="E2560">sch_mh_atpsuicide_personnel_duringsy_oct</f>
        <v>0</v>
      </c>
      <c r="F2560" s="46" t="b">
        <v>1</v>
      </c>
    </row>
    <row r="2561" spans="1:8" ht="16.5" thickBot="1">
      <c r="A2561" s="479" t="s">
        <v>11335</v>
      </c>
      <c r="B2561" s="479" t="s">
        <v>6893</v>
      </c>
      <c r="C2561" s="479" t="s">
        <v>11335</v>
      </c>
      <c r="D2561" s="1019" t="s">
        <v>6971</v>
      </c>
      <c r="E2561" s="479" cm="1">
        <f t="array" ref="E2561">sch_mh_atpsuicide_personnel_duringsy_nov</f>
        <v>0</v>
      </c>
      <c r="F2561" s="479" t="b">
        <v>1</v>
      </c>
      <c r="G2561" s="479"/>
      <c r="H2561" s="479"/>
    </row>
    <row r="2562" spans="1:8" ht="16.5" thickTop="1">
      <c r="A2562" s="46" t="s">
        <v>6972</v>
      </c>
      <c r="B2562" s="46" t="s">
        <v>6893</v>
      </c>
      <c r="C2562" s="46" t="s">
        <v>6972</v>
      </c>
      <c r="D2562" s="46" t="s">
        <v>7004</v>
      </c>
      <c r="E2562" s="46" t="b" cm="1">
        <f t="array" ref="E2562">sch_guidance_officeyes</f>
        <v>1</v>
      </c>
      <c r="F2562" s="46" t="b">
        <f t="shared" ref="F2562:F2563" si="16">OR(E2562=TRUE, E2562=FALSE)</f>
        <v>1</v>
      </c>
      <c r="G2562" s="46" t="s">
        <v>11265</v>
      </c>
    </row>
    <row r="2563" spans="1:8">
      <c r="A2563" s="46" t="s">
        <v>6973</v>
      </c>
      <c r="B2563" s="46" t="s">
        <v>6893</v>
      </c>
      <c r="C2563" s="46" t="s">
        <v>6973</v>
      </c>
      <c r="D2563" s="46" t="s">
        <v>7005</v>
      </c>
      <c r="E2563" s="46" t="b" cm="1">
        <f t="array" ref="E2563">sch_reg_guidance_counselyes</f>
        <v>0</v>
      </c>
      <c r="F2563" s="46" t="b">
        <f t="shared" si="16"/>
        <v>1</v>
      </c>
      <c r="G2563" s="46" t="s">
        <v>11265</v>
      </c>
    </row>
    <row r="2564" spans="1:8">
      <c r="A2564" s="46" t="s">
        <v>6974</v>
      </c>
      <c r="B2564" s="46" t="s">
        <v>6893</v>
      </c>
      <c r="C2564" s="46" t="s">
        <v>6974</v>
      </c>
      <c r="D2564" s="1018" t="s">
        <v>7006</v>
      </c>
      <c r="E2564" s="46" cm="1">
        <f t="array" ref="E2564">sch_mental_guidancelcoun_numlearner_g11</f>
        <v>10</v>
      </c>
      <c r="F2564" s="46" t="b">
        <v>1</v>
      </c>
    </row>
    <row r="2565" spans="1:8">
      <c r="A2565" s="46" t="s">
        <v>6975</v>
      </c>
      <c r="B2565" s="46" t="s">
        <v>6893</v>
      </c>
      <c r="C2565" s="46" t="s">
        <v>6975</v>
      </c>
      <c r="D2565" s="1018" t="s">
        <v>7007</v>
      </c>
      <c r="E2565" s="46" cm="1">
        <f t="array" ref="E2565">sch_mental_guidancelcoun_numlearner_g12</f>
        <v>10</v>
      </c>
      <c r="F2565" s="46" t="b">
        <v>1</v>
      </c>
    </row>
    <row r="2566" spans="1:8">
      <c r="A2566" s="46" t="s">
        <v>6976</v>
      </c>
      <c r="B2566" s="46" t="s">
        <v>6893</v>
      </c>
      <c r="C2566" s="46" t="s">
        <v>6976</v>
      </c>
      <c r="D2566" s="46" t="s">
        <v>7008</v>
      </c>
      <c r="E2566" s="46" t="b" cm="1">
        <f t="array" ref="E2566">sch_screening_toolyes</f>
        <v>1</v>
      </c>
      <c r="F2566" s="46" t="b">
        <f t="shared" ref="F2566:F2568" si="17">OR(E2566=TRUE, E2566=FALSE)</f>
        <v>1</v>
      </c>
      <c r="G2566" s="46" t="s">
        <v>11265</v>
      </c>
    </row>
    <row r="2567" spans="1:8">
      <c r="A2567" s="46" t="s">
        <v>6977</v>
      </c>
      <c r="B2567" s="46" t="s">
        <v>6893</v>
      </c>
      <c r="C2567" s="46" t="s">
        <v>6977</v>
      </c>
      <c r="D2567" s="46" t="s">
        <v>7009</v>
      </c>
      <c r="E2567" s="46" t="b" cm="1">
        <f t="array" ref="E2567">sch_celebrate_nmhwyes</f>
        <v>0</v>
      </c>
      <c r="F2567" s="46" t="b">
        <f t="shared" si="17"/>
        <v>1</v>
      </c>
      <c r="G2567" s="46" t="s">
        <v>11265</v>
      </c>
    </row>
    <row r="2568" spans="1:8">
      <c r="A2568" s="46" t="s">
        <v>6978</v>
      </c>
      <c r="B2568" s="46" t="s">
        <v>6893</v>
      </c>
      <c r="C2568" s="46" t="s">
        <v>6978</v>
      </c>
      <c r="D2568" s="46" t="s">
        <v>7010</v>
      </c>
      <c r="E2568" s="46" t="b" cm="1">
        <f t="array" ref="E2568">sch_train_learnyes</f>
        <v>1</v>
      </c>
      <c r="F2568" s="46" t="b">
        <f t="shared" si="17"/>
        <v>1</v>
      </c>
      <c r="G2568" s="46" t="s">
        <v>11265</v>
      </c>
    </row>
    <row r="2569" spans="1:8">
      <c r="A2569" s="46" t="s">
        <v>6979</v>
      </c>
      <c r="B2569" s="46" t="s">
        <v>6893</v>
      </c>
      <c r="C2569" s="46" t="s">
        <v>6979</v>
      </c>
      <c r="D2569" s="1018" t="s">
        <v>7011</v>
      </c>
      <c r="E2569" s="46" cm="1">
        <f t="array" ref="E2569">sch_exca_bull_amongl_g11</f>
        <v>535</v>
      </c>
      <c r="F2569" s="46" t="b">
        <v>1</v>
      </c>
    </row>
    <row r="2570" spans="1:8">
      <c r="A2570" s="46" t="s">
        <v>6980</v>
      </c>
      <c r="B2570" s="46" t="s">
        <v>6893</v>
      </c>
      <c r="C2570" s="46" t="s">
        <v>6980</v>
      </c>
      <c r="D2570" s="1018" t="s">
        <v>7012</v>
      </c>
      <c r="E2570" s="46" cm="1">
        <f t="array" ref="E2570">sch_exca_mental_amongl_g11</f>
        <v>535</v>
      </c>
      <c r="F2570" s="46" t="b">
        <v>1</v>
      </c>
    </row>
    <row r="2571" spans="1:8">
      <c r="A2571" s="46" t="s">
        <v>6981</v>
      </c>
      <c r="B2571" s="46" t="s">
        <v>6893</v>
      </c>
      <c r="C2571" s="46" t="s">
        <v>6981</v>
      </c>
      <c r="D2571" s="1018" t="s">
        <v>7013</v>
      </c>
      <c r="E2571" s="46" cm="1">
        <f t="array" ref="E2571">sch_excac_suiprevent_amongl_g11</f>
        <v>535</v>
      </c>
      <c r="F2571" s="46" t="b">
        <v>1</v>
      </c>
    </row>
    <row r="2572" spans="1:8">
      <c r="A2572" s="46" t="s">
        <v>6982</v>
      </c>
      <c r="B2572" s="46" t="s">
        <v>6893</v>
      </c>
      <c r="C2572" s="46" t="s">
        <v>6982</v>
      </c>
      <c r="D2572" s="1018" t="s">
        <v>7014</v>
      </c>
      <c r="E2572" s="46" cm="1">
        <f t="array" ref="E2572">sch_excac_selfcare_amongl_g11</f>
        <v>535</v>
      </c>
      <c r="F2572" s="46" t="b">
        <v>1</v>
      </c>
    </row>
    <row r="2573" spans="1:8">
      <c r="A2573" s="46" t="s">
        <v>6983</v>
      </c>
      <c r="B2573" s="46" t="s">
        <v>6893</v>
      </c>
      <c r="C2573" s="46" t="s">
        <v>6983</v>
      </c>
      <c r="D2573" s="1018" t="s">
        <v>7015</v>
      </c>
      <c r="E2573" s="46" cm="1">
        <f t="array" ref="E2573">sch_excac_psycho_amongl_g11</f>
        <v>535</v>
      </c>
      <c r="F2573" s="46" t="b">
        <v>1</v>
      </c>
    </row>
    <row r="2574" spans="1:8">
      <c r="A2574" s="46" t="s">
        <v>6984</v>
      </c>
      <c r="B2574" s="46" t="s">
        <v>6893</v>
      </c>
      <c r="C2574" s="46" t="s">
        <v>6984</v>
      </c>
      <c r="D2574" s="1018" t="s">
        <v>7016</v>
      </c>
      <c r="E2574" s="46" cm="1">
        <f t="array" ref="E2574">sch_excac_other_amongl_g11</f>
        <v>535</v>
      </c>
      <c r="F2574" s="46" t="b">
        <v>1</v>
      </c>
    </row>
    <row r="2575" spans="1:8">
      <c r="A2575" s="46" t="s">
        <v>6985</v>
      </c>
      <c r="B2575" s="46" t="s">
        <v>6893</v>
      </c>
      <c r="C2575" s="46" t="s">
        <v>6985</v>
      </c>
      <c r="D2575" s="1018" t="s">
        <v>7017</v>
      </c>
      <c r="E2575" s="46" cm="1">
        <f t="array" ref="E2575">sch_exca_bull_amongl_g12</f>
        <v>472</v>
      </c>
      <c r="F2575" s="46" t="b">
        <v>1</v>
      </c>
    </row>
    <row r="2576" spans="1:8">
      <c r="A2576" s="46" t="s">
        <v>6986</v>
      </c>
      <c r="B2576" s="46" t="s">
        <v>6893</v>
      </c>
      <c r="C2576" s="46" t="s">
        <v>6986</v>
      </c>
      <c r="D2576" s="1018" t="s">
        <v>7018</v>
      </c>
      <c r="E2576" s="46" cm="1">
        <f t="array" ref="E2576">sch_exca_mental_amongl_g12</f>
        <v>472</v>
      </c>
      <c r="F2576" s="46" t="b">
        <v>1</v>
      </c>
    </row>
    <row r="2577" spans="1:7">
      <c r="A2577" s="46" t="s">
        <v>6987</v>
      </c>
      <c r="B2577" s="46" t="s">
        <v>6893</v>
      </c>
      <c r="C2577" s="46" t="s">
        <v>6987</v>
      </c>
      <c r="D2577" s="1018" t="s">
        <v>7019</v>
      </c>
      <c r="E2577" s="46" cm="1">
        <f t="array" ref="E2577">sch_excac_suiprevent_amongl_g12</f>
        <v>472</v>
      </c>
      <c r="F2577" s="46" t="b">
        <v>1</v>
      </c>
    </row>
    <row r="2578" spans="1:7">
      <c r="A2578" s="46" t="s">
        <v>6988</v>
      </c>
      <c r="B2578" s="46" t="s">
        <v>6893</v>
      </c>
      <c r="C2578" s="46" t="s">
        <v>6988</v>
      </c>
      <c r="D2578" s="1018" t="s">
        <v>7020</v>
      </c>
      <c r="E2578" s="46" cm="1">
        <f t="array" ref="E2578">sch_excac_selfcare_amongl_g12</f>
        <v>472</v>
      </c>
      <c r="F2578" s="46" t="b">
        <v>1</v>
      </c>
    </row>
    <row r="2579" spans="1:7">
      <c r="A2579" s="46" t="s">
        <v>6989</v>
      </c>
      <c r="B2579" s="46" t="s">
        <v>6893</v>
      </c>
      <c r="C2579" s="46" t="s">
        <v>6989</v>
      </c>
      <c r="D2579" s="1018" t="s">
        <v>7021</v>
      </c>
      <c r="E2579" s="46" cm="1">
        <f t="array" ref="E2579">sch_excac_psycho_amongl_g12</f>
        <v>472</v>
      </c>
      <c r="F2579" s="46" t="b">
        <v>1</v>
      </c>
    </row>
    <row r="2580" spans="1:7">
      <c r="A2580" s="46" t="s">
        <v>6990</v>
      </c>
      <c r="B2580" s="46" t="s">
        <v>6893</v>
      </c>
      <c r="C2580" s="46" t="s">
        <v>6990</v>
      </c>
      <c r="D2580" s="1018" t="s">
        <v>7022</v>
      </c>
      <c r="E2580" s="46" cm="1">
        <f t="array" ref="E2580">sch_excac_other_amongl_g12</f>
        <v>472</v>
      </c>
      <c r="F2580" s="46" t="b">
        <v>1</v>
      </c>
    </row>
    <row r="2581" spans="1:7">
      <c r="A2581" s="46" t="s">
        <v>6991</v>
      </c>
      <c r="B2581" s="46" t="s">
        <v>6893</v>
      </c>
      <c r="C2581" s="46" t="s">
        <v>6991</v>
      </c>
      <c r="D2581" s="46" t="s">
        <v>7023</v>
      </c>
      <c r="E2581" s="46" t="b" cm="1">
        <f t="array" ref="E2581">sch_train_teachyes</f>
        <v>0</v>
      </c>
      <c r="F2581" s="46" t="b">
        <f t="shared" ref="F2581" si="18">OR(E2581=TRUE, E2581=FALSE)</f>
        <v>1</v>
      </c>
      <c r="G2581" s="46" t="s">
        <v>11265</v>
      </c>
    </row>
    <row r="2582" spans="1:7">
      <c r="A2582" s="46" t="s">
        <v>6992</v>
      </c>
      <c r="B2582" s="46" t="s">
        <v>6893</v>
      </c>
      <c r="C2582" s="46" t="s">
        <v>6992</v>
      </c>
      <c r="D2582" s="1018" t="s">
        <v>7024</v>
      </c>
      <c r="E2582" s="46" cm="1">
        <f t="array" ref="E2582">sch_exca_bull_amongsper_g11</f>
        <v>535</v>
      </c>
      <c r="F2582" s="46" t="b">
        <v>1</v>
      </c>
    </row>
    <row r="2583" spans="1:7">
      <c r="A2583" s="46" t="s">
        <v>6993</v>
      </c>
      <c r="B2583" s="46" t="s">
        <v>6893</v>
      </c>
      <c r="C2583" s="46" t="s">
        <v>6993</v>
      </c>
      <c r="D2583" s="1018" t="s">
        <v>7025</v>
      </c>
      <c r="E2583" s="46" cm="1">
        <f t="array" ref="E2583">sch_exca_mental_amongsper_g11</f>
        <v>535</v>
      </c>
      <c r="F2583" s="46" t="b">
        <v>1</v>
      </c>
    </row>
    <row r="2584" spans="1:7">
      <c r="A2584" s="46" t="s">
        <v>6994</v>
      </c>
      <c r="B2584" s="46" t="s">
        <v>6893</v>
      </c>
      <c r="C2584" s="46" t="s">
        <v>6994</v>
      </c>
      <c r="D2584" s="1018" t="s">
        <v>7026</v>
      </c>
      <c r="E2584" s="46" cm="1">
        <f t="array" ref="E2584">sch_excac_suiprevent_amongsper_g11</f>
        <v>535</v>
      </c>
      <c r="F2584" s="46" t="b">
        <v>1</v>
      </c>
    </row>
    <row r="2585" spans="1:7">
      <c r="A2585" s="46" t="s">
        <v>6995</v>
      </c>
      <c r="B2585" s="46" t="s">
        <v>6893</v>
      </c>
      <c r="C2585" s="46" t="s">
        <v>6995</v>
      </c>
      <c r="D2585" s="1018" t="s">
        <v>7027</v>
      </c>
      <c r="E2585" s="46" cm="1">
        <f t="array" ref="E2585">sch_excac_selfcare_amongsper_g11</f>
        <v>535</v>
      </c>
      <c r="F2585" s="46" t="b">
        <v>1</v>
      </c>
    </row>
    <row r="2586" spans="1:7">
      <c r="A2586" s="46" t="s">
        <v>6996</v>
      </c>
      <c r="B2586" s="46" t="s">
        <v>6893</v>
      </c>
      <c r="C2586" s="46" t="s">
        <v>6996</v>
      </c>
      <c r="D2586" s="1018" t="s">
        <v>7028</v>
      </c>
      <c r="E2586" s="46" cm="1">
        <f t="array" ref="E2586">sch_excac_psycho_amongsper_g11</f>
        <v>535</v>
      </c>
      <c r="F2586" s="46" t="b">
        <v>1</v>
      </c>
    </row>
    <row r="2587" spans="1:7">
      <c r="A2587" s="46" t="s">
        <v>6997</v>
      </c>
      <c r="B2587" s="46" t="s">
        <v>6893</v>
      </c>
      <c r="C2587" s="46" t="s">
        <v>6997</v>
      </c>
      <c r="D2587" s="1018" t="s">
        <v>7029</v>
      </c>
      <c r="E2587" s="46" cm="1">
        <f t="array" ref="E2587">sch_excac_other_amongsper_g11</f>
        <v>535</v>
      </c>
      <c r="F2587" s="46" t="b">
        <v>1</v>
      </c>
    </row>
    <row r="2588" spans="1:7">
      <c r="A2588" s="46" t="s">
        <v>6998</v>
      </c>
      <c r="B2588" s="46" t="s">
        <v>6893</v>
      </c>
      <c r="C2588" s="46" t="s">
        <v>6998</v>
      </c>
      <c r="D2588" s="1018" t="s">
        <v>7030</v>
      </c>
      <c r="E2588" s="46" cm="1">
        <f t="array" ref="E2588">sch_exca_bull_amongsper_g12</f>
        <v>472</v>
      </c>
      <c r="F2588" s="46" t="b">
        <v>1</v>
      </c>
    </row>
    <row r="2589" spans="1:7">
      <c r="A2589" s="46" t="s">
        <v>6999</v>
      </c>
      <c r="B2589" s="46" t="s">
        <v>6893</v>
      </c>
      <c r="C2589" s="46" t="s">
        <v>6999</v>
      </c>
      <c r="D2589" s="1018" t="s">
        <v>7031</v>
      </c>
      <c r="E2589" s="46" cm="1">
        <f t="array" ref="E2589">sch_exca_mental_amongsper_g12</f>
        <v>472</v>
      </c>
      <c r="F2589" s="46" t="b">
        <v>1</v>
      </c>
    </row>
    <row r="2590" spans="1:7">
      <c r="A2590" s="46" t="s">
        <v>7000</v>
      </c>
      <c r="B2590" s="46" t="s">
        <v>6893</v>
      </c>
      <c r="C2590" s="46" t="s">
        <v>7000</v>
      </c>
      <c r="D2590" s="1018" t="s">
        <v>7032</v>
      </c>
      <c r="E2590" s="46" cm="1">
        <f t="array" ref="E2590">sch_excac_suiprevent_amongsper_g12</f>
        <v>472</v>
      </c>
      <c r="F2590" s="46" t="b">
        <v>1</v>
      </c>
    </row>
    <row r="2591" spans="1:7">
      <c r="A2591" s="46" t="s">
        <v>7001</v>
      </c>
      <c r="B2591" s="46" t="s">
        <v>6893</v>
      </c>
      <c r="C2591" s="46" t="s">
        <v>7001</v>
      </c>
      <c r="D2591" s="1018" t="s">
        <v>7033</v>
      </c>
      <c r="E2591" s="46" cm="1">
        <f t="array" ref="E2591">sch_excac_selfcare_amongsper_g12</f>
        <v>472</v>
      </c>
      <c r="F2591" s="46" t="b">
        <v>1</v>
      </c>
    </row>
    <row r="2592" spans="1:7">
      <c r="A2592" s="46" t="s">
        <v>7002</v>
      </c>
      <c r="B2592" s="46" t="s">
        <v>6893</v>
      </c>
      <c r="C2592" s="46" t="s">
        <v>7002</v>
      </c>
      <c r="D2592" s="1018" t="s">
        <v>7034</v>
      </c>
      <c r="E2592" s="46" cm="1">
        <f t="array" ref="E2592">sch_excac_psycho_amongsper_g12</f>
        <v>472</v>
      </c>
      <c r="F2592" s="46" t="b">
        <v>1</v>
      </c>
    </row>
    <row r="2593" spans="1:8" ht="16.5" thickBot="1">
      <c r="A2593" s="479" t="s">
        <v>7003</v>
      </c>
      <c r="B2593" s="479" t="s">
        <v>6893</v>
      </c>
      <c r="C2593" s="479" t="s">
        <v>7003</v>
      </c>
      <c r="D2593" s="1019" t="s">
        <v>7035</v>
      </c>
      <c r="E2593" s="479" cm="1">
        <f t="array" ref="E2593">sch_excac_other_amongsper_g12</f>
        <v>472</v>
      </c>
      <c r="F2593" s="479" t="b">
        <v>1</v>
      </c>
      <c r="G2593" s="479"/>
      <c r="H2593" s="479"/>
    </row>
    <row r="2594" spans="1:8" ht="16.5" thickTop="1">
      <c r="A2594" s="46" t="s">
        <v>7036</v>
      </c>
      <c r="B2594" s="46" t="s">
        <v>7037</v>
      </c>
      <c r="C2594" s="46" t="s">
        <v>7036</v>
      </c>
      <c r="D2594" s="46" t="s">
        <v>7061</v>
      </c>
      <c r="E2594" s="46" cm="1">
        <f t="array" ref="E2594">sch_cancer_leuk_patient_amongl</f>
        <v>0</v>
      </c>
      <c r="F2594" s="46" t="b">
        <v>1</v>
      </c>
    </row>
    <row r="2595" spans="1:8">
      <c r="A2595" s="46" t="s">
        <v>7038</v>
      </c>
      <c r="B2595" s="46" t="s">
        <v>7037</v>
      </c>
      <c r="C2595" s="46" t="s">
        <v>7038</v>
      </c>
      <c r="D2595" s="46" t="s">
        <v>7062</v>
      </c>
      <c r="E2595" s="46" cm="1">
        <f t="array" ref="E2595">sch_cancer_leuk_livingw_amongl</f>
        <v>0</v>
      </c>
      <c r="F2595" s="46" t="b">
        <v>1</v>
      </c>
    </row>
    <row r="2596" spans="1:8">
      <c r="A2596" s="46" t="s">
        <v>7039</v>
      </c>
      <c r="B2596" s="46" t="s">
        <v>7037</v>
      </c>
      <c r="C2596" s="46" t="s">
        <v>7039</v>
      </c>
      <c r="D2596" s="46" t="s">
        <v>7063</v>
      </c>
      <c r="E2596" s="46" cm="1">
        <f t="array" ref="E2596">sch_cancer_leuk_survivor_amongl</f>
        <v>0</v>
      </c>
      <c r="F2596" s="46" t="b">
        <v>1</v>
      </c>
    </row>
    <row r="2597" spans="1:8">
      <c r="A2597" s="46" t="s">
        <v>7040</v>
      </c>
      <c r="B2597" s="46" t="s">
        <v>7037</v>
      </c>
      <c r="C2597" s="46" t="s">
        <v>7040</v>
      </c>
      <c r="D2597" s="46" t="s">
        <v>7064</v>
      </c>
      <c r="E2597" s="46" cm="1">
        <f t="array" ref="E2597">sch_cancer_leuk_died_amongl</f>
        <v>0</v>
      </c>
      <c r="F2597" s="46" t="b">
        <v>1</v>
      </c>
    </row>
    <row r="2598" spans="1:8">
      <c r="A2598" s="46" t="s">
        <v>7041</v>
      </c>
      <c r="B2598" s="46" t="s">
        <v>7037</v>
      </c>
      <c r="C2598" s="46" t="s">
        <v>7041</v>
      </c>
      <c r="D2598" s="46" t="s">
        <v>7065</v>
      </c>
      <c r="E2598" s="46" cm="1">
        <f t="array" ref="E2598">sch_cancer_brainspine_patient_amongl</f>
        <v>0</v>
      </c>
      <c r="F2598" s="46" t="b">
        <v>1</v>
      </c>
    </row>
    <row r="2599" spans="1:8">
      <c r="A2599" s="46" t="s">
        <v>7042</v>
      </c>
      <c r="B2599" s="46" t="s">
        <v>7037</v>
      </c>
      <c r="C2599" s="46" t="s">
        <v>7042</v>
      </c>
      <c r="D2599" s="46" t="s">
        <v>7066</v>
      </c>
      <c r="E2599" s="46" cm="1">
        <f t="array" ref="E2599">sch_cancer_brainspine_livingw_amongl</f>
        <v>0</v>
      </c>
      <c r="F2599" s="46" t="b">
        <v>1</v>
      </c>
    </row>
    <row r="2600" spans="1:8">
      <c r="A2600" s="46" t="s">
        <v>7043</v>
      </c>
      <c r="B2600" s="46" t="s">
        <v>7037</v>
      </c>
      <c r="C2600" s="46" t="s">
        <v>7043</v>
      </c>
      <c r="D2600" s="46" t="s">
        <v>7067</v>
      </c>
      <c r="E2600" s="46" cm="1">
        <f t="array" ref="E2600">sch_cancer_brainspine_survivor_amongl</f>
        <v>0</v>
      </c>
      <c r="F2600" s="46" t="b">
        <v>1</v>
      </c>
    </row>
    <row r="2601" spans="1:8">
      <c r="A2601" s="46" t="s">
        <v>7044</v>
      </c>
      <c r="B2601" s="46" t="s">
        <v>7037</v>
      </c>
      <c r="C2601" s="46" t="s">
        <v>7044</v>
      </c>
      <c r="D2601" s="46" t="s">
        <v>7068</v>
      </c>
      <c r="E2601" s="46" cm="1">
        <f t="array" ref="E2601">sch_cancer_brainspine_died_amongl</f>
        <v>0</v>
      </c>
      <c r="F2601" s="46" t="b">
        <v>1</v>
      </c>
    </row>
    <row r="2602" spans="1:8">
      <c r="A2602" s="46" t="s">
        <v>7045</v>
      </c>
      <c r="B2602" s="46" t="s">
        <v>7037</v>
      </c>
      <c r="C2602" s="46" t="s">
        <v>7045</v>
      </c>
      <c r="D2602" s="46" t="s">
        <v>7073</v>
      </c>
      <c r="E2602" s="46" cm="1">
        <f t="array" ref="E2602">sch_cancer_othrs_patient_amongl</f>
        <v>0</v>
      </c>
      <c r="F2602" s="46" t="b">
        <v>1</v>
      </c>
    </row>
    <row r="2603" spans="1:8">
      <c r="A2603" s="46" t="s">
        <v>7046</v>
      </c>
      <c r="B2603" s="46" t="s">
        <v>7037</v>
      </c>
      <c r="C2603" s="46" t="s">
        <v>7046</v>
      </c>
      <c r="D2603" s="46" t="s">
        <v>7074</v>
      </c>
      <c r="E2603" s="46" cm="1">
        <f t="array" ref="E2603">sch_cancer_othrs_livingw_amongl</f>
        <v>0</v>
      </c>
      <c r="F2603" s="46" t="b">
        <v>1</v>
      </c>
    </row>
    <row r="2604" spans="1:8">
      <c r="A2604" s="46" t="s">
        <v>7047</v>
      </c>
      <c r="B2604" s="46" t="s">
        <v>7037</v>
      </c>
      <c r="C2604" s="46" t="s">
        <v>7047</v>
      </c>
      <c r="D2604" s="46" t="s">
        <v>7075</v>
      </c>
      <c r="E2604" s="46" cm="1">
        <f t="array" ref="E2604">sch_cancer_othrs_survivor_amongl</f>
        <v>0</v>
      </c>
      <c r="F2604" s="46" t="b">
        <v>1</v>
      </c>
    </row>
    <row r="2605" spans="1:8">
      <c r="A2605" s="46" t="s">
        <v>7048</v>
      </c>
      <c r="B2605" s="46" t="s">
        <v>7037</v>
      </c>
      <c r="C2605" s="46" t="s">
        <v>7048</v>
      </c>
      <c r="D2605" s="46" t="s">
        <v>7076</v>
      </c>
      <c r="E2605" s="46" cm="1">
        <f t="array" ref="E2605">sch_cancer_othrs_died_amongl</f>
        <v>0</v>
      </c>
      <c r="F2605" s="46" t="b">
        <v>1</v>
      </c>
    </row>
    <row r="2606" spans="1:8">
      <c r="A2606" s="46" t="s">
        <v>7049</v>
      </c>
      <c r="B2606" s="46" t="s">
        <v>7037</v>
      </c>
      <c r="C2606" s="46" t="s">
        <v>7049</v>
      </c>
      <c r="D2606" s="46" t="s">
        <v>7069</v>
      </c>
      <c r="E2606" s="46" cm="1">
        <f t="array" ref="E2606">sch_cancer_breast_patient_amongsper</f>
        <v>0</v>
      </c>
      <c r="F2606" s="46" t="b">
        <v>1</v>
      </c>
    </row>
    <row r="2607" spans="1:8">
      <c r="A2607" s="46" t="s">
        <v>7050</v>
      </c>
      <c r="B2607" s="46" t="s">
        <v>7037</v>
      </c>
      <c r="C2607" s="46" t="s">
        <v>7050</v>
      </c>
      <c r="D2607" s="46" t="s">
        <v>7070</v>
      </c>
      <c r="E2607" s="46" cm="1">
        <f t="array" ref="E2607">sch_cancer_breast_livingw_amongsper</f>
        <v>0</v>
      </c>
      <c r="F2607" s="46" t="b">
        <v>1</v>
      </c>
    </row>
    <row r="2608" spans="1:8">
      <c r="A2608" s="46" t="s">
        <v>7051</v>
      </c>
      <c r="B2608" s="46" t="s">
        <v>7037</v>
      </c>
      <c r="C2608" s="46" t="s">
        <v>7051</v>
      </c>
      <c r="D2608" s="46" t="s">
        <v>7071</v>
      </c>
      <c r="E2608" s="46" cm="1">
        <f t="array" ref="E2608">sch_cancer_breast_survivor_amongsper</f>
        <v>0</v>
      </c>
      <c r="F2608" s="46" t="b">
        <v>1</v>
      </c>
    </row>
    <row r="2609" spans="1:8">
      <c r="A2609" s="46" t="s">
        <v>7052</v>
      </c>
      <c r="B2609" s="46" t="s">
        <v>7037</v>
      </c>
      <c r="C2609" s="46" t="s">
        <v>7052</v>
      </c>
      <c r="D2609" s="46" t="s">
        <v>7072</v>
      </c>
      <c r="E2609" s="46" cm="1">
        <f t="array" ref="E2609">sch_cancer_breast_died_amongsper</f>
        <v>0</v>
      </c>
      <c r="F2609" s="46" t="b">
        <v>1</v>
      </c>
    </row>
    <row r="2610" spans="1:8">
      <c r="A2610" s="46" t="s">
        <v>7053</v>
      </c>
      <c r="B2610" s="46" t="s">
        <v>7037</v>
      </c>
      <c r="C2610" s="46" t="s">
        <v>7053</v>
      </c>
      <c r="D2610" s="46" t="s">
        <v>7077</v>
      </c>
      <c r="E2610" s="46" cm="1">
        <f t="array" ref="E2610">sch_cancer_lung_patient_amongsper</f>
        <v>0</v>
      </c>
      <c r="F2610" s="46" t="b">
        <v>1</v>
      </c>
    </row>
    <row r="2611" spans="1:8">
      <c r="A2611" s="46" t="s">
        <v>7054</v>
      </c>
      <c r="B2611" s="46" t="s">
        <v>7037</v>
      </c>
      <c r="C2611" s="46" t="s">
        <v>7054</v>
      </c>
      <c r="D2611" s="46" t="s">
        <v>7078</v>
      </c>
      <c r="E2611" s="46" cm="1">
        <f t="array" ref="E2611">sch_cancer_lung_livingw_amongsper</f>
        <v>0</v>
      </c>
      <c r="F2611" s="46" t="b">
        <v>1</v>
      </c>
    </row>
    <row r="2612" spans="1:8">
      <c r="A2612" s="46" t="s">
        <v>7055</v>
      </c>
      <c r="B2612" s="46" t="s">
        <v>7037</v>
      </c>
      <c r="C2612" s="46" t="s">
        <v>7055</v>
      </c>
      <c r="D2612" s="46" t="s">
        <v>7079</v>
      </c>
      <c r="E2612" s="46" cm="1">
        <f t="array" ref="E2612">sch_cancer_lung_survivor_amongsper</f>
        <v>0</v>
      </c>
      <c r="F2612" s="46" t="b">
        <v>1</v>
      </c>
    </row>
    <row r="2613" spans="1:8">
      <c r="A2613" s="46" t="s">
        <v>7056</v>
      </c>
      <c r="B2613" s="46" t="s">
        <v>7037</v>
      </c>
      <c r="C2613" s="46" t="s">
        <v>7056</v>
      </c>
      <c r="D2613" s="46" t="s">
        <v>7080</v>
      </c>
      <c r="E2613" s="46" cm="1">
        <f t="array" ref="E2613">sch_cancer_lung_died_amongsper</f>
        <v>0</v>
      </c>
      <c r="F2613" s="46" t="b">
        <v>1</v>
      </c>
    </row>
    <row r="2614" spans="1:8">
      <c r="A2614" s="46" t="s">
        <v>7057</v>
      </c>
      <c r="B2614" s="46" t="s">
        <v>7037</v>
      </c>
      <c r="C2614" s="46" t="s">
        <v>7057</v>
      </c>
      <c r="D2614" s="46" t="s">
        <v>7081</v>
      </c>
      <c r="E2614" s="46" cm="1">
        <f t="array" ref="E2614">sch_cancer_othrs_patient_amongsper</f>
        <v>1</v>
      </c>
      <c r="F2614" s="46" t="b">
        <v>1</v>
      </c>
    </row>
    <row r="2615" spans="1:8">
      <c r="A2615" s="46" t="s">
        <v>7058</v>
      </c>
      <c r="B2615" s="46" t="s">
        <v>7037</v>
      </c>
      <c r="C2615" s="46" t="s">
        <v>7058</v>
      </c>
      <c r="D2615" s="46" t="s">
        <v>7082</v>
      </c>
      <c r="E2615" s="46" cm="1">
        <f t="array" ref="E2615">sch_cancer_othrs_livingw_amongsper</f>
        <v>0</v>
      </c>
      <c r="F2615" s="46" t="b">
        <v>1</v>
      </c>
    </row>
    <row r="2616" spans="1:8">
      <c r="A2616" s="46" t="s">
        <v>7059</v>
      </c>
      <c r="B2616" s="46" t="s">
        <v>7037</v>
      </c>
      <c r="C2616" s="46" t="s">
        <v>7059</v>
      </c>
      <c r="D2616" s="46" t="s">
        <v>7083</v>
      </c>
      <c r="E2616" s="46" cm="1">
        <f t="array" ref="E2616">sch_cancer_othrs_survivor_amongsper</f>
        <v>0</v>
      </c>
      <c r="F2616" s="46" t="b">
        <v>1</v>
      </c>
    </row>
    <row r="2617" spans="1:8" ht="16.5" thickBot="1">
      <c r="A2617" s="479" t="s">
        <v>7060</v>
      </c>
      <c r="B2617" s="479" t="s">
        <v>7037</v>
      </c>
      <c r="C2617" s="479" t="s">
        <v>7060</v>
      </c>
      <c r="D2617" s="479" t="s">
        <v>7084</v>
      </c>
      <c r="E2617" s="479" cm="1">
        <f t="array" ref="E2617">sch_cancer_othrs_died_amongsper</f>
        <v>1</v>
      </c>
      <c r="F2617" s="479" t="b">
        <v>1</v>
      </c>
      <c r="G2617" s="479"/>
      <c r="H2617" s="479"/>
    </row>
    <row r="2618" spans="1:8" ht="16.5" thickTop="1">
      <c r="A2618" s="46" t="s">
        <v>7085</v>
      </c>
      <c r="B2618" s="46" t="s">
        <v>7086</v>
      </c>
      <c r="C2618" s="46" t="s">
        <v>7085</v>
      </c>
      <c r="D2618" s="46" t="s">
        <v>7123</v>
      </c>
      <c r="E2618" s="46">
        <f>sch_preg_insch_g11</f>
        <v>0</v>
      </c>
      <c r="F2618" s="46" t="b">
        <v>1</v>
      </c>
    </row>
    <row r="2619" spans="1:8">
      <c r="A2619" s="46" t="s">
        <v>7087</v>
      </c>
      <c r="B2619" s="46" t="s">
        <v>7086</v>
      </c>
      <c r="C2619" s="46" t="s">
        <v>7087</v>
      </c>
      <c r="D2619" s="46" t="s">
        <v>7124</v>
      </c>
      <c r="E2619" s="46" cm="1">
        <f t="array" ref="E2619">sch_preg_adm_g11</f>
        <v>2</v>
      </c>
      <c r="F2619" s="46" t="b">
        <v>1</v>
      </c>
    </row>
    <row r="2620" spans="1:8">
      <c r="A2620" s="46" t="s">
        <v>7088</v>
      </c>
      <c r="B2620" s="46" t="s">
        <v>7086</v>
      </c>
      <c r="C2620" s="46" t="s">
        <v>7088</v>
      </c>
      <c r="D2620" s="46" t="s">
        <v>7125</v>
      </c>
      <c r="E2620" s="46" cm="1">
        <f t="array" ref="E2620">sch_preg_transin_g11</f>
        <v>0</v>
      </c>
      <c r="F2620" s="46" t="b">
        <v>1</v>
      </c>
    </row>
    <row r="2621" spans="1:8">
      <c r="A2621" s="46" t="s">
        <v>7089</v>
      </c>
      <c r="B2621" s="46" t="s">
        <v>7086</v>
      </c>
      <c r="C2621" s="46" t="s">
        <v>7089</v>
      </c>
      <c r="D2621" s="46" t="s">
        <v>7126</v>
      </c>
      <c r="E2621" s="46" cm="1">
        <f t="array" ref="E2621">sch_preg_transout_g11</f>
        <v>0</v>
      </c>
      <c r="F2621" s="46" t="b">
        <v>1</v>
      </c>
    </row>
    <row r="2622" spans="1:8">
      <c r="A2622" s="46" t="s">
        <v>7090</v>
      </c>
      <c r="B2622" s="46" t="s">
        <v>7086</v>
      </c>
      <c r="C2622" s="46" t="s">
        <v>7090</v>
      </c>
      <c r="D2622" s="46" t="s">
        <v>7127</v>
      </c>
      <c r="E2622" s="46" cm="1">
        <f t="array" ref="E2622">sch_preg_drop_g11</f>
        <v>0</v>
      </c>
      <c r="F2622" s="46" t="b">
        <v>1</v>
      </c>
    </row>
    <row r="2623" spans="1:8">
      <c r="A2623" s="46" t="s">
        <v>7091</v>
      </c>
      <c r="B2623" s="46" t="s">
        <v>7086</v>
      </c>
      <c r="C2623" s="46" t="s">
        <v>7091</v>
      </c>
      <c r="D2623" s="46" t="s">
        <v>7128</v>
      </c>
      <c r="E2623" s="46">
        <f>sch_preg_insch_g12</f>
        <v>0</v>
      </c>
      <c r="F2623" s="46" t="b">
        <v>1</v>
      </c>
    </row>
    <row r="2624" spans="1:8">
      <c r="A2624" s="46" t="s">
        <v>7092</v>
      </c>
      <c r="B2624" s="46" t="s">
        <v>7086</v>
      </c>
      <c r="C2624" s="46" t="s">
        <v>7092</v>
      </c>
      <c r="D2624" s="46" t="s">
        <v>7129</v>
      </c>
      <c r="E2624" s="46" cm="1">
        <f t="array" ref="E2624">sch_preg_adm_g12</f>
        <v>3</v>
      </c>
      <c r="F2624" s="46" t="b">
        <v>1</v>
      </c>
    </row>
    <row r="2625" spans="1:7">
      <c r="A2625" s="46" t="s">
        <v>7093</v>
      </c>
      <c r="B2625" s="46" t="s">
        <v>7086</v>
      </c>
      <c r="C2625" s="46" t="s">
        <v>7093</v>
      </c>
      <c r="D2625" s="46" t="s">
        <v>7130</v>
      </c>
      <c r="E2625" s="46" cm="1">
        <f t="array" ref="E2625">sch_preg_transin_g12</f>
        <v>0</v>
      </c>
      <c r="F2625" s="46" t="b">
        <v>1</v>
      </c>
    </row>
    <row r="2626" spans="1:7">
      <c r="A2626" s="46" t="s">
        <v>7094</v>
      </c>
      <c r="B2626" s="46" t="s">
        <v>7086</v>
      </c>
      <c r="C2626" s="46" t="s">
        <v>7094</v>
      </c>
      <c r="D2626" s="46" t="s">
        <v>7131</v>
      </c>
      <c r="E2626" s="46" cm="1">
        <f t="array" ref="E2626">sch_preg_transout_g12</f>
        <v>0</v>
      </c>
      <c r="F2626" s="46" t="b">
        <v>1</v>
      </c>
    </row>
    <row r="2627" spans="1:7">
      <c r="A2627" s="46" t="s">
        <v>7095</v>
      </c>
      <c r="B2627" s="46" t="s">
        <v>7086</v>
      </c>
      <c r="C2627" s="46" t="s">
        <v>7095</v>
      </c>
      <c r="D2627" s="46" t="s">
        <v>7132</v>
      </c>
      <c r="E2627" s="46" cm="1">
        <f t="array" ref="E2627">sch_preg_drop_g12</f>
        <v>0</v>
      </c>
      <c r="F2627" s="46" t="b">
        <v>1</v>
      </c>
    </row>
    <row r="2628" spans="1:7">
      <c r="A2628" s="46" t="s">
        <v>7096</v>
      </c>
      <c r="B2628" s="46" t="s">
        <v>7086</v>
      </c>
      <c r="C2628" s="46" t="s">
        <v>7096</v>
      </c>
      <c r="D2628" s="46" t="s">
        <v>7133</v>
      </c>
      <c r="E2628" s="46">
        <f>sch_impreg_insch_g11</f>
        <v>0</v>
      </c>
      <c r="F2628" s="46" t="b">
        <v>1</v>
      </c>
    </row>
    <row r="2629" spans="1:7">
      <c r="A2629" s="46" t="s">
        <v>7097</v>
      </c>
      <c r="B2629" s="46" t="s">
        <v>7086</v>
      </c>
      <c r="C2629" s="46" t="s">
        <v>7097</v>
      </c>
      <c r="D2629" s="46" t="s">
        <v>7134</v>
      </c>
      <c r="E2629" s="46" cm="1">
        <f t="array" ref="E2629">sch_impreg_adm_g11</f>
        <v>0</v>
      </c>
      <c r="F2629" s="46" t="b">
        <v>1</v>
      </c>
    </row>
    <row r="2630" spans="1:7">
      <c r="A2630" s="46" t="s">
        <v>7098</v>
      </c>
      <c r="B2630" s="46" t="s">
        <v>7086</v>
      </c>
      <c r="C2630" s="46" t="s">
        <v>7098</v>
      </c>
      <c r="D2630" s="46" t="s">
        <v>7135</v>
      </c>
      <c r="E2630" s="46" cm="1">
        <f t="array" ref="E2630">sch_impreg_transin_g11</f>
        <v>0</v>
      </c>
      <c r="F2630" s="46" t="b">
        <v>1</v>
      </c>
    </row>
    <row r="2631" spans="1:7">
      <c r="A2631" s="46" t="s">
        <v>7099</v>
      </c>
      <c r="B2631" s="46" t="s">
        <v>7086</v>
      </c>
      <c r="C2631" s="46" t="s">
        <v>7099</v>
      </c>
      <c r="D2631" s="46" t="s">
        <v>7136</v>
      </c>
      <c r="E2631" s="46" cm="1">
        <f t="array" ref="E2631">sch_impreg_transout_g11</f>
        <v>0</v>
      </c>
      <c r="F2631" s="46" t="b">
        <v>1</v>
      </c>
    </row>
    <row r="2632" spans="1:7">
      <c r="A2632" s="46" t="s">
        <v>7100</v>
      </c>
      <c r="B2632" s="46" t="s">
        <v>7086</v>
      </c>
      <c r="C2632" s="46" t="s">
        <v>7100</v>
      </c>
      <c r="D2632" s="46" t="s">
        <v>7137</v>
      </c>
      <c r="E2632" s="46" cm="1">
        <f t="array" ref="E2632">sch_impreg_drop_g11</f>
        <v>0</v>
      </c>
      <c r="F2632" s="46" t="b">
        <v>1</v>
      </c>
    </row>
    <row r="2633" spans="1:7">
      <c r="A2633" s="46" t="s">
        <v>7101</v>
      </c>
      <c r="B2633" s="46" t="s">
        <v>7086</v>
      </c>
      <c r="C2633" s="46" t="s">
        <v>7101</v>
      </c>
      <c r="D2633" s="46" t="s">
        <v>7138</v>
      </c>
      <c r="E2633" s="46">
        <f>sch_impreg_insch_g12</f>
        <v>0</v>
      </c>
      <c r="F2633" s="46" t="b">
        <v>1</v>
      </c>
    </row>
    <row r="2634" spans="1:7">
      <c r="A2634" s="46" t="s">
        <v>7102</v>
      </c>
      <c r="B2634" s="46" t="s">
        <v>7086</v>
      </c>
      <c r="C2634" s="46" t="s">
        <v>7102</v>
      </c>
      <c r="D2634" s="46" t="s">
        <v>7139</v>
      </c>
      <c r="E2634" s="46" cm="1">
        <f t="array" ref="E2634">sch_impreg_adm_g12</f>
        <v>1</v>
      </c>
      <c r="F2634" s="46" t="b">
        <v>1</v>
      </c>
    </row>
    <row r="2635" spans="1:7">
      <c r="A2635" s="46" t="s">
        <v>7103</v>
      </c>
      <c r="B2635" s="46" t="s">
        <v>7086</v>
      </c>
      <c r="C2635" s="46" t="s">
        <v>7103</v>
      </c>
      <c r="D2635" s="46" t="s">
        <v>7140</v>
      </c>
      <c r="E2635" s="46" cm="1">
        <f t="array" ref="E2635">sch_impreg_transin_g12</f>
        <v>0</v>
      </c>
      <c r="F2635" s="46" t="b">
        <v>1</v>
      </c>
    </row>
    <row r="2636" spans="1:7">
      <c r="A2636" s="46" t="s">
        <v>7104</v>
      </c>
      <c r="B2636" s="46" t="s">
        <v>7086</v>
      </c>
      <c r="C2636" s="46" t="s">
        <v>7104</v>
      </c>
      <c r="D2636" s="46" t="s">
        <v>7141</v>
      </c>
      <c r="E2636" s="46" cm="1">
        <f t="array" ref="E2636">sch_impreg_transout_g12</f>
        <v>0</v>
      </c>
      <c r="F2636" s="46" t="b">
        <v>1</v>
      </c>
    </row>
    <row r="2637" spans="1:7">
      <c r="A2637" s="46" t="s">
        <v>7105</v>
      </c>
      <c r="B2637" s="46" t="s">
        <v>7086</v>
      </c>
      <c r="C2637" s="46" t="s">
        <v>7105</v>
      </c>
      <c r="D2637" s="46" t="s">
        <v>7142</v>
      </c>
      <c r="E2637" s="46" cm="1">
        <f t="array" ref="E2637">sch_impreg_drop_g12</f>
        <v>0</v>
      </c>
      <c r="F2637" s="46" t="b">
        <v>1</v>
      </c>
    </row>
    <row r="2638" spans="1:7">
      <c r="A2638" s="46" t="s">
        <v>7106</v>
      </c>
      <c r="B2638" s="46" t="s">
        <v>7086</v>
      </c>
      <c r="C2638" s="46" t="s">
        <v>7106</v>
      </c>
      <c r="D2638" s="46" t="s">
        <v>7143</v>
      </c>
      <c r="E2638" s="46" t="b" cm="1">
        <f t="array" ref="E2638">sch_operational_centeryes</f>
        <v>1</v>
      </c>
      <c r="F2638" s="1696" t="b">
        <f t="shared" ref="F2638" si="19">OR(E2638=TRUE, E2638=FALSE)</f>
        <v>1</v>
      </c>
      <c r="G2638" s="46" t="s">
        <v>11265</v>
      </c>
    </row>
    <row r="2639" spans="1:7">
      <c r="A2639" s="46" t="s">
        <v>7107</v>
      </c>
      <c r="B2639" s="46" t="s">
        <v>7086</v>
      </c>
      <c r="C2639" s="46" t="s">
        <v>7107</v>
      </c>
      <c r="D2639" s="46" t="s">
        <v>7144</v>
      </c>
      <c r="E2639" s="46" cm="1">
        <f t="array" ref="E2639">sch_train_hivaids_g11</f>
        <v>0</v>
      </c>
      <c r="F2639" s="46" t="b">
        <v>1</v>
      </c>
    </row>
    <row r="2640" spans="1:7">
      <c r="A2640" s="46" t="s">
        <v>7108</v>
      </c>
      <c r="B2640" s="46" t="s">
        <v>7086</v>
      </c>
      <c r="C2640" s="46" t="s">
        <v>7108</v>
      </c>
      <c r="D2640" s="46" t="s">
        <v>7145</v>
      </c>
      <c r="E2640" s="46" cm="1">
        <f t="array" ref="E2640">sch_train_asrh_g11</f>
        <v>0</v>
      </c>
      <c r="F2640" s="46" t="b">
        <v>1</v>
      </c>
    </row>
    <row r="2641" spans="1:8">
      <c r="A2641" s="46" t="s">
        <v>7109</v>
      </c>
      <c r="B2641" s="46" t="s">
        <v>7086</v>
      </c>
      <c r="C2641" s="46" t="s">
        <v>7109</v>
      </c>
      <c r="D2641" s="46" t="s">
        <v>7146</v>
      </c>
      <c r="E2641" s="46" cm="1">
        <f t="array" ref="E2641">sch_train_arh_g11</f>
        <v>0</v>
      </c>
      <c r="F2641" s="46" t="b">
        <v>1</v>
      </c>
    </row>
    <row r="2642" spans="1:8">
      <c r="A2642" s="46" t="s">
        <v>7110</v>
      </c>
      <c r="B2642" s="46" t="s">
        <v>7086</v>
      </c>
      <c r="C2642" s="46" t="s">
        <v>7110</v>
      </c>
      <c r="D2642" s="46" t="s">
        <v>7147</v>
      </c>
      <c r="E2642" s="46" cm="1">
        <f t="array" ref="E2642">sch_train_teen_g11</f>
        <v>20</v>
      </c>
      <c r="F2642" s="46" t="b">
        <v>1</v>
      </c>
    </row>
    <row r="2643" spans="1:8">
      <c r="A2643" s="46" t="s">
        <v>7111</v>
      </c>
      <c r="B2643" s="46" t="s">
        <v>7086</v>
      </c>
      <c r="C2643" s="46" t="s">
        <v>7111</v>
      </c>
      <c r="D2643" s="46" t="s">
        <v>7148</v>
      </c>
      <c r="E2643" s="46" cm="1">
        <f t="array" ref="E2643">sch_train_redcross_g11</f>
        <v>0</v>
      </c>
      <c r="F2643" s="46" t="b">
        <v>1</v>
      </c>
    </row>
    <row r="2644" spans="1:8">
      <c r="A2644" s="46" t="s">
        <v>7112</v>
      </c>
      <c r="B2644" s="46" t="s">
        <v>7086</v>
      </c>
      <c r="C2644" s="46" t="s">
        <v>7112</v>
      </c>
      <c r="D2644" s="46" t="s">
        <v>7149</v>
      </c>
      <c r="E2644" s="46" cm="1">
        <f t="array" ref="E2644">sch_train_hivaids_g12</f>
        <v>0</v>
      </c>
      <c r="F2644" s="46" t="b">
        <v>1</v>
      </c>
    </row>
    <row r="2645" spans="1:8">
      <c r="A2645" s="46" t="s">
        <v>7113</v>
      </c>
      <c r="B2645" s="46" t="s">
        <v>7086</v>
      </c>
      <c r="C2645" s="46" t="s">
        <v>7113</v>
      </c>
      <c r="D2645" s="46" t="s">
        <v>7150</v>
      </c>
      <c r="E2645" s="46" cm="1">
        <f t="array" ref="E2645">sch_train_asrh_g12</f>
        <v>0</v>
      </c>
      <c r="F2645" s="46" t="b">
        <v>1</v>
      </c>
    </row>
    <row r="2646" spans="1:8">
      <c r="A2646" s="46" t="s">
        <v>7114</v>
      </c>
      <c r="B2646" s="46" t="s">
        <v>7086</v>
      </c>
      <c r="C2646" s="46" t="s">
        <v>7114</v>
      </c>
      <c r="D2646" s="46" t="s">
        <v>7151</v>
      </c>
      <c r="E2646" s="46" cm="1">
        <f t="array" ref="E2646">sch_train_arh_g12</f>
        <v>0</v>
      </c>
      <c r="F2646" s="46" t="b">
        <v>1</v>
      </c>
    </row>
    <row r="2647" spans="1:8">
      <c r="A2647" s="46" t="s">
        <v>7115</v>
      </c>
      <c r="B2647" s="46" t="s">
        <v>7086</v>
      </c>
      <c r="C2647" s="46" t="s">
        <v>7115</v>
      </c>
      <c r="D2647" s="46" t="s">
        <v>7152</v>
      </c>
      <c r="E2647" s="46" cm="1">
        <f t="array" ref="E2647">sch_train_teen_g12</f>
        <v>25</v>
      </c>
      <c r="F2647" s="46" t="b">
        <v>1</v>
      </c>
    </row>
    <row r="2648" spans="1:8">
      <c r="A2648" s="46" t="s">
        <v>7116</v>
      </c>
      <c r="B2648" s="46" t="s">
        <v>7086</v>
      </c>
      <c r="C2648" s="46" t="s">
        <v>7116</v>
      </c>
      <c r="D2648" s="46" t="s">
        <v>7153</v>
      </c>
      <c r="E2648" s="46" cm="1">
        <f t="array" ref="E2648">sch_train_redcross_g12</f>
        <v>0</v>
      </c>
      <c r="F2648" s="46" t="b">
        <v>1</v>
      </c>
    </row>
    <row r="2649" spans="1:8">
      <c r="A2649" s="46" t="s">
        <v>7117</v>
      </c>
      <c r="B2649" s="46" t="s">
        <v>7086</v>
      </c>
      <c r="C2649" s="46" t="s">
        <v>7117</v>
      </c>
      <c r="D2649" s="46" t="s">
        <v>7154</v>
      </c>
      <c r="E2649" s="46" cm="1">
        <f t="array" ref="E2649">sch_train_teach_aja_g11</f>
        <v>0</v>
      </c>
      <c r="F2649" s="46" t="b">
        <v>1</v>
      </c>
    </row>
    <row r="2650" spans="1:8">
      <c r="A2650" s="46" t="s">
        <v>7118</v>
      </c>
      <c r="B2650" s="46" t="s">
        <v>7086</v>
      </c>
      <c r="C2650" s="46" t="s">
        <v>7118</v>
      </c>
      <c r="D2650" s="46" t="s">
        <v>7155</v>
      </c>
      <c r="E2650" s="46" cm="1">
        <f t="array" ref="E2650">sch_train_teach_adept_g11</f>
        <v>0</v>
      </c>
      <c r="F2650" s="46" t="b">
        <v>1</v>
      </c>
    </row>
    <row r="2651" spans="1:8">
      <c r="A2651" s="46" t="s">
        <v>7119</v>
      </c>
      <c r="B2651" s="46" t="s">
        <v>7086</v>
      </c>
      <c r="C2651" s="46" t="s">
        <v>7119</v>
      </c>
      <c r="D2651" s="46" t="s">
        <v>7156</v>
      </c>
      <c r="E2651" s="46" cm="1">
        <f t="array" ref="E2651">sch_train_teach_hivaids_g11</f>
        <v>0</v>
      </c>
      <c r="F2651" s="46" t="b">
        <v>1</v>
      </c>
    </row>
    <row r="2652" spans="1:8">
      <c r="A2652" s="46" t="s">
        <v>7120</v>
      </c>
      <c r="B2652" s="46" t="s">
        <v>7086</v>
      </c>
      <c r="C2652" s="46" t="s">
        <v>7120</v>
      </c>
      <c r="D2652" s="46" t="s">
        <v>7157</v>
      </c>
      <c r="E2652" s="46" cm="1">
        <f t="array" ref="E2652">sch_train_teach_aja_g12</f>
        <v>0</v>
      </c>
      <c r="F2652" s="46" t="b">
        <v>1</v>
      </c>
    </row>
    <row r="2653" spans="1:8">
      <c r="A2653" s="46" t="s">
        <v>7121</v>
      </c>
      <c r="B2653" s="46" t="s">
        <v>7086</v>
      </c>
      <c r="C2653" s="46" t="s">
        <v>7121</v>
      </c>
      <c r="D2653" s="46" t="s">
        <v>7158</v>
      </c>
      <c r="E2653" s="46" cm="1">
        <f t="array" ref="E2653">sch_train_teach_adept_g12</f>
        <v>0</v>
      </c>
      <c r="F2653" s="46" t="b">
        <v>1</v>
      </c>
    </row>
    <row r="2654" spans="1:8" ht="16.5" thickBot="1">
      <c r="A2654" s="479" t="s">
        <v>7122</v>
      </c>
      <c r="B2654" s="479" t="s">
        <v>7086</v>
      </c>
      <c r="C2654" s="479" t="s">
        <v>7122</v>
      </c>
      <c r="D2654" s="479" t="s">
        <v>7159</v>
      </c>
      <c r="E2654" s="479" cm="1">
        <f t="array" ref="E2654">sch_train_teach_hivaids_g12</f>
        <v>0</v>
      </c>
      <c r="F2654" s="479" t="b">
        <v>1</v>
      </c>
      <c r="G2654" s="479"/>
      <c r="H2654" s="479"/>
    </row>
    <row r="2655" spans="1:8" ht="16.5" thickTop="1">
      <c r="A2655" s="46" t="s">
        <v>7160</v>
      </c>
      <c r="B2655" s="46" t="s">
        <v>7161</v>
      </c>
      <c r="C2655" s="46" t="s">
        <v>7160</v>
      </c>
      <c r="D2655" s="1018" t="s">
        <v>7184</v>
      </c>
      <c r="E2655" s="46" t="b">
        <f>sch_nosmoking_sign_yes</f>
        <v>1</v>
      </c>
      <c r="F2655" s="1696" t="b">
        <f t="shared" ref="F2655:F2658" si="20">OR(E2655=TRUE, E2655=FALSE)</f>
        <v>1</v>
      </c>
      <c r="G2655" s="46" t="s">
        <v>11265</v>
      </c>
    </row>
    <row r="2656" spans="1:8">
      <c r="A2656" s="46" t="s">
        <v>7162</v>
      </c>
      <c r="B2656" s="46" t="s">
        <v>7161</v>
      </c>
      <c r="C2656" s="46" t="s">
        <v>7162</v>
      </c>
      <c r="D2656" s="1018" t="s">
        <v>7185</v>
      </c>
      <c r="E2656" s="46" t="b">
        <f>sch_nosmoking_postschgate_yes</f>
        <v>1</v>
      </c>
      <c r="F2656" s="1696" t="b">
        <f t="shared" si="20"/>
        <v>1</v>
      </c>
      <c r="G2656" s="46" t="s">
        <v>11265</v>
      </c>
    </row>
    <row r="2657" spans="1:7">
      <c r="A2657" s="46" t="s">
        <v>7163</v>
      </c>
      <c r="B2657" s="46" t="s">
        <v>7161</v>
      </c>
      <c r="C2657" s="46" t="s">
        <v>7163</v>
      </c>
      <c r="D2657" s="1018" t="s">
        <v>7186</v>
      </c>
      <c r="E2657" s="46" t="b">
        <f>sch_store_tobaccoyess</f>
        <v>0</v>
      </c>
      <c r="F2657" s="1696" t="b">
        <f t="shared" si="20"/>
        <v>1</v>
      </c>
      <c r="G2657" s="46" t="s">
        <v>11265</v>
      </c>
    </row>
    <row r="2658" spans="1:7">
      <c r="A2658" s="46" t="s">
        <v>7164</v>
      </c>
      <c r="B2658" s="46" t="s">
        <v>7161</v>
      </c>
      <c r="C2658" s="46" t="s">
        <v>7164</v>
      </c>
      <c r="D2658" s="1018" t="s">
        <v>7187</v>
      </c>
      <c r="E2658" s="46" t="b">
        <f>sch_store_ecigaryes</f>
        <v>0</v>
      </c>
      <c r="F2658" s="1696" t="b">
        <f t="shared" si="20"/>
        <v>1</v>
      </c>
      <c r="G2658" s="46" t="s">
        <v>11265</v>
      </c>
    </row>
    <row r="2659" spans="1:7">
      <c r="A2659" s="46" t="s">
        <v>7165</v>
      </c>
      <c r="B2659" s="46" t="s">
        <v>7161</v>
      </c>
      <c r="C2659" s="46" t="s">
        <v>7165</v>
      </c>
      <c r="D2659" s="1018" t="s">
        <v>7188</v>
      </c>
      <c r="E2659" s="46" cm="1">
        <f t="array" ref="E2659">tobacco_measures_partnerships</f>
        <v>0</v>
      </c>
      <c r="F2659" s="46" t="b">
        <v>1</v>
      </c>
    </row>
    <row r="2660" spans="1:7">
      <c r="A2660" s="46" t="s">
        <v>7166</v>
      </c>
      <c r="B2660" s="46" t="s">
        <v>7161</v>
      </c>
      <c r="C2660" s="46" t="s">
        <v>7166</v>
      </c>
      <c r="D2660" s="1018" t="s">
        <v>7189</v>
      </c>
      <c r="E2660" s="46" cm="1">
        <f t="array" ref="E2660">tobacco_measures_partnerships_instrument</f>
        <v>0</v>
      </c>
      <c r="F2660" s="46" t="b">
        <v>1</v>
      </c>
    </row>
    <row r="2661" spans="1:7">
      <c r="A2661" s="46" t="s">
        <v>7167</v>
      </c>
      <c r="B2661" s="46" t="s">
        <v>7161</v>
      </c>
      <c r="C2661" s="46" t="s">
        <v>7167</v>
      </c>
      <c r="D2661" s="1018" t="s">
        <v>7190</v>
      </c>
      <c r="E2661" s="46" cm="1">
        <f t="array" ref="E2661">tobacco_measures_partnerships_not_connected</f>
        <v>0</v>
      </c>
      <c r="F2661" s="46" t="b">
        <v>1</v>
      </c>
    </row>
    <row r="2662" spans="1:7">
      <c r="A2662" s="46" t="s">
        <v>7168</v>
      </c>
      <c r="B2662" s="46" t="s">
        <v>7161</v>
      </c>
      <c r="C2662" s="46" t="s">
        <v>7168</v>
      </c>
      <c r="D2662" s="46" t="s">
        <v>7191</v>
      </c>
      <c r="E2662" s="46" t="b" cm="1">
        <f t="array" ref="E2662">sch_sh_smoke_not_endsennds</f>
        <v>0</v>
      </c>
      <c r="F2662" s="1696" t="b">
        <f t="shared" ref="F2662:F2665" si="21">OR(E2662=TRUE, E2662=FALSE)</f>
        <v>1</v>
      </c>
      <c r="G2662" s="46" t="s">
        <v>11265</v>
      </c>
    </row>
    <row r="2663" spans="1:7">
      <c r="A2663" s="46" t="s">
        <v>7169</v>
      </c>
      <c r="B2663" s="46" t="s">
        <v>7161</v>
      </c>
      <c r="C2663" s="46" t="s">
        <v>7169</v>
      </c>
      <c r="D2663" s="46" t="s">
        <v>7192</v>
      </c>
      <c r="E2663" s="46" t="b" cm="1">
        <f t="array" ref="E2663">sch_sh_endsennds_not_smoke</f>
        <v>0</v>
      </c>
      <c r="F2663" s="1696" t="b">
        <f t="shared" si="21"/>
        <v>1</v>
      </c>
      <c r="G2663" s="46" t="s">
        <v>11265</v>
      </c>
    </row>
    <row r="2664" spans="1:7">
      <c r="A2664" s="46" t="s">
        <v>7170</v>
      </c>
      <c r="B2664" s="46" t="s">
        <v>7161</v>
      </c>
      <c r="C2664" s="46" t="s">
        <v>7170</v>
      </c>
      <c r="D2664" s="46" t="s">
        <v>7193</v>
      </c>
      <c r="E2664" s="46" t="b" cm="1">
        <f t="array" ref="E2664">sch_sh_both_smoke_endsennds</f>
        <v>0</v>
      </c>
      <c r="F2664" s="1696" t="b">
        <f t="shared" si="21"/>
        <v>1</v>
      </c>
      <c r="G2664" s="46" t="s">
        <v>11265</v>
      </c>
    </row>
    <row r="2665" spans="1:7">
      <c r="A2665" s="46" t="s">
        <v>7171</v>
      </c>
      <c r="B2665" s="46" t="s">
        <v>7161</v>
      </c>
      <c r="C2665" s="46" t="s">
        <v>7171</v>
      </c>
      <c r="D2665" s="46" t="s">
        <v>7194</v>
      </c>
      <c r="E2665" s="46" t="b" cm="1">
        <f t="array" ref="E2665">sch_sh_neither_smoke_endsennds</f>
        <v>1</v>
      </c>
      <c r="F2665" s="1696" t="b">
        <f t="shared" si="21"/>
        <v>1</v>
      </c>
      <c r="G2665" s="46" t="s">
        <v>11265</v>
      </c>
    </row>
    <row r="2666" spans="1:7">
      <c r="A2666" s="46" t="s">
        <v>7172</v>
      </c>
      <c r="B2666" s="46" t="s">
        <v>7161</v>
      </c>
      <c r="C2666" s="46" t="s">
        <v>7172</v>
      </c>
      <c r="D2666" s="46" t="s">
        <v>7195</v>
      </c>
      <c r="E2666" s="46" cm="1">
        <f t="array" ref="E2666">sch_teach_smoke_not_endsennds_g11</f>
        <v>0</v>
      </c>
      <c r="F2666" s="46" t="b">
        <v>1</v>
      </c>
    </row>
    <row r="2667" spans="1:7">
      <c r="A2667" s="46" t="s">
        <v>7173</v>
      </c>
      <c r="B2667" s="46" t="s">
        <v>7161</v>
      </c>
      <c r="C2667" s="46" t="s">
        <v>7173</v>
      </c>
      <c r="D2667" s="46" t="s">
        <v>7196</v>
      </c>
      <c r="E2667" s="46" cm="1">
        <f t="array" ref="E2667">sch_teach_endsennds_not_smoke_g11</f>
        <v>0</v>
      </c>
      <c r="F2667" s="46" t="b">
        <v>1</v>
      </c>
    </row>
    <row r="2668" spans="1:7">
      <c r="A2668" s="46" t="s">
        <v>7174</v>
      </c>
      <c r="B2668" s="46" t="s">
        <v>7161</v>
      </c>
      <c r="C2668" s="46" t="s">
        <v>7174</v>
      </c>
      <c r="D2668" s="46" t="s">
        <v>7197</v>
      </c>
      <c r="E2668" s="46" cm="1">
        <f t="array" ref="E2668">sch_teach_both_smoke_endsennds_g11</f>
        <v>0</v>
      </c>
      <c r="F2668" s="46" t="b">
        <v>1</v>
      </c>
    </row>
    <row r="2669" spans="1:7">
      <c r="A2669" s="46" t="s">
        <v>7175</v>
      </c>
      <c r="B2669" s="46" t="s">
        <v>7161</v>
      </c>
      <c r="C2669" s="46" t="s">
        <v>7175</v>
      </c>
      <c r="D2669" s="46" t="s">
        <v>7198</v>
      </c>
      <c r="E2669" s="46" cm="1">
        <f t="array" ref="E2669">sch_teach_smoke_not_endsennds_g12</f>
        <v>0</v>
      </c>
      <c r="F2669" s="46" t="b">
        <v>1</v>
      </c>
    </row>
    <row r="2670" spans="1:7">
      <c r="A2670" s="46" t="s">
        <v>7176</v>
      </c>
      <c r="B2670" s="46" t="s">
        <v>7161</v>
      </c>
      <c r="C2670" s="46" t="s">
        <v>7176</v>
      </c>
      <c r="D2670" s="46" t="s">
        <v>7199</v>
      </c>
      <c r="E2670" s="46" cm="1">
        <f t="array" ref="E2670">sch_teach_endsennds_not_smoke_g12</f>
        <v>0</v>
      </c>
      <c r="F2670" s="46" t="b">
        <v>1</v>
      </c>
    </row>
    <row r="2671" spans="1:7">
      <c r="A2671" s="46" t="s">
        <v>7177</v>
      </c>
      <c r="B2671" s="46" t="s">
        <v>7161</v>
      </c>
      <c r="C2671" s="46" t="s">
        <v>7177</v>
      </c>
      <c r="D2671" s="46" t="s">
        <v>7200</v>
      </c>
      <c r="E2671" s="46" cm="1">
        <f t="array" ref="E2671">sch_teach_both_smoke_endsennds_g12</f>
        <v>0</v>
      </c>
      <c r="F2671" s="46" t="b">
        <v>1</v>
      </c>
    </row>
    <row r="2672" spans="1:7">
      <c r="A2672" s="46" t="s">
        <v>7178</v>
      </c>
      <c r="B2672" s="46" t="s">
        <v>7161</v>
      </c>
      <c r="C2672" s="46" t="s">
        <v>7178</v>
      </c>
      <c r="D2672" s="46" t="s">
        <v>7201</v>
      </c>
      <c r="E2672" s="46" cm="1">
        <f t="array" ref="E2672">sch_learn_smoke_not_endsennds_g11</f>
        <v>0</v>
      </c>
      <c r="F2672" s="46" t="b">
        <v>1</v>
      </c>
    </row>
    <row r="2673" spans="1:8">
      <c r="A2673" s="46" t="s">
        <v>7179</v>
      </c>
      <c r="B2673" s="46" t="s">
        <v>7161</v>
      </c>
      <c r="C2673" s="46" t="s">
        <v>7179</v>
      </c>
      <c r="D2673" s="46" t="s">
        <v>7202</v>
      </c>
      <c r="E2673" s="46" cm="1">
        <f t="array" ref="E2673">sch_learn_endsennds_not_smoke_g11</f>
        <v>0</v>
      </c>
      <c r="F2673" s="46" t="b">
        <v>1</v>
      </c>
    </row>
    <row r="2674" spans="1:8">
      <c r="A2674" s="46" t="s">
        <v>7180</v>
      </c>
      <c r="B2674" s="46" t="s">
        <v>7161</v>
      </c>
      <c r="C2674" s="46" t="s">
        <v>7180</v>
      </c>
      <c r="D2674" s="46" t="s">
        <v>7203</v>
      </c>
      <c r="E2674" s="46" cm="1">
        <f t="array" ref="E2674">sch_learn_both_smoke_endsennds_g11</f>
        <v>0</v>
      </c>
      <c r="F2674" s="46" t="b">
        <v>1</v>
      </c>
    </row>
    <row r="2675" spans="1:8">
      <c r="A2675" s="46" t="s">
        <v>7181</v>
      </c>
      <c r="B2675" s="46" t="s">
        <v>7161</v>
      </c>
      <c r="C2675" s="46" t="s">
        <v>7181</v>
      </c>
      <c r="D2675" s="46" t="s">
        <v>7204</v>
      </c>
      <c r="E2675" s="46" cm="1">
        <f t="array" ref="E2675">sch_learn_smoke_not_endsennds_g12</f>
        <v>0</v>
      </c>
      <c r="F2675" s="46" t="b">
        <v>1</v>
      </c>
    </row>
    <row r="2676" spans="1:8">
      <c r="A2676" s="46" t="s">
        <v>7182</v>
      </c>
      <c r="B2676" s="46" t="s">
        <v>7161</v>
      </c>
      <c r="C2676" s="46" t="s">
        <v>7182</v>
      </c>
      <c r="D2676" s="46" t="s">
        <v>7205</v>
      </c>
      <c r="E2676" s="46" cm="1">
        <f t="array" ref="E2676">sch_learn_endsennds_not_smoke_g12</f>
        <v>0</v>
      </c>
      <c r="F2676" s="46" t="b">
        <v>1</v>
      </c>
    </row>
    <row r="2677" spans="1:8" ht="16.5" thickBot="1">
      <c r="A2677" s="479" t="s">
        <v>7183</v>
      </c>
      <c r="B2677" s="479" t="s">
        <v>7161</v>
      </c>
      <c r="C2677" s="479" t="s">
        <v>7183</v>
      </c>
      <c r="D2677" s="479" t="s">
        <v>7206</v>
      </c>
      <c r="E2677" s="479" cm="1">
        <f t="array" ref="E2677">sch_learn_both_smoke_endsennds_g12</f>
        <v>0</v>
      </c>
      <c r="F2677" s="479" t="b">
        <v>1</v>
      </c>
      <c r="G2677" s="479"/>
      <c r="H2677" s="479"/>
    </row>
    <row r="2678" spans="1:8" ht="16.5" thickTop="1">
      <c r="A2678" s="46" t="s">
        <v>7207</v>
      </c>
      <c r="B2678" s="46" t="s">
        <v>7208</v>
      </c>
      <c r="C2678" s="46" t="s">
        <v>7207</v>
      </c>
      <c r="D2678" s="46" t="s">
        <v>7226</v>
      </c>
      <c r="E2678" s="46" t="b" cm="1">
        <f t="array" ref="E2678">natpdruged_implement_yes</f>
        <v>1</v>
      </c>
      <c r="F2678" s="1696" t="b">
        <f t="shared" ref="F2678:F2682" si="22">OR(E2678=TRUE, E2678=FALSE)</f>
        <v>1</v>
      </c>
      <c r="G2678" s="46" t="s">
        <v>11265</v>
      </c>
    </row>
    <row r="2679" spans="1:8">
      <c r="A2679" s="46" t="s">
        <v>7209</v>
      </c>
      <c r="B2679" s="46" t="s">
        <v>7208</v>
      </c>
      <c r="C2679" s="46" t="s">
        <v>7209</v>
      </c>
      <c r="D2679" s="46" t="s">
        <v>7227</v>
      </c>
      <c r="E2679" s="46" t="b" cm="1">
        <f t="array" ref="E2679">natpdruged_compart_curriculumin</f>
        <v>1</v>
      </c>
      <c r="F2679" s="1696" t="b">
        <f t="shared" si="22"/>
        <v>1</v>
      </c>
      <c r="G2679" s="46" t="s">
        <v>11265</v>
      </c>
    </row>
    <row r="2680" spans="1:8">
      <c r="A2680" s="46" t="s">
        <v>7210</v>
      </c>
      <c r="B2680" s="46" t="s">
        <v>7208</v>
      </c>
      <c r="C2680" s="46" t="s">
        <v>7210</v>
      </c>
      <c r="D2680" s="46" t="s">
        <v>7228</v>
      </c>
      <c r="E2680" s="46" t="b" cm="1">
        <f t="array" ref="E2680">natpdruged_compart_partnwbadac</f>
        <v>1</v>
      </c>
      <c r="F2680" s="1696" t="b">
        <f t="shared" si="22"/>
        <v>1</v>
      </c>
      <c r="G2680" s="46" t="s">
        <v>11265</v>
      </c>
    </row>
    <row r="2681" spans="1:8">
      <c r="A2681" s="46" t="s">
        <v>7211</v>
      </c>
      <c r="B2681" s="46" t="s">
        <v>7208</v>
      </c>
      <c r="C2681" s="46" t="s">
        <v>7211</v>
      </c>
      <c r="D2681" s="46" t="s">
        <v>7229</v>
      </c>
      <c r="E2681" s="46" t="b" cm="1">
        <f t="array" ref="E2681">natpdruged_compart_extrcurriact</f>
        <v>1</v>
      </c>
      <c r="F2681" s="1696" t="b">
        <f t="shared" si="22"/>
        <v>1</v>
      </c>
      <c r="G2681" s="46" t="s">
        <v>11265</v>
      </c>
    </row>
    <row r="2682" spans="1:8">
      <c r="A2682" s="46" t="s">
        <v>7212</v>
      </c>
      <c r="B2682" s="46" t="s">
        <v>7208</v>
      </c>
      <c r="C2682" s="46" t="s">
        <v>7212</v>
      </c>
      <c r="D2682" s="46" t="s">
        <v>7230</v>
      </c>
      <c r="E2682" s="46" t="b" cm="1">
        <f t="array" ref="E2682">natpdruged_compart_other_specify</f>
        <v>1</v>
      </c>
      <c r="F2682" s="1696" t="b">
        <f t="shared" si="22"/>
        <v>1</v>
      </c>
      <c r="G2682" s="46" t="s">
        <v>11265</v>
      </c>
    </row>
    <row r="2683" spans="1:8">
      <c r="A2683" s="46" t="s">
        <v>7213</v>
      </c>
      <c r="B2683" s="46" t="s">
        <v>7208</v>
      </c>
      <c r="C2683" s="46" t="s">
        <v>7213</v>
      </c>
      <c r="D2683" s="46" t="s">
        <v>7231</v>
      </c>
      <c r="E2683" s="46" t="str" cm="1">
        <f t="array" ref="E2683">natpdruged_compart_other</f>
        <v>Patnership in Municipal Anti-Drug Program</v>
      </c>
      <c r="F2683" s="46" t="b">
        <v>1</v>
      </c>
    </row>
    <row r="2684" spans="1:8">
      <c r="A2684" s="46" t="s">
        <v>7214</v>
      </c>
      <c r="B2684" s="46" t="s">
        <v>7208</v>
      </c>
      <c r="C2684" s="46" t="s">
        <v>7214</v>
      </c>
      <c r="D2684" s="46" t="s">
        <v>7232</v>
      </c>
      <c r="E2684" s="46" t="b" cm="1">
        <f t="array" ref="E2684">natpdruged_coord_yes</f>
        <v>1</v>
      </c>
      <c r="F2684" s="1696" t="b">
        <f t="shared" ref="F2684" si="23">OR(E2684=TRUE, E2684=FALSE)</f>
        <v>1</v>
      </c>
      <c r="G2684" s="46" t="s">
        <v>11265</v>
      </c>
    </row>
    <row r="2685" spans="1:8">
      <c r="A2685" s="46" t="s">
        <v>7215</v>
      </c>
      <c r="B2685" s="46" t="s">
        <v>7208</v>
      </c>
      <c r="C2685" s="46" t="s">
        <v>7215</v>
      </c>
      <c r="D2685" s="46" t="s">
        <v>7233</v>
      </c>
      <c r="E2685" s="46" cm="1">
        <f t="array" ref="E2685">natpdruged_cl_corners_number</f>
        <v>21</v>
      </c>
      <c r="F2685" s="46" t="b">
        <v>1</v>
      </c>
    </row>
    <row r="2686" spans="1:8">
      <c r="A2686" s="46" t="s">
        <v>7216</v>
      </c>
      <c r="B2686" s="46" t="s">
        <v>7208</v>
      </c>
      <c r="C2686" s="46" t="s">
        <v>7216</v>
      </c>
      <c r="D2686" s="46" t="s">
        <v>7234</v>
      </c>
      <c r="E2686" s="46" t="b" cm="1">
        <f t="array" ref="E2686">natpdruged_established_bkd_yes</f>
        <v>1</v>
      </c>
      <c r="F2686" s="1696" t="b">
        <f t="shared" ref="F2686" si="24">OR(E2686=TRUE, E2686=FALSE)</f>
        <v>1</v>
      </c>
      <c r="G2686" s="46" t="s">
        <v>11265</v>
      </c>
    </row>
    <row r="2687" spans="1:8">
      <c r="A2687" s="46" t="s">
        <v>7217</v>
      </c>
      <c r="B2687" s="46" t="s">
        <v>7208</v>
      </c>
      <c r="C2687" s="46" t="s">
        <v>7217</v>
      </c>
      <c r="D2687" s="46" t="s">
        <v>7235</v>
      </c>
      <c r="E2687" s="46" cm="1">
        <f t="array" ref="E2687">natpdruged_learn_bkd_g11</f>
        <v>530</v>
      </c>
      <c r="F2687" s="46" t="b">
        <v>1</v>
      </c>
    </row>
    <row r="2688" spans="1:8">
      <c r="A2688" s="46" t="s">
        <v>7218</v>
      </c>
      <c r="B2688" s="46" t="s">
        <v>7208</v>
      </c>
      <c r="C2688" s="46" t="s">
        <v>7218</v>
      </c>
      <c r="D2688" s="46" t="s">
        <v>7236</v>
      </c>
      <c r="E2688" s="46" cm="1">
        <f t="array" ref="E2688">natpdruged_learn_bkd_g12</f>
        <v>498</v>
      </c>
      <c r="F2688" s="46" t="b">
        <v>1</v>
      </c>
    </row>
    <row r="2689" spans="1:8">
      <c r="A2689" s="46" t="s">
        <v>7219</v>
      </c>
      <c r="B2689" s="46" t="s">
        <v>7208</v>
      </c>
      <c r="C2689" s="46" t="s">
        <v>7219</v>
      </c>
      <c r="D2689" s="46" t="s">
        <v>7237</v>
      </c>
      <c r="E2689" s="46" cm="1">
        <f t="array" ref="E2689">natpdruged_learn_train_g11</f>
        <v>0</v>
      </c>
      <c r="F2689" s="46" t="b">
        <v>1</v>
      </c>
    </row>
    <row r="2690" spans="1:8" ht="16.5" thickBot="1">
      <c r="A2690" s="479" t="s">
        <v>7220</v>
      </c>
      <c r="B2690" s="479" t="s">
        <v>7208</v>
      </c>
      <c r="C2690" s="479" t="s">
        <v>7220</v>
      </c>
      <c r="D2690" s="479" t="s">
        <v>7238</v>
      </c>
      <c r="E2690" s="479" cm="1">
        <f t="array" ref="E2690">natpdruged_learn_train_g12</f>
        <v>0</v>
      </c>
      <c r="F2690" s="479" t="b">
        <v>1</v>
      </c>
      <c r="G2690" s="479"/>
      <c r="H2690" s="479"/>
    </row>
    <row r="2691" spans="1:8" ht="16.5" thickTop="1">
      <c r="A2691" s="46" t="s">
        <v>7221</v>
      </c>
      <c r="B2691" s="46" t="s">
        <v>7222</v>
      </c>
      <c r="C2691" s="46" t="s">
        <v>7221</v>
      </c>
      <c r="D2691" s="46" t="s">
        <v>7239</v>
      </c>
      <c r="E2691" s="46" t="b" cm="1">
        <f t="array" ref="E2691">ok_sa_deped_focal</f>
        <v>1</v>
      </c>
      <c r="F2691" s="1696" t="b">
        <f t="shared" ref="F2691:F2693" si="25">OR(E2691=TRUE, E2691=FALSE)</f>
        <v>1</v>
      </c>
      <c r="G2691" s="46" t="s">
        <v>11265</v>
      </c>
    </row>
    <row r="2692" spans="1:8">
      <c r="A2692" s="46" t="s">
        <v>7223</v>
      </c>
      <c r="B2692" s="46" t="s">
        <v>7222</v>
      </c>
      <c r="C2692" s="46" t="s">
        <v>7223</v>
      </c>
      <c r="D2692" s="46" t="s">
        <v>7240</v>
      </c>
      <c r="E2692" s="46" t="b" cm="1">
        <f t="array" ref="E2692">ok_sa_deped_ohw</f>
        <v>1</v>
      </c>
      <c r="F2692" s="1696" t="b">
        <f t="shared" si="25"/>
        <v>1</v>
      </c>
      <c r="G2692" s="46" t="s">
        <v>11265</v>
      </c>
    </row>
    <row r="2693" spans="1:8">
      <c r="A2693" s="46" t="s">
        <v>7224</v>
      </c>
      <c r="B2693" s="46" t="s">
        <v>7222</v>
      </c>
      <c r="C2693" s="46" t="s">
        <v>7224</v>
      </c>
      <c r="D2693" s="46" t="s">
        <v>7241</v>
      </c>
      <c r="E2693" s="46" t="b" cm="1">
        <f t="array" ref="E2693">ok_sa_deped_fbpageyes</f>
        <v>1</v>
      </c>
      <c r="F2693" s="1696" t="b">
        <f t="shared" si="25"/>
        <v>1</v>
      </c>
      <c r="G2693" s="46" t="s">
        <v>11265</v>
      </c>
    </row>
    <row r="2694" spans="1:8" ht="16.5" thickBot="1">
      <c r="A2694" s="479" t="s">
        <v>7225</v>
      </c>
      <c r="B2694" s="479" t="s">
        <v>7222</v>
      </c>
      <c r="C2694" s="479" t="s">
        <v>7225</v>
      </c>
      <c r="D2694" s="479" t="s">
        <v>7242</v>
      </c>
      <c r="E2694" s="479" t="str" cm="1">
        <f t="array" ref="E2694">ok_sa_deped_fbpage_add</f>
        <v>Altrade High</v>
      </c>
      <c r="F2694" s="479" t="b">
        <v>1</v>
      </c>
      <c r="G2694" s="479"/>
      <c r="H2694" s="479"/>
    </row>
    <row r="2695" spans="1:8" ht="16.5" thickTop="1">
      <c r="A2695" s="46" t="s">
        <v>7243</v>
      </c>
      <c r="B2695" s="46" t="s">
        <v>7244</v>
      </c>
      <c r="C2695" s="46" t="s">
        <v>7243</v>
      </c>
      <c r="D2695" s="1018" t="s">
        <v>7290</v>
      </c>
      <c r="E2695" s="46" t="b">
        <f>fp_has_yes</f>
        <v>0</v>
      </c>
      <c r="F2695" s="1696" t="b">
        <f t="shared" ref="F2695:F2726" si="26">OR(E2695=TRUE, E2695=FALSE)</f>
        <v>1</v>
      </c>
      <c r="G2695" s="46" t="s">
        <v>11265</v>
      </c>
    </row>
    <row r="2696" spans="1:8">
      <c r="A2696" s="46" t="s">
        <v>7245</v>
      </c>
      <c r="B2696" s="46" t="s">
        <v>7244</v>
      </c>
      <c r="C2696" s="46" t="s">
        <v>7245</v>
      </c>
      <c r="D2696" s="1018" t="s">
        <v>7291</v>
      </c>
      <c r="E2696" s="46" t="b">
        <f>fp_fundsource_mooe</f>
        <v>0</v>
      </c>
      <c r="F2696" s="1696" t="b">
        <f t="shared" si="26"/>
        <v>1</v>
      </c>
      <c r="G2696" s="46" t="s">
        <v>11265</v>
      </c>
    </row>
    <row r="2697" spans="1:8">
      <c r="A2697" s="46" t="s">
        <v>7246</v>
      </c>
      <c r="B2697" s="46" t="s">
        <v>7244</v>
      </c>
      <c r="C2697" s="46" t="s">
        <v>7246</v>
      </c>
      <c r="D2697" s="1018" t="s">
        <v>7292</v>
      </c>
      <c r="E2697" s="46" t="b">
        <f>fp_fundsource_lgufund</f>
        <v>0</v>
      </c>
      <c r="F2697" s="1696" t="b">
        <f t="shared" si="26"/>
        <v>1</v>
      </c>
      <c r="G2697" s="46" t="s">
        <v>11265</v>
      </c>
    </row>
    <row r="2698" spans="1:8">
      <c r="A2698" s="46" t="s">
        <v>7247</v>
      </c>
      <c r="B2698" s="46" t="s">
        <v>7244</v>
      </c>
      <c r="C2698" s="46" t="s">
        <v>7247</v>
      </c>
      <c r="D2698" s="1018" t="s">
        <v>7293</v>
      </c>
      <c r="E2698" s="46" t="b">
        <f>fp_fundsource_brgyfund</f>
        <v>0</v>
      </c>
      <c r="F2698" s="1696" t="b">
        <f t="shared" si="26"/>
        <v>1</v>
      </c>
      <c r="G2698" s="46" t="s">
        <v>11265</v>
      </c>
    </row>
    <row r="2699" spans="1:8">
      <c r="A2699" s="46" t="s">
        <v>7248</v>
      </c>
      <c r="B2699" s="46" t="s">
        <v>7244</v>
      </c>
      <c r="C2699" s="46" t="s">
        <v>7248</v>
      </c>
      <c r="D2699" s="1018" t="s">
        <v>7294</v>
      </c>
      <c r="E2699" s="46" t="b">
        <f>fp_fundsource_sbfp</f>
        <v>0</v>
      </c>
      <c r="F2699" s="1696" t="b">
        <f t="shared" si="26"/>
        <v>1</v>
      </c>
      <c r="G2699" s="46" t="s">
        <v>11265</v>
      </c>
    </row>
    <row r="2700" spans="1:8">
      <c r="A2700" s="46" t="s">
        <v>7249</v>
      </c>
      <c r="B2700" s="46" t="s">
        <v>7244</v>
      </c>
      <c r="C2700" s="46" t="s">
        <v>7249</v>
      </c>
      <c r="D2700" s="1018" t="s">
        <v>7295</v>
      </c>
      <c r="E2700" s="46" t="b">
        <f>fp_fundsource_scfund</f>
        <v>0</v>
      </c>
      <c r="F2700" s="1696" t="b">
        <f t="shared" si="26"/>
        <v>1</v>
      </c>
      <c r="G2700" s="46" t="s">
        <v>11265</v>
      </c>
    </row>
    <row r="2701" spans="1:8">
      <c r="A2701" s="46" t="s">
        <v>7250</v>
      </c>
      <c r="B2701" s="46" t="s">
        <v>7244</v>
      </c>
      <c r="C2701" s="46" t="s">
        <v>7250</v>
      </c>
      <c r="D2701" s="1018" t="s">
        <v>7296</v>
      </c>
      <c r="E2701" s="46" t="b">
        <f>fp_fundsource_ptafund</f>
        <v>0</v>
      </c>
      <c r="F2701" s="1696" t="b">
        <f t="shared" si="26"/>
        <v>1</v>
      </c>
      <c r="G2701" s="46" t="s">
        <v>11265</v>
      </c>
    </row>
    <row r="2702" spans="1:8">
      <c r="A2702" s="46" t="s">
        <v>7251</v>
      </c>
      <c r="B2702" s="46" t="s">
        <v>7244</v>
      </c>
      <c r="C2702" s="46" t="s">
        <v>7251</v>
      </c>
      <c r="D2702" s="1018" t="s">
        <v>7297</v>
      </c>
      <c r="E2702" s="46" t="b">
        <f>fp_fundsource_privatefund</f>
        <v>0</v>
      </c>
      <c r="F2702" s="1696" t="b">
        <f t="shared" si="26"/>
        <v>1</v>
      </c>
      <c r="G2702" s="46" t="s">
        <v>11265</v>
      </c>
    </row>
    <row r="2703" spans="1:8">
      <c r="A2703" s="46" t="s">
        <v>7252</v>
      </c>
      <c r="B2703" s="46" t="s">
        <v>7244</v>
      </c>
      <c r="C2703" s="46" t="s">
        <v>7252</v>
      </c>
      <c r="D2703" s="1018" t="s">
        <v>7298</v>
      </c>
      <c r="E2703" s="46" t="b">
        <f>fp_fundsource_others</f>
        <v>0</v>
      </c>
      <c r="F2703" s="1696" t="b">
        <f t="shared" si="26"/>
        <v>1</v>
      </c>
      <c r="G2703" s="46" t="s">
        <v>11265</v>
      </c>
    </row>
    <row r="2704" spans="1:8">
      <c r="A2704" s="46" t="s">
        <v>7253</v>
      </c>
      <c r="B2704" s="46" t="s">
        <v>7244</v>
      </c>
      <c r="C2704" s="46" t="s">
        <v>7253</v>
      </c>
      <c r="D2704" s="1018" t="s">
        <v>7299</v>
      </c>
      <c r="E2704" s="46">
        <f>fp_fundsource_others_specify</f>
        <v>0</v>
      </c>
      <c r="F2704" s="46" t="b">
        <v>1</v>
      </c>
    </row>
    <row r="2705" spans="1:7">
      <c r="A2705" s="46" t="s">
        <v>7254</v>
      </c>
      <c r="B2705" s="46" t="s">
        <v>7244</v>
      </c>
      <c r="C2705" s="46" t="s">
        <v>7254</v>
      </c>
      <c r="D2705" s="1018" t="s">
        <v>7300</v>
      </c>
      <c r="E2705" s="46" t="b">
        <f>fp_agri_gulayan</f>
        <v>1</v>
      </c>
      <c r="F2705" s="1696" t="b">
        <f t="shared" si="26"/>
        <v>1</v>
      </c>
      <c r="G2705" s="46" t="s">
        <v>11265</v>
      </c>
    </row>
    <row r="2706" spans="1:7">
      <c r="A2706" s="46" t="s">
        <v>7255</v>
      </c>
      <c r="B2706" s="46" t="s">
        <v>7244</v>
      </c>
      <c r="C2706" s="46" t="s">
        <v>7255</v>
      </c>
      <c r="D2706" s="1018" t="s">
        <v>7301</v>
      </c>
      <c r="E2706" s="46" t="b">
        <f>fp_agri_gulayan_legumes</f>
        <v>0</v>
      </c>
      <c r="F2706" s="1696" t="b">
        <f t="shared" si="26"/>
        <v>1</v>
      </c>
      <c r="G2706" s="46" t="s">
        <v>11265</v>
      </c>
    </row>
    <row r="2707" spans="1:7">
      <c r="A2707" s="46" t="s">
        <v>7256</v>
      </c>
      <c r="B2707" s="46" t="s">
        <v>7244</v>
      </c>
      <c r="C2707" s="46" t="s">
        <v>7256</v>
      </c>
      <c r="D2707" s="1018" t="s">
        <v>7302</v>
      </c>
      <c r="E2707" s="46" t="b">
        <f>fp_agri_gulayan_leafy</f>
        <v>1</v>
      </c>
      <c r="F2707" s="1696" t="b">
        <f t="shared" si="26"/>
        <v>1</v>
      </c>
      <c r="G2707" s="46" t="s">
        <v>11265</v>
      </c>
    </row>
    <row r="2708" spans="1:7">
      <c r="A2708" s="46" t="s">
        <v>7257</v>
      </c>
      <c r="B2708" s="46" t="s">
        <v>7244</v>
      </c>
      <c r="C2708" s="46" t="s">
        <v>7257</v>
      </c>
      <c r="D2708" s="1018" t="s">
        <v>7303</v>
      </c>
      <c r="E2708" s="46" t="b">
        <f>fp_agri_gulayan_fruit</f>
        <v>1</v>
      </c>
      <c r="F2708" s="1696" t="b">
        <f t="shared" si="26"/>
        <v>1</v>
      </c>
      <c r="G2708" s="46" t="s">
        <v>11265</v>
      </c>
    </row>
    <row r="2709" spans="1:7">
      <c r="A2709" s="46" t="s">
        <v>7258</v>
      </c>
      <c r="B2709" s="46" t="s">
        <v>7244</v>
      </c>
      <c r="C2709" s="46" t="s">
        <v>7258</v>
      </c>
      <c r="D2709" s="1018" t="s">
        <v>7304</v>
      </c>
      <c r="E2709" s="46" t="b">
        <f>fp_agri_gulayan_rootcrops</f>
        <v>0</v>
      </c>
      <c r="F2709" s="1696" t="b">
        <f t="shared" si="26"/>
        <v>1</v>
      </c>
      <c r="G2709" s="46" t="s">
        <v>11265</v>
      </c>
    </row>
    <row r="2710" spans="1:7">
      <c r="A2710" s="46" t="s">
        <v>7259</v>
      </c>
      <c r="B2710" s="46" t="s">
        <v>7244</v>
      </c>
      <c r="C2710" s="46" t="s">
        <v>7259</v>
      </c>
      <c r="D2710" s="1018" t="s">
        <v>7305</v>
      </c>
      <c r="E2710" s="46" t="b">
        <f>fp_agri_fishpond</f>
        <v>0</v>
      </c>
      <c r="F2710" s="1696" t="b">
        <f t="shared" si="26"/>
        <v>1</v>
      </c>
      <c r="G2710" s="46" t="s">
        <v>11265</v>
      </c>
    </row>
    <row r="2711" spans="1:7">
      <c r="A2711" s="46" t="s">
        <v>7260</v>
      </c>
      <c r="B2711" s="46" t="s">
        <v>7244</v>
      </c>
      <c r="C2711" s="46" t="s">
        <v>7260</v>
      </c>
      <c r="D2711" s="1018" t="s">
        <v>7306</v>
      </c>
      <c r="E2711" s="46" t="b" cm="1">
        <f t="array" ref="E2711">fp_agri_crops</f>
        <v>1</v>
      </c>
      <c r="F2711" s="1696" t="b">
        <f t="shared" si="26"/>
        <v>1</v>
      </c>
      <c r="G2711" s="46" t="s">
        <v>11265</v>
      </c>
    </row>
    <row r="2712" spans="1:7">
      <c r="A2712" s="46" t="s">
        <v>7261</v>
      </c>
      <c r="B2712" s="46" t="s">
        <v>7244</v>
      </c>
      <c r="C2712" s="46" t="s">
        <v>7261</v>
      </c>
      <c r="D2712" s="1018" t="s">
        <v>7307</v>
      </c>
      <c r="E2712" s="46" t="b" cm="1">
        <f t="array" ref="E2712">fp_agri_livestock</f>
        <v>0</v>
      </c>
      <c r="F2712" s="1696" t="b">
        <f t="shared" si="26"/>
        <v>1</v>
      </c>
      <c r="G2712" s="46" t="s">
        <v>11265</v>
      </c>
    </row>
    <row r="2713" spans="1:7">
      <c r="A2713" s="46" t="s">
        <v>7262</v>
      </c>
      <c r="B2713" s="46" t="s">
        <v>7244</v>
      </c>
      <c r="C2713" s="46" t="s">
        <v>7262</v>
      </c>
      <c r="D2713" s="1018" t="s">
        <v>7308</v>
      </c>
      <c r="E2713" s="46" t="b" cm="1">
        <f t="array" ref="E2713">fp_agri_others</f>
        <v>0</v>
      </c>
      <c r="F2713" s="1696" t="b">
        <f t="shared" si="26"/>
        <v>1</v>
      </c>
      <c r="G2713" s="46" t="s">
        <v>11265</v>
      </c>
    </row>
    <row r="2714" spans="1:7">
      <c r="A2714" s="46" t="s">
        <v>7263</v>
      </c>
      <c r="B2714" s="46" t="s">
        <v>7244</v>
      </c>
      <c r="C2714" s="46" t="s">
        <v>7263</v>
      </c>
      <c r="D2714" s="1018" t="s">
        <v>7309</v>
      </c>
      <c r="E2714" s="46" cm="1">
        <f t="array" ref="E2714">fp_agri_others_specify</f>
        <v>0</v>
      </c>
      <c r="F2714" s="46" t="b">
        <v>1</v>
      </c>
    </row>
    <row r="2715" spans="1:7">
      <c r="A2715" s="46" t="s">
        <v>7264</v>
      </c>
      <c r="B2715" s="46" t="s">
        <v>7244</v>
      </c>
      <c r="C2715" s="46" t="s">
        <v>7264</v>
      </c>
      <c r="D2715" s="1018" t="s">
        <v>7310</v>
      </c>
      <c r="E2715" s="46" t="b" cm="1">
        <f t="array" ref="E2715">fp_agri_none</f>
        <v>0</v>
      </c>
      <c r="F2715" s="1696" t="b">
        <f t="shared" si="26"/>
        <v>1</v>
      </c>
      <c r="G2715" s="46" t="s">
        <v>11265</v>
      </c>
    </row>
    <row r="2716" spans="1:7">
      <c r="A2716" s="46" t="s">
        <v>7265</v>
      </c>
      <c r="B2716" s="46" t="s">
        <v>7244</v>
      </c>
      <c r="C2716" s="46" t="s">
        <v>7265</v>
      </c>
      <c r="D2716" s="1018" t="s">
        <v>7311</v>
      </c>
      <c r="E2716" s="46" t="b">
        <f>fp_agri_usedfp_yes</f>
        <v>0</v>
      </c>
      <c r="F2716" s="1696" t="b">
        <f t="shared" si="26"/>
        <v>1</v>
      </c>
      <c r="G2716" s="46" t="s">
        <v>11265</v>
      </c>
    </row>
    <row r="2717" spans="1:7">
      <c r="A2717" s="46" t="s">
        <v>7266</v>
      </c>
      <c r="B2717" s="46" t="s">
        <v>7244</v>
      </c>
      <c r="C2717" s="46" t="s">
        <v>7266</v>
      </c>
      <c r="D2717" s="1018" t="s">
        <v>7312</v>
      </c>
      <c r="E2717" s="46" t="b" cm="1">
        <f t="array" ref="E2717">fp_agri_fundsource_mooe</f>
        <v>0</v>
      </c>
      <c r="F2717" s="1696" t="b">
        <f t="shared" si="26"/>
        <v>1</v>
      </c>
      <c r="G2717" s="46" t="s">
        <v>11265</v>
      </c>
    </row>
    <row r="2718" spans="1:7">
      <c r="A2718" s="46" t="s">
        <v>7267</v>
      </c>
      <c r="B2718" s="46" t="s">
        <v>7244</v>
      </c>
      <c r="C2718" s="46" t="s">
        <v>7267</v>
      </c>
      <c r="D2718" s="1018" t="s">
        <v>7313</v>
      </c>
      <c r="E2718" s="46" t="b" cm="1">
        <f t="array" ref="E2718">fp_agri_fundsource_lgufund</f>
        <v>0</v>
      </c>
      <c r="F2718" s="1696" t="b">
        <f t="shared" si="26"/>
        <v>1</v>
      </c>
      <c r="G2718" s="46" t="s">
        <v>11265</v>
      </c>
    </row>
    <row r="2719" spans="1:7">
      <c r="A2719" s="46" t="s">
        <v>7268</v>
      </c>
      <c r="B2719" s="46" t="s">
        <v>7244</v>
      </c>
      <c r="C2719" s="46" t="s">
        <v>7268</v>
      </c>
      <c r="D2719" s="1018" t="s">
        <v>7314</v>
      </c>
      <c r="E2719" s="46" t="b" cm="1">
        <f t="array" ref="E2719">fp_agri_fundsource_brgyfund</f>
        <v>0</v>
      </c>
      <c r="F2719" s="1696" t="b">
        <f t="shared" si="26"/>
        <v>1</v>
      </c>
      <c r="G2719" s="46" t="s">
        <v>11265</v>
      </c>
    </row>
    <row r="2720" spans="1:7">
      <c r="A2720" s="46" t="s">
        <v>7269</v>
      </c>
      <c r="B2720" s="46" t="s">
        <v>7244</v>
      </c>
      <c r="C2720" s="46" t="s">
        <v>7269</v>
      </c>
      <c r="D2720" s="1018" t="s">
        <v>7315</v>
      </c>
      <c r="E2720" s="46" t="b" cm="1">
        <f t="array" ref="E2720">fp_agri_fundsource_others</f>
        <v>0</v>
      </c>
      <c r="F2720" s="1696" t="b">
        <f t="shared" si="26"/>
        <v>1</v>
      </c>
      <c r="G2720" s="46" t="s">
        <v>11265</v>
      </c>
    </row>
    <row r="2721" spans="1:8">
      <c r="A2721" s="46" t="s">
        <v>7270</v>
      </c>
      <c r="B2721" s="46" t="s">
        <v>7244</v>
      </c>
      <c r="C2721" s="46" t="s">
        <v>7270</v>
      </c>
      <c r="D2721" s="1018" t="s">
        <v>7271</v>
      </c>
      <c r="E2721" s="46" cm="1">
        <f t="array" ref="E2721">fp_agri_fundsource_others_specify</f>
        <v>0</v>
      </c>
      <c r="F2721" s="46" t="b">
        <v>1</v>
      </c>
    </row>
    <row r="2722" spans="1:8">
      <c r="A2722" s="46" t="s">
        <v>7272</v>
      </c>
      <c r="B2722" s="46" t="s">
        <v>7244</v>
      </c>
      <c r="C2722" s="46" t="s">
        <v>7272</v>
      </c>
      <c r="D2722" s="1018" t="s">
        <v>7316</v>
      </c>
      <c r="E2722" s="46" t="b" cm="1">
        <f t="array" ref="E2722">fp_agri_fundsource_scfund</f>
        <v>0</v>
      </c>
      <c r="F2722" s="1696" t="b">
        <f t="shared" si="26"/>
        <v>1</v>
      </c>
      <c r="G2722" s="46" t="s">
        <v>11265</v>
      </c>
    </row>
    <row r="2723" spans="1:8">
      <c r="A2723" s="46" t="s">
        <v>7273</v>
      </c>
      <c r="B2723" s="46" t="s">
        <v>7244</v>
      </c>
      <c r="C2723" s="46" t="s">
        <v>7273</v>
      </c>
      <c r="D2723" s="1018" t="s">
        <v>7317</v>
      </c>
      <c r="E2723" s="46" t="b" cm="1">
        <f t="array" ref="E2723">fp_agri_fundsource_ptafund</f>
        <v>0</v>
      </c>
      <c r="F2723" s="1696" t="b">
        <f t="shared" si="26"/>
        <v>1</v>
      </c>
      <c r="G2723" s="46" t="s">
        <v>11265</v>
      </c>
    </row>
    <row r="2724" spans="1:8" ht="16.5" thickBot="1">
      <c r="A2724" s="479" t="s">
        <v>7274</v>
      </c>
      <c r="B2724" s="479" t="s">
        <v>7244</v>
      </c>
      <c r="C2724" s="479" t="s">
        <v>7274</v>
      </c>
      <c r="D2724" s="1019" t="s">
        <v>7318</v>
      </c>
      <c r="E2724" s="479" t="b" cm="1">
        <f t="array" ref="E2724">fp_agri_fundsource_privatefund</f>
        <v>0</v>
      </c>
      <c r="F2724" s="1697" t="b">
        <f t="shared" si="26"/>
        <v>1</v>
      </c>
      <c r="G2724" s="479" t="s">
        <v>11265</v>
      </c>
      <c r="H2724" s="479"/>
    </row>
    <row r="2725" spans="1:8" ht="16.5" thickTop="1">
      <c r="A2725" s="46" t="s">
        <v>7275</v>
      </c>
      <c r="B2725" s="46" t="s">
        <v>7276</v>
      </c>
      <c r="C2725" s="46" t="s">
        <v>7275</v>
      </c>
      <c r="D2725" s="1018" t="s">
        <v>7319</v>
      </c>
      <c r="E2725" s="46" t="b" cm="1">
        <f t="array" ref="E2725">fh_has_canteen_yes</f>
        <v>1</v>
      </c>
      <c r="F2725" s="1696" t="b">
        <f t="shared" si="26"/>
        <v>1</v>
      </c>
      <c r="G2725" s="46" t="s">
        <v>11265</v>
      </c>
    </row>
    <row r="2726" spans="1:8">
      <c r="A2726" s="46" t="s">
        <v>7277</v>
      </c>
      <c r="B2726" s="46" t="s">
        <v>7276</v>
      </c>
      <c r="C2726" s="46" t="s">
        <v>7277</v>
      </c>
      <c r="D2726" s="1018" t="s">
        <v>7320</v>
      </c>
      <c r="E2726" s="46" t="b" cm="1">
        <f t="array" ref="E2726">fh_canteen_mngd_sch</f>
        <v>0</v>
      </c>
      <c r="F2726" s="1696" t="b">
        <f t="shared" si="26"/>
        <v>1</v>
      </c>
      <c r="G2726" s="46" t="s">
        <v>11265</v>
      </c>
    </row>
    <row r="2727" spans="1:8">
      <c r="A2727" s="46" t="s">
        <v>7278</v>
      </c>
      <c r="B2727" s="46" t="s">
        <v>7276</v>
      </c>
      <c r="C2727" s="46" t="s">
        <v>7278</v>
      </c>
      <c r="D2727" s="1018" t="s">
        <v>7321</v>
      </c>
      <c r="E2727" s="46" cm="1">
        <f t="array" ref="E2727">fh_canteen_mngd_sch_sanitary</f>
        <v>0</v>
      </c>
      <c r="F2727" s="46" t="b">
        <v>1</v>
      </c>
    </row>
    <row r="2728" spans="1:8">
      <c r="A2728" s="46" t="s">
        <v>7279</v>
      </c>
      <c r="B2728" s="46" t="s">
        <v>7276</v>
      </c>
      <c r="C2728" s="46" t="s">
        <v>7279</v>
      </c>
      <c r="D2728" s="1018" t="s">
        <v>7322</v>
      </c>
      <c r="E2728" s="1761" cm="1">
        <f t="array" ref="E2728">fh_canteen_mngd_sch_validity</f>
        <v>0</v>
      </c>
      <c r="F2728" s="46" t="b">
        <v>1</v>
      </c>
    </row>
    <row r="2729" spans="1:8">
      <c r="A2729" s="46" t="s">
        <v>7280</v>
      </c>
      <c r="B2729" s="46" t="s">
        <v>7276</v>
      </c>
      <c r="C2729" s="46" t="s">
        <v>7280</v>
      </c>
      <c r="D2729" s="1018" t="s">
        <v>7323</v>
      </c>
      <c r="E2729" s="46" t="b" cm="1">
        <f t="array" ref="E2729">fh_canteen_mngd_sch_personnel_health_yes</f>
        <v>0</v>
      </c>
      <c r="F2729" s="1696" t="b">
        <f t="shared" ref="F2729:F2730" si="27">OR(E2729=TRUE, E2729=FALSE)</f>
        <v>1</v>
      </c>
      <c r="G2729" s="46" t="s">
        <v>11265</v>
      </c>
    </row>
    <row r="2730" spans="1:8">
      <c r="A2730" s="46" t="s">
        <v>7281</v>
      </c>
      <c r="B2730" s="46" t="s">
        <v>7276</v>
      </c>
      <c r="C2730" s="46" t="s">
        <v>7281</v>
      </c>
      <c r="D2730" s="1018" t="s">
        <v>7324</v>
      </c>
      <c r="E2730" s="46" t="b" cm="1">
        <f t="array" ref="E2730">fh_canteen_mngd_tchcoop</f>
        <v>1</v>
      </c>
      <c r="F2730" s="1696" t="b">
        <f t="shared" si="27"/>
        <v>1</v>
      </c>
      <c r="G2730" s="46" t="s">
        <v>11265</v>
      </c>
    </row>
    <row r="2731" spans="1:8">
      <c r="A2731" s="46" t="s">
        <v>7282</v>
      </c>
      <c r="B2731" s="46" t="s">
        <v>7276</v>
      </c>
      <c r="C2731" s="46" t="s">
        <v>7282</v>
      </c>
      <c r="D2731" s="1018" t="s">
        <v>7325</v>
      </c>
      <c r="E2731" s="46" cm="1">
        <f t="array" ref="E2731">fh_canteen_mngd_tchcoop_sanitary</f>
        <v>44619</v>
      </c>
      <c r="F2731" s="46" t="b">
        <v>1</v>
      </c>
    </row>
    <row r="2732" spans="1:8">
      <c r="A2732" s="46" t="s">
        <v>7283</v>
      </c>
      <c r="B2732" s="46" t="s">
        <v>7276</v>
      </c>
      <c r="C2732" s="46" t="s">
        <v>7283</v>
      </c>
      <c r="D2732" s="1018" t="s">
        <v>7326</v>
      </c>
      <c r="E2732" s="1761" cm="1">
        <f t="array" ref="E2732">fh_canteen_mngd_tchcoop_validity</f>
        <v>44926</v>
      </c>
      <c r="F2732" s="46" t="b">
        <v>1</v>
      </c>
    </row>
    <row r="2733" spans="1:8">
      <c r="A2733" s="46" t="s">
        <v>7284</v>
      </c>
      <c r="B2733" s="46" t="s">
        <v>7276</v>
      </c>
      <c r="C2733" s="46" t="s">
        <v>7284</v>
      </c>
      <c r="D2733" s="1018" t="s">
        <v>7327</v>
      </c>
      <c r="E2733" s="46" t="b" cm="1">
        <f t="array" ref="E2733">fh_canteen_mngd_tchcoop_personnel_health_yes</f>
        <v>1</v>
      </c>
      <c r="F2733" s="1696" t="b">
        <f t="shared" ref="F2733:F2734" si="28">OR(E2733=TRUE, E2733=FALSE)</f>
        <v>1</v>
      </c>
      <c r="G2733" s="46" t="s">
        <v>11265</v>
      </c>
    </row>
    <row r="2734" spans="1:8">
      <c r="A2734" s="46" t="s">
        <v>7285</v>
      </c>
      <c r="B2734" s="46" t="s">
        <v>7276</v>
      </c>
      <c r="C2734" s="46" t="s">
        <v>7285</v>
      </c>
      <c r="D2734" s="1018" t="s">
        <v>7328</v>
      </c>
      <c r="E2734" s="46" t="b" cm="1">
        <f t="array" ref="E2734">fh_canteen_mngd_others</f>
        <v>0</v>
      </c>
      <c r="F2734" s="1696" t="b">
        <f t="shared" si="28"/>
        <v>1</v>
      </c>
      <c r="G2734" s="46" t="s">
        <v>11265</v>
      </c>
    </row>
    <row r="2735" spans="1:8">
      <c r="A2735" s="46" t="s">
        <v>7286</v>
      </c>
      <c r="B2735" s="46" t="s">
        <v>7276</v>
      </c>
      <c r="C2735" s="46" t="s">
        <v>7286</v>
      </c>
      <c r="D2735" s="1018" t="s">
        <v>7329</v>
      </c>
      <c r="E2735" s="46" cm="1">
        <f t="array" ref="E2735">fh_canteen_mngd_others_specify</f>
        <v>0</v>
      </c>
      <c r="F2735" s="46" t="b">
        <v>1</v>
      </c>
    </row>
    <row r="2736" spans="1:8">
      <c r="A2736" s="46" t="s">
        <v>7287</v>
      </c>
      <c r="B2736" s="46" t="s">
        <v>7276</v>
      </c>
      <c r="C2736" s="46" t="s">
        <v>7287</v>
      </c>
      <c r="D2736" s="1018" t="s">
        <v>7330</v>
      </c>
      <c r="E2736" s="46" cm="1">
        <f t="array" ref="E2736">fh_canteen_mngd_others_sanitary</f>
        <v>0</v>
      </c>
      <c r="F2736" s="46" t="b">
        <v>1</v>
      </c>
    </row>
    <row r="2737" spans="1:8">
      <c r="A2737" s="46" t="s">
        <v>7288</v>
      </c>
      <c r="B2737" s="46" t="s">
        <v>7276</v>
      </c>
      <c r="C2737" s="46" t="s">
        <v>7288</v>
      </c>
      <c r="D2737" s="1018" t="s">
        <v>7331</v>
      </c>
      <c r="E2737" s="1761" cm="1">
        <f t="array" ref="E2737">fh_canteen_mngd_others_validity</f>
        <v>0</v>
      </c>
      <c r="F2737" s="46" t="b">
        <v>1</v>
      </c>
    </row>
    <row r="2738" spans="1:8" ht="16.5" thickBot="1">
      <c r="A2738" s="479" t="s">
        <v>7289</v>
      </c>
      <c r="B2738" s="479" t="s">
        <v>7276</v>
      </c>
      <c r="C2738" s="479" t="s">
        <v>7289</v>
      </c>
      <c r="D2738" s="1019" t="s">
        <v>7332</v>
      </c>
      <c r="E2738" s="479" t="b" cm="1">
        <f t="array" ref="E2738">fh_canteen_mngd_others_personnel_health_yes</f>
        <v>0</v>
      </c>
      <c r="F2738" s="1697" t="b">
        <f t="shared" ref="F2738:F2777" si="29">OR(E2738=TRUE, E2738=FALSE)</f>
        <v>1</v>
      </c>
      <c r="G2738" s="479" t="s">
        <v>11265</v>
      </c>
      <c r="H2738" s="479"/>
    </row>
    <row r="2739" spans="1:8" ht="16.5" thickTop="1">
      <c r="A2739" s="46" t="s">
        <v>7333</v>
      </c>
      <c r="B2739" s="46" t="s">
        <v>7334</v>
      </c>
      <c r="C2739" s="46" t="s">
        <v>7333</v>
      </c>
      <c r="D2739" s="1018" t="s">
        <v>7370</v>
      </c>
      <c r="E2739" s="46" t="b" cm="1">
        <f t="array" ref="E2739">solidwm_complieswma_yes</f>
        <v>1</v>
      </c>
      <c r="F2739" s="1696" t="b">
        <f t="shared" si="29"/>
        <v>1</v>
      </c>
      <c r="G2739" s="46" t="s">
        <v>11265</v>
      </c>
    </row>
    <row r="2740" spans="1:8">
      <c r="A2740" s="46" t="s">
        <v>7335</v>
      </c>
      <c r="B2740" s="46" t="s">
        <v>7334</v>
      </c>
      <c r="C2740" s="46" t="s">
        <v>7335</v>
      </c>
      <c r="D2740" s="1018" t="s">
        <v>7371</v>
      </c>
      <c r="E2740" s="46" t="b" cm="1">
        <f t="array" ref="E2740">implesolidwm_composting</f>
        <v>0</v>
      </c>
      <c r="F2740" s="1696" t="b">
        <f t="shared" si="29"/>
        <v>1</v>
      </c>
      <c r="G2740" s="46" t="s">
        <v>11265</v>
      </c>
    </row>
    <row r="2741" spans="1:8">
      <c r="A2741" s="46" t="s">
        <v>7336</v>
      </c>
      <c r="B2741" s="46" t="s">
        <v>7334</v>
      </c>
      <c r="C2741" s="46" t="s">
        <v>7336</v>
      </c>
      <c r="D2741" s="1018" t="s">
        <v>7372</v>
      </c>
      <c r="E2741" s="46" t="b" cm="1">
        <f t="array" ref="E2741">implesolidwm_postsign</f>
        <v>0</v>
      </c>
      <c r="F2741" s="1696" t="b">
        <f t="shared" si="29"/>
        <v>1</v>
      </c>
      <c r="G2741" s="46" t="s">
        <v>11265</v>
      </c>
    </row>
    <row r="2742" spans="1:8">
      <c r="A2742" s="46" t="s">
        <v>7337</v>
      </c>
      <c r="B2742" s="46" t="s">
        <v>7334</v>
      </c>
      <c r="C2742" s="46" t="s">
        <v>7337</v>
      </c>
      <c r="D2742" s="1018" t="s">
        <v>7373</v>
      </c>
      <c r="E2742" s="46" t="b" cm="1">
        <f t="array" ref="E2742">implesolidwm_usppcip</f>
        <v>0</v>
      </c>
      <c r="F2742" s="1696" t="b">
        <f t="shared" si="29"/>
        <v>1</v>
      </c>
      <c r="G2742" s="46" t="s">
        <v>11265</v>
      </c>
    </row>
    <row r="2743" spans="1:8">
      <c r="A2743" s="46" t="s">
        <v>7338</v>
      </c>
      <c r="B2743" s="46" t="s">
        <v>7334</v>
      </c>
      <c r="C2743" s="46" t="s">
        <v>7338</v>
      </c>
      <c r="D2743" s="1018" t="s">
        <v>7374</v>
      </c>
      <c r="E2743" s="46" t="b" cm="1">
        <f t="array" ref="E2743">implesolidwm_dtcp</f>
        <v>0</v>
      </c>
      <c r="F2743" s="1696" t="b">
        <f t="shared" si="29"/>
        <v>1</v>
      </c>
      <c r="G2743" s="46" t="s">
        <v>11265</v>
      </c>
    </row>
    <row r="2744" spans="1:8">
      <c r="A2744" s="46" t="s">
        <v>7339</v>
      </c>
      <c r="B2744" s="46" t="s">
        <v>7334</v>
      </c>
      <c r="C2744" s="46" t="s">
        <v>7339</v>
      </c>
      <c r="D2744" s="1018" t="s">
        <v>7375</v>
      </c>
      <c r="E2744" s="46" t="b" cm="1">
        <f t="array" ref="E2744">implesolidwm_recyclingpr</f>
        <v>0</v>
      </c>
      <c r="F2744" s="1696" t="b">
        <f t="shared" si="29"/>
        <v>1</v>
      </c>
      <c r="G2744" s="46" t="s">
        <v>11265</v>
      </c>
    </row>
    <row r="2745" spans="1:8">
      <c r="A2745" s="46" t="s">
        <v>7340</v>
      </c>
      <c r="B2745" s="46" t="s">
        <v>7334</v>
      </c>
      <c r="C2745" s="46" t="s">
        <v>7340</v>
      </c>
      <c r="D2745" s="1018" t="s">
        <v>7376</v>
      </c>
      <c r="E2745" s="46" t="b" cm="1">
        <f t="array" ref="E2745">implesolidwm_usrmtt</f>
        <v>0</v>
      </c>
      <c r="F2745" s="1696" t="b">
        <f t="shared" si="29"/>
        <v>1</v>
      </c>
      <c r="G2745" s="46" t="s">
        <v>11265</v>
      </c>
    </row>
    <row r="2746" spans="1:8">
      <c r="A2746" s="46" t="s">
        <v>7341</v>
      </c>
      <c r="B2746" s="46" t="s">
        <v>7334</v>
      </c>
      <c r="C2746" s="46" t="s">
        <v>7341</v>
      </c>
      <c r="D2746" s="1018" t="s">
        <v>7377</v>
      </c>
      <c r="E2746" s="46" t="b" cm="1">
        <f t="array" ref="E2746">implesolidwm_pmsmcon</f>
        <v>0</v>
      </c>
      <c r="F2746" s="1696" t="b">
        <f t="shared" si="29"/>
        <v>1</v>
      </c>
      <c r="G2746" s="46" t="s">
        <v>11265</v>
      </c>
    </row>
    <row r="2747" spans="1:8">
      <c r="A2747" s="46" t="s">
        <v>7342</v>
      </c>
      <c r="B2747" s="46" t="s">
        <v>7334</v>
      </c>
      <c r="C2747" s="46" t="s">
        <v>7342</v>
      </c>
      <c r="D2747" s="1018" t="s">
        <v>7378</v>
      </c>
      <c r="E2747" s="46" t="b" cm="1">
        <f t="array" ref="E2747">implesolidwm_schrep</f>
        <v>0</v>
      </c>
      <c r="F2747" s="1696" t="b">
        <f t="shared" si="29"/>
        <v>1</v>
      </c>
      <c r="G2747" s="46" t="s">
        <v>11265</v>
      </c>
    </row>
    <row r="2748" spans="1:8">
      <c r="A2748" s="46" t="s">
        <v>7343</v>
      </c>
      <c r="B2748" s="46" t="s">
        <v>7334</v>
      </c>
      <c r="C2748" s="46" t="s">
        <v>7343</v>
      </c>
      <c r="D2748" s="1018" t="s">
        <v>7379</v>
      </c>
      <c r="E2748" s="46" t="b" cm="1">
        <f t="array" ref="E2748">implesolidwm_urfc</f>
        <v>0</v>
      </c>
      <c r="F2748" s="1696" t="b">
        <f t="shared" si="29"/>
        <v>1</v>
      </c>
      <c r="G2748" s="46" t="s">
        <v>11265</v>
      </c>
    </row>
    <row r="2749" spans="1:8">
      <c r="A2749" s="46" t="s">
        <v>7344</v>
      </c>
      <c r="B2749" s="46" t="s">
        <v>7334</v>
      </c>
      <c r="C2749" s="46" t="s">
        <v>7344</v>
      </c>
      <c r="D2749" s="1018" t="s">
        <v>7380</v>
      </c>
      <c r="E2749" s="46" t="b" cm="1">
        <f t="array" ref="E2749">implesolidwm_wasteseg</f>
        <v>1</v>
      </c>
      <c r="F2749" s="1696" t="b">
        <f t="shared" si="29"/>
        <v>1</v>
      </c>
      <c r="G2749" s="46" t="s">
        <v>11265</v>
      </c>
    </row>
    <row r="2750" spans="1:8">
      <c r="A2750" s="46" t="s">
        <v>7345</v>
      </c>
      <c r="B2750" s="46" t="s">
        <v>7334</v>
      </c>
      <c r="C2750" s="46" t="s">
        <v>7345</v>
      </c>
      <c r="D2750" s="1018" t="s">
        <v>7381</v>
      </c>
      <c r="E2750" s="46" t="b" cm="1">
        <f t="array" ref="E2750">implesolidwm_stakeholder_brgy</f>
        <v>1</v>
      </c>
      <c r="F2750" s="1696" t="b">
        <f t="shared" si="29"/>
        <v>1</v>
      </c>
      <c r="G2750" s="46" t="s">
        <v>11265</v>
      </c>
    </row>
    <row r="2751" spans="1:8">
      <c r="A2751" s="46" t="s">
        <v>7346</v>
      </c>
      <c r="B2751" s="46" t="s">
        <v>7334</v>
      </c>
      <c r="C2751" s="46" t="s">
        <v>7346</v>
      </c>
      <c r="D2751" s="1018" t="s">
        <v>7382</v>
      </c>
      <c r="E2751" s="46" t="b" cm="1">
        <f t="array" ref="E2751">implesolidwm_stakeholder_localbusp</f>
        <v>0</v>
      </c>
      <c r="F2751" s="1696" t="b">
        <f t="shared" si="29"/>
        <v>1</v>
      </c>
      <c r="G2751" s="46" t="s">
        <v>11265</v>
      </c>
    </row>
    <row r="2752" spans="1:8">
      <c r="A2752" s="46" t="s">
        <v>7347</v>
      </c>
      <c r="B2752" s="46" t="s">
        <v>7334</v>
      </c>
      <c r="C2752" s="46" t="s">
        <v>7347</v>
      </c>
      <c r="D2752" s="1018" t="s">
        <v>7383</v>
      </c>
      <c r="E2752" s="46" t="b" cm="1">
        <f t="array" ref="E2752">implesolidwm_stakeholder_parents</f>
        <v>0</v>
      </c>
      <c r="F2752" s="1696" t="b">
        <f t="shared" si="29"/>
        <v>1</v>
      </c>
      <c r="G2752" s="46" t="s">
        <v>11265</v>
      </c>
    </row>
    <row r="2753" spans="1:8">
      <c r="A2753" s="46" t="s">
        <v>7348</v>
      </c>
      <c r="B2753" s="46" t="s">
        <v>7334</v>
      </c>
      <c r="C2753" s="46" t="s">
        <v>7348</v>
      </c>
      <c r="D2753" s="1018" t="s">
        <v>7384</v>
      </c>
      <c r="E2753" s="46" t="b" cm="1">
        <f t="array" ref="E2753">implesolidwm_stakeholder_commulead</f>
        <v>0</v>
      </c>
      <c r="F2753" s="1696" t="b">
        <f t="shared" si="29"/>
        <v>1</v>
      </c>
      <c r="G2753" s="46" t="s">
        <v>11265</v>
      </c>
    </row>
    <row r="2754" spans="1:8" ht="16.5" thickBot="1">
      <c r="A2754" s="479" t="s">
        <v>7349</v>
      </c>
      <c r="B2754" s="479" t="s">
        <v>7334</v>
      </c>
      <c r="C2754" s="479" t="s">
        <v>7349</v>
      </c>
      <c r="D2754" s="1019" t="s">
        <v>7385</v>
      </c>
      <c r="E2754" s="479" t="b" cm="1">
        <f t="array" ref="E2754">implesolidwm_stakeholder_mun_city</f>
        <v>1</v>
      </c>
      <c r="F2754" s="1697" t="b">
        <f t="shared" si="29"/>
        <v>1</v>
      </c>
      <c r="G2754" s="479" t="s">
        <v>11265</v>
      </c>
      <c r="H2754" s="479"/>
    </row>
    <row r="2755" spans="1:8" ht="16.5" thickTop="1">
      <c r="A2755" s="46" t="s">
        <v>7350</v>
      </c>
      <c r="B2755" s="46" t="s">
        <v>7351</v>
      </c>
      <c r="C2755" s="46" t="s">
        <v>7350</v>
      </c>
      <c r="D2755" s="1018" t="s">
        <v>7386</v>
      </c>
      <c r="E2755" s="46" t="b" cm="1">
        <f t="array" ref="E2755">opmainsanf_sanfclean_daily</f>
        <v>1</v>
      </c>
      <c r="F2755" s="1696" t="b">
        <f t="shared" si="29"/>
        <v>1</v>
      </c>
      <c r="G2755" s="46" t="s">
        <v>11265</v>
      </c>
    </row>
    <row r="2756" spans="1:8">
      <c r="A2756" s="46" t="s">
        <v>7352</v>
      </c>
      <c r="B2756" s="46" t="s">
        <v>7351</v>
      </c>
      <c r="C2756" s="46" t="s">
        <v>7352</v>
      </c>
      <c r="D2756" s="1018" t="s">
        <v>7387</v>
      </c>
      <c r="E2756" s="46" t="b" cm="1">
        <f t="array" ref="E2756">opmainsanf_sanfclean_onceawk</f>
        <v>0</v>
      </c>
      <c r="F2756" s="1696" t="b">
        <f t="shared" si="29"/>
        <v>1</v>
      </c>
      <c r="G2756" s="46" t="s">
        <v>11265</v>
      </c>
    </row>
    <row r="2757" spans="1:8">
      <c r="A2757" s="46" t="s">
        <v>7353</v>
      </c>
      <c r="B2757" s="46" t="s">
        <v>7351</v>
      </c>
      <c r="C2757" s="46" t="s">
        <v>7353</v>
      </c>
      <c r="D2757" s="1018" t="s">
        <v>7388</v>
      </c>
      <c r="E2757" s="46" t="b" cm="1">
        <f t="array" ref="E2757">opmainsanf_sanfclean_attwiceawk</f>
        <v>0</v>
      </c>
      <c r="F2757" s="1696" t="b">
        <f t="shared" si="29"/>
        <v>1</v>
      </c>
      <c r="G2757" s="46" t="s">
        <v>11265</v>
      </c>
    </row>
    <row r="2758" spans="1:8">
      <c r="A2758" s="46" t="s">
        <v>7354</v>
      </c>
      <c r="B2758" s="46" t="s">
        <v>7351</v>
      </c>
      <c r="C2758" s="46" t="s">
        <v>7354</v>
      </c>
      <c r="D2758" s="1018" t="s">
        <v>7389</v>
      </c>
      <c r="E2758" s="46" t="b" cm="1">
        <f t="array" ref="E2758">opmainsanf_sanfclean_lessonceawk</f>
        <v>0</v>
      </c>
      <c r="F2758" s="1696" t="b">
        <f t="shared" si="29"/>
        <v>1</v>
      </c>
      <c r="G2758" s="46" t="s">
        <v>11265</v>
      </c>
    </row>
    <row r="2759" spans="1:8">
      <c r="A2759" s="46" t="s">
        <v>7355</v>
      </c>
      <c r="B2759" s="46" t="s">
        <v>7351</v>
      </c>
      <c r="C2759" s="46" t="s">
        <v>7355</v>
      </c>
      <c r="D2759" s="1018" t="s">
        <v>7390</v>
      </c>
      <c r="E2759" s="1777" cm="1">
        <f t="array" ref="E2759">opmainsanf_sanfclean_avecos_monbm_amount</f>
        <v>0</v>
      </c>
      <c r="F2759" s="46" t="b">
        <v>1</v>
      </c>
    </row>
    <row r="2760" spans="1:8">
      <c r="A2760" s="46" t="s">
        <v>7356</v>
      </c>
      <c r="B2760" s="46" t="s">
        <v>7351</v>
      </c>
      <c r="C2760" s="46" t="s">
        <v>7356</v>
      </c>
      <c r="D2760" s="1018" t="s">
        <v>7391</v>
      </c>
      <c r="E2760" s="46" t="b" cm="1">
        <f t="array" ref="E2760">opmainsanf_sanfclean_payavecos_monbmes_schmooe</f>
        <v>1</v>
      </c>
      <c r="F2760" s="1696" t="b">
        <f t="shared" si="29"/>
        <v>1</v>
      </c>
      <c r="G2760" s="46" t="s">
        <v>11265</v>
      </c>
    </row>
    <row r="2761" spans="1:8">
      <c r="A2761" s="46" t="s">
        <v>7357</v>
      </c>
      <c r="B2761" s="46" t="s">
        <v>7351</v>
      </c>
      <c r="C2761" s="46" t="s">
        <v>7357</v>
      </c>
      <c r="D2761" s="1018" t="s">
        <v>7392</v>
      </c>
      <c r="E2761" s="46" t="b" cm="1">
        <f t="array" ref="E2761">opmainsanf_sanfclean_payavecos_monbmes_schcantf</f>
        <v>0</v>
      </c>
      <c r="F2761" s="1696" t="b">
        <f t="shared" si="29"/>
        <v>1</v>
      </c>
      <c r="G2761" s="46" t="s">
        <v>11265</v>
      </c>
    </row>
    <row r="2762" spans="1:8">
      <c r="A2762" s="46" t="s">
        <v>7358</v>
      </c>
      <c r="B2762" s="46" t="s">
        <v>7351</v>
      </c>
      <c r="C2762" s="46" t="s">
        <v>7358</v>
      </c>
      <c r="D2762" s="1018" t="s">
        <v>7393</v>
      </c>
      <c r="E2762" s="46" t="b" cm="1">
        <f t="array" ref="E2762">opmainsanf_sanfclean_payavecos_monbm_lgu</f>
        <v>0</v>
      </c>
      <c r="F2762" s="1696" t="b">
        <f t="shared" si="29"/>
        <v>1</v>
      </c>
      <c r="G2762" s="46" t="s">
        <v>11265</v>
      </c>
    </row>
    <row r="2763" spans="1:8">
      <c r="A2763" s="46" t="s">
        <v>7359</v>
      </c>
      <c r="B2763" s="46" t="s">
        <v>7351</v>
      </c>
      <c r="C2763" s="46" t="s">
        <v>7359</v>
      </c>
      <c r="D2763" s="1018" t="s">
        <v>7394</v>
      </c>
      <c r="E2763" s="46" t="b" cm="1">
        <f t="array" ref="E2763">opmainsanf_sanfclean_payavecos_monbm_privinds</f>
        <v>0</v>
      </c>
      <c r="F2763" s="1696" t="b">
        <f t="shared" si="29"/>
        <v>1</v>
      </c>
      <c r="G2763" s="46" t="s">
        <v>11265</v>
      </c>
    </row>
    <row r="2764" spans="1:8">
      <c r="A2764" s="46" t="s">
        <v>7360</v>
      </c>
      <c r="B2764" s="46" t="s">
        <v>7351</v>
      </c>
      <c r="C2764" s="46" t="s">
        <v>7360</v>
      </c>
      <c r="D2764" s="1018" t="s">
        <v>7395</v>
      </c>
      <c r="E2764" s="46" t="b" cm="1">
        <f t="array" ref="E2764">opmainsanf_sanfclean_payavecos_monbm_pta</f>
        <v>0</v>
      </c>
      <c r="F2764" s="1696" t="b">
        <f t="shared" si="29"/>
        <v>1</v>
      </c>
      <c r="G2764" s="46" t="s">
        <v>11265</v>
      </c>
    </row>
    <row r="2765" spans="1:8">
      <c r="A2765" s="46" t="s">
        <v>7361</v>
      </c>
      <c r="B2765" s="46" t="s">
        <v>7351</v>
      </c>
      <c r="C2765" s="46" t="s">
        <v>7361</v>
      </c>
      <c r="D2765" s="1018" t="s">
        <v>7396</v>
      </c>
      <c r="E2765" s="46" t="b" cm="1">
        <f t="array" ref="E2765">opmainsanf_sanfclean_payavecos_monbm_other</f>
        <v>0</v>
      </c>
      <c r="F2765" s="1696" t="b">
        <f t="shared" si="29"/>
        <v>1</v>
      </c>
      <c r="G2765" s="46" t="s">
        <v>11265</v>
      </c>
    </row>
    <row r="2766" spans="1:8" ht="16.5" thickBot="1">
      <c r="A2766" s="479" t="s">
        <v>7362</v>
      </c>
      <c r="B2766" s="479" t="s">
        <v>7351</v>
      </c>
      <c r="C2766" s="479" t="s">
        <v>7362</v>
      </c>
      <c r="D2766" s="1019" t="s">
        <v>7397</v>
      </c>
      <c r="E2766" s="479" cm="1">
        <f t="array" ref="E2766">opmainsanf_sanfclean_payavecos_monbm_other_specify</f>
        <v>0</v>
      </c>
      <c r="F2766" s="479" t="b">
        <v>1</v>
      </c>
      <c r="G2766" s="479"/>
      <c r="H2766" s="479"/>
    </row>
    <row r="2767" spans="1:8" ht="16.5" thickTop="1">
      <c r="A2767" s="46" t="s">
        <v>7363</v>
      </c>
      <c r="B2767" s="46" t="s">
        <v>7364</v>
      </c>
      <c r="C2767" s="46" t="s">
        <v>7363</v>
      </c>
      <c r="D2767" s="1018" t="s">
        <v>7403</v>
      </c>
      <c r="E2767" s="46" t="b" cm="1">
        <f t="array" ref="E2767">mestrualh_avail_sanpads_yes</f>
        <v>1</v>
      </c>
      <c r="F2767" s="1696" t="b">
        <f t="shared" si="29"/>
        <v>1</v>
      </c>
      <c r="G2767" s="46" t="s">
        <v>11265</v>
      </c>
    </row>
    <row r="2768" spans="1:8">
      <c r="A2768" s="46" t="s">
        <v>7365</v>
      </c>
      <c r="B2768" s="46" t="s">
        <v>7364</v>
      </c>
      <c r="C2768" s="46" t="s">
        <v>7365</v>
      </c>
      <c r="D2768" s="1018" t="s">
        <v>7398</v>
      </c>
      <c r="E2768" s="46" t="b" cm="1">
        <f t="array" ref="E2768">mestrualh_avail_sanpads_yeses_schcant</f>
        <v>1</v>
      </c>
      <c r="F2768" s="1696" t="b">
        <f t="shared" si="29"/>
        <v>1</v>
      </c>
      <c r="G2768" s="46" t="s">
        <v>11265</v>
      </c>
    </row>
    <row r="2769" spans="1:8">
      <c r="A2769" s="46" t="s">
        <v>7366</v>
      </c>
      <c r="B2769" s="46" t="s">
        <v>7364</v>
      </c>
      <c r="C2769" s="46" t="s">
        <v>7366</v>
      </c>
      <c r="D2769" s="1018" t="s">
        <v>7399</v>
      </c>
      <c r="E2769" s="46" t="b" cm="1">
        <f t="array" ref="E2769">mestrualh_avail_sanpads_yes_guidoff</f>
        <v>0</v>
      </c>
      <c r="F2769" s="1696" t="b">
        <f t="shared" si="29"/>
        <v>1</v>
      </c>
      <c r="G2769" s="46" t="s">
        <v>11265</v>
      </c>
    </row>
    <row r="2770" spans="1:8">
      <c r="A2770" s="46" t="s">
        <v>7367</v>
      </c>
      <c r="B2770" s="46" t="s">
        <v>7364</v>
      </c>
      <c r="C2770" s="46" t="s">
        <v>7367</v>
      </c>
      <c r="D2770" s="1018" t="s">
        <v>7400</v>
      </c>
      <c r="E2770" s="46" t="b" cm="1">
        <f t="array" ref="E2770">mestrualh_avail_sanpads_yeses_schclinic</f>
        <v>1</v>
      </c>
      <c r="F2770" s="1696" t="b">
        <f t="shared" si="29"/>
        <v>1</v>
      </c>
      <c r="G2770" s="46" t="s">
        <v>11265</v>
      </c>
    </row>
    <row r="2771" spans="1:8">
      <c r="A2771" s="46" t="s">
        <v>7368</v>
      </c>
      <c r="B2771" s="46" t="s">
        <v>7364</v>
      </c>
      <c r="C2771" s="46" t="s">
        <v>7368</v>
      </c>
      <c r="D2771" s="1018" t="s">
        <v>7401</v>
      </c>
      <c r="E2771" s="46" t="b" cm="1">
        <f t="array" ref="E2771">mestrualh_avail_sanpads_yes_others</f>
        <v>0</v>
      </c>
      <c r="F2771" s="1696" t="b">
        <f t="shared" si="29"/>
        <v>1</v>
      </c>
      <c r="G2771" s="46" t="s">
        <v>11265</v>
      </c>
    </row>
    <row r="2772" spans="1:8" ht="16.5" thickBot="1">
      <c r="A2772" s="479" t="s">
        <v>7369</v>
      </c>
      <c r="B2772" s="479" t="s">
        <v>7364</v>
      </c>
      <c r="C2772" s="479" t="s">
        <v>7369</v>
      </c>
      <c r="D2772" s="1019" t="s">
        <v>7402</v>
      </c>
      <c r="E2772" s="479" cm="1">
        <f t="array" ref="E2772">mestrualh_avail_sanpads_yes_others_specify</f>
        <v>0</v>
      </c>
      <c r="F2772" s="479" t="b">
        <v>1</v>
      </c>
      <c r="G2772" s="479"/>
      <c r="H2772" s="479"/>
    </row>
    <row r="2773" spans="1:8" ht="16.5" thickTop="1">
      <c r="A2773" s="46" t="s">
        <v>7404</v>
      </c>
      <c r="B2773" s="46" t="s">
        <v>7405</v>
      </c>
      <c r="C2773" s="46" t="s">
        <v>7404</v>
      </c>
      <c r="D2773" s="46" t="s">
        <v>7436</v>
      </c>
      <c r="E2773" s="46" t="b" cm="1">
        <f t="array" ref="E2773">sch_cpc_yes</f>
        <v>1</v>
      </c>
      <c r="F2773" s="1696" t="b">
        <f t="shared" si="29"/>
        <v>1</v>
      </c>
      <c r="G2773" s="46" t="s">
        <v>11265</v>
      </c>
    </row>
    <row r="2774" spans="1:8">
      <c r="A2774" s="46" t="s">
        <v>7406</v>
      </c>
      <c r="B2774" s="46" t="s">
        <v>7405</v>
      </c>
      <c r="C2774" s="46" t="s">
        <v>7406</v>
      </c>
      <c r="D2774" s="46" t="s">
        <v>7437</v>
      </c>
      <c r="E2774" s="46" t="b" cm="1">
        <f t="array" ref="E2774">sch_cpc_fmeet_monthly</f>
        <v>0</v>
      </c>
      <c r="F2774" s="1696" t="b">
        <f t="shared" si="29"/>
        <v>1</v>
      </c>
      <c r="G2774" s="46" t="s">
        <v>11265</v>
      </c>
    </row>
    <row r="2775" spans="1:8">
      <c r="A2775" s="46" t="s">
        <v>7407</v>
      </c>
      <c r="B2775" s="46" t="s">
        <v>7405</v>
      </c>
      <c r="C2775" s="46" t="s">
        <v>7407</v>
      </c>
      <c r="D2775" s="46" t="s">
        <v>7438</v>
      </c>
      <c r="E2775" s="46" t="b" cm="1">
        <f t="array" ref="E2775">sch_cpc_fmeet_quarterly</f>
        <v>0</v>
      </c>
      <c r="F2775" s="1696" t="b">
        <f t="shared" si="29"/>
        <v>1</v>
      </c>
      <c r="G2775" s="46" t="s">
        <v>11265</v>
      </c>
    </row>
    <row r="2776" spans="1:8">
      <c r="A2776" s="46" t="s">
        <v>7408</v>
      </c>
      <c r="B2776" s="46" t="s">
        <v>7405</v>
      </c>
      <c r="C2776" s="46" t="s">
        <v>7408</v>
      </c>
      <c r="D2776" s="46" t="s">
        <v>7439</v>
      </c>
      <c r="E2776" s="46" t="b" cm="1">
        <f t="array" ref="E2776">sch_cpc_fmeet_annually</f>
        <v>0</v>
      </c>
      <c r="F2776" s="1696" t="b">
        <f t="shared" si="29"/>
        <v>1</v>
      </c>
      <c r="G2776" s="46" t="s">
        <v>11265</v>
      </c>
    </row>
    <row r="2777" spans="1:8">
      <c r="A2777" s="46" t="s">
        <v>7409</v>
      </c>
      <c r="B2777" s="46" t="s">
        <v>7405</v>
      </c>
      <c r="C2777" s="46" t="s">
        <v>7409</v>
      </c>
      <c r="D2777" s="46" t="s">
        <v>7440</v>
      </c>
      <c r="E2777" s="46" t="b" cm="1">
        <f t="array" ref="E2777">sch_cpc_fmeet_others</f>
        <v>1</v>
      </c>
      <c r="F2777" s="1696" t="b">
        <f t="shared" si="29"/>
        <v>1</v>
      </c>
      <c r="G2777" s="46" t="s">
        <v>11265</v>
      </c>
    </row>
    <row r="2778" spans="1:8">
      <c r="A2778" s="46" t="s">
        <v>7410</v>
      </c>
      <c r="B2778" s="46" t="s">
        <v>7405</v>
      </c>
      <c r="C2778" s="46" t="s">
        <v>7410</v>
      </c>
      <c r="D2778" s="46" t="s">
        <v>7441</v>
      </c>
      <c r="E2778" s="46" t="str" cm="1">
        <f t="array" ref="E2778">sch_cpc_fmeet_others_specify</f>
        <v>As need arises</v>
      </c>
      <c r="F2778" s="46" t="b">
        <v>1</v>
      </c>
    </row>
    <row r="2779" spans="1:8">
      <c r="A2779" s="46" t="s">
        <v>7411</v>
      </c>
      <c r="B2779" s="46" t="s">
        <v>7405</v>
      </c>
      <c r="C2779" s="46" t="s">
        <v>7411</v>
      </c>
      <c r="D2779" s="46" t="s">
        <v>7442</v>
      </c>
      <c r="E2779" s="46" cm="1">
        <f t="array" ref="E2779">sch_num_cpcases_refer_apprauth</f>
        <v>0</v>
      </c>
      <c r="F2779" s="46" t="b">
        <v>1</v>
      </c>
    </row>
    <row r="2780" spans="1:8" ht="16.5" thickBot="1">
      <c r="A2780" s="1159" t="s">
        <v>7412</v>
      </c>
      <c r="B2780" s="1159" t="s">
        <v>7405</v>
      </c>
      <c r="C2780" s="1159" t="s">
        <v>7412</v>
      </c>
      <c r="D2780" s="479" t="s">
        <v>7443</v>
      </c>
      <c r="E2780" s="1159" t="b" cm="1">
        <f t="array" ref="E2780">sch_studcodeconduct_yes</f>
        <v>1</v>
      </c>
      <c r="F2780" s="1697" t="b">
        <f t="shared" ref="F2780" si="30">OR(E2780=TRUE, E2780=FALSE)</f>
        <v>1</v>
      </c>
      <c r="G2780" s="479" t="s">
        <v>11265</v>
      </c>
      <c r="H2780" s="479"/>
    </row>
    <row r="2781" spans="1:8">
      <c r="A2781" s="46" t="s">
        <v>7413</v>
      </c>
      <c r="B2781" s="46" t="s">
        <v>7414</v>
      </c>
      <c r="C2781" s="46" t="s">
        <v>7413</v>
      </c>
      <c r="D2781" s="46" t="s">
        <v>7444</v>
      </c>
      <c r="E2781" s="46" cm="1">
        <f t="array" ref="E2781">cp_inc_violence_physical_lrnrs_m</f>
        <v>0</v>
      </c>
      <c r="F2781" s="46" t="b">
        <v>1</v>
      </c>
    </row>
    <row r="2782" spans="1:8">
      <c r="A2782" s="46" t="s">
        <v>7415</v>
      </c>
      <c r="B2782" s="46" t="s">
        <v>7414</v>
      </c>
      <c r="C2782" s="46" t="s">
        <v>7415</v>
      </c>
      <c r="D2782" s="46" t="s">
        <v>7445</v>
      </c>
      <c r="E2782" s="46" cm="1">
        <f t="array" ref="E2782">cp_inc_violence_physical_lrnrs_f</f>
        <v>0</v>
      </c>
      <c r="F2782" s="46" t="b">
        <v>1</v>
      </c>
    </row>
    <row r="2783" spans="1:8">
      <c r="A2783" s="46" t="s">
        <v>7416</v>
      </c>
      <c r="B2783" s="46" t="s">
        <v>7414</v>
      </c>
      <c r="C2783" s="46" t="s">
        <v>7416</v>
      </c>
      <c r="D2783" s="46" t="s">
        <v>7446</v>
      </c>
      <c r="E2783" s="46" cm="1">
        <f t="array" ref="E2783">cp_perp_violence_physical_lrnrs_schpersonnel</f>
        <v>0</v>
      </c>
      <c r="F2783" s="46" t="b">
        <v>1</v>
      </c>
    </row>
    <row r="2784" spans="1:8">
      <c r="A2784" s="46" t="s">
        <v>7417</v>
      </c>
      <c r="B2784" s="46" t="s">
        <v>7414</v>
      </c>
      <c r="C2784" s="46" t="s">
        <v>7417</v>
      </c>
      <c r="D2784" s="46" t="s">
        <v>7447</v>
      </c>
      <c r="E2784" s="46" cm="1">
        <f t="array" ref="E2784">cp_perp_violence_physical_lrnrs_outsider</f>
        <v>0</v>
      </c>
      <c r="F2784" s="46" t="b">
        <v>1</v>
      </c>
    </row>
    <row r="2785" spans="1:6">
      <c r="A2785" s="46" t="s">
        <v>7418</v>
      </c>
      <c r="B2785" s="46" t="s">
        <v>7414</v>
      </c>
      <c r="C2785" s="46" t="s">
        <v>7418</v>
      </c>
      <c r="D2785" s="46" t="s">
        <v>7448</v>
      </c>
      <c r="E2785" s="46" cm="1">
        <f t="array" ref="E2785">cp_inc_violence_sexual_lrnrs_m</f>
        <v>0</v>
      </c>
      <c r="F2785" s="46" t="b">
        <v>1</v>
      </c>
    </row>
    <row r="2786" spans="1:6">
      <c r="A2786" s="46" t="s">
        <v>7419</v>
      </c>
      <c r="B2786" s="46" t="s">
        <v>7414</v>
      </c>
      <c r="C2786" s="46" t="s">
        <v>7419</v>
      </c>
      <c r="D2786" s="46" t="s">
        <v>7449</v>
      </c>
      <c r="E2786" s="46" cm="1">
        <f t="array" ref="E2786">cp_inc_violence_sexual_lrnrs_f</f>
        <v>0</v>
      </c>
      <c r="F2786" s="46" t="b">
        <v>1</v>
      </c>
    </row>
    <row r="2787" spans="1:6">
      <c r="A2787" s="46" t="s">
        <v>7420</v>
      </c>
      <c r="B2787" s="46" t="s">
        <v>7414</v>
      </c>
      <c r="C2787" s="46" t="s">
        <v>7420</v>
      </c>
      <c r="D2787" s="46" t="s">
        <v>7450</v>
      </c>
      <c r="E2787" s="46" cm="1">
        <f t="array" ref="E2787">cp_perp_violence_sexual_lrnrs_schpersonnel</f>
        <v>0</v>
      </c>
      <c r="F2787" s="46" t="b">
        <v>1</v>
      </c>
    </row>
    <row r="2788" spans="1:6">
      <c r="A2788" s="46" t="s">
        <v>7421</v>
      </c>
      <c r="B2788" s="46" t="s">
        <v>7414</v>
      </c>
      <c r="C2788" s="46" t="s">
        <v>7421</v>
      </c>
      <c r="D2788" s="46" t="s">
        <v>7451</v>
      </c>
      <c r="E2788" s="46" cm="1">
        <f t="array" ref="E2788">cp_perp_violence_sexual_lrnrs_outsider</f>
        <v>0</v>
      </c>
      <c r="F2788" s="46" t="b">
        <v>1</v>
      </c>
    </row>
    <row r="2789" spans="1:6">
      <c r="A2789" s="46" t="s">
        <v>7422</v>
      </c>
      <c r="B2789" s="46" t="s">
        <v>7414</v>
      </c>
      <c r="C2789" s="46" t="s">
        <v>7422</v>
      </c>
      <c r="D2789" s="46" t="s">
        <v>7452</v>
      </c>
      <c r="E2789" s="46" cm="1">
        <f t="array" ref="E2789">cp_inc_violence_psychological_lrnrs_m</f>
        <v>0</v>
      </c>
      <c r="F2789" s="46" t="b">
        <v>1</v>
      </c>
    </row>
    <row r="2790" spans="1:6">
      <c r="A2790" s="46" t="s">
        <v>7423</v>
      </c>
      <c r="B2790" s="46" t="s">
        <v>7414</v>
      </c>
      <c r="C2790" s="46" t="s">
        <v>7423</v>
      </c>
      <c r="D2790" s="46" t="s">
        <v>7453</v>
      </c>
      <c r="E2790" s="46" cm="1">
        <f t="array" ref="E2790">cp_inc_violence_psychological_lrnrs_f</f>
        <v>0</v>
      </c>
      <c r="F2790" s="46" t="b">
        <v>1</v>
      </c>
    </row>
    <row r="2791" spans="1:6">
      <c r="A2791" s="46" t="s">
        <v>7424</v>
      </c>
      <c r="B2791" s="46" t="s">
        <v>7414</v>
      </c>
      <c r="C2791" s="46" t="s">
        <v>7424</v>
      </c>
      <c r="D2791" s="46" t="s">
        <v>7454</v>
      </c>
      <c r="E2791" s="46" cm="1">
        <f t="array" ref="E2791">cp_perp_violence_psychological_lrnrs_schpersonnel</f>
        <v>0</v>
      </c>
      <c r="F2791" s="46" t="b">
        <v>1</v>
      </c>
    </row>
    <row r="2792" spans="1:6">
      <c r="A2792" s="46" t="s">
        <v>7425</v>
      </c>
      <c r="B2792" s="46" t="s">
        <v>7414</v>
      </c>
      <c r="C2792" s="46" t="s">
        <v>7425</v>
      </c>
      <c r="D2792" s="46" t="s">
        <v>7455</v>
      </c>
      <c r="E2792" s="46" cm="1">
        <f t="array" ref="E2792">cp_perp_violence_psychological_lrnrs_outsider</f>
        <v>0</v>
      </c>
      <c r="F2792" s="46" t="b">
        <v>1</v>
      </c>
    </row>
    <row r="2793" spans="1:6">
      <c r="A2793" s="46" t="s">
        <v>7426</v>
      </c>
      <c r="B2793" s="46" t="s">
        <v>7414</v>
      </c>
      <c r="C2793" s="46" t="s">
        <v>7426</v>
      </c>
      <c r="D2793" s="46" t="s">
        <v>7456</v>
      </c>
      <c r="E2793" s="46" cm="1">
        <f t="array" ref="E2793">cp_inc_violence_others_lrnrs_m</f>
        <v>0</v>
      </c>
      <c r="F2793" s="46" t="b">
        <v>1</v>
      </c>
    </row>
    <row r="2794" spans="1:6">
      <c r="A2794" s="46" t="s">
        <v>7427</v>
      </c>
      <c r="B2794" s="46" t="s">
        <v>7414</v>
      </c>
      <c r="C2794" s="46" t="s">
        <v>7427</v>
      </c>
      <c r="D2794" s="46" t="s">
        <v>7457</v>
      </c>
      <c r="E2794" s="46" cm="1">
        <f t="array" ref="E2794">cp_inc_violence_others_lrnrs_f</f>
        <v>0</v>
      </c>
      <c r="F2794" s="46" t="b">
        <v>1</v>
      </c>
    </row>
    <row r="2795" spans="1:6">
      <c r="A2795" s="46" t="s">
        <v>7428</v>
      </c>
      <c r="B2795" s="46" t="s">
        <v>7414</v>
      </c>
      <c r="C2795" s="46" t="s">
        <v>7428</v>
      </c>
      <c r="D2795" s="46" t="s">
        <v>7458</v>
      </c>
      <c r="E2795" s="46" cm="1">
        <f t="array" ref="E2795">cp_perp_violence_others_lrnrs_schpersonnel</f>
        <v>0</v>
      </c>
      <c r="F2795" s="46" t="b">
        <v>1</v>
      </c>
    </row>
    <row r="2796" spans="1:6">
      <c r="A2796" s="46" t="s">
        <v>7429</v>
      </c>
      <c r="B2796" s="46" t="s">
        <v>7414</v>
      </c>
      <c r="C2796" s="46" t="s">
        <v>7429</v>
      </c>
      <c r="D2796" s="46" t="s">
        <v>7459</v>
      </c>
      <c r="E2796" s="46" cm="1">
        <f t="array" ref="E2796">cp_perp_violence_others_lrnrs_outsider</f>
        <v>0</v>
      </c>
      <c r="F2796" s="46" t="b">
        <v>1</v>
      </c>
    </row>
    <row r="2797" spans="1:6">
      <c r="A2797" s="46" t="s">
        <v>7430</v>
      </c>
      <c r="B2797" s="46" t="s">
        <v>7414</v>
      </c>
      <c r="C2797" s="46" t="s">
        <v>7430</v>
      </c>
      <c r="D2797" s="46" t="s">
        <v>7460</v>
      </c>
      <c r="E2797" s="46" cm="1">
        <f t="array" ref="E2797">cp_inc_vag_g11_m</f>
        <v>0</v>
      </c>
      <c r="F2797" s="46" t="b">
        <v>1</v>
      </c>
    </row>
    <row r="2798" spans="1:6">
      <c r="A2798" s="46" t="s">
        <v>7431</v>
      </c>
      <c r="B2798" s="46" t="s">
        <v>7414</v>
      </c>
      <c r="C2798" s="46" t="s">
        <v>7431</v>
      </c>
      <c r="D2798" s="46" t="s">
        <v>7461</v>
      </c>
      <c r="E2798" s="46" cm="1">
        <f t="array" ref="E2798">cp_inc_vag_g11_f</f>
        <v>0</v>
      </c>
      <c r="F2798" s="46" t="b">
        <v>1</v>
      </c>
    </row>
    <row r="2799" spans="1:6">
      <c r="A2799" s="46" t="s">
        <v>7432</v>
      </c>
      <c r="B2799" s="46" t="s">
        <v>7414</v>
      </c>
      <c r="C2799" s="46" t="s">
        <v>7432</v>
      </c>
      <c r="D2799" s="46" t="s">
        <v>7462</v>
      </c>
      <c r="E2799" s="46" cm="1">
        <f t="array" ref="E2799">cp_inc_vag_g12_m</f>
        <v>0</v>
      </c>
      <c r="F2799" s="46" t="b">
        <v>1</v>
      </c>
    </row>
    <row r="2800" spans="1:6">
      <c r="A2800" s="46" t="s">
        <v>7433</v>
      </c>
      <c r="B2800" s="46" t="s">
        <v>7414</v>
      </c>
      <c r="C2800" s="46" t="s">
        <v>7433</v>
      </c>
      <c r="D2800" s="46" t="s">
        <v>7463</v>
      </c>
      <c r="E2800" s="46" cm="1">
        <f t="array" ref="E2800">cp_inc_vag_g12_f</f>
        <v>0</v>
      </c>
      <c r="F2800" s="46" t="b">
        <v>1</v>
      </c>
    </row>
    <row r="2801" spans="1:8">
      <c r="A2801" s="46" t="s">
        <v>7434</v>
      </c>
      <c r="B2801" s="46" t="s">
        <v>7414</v>
      </c>
      <c r="C2801" s="46" t="s">
        <v>7434</v>
      </c>
      <c r="D2801" s="46" t="s">
        <v>7464</v>
      </c>
      <c r="E2801" s="46" t="str" cm="1">
        <f t="array" ref="E2801">cp_div_cdfp</f>
        <v>RONE RAY M. PORTACION / March 17, 2023</v>
      </c>
      <c r="F2801" s="46" t="b">
        <v>1</v>
      </c>
    </row>
    <row r="2802" spans="1:8" ht="16.5" thickBot="1">
      <c r="A2802" s="479" t="s">
        <v>7435</v>
      </c>
      <c r="B2802" s="479" t="s">
        <v>7414</v>
      </c>
      <c r="C2802" s="479" t="s">
        <v>7435</v>
      </c>
      <c r="D2802" s="479" t="s">
        <v>7465</v>
      </c>
      <c r="E2802" s="479" t="str" cm="1">
        <f t="array" ref="E2802">cp_div_cdfp_pos</f>
        <v>EDUCATION PROGRAM SUPERVISOR</v>
      </c>
      <c r="F2802" s="479" t="b">
        <v>1</v>
      </c>
      <c r="G2802" s="1775"/>
      <c r="H2802" s="1775"/>
    </row>
    <row r="2803" spans="1:8" ht="16.5" thickTop="1">
      <c r="A2803" s="46" t="s">
        <v>7466</v>
      </c>
      <c r="B2803" s="46" t="s">
        <v>7467</v>
      </c>
      <c r="C2803" s="46" t="s">
        <v>7466</v>
      </c>
      <c r="D2803" s="46" t="s">
        <v>7497</v>
      </c>
      <c r="E2803" s="46" cm="1">
        <f t="array" ref="E2803">cp_inc_bullying_physical_lrnrs_m</f>
        <v>0</v>
      </c>
      <c r="F2803" s="46" t="b">
        <v>1</v>
      </c>
    </row>
    <row r="2804" spans="1:8">
      <c r="A2804" s="46" t="s">
        <v>7468</v>
      </c>
      <c r="B2804" s="46" t="s">
        <v>7467</v>
      </c>
      <c r="C2804" s="46" t="s">
        <v>7468</v>
      </c>
      <c r="D2804" s="46" t="s">
        <v>7498</v>
      </c>
      <c r="E2804" s="46" cm="1">
        <f t="array" ref="E2804">cp_inc_bullying_physical_lrnrs_f</f>
        <v>0</v>
      </c>
      <c r="F2804" s="46" t="b">
        <v>1</v>
      </c>
    </row>
    <row r="2805" spans="1:8">
      <c r="A2805" s="46" t="s">
        <v>7469</v>
      </c>
      <c r="B2805" s="46" t="s">
        <v>7467</v>
      </c>
      <c r="C2805" s="46" t="s">
        <v>7469</v>
      </c>
      <c r="D2805" s="46" t="s">
        <v>7499</v>
      </c>
      <c r="E2805" s="46" cm="1">
        <f t="array" ref="E2805">cp_inc_bullying_cyber_lrnrs_m</f>
        <v>0</v>
      </c>
      <c r="F2805" s="46" t="b">
        <v>1</v>
      </c>
    </row>
    <row r="2806" spans="1:8">
      <c r="A2806" s="46" t="s">
        <v>7470</v>
      </c>
      <c r="B2806" s="46" t="s">
        <v>7467</v>
      </c>
      <c r="C2806" s="46" t="s">
        <v>7470</v>
      </c>
      <c r="D2806" s="46" t="s">
        <v>7500</v>
      </c>
      <c r="E2806" s="46" cm="1">
        <f t="array" ref="E2806">cp_inc_bullying_cyber_lrnrs_f</f>
        <v>0</v>
      </c>
      <c r="F2806" s="46" t="b">
        <v>1</v>
      </c>
    </row>
    <row r="2807" spans="1:8">
      <c r="A2807" s="46" t="s">
        <v>7471</v>
      </c>
      <c r="B2807" s="46" t="s">
        <v>7467</v>
      </c>
      <c r="C2807" s="46" t="s">
        <v>7471</v>
      </c>
      <c r="D2807" s="46" t="s">
        <v>7501</v>
      </c>
      <c r="E2807" s="46" cm="1">
        <f t="array" ref="E2807">cp_inc_bullying_genderbased_lrnrs_m</f>
        <v>0</v>
      </c>
      <c r="F2807" s="46" t="b">
        <v>1</v>
      </c>
    </row>
    <row r="2808" spans="1:8">
      <c r="A2808" s="46" t="s">
        <v>7472</v>
      </c>
      <c r="B2808" s="46" t="s">
        <v>7467</v>
      </c>
      <c r="C2808" s="46" t="s">
        <v>7472</v>
      </c>
      <c r="D2808" s="46" t="s">
        <v>7502</v>
      </c>
      <c r="E2808" s="46" cm="1">
        <f t="array" ref="E2808">cp_inc_bullying_genderbased_lrnrs_f</f>
        <v>0</v>
      </c>
      <c r="F2808" s="46" t="b">
        <v>1</v>
      </c>
    </row>
    <row r="2809" spans="1:8">
      <c r="A2809" s="46" t="s">
        <v>7473</v>
      </c>
      <c r="B2809" s="46" t="s">
        <v>7467</v>
      </c>
      <c r="C2809" s="46" t="s">
        <v>7473</v>
      </c>
      <c r="D2809" s="46" t="s">
        <v>7503</v>
      </c>
      <c r="E2809" s="46" cm="1">
        <f t="array" ref="E2809">cp_inc_bullying_social_lrnrs_m</f>
        <v>0</v>
      </c>
      <c r="F2809" s="46" t="b">
        <v>1</v>
      </c>
    </row>
    <row r="2810" spans="1:8">
      <c r="A2810" s="46" t="s">
        <v>7474</v>
      </c>
      <c r="B2810" s="46" t="s">
        <v>7467</v>
      </c>
      <c r="C2810" s="46" t="s">
        <v>7474</v>
      </c>
      <c r="D2810" s="46" t="s">
        <v>7504</v>
      </c>
      <c r="E2810" s="46" cm="1">
        <f t="array" ref="E2810">cp_inc_bullying_social_lrnrs_f</f>
        <v>0</v>
      </c>
      <c r="F2810" s="46" t="b">
        <v>1</v>
      </c>
    </row>
    <row r="2811" spans="1:8">
      <c r="A2811" s="46" t="s">
        <v>7475</v>
      </c>
      <c r="B2811" s="46" t="s">
        <v>7467</v>
      </c>
      <c r="C2811" s="46" t="s">
        <v>7475</v>
      </c>
      <c r="D2811" s="46" t="s">
        <v>7505</v>
      </c>
      <c r="E2811" s="46" cm="1">
        <f t="array" ref="E2811">cp_inc_bullying_g11_m</f>
        <v>0</v>
      </c>
      <c r="F2811" s="46" t="b">
        <v>1</v>
      </c>
    </row>
    <row r="2812" spans="1:8">
      <c r="A2812" s="46" t="s">
        <v>7476</v>
      </c>
      <c r="B2812" s="46" t="s">
        <v>7467</v>
      </c>
      <c r="C2812" s="46" t="s">
        <v>7476</v>
      </c>
      <c r="D2812" s="46" t="s">
        <v>7506</v>
      </c>
      <c r="E2812" s="46" cm="1">
        <f t="array" ref="E2812">cp_inc_bullying_g11_f</f>
        <v>0</v>
      </c>
      <c r="F2812" s="46" t="b">
        <v>1</v>
      </c>
    </row>
    <row r="2813" spans="1:8">
      <c r="A2813" s="46" t="s">
        <v>7477</v>
      </c>
      <c r="B2813" s="46" t="s">
        <v>7467</v>
      </c>
      <c r="C2813" s="46" t="s">
        <v>7477</v>
      </c>
      <c r="D2813" s="46" t="s">
        <v>7507</v>
      </c>
      <c r="E2813" s="46" cm="1">
        <f t="array" ref="E2813">cp_inc_bullying_g12_m</f>
        <v>0</v>
      </c>
      <c r="F2813" s="46" t="b">
        <v>1</v>
      </c>
    </row>
    <row r="2814" spans="1:8">
      <c r="A2814" s="46" t="s">
        <v>7478</v>
      </c>
      <c r="B2814" s="46" t="s">
        <v>7467</v>
      </c>
      <c r="C2814" s="46" t="s">
        <v>7478</v>
      </c>
      <c r="D2814" s="46" t="s">
        <v>7508</v>
      </c>
      <c r="E2814" s="46">
        <f>cp_inc_bullying_g12_f</f>
        <v>0</v>
      </c>
      <c r="F2814" s="46" t="b">
        <v>1</v>
      </c>
    </row>
    <row r="2815" spans="1:8">
      <c r="A2815" s="46" t="s">
        <v>7479</v>
      </c>
      <c r="B2815" s="46" t="s">
        <v>7467</v>
      </c>
      <c r="C2815" s="46" t="s">
        <v>7479</v>
      </c>
      <c r="D2815" s="46" t="s">
        <v>7509</v>
      </c>
      <c r="E2815" s="46" cm="1">
        <f t="array" ref="E2815">cp_inc_bullying_due_physapp_g11</f>
        <v>0</v>
      </c>
      <c r="F2815" s="46" t="b">
        <v>1</v>
      </c>
    </row>
    <row r="2816" spans="1:8">
      <c r="A2816" s="46" t="s">
        <v>7480</v>
      </c>
      <c r="B2816" s="46" t="s">
        <v>7467</v>
      </c>
      <c r="C2816" s="46" t="s">
        <v>7480</v>
      </c>
      <c r="D2816" s="46" t="s">
        <v>7510</v>
      </c>
      <c r="E2816" s="46" cm="1">
        <f t="array" ref="E2816">cp_inc_bullying_due_physapp_g12</f>
        <v>0</v>
      </c>
      <c r="F2816" s="46" t="b">
        <v>1</v>
      </c>
    </row>
    <row r="2817" spans="1:8">
      <c r="A2817" s="46" t="s">
        <v>7481</v>
      </c>
      <c r="B2817" s="46" t="s">
        <v>7467</v>
      </c>
      <c r="C2817" s="46" t="s">
        <v>7481</v>
      </c>
      <c r="D2817" s="46" t="s">
        <v>7511</v>
      </c>
      <c r="E2817" s="46" cm="1">
        <f t="array" ref="E2817">cp_inc_bullying_due_statinlife_g11</f>
        <v>0</v>
      </c>
      <c r="F2817" s="46" t="b">
        <v>1</v>
      </c>
    </row>
    <row r="2818" spans="1:8">
      <c r="A2818" s="46" t="s">
        <v>7482</v>
      </c>
      <c r="B2818" s="46" t="s">
        <v>7467</v>
      </c>
      <c r="C2818" s="46" t="s">
        <v>7482</v>
      </c>
      <c r="D2818" s="46" t="s">
        <v>7512</v>
      </c>
      <c r="E2818" s="46" cm="1">
        <f t="array" ref="E2818">cp_inc_bullying_due_statinlife_g12</f>
        <v>0</v>
      </c>
      <c r="F2818" s="46" t="b">
        <v>1</v>
      </c>
    </row>
    <row r="2819" spans="1:8">
      <c r="A2819" s="46" t="s">
        <v>7483</v>
      </c>
      <c r="B2819" s="46" t="s">
        <v>7467</v>
      </c>
      <c r="C2819" s="46" t="s">
        <v>7483</v>
      </c>
      <c r="D2819" s="46" t="s">
        <v>7513</v>
      </c>
      <c r="E2819" s="46" cm="1">
        <f t="array" ref="E2819">cp_inc_bullying_due_skincolor_g11</f>
        <v>0</v>
      </c>
      <c r="F2819" s="46" t="b">
        <v>1</v>
      </c>
    </row>
    <row r="2820" spans="1:8">
      <c r="A2820" s="46" t="s">
        <v>7484</v>
      </c>
      <c r="B2820" s="46" t="s">
        <v>7467</v>
      </c>
      <c r="C2820" s="46" t="s">
        <v>7484</v>
      </c>
      <c r="D2820" s="46" t="s">
        <v>7514</v>
      </c>
      <c r="E2820" s="46" cm="1">
        <f t="array" ref="E2820">cp_inc_bullying_due_skincolor_g12</f>
        <v>0</v>
      </c>
      <c r="F2820" s="46" t="b">
        <v>1</v>
      </c>
    </row>
    <row r="2821" spans="1:8">
      <c r="A2821" s="46" t="s">
        <v>7485</v>
      </c>
      <c r="B2821" s="46" t="s">
        <v>7467</v>
      </c>
      <c r="C2821" s="46" t="s">
        <v>7485</v>
      </c>
      <c r="D2821" s="46" t="s">
        <v>7515</v>
      </c>
      <c r="E2821" s="46" cm="1">
        <f t="array" ref="E2821">cp_inc_bullying_due_age_g11</f>
        <v>0</v>
      </c>
      <c r="F2821" s="46" t="b">
        <v>1</v>
      </c>
    </row>
    <row r="2822" spans="1:8">
      <c r="A2822" s="46" t="s">
        <v>7486</v>
      </c>
      <c r="B2822" s="46" t="s">
        <v>7467</v>
      </c>
      <c r="C2822" s="46" t="s">
        <v>7486</v>
      </c>
      <c r="D2822" s="46" t="s">
        <v>7516</v>
      </c>
      <c r="E2822" s="46" cm="1">
        <f t="array" ref="E2822">cp_inc_bullying_due_age_g12</f>
        <v>0</v>
      </c>
      <c r="F2822" s="46" t="b">
        <v>1</v>
      </c>
    </row>
    <row r="2823" spans="1:8">
      <c r="A2823" s="46" t="s">
        <v>7487</v>
      </c>
      <c r="B2823" s="46" t="s">
        <v>7467</v>
      </c>
      <c r="C2823" s="46" t="s">
        <v>7487</v>
      </c>
      <c r="D2823" s="46" t="s">
        <v>7517</v>
      </c>
      <c r="E2823" s="46" cm="1">
        <f t="array" ref="E2823">cp_inc_bullying_due_gender_g11</f>
        <v>0</v>
      </c>
      <c r="F2823" s="46" t="b">
        <v>1</v>
      </c>
    </row>
    <row r="2824" spans="1:8">
      <c r="A2824" s="46" t="s">
        <v>7488</v>
      </c>
      <c r="B2824" s="46" t="s">
        <v>7467</v>
      </c>
      <c r="C2824" s="46" t="s">
        <v>7488</v>
      </c>
      <c r="D2824" s="46" t="s">
        <v>7518</v>
      </c>
      <c r="E2824" s="46" cm="1">
        <f t="array" ref="E2824">cp_inc_bullying_due_gender_g12</f>
        <v>0</v>
      </c>
      <c r="F2824" s="46" t="b">
        <v>1</v>
      </c>
    </row>
    <row r="2825" spans="1:8">
      <c r="A2825" s="46" t="s">
        <v>7489</v>
      </c>
      <c r="B2825" s="46" t="s">
        <v>7467</v>
      </c>
      <c r="C2825" s="46" t="s">
        <v>7489</v>
      </c>
      <c r="D2825" s="46" t="s">
        <v>7519</v>
      </c>
      <c r="E2825" s="46" cm="1">
        <f t="array" ref="E2825">cp_inc_bullying_due_race_g11</f>
        <v>0</v>
      </c>
      <c r="F2825" s="46" t="b">
        <v>1</v>
      </c>
    </row>
    <row r="2826" spans="1:8">
      <c r="A2826" s="46" t="s">
        <v>7490</v>
      </c>
      <c r="B2826" s="46" t="s">
        <v>7467</v>
      </c>
      <c r="C2826" s="46" t="s">
        <v>7490</v>
      </c>
      <c r="D2826" s="46" t="s">
        <v>7520</v>
      </c>
      <c r="E2826" s="46" cm="1">
        <f t="array" ref="E2826">cp_inc_bullying_due_race_g12</f>
        <v>0</v>
      </c>
      <c r="F2826" s="46" t="b">
        <v>1</v>
      </c>
    </row>
    <row r="2827" spans="1:8">
      <c r="A2827" s="46" t="s">
        <v>7491</v>
      </c>
      <c r="B2827" s="46" t="s">
        <v>7467</v>
      </c>
      <c r="C2827" s="46" t="s">
        <v>7491</v>
      </c>
      <c r="D2827" s="46" t="s">
        <v>7521</v>
      </c>
      <c r="E2827" s="46" cm="1">
        <f t="array" ref="E2827">cp_inc_bullying_due_religion_g11</f>
        <v>0</v>
      </c>
      <c r="F2827" s="46" t="b">
        <v>1</v>
      </c>
    </row>
    <row r="2828" spans="1:8">
      <c r="A2828" s="46" t="s">
        <v>7492</v>
      </c>
      <c r="B2828" s="46" t="s">
        <v>7467</v>
      </c>
      <c r="C2828" s="46" t="s">
        <v>7492</v>
      </c>
      <c r="D2828" s="46" t="s">
        <v>7522</v>
      </c>
      <c r="E2828" s="46" cm="1">
        <f t="array" ref="E2828">cp_inc_bullying_due_religion_g12</f>
        <v>0</v>
      </c>
      <c r="F2828" s="46" t="b">
        <v>1</v>
      </c>
    </row>
    <row r="2829" spans="1:8">
      <c r="A2829" s="46" t="s">
        <v>7493</v>
      </c>
      <c r="B2829" s="46" t="s">
        <v>7467</v>
      </c>
      <c r="C2829" s="46" t="s">
        <v>7493</v>
      </c>
      <c r="D2829" s="46" t="s">
        <v>7523</v>
      </c>
      <c r="E2829" s="46" cm="1">
        <f t="array" ref="E2829">cp_inc_bullying_due_disability_g11</f>
        <v>0</v>
      </c>
      <c r="F2829" s="46" t="b">
        <v>1</v>
      </c>
    </row>
    <row r="2830" spans="1:8">
      <c r="A2830" s="46" t="s">
        <v>7494</v>
      </c>
      <c r="B2830" s="46" t="s">
        <v>7467</v>
      </c>
      <c r="C2830" s="46" t="s">
        <v>7494</v>
      </c>
      <c r="D2830" s="46" t="s">
        <v>7524</v>
      </c>
      <c r="E2830" s="46" cm="1">
        <f t="array" ref="E2830">cp_inc_bullying_due_disability_g12</f>
        <v>0</v>
      </c>
      <c r="F2830" s="46" t="b">
        <v>1</v>
      </c>
    </row>
    <row r="2831" spans="1:8">
      <c r="A2831" s="46" t="s">
        <v>7495</v>
      </c>
      <c r="B2831" s="46" t="s">
        <v>7467</v>
      </c>
      <c r="C2831" s="46" t="s">
        <v>7495</v>
      </c>
      <c r="D2831" s="46" t="s">
        <v>7525</v>
      </c>
      <c r="E2831" s="46" cm="1">
        <f t="array" ref="E2831">cp_inc_bullying_due_others_g11</f>
        <v>0</v>
      </c>
      <c r="F2831" s="46" t="b">
        <v>1</v>
      </c>
    </row>
    <row r="2832" spans="1:8" ht="16.5" thickBot="1">
      <c r="A2832" s="479" t="s">
        <v>7496</v>
      </c>
      <c r="B2832" s="479" t="s">
        <v>7467</v>
      </c>
      <c r="C2832" s="479" t="s">
        <v>7496</v>
      </c>
      <c r="D2832" s="479" t="s">
        <v>7526</v>
      </c>
      <c r="E2832" s="479" cm="1">
        <f t="array" ref="E2832">cp_inc_bullying_due_others_g12</f>
        <v>0</v>
      </c>
      <c r="F2832" s="479" t="b">
        <v>1</v>
      </c>
      <c r="G2832" s="479"/>
      <c r="H2832" s="479"/>
    </row>
    <row r="2833" spans="1:7" ht="16.5" thickTop="1">
      <c r="A2833" s="46" t="s">
        <v>7527</v>
      </c>
      <c r="B2833" s="46" t="s">
        <v>7528</v>
      </c>
      <c r="C2833" s="46" t="s">
        <v>7527</v>
      </c>
      <c r="D2833" s="46" t="s">
        <v>7617</v>
      </c>
      <c r="E2833" s="46" t="b" cm="1">
        <f t="array" ref="E2833">sch_avail_sp_sportsevent_arch</f>
        <v>0</v>
      </c>
      <c r="F2833" s="1696" t="b">
        <f t="shared" ref="F2833:F2896" si="31">OR(E2833=TRUE, E2833=FALSE)</f>
        <v>1</v>
      </c>
      <c r="G2833" s="46" t="s">
        <v>11265</v>
      </c>
    </row>
    <row r="2834" spans="1:7">
      <c r="A2834" s="46" t="s">
        <v>7529</v>
      </c>
      <c r="B2834" s="46" t="s">
        <v>7528</v>
      </c>
      <c r="C2834" s="46" t="s">
        <v>7529</v>
      </c>
      <c r="D2834" s="46" t="s">
        <v>7618</v>
      </c>
      <c r="E2834" s="46" t="b" cm="1">
        <f t="array" ref="E2834">sch_avail_sp_sportsevent_arnis</f>
        <v>1</v>
      </c>
      <c r="F2834" s="1696" t="b">
        <f t="shared" si="31"/>
        <v>1</v>
      </c>
      <c r="G2834" s="46" t="s">
        <v>11265</v>
      </c>
    </row>
    <row r="2835" spans="1:7">
      <c r="A2835" s="46" t="s">
        <v>7530</v>
      </c>
      <c r="B2835" s="46" t="s">
        <v>7528</v>
      </c>
      <c r="C2835" s="46" t="s">
        <v>7530</v>
      </c>
      <c r="D2835" s="46" t="s">
        <v>7619</v>
      </c>
      <c r="E2835" s="46" t="b" cm="1">
        <f t="array" ref="E2835">sch_avail_sp_sportsevent_athlthrow</f>
        <v>0</v>
      </c>
      <c r="F2835" s="1696" t="b">
        <f t="shared" si="31"/>
        <v>1</v>
      </c>
      <c r="G2835" s="46" t="s">
        <v>11265</v>
      </c>
    </row>
    <row r="2836" spans="1:7">
      <c r="A2836" s="46" t="s">
        <v>7531</v>
      </c>
      <c r="B2836" s="46" t="s">
        <v>7528</v>
      </c>
      <c r="C2836" s="46" t="s">
        <v>7531</v>
      </c>
      <c r="D2836" s="46" t="s">
        <v>7620</v>
      </c>
      <c r="E2836" s="46" t="b" cm="1">
        <f t="array" ref="E2836">sch_avail_sp_sportsevent_athlrun</f>
        <v>0</v>
      </c>
      <c r="F2836" s="1696" t="b">
        <f t="shared" si="31"/>
        <v>1</v>
      </c>
      <c r="G2836" s="46" t="s">
        <v>11265</v>
      </c>
    </row>
    <row r="2837" spans="1:7">
      <c r="A2837" s="46" t="s">
        <v>7532</v>
      </c>
      <c r="B2837" s="46" t="s">
        <v>7528</v>
      </c>
      <c r="C2837" s="46" t="s">
        <v>7532</v>
      </c>
      <c r="D2837" s="46" t="s">
        <v>7621</v>
      </c>
      <c r="E2837" s="46" t="b" cm="1">
        <f t="array" ref="E2837">sch_avail_sp_sportsevent_badm</f>
        <v>0</v>
      </c>
      <c r="F2837" s="1696" t="b">
        <f t="shared" si="31"/>
        <v>1</v>
      </c>
      <c r="G2837" s="46" t="s">
        <v>11265</v>
      </c>
    </row>
    <row r="2838" spans="1:7">
      <c r="A2838" s="46" t="s">
        <v>7533</v>
      </c>
      <c r="B2838" s="46" t="s">
        <v>7528</v>
      </c>
      <c r="C2838" s="46" t="s">
        <v>7533</v>
      </c>
      <c r="D2838" s="46" t="s">
        <v>7622</v>
      </c>
      <c r="E2838" s="46" t="b" cm="1">
        <f t="array" ref="E2838">sch_avail_sp_sportsevent_basket</f>
        <v>0</v>
      </c>
      <c r="F2838" s="1696" t="b">
        <f t="shared" si="31"/>
        <v>1</v>
      </c>
      <c r="G2838" s="46" t="s">
        <v>11265</v>
      </c>
    </row>
    <row r="2839" spans="1:7">
      <c r="A2839" s="46" t="s">
        <v>7534</v>
      </c>
      <c r="B2839" s="46" t="s">
        <v>7528</v>
      </c>
      <c r="C2839" s="46" t="s">
        <v>7534</v>
      </c>
      <c r="D2839" s="46" t="s">
        <v>7623</v>
      </c>
      <c r="E2839" s="46" t="b" cm="1">
        <f t="array" ref="E2839">sch_avail_sp_sportsevent_baseball</f>
        <v>0</v>
      </c>
      <c r="F2839" s="1696" t="b">
        <f t="shared" si="31"/>
        <v>1</v>
      </c>
      <c r="G2839" s="46" t="s">
        <v>11265</v>
      </c>
    </row>
    <row r="2840" spans="1:7">
      <c r="A2840" s="46" t="s">
        <v>7535</v>
      </c>
      <c r="B2840" s="46" t="s">
        <v>7528</v>
      </c>
      <c r="C2840" s="46" t="s">
        <v>7535</v>
      </c>
      <c r="D2840" s="46" t="s">
        <v>7624</v>
      </c>
      <c r="E2840" s="46" t="b" cm="1">
        <f t="array" ref="E2840">sch_avail_sp_sportsevent_billard</f>
        <v>0</v>
      </c>
      <c r="F2840" s="1696" t="b">
        <f t="shared" si="31"/>
        <v>1</v>
      </c>
      <c r="G2840" s="46" t="s">
        <v>11265</v>
      </c>
    </row>
    <row r="2841" spans="1:7">
      <c r="A2841" s="46" t="s">
        <v>7536</v>
      </c>
      <c r="B2841" s="46" t="s">
        <v>7528</v>
      </c>
      <c r="C2841" s="46" t="s">
        <v>7536</v>
      </c>
      <c r="D2841" s="46" t="s">
        <v>7625</v>
      </c>
      <c r="E2841" s="46" t="b" cm="1">
        <f t="array" ref="E2841">sch_avail_sp_sportsevent_boxing</f>
        <v>0</v>
      </c>
      <c r="F2841" s="1696" t="b">
        <f t="shared" si="31"/>
        <v>1</v>
      </c>
      <c r="G2841" s="46" t="s">
        <v>11265</v>
      </c>
    </row>
    <row r="2842" spans="1:7">
      <c r="A2842" s="46" t="s">
        <v>7537</v>
      </c>
      <c r="B2842" s="46" t="s">
        <v>7528</v>
      </c>
      <c r="C2842" s="46" t="s">
        <v>7537</v>
      </c>
      <c r="D2842" s="46" t="s">
        <v>7626</v>
      </c>
      <c r="E2842" s="46" t="b" cm="1">
        <f t="array" ref="E2842">sch_avail_sp_sportsevent_chess</f>
        <v>0</v>
      </c>
      <c r="F2842" s="1696" t="b">
        <f t="shared" si="31"/>
        <v>1</v>
      </c>
      <c r="G2842" s="46" t="s">
        <v>11265</v>
      </c>
    </row>
    <row r="2843" spans="1:7">
      <c r="A2843" s="46" t="s">
        <v>7538</v>
      </c>
      <c r="B2843" s="46" t="s">
        <v>7528</v>
      </c>
      <c r="C2843" s="46" t="s">
        <v>7538</v>
      </c>
      <c r="D2843" s="46" t="s">
        <v>7627</v>
      </c>
      <c r="E2843" s="46" t="b" cm="1">
        <f t="array" ref="E2843">sch_avail_sp_sportsevent_dancesports</f>
        <v>1</v>
      </c>
      <c r="F2843" s="1696" t="b">
        <f t="shared" si="31"/>
        <v>1</v>
      </c>
      <c r="G2843" s="46" t="s">
        <v>11265</v>
      </c>
    </row>
    <row r="2844" spans="1:7">
      <c r="A2844" s="46" t="s">
        <v>7539</v>
      </c>
      <c r="B2844" s="46" t="s">
        <v>7528</v>
      </c>
      <c r="C2844" s="46" t="s">
        <v>7539</v>
      </c>
      <c r="D2844" s="46" t="s">
        <v>7628</v>
      </c>
      <c r="E2844" s="46" t="b" cm="1">
        <f t="array" ref="E2844">sch_avail_sp_sportsevent_football</f>
        <v>0</v>
      </c>
      <c r="F2844" s="1696" t="b">
        <f t="shared" si="31"/>
        <v>1</v>
      </c>
      <c r="G2844" s="46" t="s">
        <v>11265</v>
      </c>
    </row>
    <row r="2845" spans="1:7">
      <c r="A2845" s="46" t="s">
        <v>7540</v>
      </c>
      <c r="B2845" s="46" t="s">
        <v>7528</v>
      </c>
      <c r="C2845" s="46" t="s">
        <v>7540</v>
      </c>
      <c r="D2845" s="46" t="s">
        <v>7629</v>
      </c>
      <c r="E2845" s="46" t="b" cm="1">
        <f t="array" ref="E2845">sch_avail_sp_sportsevent_futsal</f>
        <v>0</v>
      </c>
      <c r="F2845" s="1696" t="b">
        <f t="shared" si="31"/>
        <v>1</v>
      </c>
      <c r="G2845" s="46" t="s">
        <v>11265</v>
      </c>
    </row>
    <row r="2846" spans="1:7">
      <c r="A2846" s="46" t="s">
        <v>7541</v>
      </c>
      <c r="B2846" s="46" t="s">
        <v>7528</v>
      </c>
      <c r="C2846" s="46" t="s">
        <v>7541</v>
      </c>
      <c r="D2846" s="46" t="s">
        <v>7630</v>
      </c>
      <c r="E2846" s="46" t="b" cm="1">
        <f t="array" ref="E2846">sch_avail_sp_sportsevent_aerogymn</f>
        <v>0</v>
      </c>
      <c r="F2846" s="1696" t="b">
        <f t="shared" si="31"/>
        <v>1</v>
      </c>
      <c r="G2846" s="46" t="s">
        <v>11265</v>
      </c>
    </row>
    <row r="2847" spans="1:7">
      <c r="A2847" s="46" t="s">
        <v>7542</v>
      </c>
      <c r="B2847" s="46" t="s">
        <v>7528</v>
      </c>
      <c r="C2847" s="46" t="s">
        <v>7542</v>
      </c>
      <c r="D2847" s="46" t="s">
        <v>7631</v>
      </c>
      <c r="E2847" s="46" t="b" cm="1">
        <f t="array" ref="E2847">sch_avail_sp_sportsevent_mag</f>
        <v>0</v>
      </c>
      <c r="F2847" s="1696" t="b">
        <f t="shared" si="31"/>
        <v>1</v>
      </c>
      <c r="G2847" s="46" t="s">
        <v>11265</v>
      </c>
    </row>
    <row r="2848" spans="1:7">
      <c r="A2848" s="46" t="s">
        <v>7543</v>
      </c>
      <c r="B2848" s="46" t="s">
        <v>7528</v>
      </c>
      <c r="C2848" s="46" t="s">
        <v>7543</v>
      </c>
      <c r="D2848" s="46" t="s">
        <v>7632</v>
      </c>
      <c r="E2848" s="46" t="b" cm="1">
        <f t="array" ref="E2848">sch_avail_sp_sportsclub_arch</f>
        <v>0</v>
      </c>
      <c r="F2848" s="1696" t="b">
        <f t="shared" si="31"/>
        <v>1</v>
      </c>
      <c r="G2848" s="46" t="s">
        <v>11265</v>
      </c>
    </row>
    <row r="2849" spans="1:7">
      <c r="A2849" s="46" t="s">
        <v>7544</v>
      </c>
      <c r="B2849" s="46" t="s">
        <v>7528</v>
      </c>
      <c r="C2849" s="46" t="s">
        <v>7544</v>
      </c>
      <c r="D2849" s="46" t="s">
        <v>7633</v>
      </c>
      <c r="E2849" s="46" t="b" cm="1">
        <f t="array" ref="E2849">sch_avail_sp_sportsclub_arnis</f>
        <v>1</v>
      </c>
      <c r="F2849" s="1696" t="b">
        <f t="shared" si="31"/>
        <v>1</v>
      </c>
      <c r="G2849" s="46" t="s">
        <v>11265</v>
      </c>
    </row>
    <row r="2850" spans="1:7">
      <c r="A2850" s="46" t="s">
        <v>7545</v>
      </c>
      <c r="B2850" s="46" t="s">
        <v>7528</v>
      </c>
      <c r="C2850" s="46" t="s">
        <v>7545</v>
      </c>
      <c r="D2850" s="46" t="s">
        <v>7634</v>
      </c>
      <c r="E2850" s="46" t="b" cm="1">
        <f t="array" ref="E2850">sch_avail_sp_sportsclub_athlthrow</f>
        <v>0</v>
      </c>
      <c r="F2850" s="1696" t="b">
        <f t="shared" si="31"/>
        <v>1</v>
      </c>
      <c r="G2850" s="46" t="s">
        <v>11265</v>
      </c>
    </row>
    <row r="2851" spans="1:7">
      <c r="A2851" s="46" t="s">
        <v>7546</v>
      </c>
      <c r="B2851" s="46" t="s">
        <v>7528</v>
      </c>
      <c r="C2851" s="46" t="s">
        <v>7546</v>
      </c>
      <c r="D2851" s="46" t="s">
        <v>7635</v>
      </c>
      <c r="E2851" s="46" t="b" cm="1">
        <f t="array" ref="E2851">sch_avail_sp_sportsclub_athlrun</f>
        <v>0</v>
      </c>
      <c r="F2851" s="1696" t="b">
        <f t="shared" si="31"/>
        <v>1</v>
      </c>
      <c r="G2851" s="46" t="s">
        <v>11265</v>
      </c>
    </row>
    <row r="2852" spans="1:7">
      <c r="A2852" s="46" t="s">
        <v>7547</v>
      </c>
      <c r="B2852" s="46" t="s">
        <v>7528</v>
      </c>
      <c r="C2852" s="46" t="s">
        <v>7547</v>
      </c>
      <c r="D2852" s="46" t="s">
        <v>7636</v>
      </c>
      <c r="E2852" s="46" t="b" cm="1">
        <f t="array" ref="E2852">sch_avail_sp_sportsclub_badm</f>
        <v>0</v>
      </c>
      <c r="F2852" s="1696" t="b">
        <f t="shared" si="31"/>
        <v>1</v>
      </c>
      <c r="G2852" s="46" t="s">
        <v>11265</v>
      </c>
    </row>
    <row r="2853" spans="1:7">
      <c r="A2853" s="46" t="s">
        <v>7548</v>
      </c>
      <c r="B2853" s="46" t="s">
        <v>7528</v>
      </c>
      <c r="C2853" s="46" t="s">
        <v>7548</v>
      </c>
      <c r="D2853" s="46" t="s">
        <v>7637</v>
      </c>
      <c r="E2853" s="46" t="b" cm="1">
        <f t="array" ref="E2853">sch_avail_sp_sportsclub_basket</f>
        <v>0</v>
      </c>
      <c r="F2853" s="1696" t="b">
        <f t="shared" si="31"/>
        <v>1</v>
      </c>
      <c r="G2853" s="46" t="s">
        <v>11265</v>
      </c>
    </row>
    <row r="2854" spans="1:7">
      <c r="A2854" s="46" t="s">
        <v>7549</v>
      </c>
      <c r="B2854" s="46" t="s">
        <v>7528</v>
      </c>
      <c r="C2854" s="46" t="s">
        <v>7549</v>
      </c>
      <c r="D2854" s="46" t="s">
        <v>7638</v>
      </c>
      <c r="E2854" s="46" t="b" cm="1">
        <f t="array" ref="E2854">sch_avail_sp_sportsclub_baseball</f>
        <v>0</v>
      </c>
      <c r="F2854" s="1696" t="b">
        <f t="shared" si="31"/>
        <v>1</v>
      </c>
      <c r="G2854" s="46" t="s">
        <v>11265</v>
      </c>
    </row>
    <row r="2855" spans="1:7">
      <c r="A2855" s="46" t="s">
        <v>7550</v>
      </c>
      <c r="B2855" s="46" t="s">
        <v>7528</v>
      </c>
      <c r="C2855" s="46" t="s">
        <v>7550</v>
      </c>
      <c r="D2855" s="46" t="s">
        <v>7639</v>
      </c>
      <c r="E2855" s="46" t="b" cm="1">
        <f t="array" ref="E2855">sch_avail_sp_sportsclub_billard</f>
        <v>0</v>
      </c>
      <c r="F2855" s="1696" t="b">
        <f t="shared" si="31"/>
        <v>1</v>
      </c>
      <c r="G2855" s="46" t="s">
        <v>11265</v>
      </c>
    </row>
    <row r="2856" spans="1:7">
      <c r="A2856" s="46" t="s">
        <v>7551</v>
      </c>
      <c r="B2856" s="46" t="s">
        <v>7528</v>
      </c>
      <c r="C2856" s="46" t="s">
        <v>7551</v>
      </c>
      <c r="D2856" s="46" t="s">
        <v>7640</v>
      </c>
      <c r="E2856" s="46" t="b" cm="1">
        <f t="array" ref="E2856">sch_avail_sp_sportsclub_boxing</f>
        <v>0</v>
      </c>
      <c r="F2856" s="1696" t="b">
        <f t="shared" si="31"/>
        <v>1</v>
      </c>
      <c r="G2856" s="46" t="s">
        <v>11265</v>
      </c>
    </row>
    <row r="2857" spans="1:7">
      <c r="A2857" s="46" t="s">
        <v>7552</v>
      </c>
      <c r="B2857" s="46" t="s">
        <v>7528</v>
      </c>
      <c r="C2857" s="46" t="s">
        <v>7552</v>
      </c>
      <c r="D2857" s="46" t="s">
        <v>7641</v>
      </c>
      <c r="E2857" s="46" t="b" cm="1">
        <f t="array" ref="E2857">sch_avail_sp_sportsclub_chess</f>
        <v>0</v>
      </c>
      <c r="F2857" s="1696" t="b">
        <f t="shared" si="31"/>
        <v>1</v>
      </c>
      <c r="G2857" s="46" t="s">
        <v>11265</v>
      </c>
    </row>
    <row r="2858" spans="1:7">
      <c r="A2858" s="46" t="s">
        <v>7553</v>
      </c>
      <c r="B2858" s="46" t="s">
        <v>7528</v>
      </c>
      <c r="C2858" s="46" t="s">
        <v>7553</v>
      </c>
      <c r="D2858" s="46" t="s">
        <v>7642</v>
      </c>
      <c r="E2858" s="46" t="b" cm="1">
        <f t="array" ref="E2858">sch_avail_sp_sportsclub_dancesports</f>
        <v>1</v>
      </c>
      <c r="F2858" s="1696" t="b">
        <f t="shared" si="31"/>
        <v>1</v>
      </c>
      <c r="G2858" s="46" t="s">
        <v>11265</v>
      </c>
    </row>
    <row r="2859" spans="1:7">
      <c r="A2859" s="46" t="s">
        <v>7554</v>
      </c>
      <c r="B2859" s="46" t="s">
        <v>7528</v>
      </c>
      <c r="C2859" s="46" t="s">
        <v>7554</v>
      </c>
      <c r="D2859" s="46" t="s">
        <v>7643</v>
      </c>
      <c r="E2859" s="46" t="b" cm="1">
        <f t="array" ref="E2859">sch_avail_sp_sportsclub_football</f>
        <v>0</v>
      </c>
      <c r="F2859" s="1696" t="b">
        <f t="shared" si="31"/>
        <v>1</v>
      </c>
      <c r="G2859" s="46" t="s">
        <v>11265</v>
      </c>
    </row>
    <row r="2860" spans="1:7">
      <c r="A2860" s="46" t="s">
        <v>7555</v>
      </c>
      <c r="B2860" s="46" t="s">
        <v>7528</v>
      </c>
      <c r="C2860" s="46" t="s">
        <v>7555</v>
      </c>
      <c r="D2860" s="46" t="s">
        <v>7644</v>
      </c>
      <c r="E2860" s="46" t="b" cm="1">
        <f t="array" ref="E2860">sch_avail_sp_sportsclub_futsal</f>
        <v>0</v>
      </c>
      <c r="F2860" s="1696" t="b">
        <f t="shared" si="31"/>
        <v>1</v>
      </c>
      <c r="G2860" s="46" t="s">
        <v>11265</v>
      </c>
    </row>
    <row r="2861" spans="1:7">
      <c r="A2861" s="46" t="s">
        <v>7556</v>
      </c>
      <c r="B2861" s="46" t="s">
        <v>7528</v>
      </c>
      <c r="C2861" s="46" t="s">
        <v>7556</v>
      </c>
      <c r="D2861" s="46" t="s">
        <v>7645</v>
      </c>
      <c r="E2861" s="46" t="b" cm="1">
        <f t="array" ref="E2861">sch_avail_sp_sportsclub_aerogymn</f>
        <v>0</v>
      </c>
      <c r="F2861" s="1696" t="b">
        <f t="shared" si="31"/>
        <v>1</v>
      </c>
      <c r="G2861" s="46" t="s">
        <v>11265</v>
      </c>
    </row>
    <row r="2862" spans="1:7">
      <c r="A2862" s="46" t="s">
        <v>7557</v>
      </c>
      <c r="B2862" s="46" t="s">
        <v>7528</v>
      </c>
      <c r="C2862" s="46" t="s">
        <v>7557</v>
      </c>
      <c r="D2862" s="46" t="s">
        <v>7646</v>
      </c>
      <c r="E2862" s="46" t="b" cm="1">
        <f t="array" ref="E2862">sch_avail_sp_sportsclub_mag</f>
        <v>0</v>
      </c>
      <c r="F2862" s="1696" t="b">
        <f t="shared" si="31"/>
        <v>1</v>
      </c>
      <c r="G2862" s="46" t="s">
        <v>11265</v>
      </c>
    </row>
    <row r="2863" spans="1:7">
      <c r="A2863" s="46" t="s">
        <v>7558</v>
      </c>
      <c r="B2863" s="46" t="s">
        <v>7528</v>
      </c>
      <c r="C2863" s="46" t="s">
        <v>7558</v>
      </c>
      <c r="D2863" s="46" t="s">
        <v>7647</v>
      </c>
      <c r="E2863" s="46" t="b" cm="1">
        <f t="array" ref="E2863">sch_avail_sp_sportssportsfac_arch</f>
        <v>0</v>
      </c>
      <c r="F2863" s="1696" t="b">
        <f t="shared" si="31"/>
        <v>1</v>
      </c>
      <c r="G2863" s="46" t="s">
        <v>11265</v>
      </c>
    </row>
    <row r="2864" spans="1:7">
      <c r="A2864" s="46" t="s">
        <v>7559</v>
      </c>
      <c r="B2864" s="46" t="s">
        <v>7528</v>
      </c>
      <c r="C2864" s="46" t="s">
        <v>7559</v>
      </c>
      <c r="D2864" s="46" t="s">
        <v>7648</v>
      </c>
      <c r="E2864" s="46" t="b" cm="1">
        <f t="array" ref="E2864">sch_avail_sp_sportssportsfac_arnis</f>
        <v>0</v>
      </c>
      <c r="F2864" s="1696" t="b">
        <f t="shared" si="31"/>
        <v>1</v>
      </c>
      <c r="G2864" s="46" t="s">
        <v>11265</v>
      </c>
    </row>
    <row r="2865" spans="1:7">
      <c r="A2865" s="46" t="s">
        <v>7560</v>
      </c>
      <c r="B2865" s="46" t="s">
        <v>7528</v>
      </c>
      <c r="C2865" s="46" t="s">
        <v>7560</v>
      </c>
      <c r="D2865" s="46" t="s">
        <v>7649</v>
      </c>
      <c r="E2865" s="46" t="b" cm="1">
        <f t="array" ref="E2865">sch_avail_sp_sportssportsfac_athlthrow</f>
        <v>0</v>
      </c>
      <c r="F2865" s="1696" t="b">
        <f t="shared" si="31"/>
        <v>1</v>
      </c>
      <c r="G2865" s="46" t="s">
        <v>11265</v>
      </c>
    </row>
    <row r="2866" spans="1:7">
      <c r="A2866" s="46" t="s">
        <v>7561</v>
      </c>
      <c r="B2866" s="46" t="s">
        <v>7528</v>
      </c>
      <c r="C2866" s="46" t="s">
        <v>7561</v>
      </c>
      <c r="D2866" s="46" t="s">
        <v>7650</v>
      </c>
      <c r="E2866" s="46" t="b" cm="1">
        <f t="array" ref="E2866">sch_avail_sp_sportssportsfac_athlrun</f>
        <v>0</v>
      </c>
      <c r="F2866" s="1696" t="b">
        <f t="shared" si="31"/>
        <v>1</v>
      </c>
      <c r="G2866" s="46" t="s">
        <v>11265</v>
      </c>
    </row>
    <row r="2867" spans="1:7">
      <c r="A2867" s="46" t="s">
        <v>7562</v>
      </c>
      <c r="B2867" s="46" t="s">
        <v>7528</v>
      </c>
      <c r="C2867" s="46" t="s">
        <v>7562</v>
      </c>
      <c r="D2867" s="46" t="s">
        <v>7651</v>
      </c>
      <c r="E2867" s="46" t="b" cm="1">
        <f t="array" ref="E2867">sch_avail_sp_sportssportsfac_badm</f>
        <v>0</v>
      </c>
      <c r="F2867" s="1696" t="b">
        <f t="shared" si="31"/>
        <v>1</v>
      </c>
      <c r="G2867" s="46" t="s">
        <v>11265</v>
      </c>
    </row>
    <row r="2868" spans="1:7">
      <c r="A2868" s="46" t="s">
        <v>7563</v>
      </c>
      <c r="B2868" s="46" t="s">
        <v>7528</v>
      </c>
      <c r="C2868" s="46" t="s">
        <v>7563</v>
      </c>
      <c r="D2868" s="46" t="s">
        <v>7652</v>
      </c>
      <c r="E2868" s="46" t="b" cm="1">
        <f t="array" ref="E2868">sch_avail_sp_sportssportsfac_basket</f>
        <v>0</v>
      </c>
      <c r="F2868" s="1696" t="b">
        <f t="shared" si="31"/>
        <v>1</v>
      </c>
      <c r="G2868" s="46" t="s">
        <v>11265</v>
      </c>
    </row>
    <row r="2869" spans="1:7">
      <c r="A2869" s="46" t="s">
        <v>7564</v>
      </c>
      <c r="B2869" s="46" t="s">
        <v>7528</v>
      </c>
      <c r="C2869" s="46" t="s">
        <v>7564</v>
      </c>
      <c r="D2869" s="46" t="s">
        <v>7653</v>
      </c>
      <c r="E2869" s="46" t="b" cm="1">
        <f t="array" ref="E2869">sch_avail_sp_sportssportsfac_baseball</f>
        <v>0</v>
      </c>
      <c r="F2869" s="1696" t="b">
        <f t="shared" si="31"/>
        <v>1</v>
      </c>
      <c r="G2869" s="46" t="s">
        <v>11265</v>
      </c>
    </row>
    <row r="2870" spans="1:7">
      <c r="A2870" s="46" t="s">
        <v>7565</v>
      </c>
      <c r="B2870" s="46" t="s">
        <v>7528</v>
      </c>
      <c r="C2870" s="46" t="s">
        <v>7565</v>
      </c>
      <c r="D2870" s="46" t="s">
        <v>7654</v>
      </c>
      <c r="E2870" s="46" t="b" cm="1">
        <f t="array" ref="E2870">sch_avail_sp_sportssportsfac_billard</f>
        <v>0</v>
      </c>
      <c r="F2870" s="1696" t="b">
        <f t="shared" si="31"/>
        <v>1</v>
      </c>
      <c r="G2870" s="46" t="s">
        <v>11265</v>
      </c>
    </row>
    <row r="2871" spans="1:7">
      <c r="A2871" s="46" t="s">
        <v>7566</v>
      </c>
      <c r="B2871" s="46" t="s">
        <v>7528</v>
      </c>
      <c r="C2871" s="46" t="s">
        <v>7566</v>
      </c>
      <c r="D2871" s="46" t="s">
        <v>7655</v>
      </c>
      <c r="E2871" s="46" t="b" cm="1">
        <f t="array" ref="E2871">sch_avail_sp_sportssportsfac_boxing</f>
        <v>0</v>
      </c>
      <c r="F2871" s="1696" t="b">
        <f t="shared" si="31"/>
        <v>1</v>
      </c>
      <c r="G2871" s="46" t="s">
        <v>11265</v>
      </c>
    </row>
    <row r="2872" spans="1:7">
      <c r="A2872" s="46" t="s">
        <v>7567</v>
      </c>
      <c r="B2872" s="46" t="s">
        <v>7528</v>
      </c>
      <c r="C2872" s="46" t="s">
        <v>7567</v>
      </c>
      <c r="D2872" s="46" t="s">
        <v>7656</v>
      </c>
      <c r="E2872" s="46" t="b" cm="1">
        <f t="array" ref="E2872">sch_avail_sp_sportssportsfac_chess</f>
        <v>0</v>
      </c>
      <c r="F2872" s="1696" t="b">
        <f t="shared" si="31"/>
        <v>1</v>
      </c>
      <c r="G2872" s="46" t="s">
        <v>11265</v>
      </c>
    </row>
    <row r="2873" spans="1:7">
      <c r="A2873" s="46" t="s">
        <v>7568</v>
      </c>
      <c r="B2873" s="46" t="s">
        <v>7528</v>
      </c>
      <c r="C2873" s="46" t="s">
        <v>7568</v>
      </c>
      <c r="D2873" s="46" t="s">
        <v>7657</v>
      </c>
      <c r="E2873" s="46" t="b" cm="1">
        <f t="array" ref="E2873">sch_avail_sp_sportssportsfac_dancesports</f>
        <v>0</v>
      </c>
      <c r="F2873" s="1696" t="b">
        <f t="shared" si="31"/>
        <v>1</v>
      </c>
      <c r="G2873" s="46" t="s">
        <v>11265</v>
      </c>
    </row>
    <row r="2874" spans="1:7">
      <c r="A2874" s="46" t="s">
        <v>7569</v>
      </c>
      <c r="B2874" s="46" t="s">
        <v>7528</v>
      </c>
      <c r="C2874" s="46" t="s">
        <v>7569</v>
      </c>
      <c r="D2874" s="46" t="s">
        <v>7658</v>
      </c>
      <c r="E2874" s="46" t="b" cm="1">
        <f t="array" ref="E2874">sch_avail_sp_sportssportsfac_football</f>
        <v>0</v>
      </c>
      <c r="F2874" s="1696" t="b">
        <f t="shared" si="31"/>
        <v>1</v>
      </c>
      <c r="G2874" s="46" t="s">
        <v>11265</v>
      </c>
    </row>
    <row r="2875" spans="1:7">
      <c r="A2875" s="46" t="s">
        <v>7570</v>
      </c>
      <c r="B2875" s="46" t="s">
        <v>7528</v>
      </c>
      <c r="C2875" s="46" t="s">
        <v>7570</v>
      </c>
      <c r="D2875" s="46" t="s">
        <v>7659</v>
      </c>
      <c r="E2875" s="46" t="b" cm="1">
        <f t="array" ref="E2875">sch_avail_sp_sportssportsfac_futsal</f>
        <v>0</v>
      </c>
      <c r="F2875" s="1696" t="b">
        <f t="shared" si="31"/>
        <v>1</v>
      </c>
      <c r="G2875" s="46" t="s">
        <v>11265</v>
      </c>
    </row>
    <row r="2876" spans="1:7">
      <c r="A2876" s="46" t="s">
        <v>7571</v>
      </c>
      <c r="B2876" s="46" t="s">
        <v>7528</v>
      </c>
      <c r="C2876" s="46" t="s">
        <v>7571</v>
      </c>
      <c r="D2876" s="46" t="s">
        <v>7660</v>
      </c>
      <c r="E2876" s="46" t="b" cm="1">
        <f t="array" ref="E2876">sch_avail_sp_sportssportsfac_aerogymn</f>
        <v>0</v>
      </c>
      <c r="F2876" s="1696" t="b">
        <f t="shared" si="31"/>
        <v>1</v>
      </c>
      <c r="G2876" s="46" t="s">
        <v>11265</v>
      </c>
    </row>
    <row r="2877" spans="1:7">
      <c r="A2877" s="46" t="s">
        <v>7572</v>
      </c>
      <c r="B2877" s="46" t="s">
        <v>7528</v>
      </c>
      <c r="C2877" s="46" t="s">
        <v>7572</v>
      </c>
      <c r="D2877" s="46" t="s">
        <v>7661</v>
      </c>
      <c r="E2877" s="46" t="b" cm="1">
        <f t="array" ref="E2877">sch_avail_sp_sportssportsfac_mag</f>
        <v>0</v>
      </c>
      <c r="F2877" s="1696" t="b">
        <f t="shared" si="31"/>
        <v>1</v>
      </c>
      <c r="G2877" s="46" t="s">
        <v>11265</v>
      </c>
    </row>
    <row r="2878" spans="1:7">
      <c r="A2878" s="46" t="s">
        <v>7573</v>
      </c>
      <c r="B2878" s="46" t="s">
        <v>7528</v>
      </c>
      <c r="C2878" s="46" t="s">
        <v>7573</v>
      </c>
      <c r="D2878" s="46" t="s">
        <v>7662</v>
      </c>
      <c r="E2878" s="46" t="b" cm="1">
        <f t="array" ref="E2878">sch_avail_sp_sportsevent_wag</f>
        <v>0</v>
      </c>
      <c r="F2878" s="1696" t="b">
        <f t="shared" si="31"/>
        <v>1</v>
      </c>
      <c r="G2878" s="46" t="s">
        <v>11265</v>
      </c>
    </row>
    <row r="2879" spans="1:7">
      <c r="A2879" s="46" t="s">
        <v>7574</v>
      </c>
      <c r="B2879" s="46" t="s">
        <v>7528</v>
      </c>
      <c r="C2879" s="46" t="s">
        <v>7574</v>
      </c>
      <c r="D2879" s="46" t="s">
        <v>7663</v>
      </c>
      <c r="E2879" s="46" t="b" cm="1">
        <f t="array" ref="E2879">sch_avail_sp_sportsevent_rg</f>
        <v>0</v>
      </c>
      <c r="F2879" s="1696" t="b">
        <f t="shared" si="31"/>
        <v>1</v>
      </c>
      <c r="G2879" s="46" t="s">
        <v>11265</v>
      </c>
    </row>
    <row r="2880" spans="1:7">
      <c r="A2880" s="46" t="s">
        <v>7575</v>
      </c>
      <c r="B2880" s="46" t="s">
        <v>7528</v>
      </c>
      <c r="C2880" s="46" t="s">
        <v>7575</v>
      </c>
      <c r="D2880" s="46" t="s">
        <v>7664</v>
      </c>
      <c r="E2880" s="46" t="b" cm="1">
        <f t="array" ref="E2880">sch_avail_sp_sportsevent_pencak</f>
        <v>0</v>
      </c>
      <c r="F2880" s="1696" t="b">
        <f t="shared" si="31"/>
        <v>1</v>
      </c>
      <c r="G2880" s="46" t="s">
        <v>11265</v>
      </c>
    </row>
    <row r="2881" spans="1:7">
      <c r="A2881" s="46" t="s">
        <v>7576</v>
      </c>
      <c r="B2881" s="46" t="s">
        <v>7528</v>
      </c>
      <c r="C2881" s="46" t="s">
        <v>7576</v>
      </c>
      <c r="D2881" s="46" t="s">
        <v>7665</v>
      </c>
      <c r="E2881" s="46" t="b" cm="1">
        <f t="array" ref="E2881">sch_avail_sp_sportsevent_sepaktakraw</f>
        <v>1</v>
      </c>
      <c r="F2881" s="1696" t="b">
        <f t="shared" si="31"/>
        <v>1</v>
      </c>
      <c r="G2881" s="46" t="s">
        <v>11265</v>
      </c>
    </row>
    <row r="2882" spans="1:7">
      <c r="A2882" s="46" t="s">
        <v>7577</v>
      </c>
      <c r="B2882" s="46" t="s">
        <v>7528</v>
      </c>
      <c r="C2882" s="46" t="s">
        <v>7577</v>
      </c>
      <c r="D2882" s="46" t="s">
        <v>7666</v>
      </c>
      <c r="E2882" s="46" t="b" cm="1">
        <f t="array" ref="E2882">sch_avail_sp_sportsevent_softball</f>
        <v>0</v>
      </c>
      <c r="F2882" s="1696" t="b">
        <f t="shared" si="31"/>
        <v>1</v>
      </c>
      <c r="G2882" s="46" t="s">
        <v>11265</v>
      </c>
    </row>
    <row r="2883" spans="1:7">
      <c r="A2883" s="46" t="s">
        <v>7578</v>
      </c>
      <c r="B2883" s="46" t="s">
        <v>7528</v>
      </c>
      <c r="C2883" s="46" t="s">
        <v>7578</v>
      </c>
      <c r="D2883" s="46" t="s">
        <v>7667</v>
      </c>
      <c r="E2883" s="46" t="b" cm="1">
        <f t="array" ref="E2883">sch_avail_sp_sportsevent_swimming</f>
        <v>0</v>
      </c>
      <c r="F2883" s="1696" t="b">
        <f t="shared" si="31"/>
        <v>1</v>
      </c>
      <c r="G2883" s="46" t="s">
        <v>11265</v>
      </c>
    </row>
    <row r="2884" spans="1:7">
      <c r="A2884" s="46" t="s">
        <v>7579</v>
      </c>
      <c r="B2884" s="46" t="s">
        <v>7528</v>
      </c>
      <c r="C2884" s="46" t="s">
        <v>7579</v>
      </c>
      <c r="D2884" s="46" t="s">
        <v>7668</v>
      </c>
      <c r="E2884" s="46" t="b" cm="1">
        <f t="array" ref="E2884">sch_avail_sp_sportsevent_tabletennis</f>
        <v>0</v>
      </c>
      <c r="F2884" s="1696" t="b">
        <f t="shared" si="31"/>
        <v>1</v>
      </c>
      <c r="G2884" s="46" t="s">
        <v>11265</v>
      </c>
    </row>
    <row r="2885" spans="1:7">
      <c r="A2885" s="46" t="s">
        <v>7580</v>
      </c>
      <c r="B2885" s="46" t="s">
        <v>7528</v>
      </c>
      <c r="C2885" s="46" t="s">
        <v>7580</v>
      </c>
      <c r="D2885" s="46" t="s">
        <v>7669</v>
      </c>
      <c r="E2885" s="46" t="b" cm="1">
        <f t="array" ref="E2885">sch_avail_sp_sportsevent_taekwondo</f>
        <v>0</v>
      </c>
      <c r="F2885" s="1696" t="b">
        <f t="shared" si="31"/>
        <v>1</v>
      </c>
      <c r="G2885" s="46" t="s">
        <v>11265</v>
      </c>
    </row>
    <row r="2886" spans="1:7">
      <c r="A2886" s="46" t="s">
        <v>7581</v>
      </c>
      <c r="B2886" s="46" t="s">
        <v>7528</v>
      </c>
      <c r="C2886" s="46" t="s">
        <v>7581</v>
      </c>
      <c r="D2886" s="46" t="s">
        <v>7670</v>
      </c>
      <c r="E2886" s="46" t="b" cm="1">
        <f t="array" ref="E2886">sch_avail_sp_sportsevent_tennis</f>
        <v>0</v>
      </c>
      <c r="F2886" s="1696" t="b">
        <f t="shared" si="31"/>
        <v>1</v>
      </c>
      <c r="G2886" s="46" t="s">
        <v>11265</v>
      </c>
    </row>
    <row r="2887" spans="1:7">
      <c r="A2887" s="46" t="s">
        <v>7582</v>
      </c>
      <c r="B2887" s="46" t="s">
        <v>7528</v>
      </c>
      <c r="C2887" s="46" t="s">
        <v>7582</v>
      </c>
      <c r="D2887" s="46" t="s">
        <v>7671</v>
      </c>
      <c r="E2887" s="46" t="b" cm="1">
        <f t="array" ref="E2887">sch_avail_sp_sportsevent_volleyball</f>
        <v>0</v>
      </c>
      <c r="F2887" s="1696" t="b">
        <f t="shared" si="31"/>
        <v>1</v>
      </c>
      <c r="G2887" s="46" t="s">
        <v>11265</v>
      </c>
    </row>
    <row r="2888" spans="1:7">
      <c r="A2888" s="46" t="s">
        <v>7583</v>
      </c>
      <c r="B2888" s="46" t="s">
        <v>7528</v>
      </c>
      <c r="C2888" s="46" t="s">
        <v>7583</v>
      </c>
      <c r="D2888" s="46" t="s">
        <v>7672</v>
      </c>
      <c r="E2888" s="46" t="b" cm="1">
        <f t="array" ref="E2888">sch_avail_sp_sportsevent_wrestling</f>
        <v>0</v>
      </c>
      <c r="F2888" s="1696" t="b">
        <f t="shared" si="31"/>
        <v>1</v>
      </c>
      <c r="G2888" s="46" t="s">
        <v>11265</v>
      </c>
    </row>
    <row r="2889" spans="1:7">
      <c r="A2889" s="46" t="s">
        <v>7584</v>
      </c>
      <c r="B2889" s="46" t="s">
        <v>7528</v>
      </c>
      <c r="C2889" s="46" t="s">
        <v>7584</v>
      </c>
      <c r="D2889" s="46" t="s">
        <v>7673</v>
      </c>
      <c r="E2889" s="46" t="b" cm="1">
        <f t="array" ref="E2889">sch_avail_sp_sportsevent_wushu</f>
        <v>0</v>
      </c>
      <c r="F2889" s="1696" t="b">
        <f t="shared" si="31"/>
        <v>1</v>
      </c>
      <c r="G2889" s="46" t="s">
        <v>11265</v>
      </c>
    </row>
    <row r="2890" spans="1:7">
      <c r="A2890" s="46" t="s">
        <v>7585</v>
      </c>
      <c r="B2890" s="46" t="s">
        <v>7528</v>
      </c>
      <c r="C2890" s="46" t="s">
        <v>7585</v>
      </c>
      <c r="D2890" s="46" t="s">
        <v>7674</v>
      </c>
      <c r="E2890" s="46" t="b" cm="1">
        <f t="array" ref="E2890">sch_avail_sp_sportsevent_bocce</f>
        <v>0</v>
      </c>
      <c r="F2890" s="1696" t="b">
        <f t="shared" si="31"/>
        <v>1</v>
      </c>
      <c r="G2890" s="46" t="s">
        <v>11265</v>
      </c>
    </row>
    <row r="2891" spans="1:7">
      <c r="A2891" s="46" t="s">
        <v>7586</v>
      </c>
      <c r="B2891" s="46" t="s">
        <v>7528</v>
      </c>
      <c r="C2891" s="46" t="s">
        <v>7586</v>
      </c>
      <c r="D2891" s="46" t="s">
        <v>7675</v>
      </c>
      <c r="E2891" s="46" t="b" cm="1">
        <f t="array" ref="E2891">sch_avail_sp_sportsevent_goalball</f>
        <v>0</v>
      </c>
      <c r="F2891" s="1696" t="b">
        <f t="shared" si="31"/>
        <v>1</v>
      </c>
      <c r="G2891" s="46" t="s">
        <v>11265</v>
      </c>
    </row>
    <row r="2892" spans="1:7">
      <c r="A2892" s="46" t="s">
        <v>7587</v>
      </c>
      <c r="B2892" s="46" t="s">
        <v>7528</v>
      </c>
      <c r="C2892" s="46" t="s">
        <v>7587</v>
      </c>
      <c r="D2892" s="46" t="s">
        <v>7676</v>
      </c>
      <c r="E2892" s="46" t="b" cm="1">
        <f t="array" ref="E2892">sch_avail_sp_sportsclub_wag</f>
        <v>0</v>
      </c>
      <c r="F2892" s="1696" t="b">
        <f t="shared" si="31"/>
        <v>1</v>
      </c>
      <c r="G2892" s="46" t="s">
        <v>11265</v>
      </c>
    </row>
    <row r="2893" spans="1:7">
      <c r="A2893" s="46" t="s">
        <v>7588</v>
      </c>
      <c r="B2893" s="46" t="s">
        <v>7528</v>
      </c>
      <c r="C2893" s="46" t="s">
        <v>7588</v>
      </c>
      <c r="D2893" s="46" t="s">
        <v>7677</v>
      </c>
      <c r="E2893" s="46" t="b" cm="1">
        <f t="array" ref="E2893">sch_avail_sp_sportsclub_rg</f>
        <v>0</v>
      </c>
      <c r="F2893" s="1696" t="b">
        <f t="shared" si="31"/>
        <v>1</v>
      </c>
      <c r="G2893" s="46" t="s">
        <v>11265</v>
      </c>
    </row>
    <row r="2894" spans="1:7">
      <c r="A2894" s="46" t="s">
        <v>7589</v>
      </c>
      <c r="B2894" s="46" t="s">
        <v>7528</v>
      </c>
      <c r="C2894" s="46" t="s">
        <v>7589</v>
      </c>
      <c r="D2894" s="46" t="s">
        <v>7678</v>
      </c>
      <c r="E2894" s="46" t="b" cm="1">
        <f t="array" ref="E2894">sch_avail_sp_sportsclub_pencak</f>
        <v>0</v>
      </c>
      <c r="F2894" s="1696" t="b">
        <f t="shared" si="31"/>
        <v>1</v>
      </c>
      <c r="G2894" s="46" t="s">
        <v>11265</v>
      </c>
    </row>
    <row r="2895" spans="1:7">
      <c r="A2895" s="46" t="s">
        <v>7590</v>
      </c>
      <c r="B2895" s="46" t="s">
        <v>7528</v>
      </c>
      <c r="C2895" s="46" t="s">
        <v>7590</v>
      </c>
      <c r="D2895" s="46" t="s">
        <v>7679</v>
      </c>
      <c r="E2895" s="46" t="b" cm="1">
        <f t="array" ref="E2895">sch_avail_sp_sportsclub_sepaktakraw</f>
        <v>1</v>
      </c>
      <c r="F2895" s="1696" t="b">
        <f t="shared" si="31"/>
        <v>1</v>
      </c>
      <c r="G2895" s="46" t="s">
        <v>11265</v>
      </c>
    </row>
    <row r="2896" spans="1:7">
      <c r="A2896" s="46" t="s">
        <v>7591</v>
      </c>
      <c r="B2896" s="46" t="s">
        <v>7528</v>
      </c>
      <c r="C2896" s="46" t="s">
        <v>7591</v>
      </c>
      <c r="D2896" s="46" t="s">
        <v>7680</v>
      </c>
      <c r="E2896" s="46" t="b" cm="1">
        <f t="array" ref="E2896">sch_avail_sp_sportsclub_softball</f>
        <v>0</v>
      </c>
      <c r="F2896" s="1696" t="b">
        <f t="shared" si="31"/>
        <v>1</v>
      </c>
      <c r="G2896" s="46" t="s">
        <v>11265</v>
      </c>
    </row>
    <row r="2897" spans="1:7">
      <c r="A2897" s="46" t="s">
        <v>7592</v>
      </c>
      <c r="B2897" s="46" t="s">
        <v>7528</v>
      </c>
      <c r="C2897" s="46" t="s">
        <v>7592</v>
      </c>
      <c r="D2897" s="46" t="s">
        <v>7681</v>
      </c>
      <c r="E2897" s="46" t="b" cm="1">
        <f t="array" ref="E2897">sch_avail_sp_sportsclub_swimming</f>
        <v>0</v>
      </c>
      <c r="F2897" s="1696" t="b">
        <f t="shared" ref="F2897:F2919" si="32">OR(E2897=TRUE, E2897=FALSE)</f>
        <v>1</v>
      </c>
      <c r="G2897" s="46" t="s">
        <v>11265</v>
      </c>
    </row>
    <row r="2898" spans="1:7">
      <c r="A2898" s="46" t="s">
        <v>7593</v>
      </c>
      <c r="B2898" s="46" t="s">
        <v>7528</v>
      </c>
      <c r="C2898" s="46" t="s">
        <v>7593</v>
      </c>
      <c r="D2898" s="46" t="s">
        <v>7682</v>
      </c>
      <c r="E2898" s="46" t="b" cm="1">
        <f t="array" ref="E2898">sch_avail_sp_sportsclub_tabletennis</f>
        <v>0</v>
      </c>
      <c r="F2898" s="1696" t="b">
        <f t="shared" si="32"/>
        <v>1</v>
      </c>
      <c r="G2898" s="46" t="s">
        <v>11265</v>
      </c>
    </row>
    <row r="2899" spans="1:7">
      <c r="A2899" s="46" t="s">
        <v>7594</v>
      </c>
      <c r="B2899" s="46" t="s">
        <v>7528</v>
      </c>
      <c r="C2899" s="46" t="s">
        <v>7594</v>
      </c>
      <c r="D2899" s="46" t="s">
        <v>7683</v>
      </c>
      <c r="E2899" s="46" t="b" cm="1">
        <f t="array" ref="E2899">sch_avail_sp_sportsclub_taekwondo</f>
        <v>0</v>
      </c>
      <c r="F2899" s="1696" t="b">
        <f t="shared" si="32"/>
        <v>1</v>
      </c>
      <c r="G2899" s="46" t="s">
        <v>11265</v>
      </c>
    </row>
    <row r="2900" spans="1:7">
      <c r="A2900" s="46" t="s">
        <v>7595</v>
      </c>
      <c r="B2900" s="46" t="s">
        <v>7528</v>
      </c>
      <c r="C2900" s="46" t="s">
        <v>7595</v>
      </c>
      <c r="D2900" s="46" t="s">
        <v>7684</v>
      </c>
      <c r="E2900" s="46" t="b" cm="1">
        <f t="array" ref="E2900">sch_avail_sp_sportsclub_tennis</f>
        <v>0</v>
      </c>
      <c r="F2900" s="1696" t="b">
        <f t="shared" si="32"/>
        <v>1</v>
      </c>
      <c r="G2900" s="46" t="s">
        <v>11265</v>
      </c>
    </row>
    <row r="2901" spans="1:7">
      <c r="A2901" s="46" t="s">
        <v>7596</v>
      </c>
      <c r="B2901" s="46" t="s">
        <v>7528</v>
      </c>
      <c r="C2901" s="46" t="s">
        <v>7596</v>
      </c>
      <c r="D2901" s="46" t="s">
        <v>7685</v>
      </c>
      <c r="E2901" s="46" t="b" cm="1">
        <f t="array" ref="E2901">sch_avail_sp_sportsclub_volleyball</f>
        <v>0</v>
      </c>
      <c r="F2901" s="1696" t="b">
        <f t="shared" si="32"/>
        <v>1</v>
      </c>
      <c r="G2901" s="46" t="s">
        <v>11265</v>
      </c>
    </row>
    <row r="2902" spans="1:7">
      <c r="A2902" s="46" t="s">
        <v>7597</v>
      </c>
      <c r="B2902" s="46" t="s">
        <v>7528</v>
      </c>
      <c r="C2902" s="46" t="s">
        <v>7597</v>
      </c>
      <c r="D2902" s="46" t="s">
        <v>7686</v>
      </c>
      <c r="E2902" s="46" t="b" cm="1">
        <f t="array" ref="E2902">sch_avail_sp_sportsclub_wrestling</f>
        <v>0</v>
      </c>
      <c r="F2902" s="1696" t="b">
        <f t="shared" si="32"/>
        <v>1</v>
      </c>
      <c r="G2902" s="46" t="s">
        <v>11265</v>
      </c>
    </row>
    <row r="2903" spans="1:7">
      <c r="A2903" s="46" t="s">
        <v>7598</v>
      </c>
      <c r="B2903" s="46" t="s">
        <v>7528</v>
      </c>
      <c r="C2903" s="46" t="s">
        <v>7598</v>
      </c>
      <c r="D2903" s="46" t="s">
        <v>7687</v>
      </c>
      <c r="E2903" s="46" t="b" cm="1">
        <f t="array" ref="E2903">sch_avail_sp_sportsclub_wushu</f>
        <v>0</v>
      </c>
      <c r="F2903" s="1696" t="b">
        <f t="shared" si="32"/>
        <v>1</v>
      </c>
      <c r="G2903" s="46" t="s">
        <v>11265</v>
      </c>
    </row>
    <row r="2904" spans="1:7">
      <c r="A2904" s="46" t="s">
        <v>7599</v>
      </c>
      <c r="B2904" s="46" t="s">
        <v>7528</v>
      </c>
      <c r="C2904" s="46" t="s">
        <v>7599</v>
      </c>
      <c r="D2904" s="46" t="s">
        <v>7688</v>
      </c>
      <c r="E2904" s="46" t="b" cm="1">
        <f t="array" ref="E2904">sch_avail_sp_sportsclub_bocce</f>
        <v>0</v>
      </c>
      <c r="F2904" s="1696" t="b">
        <f t="shared" si="32"/>
        <v>1</v>
      </c>
      <c r="G2904" s="46" t="s">
        <v>11265</v>
      </c>
    </row>
    <row r="2905" spans="1:7">
      <c r="A2905" s="46" t="s">
        <v>7600</v>
      </c>
      <c r="B2905" s="46" t="s">
        <v>7528</v>
      </c>
      <c r="C2905" s="46" t="s">
        <v>7600</v>
      </c>
      <c r="D2905" s="46" t="s">
        <v>7689</v>
      </c>
      <c r="E2905" s="46" t="b" cm="1">
        <f t="array" ref="E2905">sch_avail_sp_sportsclub_goalball</f>
        <v>0</v>
      </c>
      <c r="F2905" s="1696" t="b">
        <f t="shared" si="32"/>
        <v>1</v>
      </c>
      <c r="G2905" s="46" t="s">
        <v>11265</v>
      </c>
    </row>
    <row r="2906" spans="1:7">
      <c r="A2906" s="46" t="s">
        <v>7601</v>
      </c>
      <c r="B2906" s="46" t="s">
        <v>7528</v>
      </c>
      <c r="C2906" s="46" t="s">
        <v>7601</v>
      </c>
      <c r="D2906" s="46" t="s">
        <v>7690</v>
      </c>
      <c r="E2906" s="46" t="b" cm="1">
        <f t="array" ref="E2906">sch_avail_sp_sportssportsfac_wag</f>
        <v>0</v>
      </c>
      <c r="F2906" s="1696" t="b">
        <f t="shared" si="32"/>
        <v>1</v>
      </c>
      <c r="G2906" s="46" t="s">
        <v>11265</v>
      </c>
    </row>
    <row r="2907" spans="1:7">
      <c r="A2907" s="46" t="s">
        <v>7602</v>
      </c>
      <c r="B2907" s="46" t="s">
        <v>7528</v>
      </c>
      <c r="C2907" s="46" t="s">
        <v>7602</v>
      </c>
      <c r="D2907" s="46" t="s">
        <v>7691</v>
      </c>
      <c r="E2907" s="46" t="b" cm="1">
        <f t="array" ref="E2907">sch_avail_sp_sportssportsfac_rg</f>
        <v>0</v>
      </c>
      <c r="F2907" s="1696" t="b">
        <f t="shared" si="32"/>
        <v>1</v>
      </c>
      <c r="G2907" s="46" t="s">
        <v>11265</v>
      </c>
    </row>
    <row r="2908" spans="1:7">
      <c r="A2908" s="46" t="s">
        <v>7603</v>
      </c>
      <c r="B2908" s="46" t="s">
        <v>7528</v>
      </c>
      <c r="C2908" s="46" t="s">
        <v>7603</v>
      </c>
      <c r="D2908" s="46" t="s">
        <v>7692</v>
      </c>
      <c r="E2908" s="46" t="b" cm="1">
        <f t="array" ref="E2908">sch_avail_sp_sportssportsfac_pencak</f>
        <v>0</v>
      </c>
      <c r="F2908" s="1696" t="b">
        <f t="shared" si="32"/>
        <v>1</v>
      </c>
      <c r="G2908" s="46" t="s">
        <v>11265</v>
      </c>
    </row>
    <row r="2909" spans="1:7">
      <c r="A2909" s="46" t="s">
        <v>7604</v>
      </c>
      <c r="B2909" s="46" t="s">
        <v>7528</v>
      </c>
      <c r="C2909" s="46" t="s">
        <v>7604</v>
      </c>
      <c r="D2909" s="46" t="s">
        <v>7693</v>
      </c>
      <c r="E2909" s="46" t="b" cm="1">
        <f t="array" ref="E2909">sch_avail_sp_sportssportsfac_sepaktakraw</f>
        <v>0</v>
      </c>
      <c r="F2909" s="1696" t="b">
        <f t="shared" si="32"/>
        <v>1</v>
      </c>
      <c r="G2909" s="46" t="s">
        <v>11265</v>
      </c>
    </row>
    <row r="2910" spans="1:7">
      <c r="A2910" s="46" t="s">
        <v>7605</v>
      </c>
      <c r="B2910" s="46" t="s">
        <v>7528</v>
      </c>
      <c r="C2910" s="46" t="s">
        <v>7605</v>
      </c>
      <c r="D2910" s="46" t="s">
        <v>7694</v>
      </c>
      <c r="E2910" s="46" t="b" cm="1">
        <f t="array" ref="E2910">sch_avail_sp_sportssportsfac_softball</f>
        <v>0</v>
      </c>
      <c r="F2910" s="1696" t="b">
        <f t="shared" si="32"/>
        <v>1</v>
      </c>
      <c r="G2910" s="46" t="s">
        <v>11265</v>
      </c>
    </row>
    <row r="2911" spans="1:7">
      <c r="A2911" s="46" t="s">
        <v>7606</v>
      </c>
      <c r="B2911" s="46" t="s">
        <v>7528</v>
      </c>
      <c r="C2911" s="46" t="s">
        <v>7606</v>
      </c>
      <c r="D2911" s="46" t="s">
        <v>7695</v>
      </c>
      <c r="E2911" s="46" t="b" cm="1">
        <f t="array" ref="E2911">sch_avail_sp_sportssportsfac_swimming</f>
        <v>0</v>
      </c>
      <c r="F2911" s="1696" t="b">
        <f t="shared" si="32"/>
        <v>1</v>
      </c>
      <c r="G2911" s="46" t="s">
        <v>11265</v>
      </c>
    </row>
    <row r="2912" spans="1:7">
      <c r="A2912" s="46" t="s">
        <v>7607</v>
      </c>
      <c r="B2912" s="46" t="s">
        <v>7528</v>
      </c>
      <c r="C2912" s="46" t="s">
        <v>7607</v>
      </c>
      <c r="D2912" s="46" t="s">
        <v>7696</v>
      </c>
      <c r="E2912" s="46" t="b" cm="1">
        <f t="array" ref="E2912">sch_avail_sp_sportssportsfac_tabletennis</f>
        <v>0</v>
      </c>
      <c r="F2912" s="1696" t="b">
        <f t="shared" si="32"/>
        <v>1</v>
      </c>
      <c r="G2912" s="46" t="s">
        <v>11265</v>
      </c>
    </row>
    <row r="2913" spans="1:8">
      <c r="A2913" s="46" t="s">
        <v>7608</v>
      </c>
      <c r="B2913" s="46" t="s">
        <v>7528</v>
      </c>
      <c r="C2913" s="46" t="s">
        <v>7608</v>
      </c>
      <c r="D2913" s="46" t="s">
        <v>7697</v>
      </c>
      <c r="E2913" s="46" t="b" cm="1">
        <f t="array" ref="E2913">sch_avail_sp_sportssportsfac_taekwondo</f>
        <v>0</v>
      </c>
      <c r="F2913" s="1696" t="b">
        <f t="shared" si="32"/>
        <v>1</v>
      </c>
      <c r="G2913" s="46" t="s">
        <v>11265</v>
      </c>
    </row>
    <row r="2914" spans="1:8">
      <c r="A2914" s="46" t="s">
        <v>7609</v>
      </c>
      <c r="B2914" s="46" t="s">
        <v>7528</v>
      </c>
      <c r="C2914" s="46" t="s">
        <v>7609</v>
      </c>
      <c r="D2914" s="46" t="s">
        <v>7698</v>
      </c>
      <c r="E2914" s="46" t="b" cm="1">
        <f t="array" ref="E2914">sch_avail_sp_sportssportsfac_tennis</f>
        <v>0</v>
      </c>
      <c r="F2914" s="1696" t="b">
        <f t="shared" si="32"/>
        <v>1</v>
      </c>
      <c r="G2914" s="46" t="s">
        <v>11265</v>
      </c>
    </row>
    <row r="2915" spans="1:8">
      <c r="A2915" s="46" t="s">
        <v>7610</v>
      </c>
      <c r="B2915" s="46" t="s">
        <v>7528</v>
      </c>
      <c r="C2915" s="46" t="s">
        <v>7610</v>
      </c>
      <c r="D2915" s="46" t="s">
        <v>7699</v>
      </c>
      <c r="E2915" s="46" t="b" cm="1">
        <f t="array" ref="E2915">sch_avail_sp_sportssportsfac_volleyball</f>
        <v>0</v>
      </c>
      <c r="F2915" s="1696" t="b">
        <f t="shared" si="32"/>
        <v>1</v>
      </c>
      <c r="G2915" s="46" t="s">
        <v>11265</v>
      </c>
    </row>
    <row r="2916" spans="1:8">
      <c r="A2916" s="46" t="s">
        <v>7611</v>
      </c>
      <c r="B2916" s="46" t="s">
        <v>7528</v>
      </c>
      <c r="C2916" s="46" t="s">
        <v>7611</v>
      </c>
      <c r="D2916" s="46" t="s">
        <v>7700</v>
      </c>
      <c r="E2916" s="46" t="b" cm="1">
        <f t="array" ref="E2916">sch_avail_sp_sportssportsfac_wrestling</f>
        <v>0</v>
      </c>
      <c r="F2916" s="1696" t="b">
        <f t="shared" si="32"/>
        <v>1</v>
      </c>
      <c r="G2916" s="46" t="s">
        <v>11265</v>
      </c>
    </row>
    <row r="2917" spans="1:8">
      <c r="A2917" s="46" t="s">
        <v>7612</v>
      </c>
      <c r="B2917" s="46" t="s">
        <v>7528</v>
      </c>
      <c r="C2917" s="46" t="s">
        <v>7612</v>
      </c>
      <c r="D2917" s="46" t="s">
        <v>7701</v>
      </c>
      <c r="E2917" s="46" t="b" cm="1">
        <f t="array" ref="E2917">sch_avail_sp_sportssportsfac_wushu</f>
        <v>0</v>
      </c>
      <c r="F2917" s="1696" t="b">
        <f t="shared" si="32"/>
        <v>1</v>
      </c>
      <c r="G2917" s="46" t="s">
        <v>11265</v>
      </c>
    </row>
    <row r="2918" spans="1:8">
      <c r="A2918" s="46" t="s">
        <v>7613</v>
      </c>
      <c r="B2918" s="46" t="s">
        <v>7528</v>
      </c>
      <c r="C2918" s="46" t="s">
        <v>7613</v>
      </c>
      <c r="D2918" s="46" t="s">
        <v>7702</v>
      </c>
      <c r="E2918" s="46" t="b" cm="1">
        <f t="array" ref="E2918">sch_avail_sp_sportssportsfac_bocce</f>
        <v>0</v>
      </c>
      <c r="F2918" s="1696" t="b">
        <f t="shared" si="32"/>
        <v>1</v>
      </c>
      <c r="G2918" s="46" t="s">
        <v>11265</v>
      </c>
    </row>
    <row r="2919" spans="1:8">
      <c r="A2919" s="46" t="s">
        <v>7614</v>
      </c>
      <c r="B2919" s="46" t="s">
        <v>7528</v>
      </c>
      <c r="C2919" s="46" t="s">
        <v>7614</v>
      </c>
      <c r="D2919" s="46" t="s">
        <v>7703</v>
      </c>
      <c r="E2919" s="46" t="b" cm="1">
        <f t="array" ref="E2919">sch_avail_sp_sportssportsfac_goalball</f>
        <v>0</v>
      </c>
      <c r="F2919" s="1696" t="b">
        <f t="shared" si="32"/>
        <v>1</v>
      </c>
      <c r="G2919" s="46" t="s">
        <v>11265</v>
      </c>
    </row>
    <row r="2920" spans="1:8">
      <c r="A2920" s="46" t="s">
        <v>7615</v>
      </c>
      <c r="B2920" s="46" t="s">
        <v>7528</v>
      </c>
      <c r="C2920" s="46" t="s">
        <v>7615</v>
      </c>
      <c r="D2920" s="46" t="s">
        <v>7704</v>
      </c>
      <c r="E2920" s="46" t="str" cm="1">
        <f t="array" ref="E2920">do_sports_coordinator_name</f>
        <v>PARA D. TALIP / March 17, 2023</v>
      </c>
      <c r="F2920" s="46" t="b">
        <v>1</v>
      </c>
    </row>
    <row r="2921" spans="1:8" ht="16.5" thickBot="1">
      <c r="A2921" s="479" t="s">
        <v>7616</v>
      </c>
      <c r="B2921" s="479" t="s">
        <v>7528</v>
      </c>
      <c r="C2921" s="479" t="s">
        <v>7616</v>
      </c>
      <c r="D2921" s="479" t="s">
        <v>7705</v>
      </c>
      <c r="E2921" s="479" t="str" cm="1">
        <f t="array" ref="E2921">do_sports_coordinator_pos</f>
        <v>EDUCATION PROGRAM SUPERVISOR</v>
      </c>
      <c r="F2921" s="1775" t="b">
        <v>1</v>
      </c>
      <c r="G2921" s="1775"/>
      <c r="H2921" s="1775"/>
    </row>
    <row r="2922" spans="1:8" ht="16.5" thickTop="1">
      <c r="A2922" s="46" t="s">
        <v>7706</v>
      </c>
      <c r="B2922" s="46" t="s">
        <v>7707</v>
      </c>
      <c r="C2922" s="46" t="s">
        <v>7706</v>
      </c>
      <c r="D2922" s="1018" t="s">
        <v>7852</v>
      </c>
      <c r="E2922" s="46" cm="1">
        <f t="array" ref="E2922">sch_sp_se_num_coaches_arch</f>
        <v>0</v>
      </c>
      <c r="F2922" s="46" t="b">
        <v>1</v>
      </c>
    </row>
    <row r="2923" spans="1:8">
      <c r="A2923" s="46" t="s">
        <v>7708</v>
      </c>
      <c r="B2923" s="46" t="s">
        <v>7707</v>
      </c>
      <c r="C2923" s="46" t="s">
        <v>7708</v>
      </c>
      <c r="D2923" s="1018" t="s">
        <v>7853</v>
      </c>
      <c r="E2923" s="46" cm="1">
        <f t="array" ref="E2923">sch_sp_se_num_officials_arch</f>
        <v>0</v>
      </c>
      <c r="F2923" s="46" t="b">
        <v>1</v>
      </c>
    </row>
    <row r="2924" spans="1:8">
      <c r="A2924" s="46" t="s">
        <v>7709</v>
      </c>
      <c r="B2924" s="46" t="s">
        <v>7707</v>
      </c>
      <c r="C2924" s="46" t="s">
        <v>7709</v>
      </c>
      <c r="D2924" s="1018" t="s">
        <v>7854</v>
      </c>
      <c r="E2924" s="46" cm="1">
        <f t="array" ref="E2924">sch_sp_se_num_peteachss_arch</f>
        <v>0</v>
      </c>
      <c r="F2924" s="46" t="b">
        <v>1</v>
      </c>
    </row>
    <row r="2925" spans="1:8">
      <c r="A2925" s="46" t="s">
        <v>7710</v>
      </c>
      <c r="B2925" s="46" t="s">
        <v>7707</v>
      </c>
      <c r="C2925" s="46" t="s">
        <v>7710</v>
      </c>
      <c r="D2925" s="1018" t="s">
        <v>7855</v>
      </c>
      <c r="E2925" s="46" cm="1">
        <f t="array" ref="E2925">sch_sp_se_num_nonpeteachss_arch</f>
        <v>0</v>
      </c>
      <c r="F2925" s="46" t="b">
        <v>1</v>
      </c>
    </row>
    <row r="2926" spans="1:8">
      <c r="A2926" s="46" t="s">
        <v>7711</v>
      </c>
      <c r="B2926" s="46" t="s">
        <v>7707</v>
      </c>
      <c r="C2926" s="46" t="s">
        <v>7711</v>
      </c>
      <c r="D2926" s="1018" t="s">
        <v>7856</v>
      </c>
      <c r="E2926" s="46" cm="1">
        <f t="array" ref="E2926">sch_sp_se_num_nonteachpss_arch</f>
        <v>0</v>
      </c>
      <c r="F2926" s="46" t="b">
        <v>1</v>
      </c>
    </row>
    <row r="2927" spans="1:8">
      <c r="A2927" s="46" t="s">
        <v>7712</v>
      </c>
      <c r="B2927" s="46" t="s">
        <v>7707</v>
      </c>
      <c r="C2927" s="46" t="s">
        <v>7712</v>
      </c>
      <c r="D2927" s="1018" t="s">
        <v>7857</v>
      </c>
      <c r="E2927" s="46" cm="1">
        <f t="array" ref="E2927">sch_sp_se_num_coaches_arnis</f>
        <v>2</v>
      </c>
      <c r="F2927" s="46" t="b">
        <v>1</v>
      </c>
    </row>
    <row r="2928" spans="1:8">
      <c r="A2928" s="46" t="s">
        <v>7713</v>
      </c>
      <c r="B2928" s="46" t="s">
        <v>7707</v>
      </c>
      <c r="C2928" s="46" t="s">
        <v>7713</v>
      </c>
      <c r="D2928" s="1018" t="s">
        <v>7858</v>
      </c>
      <c r="E2928" s="46" cm="1">
        <f t="array" ref="E2928">sch_sp_se_num_officials_arnis</f>
        <v>0</v>
      </c>
      <c r="F2928" s="46" t="b">
        <v>1</v>
      </c>
    </row>
    <row r="2929" spans="1:6">
      <c r="A2929" s="46" t="s">
        <v>7714</v>
      </c>
      <c r="B2929" s="46" t="s">
        <v>7707</v>
      </c>
      <c r="C2929" s="46" t="s">
        <v>7714</v>
      </c>
      <c r="D2929" s="1018" t="s">
        <v>7859</v>
      </c>
      <c r="E2929" s="46" cm="1">
        <f t="array" ref="E2929">sch_sp_se_num_peteachss_arnis</f>
        <v>2</v>
      </c>
      <c r="F2929" s="46" t="b">
        <v>1</v>
      </c>
    </row>
    <row r="2930" spans="1:6">
      <c r="A2930" s="46" t="s">
        <v>7715</v>
      </c>
      <c r="B2930" s="46" t="s">
        <v>7707</v>
      </c>
      <c r="C2930" s="46" t="s">
        <v>7715</v>
      </c>
      <c r="D2930" s="1018" t="s">
        <v>7860</v>
      </c>
      <c r="E2930" s="46" cm="1">
        <f t="array" ref="E2930">sch_sp_se_num_nonpeteachss_arnis</f>
        <v>0</v>
      </c>
      <c r="F2930" s="46" t="b">
        <v>1</v>
      </c>
    </row>
    <row r="2931" spans="1:6">
      <c r="A2931" s="46" t="s">
        <v>7716</v>
      </c>
      <c r="B2931" s="46" t="s">
        <v>7707</v>
      </c>
      <c r="C2931" s="46" t="s">
        <v>7716</v>
      </c>
      <c r="D2931" s="1018" t="s">
        <v>7861</v>
      </c>
      <c r="E2931" s="46" cm="1">
        <f t="array" ref="E2931">sch_sp_se_num_nonteachpss_arnis</f>
        <v>0</v>
      </c>
      <c r="F2931" s="46" t="b">
        <v>1</v>
      </c>
    </row>
    <row r="2932" spans="1:6">
      <c r="A2932" s="46" t="s">
        <v>7717</v>
      </c>
      <c r="B2932" s="46" t="s">
        <v>7707</v>
      </c>
      <c r="C2932" s="46" t="s">
        <v>7717</v>
      </c>
      <c r="D2932" s="1018" t="s">
        <v>7862</v>
      </c>
      <c r="E2932" s="46" cm="1">
        <f t="array" ref="E2932">sch_sp_se_num_coaches_athlthrow</f>
        <v>0</v>
      </c>
      <c r="F2932" s="46" t="b">
        <v>1</v>
      </c>
    </row>
    <row r="2933" spans="1:6">
      <c r="A2933" s="46" t="s">
        <v>7718</v>
      </c>
      <c r="B2933" s="46" t="s">
        <v>7707</v>
      </c>
      <c r="C2933" s="46" t="s">
        <v>7718</v>
      </c>
      <c r="D2933" s="1018" t="s">
        <v>7863</v>
      </c>
      <c r="E2933" s="46" cm="1">
        <f t="array" ref="E2933">sch_sp_se_num_officials_athlthrow</f>
        <v>0</v>
      </c>
      <c r="F2933" s="46" t="b">
        <v>1</v>
      </c>
    </row>
    <row r="2934" spans="1:6">
      <c r="A2934" s="46" t="s">
        <v>7719</v>
      </c>
      <c r="B2934" s="46" t="s">
        <v>7707</v>
      </c>
      <c r="C2934" s="46" t="s">
        <v>7719</v>
      </c>
      <c r="D2934" s="1018" t="s">
        <v>7864</v>
      </c>
      <c r="E2934" s="46" cm="1">
        <f t="array" ref="E2934">sch_sp_se_num_peteachss_athlthrow</f>
        <v>0</v>
      </c>
      <c r="F2934" s="46" t="b">
        <v>1</v>
      </c>
    </row>
    <row r="2935" spans="1:6">
      <c r="A2935" s="46" t="s">
        <v>7720</v>
      </c>
      <c r="B2935" s="46" t="s">
        <v>7707</v>
      </c>
      <c r="C2935" s="46" t="s">
        <v>7720</v>
      </c>
      <c r="D2935" s="1018" t="s">
        <v>7865</v>
      </c>
      <c r="E2935" s="46" cm="1">
        <f t="array" ref="E2935">sch_sp_se_num_nonpeteachss_athlthrow</f>
        <v>0</v>
      </c>
      <c r="F2935" s="46" t="b">
        <v>1</v>
      </c>
    </row>
    <row r="2936" spans="1:6">
      <c r="A2936" s="46" t="s">
        <v>7721</v>
      </c>
      <c r="B2936" s="46" t="s">
        <v>7707</v>
      </c>
      <c r="C2936" s="46" t="s">
        <v>7721</v>
      </c>
      <c r="D2936" s="1018" t="s">
        <v>7866</v>
      </c>
      <c r="E2936" s="46" cm="1">
        <f t="array" ref="E2936">sch_sp_se_num_nonteachpss_athlthrow</f>
        <v>0</v>
      </c>
      <c r="F2936" s="46" t="b">
        <v>1</v>
      </c>
    </row>
    <row r="2937" spans="1:6">
      <c r="A2937" s="46" t="s">
        <v>7722</v>
      </c>
      <c r="B2937" s="46" t="s">
        <v>7707</v>
      </c>
      <c r="C2937" s="46" t="s">
        <v>7722</v>
      </c>
      <c r="D2937" s="1018" t="s">
        <v>7867</v>
      </c>
      <c r="E2937" s="46" cm="1">
        <f t="array" ref="E2937">sch_sp_se_num_coaches_athltrun</f>
        <v>0</v>
      </c>
      <c r="F2937" s="46" t="b">
        <v>1</v>
      </c>
    </row>
    <row r="2938" spans="1:6">
      <c r="A2938" s="46" t="s">
        <v>7723</v>
      </c>
      <c r="B2938" s="46" t="s">
        <v>7707</v>
      </c>
      <c r="C2938" s="46" t="s">
        <v>7723</v>
      </c>
      <c r="D2938" s="1018" t="s">
        <v>7868</v>
      </c>
      <c r="E2938" s="46" cm="1">
        <f t="array" ref="E2938">sch_sp_se_num_officials_athltrun</f>
        <v>0</v>
      </c>
      <c r="F2938" s="46" t="b">
        <v>1</v>
      </c>
    </row>
    <row r="2939" spans="1:6">
      <c r="A2939" s="46" t="s">
        <v>7724</v>
      </c>
      <c r="B2939" s="46" t="s">
        <v>7707</v>
      </c>
      <c r="C2939" s="46" t="s">
        <v>7724</v>
      </c>
      <c r="D2939" s="1018" t="s">
        <v>7869</v>
      </c>
      <c r="E2939" s="46" cm="1">
        <f t="array" ref="E2939">sch_sp_se_num_peteachss_athltrun</f>
        <v>0</v>
      </c>
      <c r="F2939" s="46" t="b">
        <v>1</v>
      </c>
    </row>
    <row r="2940" spans="1:6">
      <c r="A2940" s="46" t="s">
        <v>7725</v>
      </c>
      <c r="B2940" s="46" t="s">
        <v>7707</v>
      </c>
      <c r="C2940" s="46" t="s">
        <v>7725</v>
      </c>
      <c r="D2940" s="1018" t="s">
        <v>7870</v>
      </c>
      <c r="E2940" s="46" cm="1">
        <f t="array" ref="E2940">sch_sp_se_num_nonpeteachss_athltrun</f>
        <v>0</v>
      </c>
      <c r="F2940" s="46" t="b">
        <v>1</v>
      </c>
    </row>
    <row r="2941" spans="1:6">
      <c r="A2941" s="46" t="s">
        <v>7726</v>
      </c>
      <c r="B2941" s="46" t="s">
        <v>7707</v>
      </c>
      <c r="C2941" s="46" t="s">
        <v>7726</v>
      </c>
      <c r="D2941" s="1018" t="s">
        <v>7871</v>
      </c>
      <c r="E2941" s="46" cm="1">
        <f t="array" ref="E2941">sch_sp_se_num_nonteachpss_athltrun</f>
        <v>0</v>
      </c>
      <c r="F2941" s="46" t="b">
        <v>1</v>
      </c>
    </row>
    <row r="2942" spans="1:6">
      <c r="A2942" s="46" t="s">
        <v>7727</v>
      </c>
      <c r="B2942" s="46" t="s">
        <v>7707</v>
      </c>
      <c r="C2942" s="46" t="s">
        <v>7727</v>
      </c>
      <c r="D2942" s="1018" t="s">
        <v>7872</v>
      </c>
      <c r="E2942" s="46" cm="1">
        <f t="array" ref="E2942">sch_sp_se_num_coaches_badm</f>
        <v>0</v>
      </c>
      <c r="F2942" s="46" t="b">
        <v>1</v>
      </c>
    </row>
    <row r="2943" spans="1:6">
      <c r="A2943" s="46" t="s">
        <v>7728</v>
      </c>
      <c r="B2943" s="46" t="s">
        <v>7707</v>
      </c>
      <c r="C2943" s="46" t="s">
        <v>7728</v>
      </c>
      <c r="D2943" s="1018" t="s">
        <v>7873</v>
      </c>
      <c r="E2943" s="46" cm="1">
        <f t="array" ref="E2943">sch_sp_se_num_officials_badm</f>
        <v>0</v>
      </c>
      <c r="F2943" s="46" t="b">
        <v>1</v>
      </c>
    </row>
    <row r="2944" spans="1:6">
      <c r="A2944" s="46" t="s">
        <v>7729</v>
      </c>
      <c r="B2944" s="46" t="s">
        <v>7707</v>
      </c>
      <c r="C2944" s="46" t="s">
        <v>7729</v>
      </c>
      <c r="D2944" s="1018" t="s">
        <v>7874</v>
      </c>
      <c r="E2944" s="46" cm="1">
        <f t="array" ref="E2944">sch_sp_se_num_peteachss_badm</f>
        <v>0</v>
      </c>
      <c r="F2944" s="46" t="b">
        <v>1</v>
      </c>
    </row>
    <row r="2945" spans="1:6">
      <c r="A2945" s="46" t="s">
        <v>7730</v>
      </c>
      <c r="B2945" s="46" t="s">
        <v>7707</v>
      </c>
      <c r="C2945" s="46" t="s">
        <v>7730</v>
      </c>
      <c r="D2945" s="1018" t="s">
        <v>7875</v>
      </c>
      <c r="E2945" s="46" cm="1">
        <f t="array" ref="E2945">sch_sp_se_num_nonpeteachss_badm</f>
        <v>0</v>
      </c>
      <c r="F2945" s="46" t="b">
        <v>1</v>
      </c>
    </row>
    <row r="2946" spans="1:6">
      <c r="A2946" s="46" t="s">
        <v>7731</v>
      </c>
      <c r="B2946" s="46" t="s">
        <v>7707</v>
      </c>
      <c r="C2946" s="46" t="s">
        <v>7731</v>
      </c>
      <c r="D2946" s="1018" t="s">
        <v>7876</v>
      </c>
      <c r="E2946" s="46" cm="1">
        <f t="array" ref="E2946">sch_sp_se_num_nonteachpss_badm</f>
        <v>0</v>
      </c>
      <c r="F2946" s="46" t="b">
        <v>1</v>
      </c>
    </row>
    <row r="2947" spans="1:6">
      <c r="A2947" s="46" t="s">
        <v>7732</v>
      </c>
      <c r="B2947" s="46" t="s">
        <v>7707</v>
      </c>
      <c r="C2947" s="46" t="s">
        <v>7732</v>
      </c>
      <c r="D2947" s="1018" t="s">
        <v>7877</v>
      </c>
      <c r="E2947" s="46" cm="1">
        <f t="array" ref="E2947">sch_sp_se_num_coaches_basket</f>
        <v>0</v>
      </c>
      <c r="F2947" s="46" t="b">
        <v>1</v>
      </c>
    </row>
    <row r="2948" spans="1:6">
      <c r="A2948" s="46" t="s">
        <v>7733</v>
      </c>
      <c r="B2948" s="46" t="s">
        <v>7707</v>
      </c>
      <c r="C2948" s="46" t="s">
        <v>7733</v>
      </c>
      <c r="D2948" s="1018" t="s">
        <v>7878</v>
      </c>
      <c r="E2948" s="46" cm="1">
        <f t="array" ref="E2948">sch_sp_se_num_officials_basket</f>
        <v>0</v>
      </c>
      <c r="F2948" s="46" t="b">
        <v>1</v>
      </c>
    </row>
    <row r="2949" spans="1:6">
      <c r="A2949" s="46" t="s">
        <v>7734</v>
      </c>
      <c r="B2949" s="46" t="s">
        <v>7707</v>
      </c>
      <c r="C2949" s="46" t="s">
        <v>7734</v>
      </c>
      <c r="D2949" s="1018" t="s">
        <v>7879</v>
      </c>
      <c r="E2949" s="46" cm="1">
        <f t="array" ref="E2949">sch_sp_se_num_peteachss_basket</f>
        <v>0</v>
      </c>
      <c r="F2949" s="46" t="b">
        <v>1</v>
      </c>
    </row>
    <row r="2950" spans="1:6">
      <c r="A2950" s="46" t="s">
        <v>7735</v>
      </c>
      <c r="B2950" s="46" t="s">
        <v>7707</v>
      </c>
      <c r="C2950" s="46" t="s">
        <v>7735</v>
      </c>
      <c r="D2950" s="1018" t="s">
        <v>7880</v>
      </c>
      <c r="E2950" s="46" cm="1">
        <f t="array" ref="E2950">sch_sp_se_num_nonpeteachss_basket</f>
        <v>0</v>
      </c>
      <c r="F2950" s="46" t="b">
        <v>1</v>
      </c>
    </row>
    <row r="2951" spans="1:6">
      <c r="A2951" s="46" t="s">
        <v>7736</v>
      </c>
      <c r="B2951" s="46" t="s">
        <v>7707</v>
      </c>
      <c r="C2951" s="46" t="s">
        <v>7736</v>
      </c>
      <c r="D2951" s="1018" t="s">
        <v>7881</v>
      </c>
      <c r="E2951" s="46" cm="1">
        <f t="array" ref="E2951">sch_sp_se_num_nonteachpss_basket</f>
        <v>0</v>
      </c>
      <c r="F2951" s="46" t="b">
        <v>1</v>
      </c>
    </row>
    <row r="2952" spans="1:6">
      <c r="A2952" s="46" t="s">
        <v>7737</v>
      </c>
      <c r="B2952" s="46" t="s">
        <v>7707</v>
      </c>
      <c r="C2952" s="46" t="s">
        <v>7737</v>
      </c>
      <c r="D2952" s="1018" t="s">
        <v>7882</v>
      </c>
      <c r="E2952" s="46" cm="1">
        <f t="array" ref="E2952">sch_sp_se_num_coaches_baseball</f>
        <v>0</v>
      </c>
      <c r="F2952" s="46" t="b">
        <v>1</v>
      </c>
    </row>
    <row r="2953" spans="1:6">
      <c r="A2953" s="46" t="s">
        <v>7738</v>
      </c>
      <c r="B2953" s="46" t="s">
        <v>7707</v>
      </c>
      <c r="C2953" s="46" t="s">
        <v>7738</v>
      </c>
      <c r="D2953" s="1018" t="s">
        <v>7883</v>
      </c>
      <c r="E2953" s="46" cm="1">
        <f t="array" ref="E2953">sch_sp_se_num_officials_baseball</f>
        <v>0</v>
      </c>
      <c r="F2953" s="46" t="b">
        <v>1</v>
      </c>
    </row>
    <row r="2954" spans="1:6">
      <c r="A2954" s="46" t="s">
        <v>7739</v>
      </c>
      <c r="B2954" s="46" t="s">
        <v>7707</v>
      </c>
      <c r="C2954" s="46" t="s">
        <v>7739</v>
      </c>
      <c r="D2954" s="1018" t="s">
        <v>7884</v>
      </c>
      <c r="E2954" s="46" cm="1">
        <f t="array" ref="E2954">sch_sp_se_num_peteachss_baseball</f>
        <v>0</v>
      </c>
      <c r="F2954" s="46" t="b">
        <v>1</v>
      </c>
    </row>
    <row r="2955" spans="1:6">
      <c r="A2955" s="46" t="s">
        <v>7740</v>
      </c>
      <c r="B2955" s="46" t="s">
        <v>7707</v>
      </c>
      <c r="C2955" s="46" t="s">
        <v>7740</v>
      </c>
      <c r="D2955" s="1018" t="s">
        <v>7885</v>
      </c>
      <c r="E2955" s="46" cm="1">
        <f t="array" ref="E2955">sch_sp_se_num_nonpeteachss_baseball</f>
        <v>0</v>
      </c>
      <c r="F2955" s="46" t="b">
        <v>1</v>
      </c>
    </row>
    <row r="2956" spans="1:6">
      <c r="A2956" s="46" t="s">
        <v>7741</v>
      </c>
      <c r="B2956" s="46" t="s">
        <v>7707</v>
      </c>
      <c r="C2956" s="46" t="s">
        <v>7741</v>
      </c>
      <c r="D2956" s="1018" t="s">
        <v>7886</v>
      </c>
      <c r="E2956" s="46" cm="1">
        <f t="array" ref="E2956">sch_sp_se_num_nonteachpss_baseball</f>
        <v>0</v>
      </c>
      <c r="F2956" s="46" t="b">
        <v>1</v>
      </c>
    </row>
    <row r="2957" spans="1:6">
      <c r="A2957" s="46" t="s">
        <v>7742</v>
      </c>
      <c r="B2957" s="46" t="s">
        <v>7707</v>
      </c>
      <c r="C2957" s="46" t="s">
        <v>7742</v>
      </c>
      <c r="D2957" s="1018" t="s">
        <v>7887</v>
      </c>
      <c r="E2957" s="46" cm="1">
        <f t="array" ref="E2957">sch_sp_se_num_coaches_billard</f>
        <v>0</v>
      </c>
      <c r="F2957" s="46" t="b">
        <v>1</v>
      </c>
    </row>
    <row r="2958" spans="1:6">
      <c r="A2958" s="46" t="s">
        <v>7743</v>
      </c>
      <c r="B2958" s="46" t="s">
        <v>7707</v>
      </c>
      <c r="C2958" s="46" t="s">
        <v>7743</v>
      </c>
      <c r="D2958" s="1018" t="s">
        <v>7888</v>
      </c>
      <c r="E2958" s="46" cm="1">
        <f t="array" ref="E2958">sch_sp_se_num_officials_billard</f>
        <v>0</v>
      </c>
      <c r="F2958" s="46" t="b">
        <v>1</v>
      </c>
    </row>
    <row r="2959" spans="1:6">
      <c r="A2959" s="46" t="s">
        <v>7744</v>
      </c>
      <c r="B2959" s="46" t="s">
        <v>7707</v>
      </c>
      <c r="C2959" s="46" t="s">
        <v>7744</v>
      </c>
      <c r="D2959" s="1018" t="s">
        <v>7889</v>
      </c>
      <c r="E2959" s="46" cm="1">
        <f t="array" ref="E2959">sch_sp_se_num_peteachss_billard</f>
        <v>0</v>
      </c>
      <c r="F2959" s="46" t="b">
        <v>1</v>
      </c>
    </row>
    <row r="2960" spans="1:6">
      <c r="A2960" s="46" t="s">
        <v>7745</v>
      </c>
      <c r="B2960" s="46" t="s">
        <v>7707</v>
      </c>
      <c r="C2960" s="46" t="s">
        <v>7745</v>
      </c>
      <c r="D2960" s="1018" t="s">
        <v>7890</v>
      </c>
      <c r="E2960" s="46" cm="1">
        <f t="array" ref="E2960">sch_sp_se_num_nonpeteachss_billard</f>
        <v>0</v>
      </c>
      <c r="F2960" s="46" t="b">
        <v>1</v>
      </c>
    </row>
    <row r="2961" spans="1:6">
      <c r="A2961" s="46" t="s">
        <v>7746</v>
      </c>
      <c r="B2961" s="46" t="s">
        <v>7707</v>
      </c>
      <c r="C2961" s="46" t="s">
        <v>7746</v>
      </c>
      <c r="D2961" s="1018" t="s">
        <v>7891</v>
      </c>
      <c r="E2961" s="46" cm="1">
        <f t="array" ref="E2961">sch_sp_se_num_nonteachpss_billard</f>
        <v>0</v>
      </c>
      <c r="F2961" s="46" t="b">
        <v>1</v>
      </c>
    </row>
    <row r="2962" spans="1:6">
      <c r="A2962" s="46" t="s">
        <v>7747</v>
      </c>
      <c r="B2962" s="46" t="s">
        <v>7707</v>
      </c>
      <c r="C2962" s="46" t="s">
        <v>7747</v>
      </c>
      <c r="D2962" s="1018" t="s">
        <v>7892</v>
      </c>
      <c r="E2962" s="46" cm="1">
        <f t="array" ref="E2962">sch_sp_se_num_coaches_boxing</f>
        <v>0</v>
      </c>
      <c r="F2962" s="46" t="b">
        <v>1</v>
      </c>
    </row>
    <row r="2963" spans="1:6">
      <c r="A2963" s="46" t="s">
        <v>7748</v>
      </c>
      <c r="B2963" s="46" t="s">
        <v>7707</v>
      </c>
      <c r="C2963" s="46" t="s">
        <v>7748</v>
      </c>
      <c r="D2963" s="1018" t="s">
        <v>7893</v>
      </c>
      <c r="E2963" s="46" cm="1">
        <f t="array" ref="E2963">sch_sp_se_num_officials_boxing</f>
        <v>0</v>
      </c>
      <c r="F2963" s="46" t="b">
        <v>1</v>
      </c>
    </row>
    <row r="2964" spans="1:6">
      <c r="A2964" s="46" t="s">
        <v>7749</v>
      </c>
      <c r="B2964" s="46" t="s">
        <v>7707</v>
      </c>
      <c r="C2964" s="46" t="s">
        <v>7749</v>
      </c>
      <c r="D2964" s="1018" t="s">
        <v>7894</v>
      </c>
      <c r="E2964" s="46" cm="1">
        <f t="array" ref="E2964">sch_sp_se_num_peteachss_boxing</f>
        <v>0</v>
      </c>
      <c r="F2964" s="46" t="b">
        <v>1</v>
      </c>
    </row>
    <row r="2965" spans="1:6">
      <c r="A2965" s="46" t="s">
        <v>7750</v>
      </c>
      <c r="B2965" s="46" t="s">
        <v>7707</v>
      </c>
      <c r="C2965" s="46" t="s">
        <v>7750</v>
      </c>
      <c r="D2965" s="1018" t="s">
        <v>7895</v>
      </c>
      <c r="E2965" s="46" cm="1">
        <f t="array" ref="E2965">sch_sp_se_num_nonpeteachss_boxing</f>
        <v>0</v>
      </c>
      <c r="F2965" s="46" t="b">
        <v>1</v>
      </c>
    </row>
    <row r="2966" spans="1:6">
      <c r="A2966" s="46" t="s">
        <v>7751</v>
      </c>
      <c r="B2966" s="46" t="s">
        <v>7707</v>
      </c>
      <c r="C2966" s="46" t="s">
        <v>7751</v>
      </c>
      <c r="D2966" s="1018" t="s">
        <v>7896</v>
      </c>
      <c r="E2966" s="46" cm="1">
        <f t="array" ref="E2966">sch_sp_se_num_nonteachpss_boxing</f>
        <v>0</v>
      </c>
      <c r="F2966" s="46" t="b">
        <v>1</v>
      </c>
    </row>
    <row r="2967" spans="1:6">
      <c r="A2967" s="46" t="s">
        <v>7752</v>
      </c>
      <c r="B2967" s="46" t="s">
        <v>7707</v>
      </c>
      <c r="C2967" s="46" t="s">
        <v>7752</v>
      </c>
      <c r="D2967" s="1018" t="s">
        <v>7897</v>
      </c>
      <c r="E2967" s="46" cm="1">
        <f t="array" ref="E2967">sch_sp_se_num_coaches_chess</f>
        <v>0</v>
      </c>
      <c r="F2967" s="46" t="b">
        <v>1</v>
      </c>
    </row>
    <row r="2968" spans="1:6">
      <c r="A2968" s="46" t="s">
        <v>7753</v>
      </c>
      <c r="B2968" s="46" t="s">
        <v>7707</v>
      </c>
      <c r="C2968" s="46" t="s">
        <v>7753</v>
      </c>
      <c r="D2968" s="1018" t="s">
        <v>7898</v>
      </c>
      <c r="E2968" s="46" cm="1">
        <f t="array" ref="E2968">sch_sp_se_num_officials_chess</f>
        <v>0</v>
      </c>
      <c r="F2968" s="46" t="b">
        <v>1</v>
      </c>
    </row>
    <row r="2969" spans="1:6">
      <c r="A2969" s="46" t="s">
        <v>7754</v>
      </c>
      <c r="B2969" s="46" t="s">
        <v>7707</v>
      </c>
      <c r="C2969" s="46" t="s">
        <v>7754</v>
      </c>
      <c r="D2969" s="1018" t="s">
        <v>7899</v>
      </c>
      <c r="E2969" s="46" cm="1">
        <f t="array" ref="E2969">sch_sp_se_num_peteachss_chess</f>
        <v>0</v>
      </c>
      <c r="F2969" s="46" t="b">
        <v>1</v>
      </c>
    </row>
    <row r="2970" spans="1:6">
      <c r="A2970" s="46" t="s">
        <v>7755</v>
      </c>
      <c r="B2970" s="46" t="s">
        <v>7707</v>
      </c>
      <c r="C2970" s="46" t="s">
        <v>7755</v>
      </c>
      <c r="D2970" s="1018" t="s">
        <v>7900</v>
      </c>
      <c r="E2970" s="46" cm="1">
        <f t="array" ref="E2970">sch_sp_se_num_nonpeteachss_chess</f>
        <v>0</v>
      </c>
      <c r="F2970" s="46" t="b">
        <v>1</v>
      </c>
    </row>
    <row r="2971" spans="1:6">
      <c r="A2971" s="46" t="s">
        <v>7756</v>
      </c>
      <c r="B2971" s="46" t="s">
        <v>7707</v>
      </c>
      <c r="C2971" s="46" t="s">
        <v>7756</v>
      </c>
      <c r="D2971" s="1018" t="s">
        <v>7901</v>
      </c>
      <c r="E2971" s="46" cm="1">
        <f t="array" ref="E2971">sch_sp_se_num_nonteachpss_chess</f>
        <v>0</v>
      </c>
      <c r="F2971" s="46" t="b">
        <v>1</v>
      </c>
    </row>
    <row r="2972" spans="1:6">
      <c r="A2972" s="46" t="s">
        <v>7757</v>
      </c>
      <c r="B2972" s="46" t="s">
        <v>7707</v>
      </c>
      <c r="C2972" s="46" t="s">
        <v>7757</v>
      </c>
      <c r="D2972" s="1018" t="s">
        <v>7902</v>
      </c>
      <c r="E2972" s="46" cm="1">
        <f t="array" ref="E2972">sch_sp_se_num_coaches_dancesports</f>
        <v>0</v>
      </c>
      <c r="F2972" s="46" t="b">
        <v>1</v>
      </c>
    </row>
    <row r="2973" spans="1:6">
      <c r="A2973" s="46" t="s">
        <v>7758</v>
      </c>
      <c r="B2973" s="46" t="s">
        <v>7707</v>
      </c>
      <c r="C2973" s="46" t="s">
        <v>7758</v>
      </c>
      <c r="D2973" s="1018" t="s">
        <v>7903</v>
      </c>
      <c r="E2973" s="46" cm="1">
        <f t="array" ref="E2973">sch_sp_se_num_officials_dancesports</f>
        <v>0</v>
      </c>
      <c r="F2973" s="46" t="b">
        <v>1</v>
      </c>
    </row>
    <row r="2974" spans="1:6">
      <c r="A2974" s="46" t="s">
        <v>7759</v>
      </c>
      <c r="B2974" s="46" t="s">
        <v>7707</v>
      </c>
      <c r="C2974" s="46" t="s">
        <v>7759</v>
      </c>
      <c r="D2974" s="1018" t="s">
        <v>7904</v>
      </c>
      <c r="E2974" s="46" cm="1">
        <f t="array" ref="E2974">sch_sp_se_num_peteachss_dancesports</f>
        <v>2</v>
      </c>
      <c r="F2974" s="46" t="b">
        <v>1</v>
      </c>
    </row>
    <row r="2975" spans="1:6">
      <c r="A2975" s="46" t="s">
        <v>7760</v>
      </c>
      <c r="B2975" s="46" t="s">
        <v>7707</v>
      </c>
      <c r="C2975" s="46" t="s">
        <v>7760</v>
      </c>
      <c r="D2975" s="1018" t="s">
        <v>7905</v>
      </c>
      <c r="E2975" s="46" cm="1">
        <f t="array" ref="E2975">sch_sp_se_num_nonpeteachss_dancesports</f>
        <v>0</v>
      </c>
      <c r="F2975" s="46" t="b">
        <v>1</v>
      </c>
    </row>
    <row r="2976" spans="1:6">
      <c r="A2976" s="46" t="s">
        <v>7761</v>
      </c>
      <c r="B2976" s="46" t="s">
        <v>7707</v>
      </c>
      <c r="C2976" s="46" t="s">
        <v>7761</v>
      </c>
      <c r="D2976" s="1018" t="s">
        <v>7906</v>
      </c>
      <c r="E2976" s="46" cm="1">
        <f t="array" ref="E2976">sch_sp_se_num_nonteachpss_dancesports</f>
        <v>0</v>
      </c>
      <c r="F2976" s="46" t="b">
        <v>1</v>
      </c>
    </row>
    <row r="2977" spans="1:6">
      <c r="A2977" s="46" t="s">
        <v>7762</v>
      </c>
      <c r="B2977" s="46" t="s">
        <v>7707</v>
      </c>
      <c r="C2977" s="46" t="s">
        <v>7762</v>
      </c>
      <c r="D2977" s="1018" t="s">
        <v>7907</v>
      </c>
      <c r="E2977" s="46" cm="1">
        <f t="array" ref="E2977">sch_sp_se_num_coaches_football</f>
        <v>0</v>
      </c>
      <c r="F2977" s="46" t="b">
        <v>1</v>
      </c>
    </row>
    <row r="2978" spans="1:6">
      <c r="A2978" s="46" t="s">
        <v>7763</v>
      </c>
      <c r="B2978" s="46" t="s">
        <v>7707</v>
      </c>
      <c r="C2978" s="46" t="s">
        <v>7763</v>
      </c>
      <c r="D2978" s="1018" t="s">
        <v>7908</v>
      </c>
      <c r="E2978" s="46" cm="1">
        <f t="array" ref="E2978">sch_sp_se_num_officials_football</f>
        <v>0</v>
      </c>
      <c r="F2978" s="46" t="b">
        <v>1</v>
      </c>
    </row>
    <row r="2979" spans="1:6">
      <c r="A2979" s="46" t="s">
        <v>7764</v>
      </c>
      <c r="B2979" s="46" t="s">
        <v>7707</v>
      </c>
      <c r="C2979" s="46" t="s">
        <v>7764</v>
      </c>
      <c r="D2979" s="1018" t="s">
        <v>7909</v>
      </c>
      <c r="E2979" s="46" cm="1">
        <f t="array" ref="E2979">sch_sp_se_num_peteachss_football</f>
        <v>0</v>
      </c>
      <c r="F2979" s="46" t="b">
        <v>1</v>
      </c>
    </row>
    <row r="2980" spans="1:6">
      <c r="A2980" s="46" t="s">
        <v>7765</v>
      </c>
      <c r="B2980" s="46" t="s">
        <v>7707</v>
      </c>
      <c r="C2980" s="46" t="s">
        <v>7765</v>
      </c>
      <c r="D2980" s="1018" t="s">
        <v>7910</v>
      </c>
      <c r="E2980" s="46" cm="1">
        <f t="array" ref="E2980">sch_sp_se_num_nonpeteachss_football</f>
        <v>0</v>
      </c>
      <c r="F2980" s="46" t="b">
        <v>1</v>
      </c>
    </row>
    <row r="2981" spans="1:6">
      <c r="A2981" s="46" t="s">
        <v>7766</v>
      </c>
      <c r="B2981" s="46" t="s">
        <v>7707</v>
      </c>
      <c r="C2981" s="46" t="s">
        <v>7766</v>
      </c>
      <c r="D2981" s="1018" t="s">
        <v>7911</v>
      </c>
      <c r="E2981" s="46" cm="1">
        <f t="array" ref="E2981">sch_sp_se_num_nonteachpss_football</f>
        <v>0</v>
      </c>
      <c r="F2981" s="46" t="b">
        <v>1</v>
      </c>
    </row>
    <row r="2982" spans="1:6">
      <c r="A2982" s="46" t="s">
        <v>7767</v>
      </c>
      <c r="B2982" s="46" t="s">
        <v>7707</v>
      </c>
      <c r="C2982" s="46" t="s">
        <v>7767</v>
      </c>
      <c r="D2982" s="1018" t="s">
        <v>7912</v>
      </c>
      <c r="E2982" s="46" cm="1">
        <f t="array" ref="E2982">sch_sp_se_num_coaches_futsal</f>
        <v>0</v>
      </c>
      <c r="F2982" s="46" t="b">
        <v>1</v>
      </c>
    </row>
    <row r="2983" spans="1:6">
      <c r="A2983" s="46" t="s">
        <v>7768</v>
      </c>
      <c r="B2983" s="46" t="s">
        <v>7707</v>
      </c>
      <c r="C2983" s="46" t="s">
        <v>7768</v>
      </c>
      <c r="D2983" s="1018" t="s">
        <v>7913</v>
      </c>
      <c r="E2983" s="46" cm="1">
        <f t="array" ref="E2983">sch_sp_se_num_officials_futsal</f>
        <v>0</v>
      </c>
      <c r="F2983" s="46" t="b">
        <v>1</v>
      </c>
    </row>
    <row r="2984" spans="1:6">
      <c r="A2984" s="46" t="s">
        <v>7769</v>
      </c>
      <c r="B2984" s="46" t="s">
        <v>7707</v>
      </c>
      <c r="C2984" s="46" t="s">
        <v>7769</v>
      </c>
      <c r="D2984" s="1018" t="s">
        <v>7914</v>
      </c>
      <c r="E2984" s="46" cm="1">
        <f t="array" ref="E2984">sch_sp_se_num_peteachss_futsal</f>
        <v>0</v>
      </c>
      <c r="F2984" s="46" t="b">
        <v>1</v>
      </c>
    </row>
    <row r="2985" spans="1:6">
      <c r="A2985" s="46" t="s">
        <v>7770</v>
      </c>
      <c r="B2985" s="46" t="s">
        <v>7707</v>
      </c>
      <c r="C2985" s="46" t="s">
        <v>7770</v>
      </c>
      <c r="D2985" s="1018" t="s">
        <v>7915</v>
      </c>
      <c r="E2985" s="46" cm="1">
        <f t="array" ref="E2985">sch_sp_se_num_nonpeteachss_futsal</f>
        <v>0</v>
      </c>
      <c r="F2985" s="46" t="b">
        <v>1</v>
      </c>
    </row>
    <row r="2986" spans="1:6">
      <c r="A2986" s="46" t="s">
        <v>7771</v>
      </c>
      <c r="B2986" s="46" t="s">
        <v>7707</v>
      </c>
      <c r="C2986" s="46" t="s">
        <v>7771</v>
      </c>
      <c r="D2986" s="1018" t="s">
        <v>7916</v>
      </c>
      <c r="E2986" s="46" cm="1">
        <f t="array" ref="E2986">sch_sp_se_num_nonteachpss_futsal</f>
        <v>0</v>
      </c>
      <c r="F2986" s="46" t="b">
        <v>1</v>
      </c>
    </row>
    <row r="2987" spans="1:6">
      <c r="A2987" s="46" t="s">
        <v>7772</v>
      </c>
      <c r="B2987" s="46" t="s">
        <v>7707</v>
      </c>
      <c r="C2987" s="46" t="s">
        <v>7772</v>
      </c>
      <c r="D2987" s="1018" t="s">
        <v>7917</v>
      </c>
      <c r="E2987" s="46" cm="1">
        <f t="array" ref="E2987">sch_sp_se_num_coaches_aerogymn</f>
        <v>0</v>
      </c>
      <c r="F2987" s="46" t="b">
        <v>1</v>
      </c>
    </row>
    <row r="2988" spans="1:6">
      <c r="A2988" s="46" t="s">
        <v>7773</v>
      </c>
      <c r="B2988" s="46" t="s">
        <v>7707</v>
      </c>
      <c r="C2988" s="46" t="s">
        <v>7773</v>
      </c>
      <c r="D2988" s="1018" t="s">
        <v>7918</v>
      </c>
      <c r="E2988" s="46" cm="1">
        <f t="array" ref="E2988">sch_sp_se_num_officials_aerogymn</f>
        <v>0</v>
      </c>
      <c r="F2988" s="46" t="b">
        <v>1</v>
      </c>
    </row>
    <row r="2989" spans="1:6">
      <c r="A2989" s="46" t="s">
        <v>7774</v>
      </c>
      <c r="B2989" s="46" t="s">
        <v>7707</v>
      </c>
      <c r="C2989" s="46" t="s">
        <v>7774</v>
      </c>
      <c r="D2989" s="1018" t="s">
        <v>7919</v>
      </c>
      <c r="E2989" s="46" cm="1">
        <f t="array" ref="E2989">sch_sp_se_num_peteachss_aerogymn</f>
        <v>0</v>
      </c>
      <c r="F2989" s="46" t="b">
        <v>1</v>
      </c>
    </row>
    <row r="2990" spans="1:6">
      <c r="A2990" s="46" t="s">
        <v>7775</v>
      </c>
      <c r="B2990" s="46" t="s">
        <v>7707</v>
      </c>
      <c r="C2990" s="46" t="s">
        <v>7775</v>
      </c>
      <c r="D2990" s="1018" t="s">
        <v>7920</v>
      </c>
      <c r="E2990" s="46" cm="1">
        <f t="array" ref="E2990">sch_sp_se_num_nonpeteachss_aerogymn</f>
        <v>0</v>
      </c>
      <c r="F2990" s="46" t="b">
        <v>1</v>
      </c>
    </row>
    <row r="2991" spans="1:6">
      <c r="A2991" s="46" t="s">
        <v>7776</v>
      </c>
      <c r="B2991" s="46" t="s">
        <v>7707</v>
      </c>
      <c r="C2991" s="46" t="s">
        <v>7776</v>
      </c>
      <c r="D2991" s="1018" t="s">
        <v>7921</v>
      </c>
      <c r="E2991" s="46" cm="1">
        <f t="array" ref="E2991">sch_sp_se_num_nonteachpss_aerogymn</f>
        <v>0</v>
      </c>
      <c r="F2991" s="46" t="b">
        <v>1</v>
      </c>
    </row>
    <row r="2992" spans="1:6">
      <c r="A2992" s="46" t="s">
        <v>7777</v>
      </c>
      <c r="B2992" s="46" t="s">
        <v>7707</v>
      </c>
      <c r="C2992" s="46" t="s">
        <v>7777</v>
      </c>
      <c r="D2992" s="1018" t="s">
        <v>7922</v>
      </c>
      <c r="E2992" s="46" cm="1">
        <f t="array" ref="E2992">sch_sp_se_num_coaches_mag</f>
        <v>0</v>
      </c>
      <c r="F2992" s="46" t="b">
        <v>1</v>
      </c>
    </row>
    <row r="2993" spans="1:6">
      <c r="A2993" s="46" t="s">
        <v>7778</v>
      </c>
      <c r="B2993" s="46" t="s">
        <v>7707</v>
      </c>
      <c r="C2993" s="46" t="s">
        <v>7778</v>
      </c>
      <c r="D2993" s="1018" t="s">
        <v>7923</v>
      </c>
      <c r="E2993" s="46" cm="1">
        <f t="array" ref="E2993">sch_sp_se_num_officials_mag</f>
        <v>0</v>
      </c>
      <c r="F2993" s="46" t="b">
        <v>1</v>
      </c>
    </row>
    <row r="2994" spans="1:6">
      <c r="A2994" s="46" t="s">
        <v>7779</v>
      </c>
      <c r="B2994" s="46" t="s">
        <v>7707</v>
      </c>
      <c r="C2994" s="46" t="s">
        <v>7779</v>
      </c>
      <c r="D2994" s="1018" t="s">
        <v>7924</v>
      </c>
      <c r="E2994" s="46" cm="1">
        <f t="array" ref="E2994">sch_sp_se_num_peteachss_mag</f>
        <v>0</v>
      </c>
      <c r="F2994" s="46" t="b">
        <v>1</v>
      </c>
    </row>
    <row r="2995" spans="1:6">
      <c r="A2995" s="46" t="s">
        <v>7780</v>
      </c>
      <c r="B2995" s="46" t="s">
        <v>7707</v>
      </c>
      <c r="C2995" s="46" t="s">
        <v>7780</v>
      </c>
      <c r="D2995" s="1018" t="s">
        <v>7925</v>
      </c>
      <c r="E2995" s="46" cm="1">
        <f t="array" ref="E2995">sch_sp_se_num_nonpeteachss_mag</f>
        <v>0</v>
      </c>
      <c r="F2995" s="46" t="b">
        <v>1</v>
      </c>
    </row>
    <row r="2996" spans="1:6">
      <c r="A2996" s="46" t="s">
        <v>7781</v>
      </c>
      <c r="B2996" s="46" t="s">
        <v>7707</v>
      </c>
      <c r="C2996" s="46" t="s">
        <v>7781</v>
      </c>
      <c r="D2996" s="1018" t="s">
        <v>7926</v>
      </c>
      <c r="E2996" s="46" cm="1">
        <f t="array" ref="E2996">sch_sp_se_num_nonteachpss_mag</f>
        <v>0</v>
      </c>
      <c r="F2996" s="46" t="b">
        <v>1</v>
      </c>
    </row>
    <row r="2997" spans="1:6">
      <c r="A2997" s="46" t="s">
        <v>7782</v>
      </c>
      <c r="B2997" s="46" t="s">
        <v>7707</v>
      </c>
      <c r="C2997" s="46" t="s">
        <v>7782</v>
      </c>
      <c r="D2997" s="1018" t="s">
        <v>7927</v>
      </c>
      <c r="E2997" s="46" cm="1">
        <f t="array" ref="E2997">sch_sp_se_num_coaches_wag</f>
        <v>0</v>
      </c>
      <c r="F2997" s="46" t="b">
        <v>1</v>
      </c>
    </row>
    <row r="2998" spans="1:6">
      <c r="A2998" s="46" t="s">
        <v>7783</v>
      </c>
      <c r="B2998" s="46" t="s">
        <v>7707</v>
      </c>
      <c r="C2998" s="46" t="s">
        <v>7783</v>
      </c>
      <c r="D2998" s="1018" t="s">
        <v>7928</v>
      </c>
      <c r="E2998" s="46" cm="1">
        <f t="array" ref="E2998">sch_sp_se_num_officials_wag</f>
        <v>0</v>
      </c>
      <c r="F2998" s="46" t="b">
        <v>1</v>
      </c>
    </row>
    <row r="2999" spans="1:6">
      <c r="A2999" s="46" t="s">
        <v>7784</v>
      </c>
      <c r="B2999" s="46" t="s">
        <v>7707</v>
      </c>
      <c r="C2999" s="46" t="s">
        <v>7784</v>
      </c>
      <c r="D2999" s="1018" t="s">
        <v>7929</v>
      </c>
      <c r="E2999" s="46" cm="1">
        <f t="array" ref="E2999">sch_sp_se_num_peteachss_wag</f>
        <v>0</v>
      </c>
      <c r="F2999" s="46" t="b">
        <v>1</v>
      </c>
    </row>
    <row r="3000" spans="1:6">
      <c r="A3000" s="46" t="s">
        <v>7785</v>
      </c>
      <c r="B3000" s="46" t="s">
        <v>7707</v>
      </c>
      <c r="C3000" s="46" t="s">
        <v>7785</v>
      </c>
      <c r="D3000" s="1018" t="s">
        <v>7930</v>
      </c>
      <c r="E3000" s="46" cm="1">
        <f t="array" ref="E3000">sch_sp_se_num_nonpeteachss_wag</f>
        <v>0</v>
      </c>
      <c r="F3000" s="46" t="b">
        <v>1</v>
      </c>
    </row>
    <row r="3001" spans="1:6">
      <c r="A3001" s="46" t="s">
        <v>7786</v>
      </c>
      <c r="B3001" s="46" t="s">
        <v>7707</v>
      </c>
      <c r="C3001" s="46" t="s">
        <v>7786</v>
      </c>
      <c r="D3001" s="1018" t="s">
        <v>7931</v>
      </c>
      <c r="E3001" s="46" cm="1">
        <f t="array" ref="E3001">sch_sp_se_num_nonteachpss_wag</f>
        <v>0</v>
      </c>
      <c r="F3001" s="46" t="b">
        <v>1</v>
      </c>
    </row>
    <row r="3002" spans="1:6">
      <c r="A3002" s="46" t="s">
        <v>7787</v>
      </c>
      <c r="B3002" s="46" t="s">
        <v>7707</v>
      </c>
      <c r="C3002" s="46" t="s">
        <v>7787</v>
      </c>
      <c r="D3002" s="1018" t="s">
        <v>7932</v>
      </c>
      <c r="E3002" s="46" cm="1">
        <f t="array" ref="E3002">sch_sp_se_num_coaches_rg</f>
        <v>0</v>
      </c>
      <c r="F3002" s="46" t="b">
        <v>1</v>
      </c>
    </row>
    <row r="3003" spans="1:6">
      <c r="A3003" s="46" t="s">
        <v>7788</v>
      </c>
      <c r="B3003" s="46" t="s">
        <v>7707</v>
      </c>
      <c r="C3003" s="46" t="s">
        <v>7788</v>
      </c>
      <c r="D3003" s="1018" t="s">
        <v>7933</v>
      </c>
      <c r="E3003" s="46" cm="1">
        <f t="array" ref="E3003">sch_sp_se_num_officials_rg</f>
        <v>0</v>
      </c>
      <c r="F3003" s="46" t="b">
        <v>1</v>
      </c>
    </row>
    <row r="3004" spans="1:6">
      <c r="A3004" s="46" t="s">
        <v>7789</v>
      </c>
      <c r="B3004" s="46" t="s">
        <v>7707</v>
      </c>
      <c r="C3004" s="46" t="s">
        <v>7789</v>
      </c>
      <c r="D3004" s="1018" t="s">
        <v>7934</v>
      </c>
      <c r="E3004" s="46" cm="1">
        <f t="array" ref="E3004">sch_sp_se_num_peteachss_rg</f>
        <v>0</v>
      </c>
      <c r="F3004" s="46" t="b">
        <v>1</v>
      </c>
    </row>
    <row r="3005" spans="1:6">
      <c r="A3005" s="46" t="s">
        <v>7790</v>
      </c>
      <c r="B3005" s="46" t="s">
        <v>7707</v>
      </c>
      <c r="C3005" s="46" t="s">
        <v>7790</v>
      </c>
      <c r="D3005" s="1018" t="s">
        <v>7935</v>
      </c>
      <c r="E3005" s="46" cm="1">
        <f t="array" ref="E3005">sch_sp_se_num_nonpeteachss_rg</f>
        <v>0</v>
      </c>
      <c r="F3005" s="46" t="b">
        <v>1</v>
      </c>
    </row>
    <row r="3006" spans="1:6">
      <c r="A3006" s="46" t="s">
        <v>7791</v>
      </c>
      <c r="B3006" s="46" t="s">
        <v>7707</v>
      </c>
      <c r="C3006" s="46" t="s">
        <v>7791</v>
      </c>
      <c r="D3006" s="1018" t="s">
        <v>7936</v>
      </c>
      <c r="E3006" s="46" cm="1">
        <f t="array" ref="E3006">sch_sp_se_num_nonteachpss_rg</f>
        <v>0</v>
      </c>
      <c r="F3006" s="46" t="b">
        <v>1</v>
      </c>
    </row>
    <row r="3007" spans="1:6">
      <c r="A3007" s="46" t="s">
        <v>7792</v>
      </c>
      <c r="B3007" s="46" t="s">
        <v>7707</v>
      </c>
      <c r="C3007" s="46" t="s">
        <v>7792</v>
      </c>
      <c r="D3007" s="1018" t="s">
        <v>7937</v>
      </c>
      <c r="E3007" s="46" cm="1">
        <f t="array" ref="E3007">sch_sp_se_num_coaches_pencak</f>
        <v>0</v>
      </c>
      <c r="F3007" s="46" t="b">
        <v>1</v>
      </c>
    </row>
    <row r="3008" spans="1:6">
      <c r="A3008" s="46" t="s">
        <v>7793</v>
      </c>
      <c r="B3008" s="46" t="s">
        <v>7707</v>
      </c>
      <c r="C3008" s="46" t="s">
        <v>7793</v>
      </c>
      <c r="D3008" s="1018" t="s">
        <v>7938</v>
      </c>
      <c r="E3008" s="46" cm="1">
        <f t="array" ref="E3008">sch_sp_se_num_officials_pencak</f>
        <v>0</v>
      </c>
      <c r="F3008" s="46" t="b">
        <v>1</v>
      </c>
    </row>
    <row r="3009" spans="1:6">
      <c r="A3009" s="46" t="s">
        <v>7794</v>
      </c>
      <c r="B3009" s="46" t="s">
        <v>7707</v>
      </c>
      <c r="C3009" s="46" t="s">
        <v>7794</v>
      </c>
      <c r="D3009" s="1018" t="s">
        <v>7939</v>
      </c>
      <c r="E3009" s="46" cm="1">
        <f t="array" ref="E3009">sch_sp_se_num_peteachss_pencak</f>
        <v>0</v>
      </c>
      <c r="F3009" s="46" t="b">
        <v>1</v>
      </c>
    </row>
    <row r="3010" spans="1:6">
      <c r="A3010" s="46" t="s">
        <v>7795</v>
      </c>
      <c r="B3010" s="46" t="s">
        <v>7707</v>
      </c>
      <c r="C3010" s="46" t="s">
        <v>7795</v>
      </c>
      <c r="D3010" s="1018" t="s">
        <v>7940</v>
      </c>
      <c r="E3010" s="46" cm="1">
        <f t="array" ref="E3010">sch_sp_se_num_nonpeteachss_pencak</f>
        <v>0</v>
      </c>
      <c r="F3010" s="46" t="b">
        <v>1</v>
      </c>
    </row>
    <row r="3011" spans="1:6">
      <c r="A3011" s="46" t="s">
        <v>7796</v>
      </c>
      <c r="B3011" s="46" t="s">
        <v>7707</v>
      </c>
      <c r="C3011" s="46" t="s">
        <v>7796</v>
      </c>
      <c r="D3011" s="1018" t="s">
        <v>7941</v>
      </c>
      <c r="E3011" s="46" cm="1">
        <f t="array" ref="E3011">sch_sp_se_num_nonteachpss_pencak</f>
        <v>0</v>
      </c>
      <c r="F3011" s="46" t="b">
        <v>1</v>
      </c>
    </row>
    <row r="3012" spans="1:6">
      <c r="A3012" s="46" t="s">
        <v>7797</v>
      </c>
      <c r="B3012" s="46" t="s">
        <v>7707</v>
      </c>
      <c r="C3012" s="46" t="s">
        <v>7797</v>
      </c>
      <c r="D3012" s="1018" t="s">
        <v>7942</v>
      </c>
      <c r="E3012" s="46" cm="1">
        <f t="array" ref="E3012">sch_sp_se_num_coaches_sepaktakraw</f>
        <v>2</v>
      </c>
      <c r="F3012" s="46" t="b">
        <v>1</v>
      </c>
    </row>
    <row r="3013" spans="1:6">
      <c r="A3013" s="46" t="s">
        <v>7798</v>
      </c>
      <c r="B3013" s="46" t="s">
        <v>7707</v>
      </c>
      <c r="C3013" s="46" t="s">
        <v>7798</v>
      </c>
      <c r="D3013" s="1018" t="s">
        <v>7943</v>
      </c>
      <c r="E3013" s="46" cm="1">
        <f t="array" ref="E3013">sch_sp_se_num_officials_sepaktakraw</f>
        <v>0</v>
      </c>
      <c r="F3013" s="46" t="b">
        <v>1</v>
      </c>
    </row>
    <row r="3014" spans="1:6">
      <c r="A3014" s="46" t="s">
        <v>7799</v>
      </c>
      <c r="B3014" s="46" t="s">
        <v>7707</v>
      </c>
      <c r="C3014" s="46" t="s">
        <v>7799</v>
      </c>
      <c r="D3014" s="1018" t="s">
        <v>7944</v>
      </c>
      <c r="E3014" s="46" cm="1">
        <f t="array" ref="E3014">sch_sp_se_num_peteachss_sepaktakraw</f>
        <v>2</v>
      </c>
      <c r="F3014" s="46" t="b">
        <v>1</v>
      </c>
    </row>
    <row r="3015" spans="1:6">
      <c r="A3015" s="46" t="s">
        <v>7800</v>
      </c>
      <c r="B3015" s="46" t="s">
        <v>7707</v>
      </c>
      <c r="C3015" s="46" t="s">
        <v>7800</v>
      </c>
      <c r="D3015" s="1018" t="s">
        <v>7945</v>
      </c>
      <c r="E3015" s="46" cm="1">
        <f t="array" ref="E3015">sch_sp_se_num_nonpeteachss_sepaktakraw</f>
        <v>0</v>
      </c>
      <c r="F3015" s="46" t="b">
        <v>1</v>
      </c>
    </row>
    <row r="3016" spans="1:6">
      <c r="A3016" s="46" t="s">
        <v>7801</v>
      </c>
      <c r="B3016" s="46" t="s">
        <v>7707</v>
      </c>
      <c r="C3016" s="46" t="s">
        <v>7801</v>
      </c>
      <c r="D3016" s="1018" t="s">
        <v>7946</v>
      </c>
      <c r="E3016" s="46" cm="1">
        <f t="array" ref="E3016">sch_sp_se_num_nonteachpss_sepaktakraw</f>
        <v>0</v>
      </c>
      <c r="F3016" s="46" t="b">
        <v>1</v>
      </c>
    </row>
    <row r="3017" spans="1:6">
      <c r="A3017" s="46" t="s">
        <v>7802</v>
      </c>
      <c r="B3017" s="46" t="s">
        <v>7707</v>
      </c>
      <c r="C3017" s="46" t="s">
        <v>7802</v>
      </c>
      <c r="D3017" s="1018" t="s">
        <v>7947</v>
      </c>
      <c r="E3017" s="46" cm="1">
        <f t="array" ref="E3017">sch_sp_se_num_coaches_softball</f>
        <v>0</v>
      </c>
      <c r="F3017" s="46" t="b">
        <v>1</v>
      </c>
    </row>
    <row r="3018" spans="1:6">
      <c r="A3018" s="46" t="s">
        <v>7803</v>
      </c>
      <c r="B3018" s="46" t="s">
        <v>7707</v>
      </c>
      <c r="C3018" s="46" t="s">
        <v>7803</v>
      </c>
      <c r="D3018" s="1018" t="s">
        <v>7948</v>
      </c>
      <c r="E3018" s="46" cm="1">
        <f t="array" ref="E3018">sch_sp_se_num_officials_softball</f>
        <v>0</v>
      </c>
      <c r="F3018" s="46" t="b">
        <v>1</v>
      </c>
    </row>
    <row r="3019" spans="1:6">
      <c r="A3019" s="46" t="s">
        <v>7804</v>
      </c>
      <c r="B3019" s="46" t="s">
        <v>7707</v>
      </c>
      <c r="C3019" s="46" t="s">
        <v>7804</v>
      </c>
      <c r="D3019" s="1018" t="s">
        <v>7949</v>
      </c>
      <c r="E3019" s="46" cm="1">
        <f t="array" ref="E3019">sch_sp_se_num_peteachss_softball</f>
        <v>0</v>
      </c>
      <c r="F3019" s="46" t="b">
        <v>1</v>
      </c>
    </row>
    <row r="3020" spans="1:6">
      <c r="A3020" s="46" t="s">
        <v>7805</v>
      </c>
      <c r="B3020" s="46" t="s">
        <v>7707</v>
      </c>
      <c r="C3020" s="46" t="s">
        <v>7805</v>
      </c>
      <c r="D3020" s="1018" t="s">
        <v>7950</v>
      </c>
      <c r="E3020" s="46" cm="1">
        <f t="array" ref="E3020">sch_sp_se_num_nonpeteachss_softball</f>
        <v>0</v>
      </c>
      <c r="F3020" s="46" t="b">
        <v>1</v>
      </c>
    </row>
    <row r="3021" spans="1:6">
      <c r="A3021" s="46" t="s">
        <v>7806</v>
      </c>
      <c r="B3021" s="46" t="s">
        <v>7707</v>
      </c>
      <c r="C3021" s="46" t="s">
        <v>7806</v>
      </c>
      <c r="D3021" s="1018" t="s">
        <v>7951</v>
      </c>
      <c r="E3021" s="46" cm="1">
        <f t="array" ref="E3021">sch_sp_se_num_nonteachpss_softball</f>
        <v>0</v>
      </c>
      <c r="F3021" s="46" t="b">
        <v>1</v>
      </c>
    </row>
    <row r="3022" spans="1:6">
      <c r="A3022" s="46" t="s">
        <v>7807</v>
      </c>
      <c r="B3022" s="46" t="s">
        <v>7707</v>
      </c>
      <c r="C3022" s="46" t="s">
        <v>7807</v>
      </c>
      <c r="D3022" s="1018" t="s">
        <v>7952</v>
      </c>
      <c r="E3022" s="46" cm="1">
        <f t="array" ref="E3022">sch_sp_se_num_coaches_swimming</f>
        <v>0</v>
      </c>
      <c r="F3022" s="46" t="b">
        <v>1</v>
      </c>
    </row>
    <row r="3023" spans="1:6">
      <c r="A3023" s="46" t="s">
        <v>7808</v>
      </c>
      <c r="B3023" s="46" t="s">
        <v>7707</v>
      </c>
      <c r="C3023" s="46" t="s">
        <v>7808</v>
      </c>
      <c r="D3023" s="1018" t="s">
        <v>7953</v>
      </c>
      <c r="E3023" s="46" cm="1">
        <f t="array" ref="E3023">sch_sp_se_num_officials_swimming</f>
        <v>0</v>
      </c>
      <c r="F3023" s="46" t="b">
        <v>1</v>
      </c>
    </row>
    <row r="3024" spans="1:6">
      <c r="A3024" s="46" t="s">
        <v>7809</v>
      </c>
      <c r="B3024" s="46" t="s">
        <v>7707</v>
      </c>
      <c r="C3024" s="46" t="s">
        <v>7809</v>
      </c>
      <c r="D3024" s="1018" t="s">
        <v>7954</v>
      </c>
      <c r="E3024" s="46" cm="1">
        <f t="array" ref="E3024">sch_sp_se_num_peteachss_swimming</f>
        <v>0</v>
      </c>
      <c r="F3024" s="46" t="b">
        <v>1</v>
      </c>
    </row>
    <row r="3025" spans="1:6">
      <c r="A3025" s="46" t="s">
        <v>7810</v>
      </c>
      <c r="B3025" s="46" t="s">
        <v>7707</v>
      </c>
      <c r="C3025" s="46" t="s">
        <v>7810</v>
      </c>
      <c r="D3025" s="1018" t="s">
        <v>7955</v>
      </c>
      <c r="E3025" s="46" cm="1">
        <f t="array" ref="E3025">sch_sp_se_num_nonpeteachss_swimming</f>
        <v>0</v>
      </c>
      <c r="F3025" s="46" t="b">
        <v>1</v>
      </c>
    </row>
    <row r="3026" spans="1:6">
      <c r="A3026" s="46" t="s">
        <v>7811</v>
      </c>
      <c r="B3026" s="46" t="s">
        <v>7707</v>
      </c>
      <c r="C3026" s="46" t="s">
        <v>7811</v>
      </c>
      <c r="D3026" s="1018" t="s">
        <v>7956</v>
      </c>
      <c r="E3026" s="46" cm="1">
        <f t="array" ref="E3026">sch_sp_se_num_nonteachpss_swimming</f>
        <v>0</v>
      </c>
      <c r="F3026" s="46" t="b">
        <v>1</v>
      </c>
    </row>
    <row r="3027" spans="1:6">
      <c r="A3027" s="46" t="s">
        <v>7812</v>
      </c>
      <c r="B3027" s="46" t="s">
        <v>7707</v>
      </c>
      <c r="C3027" s="46" t="s">
        <v>7812</v>
      </c>
      <c r="D3027" s="1018" t="s">
        <v>7957</v>
      </c>
      <c r="E3027" s="46" cm="1">
        <f t="array" ref="E3027">sch_sp_se_num_coaches_tabletennis</f>
        <v>0</v>
      </c>
      <c r="F3027" s="46" t="b">
        <v>1</v>
      </c>
    </row>
    <row r="3028" spans="1:6">
      <c r="A3028" s="46" t="s">
        <v>7813</v>
      </c>
      <c r="B3028" s="46" t="s">
        <v>7707</v>
      </c>
      <c r="C3028" s="46" t="s">
        <v>7813</v>
      </c>
      <c r="D3028" s="1018" t="s">
        <v>7958</v>
      </c>
      <c r="E3028" s="46" cm="1">
        <f t="array" ref="E3028">sch_sp_se_num_officials_tabletennis</f>
        <v>0</v>
      </c>
      <c r="F3028" s="46" t="b">
        <v>1</v>
      </c>
    </row>
    <row r="3029" spans="1:6">
      <c r="A3029" s="46" t="s">
        <v>7814</v>
      </c>
      <c r="B3029" s="46" t="s">
        <v>7707</v>
      </c>
      <c r="C3029" s="46" t="s">
        <v>7814</v>
      </c>
      <c r="D3029" s="1018" t="s">
        <v>7959</v>
      </c>
      <c r="E3029" s="46" cm="1">
        <f t="array" ref="E3029">sch_sp_se_num_peteachss_tabletennis</f>
        <v>0</v>
      </c>
      <c r="F3029" s="46" t="b">
        <v>1</v>
      </c>
    </row>
    <row r="3030" spans="1:6">
      <c r="A3030" s="46" t="s">
        <v>7815</v>
      </c>
      <c r="B3030" s="46" t="s">
        <v>7707</v>
      </c>
      <c r="C3030" s="46" t="s">
        <v>7815</v>
      </c>
      <c r="D3030" s="1018" t="s">
        <v>7960</v>
      </c>
      <c r="E3030" s="46" cm="1">
        <f t="array" ref="E3030">sch_sp_se_num_nonpeteachss_tabletennis</f>
        <v>0</v>
      </c>
      <c r="F3030" s="46" t="b">
        <v>1</v>
      </c>
    </row>
    <row r="3031" spans="1:6">
      <c r="A3031" s="46" t="s">
        <v>7816</v>
      </c>
      <c r="B3031" s="46" t="s">
        <v>7707</v>
      </c>
      <c r="C3031" s="46" t="s">
        <v>7816</v>
      </c>
      <c r="D3031" s="1018" t="s">
        <v>7961</v>
      </c>
      <c r="E3031" s="46" cm="1">
        <f t="array" ref="E3031">sch_sp_se_num_nonteachpss_tabletennis</f>
        <v>0</v>
      </c>
      <c r="F3031" s="46" t="b">
        <v>1</v>
      </c>
    </row>
    <row r="3032" spans="1:6">
      <c r="A3032" s="46" t="s">
        <v>7817</v>
      </c>
      <c r="B3032" s="46" t="s">
        <v>7707</v>
      </c>
      <c r="C3032" s="46" t="s">
        <v>7817</v>
      </c>
      <c r="D3032" s="1018" t="s">
        <v>7962</v>
      </c>
      <c r="E3032" s="46" cm="1">
        <f t="array" ref="E3032">sch_sp_se_num_coaches_taekwondo</f>
        <v>0</v>
      </c>
      <c r="F3032" s="46" t="b">
        <v>1</v>
      </c>
    </row>
    <row r="3033" spans="1:6">
      <c r="A3033" s="46" t="s">
        <v>7818</v>
      </c>
      <c r="B3033" s="46" t="s">
        <v>7707</v>
      </c>
      <c r="C3033" s="46" t="s">
        <v>7818</v>
      </c>
      <c r="D3033" s="1018" t="s">
        <v>7963</v>
      </c>
      <c r="E3033" s="46" cm="1">
        <f t="array" ref="E3033">sch_sp_se_num_officials_taekwondo</f>
        <v>0</v>
      </c>
      <c r="F3033" s="46" t="b">
        <v>1</v>
      </c>
    </row>
    <row r="3034" spans="1:6">
      <c r="A3034" s="46" t="s">
        <v>7819</v>
      </c>
      <c r="B3034" s="46" t="s">
        <v>7707</v>
      </c>
      <c r="C3034" s="46" t="s">
        <v>7819</v>
      </c>
      <c r="D3034" s="1018" t="s">
        <v>7964</v>
      </c>
      <c r="E3034" s="46" cm="1">
        <f t="array" ref="E3034">sch_sp_se_num_peteachss_taekwondo</f>
        <v>0</v>
      </c>
      <c r="F3034" s="46" t="b">
        <v>1</v>
      </c>
    </row>
    <row r="3035" spans="1:6">
      <c r="A3035" s="46" t="s">
        <v>7820</v>
      </c>
      <c r="B3035" s="46" t="s">
        <v>7707</v>
      </c>
      <c r="C3035" s="46" t="s">
        <v>7820</v>
      </c>
      <c r="D3035" s="1018" t="s">
        <v>7965</v>
      </c>
      <c r="E3035" s="46" cm="1">
        <f t="array" ref="E3035">sch_sp_se_num_nonpeteachss_taekwondo</f>
        <v>0</v>
      </c>
      <c r="F3035" s="46" t="b">
        <v>1</v>
      </c>
    </row>
    <row r="3036" spans="1:6">
      <c r="A3036" s="46" t="s">
        <v>7821</v>
      </c>
      <c r="B3036" s="46" t="s">
        <v>7707</v>
      </c>
      <c r="C3036" s="46" t="s">
        <v>7821</v>
      </c>
      <c r="D3036" s="1018" t="s">
        <v>7966</v>
      </c>
      <c r="E3036" s="46" cm="1">
        <f t="array" ref="E3036">sch_sp_se_num_nonteachpss_taekwondo</f>
        <v>0</v>
      </c>
      <c r="F3036" s="46" t="b">
        <v>1</v>
      </c>
    </row>
    <row r="3037" spans="1:6">
      <c r="A3037" s="46" t="s">
        <v>7822</v>
      </c>
      <c r="B3037" s="46" t="s">
        <v>7707</v>
      </c>
      <c r="C3037" s="46" t="s">
        <v>7822</v>
      </c>
      <c r="D3037" s="1018" t="s">
        <v>7967</v>
      </c>
      <c r="E3037" s="46" cm="1">
        <f t="array" ref="E3037">sch_sp_se_num_coaches_tennis</f>
        <v>0</v>
      </c>
      <c r="F3037" s="46" t="b">
        <v>1</v>
      </c>
    </row>
    <row r="3038" spans="1:6">
      <c r="A3038" s="46" t="s">
        <v>7823</v>
      </c>
      <c r="B3038" s="46" t="s">
        <v>7707</v>
      </c>
      <c r="C3038" s="46" t="s">
        <v>7823</v>
      </c>
      <c r="D3038" s="1018" t="s">
        <v>7968</v>
      </c>
      <c r="E3038" s="46" cm="1">
        <f t="array" ref="E3038">sch_sp_se_num_officials_tennis</f>
        <v>0</v>
      </c>
      <c r="F3038" s="46" t="b">
        <v>1</v>
      </c>
    </row>
    <row r="3039" spans="1:6">
      <c r="A3039" s="46" t="s">
        <v>7824</v>
      </c>
      <c r="B3039" s="46" t="s">
        <v>7707</v>
      </c>
      <c r="C3039" s="46" t="s">
        <v>7824</v>
      </c>
      <c r="D3039" s="1018" t="s">
        <v>7969</v>
      </c>
      <c r="E3039" s="46" cm="1">
        <f t="array" ref="E3039">sch_sp_se_num_peteachss_tennis</f>
        <v>0</v>
      </c>
      <c r="F3039" s="46" t="b">
        <v>1</v>
      </c>
    </row>
    <row r="3040" spans="1:6">
      <c r="A3040" s="46" t="s">
        <v>7825</v>
      </c>
      <c r="B3040" s="46" t="s">
        <v>7707</v>
      </c>
      <c r="C3040" s="46" t="s">
        <v>7825</v>
      </c>
      <c r="D3040" s="1018" t="s">
        <v>7970</v>
      </c>
      <c r="E3040" s="46" cm="1">
        <f t="array" ref="E3040">sch_sp_se_num_nonpeteachss_tennis</f>
        <v>0</v>
      </c>
      <c r="F3040" s="46" t="b">
        <v>1</v>
      </c>
    </row>
    <row r="3041" spans="1:6">
      <c r="A3041" s="46" t="s">
        <v>7826</v>
      </c>
      <c r="B3041" s="46" t="s">
        <v>7707</v>
      </c>
      <c r="C3041" s="46" t="s">
        <v>7826</v>
      </c>
      <c r="D3041" s="1018" t="s">
        <v>7971</v>
      </c>
      <c r="E3041" s="46" cm="1">
        <f t="array" ref="E3041">sch_sp_se_num_nonteachpss_tennis</f>
        <v>0</v>
      </c>
      <c r="F3041" s="46" t="b">
        <v>1</v>
      </c>
    </row>
    <row r="3042" spans="1:6">
      <c r="A3042" s="46" t="s">
        <v>7827</v>
      </c>
      <c r="B3042" s="46" t="s">
        <v>7707</v>
      </c>
      <c r="C3042" s="46" t="s">
        <v>7827</v>
      </c>
      <c r="D3042" s="1018" t="s">
        <v>7972</v>
      </c>
      <c r="E3042" s="46" cm="1">
        <f t="array" ref="E3042">sch_sp_se_num_coaches_volleyball</f>
        <v>0</v>
      </c>
      <c r="F3042" s="46" t="b">
        <v>1</v>
      </c>
    </row>
    <row r="3043" spans="1:6">
      <c r="A3043" s="46" t="s">
        <v>7828</v>
      </c>
      <c r="B3043" s="46" t="s">
        <v>7707</v>
      </c>
      <c r="C3043" s="46" t="s">
        <v>7828</v>
      </c>
      <c r="D3043" s="1018" t="s">
        <v>7973</v>
      </c>
      <c r="E3043" s="46" cm="1">
        <f t="array" ref="E3043">sch_sp_se_num_officials_volleyball</f>
        <v>0</v>
      </c>
      <c r="F3043" s="46" t="b">
        <v>1</v>
      </c>
    </row>
    <row r="3044" spans="1:6">
      <c r="A3044" s="46" t="s">
        <v>7829</v>
      </c>
      <c r="B3044" s="46" t="s">
        <v>7707</v>
      </c>
      <c r="C3044" s="46" t="s">
        <v>7829</v>
      </c>
      <c r="D3044" s="1018" t="s">
        <v>7974</v>
      </c>
      <c r="E3044" s="46" cm="1">
        <f t="array" ref="E3044">sch_sp_se_num_peteachss_volleyball</f>
        <v>0</v>
      </c>
      <c r="F3044" s="46" t="b">
        <v>1</v>
      </c>
    </row>
    <row r="3045" spans="1:6">
      <c r="A3045" s="46" t="s">
        <v>7830</v>
      </c>
      <c r="B3045" s="46" t="s">
        <v>7707</v>
      </c>
      <c r="C3045" s="46" t="s">
        <v>7830</v>
      </c>
      <c r="D3045" s="1018" t="s">
        <v>7975</v>
      </c>
      <c r="E3045" s="46" cm="1">
        <f t="array" ref="E3045">sch_sp_se_num_nonpeteachss_volleyball</f>
        <v>0</v>
      </c>
      <c r="F3045" s="46" t="b">
        <v>1</v>
      </c>
    </row>
    <row r="3046" spans="1:6">
      <c r="A3046" s="46" t="s">
        <v>7831</v>
      </c>
      <c r="B3046" s="46" t="s">
        <v>7707</v>
      </c>
      <c r="C3046" s="46" t="s">
        <v>7831</v>
      </c>
      <c r="D3046" s="1018" t="s">
        <v>7976</v>
      </c>
      <c r="E3046" s="46" cm="1">
        <f t="array" ref="E3046">sch_sp_se_num_nonteachpss_volleyball</f>
        <v>0</v>
      </c>
      <c r="F3046" s="46" t="b">
        <v>1</v>
      </c>
    </row>
    <row r="3047" spans="1:6">
      <c r="A3047" s="46" t="s">
        <v>7832</v>
      </c>
      <c r="B3047" s="46" t="s">
        <v>7707</v>
      </c>
      <c r="C3047" s="46" t="s">
        <v>7832</v>
      </c>
      <c r="D3047" s="1018" t="s">
        <v>7977</v>
      </c>
      <c r="E3047" s="46" cm="1">
        <f t="array" ref="E3047">sch_sp_se_num_coaches_wrestling</f>
        <v>0</v>
      </c>
      <c r="F3047" s="46" t="b">
        <v>1</v>
      </c>
    </row>
    <row r="3048" spans="1:6">
      <c r="A3048" s="46" t="s">
        <v>7833</v>
      </c>
      <c r="B3048" s="46" t="s">
        <v>7707</v>
      </c>
      <c r="C3048" s="46" t="s">
        <v>7833</v>
      </c>
      <c r="D3048" s="1018" t="s">
        <v>7978</v>
      </c>
      <c r="E3048" s="46" cm="1">
        <f t="array" ref="E3048">sch_sp_se_num_officials_wrestling</f>
        <v>0</v>
      </c>
      <c r="F3048" s="46" t="b">
        <v>1</v>
      </c>
    </row>
    <row r="3049" spans="1:6">
      <c r="A3049" s="46" t="s">
        <v>7834</v>
      </c>
      <c r="B3049" s="46" t="s">
        <v>7707</v>
      </c>
      <c r="C3049" s="46" t="s">
        <v>7834</v>
      </c>
      <c r="D3049" s="1018" t="s">
        <v>7979</v>
      </c>
      <c r="E3049" s="46" cm="1">
        <f t="array" ref="E3049">sch_sp_se_num_peteachss_wrestling</f>
        <v>0</v>
      </c>
      <c r="F3049" s="46" t="b">
        <v>1</v>
      </c>
    </row>
    <row r="3050" spans="1:6">
      <c r="A3050" s="46" t="s">
        <v>7835</v>
      </c>
      <c r="B3050" s="46" t="s">
        <v>7707</v>
      </c>
      <c r="C3050" s="46" t="s">
        <v>7835</v>
      </c>
      <c r="D3050" s="1018" t="s">
        <v>7980</v>
      </c>
      <c r="E3050" s="46" cm="1">
        <f t="array" ref="E3050">sch_sp_se_num_nonpeteachss_wrestling</f>
        <v>0</v>
      </c>
      <c r="F3050" s="46" t="b">
        <v>1</v>
      </c>
    </row>
    <row r="3051" spans="1:6">
      <c r="A3051" s="46" t="s">
        <v>7836</v>
      </c>
      <c r="B3051" s="46" t="s">
        <v>7707</v>
      </c>
      <c r="C3051" s="46" t="s">
        <v>7836</v>
      </c>
      <c r="D3051" s="1018" t="s">
        <v>7981</v>
      </c>
      <c r="E3051" s="46" cm="1">
        <f t="array" ref="E3051">sch_sp_se_num_nonteachpss_wrestling</f>
        <v>0</v>
      </c>
      <c r="F3051" s="46" t="b">
        <v>1</v>
      </c>
    </row>
    <row r="3052" spans="1:6">
      <c r="A3052" s="46" t="s">
        <v>7837</v>
      </c>
      <c r="B3052" s="46" t="s">
        <v>7707</v>
      </c>
      <c r="C3052" s="46" t="s">
        <v>7837</v>
      </c>
      <c r="D3052" s="1018" t="s">
        <v>7982</v>
      </c>
      <c r="E3052" s="46" cm="1">
        <f t="array" ref="E3052">sch_sp_se_num_coaches_wushu</f>
        <v>0</v>
      </c>
      <c r="F3052" s="46" t="b">
        <v>1</v>
      </c>
    </row>
    <row r="3053" spans="1:6">
      <c r="A3053" s="46" t="s">
        <v>7838</v>
      </c>
      <c r="B3053" s="46" t="s">
        <v>7707</v>
      </c>
      <c r="C3053" s="46" t="s">
        <v>7838</v>
      </c>
      <c r="D3053" s="1018" t="s">
        <v>7983</v>
      </c>
      <c r="E3053" s="46" cm="1">
        <f t="array" ref="E3053">sch_sp_se_num_officials_wushu</f>
        <v>0</v>
      </c>
      <c r="F3053" s="46" t="b">
        <v>1</v>
      </c>
    </row>
    <row r="3054" spans="1:6">
      <c r="A3054" s="46" t="s">
        <v>7839</v>
      </c>
      <c r="B3054" s="46" t="s">
        <v>7707</v>
      </c>
      <c r="C3054" s="46" t="s">
        <v>7839</v>
      </c>
      <c r="D3054" s="1018" t="s">
        <v>7984</v>
      </c>
      <c r="E3054" s="46" cm="1">
        <f t="array" ref="E3054">sch_sp_se_num_peteachss_wushu</f>
        <v>0</v>
      </c>
      <c r="F3054" s="46" t="b">
        <v>1</v>
      </c>
    </row>
    <row r="3055" spans="1:6">
      <c r="A3055" s="46" t="s">
        <v>7840</v>
      </c>
      <c r="B3055" s="46" t="s">
        <v>7707</v>
      </c>
      <c r="C3055" s="46" t="s">
        <v>7840</v>
      </c>
      <c r="D3055" s="1018" t="s">
        <v>7985</v>
      </c>
      <c r="E3055" s="46" cm="1">
        <f t="array" ref="E3055">sch_sp_se_num_nonpeteachss_wushu</f>
        <v>0</v>
      </c>
      <c r="F3055" s="46" t="b">
        <v>1</v>
      </c>
    </row>
    <row r="3056" spans="1:6">
      <c r="A3056" s="46" t="s">
        <v>7841</v>
      </c>
      <c r="B3056" s="46" t="s">
        <v>7707</v>
      </c>
      <c r="C3056" s="46" t="s">
        <v>7841</v>
      </c>
      <c r="D3056" s="1018" t="s">
        <v>7986</v>
      </c>
      <c r="E3056" s="46" cm="1">
        <f t="array" ref="E3056">sch_sp_se_num_nonteachpss_wushu</f>
        <v>0</v>
      </c>
      <c r="F3056" s="46" t="b">
        <v>1</v>
      </c>
    </row>
    <row r="3057" spans="1:8">
      <c r="A3057" s="46" t="s">
        <v>7842</v>
      </c>
      <c r="B3057" s="46" t="s">
        <v>7707</v>
      </c>
      <c r="C3057" s="46" t="s">
        <v>7842</v>
      </c>
      <c r="D3057" s="1018" t="s">
        <v>7987</v>
      </c>
      <c r="E3057" s="46" cm="1">
        <f t="array" ref="E3057">sch_sp_se_num_coaches_bocce</f>
        <v>0</v>
      </c>
      <c r="F3057" s="46" t="b">
        <v>1</v>
      </c>
    </row>
    <row r="3058" spans="1:8">
      <c r="A3058" s="46" t="s">
        <v>7843</v>
      </c>
      <c r="B3058" s="46" t="s">
        <v>7707</v>
      </c>
      <c r="C3058" s="46" t="s">
        <v>7843</v>
      </c>
      <c r="D3058" s="1018" t="s">
        <v>7988</v>
      </c>
      <c r="E3058" s="46" cm="1">
        <f t="array" ref="E3058">sch_sp_se_num_officials_bocce</f>
        <v>0</v>
      </c>
      <c r="F3058" s="46" t="b">
        <v>1</v>
      </c>
    </row>
    <row r="3059" spans="1:8">
      <c r="A3059" s="46" t="s">
        <v>7844</v>
      </c>
      <c r="B3059" s="46" t="s">
        <v>7707</v>
      </c>
      <c r="C3059" s="46" t="s">
        <v>7844</v>
      </c>
      <c r="D3059" s="1018" t="s">
        <v>7989</v>
      </c>
      <c r="E3059" s="46" cm="1">
        <f t="array" ref="E3059">sch_sp_se_num_peteachss_bocce</f>
        <v>0</v>
      </c>
      <c r="F3059" s="46" t="b">
        <v>1</v>
      </c>
    </row>
    <row r="3060" spans="1:8">
      <c r="A3060" s="46" t="s">
        <v>7845</v>
      </c>
      <c r="B3060" s="46" t="s">
        <v>7707</v>
      </c>
      <c r="C3060" s="46" t="s">
        <v>7845</v>
      </c>
      <c r="D3060" s="1018" t="s">
        <v>7990</v>
      </c>
      <c r="E3060" s="46" cm="1">
        <f t="array" ref="E3060">sch_sp_se_num_nonpeteachss_bocce</f>
        <v>0</v>
      </c>
      <c r="F3060" s="46" t="b">
        <v>1</v>
      </c>
    </row>
    <row r="3061" spans="1:8">
      <c r="A3061" s="46" t="s">
        <v>7846</v>
      </c>
      <c r="B3061" s="46" t="s">
        <v>7707</v>
      </c>
      <c r="C3061" s="46" t="s">
        <v>7846</v>
      </c>
      <c r="D3061" s="1018" t="s">
        <v>7991</v>
      </c>
      <c r="E3061" s="46" cm="1">
        <f t="array" ref="E3061">sch_sp_se_num_nonteachpss_bocce</f>
        <v>0</v>
      </c>
      <c r="F3061" s="46" t="b">
        <v>1</v>
      </c>
    </row>
    <row r="3062" spans="1:8">
      <c r="A3062" s="46" t="s">
        <v>7847</v>
      </c>
      <c r="B3062" s="46" t="s">
        <v>7707</v>
      </c>
      <c r="C3062" s="46" t="s">
        <v>7847</v>
      </c>
      <c r="D3062" s="1018" t="s">
        <v>7992</v>
      </c>
      <c r="E3062" s="46" cm="1">
        <f t="array" ref="E3062">sch_sp_se_num_coaches_goalball</f>
        <v>0</v>
      </c>
      <c r="F3062" s="46" t="b">
        <v>1</v>
      </c>
    </row>
    <row r="3063" spans="1:8">
      <c r="A3063" s="46" t="s">
        <v>7848</v>
      </c>
      <c r="B3063" s="46" t="s">
        <v>7707</v>
      </c>
      <c r="C3063" s="46" t="s">
        <v>7848</v>
      </c>
      <c r="D3063" s="1018" t="s">
        <v>7993</v>
      </c>
      <c r="E3063" s="46" cm="1">
        <f t="array" ref="E3063">sch_sp_se_num_officials_goalball</f>
        <v>0</v>
      </c>
      <c r="F3063" s="46" t="b">
        <v>1</v>
      </c>
    </row>
    <row r="3064" spans="1:8">
      <c r="A3064" s="46" t="s">
        <v>7849</v>
      </c>
      <c r="B3064" s="46" t="s">
        <v>7707</v>
      </c>
      <c r="C3064" s="46" t="s">
        <v>7849</v>
      </c>
      <c r="D3064" s="1018" t="s">
        <v>7994</v>
      </c>
      <c r="E3064" s="46" cm="1">
        <f t="array" ref="E3064">sch_sp_se_num_peteachss_goalball</f>
        <v>0</v>
      </c>
      <c r="F3064" s="46" t="b">
        <v>1</v>
      </c>
    </row>
    <row r="3065" spans="1:8">
      <c r="A3065" s="46" t="s">
        <v>7850</v>
      </c>
      <c r="B3065" s="46" t="s">
        <v>7707</v>
      </c>
      <c r="C3065" s="46" t="s">
        <v>7850</v>
      </c>
      <c r="D3065" s="1018" t="s">
        <v>7995</v>
      </c>
      <c r="E3065" s="46" cm="1">
        <f t="array" ref="E3065">sch_sp_se_num_nonpeteachss_goalball</f>
        <v>0</v>
      </c>
      <c r="F3065" s="46" t="b">
        <v>1</v>
      </c>
    </row>
    <row r="3066" spans="1:8" ht="16.5" thickBot="1">
      <c r="A3066" s="479" t="s">
        <v>7851</v>
      </c>
      <c r="B3066" s="479" t="s">
        <v>7707</v>
      </c>
      <c r="C3066" s="479" t="s">
        <v>7851</v>
      </c>
      <c r="D3066" s="1019" t="s">
        <v>7996</v>
      </c>
      <c r="E3066" s="479" cm="1">
        <f t="array" ref="E3066">sch_sp_se_num_nonteachpss_goalball</f>
        <v>0</v>
      </c>
      <c r="F3066" s="479" t="b">
        <v>1</v>
      </c>
      <c r="G3066" s="479"/>
      <c r="H3066" s="479"/>
    </row>
    <row r="3067" spans="1:8" ht="16.5" thickTop="1">
      <c r="A3067" s="46" t="s">
        <v>7997</v>
      </c>
      <c r="B3067" s="46" t="s">
        <v>7998</v>
      </c>
      <c r="C3067" s="46" t="s">
        <v>7997</v>
      </c>
      <c r="D3067" s="46" t="s">
        <v>8277</v>
      </c>
      <c r="E3067" s="46" cm="1">
        <f t="array" ref="E3067">disascal_nh_jun_drought</f>
        <v>0</v>
      </c>
      <c r="F3067" s="46" t="b">
        <v>1</v>
      </c>
    </row>
    <row r="3068" spans="1:8">
      <c r="A3068" s="46" t="s">
        <v>7999</v>
      </c>
      <c r="B3068" s="46" t="s">
        <v>7998</v>
      </c>
      <c r="C3068" s="46" t="s">
        <v>7999</v>
      </c>
      <c r="D3068" s="46" t="s">
        <v>8278</v>
      </c>
      <c r="E3068" s="46" cm="1">
        <f t="array" ref="E3068">disascal_nh_jul_drought</f>
        <v>0</v>
      </c>
      <c r="F3068" s="46" t="b">
        <v>1</v>
      </c>
    </row>
    <row r="3069" spans="1:8">
      <c r="A3069" s="46" t="s">
        <v>8000</v>
      </c>
      <c r="B3069" s="46" t="s">
        <v>7998</v>
      </c>
      <c r="C3069" s="46" t="s">
        <v>8000</v>
      </c>
      <c r="D3069" s="46" t="s">
        <v>8279</v>
      </c>
      <c r="E3069" s="46" cm="1">
        <f t="array" ref="E3069">disascal_nh_aug_drought</f>
        <v>0</v>
      </c>
      <c r="F3069" s="46" t="b">
        <v>1</v>
      </c>
    </row>
    <row r="3070" spans="1:8">
      <c r="A3070" s="46" t="s">
        <v>8001</v>
      </c>
      <c r="B3070" s="46" t="s">
        <v>7998</v>
      </c>
      <c r="C3070" s="46" t="s">
        <v>8001</v>
      </c>
      <c r="D3070" s="46" t="s">
        <v>8280</v>
      </c>
      <c r="E3070" s="46" cm="1">
        <f t="array" ref="E3070">disascal_nh_sep_drought</f>
        <v>0</v>
      </c>
      <c r="F3070" s="46" t="b">
        <v>1</v>
      </c>
    </row>
    <row r="3071" spans="1:8">
      <c r="A3071" s="46" t="s">
        <v>8002</v>
      </c>
      <c r="B3071" s="46" t="s">
        <v>7998</v>
      </c>
      <c r="C3071" s="46" t="s">
        <v>8002</v>
      </c>
      <c r="D3071" s="46" t="s">
        <v>8281</v>
      </c>
      <c r="E3071" s="46" cm="1">
        <f t="array" ref="E3071">disascal_nh_oct_drought</f>
        <v>0</v>
      </c>
      <c r="F3071" s="46" t="b">
        <v>1</v>
      </c>
    </row>
    <row r="3072" spans="1:8">
      <c r="A3072" s="46" t="s">
        <v>8003</v>
      </c>
      <c r="B3072" s="46" t="s">
        <v>7998</v>
      </c>
      <c r="C3072" s="46" t="s">
        <v>8003</v>
      </c>
      <c r="D3072" s="46" t="s">
        <v>8282</v>
      </c>
      <c r="E3072" s="46" cm="1">
        <f t="array" ref="E3072">disascal_nh_nov_drought</f>
        <v>0</v>
      </c>
      <c r="F3072" s="46" t="b">
        <v>1</v>
      </c>
    </row>
    <row r="3073" spans="1:6">
      <c r="A3073" s="46" t="s">
        <v>8004</v>
      </c>
      <c r="B3073" s="46" t="s">
        <v>7998</v>
      </c>
      <c r="C3073" s="46" t="s">
        <v>8004</v>
      </c>
      <c r="D3073" s="46" t="s">
        <v>8283</v>
      </c>
      <c r="E3073" s="46" cm="1">
        <f t="array" ref="E3073">disascal_nh_dec_drought</f>
        <v>0</v>
      </c>
      <c r="F3073" s="46" t="b">
        <v>1</v>
      </c>
    </row>
    <row r="3074" spans="1:6">
      <c r="A3074" s="46" t="s">
        <v>8005</v>
      </c>
      <c r="B3074" s="46" t="s">
        <v>7998</v>
      </c>
      <c r="C3074" s="46" t="s">
        <v>8005</v>
      </c>
      <c r="D3074" s="46" t="s">
        <v>8284</v>
      </c>
      <c r="E3074" s="46" cm="1">
        <f t="array" ref="E3074">disascal_nh_jan_drought</f>
        <v>0</v>
      </c>
      <c r="F3074" s="46" t="b">
        <v>1</v>
      </c>
    </row>
    <row r="3075" spans="1:6">
      <c r="A3075" s="46" t="s">
        <v>8006</v>
      </c>
      <c r="B3075" s="46" t="s">
        <v>7998</v>
      </c>
      <c r="C3075" s="46" t="s">
        <v>8006</v>
      </c>
      <c r="D3075" s="46" t="s">
        <v>8285</v>
      </c>
      <c r="E3075" s="46" cm="1">
        <f t="array" ref="E3075">disascal_nh_feb_drought</f>
        <v>0</v>
      </c>
      <c r="F3075" s="46" t="b">
        <v>1</v>
      </c>
    </row>
    <row r="3076" spans="1:6">
      <c r="A3076" s="46" t="s">
        <v>8007</v>
      </c>
      <c r="B3076" s="46" t="s">
        <v>7998</v>
      </c>
      <c r="C3076" s="46" t="s">
        <v>8007</v>
      </c>
      <c r="D3076" s="46" t="s">
        <v>8286</v>
      </c>
      <c r="E3076" s="46" cm="1">
        <f t="array" ref="E3076">disascal_nh_mar_drought</f>
        <v>0</v>
      </c>
      <c r="F3076" s="46" t="b">
        <v>1</v>
      </c>
    </row>
    <row r="3077" spans="1:6">
      <c r="A3077" s="46" t="s">
        <v>8008</v>
      </c>
      <c r="B3077" s="46" t="s">
        <v>7998</v>
      </c>
      <c r="C3077" s="46" t="s">
        <v>8008</v>
      </c>
      <c r="D3077" s="46" t="s">
        <v>8287</v>
      </c>
      <c r="E3077" s="46" cm="1">
        <f t="array" ref="E3077">disascal_nh_apr_drought</f>
        <v>0</v>
      </c>
      <c r="F3077" s="46" t="b">
        <v>1</v>
      </c>
    </row>
    <row r="3078" spans="1:6">
      <c r="A3078" s="46" t="s">
        <v>8009</v>
      </c>
      <c r="B3078" s="46" t="s">
        <v>7998</v>
      </c>
      <c r="C3078" s="46" t="s">
        <v>8009</v>
      </c>
      <c r="D3078" s="46" t="s">
        <v>8288</v>
      </c>
      <c r="E3078" s="46" cm="1">
        <f t="array" ref="E3078">disascal_nh_may_drought</f>
        <v>0</v>
      </c>
      <c r="F3078" s="46" t="b">
        <v>1</v>
      </c>
    </row>
    <row r="3079" spans="1:6">
      <c r="A3079" s="46" t="s">
        <v>8010</v>
      </c>
      <c r="B3079" s="46" t="s">
        <v>7998</v>
      </c>
      <c r="C3079" s="46" t="s">
        <v>8010</v>
      </c>
      <c r="D3079" s="46" t="s">
        <v>8289</v>
      </c>
      <c r="E3079" s="46" cm="1">
        <f t="array" ref="E3079">disascal_nh_jun_earthquake</f>
        <v>0</v>
      </c>
      <c r="F3079" s="46" t="b">
        <v>1</v>
      </c>
    </row>
    <row r="3080" spans="1:6">
      <c r="A3080" s="46" t="s">
        <v>8011</v>
      </c>
      <c r="B3080" s="46" t="s">
        <v>7998</v>
      </c>
      <c r="C3080" s="46" t="s">
        <v>8011</v>
      </c>
      <c r="D3080" s="46" t="s">
        <v>8290</v>
      </c>
      <c r="E3080" s="46" cm="1">
        <f t="array" ref="E3080">disascal_nh_jul_earthquake</f>
        <v>0</v>
      </c>
      <c r="F3080" s="46" t="b">
        <v>1</v>
      </c>
    </row>
    <row r="3081" spans="1:6">
      <c r="A3081" s="46" t="s">
        <v>8012</v>
      </c>
      <c r="B3081" s="46" t="s">
        <v>7998</v>
      </c>
      <c r="C3081" s="46" t="s">
        <v>8012</v>
      </c>
      <c r="D3081" s="46" t="s">
        <v>8291</v>
      </c>
      <c r="E3081" s="46" cm="1">
        <f t="array" ref="E3081">disascal_nh_aug_earthquake</f>
        <v>0</v>
      </c>
      <c r="F3081" s="46" t="b">
        <v>1</v>
      </c>
    </row>
    <row r="3082" spans="1:6">
      <c r="A3082" s="46" t="s">
        <v>8013</v>
      </c>
      <c r="B3082" s="46" t="s">
        <v>7998</v>
      </c>
      <c r="C3082" s="46" t="s">
        <v>8013</v>
      </c>
      <c r="D3082" s="46" t="s">
        <v>8292</v>
      </c>
      <c r="E3082" s="46" cm="1">
        <f t="array" ref="E3082">disascal_nh_sep_earthquake</f>
        <v>0</v>
      </c>
      <c r="F3082" s="46" t="b">
        <v>1</v>
      </c>
    </row>
    <row r="3083" spans="1:6">
      <c r="A3083" s="46" t="s">
        <v>8014</v>
      </c>
      <c r="B3083" s="46" t="s">
        <v>7998</v>
      </c>
      <c r="C3083" s="46" t="s">
        <v>8014</v>
      </c>
      <c r="D3083" s="46" t="s">
        <v>8293</v>
      </c>
      <c r="E3083" s="46" cm="1">
        <f t="array" ref="E3083">disascal_nh_oct_earthquake</f>
        <v>0</v>
      </c>
      <c r="F3083" s="46" t="b">
        <v>1</v>
      </c>
    </row>
    <row r="3084" spans="1:6">
      <c r="A3084" s="46" t="s">
        <v>8015</v>
      </c>
      <c r="B3084" s="46" t="s">
        <v>7998</v>
      </c>
      <c r="C3084" s="46" t="s">
        <v>8015</v>
      </c>
      <c r="D3084" s="46" t="s">
        <v>8294</v>
      </c>
      <c r="E3084" s="46" cm="1">
        <f t="array" ref="E3084">disascal_nh_nov_earthquake</f>
        <v>0</v>
      </c>
      <c r="F3084" s="46" t="b">
        <v>1</v>
      </c>
    </row>
    <row r="3085" spans="1:6">
      <c r="A3085" s="46" t="s">
        <v>8016</v>
      </c>
      <c r="B3085" s="46" t="s">
        <v>7998</v>
      </c>
      <c r="C3085" s="46" t="s">
        <v>8016</v>
      </c>
      <c r="D3085" s="46" t="s">
        <v>8295</v>
      </c>
      <c r="E3085" s="46" cm="1">
        <f t="array" ref="E3085">disascal_nh_dec_earthquake</f>
        <v>0</v>
      </c>
      <c r="F3085" s="46" t="b">
        <v>1</v>
      </c>
    </row>
    <row r="3086" spans="1:6">
      <c r="A3086" s="46" t="s">
        <v>8017</v>
      </c>
      <c r="B3086" s="46" t="s">
        <v>7998</v>
      </c>
      <c r="C3086" s="46" t="s">
        <v>8017</v>
      </c>
      <c r="D3086" s="46" t="s">
        <v>8296</v>
      </c>
      <c r="E3086" s="46" cm="1">
        <f t="array" ref="E3086">disascal_nh_jan_earthquake</f>
        <v>0</v>
      </c>
      <c r="F3086" s="46" t="b">
        <v>1</v>
      </c>
    </row>
    <row r="3087" spans="1:6">
      <c r="A3087" s="46" t="s">
        <v>8018</v>
      </c>
      <c r="B3087" s="46" t="s">
        <v>7998</v>
      </c>
      <c r="C3087" s="46" t="s">
        <v>8018</v>
      </c>
      <c r="D3087" s="46" t="s">
        <v>8297</v>
      </c>
      <c r="E3087" s="46" cm="1">
        <f t="array" ref="E3087">disascal_nh_feb_earthquake</f>
        <v>0</v>
      </c>
      <c r="F3087" s="46" t="b">
        <v>1</v>
      </c>
    </row>
    <row r="3088" spans="1:6">
      <c r="A3088" s="46" t="s">
        <v>8019</v>
      </c>
      <c r="B3088" s="46" t="s">
        <v>7998</v>
      </c>
      <c r="C3088" s="46" t="s">
        <v>8019</v>
      </c>
      <c r="D3088" s="46" t="s">
        <v>8298</v>
      </c>
      <c r="E3088" s="46" cm="1">
        <f t="array" ref="E3088">disascal_nh_mar_earthquake</f>
        <v>0</v>
      </c>
      <c r="F3088" s="46" t="b">
        <v>1</v>
      </c>
    </row>
    <row r="3089" spans="1:6">
      <c r="A3089" s="46" t="s">
        <v>8020</v>
      </c>
      <c r="B3089" s="46" t="s">
        <v>7998</v>
      </c>
      <c r="C3089" s="46" t="s">
        <v>8020</v>
      </c>
      <c r="D3089" s="46" t="s">
        <v>8299</v>
      </c>
      <c r="E3089" s="46" cm="1">
        <f t="array" ref="E3089">disascal_nh_apr_earthquake</f>
        <v>0</v>
      </c>
      <c r="F3089" s="46" t="b">
        <v>1</v>
      </c>
    </row>
    <row r="3090" spans="1:6">
      <c r="A3090" s="46" t="s">
        <v>8021</v>
      </c>
      <c r="B3090" s="46" t="s">
        <v>7998</v>
      </c>
      <c r="C3090" s="46" t="s">
        <v>8021</v>
      </c>
      <c r="D3090" s="46" t="s">
        <v>8300</v>
      </c>
      <c r="E3090" s="46" cm="1">
        <f t="array" ref="E3090">disascal_nh_may_earthquake</f>
        <v>0</v>
      </c>
      <c r="F3090" s="46" t="b">
        <v>1</v>
      </c>
    </row>
    <row r="3091" spans="1:6">
      <c r="A3091" s="46" t="s">
        <v>8022</v>
      </c>
      <c r="B3091" s="46" t="s">
        <v>7998</v>
      </c>
      <c r="C3091" s="46" t="s">
        <v>8022</v>
      </c>
      <c r="D3091" s="46" t="s">
        <v>8301</v>
      </c>
      <c r="E3091" s="46" cm="1">
        <f t="array" ref="E3091">disascal_nh_jun_fire</f>
        <v>0</v>
      </c>
      <c r="F3091" s="46" t="b">
        <v>1</v>
      </c>
    </row>
    <row r="3092" spans="1:6">
      <c r="A3092" s="46" t="s">
        <v>8023</v>
      </c>
      <c r="B3092" s="46" t="s">
        <v>7998</v>
      </c>
      <c r="C3092" s="46" t="s">
        <v>8023</v>
      </c>
      <c r="D3092" s="46" t="s">
        <v>8302</v>
      </c>
      <c r="E3092" s="46" cm="1">
        <f t="array" ref="E3092">disascal_nh_jul_fire</f>
        <v>0</v>
      </c>
      <c r="F3092" s="46" t="b">
        <v>1</v>
      </c>
    </row>
    <row r="3093" spans="1:6">
      <c r="A3093" s="46" t="s">
        <v>8024</v>
      </c>
      <c r="B3093" s="46" t="s">
        <v>7998</v>
      </c>
      <c r="C3093" s="46" t="s">
        <v>8024</v>
      </c>
      <c r="D3093" s="46" t="s">
        <v>8303</v>
      </c>
      <c r="E3093" s="46" cm="1">
        <f t="array" ref="E3093">disascal_nh_aug_fire</f>
        <v>0</v>
      </c>
      <c r="F3093" s="46" t="b">
        <v>1</v>
      </c>
    </row>
    <row r="3094" spans="1:6">
      <c r="A3094" s="46" t="s">
        <v>8025</v>
      </c>
      <c r="B3094" s="46" t="s">
        <v>7998</v>
      </c>
      <c r="C3094" s="46" t="s">
        <v>8025</v>
      </c>
      <c r="D3094" s="46" t="s">
        <v>8304</v>
      </c>
      <c r="E3094" s="46" cm="1">
        <f t="array" ref="E3094">disascal_nh_sep_fire</f>
        <v>0</v>
      </c>
      <c r="F3094" s="46" t="b">
        <v>1</v>
      </c>
    </row>
    <row r="3095" spans="1:6">
      <c r="A3095" s="46" t="s">
        <v>8026</v>
      </c>
      <c r="B3095" s="46" t="s">
        <v>7998</v>
      </c>
      <c r="C3095" s="46" t="s">
        <v>8026</v>
      </c>
      <c r="D3095" s="46" t="s">
        <v>8305</v>
      </c>
      <c r="E3095" s="46" cm="1">
        <f t="array" ref="E3095">disascal_nh_oct_fire</f>
        <v>0</v>
      </c>
      <c r="F3095" s="46" t="b">
        <v>1</v>
      </c>
    </row>
    <row r="3096" spans="1:6">
      <c r="A3096" s="46" t="s">
        <v>8027</v>
      </c>
      <c r="B3096" s="46" t="s">
        <v>7998</v>
      </c>
      <c r="C3096" s="46" t="s">
        <v>8027</v>
      </c>
      <c r="D3096" s="46" t="s">
        <v>8306</v>
      </c>
      <c r="E3096" s="46" cm="1">
        <f t="array" ref="E3096">disascal_nh_nov_fire</f>
        <v>0</v>
      </c>
      <c r="F3096" s="46" t="b">
        <v>1</v>
      </c>
    </row>
    <row r="3097" spans="1:6">
      <c r="A3097" s="46" t="s">
        <v>8028</v>
      </c>
      <c r="B3097" s="46" t="s">
        <v>7998</v>
      </c>
      <c r="C3097" s="46" t="s">
        <v>8028</v>
      </c>
      <c r="D3097" s="46" t="s">
        <v>8307</v>
      </c>
      <c r="E3097" s="46" cm="1">
        <f t="array" ref="E3097">disascal_nh_dec_fire</f>
        <v>0</v>
      </c>
      <c r="F3097" s="46" t="b">
        <v>1</v>
      </c>
    </row>
    <row r="3098" spans="1:6">
      <c r="A3098" s="46" t="s">
        <v>8029</v>
      </c>
      <c r="B3098" s="46" t="s">
        <v>7998</v>
      </c>
      <c r="C3098" s="46" t="s">
        <v>8029</v>
      </c>
      <c r="D3098" s="46" t="s">
        <v>8308</v>
      </c>
      <c r="E3098" s="46" cm="1">
        <f t="array" ref="E3098">disascal_nh_jan_fire</f>
        <v>0</v>
      </c>
      <c r="F3098" s="46" t="b">
        <v>1</v>
      </c>
    </row>
    <row r="3099" spans="1:6">
      <c r="A3099" s="46" t="s">
        <v>8030</v>
      </c>
      <c r="B3099" s="46" t="s">
        <v>7998</v>
      </c>
      <c r="C3099" s="46" t="s">
        <v>8030</v>
      </c>
      <c r="D3099" s="46" t="s">
        <v>8309</v>
      </c>
      <c r="E3099" s="46" cm="1">
        <f t="array" ref="E3099">disascal_nh_feb_fire</f>
        <v>0</v>
      </c>
      <c r="F3099" s="46" t="b">
        <v>1</v>
      </c>
    </row>
    <row r="3100" spans="1:6">
      <c r="A3100" s="46" t="s">
        <v>8031</v>
      </c>
      <c r="B3100" s="46" t="s">
        <v>7998</v>
      </c>
      <c r="C3100" s="46" t="s">
        <v>8031</v>
      </c>
      <c r="D3100" s="46" t="s">
        <v>8310</v>
      </c>
      <c r="E3100" s="46" cm="1">
        <f t="array" ref="E3100">disascal_nh_mar_fire</f>
        <v>0</v>
      </c>
      <c r="F3100" s="46" t="b">
        <v>1</v>
      </c>
    </row>
    <row r="3101" spans="1:6">
      <c r="A3101" s="46" t="s">
        <v>8032</v>
      </c>
      <c r="B3101" s="46" t="s">
        <v>7998</v>
      </c>
      <c r="C3101" s="46" t="s">
        <v>8032</v>
      </c>
      <c r="D3101" s="46" t="s">
        <v>8311</v>
      </c>
      <c r="E3101" s="46" cm="1">
        <f t="array" ref="E3101">disascal_nh_apr_fire</f>
        <v>0</v>
      </c>
      <c r="F3101" s="46" t="b">
        <v>1</v>
      </c>
    </row>
    <row r="3102" spans="1:6">
      <c r="A3102" s="46" t="s">
        <v>8033</v>
      </c>
      <c r="B3102" s="46" t="s">
        <v>7998</v>
      </c>
      <c r="C3102" s="46" t="s">
        <v>8033</v>
      </c>
      <c r="D3102" s="46" t="s">
        <v>8312</v>
      </c>
      <c r="E3102" s="46" cm="1">
        <f t="array" ref="E3102">disascal_nh_may_fire</f>
        <v>0</v>
      </c>
      <c r="F3102" s="46" t="b">
        <v>1</v>
      </c>
    </row>
    <row r="3103" spans="1:6">
      <c r="A3103" s="46" t="s">
        <v>8034</v>
      </c>
      <c r="B3103" s="46" t="s">
        <v>7998</v>
      </c>
      <c r="C3103" s="46" t="s">
        <v>8034</v>
      </c>
      <c r="D3103" s="46" t="s">
        <v>8313</v>
      </c>
      <c r="E3103" s="46" cm="1">
        <f t="array" ref="E3103">disascal_nh_jun_flood</f>
        <v>0</v>
      </c>
      <c r="F3103" s="46" t="b">
        <v>1</v>
      </c>
    </row>
    <row r="3104" spans="1:6">
      <c r="A3104" s="46" t="s">
        <v>8035</v>
      </c>
      <c r="B3104" s="46" t="s">
        <v>7998</v>
      </c>
      <c r="C3104" s="46" t="s">
        <v>8035</v>
      </c>
      <c r="D3104" s="46" t="s">
        <v>8314</v>
      </c>
      <c r="E3104" s="46" cm="1">
        <f t="array" ref="E3104">disascal_nh_jul_flood</f>
        <v>0</v>
      </c>
      <c r="F3104" s="46" t="b">
        <v>1</v>
      </c>
    </row>
    <row r="3105" spans="1:6">
      <c r="A3105" s="46" t="s">
        <v>8036</v>
      </c>
      <c r="B3105" s="46" t="s">
        <v>7998</v>
      </c>
      <c r="C3105" s="46" t="s">
        <v>8036</v>
      </c>
      <c r="D3105" s="46" t="s">
        <v>8315</v>
      </c>
      <c r="E3105" s="46" cm="1">
        <f t="array" ref="E3105">disascal_nh_aug_flood</f>
        <v>0</v>
      </c>
      <c r="F3105" s="46" t="b">
        <v>1</v>
      </c>
    </row>
    <row r="3106" spans="1:6">
      <c r="A3106" s="46" t="s">
        <v>8037</v>
      </c>
      <c r="B3106" s="46" t="s">
        <v>7998</v>
      </c>
      <c r="C3106" s="46" t="s">
        <v>8037</v>
      </c>
      <c r="D3106" s="46" t="s">
        <v>8316</v>
      </c>
      <c r="E3106" s="46" cm="1">
        <f t="array" ref="E3106">disascal_nh_sep_flood</f>
        <v>0</v>
      </c>
      <c r="F3106" s="46" t="b">
        <v>1</v>
      </c>
    </row>
    <row r="3107" spans="1:6">
      <c r="A3107" s="46" t="s">
        <v>8038</v>
      </c>
      <c r="B3107" s="46" t="s">
        <v>7998</v>
      </c>
      <c r="C3107" s="46" t="s">
        <v>8038</v>
      </c>
      <c r="D3107" s="46" t="s">
        <v>8317</v>
      </c>
      <c r="E3107" s="46" cm="1">
        <f t="array" ref="E3107">disascal_nh_oct_flood</f>
        <v>1</v>
      </c>
      <c r="F3107" s="46" t="b">
        <v>1</v>
      </c>
    </row>
    <row r="3108" spans="1:6">
      <c r="A3108" s="46" t="s">
        <v>8039</v>
      </c>
      <c r="B3108" s="46" t="s">
        <v>7998</v>
      </c>
      <c r="C3108" s="46" t="s">
        <v>8039</v>
      </c>
      <c r="D3108" s="46" t="s">
        <v>8318</v>
      </c>
      <c r="E3108" s="46" cm="1">
        <f t="array" ref="E3108">disascal_nh_nov_flood</f>
        <v>0</v>
      </c>
      <c r="F3108" s="46" t="b">
        <v>1</v>
      </c>
    </row>
    <row r="3109" spans="1:6">
      <c r="A3109" s="46" t="s">
        <v>8040</v>
      </c>
      <c r="B3109" s="46" t="s">
        <v>7998</v>
      </c>
      <c r="C3109" s="46" t="s">
        <v>8040</v>
      </c>
      <c r="D3109" s="46" t="s">
        <v>8319</v>
      </c>
      <c r="E3109" s="46" cm="1">
        <f t="array" ref="E3109">disascal_nh_dec_flood</f>
        <v>1</v>
      </c>
      <c r="F3109" s="46" t="b">
        <v>1</v>
      </c>
    </row>
    <row r="3110" spans="1:6">
      <c r="A3110" s="46" t="s">
        <v>8041</v>
      </c>
      <c r="B3110" s="46" t="s">
        <v>7998</v>
      </c>
      <c r="C3110" s="46" t="s">
        <v>8041</v>
      </c>
      <c r="D3110" s="46" t="s">
        <v>8320</v>
      </c>
      <c r="E3110" s="46" cm="1">
        <f t="array" ref="E3110">disascal_nh_jan_flood</f>
        <v>0</v>
      </c>
      <c r="F3110" s="46" t="b">
        <v>1</v>
      </c>
    </row>
    <row r="3111" spans="1:6">
      <c r="A3111" s="46" t="s">
        <v>8042</v>
      </c>
      <c r="B3111" s="46" t="s">
        <v>7998</v>
      </c>
      <c r="C3111" s="46" t="s">
        <v>8042</v>
      </c>
      <c r="D3111" s="46" t="s">
        <v>8321</v>
      </c>
      <c r="E3111" s="46" cm="1">
        <f t="array" ref="E3111">disascal_nh_feb_flood</f>
        <v>0</v>
      </c>
      <c r="F3111" s="46" t="b">
        <v>1</v>
      </c>
    </row>
    <row r="3112" spans="1:6">
      <c r="A3112" s="46" t="s">
        <v>8043</v>
      </c>
      <c r="B3112" s="46" t="s">
        <v>7998</v>
      </c>
      <c r="C3112" s="46" t="s">
        <v>8043</v>
      </c>
      <c r="D3112" s="46" t="s">
        <v>8322</v>
      </c>
      <c r="E3112" s="46" cm="1">
        <f t="array" ref="E3112">disascal_nh_mar_flood</f>
        <v>1</v>
      </c>
      <c r="F3112" s="46" t="b">
        <v>1</v>
      </c>
    </row>
    <row r="3113" spans="1:6">
      <c r="A3113" s="46" t="s">
        <v>8044</v>
      </c>
      <c r="B3113" s="46" t="s">
        <v>7998</v>
      </c>
      <c r="C3113" s="46" t="s">
        <v>8044</v>
      </c>
      <c r="D3113" s="46" t="s">
        <v>8323</v>
      </c>
      <c r="E3113" s="46" cm="1">
        <f t="array" ref="E3113">disascal_nh_apr_flood</f>
        <v>0</v>
      </c>
      <c r="F3113" s="46" t="b">
        <v>1</v>
      </c>
    </row>
    <row r="3114" spans="1:6">
      <c r="A3114" s="46" t="s">
        <v>8045</v>
      </c>
      <c r="B3114" s="46" t="s">
        <v>7998</v>
      </c>
      <c r="C3114" s="46" t="s">
        <v>8045</v>
      </c>
      <c r="D3114" s="46" t="s">
        <v>8324</v>
      </c>
      <c r="E3114" s="46" cm="1">
        <f t="array" ref="E3114">disascal_nh_may_flood</f>
        <v>0</v>
      </c>
      <c r="F3114" s="46" t="b">
        <v>1</v>
      </c>
    </row>
    <row r="3115" spans="1:6">
      <c r="A3115" s="46" t="s">
        <v>8046</v>
      </c>
      <c r="B3115" s="46" t="s">
        <v>7998</v>
      </c>
      <c r="C3115" s="46" t="s">
        <v>8046</v>
      </c>
      <c r="D3115" s="46" t="s">
        <v>8325</v>
      </c>
      <c r="E3115" s="46" cm="1">
        <f t="array" ref="E3115">disascal_nh_jun_landslide</f>
        <v>0</v>
      </c>
      <c r="F3115" s="46" t="b">
        <v>1</v>
      </c>
    </row>
    <row r="3116" spans="1:6">
      <c r="A3116" s="46" t="s">
        <v>8047</v>
      </c>
      <c r="B3116" s="46" t="s">
        <v>7998</v>
      </c>
      <c r="C3116" s="46" t="s">
        <v>8047</v>
      </c>
      <c r="D3116" s="46" t="s">
        <v>8326</v>
      </c>
      <c r="E3116" s="46" cm="1">
        <f t="array" ref="E3116">disascal_nh_jul_landslide</f>
        <v>0</v>
      </c>
      <c r="F3116" s="46" t="b">
        <v>1</v>
      </c>
    </row>
    <row r="3117" spans="1:6">
      <c r="A3117" s="46" t="s">
        <v>8048</v>
      </c>
      <c r="B3117" s="46" t="s">
        <v>7998</v>
      </c>
      <c r="C3117" s="46" t="s">
        <v>8048</v>
      </c>
      <c r="D3117" s="46" t="s">
        <v>8327</v>
      </c>
      <c r="E3117" s="46" cm="1">
        <f t="array" ref="E3117">disascal_nh_aug_landslide</f>
        <v>0</v>
      </c>
      <c r="F3117" s="46" t="b">
        <v>1</v>
      </c>
    </row>
    <row r="3118" spans="1:6">
      <c r="A3118" s="46" t="s">
        <v>8049</v>
      </c>
      <c r="B3118" s="46" t="s">
        <v>7998</v>
      </c>
      <c r="C3118" s="46" t="s">
        <v>8049</v>
      </c>
      <c r="D3118" s="46" t="s">
        <v>8328</v>
      </c>
      <c r="E3118" s="46" cm="1">
        <f t="array" ref="E3118">disascal_nh_sep_landslide</f>
        <v>0</v>
      </c>
      <c r="F3118" s="46" t="b">
        <v>1</v>
      </c>
    </row>
    <row r="3119" spans="1:6">
      <c r="A3119" s="46" t="s">
        <v>8050</v>
      </c>
      <c r="B3119" s="46" t="s">
        <v>7998</v>
      </c>
      <c r="C3119" s="46" t="s">
        <v>8050</v>
      </c>
      <c r="D3119" s="46" t="s">
        <v>8329</v>
      </c>
      <c r="E3119" s="46" cm="1">
        <f t="array" ref="E3119">disascal_nh_oct_landslide</f>
        <v>0</v>
      </c>
      <c r="F3119" s="46" t="b">
        <v>1</v>
      </c>
    </row>
    <row r="3120" spans="1:6">
      <c r="A3120" s="46" t="s">
        <v>8051</v>
      </c>
      <c r="B3120" s="46" t="s">
        <v>7998</v>
      </c>
      <c r="C3120" s="46" t="s">
        <v>8051</v>
      </c>
      <c r="D3120" s="46" t="s">
        <v>8330</v>
      </c>
      <c r="E3120" s="46" cm="1">
        <f t="array" ref="E3120">disascal_nh_nov_landslide</f>
        <v>0</v>
      </c>
      <c r="F3120" s="46" t="b">
        <v>1</v>
      </c>
    </row>
    <row r="3121" spans="1:6">
      <c r="A3121" s="46" t="s">
        <v>8052</v>
      </c>
      <c r="B3121" s="46" t="s">
        <v>7998</v>
      </c>
      <c r="C3121" s="46" t="s">
        <v>8052</v>
      </c>
      <c r="D3121" s="46" t="s">
        <v>8331</v>
      </c>
      <c r="E3121" s="46" cm="1">
        <f t="array" ref="E3121">disascal_nh_dec_landslide</f>
        <v>0</v>
      </c>
      <c r="F3121" s="46" t="b">
        <v>1</v>
      </c>
    </row>
    <row r="3122" spans="1:6">
      <c r="A3122" s="46" t="s">
        <v>8053</v>
      </c>
      <c r="B3122" s="46" t="s">
        <v>7998</v>
      </c>
      <c r="C3122" s="46" t="s">
        <v>8053</v>
      </c>
      <c r="D3122" s="46" t="s">
        <v>8332</v>
      </c>
      <c r="E3122" s="46" cm="1">
        <f t="array" ref="E3122">disascal_nh_jan_landslide</f>
        <v>0</v>
      </c>
      <c r="F3122" s="46" t="b">
        <v>1</v>
      </c>
    </row>
    <row r="3123" spans="1:6">
      <c r="A3123" s="46" t="s">
        <v>8054</v>
      </c>
      <c r="B3123" s="46" t="s">
        <v>7998</v>
      </c>
      <c r="C3123" s="46" t="s">
        <v>8054</v>
      </c>
      <c r="D3123" s="46" t="s">
        <v>8333</v>
      </c>
      <c r="E3123" s="46" cm="1">
        <f t="array" ref="E3123">disascal_nh_feb_landslide</f>
        <v>0</v>
      </c>
      <c r="F3123" s="46" t="b">
        <v>1</v>
      </c>
    </row>
    <row r="3124" spans="1:6">
      <c r="A3124" s="46" t="s">
        <v>8055</v>
      </c>
      <c r="B3124" s="46" t="s">
        <v>7998</v>
      </c>
      <c r="C3124" s="46" t="s">
        <v>8055</v>
      </c>
      <c r="D3124" s="46" t="s">
        <v>8334</v>
      </c>
      <c r="E3124" s="46" cm="1">
        <f t="array" ref="E3124">disascal_nh_mar_landslide</f>
        <v>0</v>
      </c>
      <c r="F3124" s="46" t="b">
        <v>1</v>
      </c>
    </row>
    <row r="3125" spans="1:6">
      <c r="A3125" s="46" t="s">
        <v>8056</v>
      </c>
      <c r="B3125" s="46" t="s">
        <v>7998</v>
      </c>
      <c r="C3125" s="46" t="s">
        <v>8056</v>
      </c>
      <c r="D3125" s="46" t="s">
        <v>8335</v>
      </c>
      <c r="E3125" s="46" cm="1">
        <f t="array" ref="E3125">disascal_nh_apr_landslide</f>
        <v>0</v>
      </c>
      <c r="F3125" s="46" t="b">
        <v>1</v>
      </c>
    </row>
    <row r="3126" spans="1:6">
      <c r="A3126" s="46" t="s">
        <v>8057</v>
      </c>
      <c r="B3126" s="46" t="s">
        <v>7998</v>
      </c>
      <c r="C3126" s="46" t="s">
        <v>8057</v>
      </c>
      <c r="D3126" s="46" t="s">
        <v>8336</v>
      </c>
      <c r="E3126" s="46" cm="1">
        <f t="array" ref="E3126">disascal_nh_may_landslide</f>
        <v>0</v>
      </c>
      <c r="F3126" s="46" t="b">
        <v>1</v>
      </c>
    </row>
    <row r="3127" spans="1:6">
      <c r="A3127" s="46" t="s">
        <v>8058</v>
      </c>
      <c r="B3127" s="46" t="s">
        <v>7998</v>
      </c>
      <c r="C3127" s="46" t="s">
        <v>8058</v>
      </c>
      <c r="D3127" s="46" t="s">
        <v>8337</v>
      </c>
      <c r="E3127" s="46" cm="1">
        <f t="array" ref="E3127">disascal_nh_jun_stormsurge</f>
        <v>0</v>
      </c>
      <c r="F3127" s="46" t="b">
        <v>1</v>
      </c>
    </row>
    <row r="3128" spans="1:6">
      <c r="A3128" s="46" t="s">
        <v>8059</v>
      </c>
      <c r="B3128" s="46" t="s">
        <v>7998</v>
      </c>
      <c r="C3128" s="46" t="s">
        <v>8059</v>
      </c>
      <c r="D3128" s="46" t="s">
        <v>8338</v>
      </c>
      <c r="E3128" s="46" cm="1">
        <f t="array" ref="E3128">disascal_nh_jul_stormsurge</f>
        <v>0</v>
      </c>
      <c r="F3128" s="46" t="b">
        <v>1</v>
      </c>
    </row>
    <row r="3129" spans="1:6">
      <c r="A3129" s="46" t="s">
        <v>8060</v>
      </c>
      <c r="B3129" s="46" t="s">
        <v>7998</v>
      </c>
      <c r="C3129" s="46" t="s">
        <v>8060</v>
      </c>
      <c r="D3129" s="46" t="s">
        <v>8339</v>
      </c>
      <c r="E3129" s="46" cm="1">
        <f t="array" ref="E3129">disascal_nh_aug_stormsurge</f>
        <v>0</v>
      </c>
      <c r="F3129" s="46" t="b">
        <v>1</v>
      </c>
    </row>
    <row r="3130" spans="1:6">
      <c r="A3130" s="46" t="s">
        <v>8061</v>
      </c>
      <c r="B3130" s="46" t="s">
        <v>7998</v>
      </c>
      <c r="C3130" s="46" t="s">
        <v>8061</v>
      </c>
      <c r="D3130" s="46" t="s">
        <v>8340</v>
      </c>
      <c r="E3130" s="46" cm="1">
        <f t="array" ref="E3130">disascal_nh_sep_stormsurge</f>
        <v>0</v>
      </c>
      <c r="F3130" s="46" t="b">
        <v>1</v>
      </c>
    </row>
    <row r="3131" spans="1:6">
      <c r="A3131" s="46" t="s">
        <v>8062</v>
      </c>
      <c r="B3131" s="46" t="s">
        <v>7998</v>
      </c>
      <c r="C3131" s="46" t="s">
        <v>8062</v>
      </c>
      <c r="D3131" s="46" t="s">
        <v>8341</v>
      </c>
      <c r="E3131" s="46" cm="1">
        <f t="array" ref="E3131">disascal_nh_oct_stormsurge</f>
        <v>0</v>
      </c>
      <c r="F3131" s="46" t="b">
        <v>1</v>
      </c>
    </row>
    <row r="3132" spans="1:6">
      <c r="A3132" s="46" t="s">
        <v>8063</v>
      </c>
      <c r="B3132" s="46" t="s">
        <v>7998</v>
      </c>
      <c r="C3132" s="46" t="s">
        <v>8063</v>
      </c>
      <c r="D3132" s="46" t="s">
        <v>8342</v>
      </c>
      <c r="E3132" s="46" cm="1">
        <f t="array" ref="E3132">disascal_nh_nov_stormsurge</f>
        <v>0</v>
      </c>
      <c r="F3132" s="46" t="b">
        <v>1</v>
      </c>
    </row>
    <row r="3133" spans="1:6">
      <c r="A3133" s="46" t="s">
        <v>8064</v>
      </c>
      <c r="B3133" s="46" t="s">
        <v>7998</v>
      </c>
      <c r="C3133" s="46" t="s">
        <v>8064</v>
      </c>
      <c r="D3133" s="46" t="s">
        <v>8343</v>
      </c>
      <c r="E3133" s="46" cm="1">
        <f t="array" ref="E3133">disascal_nh_dec_stormsurge</f>
        <v>0</v>
      </c>
      <c r="F3133" s="46" t="b">
        <v>1</v>
      </c>
    </row>
    <row r="3134" spans="1:6">
      <c r="A3134" s="46" t="s">
        <v>8065</v>
      </c>
      <c r="B3134" s="46" t="s">
        <v>7998</v>
      </c>
      <c r="C3134" s="46" t="s">
        <v>8065</v>
      </c>
      <c r="D3134" s="46" t="s">
        <v>8344</v>
      </c>
      <c r="E3134" s="46" cm="1">
        <f t="array" ref="E3134">disascal_nh_jan_stormsurge</f>
        <v>0</v>
      </c>
      <c r="F3134" s="46" t="b">
        <v>1</v>
      </c>
    </row>
    <row r="3135" spans="1:6">
      <c r="A3135" s="46" t="s">
        <v>8066</v>
      </c>
      <c r="B3135" s="46" t="s">
        <v>7998</v>
      </c>
      <c r="C3135" s="46" t="s">
        <v>8066</v>
      </c>
      <c r="D3135" s="46" t="s">
        <v>8345</v>
      </c>
      <c r="E3135" s="46" cm="1">
        <f t="array" ref="E3135">disascal_nh_feb_stormsurge</f>
        <v>0</v>
      </c>
      <c r="F3135" s="46" t="b">
        <v>1</v>
      </c>
    </row>
    <row r="3136" spans="1:6">
      <c r="A3136" s="46" t="s">
        <v>8067</v>
      </c>
      <c r="B3136" s="46" t="s">
        <v>7998</v>
      </c>
      <c r="C3136" s="46" t="s">
        <v>8067</v>
      </c>
      <c r="D3136" s="46" t="s">
        <v>8346</v>
      </c>
      <c r="E3136" s="46" cm="1">
        <f t="array" ref="E3136">disascal_nh_mar_stormsurge</f>
        <v>0</v>
      </c>
      <c r="F3136" s="46" t="b">
        <v>1</v>
      </c>
    </row>
    <row r="3137" spans="1:6">
      <c r="A3137" s="46" t="s">
        <v>8068</v>
      </c>
      <c r="B3137" s="46" t="s">
        <v>7998</v>
      </c>
      <c r="C3137" s="46" t="s">
        <v>8068</v>
      </c>
      <c r="D3137" s="46" t="s">
        <v>8347</v>
      </c>
      <c r="E3137" s="46" cm="1">
        <f t="array" ref="E3137">disascal_nh_apr_stormsurge</f>
        <v>0</v>
      </c>
      <c r="F3137" s="46" t="b">
        <v>1</v>
      </c>
    </row>
    <row r="3138" spans="1:6">
      <c r="A3138" s="46" t="s">
        <v>8069</v>
      </c>
      <c r="B3138" s="46" t="s">
        <v>7998</v>
      </c>
      <c r="C3138" s="46" t="s">
        <v>8069</v>
      </c>
      <c r="D3138" s="46" t="s">
        <v>8348</v>
      </c>
      <c r="E3138" s="46" cm="1">
        <f t="array" ref="E3138">disascal_nh_may_stormsurge</f>
        <v>0</v>
      </c>
      <c r="F3138" s="46" t="b">
        <v>1</v>
      </c>
    </row>
    <row r="3139" spans="1:6">
      <c r="A3139" s="46" t="s">
        <v>8070</v>
      </c>
      <c r="B3139" s="46" t="s">
        <v>7998</v>
      </c>
      <c r="C3139" s="46" t="s">
        <v>8070</v>
      </c>
      <c r="D3139" s="46" t="s">
        <v>8349</v>
      </c>
      <c r="E3139" s="46" cm="1">
        <f t="array" ref="E3139">disascal_nh_jun_tropicyclone</f>
        <v>0</v>
      </c>
      <c r="F3139" s="46" t="b">
        <v>1</v>
      </c>
    </row>
    <row r="3140" spans="1:6">
      <c r="A3140" s="46" t="s">
        <v>8071</v>
      </c>
      <c r="B3140" s="46" t="s">
        <v>7998</v>
      </c>
      <c r="C3140" s="46" t="s">
        <v>8071</v>
      </c>
      <c r="D3140" s="46" t="s">
        <v>8350</v>
      </c>
      <c r="E3140" s="46" cm="1">
        <f t="array" ref="E3140">disascal_nh_jul_tropicyclone</f>
        <v>0</v>
      </c>
      <c r="F3140" s="46" t="b">
        <v>1</v>
      </c>
    </row>
    <row r="3141" spans="1:6">
      <c r="A3141" s="46" t="s">
        <v>8072</v>
      </c>
      <c r="B3141" s="46" t="s">
        <v>7998</v>
      </c>
      <c r="C3141" s="46" t="s">
        <v>8072</v>
      </c>
      <c r="D3141" s="46" t="s">
        <v>8351</v>
      </c>
      <c r="E3141" s="46" cm="1">
        <f t="array" ref="E3141">disascal_nh_aug_tropicyclone</f>
        <v>0</v>
      </c>
      <c r="F3141" s="46" t="b">
        <v>1</v>
      </c>
    </row>
    <row r="3142" spans="1:6">
      <c r="A3142" s="46" t="s">
        <v>8073</v>
      </c>
      <c r="B3142" s="46" t="s">
        <v>7998</v>
      </c>
      <c r="C3142" s="46" t="s">
        <v>8073</v>
      </c>
      <c r="D3142" s="46" t="s">
        <v>8352</v>
      </c>
      <c r="E3142" s="46" cm="1">
        <f t="array" ref="E3142">disascal_nh_sep_tropicyclone</f>
        <v>0</v>
      </c>
      <c r="F3142" s="46" t="b">
        <v>1</v>
      </c>
    </row>
    <row r="3143" spans="1:6">
      <c r="A3143" s="46" t="s">
        <v>8074</v>
      </c>
      <c r="B3143" s="46" t="s">
        <v>7998</v>
      </c>
      <c r="C3143" s="46" t="s">
        <v>8074</v>
      </c>
      <c r="D3143" s="46" t="s">
        <v>8353</v>
      </c>
      <c r="E3143" s="46" cm="1">
        <f t="array" ref="E3143">disascal_nh_oct_tropicyclone</f>
        <v>0</v>
      </c>
      <c r="F3143" s="46" t="b">
        <v>1</v>
      </c>
    </row>
    <row r="3144" spans="1:6">
      <c r="A3144" s="46" t="s">
        <v>8075</v>
      </c>
      <c r="B3144" s="46" t="s">
        <v>7998</v>
      </c>
      <c r="C3144" s="46" t="s">
        <v>8075</v>
      </c>
      <c r="D3144" s="46" t="s">
        <v>8354</v>
      </c>
      <c r="E3144" s="46" cm="1">
        <f t="array" ref="E3144">disascal_nh_nov_tropicyclone</f>
        <v>0</v>
      </c>
      <c r="F3144" s="46" t="b">
        <v>1</v>
      </c>
    </row>
    <row r="3145" spans="1:6">
      <c r="A3145" s="46" t="s">
        <v>8076</v>
      </c>
      <c r="B3145" s="46" t="s">
        <v>7998</v>
      </c>
      <c r="C3145" s="46" t="s">
        <v>8076</v>
      </c>
      <c r="D3145" s="46" t="s">
        <v>8355</v>
      </c>
      <c r="E3145" s="46" cm="1">
        <f t="array" ref="E3145">disascal_nh_dec_tropicyclone</f>
        <v>0</v>
      </c>
      <c r="F3145" s="46" t="b">
        <v>1</v>
      </c>
    </row>
    <row r="3146" spans="1:6">
      <c r="A3146" s="46" t="s">
        <v>8077</v>
      </c>
      <c r="B3146" s="46" t="s">
        <v>7998</v>
      </c>
      <c r="C3146" s="46" t="s">
        <v>8077</v>
      </c>
      <c r="D3146" s="46" t="s">
        <v>8356</v>
      </c>
      <c r="E3146" s="46" cm="1">
        <f t="array" ref="E3146">disascal_nh_jan_tropicyclone</f>
        <v>0</v>
      </c>
      <c r="F3146" s="46" t="b">
        <v>1</v>
      </c>
    </row>
    <row r="3147" spans="1:6">
      <c r="A3147" s="46" t="s">
        <v>8078</v>
      </c>
      <c r="B3147" s="46" t="s">
        <v>7998</v>
      </c>
      <c r="C3147" s="46" t="s">
        <v>8078</v>
      </c>
      <c r="D3147" s="46" t="s">
        <v>8357</v>
      </c>
      <c r="E3147" s="46" cm="1">
        <f t="array" ref="E3147">disascal_nh_feb_tropicyclone</f>
        <v>0</v>
      </c>
      <c r="F3147" s="46" t="b">
        <v>1</v>
      </c>
    </row>
    <row r="3148" spans="1:6">
      <c r="A3148" s="46" t="s">
        <v>8079</v>
      </c>
      <c r="B3148" s="46" t="s">
        <v>7998</v>
      </c>
      <c r="C3148" s="46" t="s">
        <v>8079</v>
      </c>
      <c r="D3148" s="46" t="s">
        <v>8358</v>
      </c>
      <c r="E3148" s="46" cm="1">
        <f t="array" ref="E3148">disascal_nh_mar_tropicyclone</f>
        <v>0</v>
      </c>
      <c r="F3148" s="46" t="b">
        <v>1</v>
      </c>
    </row>
    <row r="3149" spans="1:6">
      <c r="A3149" s="46" t="s">
        <v>8080</v>
      </c>
      <c r="B3149" s="46" t="s">
        <v>7998</v>
      </c>
      <c r="C3149" s="46" t="s">
        <v>8080</v>
      </c>
      <c r="D3149" s="46" t="s">
        <v>8359</v>
      </c>
      <c r="E3149" s="46" cm="1">
        <f t="array" ref="E3149">disascal_nh_apr_tropicyclone</f>
        <v>0</v>
      </c>
      <c r="F3149" s="46" t="b">
        <v>1</v>
      </c>
    </row>
    <row r="3150" spans="1:6">
      <c r="A3150" s="46" t="s">
        <v>8081</v>
      </c>
      <c r="B3150" s="46" t="s">
        <v>7998</v>
      </c>
      <c r="C3150" s="46" t="s">
        <v>8081</v>
      </c>
      <c r="D3150" s="46" t="s">
        <v>8360</v>
      </c>
      <c r="E3150" s="46" cm="1">
        <f t="array" ref="E3150">disascal_nh_may_tropicyclone</f>
        <v>0</v>
      </c>
      <c r="F3150" s="46" t="b">
        <v>1</v>
      </c>
    </row>
    <row r="3151" spans="1:6">
      <c r="A3151" s="46" t="s">
        <v>8082</v>
      </c>
      <c r="B3151" s="46" t="s">
        <v>7998</v>
      </c>
      <c r="C3151" s="46" t="s">
        <v>8082</v>
      </c>
      <c r="D3151" s="46" t="s">
        <v>8361</v>
      </c>
      <c r="E3151" s="46" cm="1">
        <f t="array" ref="E3151">disascal_nh_jun_tsunami</f>
        <v>0</v>
      </c>
      <c r="F3151" s="46" t="b">
        <v>1</v>
      </c>
    </row>
    <row r="3152" spans="1:6">
      <c r="A3152" s="46" t="s">
        <v>8083</v>
      </c>
      <c r="B3152" s="46" t="s">
        <v>7998</v>
      </c>
      <c r="C3152" s="46" t="s">
        <v>8083</v>
      </c>
      <c r="D3152" s="46" t="s">
        <v>8362</v>
      </c>
      <c r="E3152" s="46" cm="1">
        <f t="array" ref="E3152">disascal_nh_jul_tsunami</f>
        <v>0</v>
      </c>
      <c r="F3152" s="46" t="b">
        <v>1</v>
      </c>
    </row>
    <row r="3153" spans="1:6">
      <c r="A3153" s="46" t="s">
        <v>8084</v>
      </c>
      <c r="B3153" s="46" t="s">
        <v>7998</v>
      </c>
      <c r="C3153" s="46" t="s">
        <v>8084</v>
      </c>
      <c r="D3153" s="46" t="s">
        <v>8363</v>
      </c>
      <c r="E3153" s="46" cm="1">
        <f t="array" ref="E3153">disascal_nh_aug_tsunami</f>
        <v>0</v>
      </c>
      <c r="F3153" s="46" t="b">
        <v>1</v>
      </c>
    </row>
    <row r="3154" spans="1:6">
      <c r="A3154" s="46" t="s">
        <v>8085</v>
      </c>
      <c r="B3154" s="46" t="s">
        <v>7998</v>
      </c>
      <c r="C3154" s="46" t="s">
        <v>8085</v>
      </c>
      <c r="D3154" s="46" t="s">
        <v>8364</v>
      </c>
      <c r="E3154" s="46" cm="1">
        <f t="array" ref="E3154">disascal_nh_sep_tsunami</f>
        <v>0</v>
      </c>
      <c r="F3154" s="46" t="b">
        <v>1</v>
      </c>
    </row>
    <row r="3155" spans="1:6">
      <c r="A3155" s="46" t="s">
        <v>8086</v>
      </c>
      <c r="B3155" s="46" t="s">
        <v>7998</v>
      </c>
      <c r="C3155" s="46" t="s">
        <v>8086</v>
      </c>
      <c r="D3155" s="46" t="s">
        <v>8365</v>
      </c>
      <c r="E3155" s="46" cm="1">
        <f t="array" ref="E3155">disascal_nh_oct_tsunami</f>
        <v>0</v>
      </c>
      <c r="F3155" s="46" t="b">
        <v>1</v>
      </c>
    </row>
    <row r="3156" spans="1:6">
      <c r="A3156" s="46" t="s">
        <v>8087</v>
      </c>
      <c r="B3156" s="46" t="s">
        <v>7998</v>
      </c>
      <c r="C3156" s="46" t="s">
        <v>8087</v>
      </c>
      <c r="D3156" s="46" t="s">
        <v>8366</v>
      </c>
      <c r="E3156" s="46" cm="1">
        <f t="array" ref="E3156">disascal_nh_nov_tsunami</f>
        <v>0</v>
      </c>
      <c r="F3156" s="46" t="b">
        <v>1</v>
      </c>
    </row>
    <row r="3157" spans="1:6">
      <c r="A3157" s="46" t="s">
        <v>8088</v>
      </c>
      <c r="B3157" s="46" t="s">
        <v>7998</v>
      </c>
      <c r="C3157" s="46" t="s">
        <v>8088</v>
      </c>
      <c r="D3157" s="46" t="s">
        <v>8367</v>
      </c>
      <c r="E3157" s="46" cm="1">
        <f t="array" ref="E3157">disascal_nh_dec_tsunami</f>
        <v>0</v>
      </c>
      <c r="F3157" s="46" t="b">
        <v>1</v>
      </c>
    </row>
    <row r="3158" spans="1:6">
      <c r="A3158" s="46" t="s">
        <v>8089</v>
      </c>
      <c r="B3158" s="46" t="s">
        <v>7998</v>
      </c>
      <c r="C3158" s="46" t="s">
        <v>8089</v>
      </c>
      <c r="D3158" s="46" t="s">
        <v>8368</v>
      </c>
      <c r="E3158" s="46" cm="1">
        <f t="array" ref="E3158">disascal_nh_jan_tsunami</f>
        <v>0</v>
      </c>
      <c r="F3158" s="46" t="b">
        <v>1</v>
      </c>
    </row>
    <row r="3159" spans="1:6">
      <c r="A3159" s="46" t="s">
        <v>8090</v>
      </c>
      <c r="B3159" s="46" t="s">
        <v>7998</v>
      </c>
      <c r="C3159" s="46" t="s">
        <v>8090</v>
      </c>
      <c r="D3159" s="46" t="s">
        <v>8369</v>
      </c>
      <c r="E3159" s="46" cm="1">
        <f t="array" ref="E3159">disascal_nh_feb_tsunami</f>
        <v>0</v>
      </c>
      <c r="F3159" s="46" t="b">
        <v>1</v>
      </c>
    </row>
    <row r="3160" spans="1:6">
      <c r="A3160" s="46" t="s">
        <v>8091</v>
      </c>
      <c r="B3160" s="46" t="s">
        <v>7998</v>
      </c>
      <c r="C3160" s="46" t="s">
        <v>8091</v>
      </c>
      <c r="D3160" s="46" t="s">
        <v>8370</v>
      </c>
      <c r="E3160" s="46" cm="1">
        <f t="array" ref="E3160">disascal_nh_mar_tsunami</f>
        <v>0</v>
      </c>
      <c r="F3160" s="46" t="b">
        <v>1</v>
      </c>
    </row>
    <row r="3161" spans="1:6">
      <c r="A3161" s="46" t="s">
        <v>8092</v>
      </c>
      <c r="B3161" s="46" t="s">
        <v>7998</v>
      </c>
      <c r="C3161" s="46" t="s">
        <v>8092</v>
      </c>
      <c r="D3161" s="46" t="s">
        <v>8371</v>
      </c>
      <c r="E3161" s="46" cm="1">
        <f t="array" ref="E3161">disascal_nh_apr_tsunami</f>
        <v>0</v>
      </c>
      <c r="F3161" s="46" t="b">
        <v>1</v>
      </c>
    </row>
    <row r="3162" spans="1:6">
      <c r="A3162" s="46" t="s">
        <v>8093</v>
      </c>
      <c r="B3162" s="46" t="s">
        <v>7998</v>
      </c>
      <c r="C3162" s="46" t="s">
        <v>8093</v>
      </c>
      <c r="D3162" s="46" t="s">
        <v>8372</v>
      </c>
      <c r="E3162" s="46" cm="1">
        <f t="array" ref="E3162">disascal_nh_may_tsunami</f>
        <v>0</v>
      </c>
      <c r="F3162" s="46" t="b">
        <v>1</v>
      </c>
    </row>
    <row r="3163" spans="1:6">
      <c r="A3163" s="46" t="s">
        <v>8094</v>
      </c>
      <c r="B3163" s="46" t="s">
        <v>7998</v>
      </c>
      <c r="C3163" s="46" t="s">
        <v>8094</v>
      </c>
      <c r="D3163" s="46" t="s">
        <v>8373</v>
      </c>
      <c r="E3163" s="46" cm="1">
        <f t="array" ref="E3163">disascal_nh_jun_volcanerupt</f>
        <v>0</v>
      </c>
      <c r="F3163" s="46" t="b">
        <v>1</v>
      </c>
    </row>
    <row r="3164" spans="1:6">
      <c r="A3164" s="46" t="s">
        <v>8095</v>
      </c>
      <c r="B3164" s="46" t="s">
        <v>7998</v>
      </c>
      <c r="C3164" s="46" t="s">
        <v>8095</v>
      </c>
      <c r="D3164" s="46" t="s">
        <v>8374</v>
      </c>
      <c r="E3164" s="46" cm="1">
        <f t="array" ref="E3164">disascal_nh_jul_volcanerupt</f>
        <v>0</v>
      </c>
      <c r="F3164" s="46" t="b">
        <v>1</v>
      </c>
    </row>
    <row r="3165" spans="1:6">
      <c r="A3165" s="46" t="s">
        <v>8096</v>
      </c>
      <c r="B3165" s="46" t="s">
        <v>7998</v>
      </c>
      <c r="C3165" s="46" t="s">
        <v>8096</v>
      </c>
      <c r="D3165" s="46" t="s">
        <v>8375</v>
      </c>
      <c r="E3165" s="46" cm="1">
        <f t="array" ref="E3165">disascal_nh_aug_volcanerupt</f>
        <v>0</v>
      </c>
      <c r="F3165" s="46" t="b">
        <v>1</v>
      </c>
    </row>
    <row r="3166" spans="1:6">
      <c r="A3166" s="46" t="s">
        <v>8097</v>
      </c>
      <c r="B3166" s="46" t="s">
        <v>7998</v>
      </c>
      <c r="C3166" s="46" t="s">
        <v>8097</v>
      </c>
      <c r="D3166" s="46" t="s">
        <v>8376</v>
      </c>
      <c r="E3166" s="46" cm="1">
        <f t="array" ref="E3166">disascal_nh_sep_volcanerupt</f>
        <v>0</v>
      </c>
      <c r="F3166" s="46" t="b">
        <v>1</v>
      </c>
    </row>
    <row r="3167" spans="1:6">
      <c r="A3167" s="46" t="s">
        <v>8098</v>
      </c>
      <c r="B3167" s="46" t="s">
        <v>7998</v>
      </c>
      <c r="C3167" s="46" t="s">
        <v>8098</v>
      </c>
      <c r="D3167" s="46" t="s">
        <v>8377</v>
      </c>
      <c r="E3167" s="46" cm="1">
        <f t="array" ref="E3167">disascal_nh_oct_volcanerupt</f>
        <v>0</v>
      </c>
      <c r="F3167" s="46" t="b">
        <v>1</v>
      </c>
    </row>
    <row r="3168" spans="1:6">
      <c r="A3168" s="46" t="s">
        <v>8099</v>
      </c>
      <c r="B3168" s="46" t="s">
        <v>7998</v>
      </c>
      <c r="C3168" s="46" t="s">
        <v>8099</v>
      </c>
      <c r="D3168" s="46" t="s">
        <v>8378</v>
      </c>
      <c r="E3168" s="46" cm="1">
        <f t="array" ref="E3168">disascal_nh_nov_volcanerupt</f>
        <v>0</v>
      </c>
      <c r="F3168" s="46" t="b">
        <v>1</v>
      </c>
    </row>
    <row r="3169" spans="1:6">
      <c r="A3169" s="46" t="s">
        <v>8100</v>
      </c>
      <c r="B3169" s="46" t="s">
        <v>7998</v>
      </c>
      <c r="C3169" s="46" t="s">
        <v>8100</v>
      </c>
      <c r="D3169" s="46" t="s">
        <v>8379</v>
      </c>
      <c r="E3169" s="46" cm="1">
        <f t="array" ref="E3169">disascal_nh_dec_volcanerupt</f>
        <v>0</v>
      </c>
      <c r="F3169" s="46" t="b">
        <v>1</v>
      </c>
    </row>
    <row r="3170" spans="1:6">
      <c r="A3170" s="46" t="s">
        <v>8101</v>
      </c>
      <c r="B3170" s="46" t="s">
        <v>7998</v>
      </c>
      <c r="C3170" s="46" t="s">
        <v>8101</v>
      </c>
      <c r="D3170" s="46" t="s">
        <v>8380</v>
      </c>
      <c r="E3170" s="46" cm="1">
        <f t="array" ref="E3170">disascal_nh_jan_volcanerupt</f>
        <v>0</v>
      </c>
      <c r="F3170" s="46" t="b">
        <v>1</v>
      </c>
    </row>
    <row r="3171" spans="1:6">
      <c r="A3171" s="46" t="s">
        <v>8102</v>
      </c>
      <c r="B3171" s="46" t="s">
        <v>7998</v>
      </c>
      <c r="C3171" s="46" t="s">
        <v>8102</v>
      </c>
      <c r="D3171" s="46" t="s">
        <v>8381</v>
      </c>
      <c r="E3171" s="46" cm="1">
        <f t="array" ref="E3171">disascal_nh_feb_volcanerupt</f>
        <v>0</v>
      </c>
      <c r="F3171" s="46" t="b">
        <v>1</v>
      </c>
    </row>
    <row r="3172" spans="1:6">
      <c r="A3172" s="46" t="s">
        <v>8103</v>
      </c>
      <c r="B3172" s="46" t="s">
        <v>7998</v>
      </c>
      <c r="C3172" s="46" t="s">
        <v>8103</v>
      </c>
      <c r="D3172" s="46" t="s">
        <v>8382</v>
      </c>
      <c r="E3172" s="46" cm="1">
        <f t="array" ref="E3172">disascal_nh_mar_volcanerupt</f>
        <v>0</v>
      </c>
      <c r="F3172" s="46" t="b">
        <v>1</v>
      </c>
    </row>
    <row r="3173" spans="1:6">
      <c r="A3173" s="46" t="s">
        <v>8104</v>
      </c>
      <c r="B3173" s="46" t="s">
        <v>7998</v>
      </c>
      <c r="C3173" s="46" t="s">
        <v>8104</v>
      </c>
      <c r="D3173" s="46" t="s">
        <v>8383</v>
      </c>
      <c r="E3173" s="46" cm="1">
        <f t="array" ref="E3173">disascal_nh_apr_volcanerupt</f>
        <v>0</v>
      </c>
      <c r="F3173" s="46" t="b">
        <v>1</v>
      </c>
    </row>
    <row r="3174" spans="1:6">
      <c r="A3174" s="46" t="s">
        <v>8105</v>
      </c>
      <c r="B3174" s="46" t="s">
        <v>7998</v>
      </c>
      <c r="C3174" s="46" t="s">
        <v>8105</v>
      </c>
      <c r="D3174" s="46" t="s">
        <v>8384</v>
      </c>
      <c r="E3174" s="46" cm="1">
        <f t="array" ref="E3174">disascal_nh_may_volcanerupt</f>
        <v>0</v>
      </c>
      <c r="F3174" s="46" t="b">
        <v>1</v>
      </c>
    </row>
    <row r="3175" spans="1:6">
      <c r="A3175" s="46" t="s">
        <v>8106</v>
      </c>
      <c r="B3175" s="46" t="s">
        <v>7998</v>
      </c>
      <c r="C3175" s="46" t="s">
        <v>8106</v>
      </c>
      <c r="D3175" s="46" t="s">
        <v>8385</v>
      </c>
      <c r="E3175" s="46" cm="1">
        <f t="array" ref="E3175">disascal_hih_jun_bombthreat_schprem</f>
        <v>0</v>
      </c>
      <c r="F3175" s="46" t="b">
        <v>1</v>
      </c>
    </row>
    <row r="3176" spans="1:6">
      <c r="A3176" s="46" t="s">
        <v>8107</v>
      </c>
      <c r="B3176" s="46" t="s">
        <v>7998</v>
      </c>
      <c r="C3176" s="46" t="s">
        <v>8107</v>
      </c>
      <c r="D3176" s="46" t="s">
        <v>8386</v>
      </c>
      <c r="E3176" s="46" cm="1">
        <f t="array" ref="E3176">disascal_hih_jul_bombthreat_schprem</f>
        <v>0</v>
      </c>
      <c r="F3176" s="46" t="b">
        <v>1</v>
      </c>
    </row>
    <row r="3177" spans="1:6">
      <c r="A3177" s="46" t="s">
        <v>8108</v>
      </c>
      <c r="B3177" s="46" t="s">
        <v>7998</v>
      </c>
      <c r="C3177" s="46" t="s">
        <v>8108</v>
      </c>
      <c r="D3177" s="46" t="s">
        <v>8387</v>
      </c>
      <c r="E3177" s="46" cm="1">
        <f t="array" ref="E3177">disascal_hih_aug_bombthreat_schprem</f>
        <v>0</v>
      </c>
      <c r="F3177" s="46" t="b">
        <v>1</v>
      </c>
    </row>
    <row r="3178" spans="1:6">
      <c r="A3178" s="46" t="s">
        <v>8109</v>
      </c>
      <c r="B3178" s="46" t="s">
        <v>7998</v>
      </c>
      <c r="C3178" s="46" t="s">
        <v>8109</v>
      </c>
      <c r="D3178" s="46" t="s">
        <v>8388</v>
      </c>
      <c r="E3178" s="46" cm="1">
        <f t="array" ref="E3178">disascal_hih_sep_bombthreat_schprem</f>
        <v>0</v>
      </c>
      <c r="F3178" s="46" t="b">
        <v>1</v>
      </c>
    </row>
    <row r="3179" spans="1:6">
      <c r="A3179" s="46" t="s">
        <v>8110</v>
      </c>
      <c r="B3179" s="46" t="s">
        <v>7998</v>
      </c>
      <c r="C3179" s="46" t="s">
        <v>8110</v>
      </c>
      <c r="D3179" s="46" t="s">
        <v>8389</v>
      </c>
      <c r="E3179" s="46" cm="1">
        <f t="array" ref="E3179">disascal_hih_oct_bombthreat_schprem</f>
        <v>0</v>
      </c>
      <c r="F3179" s="46" t="b">
        <v>1</v>
      </c>
    </row>
    <row r="3180" spans="1:6">
      <c r="A3180" s="46" t="s">
        <v>8111</v>
      </c>
      <c r="B3180" s="46" t="s">
        <v>7998</v>
      </c>
      <c r="C3180" s="46" t="s">
        <v>8111</v>
      </c>
      <c r="D3180" s="46" t="s">
        <v>8390</v>
      </c>
      <c r="E3180" s="46" cm="1">
        <f t="array" ref="E3180">disascal_hih_nov_bombthreat_schprem</f>
        <v>0</v>
      </c>
      <c r="F3180" s="46" t="b">
        <v>1</v>
      </c>
    </row>
    <row r="3181" spans="1:6">
      <c r="A3181" s="46" t="s">
        <v>8112</v>
      </c>
      <c r="B3181" s="46" t="s">
        <v>7998</v>
      </c>
      <c r="C3181" s="46" t="s">
        <v>8112</v>
      </c>
      <c r="D3181" s="46" t="s">
        <v>8391</v>
      </c>
      <c r="E3181" s="46" cm="1">
        <f t="array" ref="E3181">disascal_hih_dec_bombthreat_schprem</f>
        <v>0</v>
      </c>
      <c r="F3181" s="46" t="b">
        <v>1</v>
      </c>
    </row>
    <row r="3182" spans="1:6">
      <c r="A3182" s="46" t="s">
        <v>8113</v>
      </c>
      <c r="B3182" s="46" t="s">
        <v>7998</v>
      </c>
      <c r="C3182" s="46" t="s">
        <v>8113</v>
      </c>
      <c r="D3182" s="46" t="s">
        <v>8392</v>
      </c>
      <c r="E3182" s="46" cm="1">
        <f t="array" ref="E3182">disascal_hih_jan_bombthreat_schprem</f>
        <v>0</v>
      </c>
      <c r="F3182" s="46" t="b">
        <v>1</v>
      </c>
    </row>
    <row r="3183" spans="1:6">
      <c r="A3183" s="46" t="s">
        <v>8114</v>
      </c>
      <c r="B3183" s="46" t="s">
        <v>7998</v>
      </c>
      <c r="C3183" s="46" t="s">
        <v>8114</v>
      </c>
      <c r="D3183" s="46" t="s">
        <v>8393</v>
      </c>
      <c r="E3183" s="46" cm="1">
        <f t="array" ref="E3183">disascal_hih_feb_bombthreat_schprem</f>
        <v>0</v>
      </c>
      <c r="F3183" s="46" t="b">
        <v>1</v>
      </c>
    </row>
    <row r="3184" spans="1:6">
      <c r="A3184" s="46" t="s">
        <v>8115</v>
      </c>
      <c r="B3184" s="46" t="s">
        <v>7998</v>
      </c>
      <c r="C3184" s="46" t="s">
        <v>8115</v>
      </c>
      <c r="D3184" s="46" t="s">
        <v>8394</v>
      </c>
      <c r="E3184" s="46" cm="1">
        <f t="array" ref="E3184">disascal_hih_mar_bombthreat_schprem</f>
        <v>0</v>
      </c>
      <c r="F3184" s="46" t="b">
        <v>1</v>
      </c>
    </row>
    <row r="3185" spans="1:6">
      <c r="A3185" s="46" t="s">
        <v>8116</v>
      </c>
      <c r="B3185" s="46" t="s">
        <v>7998</v>
      </c>
      <c r="C3185" s="46" t="s">
        <v>8116</v>
      </c>
      <c r="D3185" s="46" t="s">
        <v>8395</v>
      </c>
      <c r="E3185" s="46" cm="1">
        <f t="array" ref="E3185">disascal_hih_apr_bombthreat_schprem</f>
        <v>0</v>
      </c>
      <c r="F3185" s="46" t="b">
        <v>1</v>
      </c>
    </row>
    <row r="3186" spans="1:6">
      <c r="A3186" s="46" t="s">
        <v>8117</v>
      </c>
      <c r="B3186" s="46" t="s">
        <v>7998</v>
      </c>
      <c r="C3186" s="46" t="s">
        <v>8117</v>
      </c>
      <c r="D3186" s="46" t="s">
        <v>8396</v>
      </c>
      <c r="E3186" s="46" cm="1">
        <f t="array" ref="E3186">disascal_hih_may_bombthreat_schprem</f>
        <v>0</v>
      </c>
      <c r="F3186" s="46" t="b">
        <v>1</v>
      </c>
    </row>
    <row r="3187" spans="1:6">
      <c r="A3187" s="46" t="s">
        <v>8118</v>
      </c>
      <c r="B3187" s="46" t="s">
        <v>7998</v>
      </c>
      <c r="C3187" s="46" t="s">
        <v>8118</v>
      </c>
      <c r="D3187" s="46" t="s">
        <v>8397</v>
      </c>
      <c r="E3187" s="46" cm="1">
        <f t="array" ref="E3187">disascal_hih_jun_bomb_schprem</f>
        <v>0</v>
      </c>
      <c r="F3187" s="46" t="b">
        <v>1</v>
      </c>
    </row>
    <row r="3188" spans="1:6">
      <c r="A3188" s="46" t="s">
        <v>8119</v>
      </c>
      <c r="B3188" s="46" t="s">
        <v>7998</v>
      </c>
      <c r="C3188" s="46" t="s">
        <v>8119</v>
      </c>
      <c r="D3188" s="46" t="s">
        <v>8398</v>
      </c>
      <c r="E3188" s="46" cm="1">
        <f t="array" ref="E3188">disascal_hih_jul_bomb_schprem</f>
        <v>0</v>
      </c>
      <c r="F3188" s="46" t="b">
        <v>1</v>
      </c>
    </row>
    <row r="3189" spans="1:6">
      <c r="A3189" s="46" t="s">
        <v>8120</v>
      </c>
      <c r="B3189" s="46" t="s">
        <v>7998</v>
      </c>
      <c r="C3189" s="46" t="s">
        <v>8120</v>
      </c>
      <c r="D3189" s="46" t="s">
        <v>8399</v>
      </c>
      <c r="E3189" s="46" cm="1">
        <f t="array" ref="E3189">disascal_hih_aug_bomb_schprem</f>
        <v>0</v>
      </c>
      <c r="F3189" s="46" t="b">
        <v>1</v>
      </c>
    </row>
    <row r="3190" spans="1:6">
      <c r="A3190" s="46" t="s">
        <v>8121</v>
      </c>
      <c r="B3190" s="46" t="s">
        <v>7998</v>
      </c>
      <c r="C3190" s="46" t="s">
        <v>8121</v>
      </c>
      <c r="D3190" s="46" t="s">
        <v>8400</v>
      </c>
      <c r="E3190" s="46" cm="1">
        <f t="array" ref="E3190">disascal_hih_sep_bomb_schprem</f>
        <v>0</v>
      </c>
      <c r="F3190" s="46" t="b">
        <v>1</v>
      </c>
    </row>
    <row r="3191" spans="1:6">
      <c r="A3191" s="46" t="s">
        <v>8122</v>
      </c>
      <c r="B3191" s="46" t="s">
        <v>7998</v>
      </c>
      <c r="C3191" s="46" t="s">
        <v>8122</v>
      </c>
      <c r="D3191" s="46" t="s">
        <v>8401</v>
      </c>
      <c r="E3191" s="46" cm="1">
        <f t="array" ref="E3191">disascal_hih_oct_bomb_schprem</f>
        <v>0</v>
      </c>
      <c r="F3191" s="46" t="b">
        <v>1</v>
      </c>
    </row>
    <row r="3192" spans="1:6">
      <c r="A3192" s="46" t="s">
        <v>8123</v>
      </c>
      <c r="B3192" s="46" t="s">
        <v>7998</v>
      </c>
      <c r="C3192" s="46" t="s">
        <v>8123</v>
      </c>
      <c r="D3192" s="46" t="s">
        <v>8402</v>
      </c>
      <c r="E3192" s="46" cm="1">
        <f t="array" ref="E3192">disascal_hih_nov_bomb_schprem</f>
        <v>0</v>
      </c>
      <c r="F3192" s="46" t="b">
        <v>1</v>
      </c>
    </row>
    <row r="3193" spans="1:6">
      <c r="A3193" s="46" t="s">
        <v>8124</v>
      </c>
      <c r="B3193" s="46" t="s">
        <v>7998</v>
      </c>
      <c r="C3193" s="46" t="s">
        <v>8124</v>
      </c>
      <c r="D3193" s="46" t="s">
        <v>8403</v>
      </c>
      <c r="E3193" s="46" cm="1">
        <f t="array" ref="E3193">disascal_hih_dec_bomb_schprem</f>
        <v>0</v>
      </c>
      <c r="F3193" s="46" t="b">
        <v>1</v>
      </c>
    </row>
    <row r="3194" spans="1:6">
      <c r="A3194" s="46" t="s">
        <v>8125</v>
      </c>
      <c r="B3194" s="46" t="s">
        <v>7998</v>
      </c>
      <c r="C3194" s="46" t="s">
        <v>8125</v>
      </c>
      <c r="D3194" s="46" t="s">
        <v>8404</v>
      </c>
      <c r="E3194" s="46" cm="1">
        <f t="array" ref="E3194">disascal_hih_jan_bomb_schprem</f>
        <v>0</v>
      </c>
      <c r="F3194" s="46" t="b">
        <v>1</v>
      </c>
    </row>
    <row r="3195" spans="1:6">
      <c r="A3195" s="46" t="s">
        <v>8126</v>
      </c>
      <c r="B3195" s="46" t="s">
        <v>7998</v>
      </c>
      <c r="C3195" s="46" t="s">
        <v>8126</v>
      </c>
      <c r="D3195" s="46" t="s">
        <v>8405</v>
      </c>
      <c r="E3195" s="46" cm="1">
        <f t="array" ref="E3195">disascal_hih_feb_bomb_schprem</f>
        <v>0</v>
      </c>
      <c r="F3195" s="46" t="b">
        <v>1</v>
      </c>
    </row>
    <row r="3196" spans="1:6">
      <c r="A3196" s="46" t="s">
        <v>8127</v>
      </c>
      <c r="B3196" s="46" t="s">
        <v>7998</v>
      </c>
      <c r="C3196" s="46" t="s">
        <v>8127</v>
      </c>
      <c r="D3196" s="46" t="s">
        <v>8406</v>
      </c>
      <c r="E3196" s="46" cm="1">
        <f t="array" ref="E3196">disascal_hih_mar_bomb_schprem</f>
        <v>0</v>
      </c>
      <c r="F3196" s="46" t="b">
        <v>1</v>
      </c>
    </row>
    <row r="3197" spans="1:6">
      <c r="A3197" s="46" t="s">
        <v>8128</v>
      </c>
      <c r="B3197" s="46" t="s">
        <v>7998</v>
      </c>
      <c r="C3197" s="46" t="s">
        <v>8128</v>
      </c>
      <c r="D3197" s="46" t="s">
        <v>8407</v>
      </c>
      <c r="E3197" s="46" cm="1">
        <f t="array" ref="E3197">disascal_hih_apr_bomb_schprem</f>
        <v>0</v>
      </c>
      <c r="F3197" s="46" t="b">
        <v>1</v>
      </c>
    </row>
    <row r="3198" spans="1:6">
      <c r="A3198" s="46" t="s">
        <v>8129</v>
      </c>
      <c r="B3198" s="46" t="s">
        <v>7998</v>
      </c>
      <c r="C3198" s="46" t="s">
        <v>8129</v>
      </c>
      <c r="D3198" s="46" t="s">
        <v>8408</v>
      </c>
      <c r="E3198" s="46" cm="1">
        <f t="array" ref="E3198">disascal_hih_may_bomb_schprem</f>
        <v>0</v>
      </c>
      <c r="F3198" s="46" t="b">
        <v>1</v>
      </c>
    </row>
    <row r="3199" spans="1:6">
      <c r="A3199" s="46" t="s">
        <v>8130</v>
      </c>
      <c r="B3199" s="46" t="s">
        <v>7998</v>
      </c>
      <c r="C3199" s="46" t="s">
        <v>8130</v>
      </c>
      <c r="D3199" s="46" t="s">
        <v>8409</v>
      </c>
      <c r="E3199" s="46" cm="1">
        <f t="array" ref="E3199">disascal_hih_jun_crime_learners</f>
        <v>0</v>
      </c>
      <c r="F3199" s="46" t="b">
        <v>1</v>
      </c>
    </row>
    <row r="3200" spans="1:6">
      <c r="A3200" s="46" t="s">
        <v>8131</v>
      </c>
      <c r="B3200" s="46" t="s">
        <v>7998</v>
      </c>
      <c r="C3200" s="46" t="s">
        <v>8131</v>
      </c>
      <c r="D3200" s="46" t="s">
        <v>8410</v>
      </c>
      <c r="E3200" s="46" cm="1">
        <f t="array" ref="E3200">disascal_hih_jul_crime_learners</f>
        <v>0</v>
      </c>
      <c r="F3200" s="46" t="b">
        <v>1</v>
      </c>
    </row>
    <row r="3201" spans="1:6">
      <c r="A3201" s="46" t="s">
        <v>8132</v>
      </c>
      <c r="B3201" s="46" t="s">
        <v>7998</v>
      </c>
      <c r="C3201" s="46" t="s">
        <v>8132</v>
      </c>
      <c r="D3201" s="46" t="s">
        <v>8411</v>
      </c>
      <c r="E3201" s="46" cm="1">
        <f t="array" ref="E3201">disascal_hih_aug_crime_learners</f>
        <v>0</v>
      </c>
      <c r="F3201" s="46" t="b">
        <v>1</v>
      </c>
    </row>
    <row r="3202" spans="1:6">
      <c r="A3202" s="46" t="s">
        <v>8133</v>
      </c>
      <c r="B3202" s="46" t="s">
        <v>7998</v>
      </c>
      <c r="C3202" s="46" t="s">
        <v>8133</v>
      </c>
      <c r="D3202" s="46" t="s">
        <v>8412</v>
      </c>
      <c r="E3202" s="46" cm="1">
        <f t="array" ref="E3202">disascal_hih_sep_crime_learners</f>
        <v>0</v>
      </c>
      <c r="F3202" s="46" t="b">
        <v>1</v>
      </c>
    </row>
    <row r="3203" spans="1:6">
      <c r="A3203" s="46" t="s">
        <v>8134</v>
      </c>
      <c r="B3203" s="46" t="s">
        <v>7998</v>
      </c>
      <c r="C3203" s="46" t="s">
        <v>8134</v>
      </c>
      <c r="D3203" s="46" t="s">
        <v>8413</v>
      </c>
      <c r="E3203" s="46" cm="1">
        <f t="array" ref="E3203">disascal_hih_oct_crime_learners</f>
        <v>0</v>
      </c>
      <c r="F3203" s="46" t="b">
        <v>1</v>
      </c>
    </row>
    <row r="3204" spans="1:6">
      <c r="A3204" s="46" t="s">
        <v>8135</v>
      </c>
      <c r="B3204" s="46" t="s">
        <v>7998</v>
      </c>
      <c r="C3204" s="46" t="s">
        <v>8135</v>
      </c>
      <c r="D3204" s="46" t="s">
        <v>8414</v>
      </c>
      <c r="E3204" s="46" cm="1">
        <f t="array" ref="E3204">disascal_hih_nov_crime_learners</f>
        <v>0</v>
      </c>
      <c r="F3204" s="46" t="b">
        <v>1</v>
      </c>
    </row>
    <row r="3205" spans="1:6">
      <c r="A3205" s="46" t="s">
        <v>8136</v>
      </c>
      <c r="B3205" s="46" t="s">
        <v>7998</v>
      </c>
      <c r="C3205" s="46" t="s">
        <v>8136</v>
      </c>
      <c r="D3205" s="46" t="s">
        <v>8415</v>
      </c>
      <c r="E3205" s="46" cm="1">
        <f t="array" ref="E3205">disascal_hih_dec_crime_learners</f>
        <v>0</v>
      </c>
      <c r="F3205" s="46" t="b">
        <v>1</v>
      </c>
    </row>
    <row r="3206" spans="1:6">
      <c r="A3206" s="46" t="s">
        <v>8137</v>
      </c>
      <c r="B3206" s="46" t="s">
        <v>7998</v>
      </c>
      <c r="C3206" s="46" t="s">
        <v>8137</v>
      </c>
      <c r="D3206" s="46" t="s">
        <v>8416</v>
      </c>
      <c r="E3206" s="46" cm="1">
        <f t="array" ref="E3206">disascal_hih_jan_crime_learners</f>
        <v>0</v>
      </c>
      <c r="F3206" s="46" t="b">
        <v>1</v>
      </c>
    </row>
    <row r="3207" spans="1:6">
      <c r="A3207" s="46" t="s">
        <v>8138</v>
      </c>
      <c r="B3207" s="46" t="s">
        <v>7998</v>
      </c>
      <c r="C3207" s="46" t="s">
        <v>8138</v>
      </c>
      <c r="D3207" s="46" t="s">
        <v>8417</v>
      </c>
      <c r="E3207" s="46" cm="1">
        <f t="array" ref="E3207">disascal_hih_feb_crime_learners</f>
        <v>0</v>
      </c>
      <c r="F3207" s="46" t="b">
        <v>1</v>
      </c>
    </row>
    <row r="3208" spans="1:6">
      <c r="A3208" s="46" t="s">
        <v>8139</v>
      </c>
      <c r="B3208" s="46" t="s">
        <v>7998</v>
      </c>
      <c r="C3208" s="46" t="s">
        <v>8139</v>
      </c>
      <c r="D3208" s="46" t="s">
        <v>8418</v>
      </c>
      <c r="E3208" s="46" cm="1">
        <f t="array" ref="E3208">disascal_hih_mar_crime_learners</f>
        <v>0</v>
      </c>
      <c r="F3208" s="46" t="b">
        <v>1</v>
      </c>
    </row>
    <row r="3209" spans="1:6">
      <c r="A3209" s="46" t="s">
        <v>8140</v>
      </c>
      <c r="B3209" s="46" t="s">
        <v>7998</v>
      </c>
      <c r="C3209" s="46" t="s">
        <v>8140</v>
      </c>
      <c r="D3209" s="46" t="s">
        <v>8419</v>
      </c>
      <c r="E3209" s="46" cm="1">
        <f t="array" ref="E3209">disascal_hih_apr_crime_learners</f>
        <v>0</v>
      </c>
      <c r="F3209" s="46" t="b">
        <v>1</v>
      </c>
    </row>
    <row r="3210" spans="1:6">
      <c r="A3210" s="46" t="s">
        <v>8141</v>
      </c>
      <c r="B3210" s="46" t="s">
        <v>7998</v>
      </c>
      <c r="C3210" s="46" t="s">
        <v>8141</v>
      </c>
      <c r="D3210" s="46" t="s">
        <v>8420</v>
      </c>
      <c r="E3210" s="46" cm="1">
        <f t="array" ref="E3210">disascal_hih_may_crime_learners</f>
        <v>0</v>
      </c>
      <c r="F3210" s="46" t="b">
        <v>1</v>
      </c>
    </row>
    <row r="3211" spans="1:6">
      <c r="A3211" s="46" t="s">
        <v>8142</v>
      </c>
      <c r="B3211" s="46" t="s">
        <v>7998</v>
      </c>
      <c r="C3211" s="46" t="s">
        <v>8142</v>
      </c>
      <c r="D3211" s="46" t="s">
        <v>8421</v>
      </c>
      <c r="E3211" s="46" cm="1">
        <f t="array" ref="E3211">disascal_hih_jun_crime_nonteach_personnel</f>
        <v>0</v>
      </c>
      <c r="F3211" s="46" t="b">
        <v>1</v>
      </c>
    </row>
    <row r="3212" spans="1:6">
      <c r="A3212" s="46" t="s">
        <v>8143</v>
      </c>
      <c r="B3212" s="46" t="s">
        <v>7998</v>
      </c>
      <c r="C3212" s="46" t="s">
        <v>8143</v>
      </c>
      <c r="D3212" s="46" t="s">
        <v>8422</v>
      </c>
      <c r="E3212" s="46" cm="1">
        <f t="array" ref="E3212">disascal_hih_jul_crime_nonteach_personnel</f>
        <v>0</v>
      </c>
      <c r="F3212" s="46" t="b">
        <v>1</v>
      </c>
    </row>
    <row r="3213" spans="1:6">
      <c r="A3213" s="46" t="s">
        <v>8144</v>
      </c>
      <c r="B3213" s="46" t="s">
        <v>7998</v>
      </c>
      <c r="C3213" s="46" t="s">
        <v>8144</v>
      </c>
      <c r="D3213" s="46" t="s">
        <v>8423</v>
      </c>
      <c r="E3213" s="46" cm="1">
        <f t="array" ref="E3213">disascal_hih_aug_crime_nonteach_personnel</f>
        <v>0</v>
      </c>
      <c r="F3213" s="46" t="b">
        <v>1</v>
      </c>
    </row>
    <row r="3214" spans="1:6">
      <c r="A3214" s="46" t="s">
        <v>8145</v>
      </c>
      <c r="B3214" s="46" t="s">
        <v>7998</v>
      </c>
      <c r="C3214" s="46" t="s">
        <v>8145</v>
      </c>
      <c r="D3214" s="46" t="s">
        <v>8424</v>
      </c>
      <c r="E3214" s="46" cm="1">
        <f t="array" ref="E3214">disascal_hih_sep_crime_nonteach_personnel</f>
        <v>0</v>
      </c>
      <c r="F3214" s="46" t="b">
        <v>1</v>
      </c>
    </row>
    <row r="3215" spans="1:6">
      <c r="A3215" s="46" t="s">
        <v>8146</v>
      </c>
      <c r="B3215" s="46" t="s">
        <v>7998</v>
      </c>
      <c r="C3215" s="46" t="s">
        <v>8146</v>
      </c>
      <c r="D3215" s="46" t="s">
        <v>8425</v>
      </c>
      <c r="E3215" s="46" cm="1">
        <f t="array" ref="E3215">disascal_hih_oct_crime_nonteach_personnel</f>
        <v>0</v>
      </c>
      <c r="F3215" s="46" t="b">
        <v>1</v>
      </c>
    </row>
    <row r="3216" spans="1:6">
      <c r="A3216" s="46" t="s">
        <v>8147</v>
      </c>
      <c r="B3216" s="46" t="s">
        <v>7998</v>
      </c>
      <c r="C3216" s="46" t="s">
        <v>8147</v>
      </c>
      <c r="D3216" s="46" t="s">
        <v>8426</v>
      </c>
      <c r="E3216" s="46" cm="1">
        <f t="array" ref="E3216">disascal_hih_nov_crime_nonteach_personnel</f>
        <v>0</v>
      </c>
      <c r="F3216" s="46" t="b">
        <v>1</v>
      </c>
    </row>
    <row r="3217" spans="1:6">
      <c r="A3217" s="46" t="s">
        <v>8148</v>
      </c>
      <c r="B3217" s="46" t="s">
        <v>7998</v>
      </c>
      <c r="C3217" s="46" t="s">
        <v>8148</v>
      </c>
      <c r="D3217" s="46" t="s">
        <v>8427</v>
      </c>
      <c r="E3217" s="46" cm="1">
        <f t="array" ref="E3217">disascal_hih_dec_crime_nonteach_personnel</f>
        <v>0</v>
      </c>
      <c r="F3217" s="46" t="b">
        <v>1</v>
      </c>
    </row>
    <row r="3218" spans="1:6">
      <c r="A3218" s="46" t="s">
        <v>8149</v>
      </c>
      <c r="B3218" s="46" t="s">
        <v>7998</v>
      </c>
      <c r="C3218" s="46" t="s">
        <v>8149</v>
      </c>
      <c r="D3218" s="46" t="s">
        <v>8428</v>
      </c>
      <c r="E3218" s="46" cm="1">
        <f t="array" ref="E3218">disascal_hih_jan_crime_nonteach_personnel</f>
        <v>0</v>
      </c>
      <c r="F3218" s="46" t="b">
        <v>1</v>
      </c>
    </row>
    <row r="3219" spans="1:6">
      <c r="A3219" s="46" t="s">
        <v>8150</v>
      </c>
      <c r="B3219" s="46" t="s">
        <v>7998</v>
      </c>
      <c r="C3219" s="46" t="s">
        <v>8150</v>
      </c>
      <c r="D3219" s="46" t="s">
        <v>8429</v>
      </c>
      <c r="E3219" s="46" cm="1">
        <f t="array" ref="E3219">disascal_hih_feb_crime_nonteach_personnel</f>
        <v>0</v>
      </c>
      <c r="F3219" s="46" t="b">
        <v>1</v>
      </c>
    </row>
    <row r="3220" spans="1:6">
      <c r="A3220" s="46" t="s">
        <v>8151</v>
      </c>
      <c r="B3220" s="46" t="s">
        <v>7998</v>
      </c>
      <c r="C3220" s="46" t="s">
        <v>8151</v>
      </c>
      <c r="D3220" s="46" t="s">
        <v>8430</v>
      </c>
      <c r="E3220" s="46" cm="1">
        <f t="array" ref="E3220">disascal_hih_mar_crime_nonteach_personnel</f>
        <v>0</v>
      </c>
      <c r="F3220" s="46" t="b">
        <v>1</v>
      </c>
    </row>
    <row r="3221" spans="1:6">
      <c r="A3221" s="46" t="s">
        <v>8152</v>
      </c>
      <c r="B3221" s="46" t="s">
        <v>7998</v>
      </c>
      <c r="C3221" s="46" t="s">
        <v>8152</v>
      </c>
      <c r="D3221" s="46" t="s">
        <v>8431</v>
      </c>
      <c r="E3221" s="46" cm="1">
        <f t="array" ref="E3221">disascal_hih_apr_crime_nonteach_personnel</f>
        <v>0</v>
      </c>
      <c r="F3221" s="46" t="b">
        <v>1</v>
      </c>
    </row>
    <row r="3222" spans="1:6">
      <c r="A3222" s="46" t="s">
        <v>8153</v>
      </c>
      <c r="B3222" s="46" t="s">
        <v>7998</v>
      </c>
      <c r="C3222" s="46" t="s">
        <v>8153</v>
      </c>
      <c r="D3222" s="46" t="s">
        <v>8432</v>
      </c>
      <c r="E3222" s="46" cm="1">
        <f t="array" ref="E3222">disascal_hih_may_crime_nonteach_personnel</f>
        <v>0</v>
      </c>
      <c r="F3222" s="46" t="b">
        <v>1</v>
      </c>
    </row>
    <row r="3223" spans="1:6">
      <c r="A3223" s="46" t="s">
        <v>8154</v>
      </c>
      <c r="B3223" s="46" t="s">
        <v>7998</v>
      </c>
      <c r="C3223" s="46" t="s">
        <v>8154</v>
      </c>
      <c r="D3223" s="46" t="s">
        <v>8433</v>
      </c>
      <c r="E3223" s="46" cm="1">
        <f t="array" ref="E3223">disascal_hih_jun_crime_schhead</f>
        <v>0</v>
      </c>
      <c r="F3223" s="46" t="b">
        <v>1</v>
      </c>
    </row>
    <row r="3224" spans="1:6">
      <c r="A3224" s="46" t="s">
        <v>8155</v>
      </c>
      <c r="B3224" s="46" t="s">
        <v>7998</v>
      </c>
      <c r="C3224" s="46" t="s">
        <v>8155</v>
      </c>
      <c r="D3224" s="46" t="s">
        <v>8434</v>
      </c>
      <c r="E3224" s="46" cm="1">
        <f t="array" ref="E3224">disascal_hih_jul_crime_schhead</f>
        <v>0</v>
      </c>
      <c r="F3224" s="46" t="b">
        <v>1</v>
      </c>
    </row>
    <row r="3225" spans="1:6">
      <c r="A3225" s="46" t="s">
        <v>8156</v>
      </c>
      <c r="B3225" s="46" t="s">
        <v>7998</v>
      </c>
      <c r="C3225" s="46" t="s">
        <v>8156</v>
      </c>
      <c r="D3225" s="46" t="s">
        <v>8435</v>
      </c>
      <c r="E3225" s="46" cm="1">
        <f t="array" ref="E3225">disascal_hih_aug_crime_schhead</f>
        <v>0</v>
      </c>
      <c r="F3225" s="46" t="b">
        <v>1</v>
      </c>
    </row>
    <row r="3226" spans="1:6">
      <c r="A3226" s="46" t="s">
        <v>8157</v>
      </c>
      <c r="B3226" s="46" t="s">
        <v>7998</v>
      </c>
      <c r="C3226" s="46" t="s">
        <v>8157</v>
      </c>
      <c r="D3226" s="46" t="s">
        <v>8436</v>
      </c>
      <c r="E3226" s="46" cm="1">
        <f t="array" ref="E3226">disascal_hih_sep_crime_schhead</f>
        <v>0</v>
      </c>
      <c r="F3226" s="46" t="b">
        <v>1</v>
      </c>
    </row>
    <row r="3227" spans="1:6">
      <c r="A3227" s="46" t="s">
        <v>8158</v>
      </c>
      <c r="B3227" s="46" t="s">
        <v>7998</v>
      </c>
      <c r="C3227" s="46" t="s">
        <v>8158</v>
      </c>
      <c r="D3227" s="46" t="s">
        <v>8437</v>
      </c>
      <c r="E3227" s="46" cm="1">
        <f t="array" ref="E3227">disascal_hih_oct_crime_schhead</f>
        <v>0</v>
      </c>
      <c r="F3227" s="46" t="b">
        <v>1</v>
      </c>
    </row>
    <row r="3228" spans="1:6">
      <c r="A3228" s="46" t="s">
        <v>8159</v>
      </c>
      <c r="B3228" s="46" t="s">
        <v>7998</v>
      </c>
      <c r="C3228" s="46" t="s">
        <v>8159</v>
      </c>
      <c r="D3228" s="46" t="s">
        <v>8438</v>
      </c>
      <c r="E3228" s="46" cm="1">
        <f t="array" ref="E3228">disascal_hih_nov_crime_schhead</f>
        <v>0</v>
      </c>
      <c r="F3228" s="46" t="b">
        <v>1</v>
      </c>
    </row>
    <row r="3229" spans="1:6">
      <c r="A3229" s="46" t="s">
        <v>8160</v>
      </c>
      <c r="B3229" s="46" t="s">
        <v>7998</v>
      </c>
      <c r="C3229" s="46" t="s">
        <v>8160</v>
      </c>
      <c r="D3229" s="46" t="s">
        <v>8439</v>
      </c>
      <c r="E3229" s="46" cm="1">
        <f t="array" ref="E3229">disascal_hih_dec_crime_schhead</f>
        <v>0</v>
      </c>
      <c r="F3229" s="46" t="b">
        <v>1</v>
      </c>
    </row>
    <row r="3230" spans="1:6">
      <c r="A3230" s="46" t="s">
        <v>8161</v>
      </c>
      <c r="B3230" s="46" t="s">
        <v>7998</v>
      </c>
      <c r="C3230" s="46" t="s">
        <v>8161</v>
      </c>
      <c r="D3230" s="46" t="s">
        <v>8440</v>
      </c>
      <c r="E3230" s="46" cm="1">
        <f t="array" ref="E3230">disascal_hih_jan_crime_schhead</f>
        <v>0</v>
      </c>
      <c r="F3230" s="46" t="b">
        <v>1</v>
      </c>
    </row>
    <row r="3231" spans="1:6">
      <c r="A3231" s="46" t="s">
        <v>8162</v>
      </c>
      <c r="B3231" s="46" t="s">
        <v>7998</v>
      </c>
      <c r="C3231" s="46" t="s">
        <v>8162</v>
      </c>
      <c r="D3231" s="46" t="s">
        <v>8441</v>
      </c>
      <c r="E3231" s="46" cm="1">
        <f t="array" ref="E3231">disascal_hih_feb_crime_schhead</f>
        <v>0</v>
      </c>
      <c r="F3231" s="46" t="b">
        <v>1</v>
      </c>
    </row>
    <row r="3232" spans="1:6">
      <c r="A3232" s="46" t="s">
        <v>8163</v>
      </c>
      <c r="B3232" s="46" t="s">
        <v>7998</v>
      </c>
      <c r="C3232" s="46" t="s">
        <v>8163</v>
      </c>
      <c r="D3232" s="46" t="s">
        <v>8442</v>
      </c>
      <c r="E3232" s="46" cm="1">
        <f t="array" ref="E3232">disascal_hih_mar_crime_schhead</f>
        <v>0</v>
      </c>
      <c r="F3232" s="46" t="b">
        <v>1</v>
      </c>
    </row>
    <row r="3233" spans="1:6">
      <c r="A3233" s="46" t="s">
        <v>8164</v>
      </c>
      <c r="B3233" s="46" t="s">
        <v>7998</v>
      </c>
      <c r="C3233" s="46" t="s">
        <v>8164</v>
      </c>
      <c r="D3233" s="46" t="s">
        <v>8443</v>
      </c>
      <c r="E3233" s="46" cm="1">
        <f t="array" ref="E3233">disascal_hih_apr_crime_schhead</f>
        <v>0</v>
      </c>
      <c r="F3233" s="46" t="b">
        <v>1</v>
      </c>
    </row>
    <row r="3234" spans="1:6">
      <c r="A3234" s="46" t="s">
        <v>8165</v>
      </c>
      <c r="B3234" s="46" t="s">
        <v>7998</v>
      </c>
      <c r="C3234" s="46" t="s">
        <v>8165</v>
      </c>
      <c r="D3234" s="46" t="s">
        <v>8444</v>
      </c>
      <c r="E3234" s="46" cm="1">
        <f t="array" ref="E3234">disascal_hih_may_crime_schhead</f>
        <v>0</v>
      </c>
      <c r="F3234" s="46" t="b">
        <v>1</v>
      </c>
    </row>
    <row r="3235" spans="1:6">
      <c r="A3235" s="46" t="s">
        <v>8166</v>
      </c>
      <c r="B3235" s="46" t="s">
        <v>7998</v>
      </c>
      <c r="C3235" s="46" t="s">
        <v>8166</v>
      </c>
      <c r="D3235" s="46" t="s">
        <v>8445</v>
      </c>
      <c r="E3235" s="46" cm="1">
        <f t="array" ref="E3235">disascal_hih_jun_crime_schproperty</f>
        <v>0</v>
      </c>
      <c r="F3235" s="46" t="b">
        <v>1</v>
      </c>
    </row>
    <row r="3236" spans="1:6">
      <c r="A3236" s="46" t="s">
        <v>8167</v>
      </c>
      <c r="B3236" s="46" t="s">
        <v>7998</v>
      </c>
      <c r="C3236" s="46" t="s">
        <v>8167</v>
      </c>
      <c r="D3236" s="46" t="s">
        <v>8446</v>
      </c>
      <c r="E3236" s="46" cm="1">
        <f t="array" ref="E3236">disascal_hih_jul_crime_schproperty</f>
        <v>0</v>
      </c>
      <c r="F3236" s="46" t="b">
        <v>1</v>
      </c>
    </row>
    <row r="3237" spans="1:6">
      <c r="A3237" s="46" t="s">
        <v>8168</v>
      </c>
      <c r="B3237" s="46" t="s">
        <v>7998</v>
      </c>
      <c r="C3237" s="46" t="s">
        <v>8168</v>
      </c>
      <c r="D3237" s="46" t="s">
        <v>8447</v>
      </c>
      <c r="E3237" s="46" cm="1">
        <f t="array" ref="E3237">disascal_hih_aug_crime_schproperty</f>
        <v>0</v>
      </c>
      <c r="F3237" s="46" t="b">
        <v>1</v>
      </c>
    </row>
    <row r="3238" spans="1:6">
      <c r="A3238" s="46" t="s">
        <v>8169</v>
      </c>
      <c r="B3238" s="46" t="s">
        <v>7998</v>
      </c>
      <c r="C3238" s="46" t="s">
        <v>8169</v>
      </c>
      <c r="D3238" s="46" t="s">
        <v>8448</v>
      </c>
      <c r="E3238" s="46" cm="1">
        <f t="array" ref="E3238">disascal_hih_sep_crime_schproperty</f>
        <v>0</v>
      </c>
      <c r="F3238" s="46" t="b">
        <v>1</v>
      </c>
    </row>
    <row r="3239" spans="1:6">
      <c r="A3239" s="46" t="s">
        <v>8170</v>
      </c>
      <c r="B3239" s="46" t="s">
        <v>7998</v>
      </c>
      <c r="C3239" s="46" t="s">
        <v>8170</v>
      </c>
      <c r="D3239" s="46" t="s">
        <v>8449</v>
      </c>
      <c r="E3239" s="46" cm="1">
        <f t="array" ref="E3239">disascal_hih_oct_crime_schproperty</f>
        <v>0</v>
      </c>
      <c r="F3239" s="46" t="b">
        <v>1</v>
      </c>
    </row>
    <row r="3240" spans="1:6">
      <c r="A3240" s="46" t="s">
        <v>8171</v>
      </c>
      <c r="B3240" s="46" t="s">
        <v>7998</v>
      </c>
      <c r="C3240" s="46" t="s">
        <v>8171</v>
      </c>
      <c r="D3240" s="46" t="s">
        <v>8450</v>
      </c>
      <c r="E3240" s="46" cm="1">
        <f t="array" ref="E3240">disascal_hih_nov_crime_schproperty</f>
        <v>0</v>
      </c>
      <c r="F3240" s="46" t="b">
        <v>1</v>
      </c>
    </row>
    <row r="3241" spans="1:6">
      <c r="A3241" s="46" t="s">
        <v>8172</v>
      </c>
      <c r="B3241" s="46" t="s">
        <v>7998</v>
      </c>
      <c r="C3241" s="46" t="s">
        <v>8172</v>
      </c>
      <c r="D3241" s="46" t="s">
        <v>8451</v>
      </c>
      <c r="E3241" s="46" cm="1">
        <f t="array" ref="E3241">disascal_hih_dec_crime_schproperty</f>
        <v>0</v>
      </c>
      <c r="F3241" s="46" t="b">
        <v>1</v>
      </c>
    </row>
    <row r="3242" spans="1:6">
      <c r="A3242" s="46" t="s">
        <v>8173</v>
      </c>
      <c r="B3242" s="46" t="s">
        <v>7998</v>
      </c>
      <c r="C3242" s="46" t="s">
        <v>8173</v>
      </c>
      <c r="D3242" s="46" t="s">
        <v>8452</v>
      </c>
      <c r="E3242" s="46" cm="1">
        <f t="array" ref="E3242">disascal_hih_jan_crime_schproperty</f>
        <v>0</v>
      </c>
      <c r="F3242" s="46" t="b">
        <v>1</v>
      </c>
    </row>
    <row r="3243" spans="1:6">
      <c r="A3243" s="46" t="s">
        <v>8174</v>
      </c>
      <c r="B3243" s="46" t="s">
        <v>7998</v>
      </c>
      <c r="C3243" s="46" t="s">
        <v>8174</v>
      </c>
      <c r="D3243" s="46" t="s">
        <v>8453</v>
      </c>
      <c r="E3243" s="46" cm="1">
        <f t="array" ref="E3243">disascal_hih_feb_crime_schproperty</f>
        <v>0</v>
      </c>
      <c r="F3243" s="46" t="b">
        <v>1</v>
      </c>
    </row>
    <row r="3244" spans="1:6">
      <c r="A3244" s="46" t="s">
        <v>8175</v>
      </c>
      <c r="B3244" s="46" t="s">
        <v>7998</v>
      </c>
      <c r="C3244" s="46" t="s">
        <v>8175</v>
      </c>
      <c r="D3244" s="46" t="s">
        <v>8454</v>
      </c>
      <c r="E3244" s="46" cm="1">
        <f t="array" ref="E3244">disascal_hih_mar_crime_schproperty</f>
        <v>0</v>
      </c>
      <c r="F3244" s="46" t="b">
        <v>1</v>
      </c>
    </row>
    <row r="3245" spans="1:6">
      <c r="A3245" s="46" t="s">
        <v>8176</v>
      </c>
      <c r="B3245" s="46" t="s">
        <v>7998</v>
      </c>
      <c r="C3245" s="46" t="s">
        <v>8176</v>
      </c>
      <c r="D3245" s="46" t="s">
        <v>8455</v>
      </c>
      <c r="E3245" s="46" cm="1">
        <f t="array" ref="E3245">disascal_hih_apr_crime_schproperty</f>
        <v>0</v>
      </c>
      <c r="F3245" s="46" t="b">
        <v>1</v>
      </c>
    </row>
    <row r="3246" spans="1:6">
      <c r="A3246" s="46" t="s">
        <v>8177</v>
      </c>
      <c r="B3246" s="46" t="s">
        <v>7998</v>
      </c>
      <c r="C3246" s="46" t="s">
        <v>8177</v>
      </c>
      <c r="D3246" s="46" t="s">
        <v>8456</v>
      </c>
      <c r="E3246" s="46" cm="1">
        <f t="array" ref="E3246">disascal_hih_may_crime_schproperty</f>
        <v>0</v>
      </c>
      <c r="F3246" s="46" t="b">
        <v>1</v>
      </c>
    </row>
    <row r="3247" spans="1:6">
      <c r="A3247" s="46" t="s">
        <v>8178</v>
      </c>
      <c r="B3247" s="46" t="s">
        <v>7998</v>
      </c>
      <c r="C3247" s="46" t="s">
        <v>8178</v>
      </c>
      <c r="D3247" s="46" t="s">
        <v>8457</v>
      </c>
      <c r="E3247" s="46" cm="1">
        <f t="array" ref="E3247">disascal_hih_jun_crime_teachers</f>
        <v>0</v>
      </c>
      <c r="F3247" s="46" t="b">
        <v>1</v>
      </c>
    </row>
    <row r="3248" spans="1:6">
      <c r="A3248" s="46" t="s">
        <v>8179</v>
      </c>
      <c r="B3248" s="46" t="s">
        <v>7998</v>
      </c>
      <c r="C3248" s="46" t="s">
        <v>8179</v>
      </c>
      <c r="D3248" s="46" t="s">
        <v>8458</v>
      </c>
      <c r="E3248" s="46" cm="1">
        <f t="array" ref="E3248">disascal_hih_jul_crime_teachers</f>
        <v>0</v>
      </c>
      <c r="F3248" s="46" t="b">
        <v>1</v>
      </c>
    </row>
    <row r="3249" spans="1:6">
      <c r="A3249" s="46" t="s">
        <v>8180</v>
      </c>
      <c r="B3249" s="46" t="s">
        <v>7998</v>
      </c>
      <c r="C3249" s="46" t="s">
        <v>8180</v>
      </c>
      <c r="D3249" s="46" t="s">
        <v>8459</v>
      </c>
      <c r="E3249" s="46" cm="1">
        <f t="array" ref="E3249">disascal_hih_aug_crime_teachers</f>
        <v>0</v>
      </c>
      <c r="F3249" s="46" t="b">
        <v>1</v>
      </c>
    </row>
    <row r="3250" spans="1:6">
      <c r="A3250" s="46" t="s">
        <v>8181</v>
      </c>
      <c r="B3250" s="46" t="s">
        <v>7998</v>
      </c>
      <c r="C3250" s="46" t="s">
        <v>8181</v>
      </c>
      <c r="D3250" s="46" t="s">
        <v>8460</v>
      </c>
      <c r="E3250" s="46" cm="1">
        <f t="array" ref="E3250">disascal_hih_sep_crime_teachers</f>
        <v>0</v>
      </c>
      <c r="F3250" s="46" t="b">
        <v>1</v>
      </c>
    </row>
    <row r="3251" spans="1:6">
      <c r="A3251" s="46" t="s">
        <v>8182</v>
      </c>
      <c r="B3251" s="46" t="s">
        <v>7998</v>
      </c>
      <c r="C3251" s="46" t="s">
        <v>8182</v>
      </c>
      <c r="D3251" s="46" t="s">
        <v>8461</v>
      </c>
      <c r="E3251" s="46" cm="1">
        <f t="array" ref="E3251">disascal_hih_oct_crime_teachers</f>
        <v>0</v>
      </c>
      <c r="F3251" s="46" t="b">
        <v>1</v>
      </c>
    </row>
    <row r="3252" spans="1:6">
      <c r="A3252" s="46" t="s">
        <v>8183</v>
      </c>
      <c r="B3252" s="46" t="s">
        <v>7998</v>
      </c>
      <c r="C3252" s="46" t="s">
        <v>8183</v>
      </c>
      <c r="D3252" s="46" t="s">
        <v>8462</v>
      </c>
      <c r="E3252" s="46" cm="1">
        <f t="array" ref="E3252">disascal_hih_nov_crime_teachers</f>
        <v>0</v>
      </c>
      <c r="F3252" s="46" t="b">
        <v>1</v>
      </c>
    </row>
    <row r="3253" spans="1:6">
      <c r="A3253" s="46" t="s">
        <v>8184</v>
      </c>
      <c r="B3253" s="46" t="s">
        <v>7998</v>
      </c>
      <c r="C3253" s="46" t="s">
        <v>8184</v>
      </c>
      <c r="D3253" s="46" t="s">
        <v>8463</v>
      </c>
      <c r="E3253" s="46" cm="1">
        <f t="array" ref="E3253">disascal_hih_dec_crime_teachers</f>
        <v>0</v>
      </c>
      <c r="F3253" s="46" t="b">
        <v>1</v>
      </c>
    </row>
    <row r="3254" spans="1:6">
      <c r="A3254" s="46" t="s">
        <v>8185</v>
      </c>
      <c r="B3254" s="46" t="s">
        <v>7998</v>
      </c>
      <c r="C3254" s="46" t="s">
        <v>8185</v>
      </c>
      <c r="D3254" s="46" t="s">
        <v>8464</v>
      </c>
      <c r="E3254" s="46" cm="1">
        <f t="array" ref="E3254">disascal_hih_jan_crime_teachers</f>
        <v>0</v>
      </c>
      <c r="F3254" s="46" t="b">
        <v>1</v>
      </c>
    </row>
    <row r="3255" spans="1:6">
      <c r="A3255" s="46" t="s">
        <v>8186</v>
      </c>
      <c r="B3255" s="46" t="s">
        <v>7998</v>
      </c>
      <c r="C3255" s="46" t="s">
        <v>8186</v>
      </c>
      <c r="D3255" s="46" t="s">
        <v>8465</v>
      </c>
      <c r="E3255" s="46" cm="1">
        <f t="array" ref="E3255">disascal_hih_feb_crime_teachers</f>
        <v>0</v>
      </c>
      <c r="F3255" s="46" t="b">
        <v>1</v>
      </c>
    </row>
    <row r="3256" spans="1:6">
      <c r="A3256" s="46" t="s">
        <v>8187</v>
      </c>
      <c r="B3256" s="46" t="s">
        <v>7998</v>
      </c>
      <c r="C3256" s="46" t="s">
        <v>8187</v>
      </c>
      <c r="D3256" s="46" t="s">
        <v>8466</v>
      </c>
      <c r="E3256" s="46" cm="1">
        <f t="array" ref="E3256">disascal_hih_mar_crime_teachers</f>
        <v>0</v>
      </c>
      <c r="F3256" s="46" t="b">
        <v>1</v>
      </c>
    </row>
    <row r="3257" spans="1:6">
      <c r="A3257" s="46" t="s">
        <v>8188</v>
      </c>
      <c r="B3257" s="46" t="s">
        <v>7998</v>
      </c>
      <c r="C3257" s="46" t="s">
        <v>8188</v>
      </c>
      <c r="D3257" s="46" t="s">
        <v>8467</v>
      </c>
      <c r="E3257" s="46" cm="1">
        <f t="array" ref="E3257">disascal_hih_apr_crime_teachers</f>
        <v>0</v>
      </c>
      <c r="F3257" s="46" t="b">
        <v>1</v>
      </c>
    </row>
    <row r="3258" spans="1:6">
      <c r="A3258" s="46" t="s">
        <v>8189</v>
      </c>
      <c r="B3258" s="46" t="s">
        <v>7998</v>
      </c>
      <c r="C3258" s="46" t="s">
        <v>8189</v>
      </c>
      <c r="D3258" s="46" t="s">
        <v>8468</v>
      </c>
      <c r="E3258" s="46" cm="1">
        <f t="array" ref="E3258">disascal_hih_may_crime_teachers</f>
        <v>0</v>
      </c>
      <c r="F3258" s="46" t="b">
        <v>1</v>
      </c>
    </row>
    <row r="3259" spans="1:6">
      <c r="A3259" s="46" t="s">
        <v>8190</v>
      </c>
      <c r="B3259" s="46" t="s">
        <v>7998</v>
      </c>
      <c r="C3259" s="46" t="s">
        <v>8190</v>
      </c>
      <c r="D3259" s="46" t="s">
        <v>8469</v>
      </c>
      <c r="E3259" s="46" cm="1">
        <f t="array" ref="E3259">disascal_hih_jun_fire</f>
        <v>0</v>
      </c>
      <c r="F3259" s="46" t="b">
        <v>1</v>
      </c>
    </row>
    <row r="3260" spans="1:6">
      <c r="A3260" s="46" t="s">
        <v>8191</v>
      </c>
      <c r="B3260" s="46" t="s">
        <v>7998</v>
      </c>
      <c r="C3260" s="46" t="s">
        <v>8191</v>
      </c>
      <c r="D3260" s="46" t="s">
        <v>8470</v>
      </c>
      <c r="E3260" s="46" cm="1">
        <f t="array" ref="E3260">disascal_hih_jul_fire</f>
        <v>0</v>
      </c>
      <c r="F3260" s="46" t="b">
        <v>1</v>
      </c>
    </row>
    <row r="3261" spans="1:6">
      <c r="A3261" s="46" t="s">
        <v>8192</v>
      </c>
      <c r="B3261" s="46" t="s">
        <v>7998</v>
      </c>
      <c r="C3261" s="46" t="s">
        <v>8192</v>
      </c>
      <c r="D3261" s="46" t="s">
        <v>8471</v>
      </c>
      <c r="E3261" s="46" cm="1">
        <f t="array" ref="E3261">disascal_hih_aug_fire</f>
        <v>0</v>
      </c>
      <c r="F3261" s="46" t="b">
        <v>1</v>
      </c>
    </row>
    <row r="3262" spans="1:6">
      <c r="A3262" s="46" t="s">
        <v>8193</v>
      </c>
      <c r="B3262" s="46" t="s">
        <v>7998</v>
      </c>
      <c r="C3262" s="46" t="s">
        <v>8193</v>
      </c>
      <c r="D3262" s="46" t="s">
        <v>8472</v>
      </c>
      <c r="E3262" s="46" cm="1">
        <f t="array" ref="E3262">disascal_hih_sep_fire</f>
        <v>0</v>
      </c>
      <c r="F3262" s="46" t="b">
        <v>1</v>
      </c>
    </row>
    <row r="3263" spans="1:6">
      <c r="A3263" s="46" t="s">
        <v>8194</v>
      </c>
      <c r="B3263" s="46" t="s">
        <v>7998</v>
      </c>
      <c r="C3263" s="46" t="s">
        <v>8194</v>
      </c>
      <c r="D3263" s="46" t="s">
        <v>8473</v>
      </c>
      <c r="E3263" s="46" cm="1">
        <f t="array" ref="E3263">disascal_hih_oct_fire</f>
        <v>0</v>
      </c>
      <c r="F3263" s="46" t="b">
        <v>1</v>
      </c>
    </row>
    <row r="3264" spans="1:6">
      <c r="A3264" s="46" t="s">
        <v>8195</v>
      </c>
      <c r="B3264" s="46" t="s">
        <v>7998</v>
      </c>
      <c r="C3264" s="46" t="s">
        <v>8195</v>
      </c>
      <c r="D3264" s="46" t="s">
        <v>8474</v>
      </c>
      <c r="E3264" s="46" cm="1">
        <f t="array" ref="E3264">disascal_hih_nov_fire</f>
        <v>0</v>
      </c>
      <c r="F3264" s="46" t="b">
        <v>1</v>
      </c>
    </row>
    <row r="3265" spans="1:6">
      <c r="A3265" s="46" t="s">
        <v>8196</v>
      </c>
      <c r="B3265" s="46" t="s">
        <v>7998</v>
      </c>
      <c r="C3265" s="46" t="s">
        <v>8196</v>
      </c>
      <c r="D3265" s="46" t="s">
        <v>8475</v>
      </c>
      <c r="E3265" s="46" cm="1">
        <f t="array" ref="E3265">disascal_hih_dec_fire</f>
        <v>0</v>
      </c>
      <c r="F3265" s="46" t="b">
        <v>1</v>
      </c>
    </row>
    <row r="3266" spans="1:6">
      <c r="A3266" s="46" t="s">
        <v>8197</v>
      </c>
      <c r="B3266" s="46" t="s">
        <v>7998</v>
      </c>
      <c r="C3266" s="46" t="s">
        <v>8197</v>
      </c>
      <c r="D3266" s="46" t="s">
        <v>8476</v>
      </c>
      <c r="E3266" s="46" cm="1">
        <f t="array" ref="E3266">disascal_hih_jan_fire</f>
        <v>0</v>
      </c>
      <c r="F3266" s="46" t="b">
        <v>1</v>
      </c>
    </row>
    <row r="3267" spans="1:6">
      <c r="A3267" s="46" t="s">
        <v>8198</v>
      </c>
      <c r="B3267" s="46" t="s">
        <v>7998</v>
      </c>
      <c r="C3267" s="46" t="s">
        <v>8198</v>
      </c>
      <c r="D3267" s="46" t="s">
        <v>8477</v>
      </c>
      <c r="E3267" s="46" cm="1">
        <f t="array" ref="E3267">disascal_hih_feb_fire</f>
        <v>0</v>
      </c>
      <c r="F3267" s="46" t="b">
        <v>1</v>
      </c>
    </row>
    <row r="3268" spans="1:6">
      <c r="A3268" s="46" t="s">
        <v>8199</v>
      </c>
      <c r="B3268" s="46" t="s">
        <v>7998</v>
      </c>
      <c r="C3268" s="46" t="s">
        <v>8199</v>
      </c>
      <c r="D3268" s="46" t="s">
        <v>8478</v>
      </c>
      <c r="E3268" s="46" cm="1">
        <f t="array" ref="E3268">disascal_hih_mar_fire</f>
        <v>0</v>
      </c>
      <c r="F3268" s="46" t="b">
        <v>1</v>
      </c>
    </row>
    <row r="3269" spans="1:6">
      <c r="A3269" s="46" t="s">
        <v>8200</v>
      </c>
      <c r="B3269" s="46" t="s">
        <v>7998</v>
      </c>
      <c r="C3269" s="46" t="s">
        <v>8200</v>
      </c>
      <c r="D3269" s="46" t="s">
        <v>8479</v>
      </c>
      <c r="E3269" s="46" cm="1">
        <f t="array" ref="E3269">disascal_hih_apr_fire</f>
        <v>0</v>
      </c>
      <c r="F3269" s="46" t="b">
        <v>1</v>
      </c>
    </row>
    <row r="3270" spans="1:6">
      <c r="A3270" s="46" t="s">
        <v>8201</v>
      </c>
      <c r="B3270" s="46" t="s">
        <v>7998</v>
      </c>
      <c r="C3270" s="46" t="s">
        <v>8201</v>
      </c>
      <c r="D3270" s="46" t="s">
        <v>8480</v>
      </c>
      <c r="E3270" s="46" cm="1">
        <f t="array" ref="E3270">disascal_hih_may_fire</f>
        <v>0</v>
      </c>
      <c r="F3270" s="46" t="b">
        <v>1</v>
      </c>
    </row>
    <row r="3271" spans="1:6">
      <c r="A3271" s="46" t="s">
        <v>8202</v>
      </c>
      <c r="B3271" s="46" t="s">
        <v>7998</v>
      </c>
      <c r="C3271" s="46" t="s">
        <v>8202</v>
      </c>
      <c r="D3271" s="46" t="s">
        <v>8481</v>
      </c>
      <c r="E3271" s="46" cm="1">
        <f t="array" ref="E3271">disascal_hih_jun_hazardous_materials</f>
        <v>0</v>
      </c>
      <c r="F3271" s="46" t="b">
        <v>1</v>
      </c>
    </row>
    <row r="3272" spans="1:6">
      <c r="A3272" s="46" t="s">
        <v>8203</v>
      </c>
      <c r="B3272" s="46" t="s">
        <v>7998</v>
      </c>
      <c r="C3272" s="46" t="s">
        <v>8203</v>
      </c>
      <c r="D3272" s="46" t="s">
        <v>8482</v>
      </c>
      <c r="E3272" s="46" cm="1">
        <f t="array" ref="E3272">disascal_hih_jul_hazardous_materials</f>
        <v>0</v>
      </c>
      <c r="F3272" s="46" t="b">
        <v>1</v>
      </c>
    </row>
    <row r="3273" spans="1:6">
      <c r="A3273" s="46" t="s">
        <v>8204</v>
      </c>
      <c r="B3273" s="46" t="s">
        <v>7998</v>
      </c>
      <c r="C3273" s="46" t="s">
        <v>8204</v>
      </c>
      <c r="D3273" s="46" t="s">
        <v>8483</v>
      </c>
      <c r="E3273" s="46" cm="1">
        <f t="array" ref="E3273">disascal_hih_aug_hazardous_materials</f>
        <v>0</v>
      </c>
      <c r="F3273" s="46" t="b">
        <v>1</v>
      </c>
    </row>
    <row r="3274" spans="1:6">
      <c r="A3274" s="46" t="s">
        <v>8205</v>
      </c>
      <c r="B3274" s="46" t="s">
        <v>7998</v>
      </c>
      <c r="C3274" s="46" t="s">
        <v>8205</v>
      </c>
      <c r="D3274" s="46" t="s">
        <v>8484</v>
      </c>
      <c r="E3274" s="46" cm="1">
        <f t="array" ref="E3274">disascal_hih_sep_hazardous_materials</f>
        <v>0</v>
      </c>
      <c r="F3274" s="46" t="b">
        <v>1</v>
      </c>
    </row>
    <row r="3275" spans="1:6">
      <c r="A3275" s="46" t="s">
        <v>8206</v>
      </c>
      <c r="B3275" s="46" t="s">
        <v>7998</v>
      </c>
      <c r="C3275" s="46" t="s">
        <v>8206</v>
      </c>
      <c r="D3275" s="46" t="s">
        <v>8485</v>
      </c>
      <c r="E3275" s="46" cm="1">
        <f t="array" ref="E3275">disascal_hih_oct_hazardous_materials</f>
        <v>0</v>
      </c>
      <c r="F3275" s="46" t="b">
        <v>1</v>
      </c>
    </row>
    <row r="3276" spans="1:6">
      <c r="A3276" s="46" t="s">
        <v>8207</v>
      </c>
      <c r="B3276" s="46" t="s">
        <v>7998</v>
      </c>
      <c r="C3276" s="46" t="s">
        <v>8207</v>
      </c>
      <c r="D3276" s="46" t="s">
        <v>8486</v>
      </c>
      <c r="E3276" s="46" cm="1">
        <f t="array" ref="E3276">disascal_hih_nov_hazardous_materials</f>
        <v>0</v>
      </c>
      <c r="F3276" s="46" t="b">
        <v>1</v>
      </c>
    </row>
    <row r="3277" spans="1:6">
      <c r="A3277" s="46" t="s">
        <v>8208</v>
      </c>
      <c r="B3277" s="46" t="s">
        <v>7998</v>
      </c>
      <c r="C3277" s="46" t="s">
        <v>8208</v>
      </c>
      <c r="D3277" s="46" t="s">
        <v>8487</v>
      </c>
      <c r="E3277" s="46" cm="1">
        <f t="array" ref="E3277">disascal_hih_dec_hazardous_materials</f>
        <v>0</v>
      </c>
      <c r="F3277" s="46" t="b">
        <v>1</v>
      </c>
    </row>
    <row r="3278" spans="1:6">
      <c r="A3278" s="46" t="s">
        <v>8209</v>
      </c>
      <c r="B3278" s="46" t="s">
        <v>7998</v>
      </c>
      <c r="C3278" s="46" t="s">
        <v>8209</v>
      </c>
      <c r="D3278" s="46" t="s">
        <v>8488</v>
      </c>
      <c r="E3278" s="46" cm="1">
        <f t="array" ref="E3278">disascal_hih_jan_hazardous_materials</f>
        <v>0</v>
      </c>
      <c r="F3278" s="46" t="b">
        <v>1</v>
      </c>
    </row>
    <row r="3279" spans="1:6">
      <c r="A3279" s="46" t="s">
        <v>8210</v>
      </c>
      <c r="B3279" s="46" t="s">
        <v>7998</v>
      </c>
      <c r="C3279" s="46" t="s">
        <v>8210</v>
      </c>
      <c r="D3279" s="46" t="s">
        <v>8489</v>
      </c>
      <c r="E3279" s="46" cm="1">
        <f t="array" ref="E3279">disascal_hih_feb_hazardous_materials</f>
        <v>0</v>
      </c>
      <c r="F3279" s="46" t="b">
        <v>1</v>
      </c>
    </row>
    <row r="3280" spans="1:6">
      <c r="A3280" s="46" t="s">
        <v>8211</v>
      </c>
      <c r="B3280" s="46" t="s">
        <v>7998</v>
      </c>
      <c r="C3280" s="46" t="s">
        <v>8211</v>
      </c>
      <c r="D3280" s="46" t="s">
        <v>8490</v>
      </c>
      <c r="E3280" s="46" cm="1">
        <f t="array" ref="E3280">disascal_hih_mar_hazardous_materials</f>
        <v>0</v>
      </c>
      <c r="F3280" s="46" t="b">
        <v>1</v>
      </c>
    </row>
    <row r="3281" spans="1:6">
      <c r="A3281" s="46" t="s">
        <v>8212</v>
      </c>
      <c r="B3281" s="46" t="s">
        <v>7998</v>
      </c>
      <c r="C3281" s="46" t="s">
        <v>8212</v>
      </c>
      <c r="D3281" s="46" t="s">
        <v>8491</v>
      </c>
      <c r="E3281" s="46" cm="1">
        <f t="array" ref="E3281">disascal_hih_apr_hazardous_materials</f>
        <v>0</v>
      </c>
      <c r="F3281" s="46" t="b">
        <v>1</v>
      </c>
    </row>
    <row r="3282" spans="1:6">
      <c r="A3282" s="46" t="s">
        <v>8213</v>
      </c>
      <c r="B3282" s="46" t="s">
        <v>7998</v>
      </c>
      <c r="C3282" s="46" t="s">
        <v>8213</v>
      </c>
      <c r="D3282" s="46" t="s">
        <v>8492</v>
      </c>
      <c r="E3282" s="46" cm="1">
        <f t="array" ref="E3282">disascal_hih_may_hazardous_materials</f>
        <v>0</v>
      </c>
      <c r="F3282" s="46" t="b">
        <v>1</v>
      </c>
    </row>
    <row r="3283" spans="1:6">
      <c r="A3283" s="46" t="s">
        <v>8214</v>
      </c>
      <c r="B3283" s="46" t="s">
        <v>7998</v>
      </c>
      <c r="C3283" s="46" t="s">
        <v>8214</v>
      </c>
      <c r="D3283" s="46" t="s">
        <v>8493</v>
      </c>
      <c r="E3283" s="46" cm="1">
        <f t="array" ref="E3283">disascal_hih_jun_healththreat</f>
        <v>0</v>
      </c>
      <c r="F3283" s="46" t="b">
        <v>1</v>
      </c>
    </row>
    <row r="3284" spans="1:6">
      <c r="A3284" s="46" t="s">
        <v>8215</v>
      </c>
      <c r="B3284" s="46" t="s">
        <v>7998</v>
      </c>
      <c r="C3284" s="46" t="s">
        <v>8215</v>
      </c>
      <c r="D3284" s="46" t="s">
        <v>8494</v>
      </c>
      <c r="E3284" s="46" cm="1">
        <f t="array" ref="E3284">disascal_hih_jul_healththreat</f>
        <v>0</v>
      </c>
      <c r="F3284" s="46" t="b">
        <v>1</v>
      </c>
    </row>
    <row r="3285" spans="1:6">
      <c r="A3285" s="46" t="s">
        <v>8216</v>
      </c>
      <c r="B3285" s="46" t="s">
        <v>7998</v>
      </c>
      <c r="C3285" s="46" t="s">
        <v>8216</v>
      </c>
      <c r="D3285" s="46" t="s">
        <v>8495</v>
      </c>
      <c r="E3285" s="46" cm="1">
        <f t="array" ref="E3285">disascal_hih_aug_healththreat</f>
        <v>0</v>
      </c>
      <c r="F3285" s="46" t="b">
        <v>1</v>
      </c>
    </row>
    <row r="3286" spans="1:6">
      <c r="A3286" s="46" t="s">
        <v>8217</v>
      </c>
      <c r="B3286" s="46" t="s">
        <v>7998</v>
      </c>
      <c r="C3286" s="46" t="s">
        <v>8217</v>
      </c>
      <c r="D3286" s="46" t="s">
        <v>8496</v>
      </c>
      <c r="E3286" s="46" cm="1">
        <f t="array" ref="E3286">disascal_hih_sep_healththreat</f>
        <v>0</v>
      </c>
      <c r="F3286" s="46" t="b">
        <v>1</v>
      </c>
    </row>
    <row r="3287" spans="1:6">
      <c r="A3287" s="46" t="s">
        <v>8218</v>
      </c>
      <c r="B3287" s="46" t="s">
        <v>7998</v>
      </c>
      <c r="C3287" s="46" t="s">
        <v>8218</v>
      </c>
      <c r="D3287" s="46" t="s">
        <v>8497</v>
      </c>
      <c r="E3287" s="46" cm="1">
        <f t="array" ref="E3287">disascal_hih_oct_healththreat</f>
        <v>0</v>
      </c>
      <c r="F3287" s="46" t="b">
        <v>1</v>
      </c>
    </row>
    <row r="3288" spans="1:6">
      <c r="A3288" s="46" t="s">
        <v>8219</v>
      </c>
      <c r="B3288" s="46" t="s">
        <v>7998</v>
      </c>
      <c r="C3288" s="46" t="s">
        <v>8219</v>
      </c>
      <c r="D3288" s="46" t="s">
        <v>8498</v>
      </c>
      <c r="E3288" s="46" cm="1">
        <f t="array" ref="E3288">disascal_hih_nov_healththreat</f>
        <v>0</v>
      </c>
      <c r="F3288" s="46" t="b">
        <v>1</v>
      </c>
    </row>
    <row r="3289" spans="1:6">
      <c r="A3289" s="46" t="s">
        <v>8220</v>
      </c>
      <c r="B3289" s="46" t="s">
        <v>7998</v>
      </c>
      <c r="C3289" s="46" t="s">
        <v>8220</v>
      </c>
      <c r="D3289" s="46" t="s">
        <v>8499</v>
      </c>
      <c r="E3289" s="46" cm="1">
        <f t="array" ref="E3289">disascal_hih_dec_healththreat</f>
        <v>0</v>
      </c>
      <c r="F3289" s="46" t="b">
        <v>1</v>
      </c>
    </row>
    <row r="3290" spans="1:6">
      <c r="A3290" s="46" t="s">
        <v>8221</v>
      </c>
      <c r="B3290" s="46" t="s">
        <v>7998</v>
      </c>
      <c r="C3290" s="46" t="s">
        <v>8221</v>
      </c>
      <c r="D3290" s="46" t="s">
        <v>8500</v>
      </c>
      <c r="E3290" s="46" cm="1">
        <f t="array" ref="E3290">disascal_hih_jan_healththreat</f>
        <v>0</v>
      </c>
      <c r="F3290" s="46" t="b">
        <v>1</v>
      </c>
    </row>
    <row r="3291" spans="1:6">
      <c r="A3291" s="46" t="s">
        <v>8222</v>
      </c>
      <c r="B3291" s="46" t="s">
        <v>7998</v>
      </c>
      <c r="C3291" s="46" t="s">
        <v>8222</v>
      </c>
      <c r="D3291" s="46" t="s">
        <v>8501</v>
      </c>
      <c r="E3291" s="46" cm="1">
        <f t="array" ref="E3291">disascal_hih_feb_healththreat</f>
        <v>0</v>
      </c>
      <c r="F3291" s="46" t="b">
        <v>1</v>
      </c>
    </row>
    <row r="3292" spans="1:6">
      <c r="A3292" s="46" t="s">
        <v>8223</v>
      </c>
      <c r="B3292" s="46" t="s">
        <v>7998</v>
      </c>
      <c r="C3292" s="46" t="s">
        <v>8223</v>
      </c>
      <c r="D3292" s="46" t="s">
        <v>8502</v>
      </c>
      <c r="E3292" s="46" cm="1">
        <f t="array" ref="E3292">disascal_hih_mar_healththreat</f>
        <v>0</v>
      </c>
      <c r="F3292" s="46" t="b">
        <v>1</v>
      </c>
    </row>
    <row r="3293" spans="1:6">
      <c r="A3293" s="46" t="s">
        <v>8224</v>
      </c>
      <c r="B3293" s="46" t="s">
        <v>7998</v>
      </c>
      <c r="C3293" s="46" t="s">
        <v>8224</v>
      </c>
      <c r="D3293" s="46" t="s">
        <v>8503</v>
      </c>
      <c r="E3293" s="46" cm="1">
        <f t="array" ref="E3293">disascal_hih_apr_healththreat</f>
        <v>0</v>
      </c>
      <c r="F3293" s="46" t="b">
        <v>1</v>
      </c>
    </row>
    <row r="3294" spans="1:6">
      <c r="A3294" s="46" t="s">
        <v>8225</v>
      </c>
      <c r="B3294" s="46" t="s">
        <v>7998</v>
      </c>
      <c r="C3294" s="46" t="s">
        <v>8225</v>
      </c>
      <c r="D3294" s="46" t="s">
        <v>8504</v>
      </c>
      <c r="E3294" s="46" cm="1">
        <f t="array" ref="E3294">disascal_hih_may_healththreat</f>
        <v>0</v>
      </c>
      <c r="F3294" s="46" t="b">
        <v>1</v>
      </c>
    </row>
    <row r="3295" spans="1:6">
      <c r="A3295" s="46" t="s">
        <v>8226</v>
      </c>
      <c r="B3295" s="46" t="s">
        <v>7998</v>
      </c>
      <c r="C3295" s="46" t="s">
        <v>8226</v>
      </c>
      <c r="D3295" s="46" t="s">
        <v>8505</v>
      </c>
      <c r="E3295" s="46" cm="1">
        <f t="array" ref="E3295">disascal_hih_jun_hostage_insch</f>
        <v>0</v>
      </c>
      <c r="F3295" s="46" t="b">
        <v>1</v>
      </c>
    </row>
    <row r="3296" spans="1:6">
      <c r="A3296" s="46" t="s">
        <v>8227</v>
      </c>
      <c r="B3296" s="46" t="s">
        <v>7998</v>
      </c>
      <c r="C3296" s="46" t="s">
        <v>8227</v>
      </c>
      <c r="D3296" s="46" t="s">
        <v>8506</v>
      </c>
      <c r="E3296" s="46" cm="1">
        <f t="array" ref="E3296">disascal_hih_jul_hostage_insch</f>
        <v>0</v>
      </c>
      <c r="F3296" s="46" t="b">
        <v>1</v>
      </c>
    </row>
    <row r="3297" spans="1:6">
      <c r="A3297" s="46" t="s">
        <v>8228</v>
      </c>
      <c r="B3297" s="46" t="s">
        <v>7998</v>
      </c>
      <c r="C3297" s="46" t="s">
        <v>8228</v>
      </c>
      <c r="D3297" s="46" t="s">
        <v>8507</v>
      </c>
      <c r="E3297" s="46" cm="1">
        <f t="array" ref="E3297">disascal_hih_aug_hostage_insch</f>
        <v>0</v>
      </c>
      <c r="F3297" s="46" t="b">
        <v>1</v>
      </c>
    </row>
    <row r="3298" spans="1:6">
      <c r="A3298" s="46" t="s">
        <v>8229</v>
      </c>
      <c r="B3298" s="46" t="s">
        <v>7998</v>
      </c>
      <c r="C3298" s="46" t="s">
        <v>8229</v>
      </c>
      <c r="D3298" s="46" t="s">
        <v>8508</v>
      </c>
      <c r="E3298" s="46" cm="1">
        <f t="array" ref="E3298">disascal_hih_sep_hostage_insch</f>
        <v>0</v>
      </c>
      <c r="F3298" s="46" t="b">
        <v>1</v>
      </c>
    </row>
    <row r="3299" spans="1:6">
      <c r="A3299" s="46" t="s">
        <v>8230</v>
      </c>
      <c r="B3299" s="46" t="s">
        <v>7998</v>
      </c>
      <c r="C3299" s="46" t="s">
        <v>8230</v>
      </c>
      <c r="D3299" s="46" t="s">
        <v>8509</v>
      </c>
      <c r="E3299" s="46" cm="1">
        <f t="array" ref="E3299">disascal_hih_oct_hostage_insch</f>
        <v>0</v>
      </c>
      <c r="F3299" s="46" t="b">
        <v>1</v>
      </c>
    </row>
    <row r="3300" spans="1:6">
      <c r="A3300" s="46" t="s">
        <v>8231</v>
      </c>
      <c r="B3300" s="46" t="s">
        <v>7998</v>
      </c>
      <c r="C3300" s="46" t="s">
        <v>8231</v>
      </c>
      <c r="D3300" s="46" t="s">
        <v>8510</v>
      </c>
      <c r="E3300" s="46" cm="1">
        <f t="array" ref="E3300">disascal_hih_nov_hostage_insch</f>
        <v>0</v>
      </c>
      <c r="F3300" s="46" t="b">
        <v>1</v>
      </c>
    </row>
    <row r="3301" spans="1:6">
      <c r="A3301" s="46" t="s">
        <v>8232</v>
      </c>
      <c r="B3301" s="46" t="s">
        <v>7998</v>
      </c>
      <c r="C3301" s="46" t="s">
        <v>8232</v>
      </c>
      <c r="D3301" s="46" t="s">
        <v>8511</v>
      </c>
      <c r="E3301" s="46" cm="1">
        <f t="array" ref="E3301">disascal_hih_dec_hostage_insch</f>
        <v>0</v>
      </c>
      <c r="F3301" s="46" t="b">
        <v>1</v>
      </c>
    </row>
    <row r="3302" spans="1:6">
      <c r="A3302" s="46" t="s">
        <v>8233</v>
      </c>
      <c r="B3302" s="46" t="s">
        <v>7998</v>
      </c>
      <c r="C3302" s="46" t="s">
        <v>8233</v>
      </c>
      <c r="D3302" s="46" t="s">
        <v>8512</v>
      </c>
      <c r="E3302" s="46" cm="1">
        <f t="array" ref="E3302">disascal_hih_jan_hostage_insch</f>
        <v>0</v>
      </c>
      <c r="F3302" s="46" t="b">
        <v>1</v>
      </c>
    </row>
    <row r="3303" spans="1:6">
      <c r="A3303" s="46" t="s">
        <v>8234</v>
      </c>
      <c r="B3303" s="46" t="s">
        <v>7998</v>
      </c>
      <c r="C3303" s="46" t="s">
        <v>8234</v>
      </c>
      <c r="D3303" s="46" t="s">
        <v>8513</v>
      </c>
      <c r="E3303" s="46" cm="1">
        <f t="array" ref="E3303">disascal_hih_feb_hostage_insch</f>
        <v>0</v>
      </c>
      <c r="F3303" s="46" t="b">
        <v>1</v>
      </c>
    </row>
    <row r="3304" spans="1:6">
      <c r="A3304" s="46" t="s">
        <v>8235</v>
      </c>
      <c r="B3304" s="46" t="s">
        <v>7998</v>
      </c>
      <c r="C3304" s="46" t="s">
        <v>8235</v>
      </c>
      <c r="D3304" s="46" t="s">
        <v>8514</v>
      </c>
      <c r="E3304" s="46" cm="1">
        <f t="array" ref="E3304">disascal_hih_mar_hostage_insch</f>
        <v>0</v>
      </c>
      <c r="F3304" s="46" t="b">
        <v>1</v>
      </c>
    </row>
    <row r="3305" spans="1:6">
      <c r="A3305" s="46" t="s">
        <v>8236</v>
      </c>
      <c r="B3305" s="46" t="s">
        <v>7998</v>
      </c>
      <c r="C3305" s="46" t="s">
        <v>8236</v>
      </c>
      <c r="D3305" s="46" t="s">
        <v>8515</v>
      </c>
      <c r="E3305" s="46" cm="1">
        <f t="array" ref="E3305">disascal_hih_apr_hostage_insch</f>
        <v>0</v>
      </c>
      <c r="F3305" s="46" t="b">
        <v>1</v>
      </c>
    </row>
    <row r="3306" spans="1:6">
      <c r="A3306" s="46" t="s">
        <v>8237</v>
      </c>
      <c r="B3306" s="46" t="s">
        <v>7998</v>
      </c>
      <c r="C3306" s="46" t="s">
        <v>8237</v>
      </c>
      <c r="D3306" s="46" t="s">
        <v>8516</v>
      </c>
      <c r="E3306" s="46" cm="1">
        <f t="array" ref="E3306">disascal_hih_may_hostage_insch</f>
        <v>0</v>
      </c>
      <c r="F3306" s="46" t="b">
        <v>1</v>
      </c>
    </row>
    <row r="3307" spans="1:6">
      <c r="A3307" s="46" t="s">
        <v>8238</v>
      </c>
      <c r="B3307" s="46" t="s">
        <v>7998</v>
      </c>
      <c r="C3307" s="46" t="s">
        <v>8238</v>
      </c>
      <c r="D3307" s="46" t="s">
        <v>8517</v>
      </c>
      <c r="E3307" s="46" cm="1">
        <f t="array" ref="E3307">disascal_hih_jun_shooting_insch</f>
        <v>0</v>
      </c>
      <c r="F3307" s="46" t="b">
        <v>1</v>
      </c>
    </row>
    <row r="3308" spans="1:6">
      <c r="A3308" s="46" t="s">
        <v>8239</v>
      </c>
      <c r="B3308" s="46" t="s">
        <v>7998</v>
      </c>
      <c r="C3308" s="46" t="s">
        <v>8239</v>
      </c>
      <c r="D3308" s="46" t="s">
        <v>8518</v>
      </c>
      <c r="E3308" s="46" cm="1">
        <f t="array" ref="E3308">disascal_hih_jul_shooting_insch</f>
        <v>0</v>
      </c>
      <c r="F3308" s="46" t="b">
        <v>1</v>
      </c>
    </row>
    <row r="3309" spans="1:6">
      <c r="A3309" s="46" t="s">
        <v>8240</v>
      </c>
      <c r="B3309" s="46" t="s">
        <v>7998</v>
      </c>
      <c r="C3309" s="46" t="s">
        <v>8240</v>
      </c>
      <c r="D3309" s="46" t="s">
        <v>8519</v>
      </c>
      <c r="E3309" s="46" cm="1">
        <f t="array" ref="E3309">disascal_hih_aug_shooting_insch</f>
        <v>0</v>
      </c>
      <c r="F3309" s="46" t="b">
        <v>1</v>
      </c>
    </row>
    <row r="3310" spans="1:6">
      <c r="A3310" s="46" t="s">
        <v>8241</v>
      </c>
      <c r="B3310" s="46" t="s">
        <v>7998</v>
      </c>
      <c r="C3310" s="46" t="s">
        <v>8241</v>
      </c>
      <c r="D3310" s="46" t="s">
        <v>8520</v>
      </c>
      <c r="E3310" s="46" cm="1">
        <f t="array" ref="E3310">disascal_hih_sep_shooting_insch</f>
        <v>0</v>
      </c>
      <c r="F3310" s="46" t="b">
        <v>1</v>
      </c>
    </row>
    <row r="3311" spans="1:6">
      <c r="A3311" s="46" t="s">
        <v>8242</v>
      </c>
      <c r="B3311" s="46" t="s">
        <v>7998</v>
      </c>
      <c r="C3311" s="46" t="s">
        <v>8242</v>
      </c>
      <c r="D3311" s="46" t="s">
        <v>8521</v>
      </c>
      <c r="E3311" s="46" cm="1">
        <f t="array" ref="E3311">disascal_hih_oct_shooting_insch</f>
        <v>0</v>
      </c>
      <c r="F3311" s="46" t="b">
        <v>1</v>
      </c>
    </row>
    <row r="3312" spans="1:6">
      <c r="A3312" s="46" t="s">
        <v>8243</v>
      </c>
      <c r="B3312" s="46" t="s">
        <v>7998</v>
      </c>
      <c r="C3312" s="46" t="s">
        <v>8243</v>
      </c>
      <c r="D3312" s="46" t="s">
        <v>8522</v>
      </c>
      <c r="E3312" s="46" cm="1">
        <f t="array" ref="E3312">disascal_hih_nov_shooting_insch</f>
        <v>0</v>
      </c>
      <c r="F3312" s="46" t="b">
        <v>1</v>
      </c>
    </row>
    <row r="3313" spans="1:6">
      <c r="A3313" s="46" t="s">
        <v>8244</v>
      </c>
      <c r="B3313" s="46" t="s">
        <v>7998</v>
      </c>
      <c r="C3313" s="46" t="s">
        <v>8244</v>
      </c>
      <c r="D3313" s="46" t="s">
        <v>8523</v>
      </c>
      <c r="E3313" s="46" cm="1">
        <f t="array" ref="E3313">disascal_hih_dec_shooting_insch</f>
        <v>0</v>
      </c>
      <c r="F3313" s="46" t="b">
        <v>1</v>
      </c>
    </row>
    <row r="3314" spans="1:6">
      <c r="A3314" s="46" t="s">
        <v>8245</v>
      </c>
      <c r="B3314" s="46" t="s">
        <v>7998</v>
      </c>
      <c r="C3314" s="46" t="s">
        <v>8245</v>
      </c>
      <c r="D3314" s="46" t="s">
        <v>8524</v>
      </c>
      <c r="E3314" s="46" cm="1">
        <f t="array" ref="E3314">disascal_hih_jan_shooting_insch</f>
        <v>0</v>
      </c>
      <c r="F3314" s="46" t="b">
        <v>1</v>
      </c>
    </row>
    <row r="3315" spans="1:6">
      <c r="A3315" s="46" t="s">
        <v>8246</v>
      </c>
      <c r="B3315" s="46" t="s">
        <v>7998</v>
      </c>
      <c r="C3315" s="46" t="s">
        <v>8246</v>
      </c>
      <c r="D3315" s="46" t="s">
        <v>8525</v>
      </c>
      <c r="E3315" s="46" cm="1">
        <f t="array" ref="E3315">disascal_hih_feb_shooting_insch</f>
        <v>0</v>
      </c>
      <c r="F3315" s="46" t="b">
        <v>1</v>
      </c>
    </row>
    <row r="3316" spans="1:6">
      <c r="A3316" s="46" t="s">
        <v>8247</v>
      </c>
      <c r="B3316" s="46" t="s">
        <v>7998</v>
      </c>
      <c r="C3316" s="46" t="s">
        <v>8247</v>
      </c>
      <c r="D3316" s="46" t="s">
        <v>8526</v>
      </c>
      <c r="E3316" s="46" cm="1">
        <f t="array" ref="E3316">disascal_hih_mar_shooting_insch</f>
        <v>0</v>
      </c>
      <c r="F3316" s="46" t="b">
        <v>1</v>
      </c>
    </row>
    <row r="3317" spans="1:6">
      <c r="A3317" s="46" t="s">
        <v>8248</v>
      </c>
      <c r="B3317" s="46" t="s">
        <v>7998</v>
      </c>
      <c r="C3317" s="46" t="s">
        <v>8248</v>
      </c>
      <c r="D3317" s="46" t="s">
        <v>8527</v>
      </c>
      <c r="E3317" s="46" cm="1">
        <f t="array" ref="E3317">disascal_hih_apr_shooting_insch</f>
        <v>0</v>
      </c>
      <c r="F3317" s="46" t="b">
        <v>1</v>
      </c>
    </row>
    <row r="3318" spans="1:6">
      <c r="A3318" s="46" t="s">
        <v>8249</v>
      </c>
      <c r="B3318" s="46" t="s">
        <v>7998</v>
      </c>
      <c r="C3318" s="46" t="s">
        <v>8249</v>
      </c>
      <c r="D3318" s="46" t="s">
        <v>8528</v>
      </c>
      <c r="E3318" s="46" cm="1">
        <f t="array" ref="E3318">disascal_hih_may_shooting_insch</f>
        <v>0</v>
      </c>
      <c r="F3318" s="46" t="b">
        <v>1</v>
      </c>
    </row>
    <row r="3319" spans="1:6">
      <c r="A3319" s="46" t="s">
        <v>8250</v>
      </c>
      <c r="B3319" s="46" t="s">
        <v>7998</v>
      </c>
      <c r="C3319" s="46" t="s">
        <v>8250</v>
      </c>
      <c r="D3319" s="46" t="s">
        <v>8529</v>
      </c>
      <c r="E3319" s="46" cm="1">
        <f t="array" ref="E3319">disascal_hih_jun_structural_collapse</f>
        <v>0</v>
      </c>
      <c r="F3319" s="46" t="b">
        <v>1</v>
      </c>
    </row>
    <row r="3320" spans="1:6">
      <c r="A3320" s="46" t="s">
        <v>8251</v>
      </c>
      <c r="B3320" s="46" t="s">
        <v>7998</v>
      </c>
      <c r="C3320" s="46" t="s">
        <v>8251</v>
      </c>
      <c r="D3320" s="46" t="s">
        <v>8530</v>
      </c>
      <c r="E3320" s="46" cm="1">
        <f t="array" ref="E3320">disascal_hih_jul_structural_collapse</f>
        <v>0</v>
      </c>
      <c r="F3320" s="46" t="b">
        <v>1</v>
      </c>
    </row>
    <row r="3321" spans="1:6">
      <c r="A3321" s="46" t="s">
        <v>8252</v>
      </c>
      <c r="B3321" s="46" t="s">
        <v>7998</v>
      </c>
      <c r="C3321" s="46" t="s">
        <v>8252</v>
      </c>
      <c r="D3321" s="46" t="s">
        <v>8531</v>
      </c>
      <c r="E3321" s="46" cm="1">
        <f t="array" ref="E3321">disascal_hih_aug_structural_collapse</f>
        <v>0</v>
      </c>
      <c r="F3321" s="46" t="b">
        <v>1</v>
      </c>
    </row>
    <row r="3322" spans="1:6">
      <c r="A3322" s="46" t="s">
        <v>8253</v>
      </c>
      <c r="B3322" s="46" t="s">
        <v>7998</v>
      </c>
      <c r="C3322" s="46" t="s">
        <v>8253</v>
      </c>
      <c r="D3322" s="46" t="s">
        <v>8532</v>
      </c>
      <c r="E3322" s="46" cm="1">
        <f t="array" ref="E3322">disascal_hih_sep_structural_collapse</f>
        <v>0</v>
      </c>
      <c r="F3322" s="46" t="b">
        <v>1</v>
      </c>
    </row>
    <row r="3323" spans="1:6">
      <c r="A3323" s="46" t="s">
        <v>8254</v>
      </c>
      <c r="B3323" s="46" t="s">
        <v>7998</v>
      </c>
      <c r="C3323" s="46" t="s">
        <v>8254</v>
      </c>
      <c r="D3323" s="46" t="s">
        <v>8533</v>
      </c>
      <c r="E3323" s="46" cm="1">
        <f t="array" ref="E3323">disascal_hih_oct_structural_collapse</f>
        <v>0</v>
      </c>
      <c r="F3323" s="46" t="b">
        <v>1</v>
      </c>
    </row>
    <row r="3324" spans="1:6">
      <c r="A3324" s="46" t="s">
        <v>8255</v>
      </c>
      <c r="B3324" s="46" t="s">
        <v>7998</v>
      </c>
      <c r="C3324" s="46" t="s">
        <v>8255</v>
      </c>
      <c r="D3324" s="46" t="s">
        <v>8534</v>
      </c>
      <c r="E3324" s="46" cm="1">
        <f t="array" ref="E3324">disascal_hih_nov_structural_collapse</f>
        <v>0</v>
      </c>
      <c r="F3324" s="46" t="b">
        <v>1</v>
      </c>
    </row>
    <row r="3325" spans="1:6">
      <c r="A3325" s="46" t="s">
        <v>8256</v>
      </c>
      <c r="B3325" s="46" t="s">
        <v>7998</v>
      </c>
      <c r="C3325" s="46" t="s">
        <v>8256</v>
      </c>
      <c r="D3325" s="46" t="s">
        <v>8535</v>
      </c>
      <c r="E3325" s="46" cm="1">
        <f t="array" ref="E3325">disascal_hih_dec_structural_collapse</f>
        <v>0</v>
      </c>
      <c r="F3325" s="46" t="b">
        <v>1</v>
      </c>
    </row>
    <row r="3326" spans="1:6">
      <c r="A3326" s="46" t="s">
        <v>8257</v>
      </c>
      <c r="B3326" s="46" t="s">
        <v>7998</v>
      </c>
      <c r="C3326" s="46" t="s">
        <v>8257</v>
      </c>
      <c r="D3326" s="46" t="s">
        <v>8536</v>
      </c>
      <c r="E3326" s="46" cm="1">
        <f t="array" ref="E3326">disascal_hih_jan_structural_collapse</f>
        <v>0</v>
      </c>
      <c r="F3326" s="46" t="b">
        <v>1</v>
      </c>
    </row>
    <row r="3327" spans="1:6">
      <c r="A3327" s="46" t="s">
        <v>8258</v>
      </c>
      <c r="B3327" s="46" t="s">
        <v>7998</v>
      </c>
      <c r="C3327" s="46" t="s">
        <v>8258</v>
      </c>
      <c r="D3327" s="46" t="s">
        <v>8537</v>
      </c>
      <c r="E3327" s="46" cm="1">
        <f t="array" ref="E3327">disascal_hih_feb_structural_collapse</f>
        <v>0</v>
      </c>
      <c r="F3327" s="46" t="b">
        <v>1</v>
      </c>
    </row>
    <row r="3328" spans="1:6">
      <c r="A3328" s="46" t="s">
        <v>8259</v>
      </c>
      <c r="B3328" s="46" t="s">
        <v>7998</v>
      </c>
      <c r="C3328" s="46" t="s">
        <v>8259</v>
      </c>
      <c r="D3328" s="46" t="s">
        <v>8538</v>
      </c>
      <c r="E3328" s="46" cm="1">
        <f t="array" ref="E3328">disascal_hih_mar_structural_collapse</f>
        <v>0</v>
      </c>
      <c r="F3328" s="46" t="b">
        <v>1</v>
      </c>
    </row>
    <row r="3329" spans="1:6">
      <c r="A3329" s="46" t="s">
        <v>8260</v>
      </c>
      <c r="B3329" s="46" t="s">
        <v>7998</v>
      </c>
      <c r="C3329" s="46" t="s">
        <v>8260</v>
      </c>
      <c r="D3329" s="46" t="s">
        <v>8539</v>
      </c>
      <c r="E3329" s="46" cm="1">
        <f t="array" ref="E3329">disascal_hih_apr_structural_collapse</f>
        <v>0</v>
      </c>
      <c r="F3329" s="46" t="b">
        <v>1</v>
      </c>
    </row>
    <row r="3330" spans="1:6">
      <c r="A3330" s="46" t="s">
        <v>8261</v>
      </c>
      <c r="B3330" s="46" t="s">
        <v>7998</v>
      </c>
      <c r="C3330" s="46" t="s">
        <v>8261</v>
      </c>
      <c r="D3330" s="46" t="s">
        <v>8540</v>
      </c>
      <c r="E3330" s="46" cm="1">
        <f t="array" ref="E3330">disascal_hih_may_structural_collapse</f>
        <v>0</v>
      </c>
      <c r="F3330" s="46" t="b">
        <v>1</v>
      </c>
    </row>
    <row r="3331" spans="1:6">
      <c r="A3331" s="46" t="s">
        <v>8262</v>
      </c>
      <c r="B3331" s="46" t="s">
        <v>7998</v>
      </c>
      <c r="C3331" s="46" t="s">
        <v>8262</v>
      </c>
      <c r="D3331" s="46" t="s">
        <v>8541</v>
      </c>
      <c r="E3331" s="46" cm="1">
        <f t="array" ref="E3331">disascal_hih_jun_others_specify</f>
        <v>0</v>
      </c>
      <c r="F3331" s="46" t="b">
        <v>1</v>
      </c>
    </row>
    <row r="3332" spans="1:6">
      <c r="A3332" s="46" t="s">
        <v>8263</v>
      </c>
      <c r="B3332" s="46" t="s">
        <v>7998</v>
      </c>
      <c r="C3332" s="46" t="s">
        <v>8263</v>
      </c>
      <c r="D3332" s="46" t="s">
        <v>8542</v>
      </c>
      <c r="E3332" s="46" cm="1">
        <f t="array" ref="E3332">disascal_hih_jul_others_specify</f>
        <v>0</v>
      </c>
      <c r="F3332" s="46" t="b">
        <v>1</v>
      </c>
    </row>
    <row r="3333" spans="1:6">
      <c r="A3333" s="46" t="s">
        <v>8264</v>
      </c>
      <c r="B3333" s="46" t="s">
        <v>7998</v>
      </c>
      <c r="C3333" s="46" t="s">
        <v>8264</v>
      </c>
      <c r="D3333" s="46" t="s">
        <v>8543</v>
      </c>
      <c r="E3333" s="46" cm="1">
        <f t="array" ref="E3333">disascal_hih_aug_others_specify</f>
        <v>0</v>
      </c>
      <c r="F3333" s="46" t="b">
        <v>1</v>
      </c>
    </row>
    <row r="3334" spans="1:6">
      <c r="A3334" s="46" t="s">
        <v>8265</v>
      </c>
      <c r="B3334" s="46" t="s">
        <v>7998</v>
      </c>
      <c r="C3334" s="46" t="s">
        <v>8265</v>
      </c>
      <c r="D3334" s="46" t="s">
        <v>8544</v>
      </c>
      <c r="E3334" s="46" cm="1">
        <f t="array" ref="E3334">disascal_hih_sep_others_specify</f>
        <v>0</v>
      </c>
      <c r="F3334" s="46" t="b">
        <v>1</v>
      </c>
    </row>
    <row r="3335" spans="1:6">
      <c r="A3335" s="46" t="s">
        <v>8266</v>
      </c>
      <c r="B3335" s="46" t="s">
        <v>7998</v>
      </c>
      <c r="C3335" s="46" t="s">
        <v>8266</v>
      </c>
      <c r="D3335" s="46" t="s">
        <v>8545</v>
      </c>
      <c r="E3335" s="46" cm="1">
        <f t="array" ref="E3335">disascal_hih_oct_others_specify</f>
        <v>0</v>
      </c>
      <c r="F3335" s="46" t="b">
        <v>1</v>
      </c>
    </row>
    <row r="3336" spans="1:6">
      <c r="A3336" s="46" t="s">
        <v>8267</v>
      </c>
      <c r="B3336" s="46" t="s">
        <v>7998</v>
      </c>
      <c r="C3336" s="46" t="s">
        <v>8267</v>
      </c>
      <c r="D3336" s="46" t="s">
        <v>8546</v>
      </c>
      <c r="E3336" s="46" cm="1">
        <f t="array" ref="E3336">disascal_hih_nov_others_specify</f>
        <v>0</v>
      </c>
      <c r="F3336" s="46" t="b">
        <v>1</v>
      </c>
    </row>
    <row r="3337" spans="1:6">
      <c r="A3337" s="46" t="s">
        <v>8268</v>
      </c>
      <c r="B3337" s="46" t="s">
        <v>7998</v>
      </c>
      <c r="C3337" s="46" t="s">
        <v>8268</v>
      </c>
      <c r="D3337" s="46" t="s">
        <v>8547</v>
      </c>
      <c r="E3337" s="46" cm="1">
        <f t="array" ref="E3337">disascal_hih_dec_others_specify</f>
        <v>0</v>
      </c>
      <c r="F3337" s="46" t="b">
        <v>1</v>
      </c>
    </row>
    <row r="3338" spans="1:6">
      <c r="A3338" s="46" t="s">
        <v>8269</v>
      </c>
      <c r="B3338" s="46" t="s">
        <v>7998</v>
      </c>
      <c r="C3338" s="46" t="s">
        <v>8269</v>
      </c>
      <c r="D3338" s="46" t="s">
        <v>8548</v>
      </c>
      <c r="E3338" s="46" cm="1">
        <f t="array" ref="E3338">disascal_hih_jan_others_specify</f>
        <v>0</v>
      </c>
      <c r="F3338" s="46" t="b">
        <v>1</v>
      </c>
    </row>
    <row r="3339" spans="1:6">
      <c r="A3339" s="46" t="s">
        <v>8270</v>
      </c>
      <c r="B3339" s="46" t="s">
        <v>7998</v>
      </c>
      <c r="C3339" s="46" t="s">
        <v>8270</v>
      </c>
      <c r="D3339" s="46" t="s">
        <v>8549</v>
      </c>
      <c r="E3339" s="46" cm="1">
        <f t="array" ref="E3339">disascal_hih_feb_others_specify</f>
        <v>0</v>
      </c>
      <c r="F3339" s="46" t="b">
        <v>1</v>
      </c>
    </row>
    <row r="3340" spans="1:6">
      <c r="A3340" s="46" t="s">
        <v>8271</v>
      </c>
      <c r="B3340" s="46" t="s">
        <v>7998</v>
      </c>
      <c r="C3340" s="46" t="s">
        <v>8271</v>
      </c>
      <c r="D3340" s="46" t="s">
        <v>8550</v>
      </c>
      <c r="E3340" s="46" cm="1">
        <f t="array" ref="E3340">disascal_hih_mar_others_specify</f>
        <v>0</v>
      </c>
      <c r="F3340" s="46" t="b">
        <v>1</v>
      </c>
    </row>
    <row r="3341" spans="1:6">
      <c r="A3341" s="46" t="s">
        <v>8272</v>
      </c>
      <c r="B3341" s="46" t="s">
        <v>7998</v>
      </c>
      <c r="C3341" s="46" t="s">
        <v>8272</v>
      </c>
      <c r="D3341" s="46" t="s">
        <v>8551</v>
      </c>
      <c r="E3341" s="46" cm="1">
        <f t="array" ref="E3341">disascal_hih_apr_others_specify</f>
        <v>0</v>
      </c>
      <c r="F3341" s="46" t="b">
        <v>1</v>
      </c>
    </row>
    <row r="3342" spans="1:6">
      <c r="A3342" s="46" t="s">
        <v>8273</v>
      </c>
      <c r="B3342" s="46" t="s">
        <v>7998</v>
      </c>
      <c r="C3342" s="46" t="s">
        <v>8273</v>
      </c>
      <c r="D3342" s="46" t="s">
        <v>8552</v>
      </c>
      <c r="E3342" s="46" cm="1">
        <f t="array" ref="E3342">disascal_hih_may_others_specify</f>
        <v>0</v>
      </c>
      <c r="F3342" s="46" t="b">
        <v>1</v>
      </c>
    </row>
    <row r="3343" spans="1:6">
      <c r="A3343" s="46" t="s">
        <v>8274</v>
      </c>
      <c r="B3343" s="46" t="s">
        <v>7998</v>
      </c>
      <c r="C3343" s="46" t="s">
        <v>8274</v>
      </c>
      <c r="D3343" s="46" t="s">
        <v>8553</v>
      </c>
      <c r="E3343" s="46" cm="1">
        <f t="array" ref="E3343">disascal_hih_others_specify</f>
        <v>0</v>
      </c>
      <c r="F3343" s="46" t="b">
        <v>1</v>
      </c>
    </row>
    <row r="3344" spans="1:6">
      <c r="A3344" s="1766" t="s">
        <v>8275</v>
      </c>
      <c r="B3344" s="46" t="s">
        <v>7998</v>
      </c>
      <c r="C3344" s="1766" t="s">
        <v>8275</v>
      </c>
      <c r="D3344" s="46" t="s">
        <v>8554</v>
      </c>
      <c r="E3344" s="1766" t="str" cm="1">
        <f t="array" ref="E3344">drrm_coordinator_name</f>
        <v>ELYN KENDRA D. DELA CRUZ / March 17, 2023</v>
      </c>
      <c r="F3344" s="46" t="b">
        <v>1</v>
      </c>
    </row>
    <row r="3345" spans="1:8" ht="16.5" thickBot="1">
      <c r="A3345" s="1767" t="s">
        <v>8276</v>
      </c>
      <c r="B3345" s="479" t="s">
        <v>7998</v>
      </c>
      <c r="C3345" s="1767" t="s">
        <v>8276</v>
      </c>
      <c r="D3345" s="479" t="s">
        <v>8555</v>
      </c>
      <c r="E3345" s="1767" t="str" cm="1">
        <f t="array" ref="E3345">drrm_coordinator_pos</f>
        <v>PROJECT DEVELOPMENT OFFICER II</v>
      </c>
      <c r="F3345" s="479" t="b">
        <v>1</v>
      </c>
      <c r="G3345" s="479"/>
      <c r="H3345" s="479"/>
    </row>
    <row r="3346" spans="1:8" ht="16.5" thickTop="1">
      <c r="A3346" s="46" t="s">
        <v>8556</v>
      </c>
      <c r="B3346" s="46" t="s">
        <v>8557</v>
      </c>
      <c r="C3346" s="46" t="s">
        <v>8556</v>
      </c>
      <c r="D3346" s="1018" t="s">
        <v>8751</v>
      </c>
      <c r="E3346" s="46" cm="1">
        <f t="array" ref="E3346">disascal_hih_acsa_jun</f>
        <v>0</v>
      </c>
      <c r="F3346" s="46" t="b">
        <v>1</v>
      </c>
    </row>
    <row r="3347" spans="1:8">
      <c r="A3347" s="46" t="s">
        <v>8558</v>
      </c>
      <c r="B3347" s="46" t="s">
        <v>8557</v>
      </c>
      <c r="C3347" s="46" t="s">
        <v>8558</v>
      </c>
      <c r="D3347" s="1018" t="s">
        <v>8752</v>
      </c>
      <c r="E3347" s="46" cm="1">
        <f t="array" ref="E3347">disascal_hih_acsa_jul</f>
        <v>0</v>
      </c>
      <c r="F3347" s="46" t="b">
        <v>1</v>
      </c>
    </row>
    <row r="3348" spans="1:8">
      <c r="A3348" s="46" t="s">
        <v>8559</v>
      </c>
      <c r="B3348" s="46" t="s">
        <v>8557</v>
      </c>
      <c r="C3348" s="46" t="s">
        <v>8559</v>
      </c>
      <c r="D3348" s="1018" t="s">
        <v>8753</v>
      </c>
      <c r="E3348" s="46" cm="1">
        <f t="array" ref="E3348">disascal_hih_acsa_aug</f>
        <v>0</v>
      </c>
      <c r="F3348" s="46" t="b">
        <v>1</v>
      </c>
    </row>
    <row r="3349" spans="1:8">
      <c r="A3349" s="46" t="s">
        <v>8560</v>
      </c>
      <c r="B3349" s="46" t="s">
        <v>8557</v>
      </c>
      <c r="C3349" s="46" t="s">
        <v>8560</v>
      </c>
      <c r="D3349" s="1018" t="s">
        <v>8754</v>
      </c>
      <c r="E3349" s="46" cm="1">
        <f t="array" ref="E3349">disascal_hih_acsa_sep</f>
        <v>0</v>
      </c>
      <c r="F3349" s="46" t="b">
        <v>1</v>
      </c>
    </row>
    <row r="3350" spans="1:8">
      <c r="A3350" s="46" t="s">
        <v>8561</v>
      </c>
      <c r="B3350" s="46" t="s">
        <v>8557</v>
      </c>
      <c r="C3350" s="46" t="s">
        <v>8561</v>
      </c>
      <c r="D3350" s="1018" t="s">
        <v>8755</v>
      </c>
      <c r="E3350" s="46" cm="1">
        <f t="array" ref="E3350">disascal_hih_acsa_oct</f>
        <v>0</v>
      </c>
      <c r="F3350" s="46" t="b">
        <v>1</v>
      </c>
    </row>
    <row r="3351" spans="1:8">
      <c r="A3351" s="46" t="s">
        <v>8562</v>
      </c>
      <c r="B3351" s="46" t="s">
        <v>8557</v>
      </c>
      <c r="C3351" s="46" t="s">
        <v>8562</v>
      </c>
      <c r="D3351" s="1018" t="s">
        <v>8756</v>
      </c>
      <c r="E3351" s="46" cm="1">
        <f t="array" ref="E3351">disascal_hih_acsa_nov</f>
        <v>0</v>
      </c>
      <c r="F3351" s="46" t="b">
        <v>1</v>
      </c>
    </row>
    <row r="3352" spans="1:8">
      <c r="A3352" s="46" t="s">
        <v>8563</v>
      </c>
      <c r="B3352" s="46" t="s">
        <v>8557</v>
      </c>
      <c r="C3352" s="46" t="s">
        <v>8563</v>
      </c>
      <c r="D3352" s="1018" t="s">
        <v>8757</v>
      </c>
      <c r="E3352" s="46" cm="1">
        <f t="array" ref="E3352">disascal_hih_acsa_dec</f>
        <v>0</v>
      </c>
      <c r="F3352" s="46" t="b">
        <v>1</v>
      </c>
    </row>
    <row r="3353" spans="1:8">
      <c r="A3353" s="46" t="s">
        <v>8564</v>
      </c>
      <c r="B3353" s="46" t="s">
        <v>8557</v>
      </c>
      <c r="C3353" s="46" t="s">
        <v>8564</v>
      </c>
      <c r="D3353" s="1018" t="s">
        <v>8758</v>
      </c>
      <c r="E3353" s="46" cm="1">
        <f t="array" ref="E3353">disascal_hih_acsa_jan</f>
        <v>0</v>
      </c>
      <c r="F3353" s="46" t="b">
        <v>1</v>
      </c>
    </row>
    <row r="3354" spans="1:8">
      <c r="A3354" s="46" t="s">
        <v>8565</v>
      </c>
      <c r="B3354" s="46" t="s">
        <v>8557</v>
      </c>
      <c r="C3354" s="46" t="s">
        <v>8565</v>
      </c>
      <c r="D3354" s="1018" t="s">
        <v>8759</v>
      </c>
      <c r="E3354" s="46" cm="1">
        <f t="array" ref="E3354">disascal_hih_acsa_feb</f>
        <v>0</v>
      </c>
      <c r="F3354" s="46" t="b">
        <v>1</v>
      </c>
    </row>
    <row r="3355" spans="1:8">
      <c r="A3355" s="46" t="s">
        <v>8566</v>
      </c>
      <c r="B3355" s="46" t="s">
        <v>8557</v>
      </c>
      <c r="C3355" s="46" t="s">
        <v>8566</v>
      </c>
      <c r="D3355" s="1018" t="s">
        <v>8760</v>
      </c>
      <c r="E3355" s="46" cm="1">
        <f t="array" ref="E3355">disascal_hih_acsa_mar</f>
        <v>0</v>
      </c>
      <c r="F3355" s="46" t="b">
        <v>1</v>
      </c>
    </row>
    <row r="3356" spans="1:8">
      <c r="A3356" s="46" t="s">
        <v>8567</v>
      </c>
      <c r="B3356" s="46" t="s">
        <v>8557</v>
      </c>
      <c r="C3356" s="46" t="s">
        <v>8567</v>
      </c>
      <c r="D3356" s="1018" t="s">
        <v>8761</v>
      </c>
      <c r="E3356" s="46" cm="1">
        <f t="array" ref="E3356">disascal_hih_acsa_apr</f>
        <v>0</v>
      </c>
      <c r="F3356" s="46" t="b">
        <v>1</v>
      </c>
    </row>
    <row r="3357" spans="1:8">
      <c r="A3357" s="46" t="s">
        <v>8568</v>
      </c>
      <c r="B3357" s="46" t="s">
        <v>8557</v>
      </c>
      <c r="C3357" s="46" t="s">
        <v>8568</v>
      </c>
      <c r="D3357" s="1018" t="s">
        <v>8762</v>
      </c>
      <c r="E3357" s="46" cm="1">
        <f t="array" ref="E3357">disascal_hih_acsa_may</f>
        <v>0</v>
      </c>
      <c r="F3357" s="46" t="b">
        <v>1</v>
      </c>
    </row>
    <row r="3358" spans="1:8">
      <c r="A3358" s="46" t="s">
        <v>8569</v>
      </c>
      <c r="B3358" s="46" t="s">
        <v>8557</v>
      </c>
      <c r="C3358" s="46" t="s">
        <v>8569</v>
      </c>
      <c r="D3358" s="1018" t="s">
        <v>8763</v>
      </c>
      <c r="E3358" s="46" cm="1">
        <f t="array" ref="E3358">disascal_hih_acsa_jun_afp</f>
        <v>0</v>
      </c>
      <c r="F3358" s="46" t="b">
        <v>1</v>
      </c>
    </row>
    <row r="3359" spans="1:8">
      <c r="A3359" s="46" t="s">
        <v>8570</v>
      </c>
      <c r="B3359" s="46" t="s">
        <v>8557</v>
      </c>
      <c r="C3359" s="46" t="s">
        <v>8570</v>
      </c>
      <c r="D3359" s="1018" t="s">
        <v>8764</v>
      </c>
      <c r="E3359" s="46" cm="1">
        <f t="array" ref="E3359">disascal_hih_acsa_jul_afp</f>
        <v>0</v>
      </c>
      <c r="F3359" s="46" t="b">
        <v>1</v>
      </c>
    </row>
    <row r="3360" spans="1:8">
      <c r="A3360" s="46" t="s">
        <v>8571</v>
      </c>
      <c r="B3360" s="46" t="s">
        <v>8557</v>
      </c>
      <c r="C3360" s="46" t="s">
        <v>8571</v>
      </c>
      <c r="D3360" s="1018" t="s">
        <v>8765</v>
      </c>
      <c r="E3360" s="46" cm="1">
        <f t="array" ref="E3360">disascal_hih_acsa_aug_afp</f>
        <v>0</v>
      </c>
      <c r="F3360" s="46" t="b">
        <v>1</v>
      </c>
    </row>
    <row r="3361" spans="1:6">
      <c r="A3361" s="46" t="s">
        <v>8572</v>
      </c>
      <c r="B3361" s="46" t="s">
        <v>8557</v>
      </c>
      <c r="C3361" s="46" t="s">
        <v>8572</v>
      </c>
      <c r="D3361" s="1018" t="s">
        <v>8766</v>
      </c>
      <c r="E3361" s="46" cm="1">
        <f t="array" ref="E3361">disascal_hih_acsa_sep_afp</f>
        <v>0</v>
      </c>
      <c r="F3361" s="46" t="b">
        <v>1</v>
      </c>
    </row>
    <row r="3362" spans="1:6">
      <c r="A3362" s="46" t="s">
        <v>8573</v>
      </c>
      <c r="B3362" s="46" t="s">
        <v>8557</v>
      </c>
      <c r="C3362" s="46" t="s">
        <v>8573</v>
      </c>
      <c r="D3362" s="1018" t="s">
        <v>8767</v>
      </c>
      <c r="E3362" s="46" cm="1">
        <f t="array" ref="E3362">disascal_hih_acsa_oct_afp</f>
        <v>0</v>
      </c>
      <c r="F3362" s="46" t="b">
        <v>1</v>
      </c>
    </row>
    <row r="3363" spans="1:6">
      <c r="A3363" s="46" t="s">
        <v>8574</v>
      </c>
      <c r="B3363" s="46" t="s">
        <v>8557</v>
      </c>
      <c r="C3363" s="46" t="s">
        <v>8574</v>
      </c>
      <c r="D3363" s="1018" t="s">
        <v>8768</v>
      </c>
      <c r="E3363" s="46" cm="1">
        <f t="array" ref="E3363">disascal_hih_acsa_nov_afp</f>
        <v>0</v>
      </c>
      <c r="F3363" s="46" t="b">
        <v>1</v>
      </c>
    </row>
    <row r="3364" spans="1:6">
      <c r="A3364" s="46" t="s">
        <v>8575</v>
      </c>
      <c r="B3364" s="46" t="s">
        <v>8557</v>
      </c>
      <c r="C3364" s="46" t="s">
        <v>8575</v>
      </c>
      <c r="D3364" s="1018" t="s">
        <v>8769</v>
      </c>
      <c r="E3364" s="46" cm="1">
        <f t="array" ref="E3364">disascal_hih_acsa_dec_afp</f>
        <v>0</v>
      </c>
      <c r="F3364" s="46" t="b">
        <v>1</v>
      </c>
    </row>
    <row r="3365" spans="1:6">
      <c r="A3365" s="46" t="s">
        <v>8576</v>
      </c>
      <c r="B3365" s="46" t="s">
        <v>8557</v>
      </c>
      <c r="C3365" s="46" t="s">
        <v>8576</v>
      </c>
      <c r="D3365" s="1018" t="s">
        <v>8770</v>
      </c>
      <c r="E3365" s="46" cm="1">
        <f t="array" ref="E3365">disascal_hih_acsa_jan_afp</f>
        <v>0</v>
      </c>
      <c r="F3365" s="46" t="b">
        <v>1</v>
      </c>
    </row>
    <row r="3366" spans="1:6">
      <c r="A3366" s="46" t="s">
        <v>8577</v>
      </c>
      <c r="B3366" s="46" t="s">
        <v>8557</v>
      </c>
      <c r="C3366" s="46" t="s">
        <v>8577</v>
      </c>
      <c r="D3366" s="1018" t="s">
        <v>8771</v>
      </c>
      <c r="E3366" s="46" cm="1">
        <f t="array" ref="E3366">disascal_hih_acsa_feb_afp</f>
        <v>0</v>
      </c>
      <c r="F3366" s="46" t="b">
        <v>1</v>
      </c>
    </row>
    <row r="3367" spans="1:6">
      <c r="A3367" s="46" t="s">
        <v>8578</v>
      </c>
      <c r="B3367" s="46" t="s">
        <v>8557</v>
      </c>
      <c r="C3367" s="46" t="s">
        <v>8578</v>
      </c>
      <c r="D3367" s="1018" t="s">
        <v>8772</v>
      </c>
      <c r="E3367" s="46" cm="1">
        <f t="array" ref="E3367">disascal_hih_acsa_mar_afp</f>
        <v>0</v>
      </c>
      <c r="F3367" s="46" t="b">
        <v>1</v>
      </c>
    </row>
    <row r="3368" spans="1:6">
      <c r="A3368" s="46" t="s">
        <v>8579</v>
      </c>
      <c r="B3368" s="46" t="s">
        <v>8557</v>
      </c>
      <c r="C3368" s="46" t="s">
        <v>8579</v>
      </c>
      <c r="D3368" s="1018" t="s">
        <v>8773</v>
      </c>
      <c r="E3368" s="46" cm="1">
        <f t="array" ref="E3368">disascal_hih_acsa_apr_afp</f>
        <v>0</v>
      </c>
      <c r="F3368" s="46" t="b">
        <v>1</v>
      </c>
    </row>
    <row r="3369" spans="1:6">
      <c r="A3369" s="46" t="s">
        <v>8580</v>
      </c>
      <c r="B3369" s="46" t="s">
        <v>8557</v>
      </c>
      <c r="C3369" s="46" t="s">
        <v>8580</v>
      </c>
      <c r="D3369" s="1018" t="s">
        <v>8774</v>
      </c>
      <c r="E3369" s="46" cm="1">
        <f t="array" ref="E3369">disascal_hih_acsa_may_afp</f>
        <v>0</v>
      </c>
      <c r="F3369" s="46" t="b">
        <v>1</v>
      </c>
    </row>
    <row r="3370" spans="1:6">
      <c r="A3370" s="46" t="s">
        <v>8581</v>
      </c>
      <c r="B3370" s="46" t="s">
        <v>8557</v>
      </c>
      <c r="C3370" s="46" t="s">
        <v>8581</v>
      </c>
      <c r="D3370" s="1018" t="s">
        <v>8775</v>
      </c>
      <c r="E3370" s="46" cm="1">
        <f t="array" ref="E3370">disascal_hih_acsa_jun_pnp</f>
        <v>0</v>
      </c>
      <c r="F3370" s="46" t="b">
        <v>1</v>
      </c>
    </row>
    <row r="3371" spans="1:6">
      <c r="A3371" s="46" t="s">
        <v>8582</v>
      </c>
      <c r="B3371" s="46" t="s">
        <v>8557</v>
      </c>
      <c r="C3371" s="46" t="s">
        <v>8582</v>
      </c>
      <c r="D3371" s="1018" t="s">
        <v>8776</v>
      </c>
      <c r="E3371" s="46" cm="1">
        <f t="array" ref="E3371">disascal_hih_acsa_jul_pnp</f>
        <v>0</v>
      </c>
      <c r="F3371" s="46" t="b">
        <v>1</v>
      </c>
    </row>
    <row r="3372" spans="1:6">
      <c r="A3372" s="46" t="s">
        <v>8583</v>
      </c>
      <c r="B3372" s="46" t="s">
        <v>8557</v>
      </c>
      <c r="C3372" s="46" t="s">
        <v>8583</v>
      </c>
      <c r="D3372" s="1018" t="s">
        <v>8777</v>
      </c>
      <c r="E3372" s="46" cm="1">
        <f t="array" ref="E3372">disascal_hih_acsa_aug_pnp</f>
        <v>0</v>
      </c>
      <c r="F3372" s="46" t="b">
        <v>1</v>
      </c>
    </row>
    <row r="3373" spans="1:6">
      <c r="A3373" s="46" t="s">
        <v>8584</v>
      </c>
      <c r="B3373" s="46" t="s">
        <v>8557</v>
      </c>
      <c r="C3373" s="46" t="s">
        <v>8584</v>
      </c>
      <c r="D3373" s="1018" t="s">
        <v>8778</v>
      </c>
      <c r="E3373" s="46" cm="1">
        <f t="array" ref="E3373">disascal_hih_acsa_sep_pnp</f>
        <v>0</v>
      </c>
      <c r="F3373" s="46" t="b">
        <v>1</v>
      </c>
    </row>
    <row r="3374" spans="1:6">
      <c r="A3374" s="46" t="s">
        <v>8585</v>
      </c>
      <c r="B3374" s="46" t="s">
        <v>8557</v>
      </c>
      <c r="C3374" s="46" t="s">
        <v>8585</v>
      </c>
      <c r="D3374" s="1018" t="s">
        <v>8779</v>
      </c>
      <c r="E3374" s="46" cm="1">
        <f t="array" ref="E3374">disascal_hih_acsa_oct_pnp</f>
        <v>0</v>
      </c>
      <c r="F3374" s="46" t="b">
        <v>1</v>
      </c>
    </row>
    <row r="3375" spans="1:6">
      <c r="A3375" s="46" t="s">
        <v>8586</v>
      </c>
      <c r="B3375" s="46" t="s">
        <v>8557</v>
      </c>
      <c r="C3375" s="46" t="s">
        <v>8586</v>
      </c>
      <c r="D3375" s="1018" t="s">
        <v>8780</v>
      </c>
      <c r="E3375" s="46" cm="1">
        <f t="array" ref="E3375">disascal_hih_acsa_nov_pnp</f>
        <v>0</v>
      </c>
      <c r="F3375" s="46" t="b">
        <v>1</v>
      </c>
    </row>
    <row r="3376" spans="1:6">
      <c r="A3376" s="46" t="s">
        <v>8587</v>
      </c>
      <c r="B3376" s="46" t="s">
        <v>8557</v>
      </c>
      <c r="C3376" s="46" t="s">
        <v>8587</v>
      </c>
      <c r="D3376" s="1018" t="s">
        <v>8781</v>
      </c>
      <c r="E3376" s="46" cm="1">
        <f t="array" ref="E3376">disascal_hih_acsa_dec_pnp</f>
        <v>0</v>
      </c>
      <c r="F3376" s="46" t="b">
        <v>1</v>
      </c>
    </row>
    <row r="3377" spans="1:6">
      <c r="A3377" s="46" t="s">
        <v>8588</v>
      </c>
      <c r="B3377" s="46" t="s">
        <v>8557</v>
      </c>
      <c r="C3377" s="46" t="s">
        <v>8588</v>
      </c>
      <c r="D3377" s="1018" t="s">
        <v>8782</v>
      </c>
      <c r="E3377" s="46" cm="1">
        <f t="array" ref="E3377">disascal_hih_acsa_jan_pnp</f>
        <v>0</v>
      </c>
      <c r="F3377" s="46" t="b">
        <v>1</v>
      </c>
    </row>
    <row r="3378" spans="1:6">
      <c r="A3378" s="46" t="s">
        <v>8589</v>
      </c>
      <c r="B3378" s="46" t="s">
        <v>8557</v>
      </c>
      <c r="C3378" s="46" t="s">
        <v>8589</v>
      </c>
      <c r="D3378" s="1018" t="s">
        <v>8783</v>
      </c>
      <c r="E3378" s="46" cm="1">
        <f t="array" ref="E3378">disascal_hih_acsa_feb_pnp</f>
        <v>0</v>
      </c>
      <c r="F3378" s="46" t="b">
        <v>1</v>
      </c>
    </row>
    <row r="3379" spans="1:6">
      <c r="A3379" s="46" t="s">
        <v>8590</v>
      </c>
      <c r="B3379" s="46" t="s">
        <v>8557</v>
      </c>
      <c r="C3379" s="46" t="s">
        <v>8590</v>
      </c>
      <c r="D3379" s="1018" t="s">
        <v>8784</v>
      </c>
      <c r="E3379" s="46" cm="1">
        <f t="array" ref="E3379">disascal_hih_acsa_mar_pnp</f>
        <v>0</v>
      </c>
      <c r="F3379" s="46" t="b">
        <v>1</v>
      </c>
    </row>
    <row r="3380" spans="1:6">
      <c r="A3380" s="46" t="s">
        <v>8591</v>
      </c>
      <c r="B3380" s="46" t="s">
        <v>8557</v>
      </c>
      <c r="C3380" s="46" t="s">
        <v>8591</v>
      </c>
      <c r="D3380" s="1018" t="s">
        <v>8785</v>
      </c>
      <c r="E3380" s="46" cm="1">
        <f t="array" ref="E3380">disascal_hih_acsa_apr_pnp</f>
        <v>0</v>
      </c>
      <c r="F3380" s="46" t="b">
        <v>1</v>
      </c>
    </row>
    <row r="3381" spans="1:6">
      <c r="A3381" s="46" t="s">
        <v>8592</v>
      </c>
      <c r="B3381" s="46" t="s">
        <v>8557</v>
      </c>
      <c r="C3381" s="46" t="s">
        <v>8592</v>
      </c>
      <c r="D3381" s="1018" t="s">
        <v>8786</v>
      </c>
      <c r="E3381" s="46" cm="1">
        <f t="array" ref="E3381">disascal_hih_acsa_may_pnp</f>
        <v>0</v>
      </c>
      <c r="F3381" s="46" t="b">
        <v>1</v>
      </c>
    </row>
    <row r="3382" spans="1:6">
      <c r="A3382" s="46" t="s">
        <v>8593</v>
      </c>
      <c r="B3382" s="46" t="s">
        <v>8557</v>
      </c>
      <c r="C3382" s="46" t="s">
        <v>8593</v>
      </c>
      <c r="D3382" s="1018" t="s">
        <v>8787</v>
      </c>
      <c r="E3382" s="46" cm="1">
        <f t="array" ref="E3382">disascal_hih_acsa_jun_others_specify</f>
        <v>0</v>
      </c>
      <c r="F3382" s="46" t="b">
        <v>1</v>
      </c>
    </row>
    <row r="3383" spans="1:6">
      <c r="A3383" s="46" t="s">
        <v>8594</v>
      </c>
      <c r="B3383" s="46" t="s">
        <v>8557</v>
      </c>
      <c r="C3383" s="46" t="s">
        <v>8594</v>
      </c>
      <c r="D3383" s="1018" t="s">
        <v>8788</v>
      </c>
      <c r="E3383" s="46" cm="1">
        <f t="array" ref="E3383">disascal_hih_acsa_jul_others_specify</f>
        <v>0</v>
      </c>
      <c r="F3383" s="46" t="b">
        <v>1</v>
      </c>
    </row>
    <row r="3384" spans="1:6">
      <c r="A3384" s="46" t="s">
        <v>8595</v>
      </c>
      <c r="B3384" s="46" t="s">
        <v>8557</v>
      </c>
      <c r="C3384" s="46" t="s">
        <v>8595</v>
      </c>
      <c r="D3384" s="1018" t="s">
        <v>8789</v>
      </c>
      <c r="E3384" s="46" cm="1">
        <f t="array" ref="E3384">disascal_hih_acsa_aug_others_specify</f>
        <v>0</v>
      </c>
      <c r="F3384" s="46" t="b">
        <v>1</v>
      </c>
    </row>
    <row r="3385" spans="1:6">
      <c r="A3385" s="46" t="s">
        <v>8596</v>
      </c>
      <c r="B3385" s="46" t="s">
        <v>8557</v>
      </c>
      <c r="C3385" s="46" t="s">
        <v>8596</v>
      </c>
      <c r="D3385" s="1018" t="s">
        <v>8790</v>
      </c>
      <c r="E3385" s="46" cm="1">
        <f t="array" ref="E3385">disascal_hih_acsa_sep_others_specify</f>
        <v>0</v>
      </c>
      <c r="F3385" s="46" t="b">
        <v>1</v>
      </c>
    </row>
    <row r="3386" spans="1:6">
      <c r="A3386" s="46" t="s">
        <v>8597</v>
      </c>
      <c r="B3386" s="46" t="s">
        <v>8557</v>
      </c>
      <c r="C3386" s="46" t="s">
        <v>8597</v>
      </c>
      <c r="D3386" s="1018" t="s">
        <v>8791</v>
      </c>
      <c r="E3386" s="46" cm="1">
        <f t="array" ref="E3386">disascal_hih_acsa_oct_others_specify</f>
        <v>0</v>
      </c>
      <c r="F3386" s="46" t="b">
        <v>1</v>
      </c>
    </row>
    <row r="3387" spans="1:6">
      <c r="A3387" s="46" t="s">
        <v>8598</v>
      </c>
      <c r="B3387" s="46" t="s">
        <v>8557</v>
      </c>
      <c r="C3387" s="46" t="s">
        <v>8598</v>
      </c>
      <c r="D3387" s="1018" t="s">
        <v>8792</v>
      </c>
      <c r="E3387" s="46" cm="1">
        <f t="array" ref="E3387">disascal_hih_acsa_nov_others_specify</f>
        <v>0</v>
      </c>
      <c r="F3387" s="46" t="b">
        <v>1</v>
      </c>
    </row>
    <row r="3388" spans="1:6">
      <c r="A3388" s="46" t="s">
        <v>8599</v>
      </c>
      <c r="B3388" s="46" t="s">
        <v>8557</v>
      </c>
      <c r="C3388" s="46" t="s">
        <v>8599</v>
      </c>
      <c r="D3388" s="1018" t="s">
        <v>8793</v>
      </c>
      <c r="E3388" s="46" cm="1">
        <f t="array" ref="E3388">disascal_hih_acsa_dec_others_specify</f>
        <v>0</v>
      </c>
      <c r="F3388" s="46" t="b">
        <v>1</v>
      </c>
    </row>
    <row r="3389" spans="1:6">
      <c r="A3389" s="46" t="s">
        <v>8600</v>
      </c>
      <c r="B3389" s="46" t="s">
        <v>8557</v>
      </c>
      <c r="C3389" s="46" t="s">
        <v>8600</v>
      </c>
      <c r="D3389" s="1018" t="s">
        <v>8794</v>
      </c>
      <c r="E3389" s="46" cm="1">
        <f t="array" ref="E3389">disascal_hih_acsa_jan_others_specify</f>
        <v>0</v>
      </c>
      <c r="F3389" s="46" t="b">
        <v>1</v>
      </c>
    </row>
    <row r="3390" spans="1:6">
      <c r="A3390" s="46" t="s">
        <v>8601</v>
      </c>
      <c r="B3390" s="46" t="s">
        <v>8557</v>
      </c>
      <c r="C3390" s="46" t="s">
        <v>8601</v>
      </c>
      <c r="D3390" s="1018" t="s">
        <v>8795</v>
      </c>
      <c r="E3390" s="46" cm="1">
        <f t="array" ref="E3390">disascal_hih_acsa_feb_others_specify</f>
        <v>0</v>
      </c>
      <c r="F3390" s="46" t="b">
        <v>1</v>
      </c>
    </row>
    <row r="3391" spans="1:6">
      <c r="A3391" s="46" t="s">
        <v>8602</v>
      </c>
      <c r="B3391" s="46" t="s">
        <v>8557</v>
      </c>
      <c r="C3391" s="46" t="s">
        <v>8602</v>
      </c>
      <c r="D3391" s="1018" t="s">
        <v>8796</v>
      </c>
      <c r="E3391" s="46" cm="1">
        <f t="array" ref="E3391">disascal_hih_acsa_mar_others_specify</f>
        <v>0</v>
      </c>
      <c r="F3391" s="46" t="b">
        <v>1</v>
      </c>
    </row>
    <row r="3392" spans="1:6">
      <c r="A3392" s="46" t="s">
        <v>8603</v>
      </c>
      <c r="B3392" s="46" t="s">
        <v>8557</v>
      </c>
      <c r="C3392" s="46" t="s">
        <v>8603</v>
      </c>
      <c r="D3392" s="1018" t="s">
        <v>8797</v>
      </c>
      <c r="E3392" s="46" cm="1">
        <f t="array" ref="E3392">disascal_hih_acsa_apr_others_specify</f>
        <v>0</v>
      </c>
      <c r="F3392" s="46" t="b">
        <v>1</v>
      </c>
    </row>
    <row r="3393" spans="1:6">
      <c r="A3393" s="46" t="s">
        <v>8604</v>
      </c>
      <c r="B3393" s="46" t="s">
        <v>8557</v>
      </c>
      <c r="C3393" s="46" t="s">
        <v>8604</v>
      </c>
      <c r="D3393" s="1018" t="s">
        <v>8798</v>
      </c>
      <c r="E3393" s="46" cm="1">
        <f t="array" ref="E3393">disascal_hih_acsa_may_others_specify</f>
        <v>0</v>
      </c>
      <c r="F3393" s="46" t="b">
        <v>1</v>
      </c>
    </row>
    <row r="3394" spans="1:6">
      <c r="A3394" s="46" t="s">
        <v>8605</v>
      </c>
      <c r="B3394" s="46" t="s">
        <v>8557</v>
      </c>
      <c r="C3394" s="46" t="s">
        <v>8605</v>
      </c>
      <c r="D3394" s="1018" t="s">
        <v>8799</v>
      </c>
      <c r="E3394" s="46" cm="1">
        <f t="array" ref="E3394">disascal_hih_acsa_others_specify</f>
        <v>0</v>
      </c>
      <c r="F3394" s="46" t="b">
        <v>1</v>
      </c>
    </row>
    <row r="3395" spans="1:6">
      <c r="A3395" s="46" t="s">
        <v>8606</v>
      </c>
      <c r="B3395" s="46" t="s">
        <v>8557</v>
      </c>
      <c r="C3395" s="46" t="s">
        <v>8606</v>
      </c>
      <c r="D3395" s="1018" t="s">
        <v>8800</v>
      </c>
      <c r="E3395" s="46" cm="1">
        <f t="array" ref="E3395">disascal_hih_acnsa_jun_abu_sayyaf</f>
        <v>0</v>
      </c>
      <c r="F3395" s="46" t="b">
        <v>1</v>
      </c>
    </row>
    <row r="3396" spans="1:6">
      <c r="A3396" s="46" t="s">
        <v>8607</v>
      </c>
      <c r="B3396" s="46" t="s">
        <v>8557</v>
      </c>
      <c r="C3396" s="46" t="s">
        <v>8607</v>
      </c>
      <c r="D3396" s="1018" t="s">
        <v>8801</v>
      </c>
      <c r="E3396" s="46" cm="1">
        <f t="array" ref="E3396">disascal_hih_acnsa_jul_abu_sayyaf</f>
        <v>0</v>
      </c>
      <c r="F3396" s="46" t="b">
        <v>1</v>
      </c>
    </row>
    <row r="3397" spans="1:6">
      <c r="A3397" s="46" t="s">
        <v>8608</v>
      </c>
      <c r="B3397" s="46" t="s">
        <v>8557</v>
      </c>
      <c r="C3397" s="46" t="s">
        <v>8608</v>
      </c>
      <c r="D3397" s="1018" t="s">
        <v>8802</v>
      </c>
      <c r="E3397" s="46" cm="1">
        <f t="array" ref="E3397">disascal_hih_acnsa_aug_abu_sayyaf</f>
        <v>0</v>
      </c>
      <c r="F3397" s="46" t="b">
        <v>1</v>
      </c>
    </row>
    <row r="3398" spans="1:6">
      <c r="A3398" s="46" t="s">
        <v>8609</v>
      </c>
      <c r="B3398" s="46" t="s">
        <v>8557</v>
      </c>
      <c r="C3398" s="46" t="s">
        <v>8609</v>
      </c>
      <c r="D3398" s="1018" t="s">
        <v>8803</v>
      </c>
      <c r="E3398" s="46" cm="1">
        <f t="array" ref="E3398">disascal_hih_acnsa_sep_abu_sayyaf</f>
        <v>0</v>
      </c>
      <c r="F3398" s="46" t="b">
        <v>1</v>
      </c>
    </row>
    <row r="3399" spans="1:6">
      <c r="A3399" s="46" t="s">
        <v>8610</v>
      </c>
      <c r="B3399" s="46" t="s">
        <v>8557</v>
      </c>
      <c r="C3399" s="46" t="s">
        <v>8610</v>
      </c>
      <c r="D3399" s="1018" t="s">
        <v>8804</v>
      </c>
      <c r="E3399" s="46" cm="1">
        <f t="array" ref="E3399">disascal_hih_acnsa_oct_abu_sayyaf</f>
        <v>0</v>
      </c>
      <c r="F3399" s="46" t="b">
        <v>1</v>
      </c>
    </row>
    <row r="3400" spans="1:6">
      <c r="A3400" s="46" t="s">
        <v>8611</v>
      </c>
      <c r="B3400" s="46" t="s">
        <v>8557</v>
      </c>
      <c r="C3400" s="46" t="s">
        <v>8611</v>
      </c>
      <c r="D3400" s="1018" t="s">
        <v>8805</v>
      </c>
      <c r="E3400" s="46" cm="1">
        <f t="array" ref="E3400">disascal_hih_acnsa_nov_abu_sayyaf</f>
        <v>0</v>
      </c>
      <c r="F3400" s="46" t="b">
        <v>1</v>
      </c>
    </row>
    <row r="3401" spans="1:6">
      <c r="A3401" s="46" t="s">
        <v>8612</v>
      </c>
      <c r="B3401" s="46" t="s">
        <v>8557</v>
      </c>
      <c r="C3401" s="46" t="s">
        <v>8612</v>
      </c>
      <c r="D3401" s="1018" t="s">
        <v>8806</v>
      </c>
      <c r="E3401" s="46" cm="1">
        <f t="array" ref="E3401">disascal_hih_acnsa_dec_abu_sayyaf</f>
        <v>0</v>
      </c>
      <c r="F3401" s="46" t="b">
        <v>1</v>
      </c>
    </row>
    <row r="3402" spans="1:6">
      <c r="A3402" s="46" t="s">
        <v>8613</v>
      </c>
      <c r="B3402" s="46" t="s">
        <v>8557</v>
      </c>
      <c r="C3402" s="46" t="s">
        <v>8613</v>
      </c>
      <c r="D3402" s="1018" t="s">
        <v>8807</v>
      </c>
      <c r="E3402" s="46" cm="1">
        <f t="array" ref="E3402">disascal_hih_acnsa_jan_abu_sayyaf</f>
        <v>0</v>
      </c>
      <c r="F3402" s="46" t="b">
        <v>1</v>
      </c>
    </row>
    <row r="3403" spans="1:6">
      <c r="A3403" s="46" t="s">
        <v>8614</v>
      </c>
      <c r="B3403" s="46" t="s">
        <v>8557</v>
      </c>
      <c r="C3403" s="46" t="s">
        <v>8614</v>
      </c>
      <c r="D3403" s="1018" t="s">
        <v>8808</v>
      </c>
      <c r="E3403" s="46" cm="1">
        <f t="array" ref="E3403">disascal_hih_acnsa_feb_abu_sayyaf</f>
        <v>0</v>
      </c>
      <c r="F3403" s="46" t="b">
        <v>1</v>
      </c>
    </row>
    <row r="3404" spans="1:6">
      <c r="A3404" s="46" t="s">
        <v>8615</v>
      </c>
      <c r="B3404" s="46" t="s">
        <v>8557</v>
      </c>
      <c r="C3404" s="46" t="s">
        <v>8615</v>
      </c>
      <c r="D3404" s="1018" t="s">
        <v>8809</v>
      </c>
      <c r="E3404" s="46" cm="1">
        <f t="array" ref="E3404">disascal_hih_acnsa_mar_abu_sayyaf</f>
        <v>0</v>
      </c>
      <c r="F3404" s="46" t="b">
        <v>1</v>
      </c>
    </row>
    <row r="3405" spans="1:6">
      <c r="A3405" s="46" t="s">
        <v>8616</v>
      </c>
      <c r="B3405" s="46" t="s">
        <v>8557</v>
      </c>
      <c r="C3405" s="46" t="s">
        <v>8616</v>
      </c>
      <c r="D3405" s="1018" t="s">
        <v>8810</v>
      </c>
      <c r="E3405" s="46" cm="1">
        <f t="array" ref="E3405">disascal_hih_acnsa_apr_abu_sayyaf</f>
        <v>0</v>
      </c>
      <c r="F3405" s="46" t="b">
        <v>1</v>
      </c>
    </row>
    <row r="3406" spans="1:6">
      <c r="A3406" s="46" t="s">
        <v>8617</v>
      </c>
      <c r="B3406" s="46" t="s">
        <v>8557</v>
      </c>
      <c r="C3406" s="46" t="s">
        <v>8617</v>
      </c>
      <c r="D3406" s="1018" t="s">
        <v>8811</v>
      </c>
      <c r="E3406" s="46" cm="1">
        <f t="array" ref="E3406">disascal_hih_acnsa_may_abu_sayyaf</f>
        <v>0</v>
      </c>
      <c r="F3406" s="46" t="b">
        <v>1</v>
      </c>
    </row>
    <row r="3407" spans="1:6">
      <c r="A3407" s="46" t="s">
        <v>8618</v>
      </c>
      <c r="B3407" s="46" t="s">
        <v>8557</v>
      </c>
      <c r="C3407" s="46" t="s">
        <v>8618</v>
      </c>
      <c r="D3407" s="1018" t="s">
        <v>8812</v>
      </c>
      <c r="E3407" s="46" cm="1">
        <f t="array" ref="E3407">disascal_hih_acnsa_jun_biff</f>
        <v>0</v>
      </c>
      <c r="F3407" s="46" t="b">
        <v>1</v>
      </c>
    </row>
    <row r="3408" spans="1:6">
      <c r="A3408" s="46" t="s">
        <v>8619</v>
      </c>
      <c r="B3408" s="46" t="s">
        <v>8557</v>
      </c>
      <c r="C3408" s="46" t="s">
        <v>8619</v>
      </c>
      <c r="D3408" s="1018" t="s">
        <v>8813</v>
      </c>
      <c r="E3408" s="46" cm="1">
        <f t="array" ref="E3408">disascal_hih_acnsa_jul_biff</f>
        <v>0</v>
      </c>
      <c r="F3408" s="46" t="b">
        <v>1</v>
      </c>
    </row>
    <row r="3409" spans="1:6">
      <c r="A3409" s="46" t="s">
        <v>8620</v>
      </c>
      <c r="B3409" s="46" t="s">
        <v>8557</v>
      </c>
      <c r="C3409" s="46" t="s">
        <v>8620</v>
      </c>
      <c r="D3409" s="1018" t="s">
        <v>8814</v>
      </c>
      <c r="E3409" s="46" cm="1">
        <f t="array" ref="E3409">disascal_hih_acnsa_aug_biff</f>
        <v>0</v>
      </c>
      <c r="F3409" s="46" t="b">
        <v>1</v>
      </c>
    </row>
    <row r="3410" spans="1:6">
      <c r="A3410" s="46" t="s">
        <v>8621</v>
      </c>
      <c r="B3410" s="46" t="s">
        <v>8557</v>
      </c>
      <c r="C3410" s="46" t="s">
        <v>8621</v>
      </c>
      <c r="D3410" s="1018" t="s">
        <v>8815</v>
      </c>
      <c r="E3410" s="46" cm="1">
        <f t="array" ref="E3410">disascal_hih_acnsa_sep_biff</f>
        <v>0</v>
      </c>
      <c r="F3410" s="46" t="b">
        <v>1</v>
      </c>
    </row>
    <row r="3411" spans="1:6">
      <c r="A3411" s="46" t="s">
        <v>8622</v>
      </c>
      <c r="B3411" s="46" t="s">
        <v>8557</v>
      </c>
      <c r="C3411" s="46" t="s">
        <v>8622</v>
      </c>
      <c r="D3411" s="1018" t="s">
        <v>8816</v>
      </c>
      <c r="E3411" s="46" cm="1">
        <f t="array" ref="E3411">disascal_hih_acnsa_oct_biff</f>
        <v>0</v>
      </c>
      <c r="F3411" s="46" t="b">
        <v>1</v>
      </c>
    </row>
    <row r="3412" spans="1:6">
      <c r="A3412" s="46" t="s">
        <v>8623</v>
      </c>
      <c r="B3412" s="46" t="s">
        <v>8557</v>
      </c>
      <c r="C3412" s="46" t="s">
        <v>8623</v>
      </c>
      <c r="D3412" s="1018" t="s">
        <v>8817</v>
      </c>
      <c r="E3412" s="46" cm="1">
        <f t="array" ref="E3412">disascal_hih_acnsa_nov_biff</f>
        <v>0</v>
      </c>
      <c r="F3412" s="46" t="b">
        <v>1</v>
      </c>
    </row>
    <row r="3413" spans="1:6">
      <c r="A3413" s="46" t="s">
        <v>8624</v>
      </c>
      <c r="B3413" s="46" t="s">
        <v>8557</v>
      </c>
      <c r="C3413" s="46" t="s">
        <v>8624</v>
      </c>
      <c r="D3413" s="1018" t="s">
        <v>8818</v>
      </c>
      <c r="E3413" s="46" cm="1">
        <f t="array" ref="E3413">disascal_hih_acnsa_dec_biff</f>
        <v>0</v>
      </c>
      <c r="F3413" s="46" t="b">
        <v>1</v>
      </c>
    </row>
    <row r="3414" spans="1:6">
      <c r="A3414" s="46" t="s">
        <v>8625</v>
      </c>
      <c r="B3414" s="46" t="s">
        <v>8557</v>
      </c>
      <c r="C3414" s="46" t="s">
        <v>8625</v>
      </c>
      <c r="D3414" s="1018" t="s">
        <v>8819</v>
      </c>
      <c r="E3414" s="46" cm="1">
        <f t="array" ref="E3414">disascal_hih_acnsa_jan_biff</f>
        <v>0</v>
      </c>
      <c r="F3414" s="46" t="b">
        <v>1</v>
      </c>
    </row>
    <row r="3415" spans="1:6">
      <c r="A3415" s="46" t="s">
        <v>8626</v>
      </c>
      <c r="B3415" s="46" t="s">
        <v>8557</v>
      </c>
      <c r="C3415" s="46" t="s">
        <v>8626</v>
      </c>
      <c r="D3415" s="1018" t="s">
        <v>8820</v>
      </c>
      <c r="E3415" s="46" cm="1">
        <f t="array" ref="E3415">disascal_hih_acnsa_feb_biff</f>
        <v>0</v>
      </c>
      <c r="F3415" s="46" t="b">
        <v>1</v>
      </c>
    </row>
    <row r="3416" spans="1:6">
      <c r="A3416" s="46" t="s">
        <v>8627</v>
      </c>
      <c r="B3416" s="46" t="s">
        <v>8557</v>
      </c>
      <c r="C3416" s="46" t="s">
        <v>8627</v>
      </c>
      <c r="D3416" s="1018" t="s">
        <v>8821</v>
      </c>
      <c r="E3416" s="46" cm="1">
        <f t="array" ref="E3416">disascal_hih_acnsa_mar_biff</f>
        <v>0</v>
      </c>
      <c r="F3416" s="46" t="b">
        <v>1</v>
      </c>
    </row>
    <row r="3417" spans="1:6">
      <c r="A3417" s="46" t="s">
        <v>8628</v>
      </c>
      <c r="B3417" s="46" t="s">
        <v>8557</v>
      </c>
      <c r="C3417" s="46" t="s">
        <v>8628</v>
      </c>
      <c r="D3417" s="1018" t="s">
        <v>8822</v>
      </c>
      <c r="E3417" s="46" cm="1">
        <f t="array" ref="E3417">disascal_hih_acnsa_apr_biff</f>
        <v>0</v>
      </c>
      <c r="F3417" s="46" t="b">
        <v>1</v>
      </c>
    </row>
    <row r="3418" spans="1:6">
      <c r="A3418" s="46" t="s">
        <v>8629</v>
      </c>
      <c r="B3418" s="46" t="s">
        <v>8557</v>
      </c>
      <c r="C3418" s="46" t="s">
        <v>8629</v>
      </c>
      <c r="D3418" s="1018" t="s">
        <v>8823</v>
      </c>
      <c r="E3418" s="46" cm="1">
        <f t="array" ref="E3418">disascal_hih_acnsa_may_biff</f>
        <v>0</v>
      </c>
      <c r="F3418" s="46" t="b">
        <v>1</v>
      </c>
    </row>
    <row r="3419" spans="1:6">
      <c r="A3419" s="46" t="s">
        <v>8630</v>
      </c>
      <c r="B3419" s="46" t="s">
        <v>8557</v>
      </c>
      <c r="C3419" s="46" t="s">
        <v>8630</v>
      </c>
      <c r="D3419" s="1018" t="s">
        <v>8824</v>
      </c>
      <c r="E3419" s="46" cm="1">
        <f t="array" ref="E3419">disascal_hih_acnsa_jun_ccp_npa</f>
        <v>0</v>
      </c>
      <c r="F3419" s="46" t="b">
        <v>1</v>
      </c>
    </row>
    <row r="3420" spans="1:6">
      <c r="A3420" s="46" t="s">
        <v>8631</v>
      </c>
      <c r="B3420" s="46" t="s">
        <v>8557</v>
      </c>
      <c r="C3420" s="46" t="s">
        <v>8631</v>
      </c>
      <c r="D3420" s="1018" t="s">
        <v>8825</v>
      </c>
      <c r="E3420" s="46" cm="1">
        <f t="array" ref="E3420">disascal_hih_acnsa_jul_ccp_npa</f>
        <v>0</v>
      </c>
      <c r="F3420" s="46" t="b">
        <v>1</v>
      </c>
    </row>
    <row r="3421" spans="1:6">
      <c r="A3421" s="46" t="s">
        <v>8632</v>
      </c>
      <c r="B3421" s="46" t="s">
        <v>8557</v>
      </c>
      <c r="C3421" s="46" t="s">
        <v>8632</v>
      </c>
      <c r="D3421" s="1018" t="s">
        <v>8826</v>
      </c>
      <c r="E3421" s="46" cm="1">
        <f t="array" ref="E3421">disascal_hih_acnsa_aug_ccp_npa</f>
        <v>0</v>
      </c>
      <c r="F3421" s="46" t="b">
        <v>1</v>
      </c>
    </row>
    <row r="3422" spans="1:6">
      <c r="A3422" s="46" t="s">
        <v>8633</v>
      </c>
      <c r="B3422" s="46" t="s">
        <v>8557</v>
      </c>
      <c r="C3422" s="46" t="s">
        <v>8633</v>
      </c>
      <c r="D3422" s="1018" t="s">
        <v>8827</v>
      </c>
      <c r="E3422" s="46" cm="1">
        <f t="array" ref="E3422">disascal_hih_acnsa_sep_ccp_npa</f>
        <v>0</v>
      </c>
      <c r="F3422" s="46" t="b">
        <v>1</v>
      </c>
    </row>
    <row r="3423" spans="1:6">
      <c r="A3423" s="46" t="s">
        <v>8634</v>
      </c>
      <c r="B3423" s="46" t="s">
        <v>8557</v>
      </c>
      <c r="C3423" s="46" t="s">
        <v>8634</v>
      </c>
      <c r="D3423" s="1018" t="s">
        <v>8828</v>
      </c>
      <c r="E3423" s="46" cm="1">
        <f t="array" ref="E3423">disascal_hih_acnsa_oct_ccp_npa</f>
        <v>0</v>
      </c>
      <c r="F3423" s="46" t="b">
        <v>1</v>
      </c>
    </row>
    <row r="3424" spans="1:6">
      <c r="A3424" s="46" t="s">
        <v>8635</v>
      </c>
      <c r="B3424" s="46" t="s">
        <v>8557</v>
      </c>
      <c r="C3424" s="46" t="s">
        <v>8635</v>
      </c>
      <c r="D3424" s="1018" t="s">
        <v>8829</v>
      </c>
      <c r="E3424" s="46" cm="1">
        <f t="array" ref="E3424">disascal_hih_acnsa_nov_ccp_npa</f>
        <v>0</v>
      </c>
      <c r="F3424" s="46" t="b">
        <v>1</v>
      </c>
    </row>
    <row r="3425" spans="1:6">
      <c r="A3425" s="46" t="s">
        <v>8636</v>
      </c>
      <c r="B3425" s="46" t="s">
        <v>8557</v>
      </c>
      <c r="C3425" s="46" t="s">
        <v>8636</v>
      </c>
      <c r="D3425" s="1018" t="s">
        <v>8830</v>
      </c>
      <c r="E3425" s="46" cm="1">
        <f t="array" ref="E3425">disascal_hih_acnsa_dec_ccp_npa</f>
        <v>0</v>
      </c>
      <c r="F3425" s="46" t="b">
        <v>1</v>
      </c>
    </row>
    <row r="3426" spans="1:6">
      <c r="A3426" s="46" t="s">
        <v>8637</v>
      </c>
      <c r="B3426" s="46" t="s">
        <v>8557</v>
      </c>
      <c r="C3426" s="46" t="s">
        <v>8637</v>
      </c>
      <c r="D3426" s="1018" t="s">
        <v>8831</v>
      </c>
      <c r="E3426" s="46" cm="1">
        <f t="array" ref="E3426">disascal_hih_acnsa_jan_ccp_npa</f>
        <v>0</v>
      </c>
      <c r="F3426" s="46" t="b">
        <v>1</v>
      </c>
    </row>
    <row r="3427" spans="1:6">
      <c r="A3427" s="46" t="s">
        <v>8638</v>
      </c>
      <c r="B3427" s="46" t="s">
        <v>8557</v>
      </c>
      <c r="C3427" s="46" t="s">
        <v>8638</v>
      </c>
      <c r="D3427" s="1018" t="s">
        <v>8832</v>
      </c>
      <c r="E3427" s="46" cm="1">
        <f t="array" ref="E3427">disascal_hih_acnsa_feb_ccp_npa</f>
        <v>0</v>
      </c>
      <c r="F3427" s="46" t="b">
        <v>1</v>
      </c>
    </row>
    <row r="3428" spans="1:6">
      <c r="A3428" s="46" t="s">
        <v>8639</v>
      </c>
      <c r="B3428" s="46" t="s">
        <v>8557</v>
      </c>
      <c r="C3428" s="46" t="s">
        <v>8639</v>
      </c>
      <c r="D3428" s="1018" t="s">
        <v>8833</v>
      </c>
      <c r="E3428" s="46" cm="1">
        <f t="array" ref="E3428">disascal_hih_acnsa_mar_ccp_npa</f>
        <v>0</v>
      </c>
      <c r="F3428" s="46" t="b">
        <v>1</v>
      </c>
    </row>
    <row r="3429" spans="1:6">
      <c r="A3429" s="46" t="s">
        <v>8640</v>
      </c>
      <c r="B3429" s="46" t="s">
        <v>8557</v>
      </c>
      <c r="C3429" s="46" t="s">
        <v>8640</v>
      </c>
      <c r="D3429" s="1018" t="s">
        <v>8834</v>
      </c>
      <c r="E3429" s="46" cm="1">
        <f t="array" ref="E3429">disascal_hih_acnsa_apr_ccp_npa</f>
        <v>0</v>
      </c>
      <c r="F3429" s="46" t="b">
        <v>1</v>
      </c>
    </row>
    <row r="3430" spans="1:6">
      <c r="A3430" s="46" t="s">
        <v>8641</v>
      </c>
      <c r="B3430" s="46" t="s">
        <v>8557</v>
      </c>
      <c r="C3430" s="46" t="s">
        <v>8641</v>
      </c>
      <c r="D3430" s="1018" t="s">
        <v>8835</v>
      </c>
      <c r="E3430" s="46" cm="1">
        <f t="array" ref="E3430">disascal_hih_acnsa_may_ccp_npa</f>
        <v>0</v>
      </c>
      <c r="F3430" s="46" t="b">
        <v>1</v>
      </c>
    </row>
    <row r="3431" spans="1:6">
      <c r="A3431" s="46" t="s">
        <v>8642</v>
      </c>
      <c r="B3431" s="46" t="s">
        <v>8557</v>
      </c>
      <c r="C3431" s="46" t="s">
        <v>8642</v>
      </c>
      <c r="D3431" s="1018" t="s">
        <v>8836</v>
      </c>
      <c r="E3431" s="46" cm="1">
        <f t="array" ref="E3431">disascal_hih_acnsa_jun_maute</f>
        <v>0</v>
      </c>
      <c r="F3431" s="46" t="b">
        <v>1</v>
      </c>
    </row>
    <row r="3432" spans="1:6">
      <c r="A3432" s="46" t="s">
        <v>8643</v>
      </c>
      <c r="B3432" s="46" t="s">
        <v>8557</v>
      </c>
      <c r="C3432" s="46" t="s">
        <v>8643</v>
      </c>
      <c r="D3432" s="1018" t="s">
        <v>8837</v>
      </c>
      <c r="E3432" s="46" cm="1">
        <f t="array" ref="E3432">disascal_hih_acnsa_jul_maute</f>
        <v>0</v>
      </c>
      <c r="F3432" s="46" t="b">
        <v>1</v>
      </c>
    </row>
    <row r="3433" spans="1:6">
      <c r="A3433" s="46" t="s">
        <v>8644</v>
      </c>
      <c r="B3433" s="46" t="s">
        <v>8557</v>
      </c>
      <c r="C3433" s="46" t="s">
        <v>8644</v>
      </c>
      <c r="D3433" s="1018" t="s">
        <v>8838</v>
      </c>
      <c r="E3433" s="46" cm="1">
        <f t="array" ref="E3433">disascal_hih_acnsa_aug_maute</f>
        <v>0</v>
      </c>
      <c r="F3433" s="46" t="b">
        <v>1</v>
      </c>
    </row>
    <row r="3434" spans="1:6">
      <c r="A3434" s="46" t="s">
        <v>8645</v>
      </c>
      <c r="B3434" s="46" t="s">
        <v>8557</v>
      </c>
      <c r="C3434" s="46" t="s">
        <v>8645</v>
      </c>
      <c r="D3434" s="1018" t="s">
        <v>8839</v>
      </c>
      <c r="E3434" s="46" cm="1">
        <f t="array" ref="E3434">disascal_hih_acnsa_sep_maute</f>
        <v>0</v>
      </c>
      <c r="F3434" s="46" t="b">
        <v>1</v>
      </c>
    </row>
    <row r="3435" spans="1:6">
      <c r="A3435" s="46" t="s">
        <v>8646</v>
      </c>
      <c r="B3435" s="46" t="s">
        <v>8557</v>
      </c>
      <c r="C3435" s="46" t="s">
        <v>8646</v>
      </c>
      <c r="D3435" s="1018" t="s">
        <v>8840</v>
      </c>
      <c r="E3435" s="46" cm="1">
        <f t="array" ref="E3435">disascal_hih_acnsa_oct_maute</f>
        <v>0</v>
      </c>
      <c r="F3435" s="46" t="b">
        <v>1</v>
      </c>
    </row>
    <row r="3436" spans="1:6">
      <c r="A3436" s="46" t="s">
        <v>8647</v>
      </c>
      <c r="B3436" s="46" t="s">
        <v>8557</v>
      </c>
      <c r="C3436" s="46" t="s">
        <v>8647</v>
      </c>
      <c r="D3436" s="1018" t="s">
        <v>8841</v>
      </c>
      <c r="E3436" s="46" cm="1">
        <f t="array" ref="E3436">disascal_hih_acnsa_nov_maute</f>
        <v>0</v>
      </c>
      <c r="F3436" s="46" t="b">
        <v>1</v>
      </c>
    </row>
    <row r="3437" spans="1:6">
      <c r="A3437" s="46" t="s">
        <v>8648</v>
      </c>
      <c r="B3437" s="46" t="s">
        <v>8557</v>
      </c>
      <c r="C3437" s="46" t="s">
        <v>8648</v>
      </c>
      <c r="D3437" s="1018" t="s">
        <v>8842</v>
      </c>
      <c r="E3437" s="46" cm="1">
        <f t="array" ref="E3437">disascal_hih_acnsa_dec_maute</f>
        <v>0</v>
      </c>
      <c r="F3437" s="46" t="b">
        <v>1</v>
      </c>
    </row>
    <row r="3438" spans="1:6">
      <c r="A3438" s="46" t="s">
        <v>8649</v>
      </c>
      <c r="B3438" s="46" t="s">
        <v>8557</v>
      </c>
      <c r="C3438" s="46" t="s">
        <v>8649</v>
      </c>
      <c r="D3438" s="1018" t="s">
        <v>8843</v>
      </c>
      <c r="E3438" s="46" cm="1">
        <f t="array" ref="E3438">disascal_hih_acnsa_jan_maute</f>
        <v>0</v>
      </c>
      <c r="F3438" s="46" t="b">
        <v>1</v>
      </c>
    </row>
    <row r="3439" spans="1:6">
      <c r="A3439" s="46" t="s">
        <v>8650</v>
      </c>
      <c r="B3439" s="46" t="s">
        <v>8557</v>
      </c>
      <c r="C3439" s="46" t="s">
        <v>8650</v>
      </c>
      <c r="D3439" s="1018" t="s">
        <v>8844</v>
      </c>
      <c r="E3439" s="46" cm="1">
        <f t="array" ref="E3439">disascal_hih_acnsa_feb_maute</f>
        <v>0</v>
      </c>
      <c r="F3439" s="46" t="b">
        <v>1</v>
      </c>
    </row>
    <row r="3440" spans="1:6">
      <c r="A3440" s="46" t="s">
        <v>8651</v>
      </c>
      <c r="B3440" s="46" t="s">
        <v>8557</v>
      </c>
      <c r="C3440" s="46" t="s">
        <v>8651</v>
      </c>
      <c r="D3440" s="1018" t="s">
        <v>8845</v>
      </c>
      <c r="E3440" s="46" cm="1">
        <f t="array" ref="E3440">disascal_hih_acnsa_mar_maute</f>
        <v>0</v>
      </c>
      <c r="F3440" s="46" t="b">
        <v>1</v>
      </c>
    </row>
    <row r="3441" spans="1:6">
      <c r="A3441" s="46" t="s">
        <v>8652</v>
      </c>
      <c r="B3441" s="46" t="s">
        <v>8557</v>
      </c>
      <c r="C3441" s="46" t="s">
        <v>8652</v>
      </c>
      <c r="D3441" s="1018" t="s">
        <v>8846</v>
      </c>
      <c r="E3441" s="46" cm="1">
        <f t="array" ref="E3441">disascal_hih_acnsa_apr_maute</f>
        <v>0</v>
      </c>
      <c r="F3441" s="46" t="b">
        <v>1</v>
      </c>
    </row>
    <row r="3442" spans="1:6">
      <c r="A3442" s="46" t="s">
        <v>8653</v>
      </c>
      <c r="B3442" s="46" t="s">
        <v>8557</v>
      </c>
      <c r="C3442" s="46" t="s">
        <v>8653</v>
      </c>
      <c r="D3442" s="1018" t="s">
        <v>8847</v>
      </c>
      <c r="E3442" s="46" cm="1">
        <f t="array" ref="E3442">disascal_hih_acnsa_may_maute</f>
        <v>0</v>
      </c>
      <c r="F3442" s="46" t="b">
        <v>1</v>
      </c>
    </row>
    <row r="3443" spans="1:6">
      <c r="A3443" s="46" t="s">
        <v>8654</v>
      </c>
      <c r="B3443" s="46" t="s">
        <v>8557</v>
      </c>
      <c r="C3443" s="46" t="s">
        <v>8654</v>
      </c>
      <c r="D3443" s="1018" t="s">
        <v>8848</v>
      </c>
      <c r="E3443" s="46" cm="1">
        <f t="array" ref="E3443">disascal_hih_acnsa_jun_mnlf</f>
        <v>0</v>
      </c>
      <c r="F3443" s="46" t="b">
        <v>1</v>
      </c>
    </row>
    <row r="3444" spans="1:6">
      <c r="A3444" s="46" t="s">
        <v>8655</v>
      </c>
      <c r="B3444" s="46" t="s">
        <v>8557</v>
      </c>
      <c r="C3444" s="46" t="s">
        <v>8655</v>
      </c>
      <c r="D3444" s="1018" t="s">
        <v>8849</v>
      </c>
      <c r="E3444" s="46" cm="1">
        <f t="array" ref="E3444">disascal_hih_acnsa_jul_mnlf</f>
        <v>0</v>
      </c>
      <c r="F3444" s="46" t="b">
        <v>1</v>
      </c>
    </row>
    <row r="3445" spans="1:6">
      <c r="A3445" s="46" t="s">
        <v>8656</v>
      </c>
      <c r="B3445" s="46" t="s">
        <v>8557</v>
      </c>
      <c r="C3445" s="46" t="s">
        <v>8656</v>
      </c>
      <c r="D3445" s="1018" t="s">
        <v>8850</v>
      </c>
      <c r="E3445" s="46" cm="1">
        <f t="array" ref="E3445">disascal_hih_acnsa_aug_mnlf</f>
        <v>0</v>
      </c>
      <c r="F3445" s="46" t="b">
        <v>1</v>
      </c>
    </row>
    <row r="3446" spans="1:6">
      <c r="A3446" s="46" t="s">
        <v>8657</v>
      </c>
      <c r="B3446" s="46" t="s">
        <v>8557</v>
      </c>
      <c r="C3446" s="46" t="s">
        <v>8657</v>
      </c>
      <c r="D3446" s="1018" t="s">
        <v>8851</v>
      </c>
      <c r="E3446" s="46" cm="1">
        <f t="array" ref="E3446">disascal_hih_acnsa_sep_mnlf</f>
        <v>0</v>
      </c>
      <c r="F3446" s="46" t="b">
        <v>1</v>
      </c>
    </row>
    <row r="3447" spans="1:6">
      <c r="A3447" s="46" t="s">
        <v>8658</v>
      </c>
      <c r="B3447" s="46" t="s">
        <v>8557</v>
      </c>
      <c r="C3447" s="46" t="s">
        <v>8658</v>
      </c>
      <c r="D3447" s="1018" t="s">
        <v>8852</v>
      </c>
      <c r="E3447" s="46" cm="1">
        <f t="array" ref="E3447">disascal_hih_acnsa_oct_mnlf</f>
        <v>0</v>
      </c>
      <c r="F3447" s="46" t="b">
        <v>1</v>
      </c>
    </row>
    <row r="3448" spans="1:6">
      <c r="A3448" s="46" t="s">
        <v>8659</v>
      </c>
      <c r="B3448" s="46" t="s">
        <v>8557</v>
      </c>
      <c r="C3448" s="46" t="s">
        <v>8659</v>
      </c>
      <c r="D3448" s="1018" t="s">
        <v>8853</v>
      </c>
      <c r="E3448" s="46" cm="1">
        <f t="array" ref="E3448">disascal_hih_acnsa_nov_mnlf</f>
        <v>0</v>
      </c>
      <c r="F3448" s="46" t="b">
        <v>1</v>
      </c>
    </row>
    <row r="3449" spans="1:6">
      <c r="A3449" s="46" t="s">
        <v>8660</v>
      </c>
      <c r="B3449" s="46" t="s">
        <v>8557</v>
      </c>
      <c r="C3449" s="46" t="s">
        <v>8660</v>
      </c>
      <c r="D3449" s="1018" t="s">
        <v>8854</v>
      </c>
      <c r="E3449" s="46" cm="1">
        <f t="array" ref="E3449">disascal_hih_acnsa_dec_mnlf</f>
        <v>0</v>
      </c>
      <c r="F3449" s="46" t="b">
        <v>1</v>
      </c>
    </row>
    <row r="3450" spans="1:6">
      <c r="A3450" s="46" t="s">
        <v>8661</v>
      </c>
      <c r="B3450" s="46" t="s">
        <v>8557</v>
      </c>
      <c r="C3450" s="46" t="s">
        <v>8661</v>
      </c>
      <c r="D3450" s="1018" t="s">
        <v>8855</v>
      </c>
      <c r="E3450" s="46" cm="1">
        <f t="array" ref="E3450">disascal_hih_acnsa_jan_mnlf</f>
        <v>0</v>
      </c>
      <c r="F3450" s="46" t="b">
        <v>1</v>
      </c>
    </row>
    <row r="3451" spans="1:6">
      <c r="A3451" s="46" t="s">
        <v>8662</v>
      </c>
      <c r="B3451" s="46" t="s">
        <v>8557</v>
      </c>
      <c r="C3451" s="46" t="s">
        <v>8662</v>
      </c>
      <c r="D3451" s="1018" t="s">
        <v>8856</v>
      </c>
      <c r="E3451" s="46" cm="1">
        <f t="array" ref="E3451">disascal_hih_acnsa_feb_mnlf</f>
        <v>0</v>
      </c>
      <c r="F3451" s="46" t="b">
        <v>1</v>
      </c>
    </row>
    <row r="3452" spans="1:6">
      <c r="A3452" s="46" t="s">
        <v>8663</v>
      </c>
      <c r="B3452" s="46" t="s">
        <v>8557</v>
      </c>
      <c r="C3452" s="46" t="s">
        <v>8663</v>
      </c>
      <c r="D3452" s="1018" t="s">
        <v>8857</v>
      </c>
      <c r="E3452" s="46" cm="1">
        <f t="array" ref="E3452">disascal_hih_acnsa_mar_mnlf</f>
        <v>0</v>
      </c>
      <c r="F3452" s="46" t="b">
        <v>1</v>
      </c>
    </row>
    <row r="3453" spans="1:6">
      <c r="A3453" s="46" t="s">
        <v>8664</v>
      </c>
      <c r="B3453" s="46" t="s">
        <v>8557</v>
      </c>
      <c r="C3453" s="46" t="s">
        <v>8664</v>
      </c>
      <c r="D3453" s="1018" t="s">
        <v>8858</v>
      </c>
      <c r="E3453" s="46" cm="1">
        <f t="array" ref="E3453">disascal_hih_acnsa_apr_mnlf</f>
        <v>0</v>
      </c>
      <c r="F3453" s="46" t="b">
        <v>1</v>
      </c>
    </row>
    <row r="3454" spans="1:6">
      <c r="A3454" s="46" t="s">
        <v>8665</v>
      </c>
      <c r="B3454" s="46" t="s">
        <v>8557</v>
      </c>
      <c r="C3454" s="46" t="s">
        <v>8665</v>
      </c>
      <c r="D3454" s="1018" t="s">
        <v>8859</v>
      </c>
      <c r="E3454" s="46" cm="1">
        <f t="array" ref="E3454">disascal_hih_acnsa_may_mnlf</f>
        <v>0</v>
      </c>
      <c r="F3454" s="46" t="b">
        <v>1</v>
      </c>
    </row>
    <row r="3455" spans="1:6">
      <c r="A3455" s="46" t="s">
        <v>8666</v>
      </c>
      <c r="B3455" s="46" t="s">
        <v>8557</v>
      </c>
      <c r="C3455" s="46" t="s">
        <v>8666</v>
      </c>
      <c r="D3455" s="1018" t="s">
        <v>8860</v>
      </c>
      <c r="E3455" s="46" cm="1">
        <f t="array" ref="E3455">disascal_hih_acnsa_jun_others_specify</f>
        <v>0</v>
      </c>
      <c r="F3455" s="46" t="b">
        <v>1</v>
      </c>
    </row>
    <row r="3456" spans="1:6">
      <c r="A3456" s="46" t="s">
        <v>8667</v>
      </c>
      <c r="B3456" s="46" t="s">
        <v>8557</v>
      </c>
      <c r="C3456" s="46" t="s">
        <v>8667</v>
      </c>
      <c r="D3456" s="1018" t="s">
        <v>8861</v>
      </c>
      <c r="E3456" s="46" cm="1">
        <f t="array" ref="E3456">disascal_hih_acnsa_jul_others_specify</f>
        <v>0</v>
      </c>
      <c r="F3456" s="46" t="b">
        <v>1</v>
      </c>
    </row>
    <row r="3457" spans="1:6">
      <c r="A3457" s="46" t="s">
        <v>8668</v>
      </c>
      <c r="B3457" s="46" t="s">
        <v>8557</v>
      </c>
      <c r="C3457" s="46" t="s">
        <v>8668</v>
      </c>
      <c r="D3457" s="1018" t="s">
        <v>8862</v>
      </c>
      <c r="E3457" s="46" cm="1">
        <f t="array" ref="E3457">disascal_hih_acnsa_aug_others_specify</f>
        <v>0</v>
      </c>
      <c r="F3457" s="46" t="b">
        <v>1</v>
      </c>
    </row>
    <row r="3458" spans="1:6">
      <c r="A3458" s="46" t="s">
        <v>8669</v>
      </c>
      <c r="B3458" s="46" t="s">
        <v>8557</v>
      </c>
      <c r="C3458" s="46" t="s">
        <v>8669</v>
      </c>
      <c r="D3458" s="1018" t="s">
        <v>8863</v>
      </c>
      <c r="E3458" s="46" cm="1">
        <f t="array" ref="E3458">disascal_hih_acnsa_sep_others_specify</f>
        <v>0</v>
      </c>
      <c r="F3458" s="46" t="b">
        <v>1</v>
      </c>
    </row>
    <row r="3459" spans="1:6">
      <c r="A3459" s="46" t="s">
        <v>8670</v>
      </c>
      <c r="B3459" s="46" t="s">
        <v>8557</v>
      </c>
      <c r="C3459" s="46" t="s">
        <v>8670</v>
      </c>
      <c r="D3459" s="1018" t="s">
        <v>8864</v>
      </c>
      <c r="E3459" s="46" cm="1">
        <f t="array" ref="E3459">disascal_hih_acnsa_oct_others_specify</f>
        <v>0</v>
      </c>
      <c r="F3459" s="46" t="b">
        <v>1</v>
      </c>
    </row>
    <row r="3460" spans="1:6">
      <c r="A3460" s="46" t="s">
        <v>8671</v>
      </c>
      <c r="B3460" s="46" t="s">
        <v>8557</v>
      </c>
      <c r="C3460" s="46" t="s">
        <v>8671</v>
      </c>
      <c r="D3460" s="1018" t="s">
        <v>8865</v>
      </c>
      <c r="E3460" s="46" cm="1">
        <f t="array" ref="E3460">disascal_hih_acnsa_nov_others_specify</f>
        <v>0</v>
      </c>
      <c r="F3460" s="46" t="b">
        <v>1</v>
      </c>
    </row>
    <row r="3461" spans="1:6">
      <c r="A3461" s="46" t="s">
        <v>8672</v>
      </c>
      <c r="B3461" s="46" t="s">
        <v>8557</v>
      </c>
      <c r="C3461" s="46" t="s">
        <v>8672</v>
      </c>
      <c r="D3461" s="1018" t="s">
        <v>8866</v>
      </c>
      <c r="E3461" s="46" cm="1">
        <f t="array" ref="E3461">disascal_hih_acnsa_dec_others_specify</f>
        <v>0</v>
      </c>
      <c r="F3461" s="46" t="b">
        <v>1</v>
      </c>
    </row>
    <row r="3462" spans="1:6">
      <c r="A3462" s="46" t="s">
        <v>8673</v>
      </c>
      <c r="B3462" s="46" t="s">
        <v>8557</v>
      </c>
      <c r="C3462" s="46" t="s">
        <v>8673</v>
      </c>
      <c r="D3462" s="1018" t="s">
        <v>8867</v>
      </c>
      <c r="E3462" s="46" cm="1">
        <f t="array" ref="E3462">disascal_hih_acnsa_jan_others_specify</f>
        <v>0</v>
      </c>
      <c r="F3462" s="46" t="b">
        <v>1</v>
      </c>
    </row>
    <row r="3463" spans="1:6">
      <c r="A3463" s="46" t="s">
        <v>8674</v>
      </c>
      <c r="B3463" s="46" t="s">
        <v>8557</v>
      </c>
      <c r="C3463" s="46" t="s">
        <v>8674</v>
      </c>
      <c r="D3463" s="1018" t="s">
        <v>8868</v>
      </c>
      <c r="E3463" s="46" cm="1">
        <f t="array" ref="E3463">disascal_hih_acnsa_feb_others_specify</f>
        <v>0</v>
      </c>
      <c r="F3463" s="46" t="b">
        <v>1</v>
      </c>
    </row>
    <row r="3464" spans="1:6">
      <c r="A3464" s="46" t="s">
        <v>8675</v>
      </c>
      <c r="B3464" s="46" t="s">
        <v>8557</v>
      </c>
      <c r="C3464" s="46" t="s">
        <v>8675</v>
      </c>
      <c r="D3464" s="1018" t="s">
        <v>8869</v>
      </c>
      <c r="E3464" s="46" cm="1">
        <f t="array" ref="E3464">disascal_hih_acnsa_mar_others_specify</f>
        <v>0</v>
      </c>
      <c r="F3464" s="46" t="b">
        <v>1</v>
      </c>
    </row>
    <row r="3465" spans="1:6">
      <c r="A3465" s="46" t="s">
        <v>8676</v>
      </c>
      <c r="B3465" s="46" t="s">
        <v>8557</v>
      </c>
      <c r="C3465" s="46" t="s">
        <v>8676</v>
      </c>
      <c r="D3465" s="1018" t="s">
        <v>8870</v>
      </c>
      <c r="E3465" s="46" cm="1">
        <f t="array" ref="E3465">disascal_hih_acnsa_apr_others_specify</f>
        <v>0</v>
      </c>
      <c r="F3465" s="46" t="b">
        <v>1</v>
      </c>
    </row>
    <row r="3466" spans="1:6">
      <c r="A3466" s="46" t="s">
        <v>8677</v>
      </c>
      <c r="B3466" s="46" t="s">
        <v>8557</v>
      </c>
      <c r="C3466" s="46" t="s">
        <v>8677</v>
      </c>
      <c r="D3466" s="1018" t="s">
        <v>8871</v>
      </c>
      <c r="E3466" s="46" cm="1">
        <f t="array" ref="E3466">disascal_hih_acnsa_may_others_specify</f>
        <v>0</v>
      </c>
      <c r="F3466" s="46" t="b">
        <v>1</v>
      </c>
    </row>
    <row r="3467" spans="1:6">
      <c r="A3467" s="46" t="s">
        <v>8678</v>
      </c>
      <c r="B3467" s="46" t="s">
        <v>8557</v>
      </c>
      <c r="C3467" s="46" t="s">
        <v>8678</v>
      </c>
      <c r="D3467" s="1018" t="s">
        <v>8872</v>
      </c>
      <c r="E3467" s="46" cm="1">
        <f t="array" ref="E3467">disascal_hih_acnsa_others_specify</f>
        <v>0</v>
      </c>
      <c r="F3467" s="46" t="b">
        <v>1</v>
      </c>
    </row>
    <row r="3468" spans="1:6">
      <c r="A3468" s="46" t="s">
        <v>8679</v>
      </c>
      <c r="B3468" s="46" t="s">
        <v>8557</v>
      </c>
      <c r="C3468" s="46" t="s">
        <v>8679</v>
      </c>
      <c r="D3468" s="1018" t="s">
        <v>8873</v>
      </c>
      <c r="E3468" s="46" cm="1">
        <f t="array" ref="E3468">disascal_hih_child_jun_killing</f>
        <v>0</v>
      </c>
      <c r="F3468" s="46" t="b">
        <v>1</v>
      </c>
    </row>
    <row r="3469" spans="1:6">
      <c r="A3469" s="46" t="s">
        <v>8680</v>
      </c>
      <c r="B3469" s="46" t="s">
        <v>8557</v>
      </c>
      <c r="C3469" s="46" t="s">
        <v>8680</v>
      </c>
      <c r="D3469" s="1018" t="s">
        <v>8874</v>
      </c>
      <c r="E3469" s="46" cm="1">
        <f t="array" ref="E3469">disascal_hih_child_jul_killing</f>
        <v>0</v>
      </c>
      <c r="F3469" s="46" t="b">
        <v>1</v>
      </c>
    </row>
    <row r="3470" spans="1:6">
      <c r="A3470" s="46" t="s">
        <v>8681</v>
      </c>
      <c r="B3470" s="46" t="s">
        <v>8557</v>
      </c>
      <c r="C3470" s="46" t="s">
        <v>8681</v>
      </c>
      <c r="D3470" s="1018" t="s">
        <v>8875</v>
      </c>
      <c r="E3470" s="46" cm="1">
        <f t="array" ref="E3470">disascal_hih_child_aug_killing</f>
        <v>0</v>
      </c>
      <c r="F3470" s="46" t="b">
        <v>1</v>
      </c>
    </row>
    <row r="3471" spans="1:6">
      <c r="A3471" s="46" t="s">
        <v>8682</v>
      </c>
      <c r="B3471" s="46" t="s">
        <v>8557</v>
      </c>
      <c r="C3471" s="46" t="s">
        <v>8682</v>
      </c>
      <c r="D3471" s="1018" t="s">
        <v>8876</v>
      </c>
      <c r="E3471" s="46" cm="1">
        <f t="array" ref="E3471">disascal_hih_child_sep_killing</f>
        <v>0</v>
      </c>
      <c r="F3471" s="46" t="b">
        <v>1</v>
      </c>
    </row>
    <row r="3472" spans="1:6">
      <c r="A3472" s="46" t="s">
        <v>8683</v>
      </c>
      <c r="B3472" s="46" t="s">
        <v>8557</v>
      </c>
      <c r="C3472" s="46" t="s">
        <v>8683</v>
      </c>
      <c r="D3472" s="1018" t="s">
        <v>8877</v>
      </c>
      <c r="E3472" s="46" cm="1">
        <f t="array" ref="E3472">disascal_hih_child_oct_killing</f>
        <v>0</v>
      </c>
      <c r="F3472" s="46" t="b">
        <v>1</v>
      </c>
    </row>
    <row r="3473" spans="1:6">
      <c r="A3473" s="46" t="s">
        <v>8684</v>
      </c>
      <c r="B3473" s="46" t="s">
        <v>8557</v>
      </c>
      <c r="C3473" s="46" t="s">
        <v>8684</v>
      </c>
      <c r="D3473" s="1018" t="s">
        <v>8878</v>
      </c>
      <c r="E3473" s="46" cm="1">
        <f t="array" ref="E3473">disascal_hih_child_nov_killing</f>
        <v>0</v>
      </c>
      <c r="F3473" s="46" t="b">
        <v>1</v>
      </c>
    </row>
    <row r="3474" spans="1:6">
      <c r="A3474" s="46" t="s">
        <v>8685</v>
      </c>
      <c r="B3474" s="46" t="s">
        <v>8557</v>
      </c>
      <c r="C3474" s="46" t="s">
        <v>8685</v>
      </c>
      <c r="D3474" s="1018" t="s">
        <v>8879</v>
      </c>
      <c r="E3474" s="46" cm="1">
        <f t="array" ref="E3474">disascal_hih_child_dec_killing</f>
        <v>0</v>
      </c>
      <c r="F3474" s="46" t="b">
        <v>1</v>
      </c>
    </row>
    <row r="3475" spans="1:6">
      <c r="A3475" s="46" t="s">
        <v>8686</v>
      </c>
      <c r="B3475" s="46" t="s">
        <v>8557</v>
      </c>
      <c r="C3475" s="46" t="s">
        <v>8686</v>
      </c>
      <c r="D3475" s="1018" t="s">
        <v>8880</v>
      </c>
      <c r="E3475" s="46" cm="1">
        <f t="array" ref="E3475">disascal_hih_child_jan_killing</f>
        <v>0</v>
      </c>
      <c r="F3475" s="46" t="b">
        <v>1</v>
      </c>
    </row>
    <row r="3476" spans="1:6">
      <c r="A3476" s="46" t="s">
        <v>8687</v>
      </c>
      <c r="B3476" s="46" t="s">
        <v>8557</v>
      </c>
      <c r="C3476" s="46" t="s">
        <v>8687</v>
      </c>
      <c r="D3476" s="1018" t="s">
        <v>8881</v>
      </c>
      <c r="E3476" s="46" cm="1">
        <f t="array" ref="E3476">disascal_hih_child_feb_killing</f>
        <v>0</v>
      </c>
      <c r="F3476" s="46" t="b">
        <v>1</v>
      </c>
    </row>
    <row r="3477" spans="1:6">
      <c r="A3477" s="46" t="s">
        <v>8688</v>
      </c>
      <c r="B3477" s="46" t="s">
        <v>8557</v>
      </c>
      <c r="C3477" s="46" t="s">
        <v>8688</v>
      </c>
      <c r="D3477" s="1018" t="s">
        <v>8882</v>
      </c>
      <c r="E3477" s="46" cm="1">
        <f t="array" ref="E3477">disascal_hih_child_mar_killing</f>
        <v>0</v>
      </c>
      <c r="F3477" s="46" t="b">
        <v>1</v>
      </c>
    </row>
    <row r="3478" spans="1:6">
      <c r="A3478" s="46" t="s">
        <v>8689</v>
      </c>
      <c r="B3478" s="46" t="s">
        <v>8557</v>
      </c>
      <c r="C3478" s="46" t="s">
        <v>8689</v>
      </c>
      <c r="D3478" s="1018" t="s">
        <v>8883</v>
      </c>
      <c r="E3478" s="46" cm="1">
        <f t="array" ref="E3478">disascal_hih_child_apr_killing</f>
        <v>0</v>
      </c>
      <c r="F3478" s="46" t="b">
        <v>1</v>
      </c>
    </row>
    <row r="3479" spans="1:6">
      <c r="A3479" s="46" t="s">
        <v>8690</v>
      </c>
      <c r="B3479" s="46" t="s">
        <v>8557</v>
      </c>
      <c r="C3479" s="46" t="s">
        <v>8690</v>
      </c>
      <c r="D3479" s="1018" t="s">
        <v>8884</v>
      </c>
      <c r="E3479" s="46" cm="1">
        <f t="array" ref="E3479">disascal_hih_child_may_killing</f>
        <v>0</v>
      </c>
      <c r="F3479" s="46" t="b">
        <v>1</v>
      </c>
    </row>
    <row r="3480" spans="1:6">
      <c r="A3480" s="46" t="s">
        <v>8691</v>
      </c>
      <c r="B3480" s="46" t="s">
        <v>8557</v>
      </c>
      <c r="C3480" s="46" t="s">
        <v>8691</v>
      </c>
      <c r="D3480" s="1018" t="s">
        <v>8885</v>
      </c>
      <c r="E3480" s="46" cm="1">
        <f t="array" ref="E3480">disascal_hih_child_jun_abduction</f>
        <v>0</v>
      </c>
      <c r="F3480" s="46" t="b">
        <v>1</v>
      </c>
    </row>
    <row r="3481" spans="1:6">
      <c r="A3481" s="46" t="s">
        <v>8692</v>
      </c>
      <c r="B3481" s="46" t="s">
        <v>8557</v>
      </c>
      <c r="C3481" s="46" t="s">
        <v>8692</v>
      </c>
      <c r="D3481" s="1018" t="s">
        <v>8886</v>
      </c>
      <c r="E3481" s="46" cm="1">
        <f t="array" ref="E3481">disascal_hih_child_jul_abduction</f>
        <v>0</v>
      </c>
      <c r="F3481" s="46" t="b">
        <v>1</v>
      </c>
    </row>
    <row r="3482" spans="1:6">
      <c r="A3482" s="46" t="s">
        <v>8693</v>
      </c>
      <c r="B3482" s="46" t="s">
        <v>8557</v>
      </c>
      <c r="C3482" s="46" t="s">
        <v>8693</v>
      </c>
      <c r="D3482" s="1018" t="s">
        <v>8887</v>
      </c>
      <c r="E3482" s="46" cm="1">
        <f t="array" ref="E3482">disascal_hih_child_aug_abduction</f>
        <v>0</v>
      </c>
      <c r="F3482" s="46" t="b">
        <v>1</v>
      </c>
    </row>
    <row r="3483" spans="1:6">
      <c r="A3483" s="46" t="s">
        <v>8694</v>
      </c>
      <c r="B3483" s="46" t="s">
        <v>8557</v>
      </c>
      <c r="C3483" s="46" t="s">
        <v>8694</v>
      </c>
      <c r="D3483" s="1018" t="s">
        <v>8888</v>
      </c>
      <c r="E3483" s="46" cm="1">
        <f t="array" ref="E3483">disascal_hih_child_sep_abduction</f>
        <v>0</v>
      </c>
      <c r="F3483" s="46" t="b">
        <v>1</v>
      </c>
    </row>
    <row r="3484" spans="1:6">
      <c r="A3484" s="46" t="s">
        <v>8695</v>
      </c>
      <c r="B3484" s="46" t="s">
        <v>8557</v>
      </c>
      <c r="C3484" s="46" t="s">
        <v>8695</v>
      </c>
      <c r="D3484" s="1018" t="s">
        <v>8889</v>
      </c>
      <c r="E3484" s="46" cm="1">
        <f t="array" ref="E3484">disascal_hih_child_oct_abduction</f>
        <v>0</v>
      </c>
      <c r="F3484" s="46" t="b">
        <v>1</v>
      </c>
    </row>
    <row r="3485" spans="1:6">
      <c r="A3485" s="46" t="s">
        <v>8696</v>
      </c>
      <c r="B3485" s="46" t="s">
        <v>8557</v>
      </c>
      <c r="C3485" s="46" t="s">
        <v>8696</v>
      </c>
      <c r="D3485" s="1018" t="s">
        <v>8890</v>
      </c>
      <c r="E3485" s="46" cm="1">
        <f t="array" ref="E3485">disascal_hih_child_nov_abduction</f>
        <v>0</v>
      </c>
      <c r="F3485" s="46" t="b">
        <v>1</v>
      </c>
    </row>
    <row r="3486" spans="1:6">
      <c r="A3486" s="46" t="s">
        <v>8697</v>
      </c>
      <c r="B3486" s="46" t="s">
        <v>8557</v>
      </c>
      <c r="C3486" s="46" t="s">
        <v>8697</v>
      </c>
      <c r="D3486" s="1018" t="s">
        <v>8891</v>
      </c>
      <c r="E3486" s="46" cm="1">
        <f t="array" ref="E3486">disascal_hih_child_dec_abduction</f>
        <v>0</v>
      </c>
      <c r="F3486" s="46" t="b">
        <v>1</v>
      </c>
    </row>
    <row r="3487" spans="1:6">
      <c r="A3487" s="46" t="s">
        <v>8698</v>
      </c>
      <c r="B3487" s="46" t="s">
        <v>8557</v>
      </c>
      <c r="C3487" s="46" t="s">
        <v>8698</v>
      </c>
      <c r="D3487" s="1018" t="s">
        <v>8892</v>
      </c>
      <c r="E3487" s="46" cm="1">
        <f t="array" ref="E3487">disascal_hih_child_jan_abduction</f>
        <v>0</v>
      </c>
      <c r="F3487" s="46" t="b">
        <v>1</v>
      </c>
    </row>
    <row r="3488" spans="1:6">
      <c r="A3488" s="46" t="s">
        <v>8699</v>
      </c>
      <c r="B3488" s="46" t="s">
        <v>8557</v>
      </c>
      <c r="C3488" s="46" t="s">
        <v>8699</v>
      </c>
      <c r="D3488" s="1018" t="s">
        <v>8893</v>
      </c>
      <c r="E3488" s="46" cm="1">
        <f t="array" ref="E3488">disascal_hih_child_feb_abduction</f>
        <v>0</v>
      </c>
      <c r="F3488" s="46" t="b">
        <v>1</v>
      </c>
    </row>
    <row r="3489" spans="1:6">
      <c r="A3489" s="46" t="s">
        <v>8700</v>
      </c>
      <c r="B3489" s="46" t="s">
        <v>8557</v>
      </c>
      <c r="C3489" s="46" t="s">
        <v>8700</v>
      </c>
      <c r="D3489" s="1018" t="s">
        <v>8894</v>
      </c>
      <c r="E3489" s="46" cm="1">
        <f t="array" ref="E3489">disascal_hih_child_mar_abduction</f>
        <v>0</v>
      </c>
      <c r="F3489" s="46" t="b">
        <v>1</v>
      </c>
    </row>
    <row r="3490" spans="1:6">
      <c r="A3490" s="46" t="s">
        <v>8701</v>
      </c>
      <c r="B3490" s="46" t="s">
        <v>8557</v>
      </c>
      <c r="C3490" s="46" t="s">
        <v>8701</v>
      </c>
      <c r="D3490" s="1018" t="s">
        <v>8895</v>
      </c>
      <c r="E3490" s="46" cm="1">
        <f t="array" ref="E3490">disascal_hih_child_apr_abduction</f>
        <v>0</v>
      </c>
      <c r="F3490" s="46" t="b">
        <v>1</v>
      </c>
    </row>
    <row r="3491" spans="1:6">
      <c r="A3491" s="46" t="s">
        <v>8702</v>
      </c>
      <c r="B3491" s="46" t="s">
        <v>8557</v>
      </c>
      <c r="C3491" s="46" t="s">
        <v>8702</v>
      </c>
      <c r="D3491" s="1018" t="s">
        <v>8896</v>
      </c>
      <c r="E3491" s="46" cm="1">
        <f t="array" ref="E3491">disascal_hih_child_may_abduction</f>
        <v>0</v>
      </c>
      <c r="F3491" s="46" t="b">
        <v>1</v>
      </c>
    </row>
    <row r="3492" spans="1:6">
      <c r="A3492" s="46" t="s">
        <v>8703</v>
      </c>
      <c r="B3492" s="46" t="s">
        <v>8557</v>
      </c>
      <c r="C3492" s="46" t="s">
        <v>8703</v>
      </c>
      <c r="D3492" s="1018" t="s">
        <v>8897</v>
      </c>
      <c r="E3492" s="46" cm="1">
        <f t="array" ref="E3492">disascal_hih_child_jun_attacks</f>
        <v>0</v>
      </c>
      <c r="F3492" s="46" t="b">
        <v>1</v>
      </c>
    </row>
    <row r="3493" spans="1:6">
      <c r="A3493" s="46" t="s">
        <v>8704</v>
      </c>
      <c r="B3493" s="46" t="s">
        <v>8557</v>
      </c>
      <c r="C3493" s="46" t="s">
        <v>8704</v>
      </c>
      <c r="D3493" s="1018" t="s">
        <v>8898</v>
      </c>
      <c r="E3493" s="46" cm="1">
        <f t="array" ref="E3493">disascal_hih_child_jul_attacks</f>
        <v>0</v>
      </c>
      <c r="F3493" s="46" t="b">
        <v>1</v>
      </c>
    </row>
    <row r="3494" spans="1:6">
      <c r="A3494" s="46" t="s">
        <v>8705</v>
      </c>
      <c r="B3494" s="46" t="s">
        <v>8557</v>
      </c>
      <c r="C3494" s="46" t="s">
        <v>8705</v>
      </c>
      <c r="D3494" s="1018" t="s">
        <v>8899</v>
      </c>
      <c r="E3494" s="46" cm="1">
        <f t="array" ref="E3494">disascal_hih_child_aug_attacks</f>
        <v>0</v>
      </c>
      <c r="F3494" s="46" t="b">
        <v>1</v>
      </c>
    </row>
    <row r="3495" spans="1:6">
      <c r="A3495" s="46" t="s">
        <v>8706</v>
      </c>
      <c r="B3495" s="46" t="s">
        <v>8557</v>
      </c>
      <c r="C3495" s="46" t="s">
        <v>8706</v>
      </c>
      <c r="D3495" s="1018" t="s">
        <v>8900</v>
      </c>
      <c r="E3495" s="46" cm="1">
        <f t="array" ref="E3495">disascal_hih_child_sep_attacks</f>
        <v>0</v>
      </c>
      <c r="F3495" s="46" t="b">
        <v>1</v>
      </c>
    </row>
    <row r="3496" spans="1:6">
      <c r="A3496" s="46" t="s">
        <v>8707</v>
      </c>
      <c r="B3496" s="46" t="s">
        <v>8557</v>
      </c>
      <c r="C3496" s="46" t="s">
        <v>8707</v>
      </c>
      <c r="D3496" s="1018" t="s">
        <v>8901</v>
      </c>
      <c r="E3496" s="46" cm="1">
        <f t="array" ref="E3496">disascal_hih_child_oct_attacks</f>
        <v>0</v>
      </c>
      <c r="F3496" s="46" t="b">
        <v>1</v>
      </c>
    </row>
    <row r="3497" spans="1:6">
      <c r="A3497" s="46" t="s">
        <v>8708</v>
      </c>
      <c r="B3497" s="46" t="s">
        <v>8557</v>
      </c>
      <c r="C3497" s="46" t="s">
        <v>8708</v>
      </c>
      <c r="D3497" s="1018" t="s">
        <v>8902</v>
      </c>
      <c r="E3497" s="46" cm="1">
        <f t="array" ref="E3497">disascal_hih_child_nov_attacks</f>
        <v>0</v>
      </c>
      <c r="F3497" s="46" t="b">
        <v>1</v>
      </c>
    </row>
    <row r="3498" spans="1:6">
      <c r="A3498" s="46" t="s">
        <v>8709</v>
      </c>
      <c r="B3498" s="46" t="s">
        <v>8557</v>
      </c>
      <c r="C3498" s="46" t="s">
        <v>8709</v>
      </c>
      <c r="D3498" s="1018" t="s">
        <v>8903</v>
      </c>
      <c r="E3498" s="46" cm="1">
        <f t="array" ref="E3498">disascal_hih_child_dec_attacks</f>
        <v>0</v>
      </c>
      <c r="F3498" s="46" t="b">
        <v>1</v>
      </c>
    </row>
    <row r="3499" spans="1:6">
      <c r="A3499" s="46" t="s">
        <v>8710</v>
      </c>
      <c r="B3499" s="46" t="s">
        <v>8557</v>
      </c>
      <c r="C3499" s="46" t="s">
        <v>8710</v>
      </c>
      <c r="D3499" s="1018" t="s">
        <v>8904</v>
      </c>
      <c r="E3499" s="46" cm="1">
        <f t="array" ref="E3499">disascal_hih_child_jan_attacks</f>
        <v>0</v>
      </c>
      <c r="F3499" s="46" t="b">
        <v>1</v>
      </c>
    </row>
    <row r="3500" spans="1:6">
      <c r="A3500" s="46" t="s">
        <v>8711</v>
      </c>
      <c r="B3500" s="46" t="s">
        <v>8557</v>
      </c>
      <c r="C3500" s="46" t="s">
        <v>8711</v>
      </c>
      <c r="D3500" s="1018" t="s">
        <v>8905</v>
      </c>
      <c r="E3500" s="46" cm="1">
        <f t="array" ref="E3500">disascal_hih_child_feb_attacks</f>
        <v>0</v>
      </c>
      <c r="F3500" s="46" t="b">
        <v>1</v>
      </c>
    </row>
    <row r="3501" spans="1:6">
      <c r="A3501" s="46" t="s">
        <v>8712</v>
      </c>
      <c r="B3501" s="46" t="s">
        <v>8557</v>
      </c>
      <c r="C3501" s="46" t="s">
        <v>8712</v>
      </c>
      <c r="D3501" s="1018" t="s">
        <v>8906</v>
      </c>
      <c r="E3501" s="46" cm="1">
        <f t="array" ref="E3501">disascal_hih_child_mar_attacks</f>
        <v>0</v>
      </c>
      <c r="F3501" s="46" t="b">
        <v>1</v>
      </c>
    </row>
    <row r="3502" spans="1:6">
      <c r="A3502" s="46" t="s">
        <v>8713</v>
      </c>
      <c r="B3502" s="46" t="s">
        <v>8557</v>
      </c>
      <c r="C3502" s="46" t="s">
        <v>8713</v>
      </c>
      <c r="D3502" s="1018" t="s">
        <v>8907</v>
      </c>
      <c r="E3502" s="46" cm="1">
        <f t="array" ref="E3502">disascal_hih_child_apr_attacks</f>
        <v>0</v>
      </c>
      <c r="F3502" s="46" t="b">
        <v>1</v>
      </c>
    </row>
    <row r="3503" spans="1:6">
      <c r="A3503" s="46" t="s">
        <v>8714</v>
      </c>
      <c r="B3503" s="46" t="s">
        <v>8557</v>
      </c>
      <c r="C3503" s="46" t="s">
        <v>8714</v>
      </c>
      <c r="D3503" s="1018" t="s">
        <v>8908</v>
      </c>
      <c r="E3503" s="46" cm="1">
        <f t="array" ref="E3503">disascal_hih_child_may_attacks</f>
        <v>0</v>
      </c>
      <c r="F3503" s="46" t="b">
        <v>1</v>
      </c>
    </row>
    <row r="3504" spans="1:6">
      <c r="A3504" s="46" t="s">
        <v>8715</v>
      </c>
      <c r="B3504" s="46" t="s">
        <v>8557</v>
      </c>
      <c r="C3504" s="46" t="s">
        <v>8715</v>
      </c>
      <c r="D3504" s="1018" t="s">
        <v>8909</v>
      </c>
      <c r="E3504" s="46" cm="1">
        <f t="array" ref="E3504">disascal_hih_child_jun_denial</f>
        <v>0</v>
      </c>
      <c r="F3504" s="46" t="b">
        <v>1</v>
      </c>
    </row>
    <row r="3505" spans="1:6">
      <c r="A3505" s="46" t="s">
        <v>8716</v>
      </c>
      <c r="B3505" s="46" t="s">
        <v>8557</v>
      </c>
      <c r="C3505" s="46" t="s">
        <v>8716</v>
      </c>
      <c r="D3505" s="1018" t="s">
        <v>8910</v>
      </c>
      <c r="E3505" s="46" cm="1">
        <f t="array" ref="E3505">disascal_hih_child_jul_denial</f>
        <v>0</v>
      </c>
      <c r="F3505" s="46" t="b">
        <v>1</v>
      </c>
    </row>
    <row r="3506" spans="1:6">
      <c r="A3506" s="46" t="s">
        <v>8717</v>
      </c>
      <c r="B3506" s="46" t="s">
        <v>8557</v>
      </c>
      <c r="C3506" s="46" t="s">
        <v>8717</v>
      </c>
      <c r="D3506" s="1018" t="s">
        <v>8911</v>
      </c>
      <c r="E3506" s="46" cm="1">
        <f t="array" ref="E3506">disascal_hih_child_aug_denial</f>
        <v>0</v>
      </c>
      <c r="F3506" s="46" t="b">
        <v>1</v>
      </c>
    </row>
    <row r="3507" spans="1:6">
      <c r="A3507" s="46" t="s">
        <v>8718</v>
      </c>
      <c r="B3507" s="46" t="s">
        <v>8557</v>
      </c>
      <c r="C3507" s="46" t="s">
        <v>8718</v>
      </c>
      <c r="D3507" s="1018" t="s">
        <v>8912</v>
      </c>
      <c r="E3507" s="46" cm="1">
        <f t="array" ref="E3507">disascal_hih_child_sep_denial</f>
        <v>0</v>
      </c>
      <c r="F3507" s="46" t="b">
        <v>1</v>
      </c>
    </row>
    <row r="3508" spans="1:6">
      <c r="A3508" s="46" t="s">
        <v>8719</v>
      </c>
      <c r="B3508" s="46" t="s">
        <v>8557</v>
      </c>
      <c r="C3508" s="46" t="s">
        <v>8719</v>
      </c>
      <c r="D3508" s="1018" t="s">
        <v>8913</v>
      </c>
      <c r="E3508" s="46" cm="1">
        <f t="array" ref="E3508">disascal_hih_child_oct_denial</f>
        <v>0</v>
      </c>
      <c r="F3508" s="46" t="b">
        <v>1</v>
      </c>
    </row>
    <row r="3509" spans="1:6">
      <c r="A3509" s="46" t="s">
        <v>8720</v>
      </c>
      <c r="B3509" s="46" t="s">
        <v>8557</v>
      </c>
      <c r="C3509" s="46" t="s">
        <v>8720</v>
      </c>
      <c r="D3509" s="1018" t="s">
        <v>8914</v>
      </c>
      <c r="E3509" s="46" cm="1">
        <f t="array" ref="E3509">disascal_hih_child_nov_denial</f>
        <v>0</v>
      </c>
      <c r="F3509" s="46" t="b">
        <v>1</v>
      </c>
    </row>
    <row r="3510" spans="1:6">
      <c r="A3510" s="46" t="s">
        <v>8721</v>
      </c>
      <c r="B3510" s="46" t="s">
        <v>8557</v>
      </c>
      <c r="C3510" s="46" t="s">
        <v>8721</v>
      </c>
      <c r="D3510" s="1018" t="s">
        <v>8915</v>
      </c>
      <c r="E3510" s="46" cm="1">
        <f t="array" ref="E3510">disascal_hih_child_dec_denial</f>
        <v>0</v>
      </c>
      <c r="F3510" s="46" t="b">
        <v>1</v>
      </c>
    </row>
    <row r="3511" spans="1:6">
      <c r="A3511" s="46" t="s">
        <v>8722</v>
      </c>
      <c r="B3511" s="46" t="s">
        <v>8557</v>
      </c>
      <c r="C3511" s="46" t="s">
        <v>8722</v>
      </c>
      <c r="D3511" s="1018" t="s">
        <v>8916</v>
      </c>
      <c r="E3511" s="46" cm="1">
        <f t="array" ref="E3511">disascal_hih_child_jan_denial</f>
        <v>0</v>
      </c>
      <c r="F3511" s="46" t="b">
        <v>1</v>
      </c>
    </row>
    <row r="3512" spans="1:6">
      <c r="A3512" s="46" t="s">
        <v>8723</v>
      </c>
      <c r="B3512" s="46" t="s">
        <v>8557</v>
      </c>
      <c r="C3512" s="46" t="s">
        <v>8723</v>
      </c>
      <c r="D3512" s="1018" t="s">
        <v>8917</v>
      </c>
      <c r="E3512" s="46" cm="1">
        <f t="array" ref="E3512">disascal_hih_child_feb_denial</f>
        <v>0</v>
      </c>
      <c r="F3512" s="46" t="b">
        <v>1</v>
      </c>
    </row>
    <row r="3513" spans="1:6">
      <c r="A3513" s="46" t="s">
        <v>8724</v>
      </c>
      <c r="B3513" s="46" t="s">
        <v>8557</v>
      </c>
      <c r="C3513" s="46" t="s">
        <v>8724</v>
      </c>
      <c r="D3513" s="1018" t="s">
        <v>8918</v>
      </c>
      <c r="E3513" s="46" cm="1">
        <f t="array" ref="E3513">disascal_hih_child_mar_denial</f>
        <v>0</v>
      </c>
      <c r="F3513" s="46" t="b">
        <v>1</v>
      </c>
    </row>
    <row r="3514" spans="1:6">
      <c r="A3514" s="46" t="s">
        <v>8725</v>
      </c>
      <c r="B3514" s="46" t="s">
        <v>8557</v>
      </c>
      <c r="C3514" s="46" t="s">
        <v>8725</v>
      </c>
      <c r="D3514" s="1018" t="s">
        <v>8919</v>
      </c>
      <c r="E3514" s="46" cm="1">
        <f t="array" ref="E3514">disascal_hih_child_apr_denial</f>
        <v>0</v>
      </c>
      <c r="F3514" s="46" t="b">
        <v>1</v>
      </c>
    </row>
    <row r="3515" spans="1:6">
      <c r="A3515" s="46" t="s">
        <v>8726</v>
      </c>
      <c r="B3515" s="46" t="s">
        <v>8557</v>
      </c>
      <c r="C3515" s="46" t="s">
        <v>8726</v>
      </c>
      <c r="D3515" s="1018" t="s">
        <v>8920</v>
      </c>
      <c r="E3515" s="46" cm="1">
        <f t="array" ref="E3515">disascal_hih_child_may_denial</f>
        <v>0</v>
      </c>
      <c r="F3515" s="46" t="b">
        <v>1</v>
      </c>
    </row>
    <row r="3516" spans="1:6">
      <c r="A3516" s="46" t="s">
        <v>8727</v>
      </c>
      <c r="B3516" s="46" t="s">
        <v>8557</v>
      </c>
      <c r="C3516" s="46" t="s">
        <v>8727</v>
      </c>
      <c r="D3516" s="1018" t="s">
        <v>8921</v>
      </c>
      <c r="E3516" s="46" cm="1">
        <f t="array" ref="E3516">disascal_hih_child_jun_recruit</f>
        <v>0</v>
      </c>
      <c r="F3516" s="46" t="b">
        <v>1</v>
      </c>
    </row>
    <row r="3517" spans="1:6">
      <c r="A3517" s="46" t="s">
        <v>8728</v>
      </c>
      <c r="B3517" s="46" t="s">
        <v>8557</v>
      </c>
      <c r="C3517" s="46" t="s">
        <v>8728</v>
      </c>
      <c r="D3517" s="1018" t="s">
        <v>8922</v>
      </c>
      <c r="E3517" s="46" cm="1">
        <f t="array" ref="E3517">disascal_hih_child_jul_recruit</f>
        <v>0</v>
      </c>
      <c r="F3517" s="46" t="b">
        <v>1</v>
      </c>
    </row>
    <row r="3518" spans="1:6">
      <c r="A3518" s="46" t="s">
        <v>8729</v>
      </c>
      <c r="B3518" s="46" t="s">
        <v>8557</v>
      </c>
      <c r="C3518" s="46" t="s">
        <v>8729</v>
      </c>
      <c r="D3518" s="1018" t="s">
        <v>8923</v>
      </c>
      <c r="E3518" s="46" cm="1">
        <f t="array" ref="E3518">disascal_hih_child_aug_recruit</f>
        <v>0</v>
      </c>
      <c r="F3518" s="46" t="b">
        <v>1</v>
      </c>
    </row>
    <row r="3519" spans="1:6">
      <c r="A3519" s="46" t="s">
        <v>8730</v>
      </c>
      <c r="B3519" s="46" t="s">
        <v>8557</v>
      </c>
      <c r="C3519" s="46" t="s">
        <v>8730</v>
      </c>
      <c r="D3519" s="1018" t="s">
        <v>8924</v>
      </c>
      <c r="E3519" s="46" cm="1">
        <f t="array" ref="E3519">disascal_hih_child_sep_recruit</f>
        <v>0</v>
      </c>
      <c r="F3519" s="46" t="b">
        <v>1</v>
      </c>
    </row>
    <row r="3520" spans="1:6">
      <c r="A3520" s="46" t="s">
        <v>8731</v>
      </c>
      <c r="B3520" s="46" t="s">
        <v>8557</v>
      </c>
      <c r="C3520" s="46" t="s">
        <v>8731</v>
      </c>
      <c r="D3520" s="1018" t="s">
        <v>8925</v>
      </c>
      <c r="E3520" s="46" cm="1">
        <f t="array" ref="E3520">disascal_hih_child_oct_recruit</f>
        <v>0</v>
      </c>
      <c r="F3520" s="46" t="b">
        <v>1</v>
      </c>
    </row>
    <row r="3521" spans="1:6">
      <c r="A3521" s="46" t="s">
        <v>8732</v>
      </c>
      <c r="B3521" s="46" t="s">
        <v>8557</v>
      </c>
      <c r="C3521" s="46" t="s">
        <v>8732</v>
      </c>
      <c r="D3521" s="1018" t="s">
        <v>8926</v>
      </c>
      <c r="E3521" s="46" cm="1">
        <f t="array" ref="E3521">disascal_hih_child_nov_recruit</f>
        <v>0</v>
      </c>
      <c r="F3521" s="46" t="b">
        <v>1</v>
      </c>
    </row>
    <row r="3522" spans="1:6">
      <c r="A3522" s="46" t="s">
        <v>8733</v>
      </c>
      <c r="B3522" s="46" t="s">
        <v>8557</v>
      </c>
      <c r="C3522" s="46" t="s">
        <v>8733</v>
      </c>
      <c r="D3522" s="1018" t="s">
        <v>8927</v>
      </c>
      <c r="E3522" s="46" cm="1">
        <f t="array" ref="E3522">disascal_hih_child_dec_recruit</f>
        <v>0</v>
      </c>
      <c r="F3522" s="46" t="b">
        <v>1</v>
      </c>
    </row>
    <row r="3523" spans="1:6">
      <c r="A3523" s="46" t="s">
        <v>8734</v>
      </c>
      <c r="B3523" s="46" t="s">
        <v>8557</v>
      </c>
      <c r="C3523" s="46" t="s">
        <v>8734</v>
      </c>
      <c r="D3523" s="1018" t="s">
        <v>8928</v>
      </c>
      <c r="E3523" s="46" cm="1">
        <f t="array" ref="E3523">disascal_hih_child_jan_recruit</f>
        <v>0</v>
      </c>
      <c r="F3523" s="46" t="b">
        <v>1</v>
      </c>
    </row>
    <row r="3524" spans="1:6">
      <c r="A3524" s="46" t="s">
        <v>8735</v>
      </c>
      <c r="B3524" s="46" t="s">
        <v>8557</v>
      </c>
      <c r="C3524" s="46" t="s">
        <v>8735</v>
      </c>
      <c r="D3524" s="1018" t="s">
        <v>8929</v>
      </c>
      <c r="E3524" s="46" cm="1">
        <f t="array" ref="E3524">disascal_hih_child_feb_recruit</f>
        <v>0</v>
      </c>
      <c r="F3524" s="46" t="b">
        <v>1</v>
      </c>
    </row>
    <row r="3525" spans="1:6">
      <c r="A3525" s="46" t="s">
        <v>8736</v>
      </c>
      <c r="B3525" s="46" t="s">
        <v>8557</v>
      </c>
      <c r="C3525" s="46" t="s">
        <v>8736</v>
      </c>
      <c r="D3525" s="1018" t="s">
        <v>8930</v>
      </c>
      <c r="E3525" s="46" cm="1">
        <f t="array" ref="E3525">disascal_hih_child_mar_recruit</f>
        <v>0</v>
      </c>
      <c r="F3525" s="46" t="b">
        <v>1</v>
      </c>
    </row>
    <row r="3526" spans="1:6">
      <c r="A3526" s="46" t="s">
        <v>8737</v>
      </c>
      <c r="B3526" s="46" t="s">
        <v>8557</v>
      </c>
      <c r="C3526" s="46" t="s">
        <v>8737</v>
      </c>
      <c r="D3526" s="1018" t="s">
        <v>8931</v>
      </c>
      <c r="E3526" s="46" cm="1">
        <f t="array" ref="E3526">disascal_hih_child_apr_recruit</f>
        <v>0</v>
      </c>
      <c r="F3526" s="46" t="b">
        <v>1</v>
      </c>
    </row>
    <row r="3527" spans="1:6">
      <c r="A3527" s="46" t="s">
        <v>8738</v>
      </c>
      <c r="B3527" s="46" t="s">
        <v>8557</v>
      </c>
      <c r="C3527" s="46" t="s">
        <v>8738</v>
      </c>
      <c r="D3527" s="1018" t="s">
        <v>8932</v>
      </c>
      <c r="E3527" s="46" cm="1">
        <f t="array" ref="E3527">disascal_hih_child_may_recruit</f>
        <v>0</v>
      </c>
      <c r="F3527" s="46" t="b">
        <v>1</v>
      </c>
    </row>
    <row r="3528" spans="1:6">
      <c r="A3528" s="46" t="s">
        <v>8739</v>
      </c>
      <c r="B3528" s="46" t="s">
        <v>8557</v>
      </c>
      <c r="C3528" s="46" t="s">
        <v>8739</v>
      </c>
      <c r="D3528" s="1018" t="s">
        <v>8933</v>
      </c>
      <c r="E3528" s="46" cm="1">
        <f t="array" ref="E3528">disascal_hih_child_jun_sexual</f>
        <v>0</v>
      </c>
      <c r="F3528" s="46" t="b">
        <v>1</v>
      </c>
    </row>
    <row r="3529" spans="1:6">
      <c r="A3529" s="46" t="s">
        <v>8740</v>
      </c>
      <c r="B3529" s="46" t="s">
        <v>8557</v>
      </c>
      <c r="C3529" s="46" t="s">
        <v>8740</v>
      </c>
      <c r="D3529" s="1018" t="s">
        <v>8934</v>
      </c>
      <c r="E3529" s="46" cm="1">
        <f t="array" ref="E3529">disascal_hih_child_jul_sexual</f>
        <v>0</v>
      </c>
      <c r="F3529" s="46" t="b">
        <v>1</v>
      </c>
    </row>
    <row r="3530" spans="1:6">
      <c r="A3530" s="46" t="s">
        <v>8741</v>
      </c>
      <c r="B3530" s="46" t="s">
        <v>8557</v>
      </c>
      <c r="C3530" s="46" t="s">
        <v>8741</v>
      </c>
      <c r="D3530" s="1018" t="s">
        <v>8935</v>
      </c>
      <c r="E3530" s="46" cm="1">
        <f t="array" ref="E3530">disascal_hih_child_aug_sexual</f>
        <v>0</v>
      </c>
      <c r="F3530" s="46" t="b">
        <v>1</v>
      </c>
    </row>
    <row r="3531" spans="1:6">
      <c r="A3531" s="46" t="s">
        <v>8742</v>
      </c>
      <c r="B3531" s="46" t="s">
        <v>8557</v>
      </c>
      <c r="C3531" s="46" t="s">
        <v>8742</v>
      </c>
      <c r="D3531" s="1018" t="s">
        <v>8936</v>
      </c>
      <c r="E3531" s="46" cm="1">
        <f t="array" ref="E3531">disascal_hih_child_sep_sexual</f>
        <v>0</v>
      </c>
      <c r="F3531" s="46" t="b">
        <v>1</v>
      </c>
    </row>
    <row r="3532" spans="1:6">
      <c r="A3532" s="46" t="s">
        <v>8743</v>
      </c>
      <c r="B3532" s="46" t="s">
        <v>8557</v>
      </c>
      <c r="C3532" s="46" t="s">
        <v>8743</v>
      </c>
      <c r="D3532" s="1018" t="s">
        <v>8937</v>
      </c>
      <c r="E3532" s="46" cm="1">
        <f t="array" ref="E3532">disascal_hih_child_oct_sexual</f>
        <v>0</v>
      </c>
      <c r="F3532" s="46" t="b">
        <v>1</v>
      </c>
    </row>
    <row r="3533" spans="1:6">
      <c r="A3533" s="46" t="s">
        <v>8744</v>
      </c>
      <c r="B3533" s="46" t="s">
        <v>8557</v>
      </c>
      <c r="C3533" s="46" t="s">
        <v>8744</v>
      </c>
      <c r="D3533" s="1018" t="s">
        <v>8938</v>
      </c>
      <c r="E3533" s="46" cm="1">
        <f t="array" ref="E3533">disascal_hih_child_nov_sexual</f>
        <v>0</v>
      </c>
      <c r="F3533" s="46" t="b">
        <v>1</v>
      </c>
    </row>
    <row r="3534" spans="1:6">
      <c r="A3534" s="46" t="s">
        <v>8745</v>
      </c>
      <c r="B3534" s="46" t="s">
        <v>8557</v>
      </c>
      <c r="C3534" s="46" t="s">
        <v>8745</v>
      </c>
      <c r="D3534" s="1018" t="s">
        <v>8939</v>
      </c>
      <c r="E3534" s="46" cm="1">
        <f t="array" ref="E3534">disascal_hih_child_dec_sexual</f>
        <v>0</v>
      </c>
      <c r="F3534" s="46" t="b">
        <v>1</v>
      </c>
    </row>
    <row r="3535" spans="1:6">
      <c r="A3535" s="46" t="s">
        <v>8746</v>
      </c>
      <c r="B3535" s="46" t="s">
        <v>8557</v>
      </c>
      <c r="C3535" s="46" t="s">
        <v>8746</v>
      </c>
      <c r="D3535" s="1018" t="s">
        <v>8940</v>
      </c>
      <c r="E3535" s="46" cm="1">
        <f t="array" ref="E3535">disascal_hih_child_jan_sexual</f>
        <v>0</v>
      </c>
      <c r="F3535" s="46" t="b">
        <v>1</v>
      </c>
    </row>
    <row r="3536" spans="1:6">
      <c r="A3536" s="46" t="s">
        <v>8747</v>
      </c>
      <c r="B3536" s="46" t="s">
        <v>8557</v>
      </c>
      <c r="C3536" s="46" t="s">
        <v>8747</v>
      </c>
      <c r="D3536" s="1018" t="s">
        <v>8941</v>
      </c>
      <c r="E3536" s="46" cm="1">
        <f t="array" ref="E3536">disascal_hih_child_feb_sexual</f>
        <v>0</v>
      </c>
      <c r="F3536" s="46" t="b">
        <v>1</v>
      </c>
    </row>
    <row r="3537" spans="1:8">
      <c r="A3537" s="46" t="s">
        <v>8748</v>
      </c>
      <c r="B3537" s="46" t="s">
        <v>8557</v>
      </c>
      <c r="C3537" s="46" t="s">
        <v>8748</v>
      </c>
      <c r="D3537" s="1018" t="s">
        <v>8942</v>
      </c>
      <c r="E3537" s="46" cm="1">
        <f t="array" ref="E3537">disascal_hih_child_mar_sexual</f>
        <v>0</v>
      </c>
      <c r="F3537" s="46" t="b">
        <v>1</v>
      </c>
    </row>
    <row r="3538" spans="1:8">
      <c r="A3538" s="46" t="s">
        <v>8749</v>
      </c>
      <c r="B3538" s="46" t="s">
        <v>8557</v>
      </c>
      <c r="C3538" s="46" t="s">
        <v>8749</v>
      </c>
      <c r="D3538" s="1018" t="s">
        <v>8943</v>
      </c>
      <c r="E3538" s="46" cm="1">
        <f t="array" ref="E3538">disascal_hih_child_apr_sexual</f>
        <v>0</v>
      </c>
      <c r="F3538" s="46" t="b">
        <v>1</v>
      </c>
    </row>
    <row r="3539" spans="1:8" ht="16.5" thickBot="1">
      <c r="A3539" s="479" t="s">
        <v>8750</v>
      </c>
      <c r="B3539" s="479" t="s">
        <v>8557</v>
      </c>
      <c r="C3539" s="479" t="s">
        <v>8750</v>
      </c>
      <c r="D3539" s="1019" t="s">
        <v>8944</v>
      </c>
      <c r="E3539" s="479" cm="1">
        <f t="array" ref="E3539">disascal_hih_child_may_sexual</f>
        <v>0</v>
      </c>
      <c r="F3539" s="479" t="b">
        <v>1</v>
      </c>
      <c r="G3539" s="479"/>
      <c r="H3539" s="479"/>
    </row>
    <row r="3540" spans="1:8" ht="16.5" thickTop="1">
      <c r="A3540" s="46" t="s">
        <v>8945</v>
      </c>
      <c r="B3540" s="46" t="s">
        <v>8946</v>
      </c>
      <c r="C3540" s="46" t="s">
        <v>8945</v>
      </c>
      <c r="D3540" s="1018" t="s">
        <v>9006</v>
      </c>
      <c r="E3540" s="46" cm="1">
        <f t="array" ref="E3540">result_disasinci_jun_num_cls</f>
        <v>0</v>
      </c>
      <c r="F3540" s="46" t="b">
        <v>1</v>
      </c>
    </row>
    <row r="3541" spans="1:8">
      <c r="A3541" s="46" t="s">
        <v>8947</v>
      </c>
      <c r="B3541" s="46" t="s">
        <v>8946</v>
      </c>
      <c r="C3541" s="46" t="s">
        <v>8947</v>
      </c>
      <c r="D3541" s="1018" t="s">
        <v>9007</v>
      </c>
      <c r="E3541" s="46" cm="1">
        <f t="array" ref="E3541">result_disasinci_jul_num_cls</f>
        <v>0</v>
      </c>
      <c r="F3541" s="46" t="b">
        <v>1</v>
      </c>
    </row>
    <row r="3542" spans="1:8">
      <c r="A3542" s="46" t="s">
        <v>8948</v>
      </c>
      <c r="B3542" s="46" t="s">
        <v>8946</v>
      </c>
      <c r="C3542" s="46" t="s">
        <v>8948</v>
      </c>
      <c r="D3542" s="1018" t="s">
        <v>9008</v>
      </c>
      <c r="E3542" s="46" cm="1">
        <f t="array" ref="E3542">result_disasinci_aug_num_cls</f>
        <v>0</v>
      </c>
      <c r="F3542" s="46" t="b">
        <v>1</v>
      </c>
    </row>
    <row r="3543" spans="1:8">
      <c r="A3543" s="46" t="s">
        <v>8949</v>
      </c>
      <c r="B3543" s="46" t="s">
        <v>8946</v>
      </c>
      <c r="C3543" s="46" t="s">
        <v>8949</v>
      </c>
      <c r="D3543" s="1018" t="s">
        <v>9009</v>
      </c>
      <c r="E3543" s="46" cm="1">
        <f t="array" ref="E3543">result_disasinci_sep_num_cls</f>
        <v>0</v>
      </c>
      <c r="F3543" s="46" t="b">
        <v>1</v>
      </c>
    </row>
    <row r="3544" spans="1:8">
      <c r="A3544" s="46" t="s">
        <v>8950</v>
      </c>
      <c r="B3544" s="46" t="s">
        <v>8946</v>
      </c>
      <c r="C3544" s="46" t="s">
        <v>8950</v>
      </c>
      <c r="D3544" s="1018" t="s">
        <v>9010</v>
      </c>
      <c r="E3544" s="46" cm="1">
        <f t="array" ref="E3544">result_disasinci_oct_num_cls</f>
        <v>0</v>
      </c>
      <c r="F3544" s="46" t="b">
        <v>1</v>
      </c>
    </row>
    <row r="3545" spans="1:8">
      <c r="A3545" s="46" t="s">
        <v>8951</v>
      </c>
      <c r="B3545" s="46" t="s">
        <v>8946</v>
      </c>
      <c r="C3545" s="46" t="s">
        <v>8951</v>
      </c>
      <c r="D3545" s="1018" t="s">
        <v>9011</v>
      </c>
      <c r="E3545" s="46" cm="1">
        <f t="array" ref="E3545">result_disasinci_nov_num_cls</f>
        <v>0</v>
      </c>
      <c r="F3545" s="46" t="b">
        <v>1</v>
      </c>
    </row>
    <row r="3546" spans="1:8">
      <c r="A3546" s="46" t="s">
        <v>8952</v>
      </c>
      <c r="B3546" s="46" t="s">
        <v>8946</v>
      </c>
      <c r="C3546" s="46" t="s">
        <v>8952</v>
      </c>
      <c r="D3546" s="1018" t="s">
        <v>9012</v>
      </c>
      <c r="E3546" s="46" cm="1">
        <f t="array" ref="E3546">result_disasinci_dec_num_cls</f>
        <v>0</v>
      </c>
      <c r="F3546" s="46" t="b">
        <v>1</v>
      </c>
    </row>
    <row r="3547" spans="1:8">
      <c r="A3547" s="46" t="s">
        <v>8953</v>
      </c>
      <c r="B3547" s="46" t="s">
        <v>8946</v>
      </c>
      <c r="C3547" s="46" t="s">
        <v>8953</v>
      </c>
      <c r="D3547" s="1018" t="s">
        <v>9013</v>
      </c>
      <c r="E3547" s="46" cm="1">
        <f t="array" ref="E3547">result_disasinci_jan_num_cls</f>
        <v>0</v>
      </c>
      <c r="F3547" s="46" t="b">
        <v>1</v>
      </c>
    </row>
    <row r="3548" spans="1:8">
      <c r="A3548" s="46" t="s">
        <v>8954</v>
      </c>
      <c r="B3548" s="46" t="s">
        <v>8946</v>
      </c>
      <c r="C3548" s="46" t="s">
        <v>8954</v>
      </c>
      <c r="D3548" s="1018" t="s">
        <v>9014</v>
      </c>
      <c r="E3548" s="46" cm="1">
        <f t="array" ref="E3548">result_disasinci_feb_num_cls</f>
        <v>0</v>
      </c>
      <c r="F3548" s="46" t="b">
        <v>1</v>
      </c>
    </row>
    <row r="3549" spans="1:8">
      <c r="A3549" s="46" t="s">
        <v>8955</v>
      </c>
      <c r="B3549" s="46" t="s">
        <v>8946</v>
      </c>
      <c r="C3549" s="46" t="s">
        <v>8955</v>
      </c>
      <c r="D3549" s="1018" t="s">
        <v>9015</v>
      </c>
      <c r="E3549" s="46" cm="1">
        <f t="array" ref="E3549">result_disasinci_mar_num_cls</f>
        <v>0</v>
      </c>
      <c r="F3549" s="46" t="b">
        <v>1</v>
      </c>
    </row>
    <row r="3550" spans="1:8">
      <c r="A3550" s="46" t="s">
        <v>8956</v>
      </c>
      <c r="B3550" s="46" t="s">
        <v>8946</v>
      </c>
      <c r="C3550" s="46" t="s">
        <v>8956</v>
      </c>
      <c r="D3550" s="1018" t="s">
        <v>9016</v>
      </c>
      <c r="E3550" s="46" cm="1">
        <f t="array" ref="E3550">result_disasinci_apr_num_cls</f>
        <v>0</v>
      </c>
      <c r="F3550" s="46" t="b">
        <v>1</v>
      </c>
    </row>
    <row r="3551" spans="1:8">
      <c r="A3551" s="46" t="s">
        <v>8957</v>
      </c>
      <c r="B3551" s="46" t="s">
        <v>8946</v>
      </c>
      <c r="C3551" s="46" t="s">
        <v>8957</v>
      </c>
      <c r="D3551" s="1018" t="s">
        <v>9017</v>
      </c>
      <c r="E3551" s="46" cm="1">
        <f t="array" ref="E3551">result_disasinci_may_num_cls</f>
        <v>0</v>
      </c>
      <c r="F3551" s="46" t="b">
        <v>1</v>
      </c>
    </row>
    <row r="3552" spans="1:8">
      <c r="A3552" s="46" t="s">
        <v>8958</v>
      </c>
      <c r="B3552" s="46" t="s">
        <v>8946</v>
      </c>
      <c r="C3552" s="46" t="s">
        <v>8958</v>
      </c>
      <c r="D3552" s="1018" t="s">
        <v>9018</v>
      </c>
      <c r="E3552" s="46" cm="1">
        <f t="array" ref="E3552">result_disasinci_jun_num_days</f>
        <v>0</v>
      </c>
      <c r="F3552" s="46" t="b">
        <v>1</v>
      </c>
    </row>
    <row r="3553" spans="1:6">
      <c r="A3553" s="46" t="s">
        <v>8959</v>
      </c>
      <c r="B3553" s="46" t="s">
        <v>8946</v>
      </c>
      <c r="C3553" s="46" t="s">
        <v>8959</v>
      </c>
      <c r="D3553" s="1018" t="s">
        <v>9019</v>
      </c>
      <c r="E3553" s="46" cm="1">
        <f t="array" ref="E3553">result_disasinci_jul_num_days</f>
        <v>0</v>
      </c>
      <c r="F3553" s="46" t="b">
        <v>1</v>
      </c>
    </row>
    <row r="3554" spans="1:6">
      <c r="A3554" s="46" t="s">
        <v>8960</v>
      </c>
      <c r="B3554" s="46" t="s">
        <v>8946</v>
      </c>
      <c r="C3554" s="46" t="s">
        <v>8960</v>
      </c>
      <c r="D3554" s="1018" t="s">
        <v>9020</v>
      </c>
      <c r="E3554" s="46" cm="1">
        <f t="array" ref="E3554">result_disasinci_aug_num_days</f>
        <v>0</v>
      </c>
      <c r="F3554" s="46" t="b">
        <v>1</v>
      </c>
    </row>
    <row r="3555" spans="1:6">
      <c r="A3555" s="46" t="s">
        <v>8961</v>
      </c>
      <c r="B3555" s="46" t="s">
        <v>8946</v>
      </c>
      <c r="C3555" s="46" t="s">
        <v>8961</v>
      </c>
      <c r="D3555" s="1018" t="s">
        <v>9021</v>
      </c>
      <c r="E3555" s="46" cm="1">
        <f t="array" ref="E3555">result_disasinci_sep_num_days</f>
        <v>0</v>
      </c>
      <c r="F3555" s="46" t="b">
        <v>1</v>
      </c>
    </row>
    <row r="3556" spans="1:6">
      <c r="A3556" s="46" t="s">
        <v>8962</v>
      </c>
      <c r="B3556" s="46" t="s">
        <v>8946</v>
      </c>
      <c r="C3556" s="46" t="s">
        <v>8962</v>
      </c>
      <c r="D3556" s="1018" t="s">
        <v>9022</v>
      </c>
      <c r="E3556" s="46" cm="1">
        <f t="array" ref="E3556">result_disasinci_oct_num_days</f>
        <v>0</v>
      </c>
      <c r="F3556" s="46" t="b">
        <v>1</v>
      </c>
    </row>
    <row r="3557" spans="1:6">
      <c r="A3557" s="46" t="s">
        <v>8963</v>
      </c>
      <c r="B3557" s="46" t="s">
        <v>8946</v>
      </c>
      <c r="C3557" s="46" t="s">
        <v>8963</v>
      </c>
      <c r="D3557" s="1018" t="s">
        <v>9023</v>
      </c>
      <c r="E3557" s="46" cm="1">
        <f t="array" ref="E3557">result_disasinci_nov_num_days</f>
        <v>0</v>
      </c>
      <c r="F3557" s="46" t="b">
        <v>1</v>
      </c>
    </row>
    <row r="3558" spans="1:6">
      <c r="A3558" s="46" t="s">
        <v>8964</v>
      </c>
      <c r="B3558" s="46" t="s">
        <v>8946</v>
      </c>
      <c r="C3558" s="46" t="s">
        <v>8964</v>
      </c>
      <c r="D3558" s="1018" t="s">
        <v>9024</v>
      </c>
      <c r="E3558" s="46" cm="1">
        <f t="array" ref="E3558">result_disasinci_dec_num_days</f>
        <v>0</v>
      </c>
      <c r="F3558" s="46" t="b">
        <v>1</v>
      </c>
    </row>
    <row r="3559" spans="1:6">
      <c r="A3559" s="46" t="s">
        <v>8965</v>
      </c>
      <c r="B3559" s="46" t="s">
        <v>8946</v>
      </c>
      <c r="C3559" s="46" t="s">
        <v>8965</v>
      </c>
      <c r="D3559" s="1018" t="s">
        <v>9025</v>
      </c>
      <c r="E3559" s="46" cm="1">
        <f t="array" ref="E3559">result_disasinci_jan_num_days</f>
        <v>0</v>
      </c>
      <c r="F3559" s="46" t="b">
        <v>1</v>
      </c>
    </row>
    <row r="3560" spans="1:6">
      <c r="A3560" s="46" t="s">
        <v>8966</v>
      </c>
      <c r="B3560" s="46" t="s">
        <v>8946</v>
      </c>
      <c r="C3560" s="46" t="s">
        <v>8966</v>
      </c>
      <c r="D3560" s="1018" t="s">
        <v>9026</v>
      </c>
      <c r="E3560" s="46" cm="1">
        <f t="array" ref="E3560">result_disasinci_feb_num_days</f>
        <v>0</v>
      </c>
      <c r="F3560" s="46" t="b">
        <v>1</v>
      </c>
    </row>
    <row r="3561" spans="1:6">
      <c r="A3561" s="46" t="s">
        <v>8967</v>
      </c>
      <c r="B3561" s="46" t="s">
        <v>8946</v>
      </c>
      <c r="C3561" s="46" t="s">
        <v>8967</v>
      </c>
      <c r="D3561" s="1018" t="s">
        <v>9027</v>
      </c>
      <c r="E3561" s="46" cm="1">
        <f t="array" ref="E3561">result_disasinci_mar_num_days</f>
        <v>0</v>
      </c>
      <c r="F3561" s="46" t="b">
        <v>1</v>
      </c>
    </row>
    <row r="3562" spans="1:6">
      <c r="A3562" s="46" t="s">
        <v>8968</v>
      </c>
      <c r="B3562" s="46" t="s">
        <v>8946</v>
      </c>
      <c r="C3562" s="46" t="s">
        <v>8968</v>
      </c>
      <c r="D3562" s="1018" t="s">
        <v>9028</v>
      </c>
      <c r="E3562" s="46" cm="1">
        <f t="array" ref="E3562">result_disasinci_apr_num_days</f>
        <v>0</v>
      </c>
      <c r="F3562" s="46" t="b">
        <v>1</v>
      </c>
    </row>
    <row r="3563" spans="1:6">
      <c r="A3563" s="46" t="s">
        <v>8969</v>
      </c>
      <c r="B3563" s="46" t="s">
        <v>8946</v>
      </c>
      <c r="C3563" s="46" t="s">
        <v>8969</v>
      </c>
      <c r="D3563" s="1018" t="s">
        <v>9029</v>
      </c>
      <c r="E3563" s="46" cm="1">
        <f t="array" ref="E3563">result_disasinci_may_num_days</f>
        <v>0</v>
      </c>
      <c r="F3563" s="46" t="b">
        <v>1</v>
      </c>
    </row>
    <row r="3564" spans="1:6">
      <c r="A3564" s="46" t="s">
        <v>8970</v>
      </c>
      <c r="B3564" s="46" t="s">
        <v>8946</v>
      </c>
      <c r="C3564" s="46" t="s">
        <v>8970</v>
      </c>
      <c r="D3564" s="1018" t="s">
        <v>9030</v>
      </c>
      <c r="E3564" s="46" cm="1">
        <f t="array" ref="E3564">result_disasinci_nh_jun_num_suspend</f>
        <v>0</v>
      </c>
      <c r="F3564" s="46" t="b">
        <v>1</v>
      </c>
    </row>
    <row r="3565" spans="1:6">
      <c r="A3565" s="46" t="s">
        <v>8971</v>
      </c>
      <c r="B3565" s="46" t="s">
        <v>8946</v>
      </c>
      <c r="C3565" s="46" t="s">
        <v>8971</v>
      </c>
      <c r="D3565" s="1018" t="s">
        <v>9031</v>
      </c>
      <c r="E3565" s="46" cm="1">
        <f t="array" ref="E3565">result_disasinci_nh_jul_num_suspend</f>
        <v>0</v>
      </c>
      <c r="F3565" s="46" t="b">
        <v>1</v>
      </c>
    </row>
    <row r="3566" spans="1:6">
      <c r="A3566" s="46" t="s">
        <v>8972</v>
      </c>
      <c r="B3566" s="46" t="s">
        <v>8946</v>
      </c>
      <c r="C3566" s="46" t="s">
        <v>8972</v>
      </c>
      <c r="D3566" s="1018" t="s">
        <v>9032</v>
      </c>
      <c r="E3566" s="46" cm="1">
        <f t="array" ref="E3566">result_disasinci_nh_aug_num_suspend</f>
        <v>0</v>
      </c>
      <c r="F3566" s="46" t="b">
        <v>1</v>
      </c>
    </row>
    <row r="3567" spans="1:6">
      <c r="A3567" s="46" t="s">
        <v>8973</v>
      </c>
      <c r="B3567" s="46" t="s">
        <v>8946</v>
      </c>
      <c r="C3567" s="46" t="s">
        <v>8973</v>
      </c>
      <c r="D3567" s="1018" t="s">
        <v>9033</v>
      </c>
      <c r="E3567" s="46" cm="1">
        <f t="array" ref="E3567">result_disasinci_nh_sep_num_suspend</f>
        <v>0</v>
      </c>
      <c r="F3567" s="46" t="b">
        <v>1</v>
      </c>
    </row>
    <row r="3568" spans="1:6">
      <c r="A3568" s="46" t="s">
        <v>8974</v>
      </c>
      <c r="B3568" s="46" t="s">
        <v>8946</v>
      </c>
      <c r="C3568" s="46" t="s">
        <v>8974</v>
      </c>
      <c r="D3568" s="1018" t="s">
        <v>9034</v>
      </c>
      <c r="E3568" s="46" cm="1">
        <f t="array" ref="E3568">result_disasinci_nh_oct_num_suspend</f>
        <v>0</v>
      </c>
      <c r="F3568" s="46" t="b">
        <v>1</v>
      </c>
    </row>
    <row r="3569" spans="1:6">
      <c r="A3569" s="46" t="s">
        <v>8975</v>
      </c>
      <c r="B3569" s="46" t="s">
        <v>8946</v>
      </c>
      <c r="C3569" s="46" t="s">
        <v>8975</v>
      </c>
      <c r="D3569" s="1018" t="s">
        <v>9035</v>
      </c>
      <c r="E3569" s="46" cm="1">
        <f t="array" ref="E3569">result_disasinci_nh_nov_num_suspend</f>
        <v>0</v>
      </c>
      <c r="F3569" s="46" t="b">
        <v>1</v>
      </c>
    </row>
    <row r="3570" spans="1:6">
      <c r="A3570" s="46" t="s">
        <v>8976</v>
      </c>
      <c r="B3570" s="46" t="s">
        <v>8946</v>
      </c>
      <c r="C3570" s="46" t="s">
        <v>8976</v>
      </c>
      <c r="D3570" s="1018" t="s">
        <v>9036</v>
      </c>
      <c r="E3570" s="46" cm="1">
        <f t="array" ref="E3570">result_disasinci_nh_dec_num_suspend</f>
        <v>1</v>
      </c>
      <c r="F3570" s="46" t="b">
        <v>1</v>
      </c>
    </row>
    <row r="3571" spans="1:6">
      <c r="A3571" s="46" t="s">
        <v>8977</v>
      </c>
      <c r="B3571" s="46" t="s">
        <v>8946</v>
      </c>
      <c r="C3571" s="46" t="s">
        <v>8977</v>
      </c>
      <c r="D3571" s="1018" t="s">
        <v>9037</v>
      </c>
      <c r="E3571" s="46" cm="1">
        <f t="array" ref="E3571">result_disasinci_nh_jan_num_suspend</f>
        <v>0</v>
      </c>
      <c r="F3571" s="46" t="b">
        <v>1</v>
      </c>
    </row>
    <row r="3572" spans="1:6">
      <c r="A3572" s="46" t="s">
        <v>8978</v>
      </c>
      <c r="B3572" s="46" t="s">
        <v>8946</v>
      </c>
      <c r="C3572" s="46" t="s">
        <v>8978</v>
      </c>
      <c r="D3572" s="1018" t="s">
        <v>9038</v>
      </c>
      <c r="E3572" s="46" cm="1">
        <f t="array" ref="E3572">result_disasinci_nh_feb_num_suspend</f>
        <v>0</v>
      </c>
      <c r="F3572" s="46" t="b">
        <v>1</v>
      </c>
    </row>
    <row r="3573" spans="1:6">
      <c r="A3573" s="46" t="s">
        <v>8979</v>
      </c>
      <c r="B3573" s="46" t="s">
        <v>8946</v>
      </c>
      <c r="C3573" s="46" t="s">
        <v>8979</v>
      </c>
      <c r="D3573" s="1018" t="s">
        <v>9039</v>
      </c>
      <c r="E3573" s="46" cm="1">
        <f t="array" ref="E3573">result_disasinci_nh_mar_num_suspend</f>
        <v>0</v>
      </c>
      <c r="F3573" s="46" t="b">
        <v>1</v>
      </c>
    </row>
    <row r="3574" spans="1:6">
      <c r="A3574" s="46" t="s">
        <v>8980</v>
      </c>
      <c r="B3574" s="46" t="s">
        <v>8946</v>
      </c>
      <c r="C3574" s="46" t="s">
        <v>8980</v>
      </c>
      <c r="D3574" s="1018" t="s">
        <v>9040</v>
      </c>
      <c r="E3574" s="46" cm="1">
        <f t="array" ref="E3574">result_disasinci_nh_apr_num_suspend</f>
        <v>0</v>
      </c>
      <c r="F3574" s="46" t="b">
        <v>1</v>
      </c>
    </row>
    <row r="3575" spans="1:6">
      <c r="A3575" s="46" t="s">
        <v>8981</v>
      </c>
      <c r="B3575" s="46" t="s">
        <v>8946</v>
      </c>
      <c r="C3575" s="46" t="s">
        <v>8981</v>
      </c>
      <c r="D3575" s="1018" t="s">
        <v>9041</v>
      </c>
      <c r="E3575" s="46" cm="1">
        <f t="array" ref="E3575">result_disasinci_nh_may_num_suspend</f>
        <v>0</v>
      </c>
      <c r="F3575" s="46" t="b">
        <v>1</v>
      </c>
    </row>
    <row r="3576" spans="1:6">
      <c r="A3576" s="46" t="s">
        <v>8982</v>
      </c>
      <c r="B3576" s="46" t="s">
        <v>8946</v>
      </c>
      <c r="C3576" s="46" t="s">
        <v>8982</v>
      </c>
      <c r="D3576" s="1018" t="s">
        <v>9042</v>
      </c>
      <c r="E3576" s="46" cm="1">
        <f t="array" ref="E3576">result_disasinci_hih_jun_num_suspend</f>
        <v>0</v>
      </c>
      <c r="F3576" s="46" t="b">
        <v>1</v>
      </c>
    </row>
    <row r="3577" spans="1:6">
      <c r="A3577" s="46" t="s">
        <v>8983</v>
      </c>
      <c r="B3577" s="46" t="s">
        <v>8946</v>
      </c>
      <c r="C3577" s="46" t="s">
        <v>8983</v>
      </c>
      <c r="D3577" s="1018" t="s">
        <v>9043</v>
      </c>
      <c r="E3577" s="46" cm="1">
        <f t="array" ref="E3577">result_disasinci_hih_jul_num_suspend</f>
        <v>0</v>
      </c>
      <c r="F3577" s="46" t="b">
        <v>1</v>
      </c>
    </row>
    <row r="3578" spans="1:6">
      <c r="A3578" s="46" t="s">
        <v>8984</v>
      </c>
      <c r="B3578" s="46" t="s">
        <v>8946</v>
      </c>
      <c r="C3578" s="46" t="s">
        <v>8984</v>
      </c>
      <c r="D3578" s="1018" t="s">
        <v>9044</v>
      </c>
      <c r="E3578" s="46" cm="1">
        <f t="array" ref="E3578">result_disasinci_hih_aug_num_suspend</f>
        <v>0</v>
      </c>
      <c r="F3578" s="46" t="b">
        <v>1</v>
      </c>
    </row>
    <row r="3579" spans="1:6">
      <c r="A3579" s="46" t="s">
        <v>8985</v>
      </c>
      <c r="B3579" s="46" t="s">
        <v>8946</v>
      </c>
      <c r="C3579" s="46" t="s">
        <v>8985</v>
      </c>
      <c r="D3579" s="1018" t="s">
        <v>9045</v>
      </c>
      <c r="E3579" s="46" cm="1">
        <f t="array" ref="E3579">result_disasinci_hih_sep_num_suspend</f>
        <v>0</v>
      </c>
      <c r="F3579" s="46" t="b">
        <v>1</v>
      </c>
    </row>
    <row r="3580" spans="1:6">
      <c r="A3580" s="46" t="s">
        <v>8986</v>
      </c>
      <c r="B3580" s="46" t="s">
        <v>8946</v>
      </c>
      <c r="C3580" s="46" t="s">
        <v>8986</v>
      </c>
      <c r="D3580" s="1018" t="s">
        <v>9046</v>
      </c>
      <c r="E3580" s="46" cm="1">
        <f t="array" ref="E3580">result_disasinci_hih_oct_num_suspend</f>
        <v>0</v>
      </c>
      <c r="F3580" s="46" t="b">
        <v>1</v>
      </c>
    </row>
    <row r="3581" spans="1:6">
      <c r="A3581" s="46" t="s">
        <v>8987</v>
      </c>
      <c r="B3581" s="46" t="s">
        <v>8946</v>
      </c>
      <c r="C3581" s="46" t="s">
        <v>8987</v>
      </c>
      <c r="D3581" s="1018" t="s">
        <v>9047</v>
      </c>
      <c r="E3581" s="46" cm="1">
        <f t="array" ref="E3581">result_disasinci_hih_nov_num_suspend</f>
        <v>0</v>
      </c>
      <c r="F3581" s="46" t="b">
        <v>1</v>
      </c>
    </row>
    <row r="3582" spans="1:6">
      <c r="A3582" s="46" t="s">
        <v>8988</v>
      </c>
      <c r="B3582" s="46" t="s">
        <v>8946</v>
      </c>
      <c r="C3582" s="46" t="s">
        <v>8988</v>
      </c>
      <c r="D3582" s="1018" t="s">
        <v>9048</v>
      </c>
      <c r="E3582" s="46" cm="1">
        <f t="array" ref="E3582">result_disasinci_hih_dec_num_suspend</f>
        <v>0</v>
      </c>
      <c r="F3582" s="46" t="b">
        <v>1</v>
      </c>
    </row>
    <row r="3583" spans="1:6">
      <c r="A3583" s="46" t="s">
        <v>8989</v>
      </c>
      <c r="B3583" s="46" t="s">
        <v>8946</v>
      </c>
      <c r="C3583" s="46" t="s">
        <v>8989</v>
      </c>
      <c r="D3583" s="1018" t="s">
        <v>9049</v>
      </c>
      <c r="E3583" s="46" cm="1">
        <f t="array" ref="E3583">result_disasinci_hih_jan_num_suspend</f>
        <v>0</v>
      </c>
      <c r="F3583" s="46" t="b">
        <v>1</v>
      </c>
    </row>
    <row r="3584" spans="1:6">
      <c r="A3584" s="46" t="s">
        <v>8990</v>
      </c>
      <c r="B3584" s="46" t="s">
        <v>8946</v>
      </c>
      <c r="C3584" s="46" t="s">
        <v>8990</v>
      </c>
      <c r="D3584" s="1018" t="s">
        <v>9050</v>
      </c>
      <c r="E3584" s="46" cm="1">
        <f t="array" ref="E3584">result_disasinci_hih_feb_num_suspend</f>
        <v>0</v>
      </c>
      <c r="F3584" s="46" t="b">
        <v>1</v>
      </c>
    </row>
    <row r="3585" spans="1:8">
      <c r="A3585" s="46" t="s">
        <v>8991</v>
      </c>
      <c r="B3585" s="46" t="s">
        <v>8946</v>
      </c>
      <c r="C3585" s="46" t="s">
        <v>8991</v>
      </c>
      <c r="D3585" s="1018" t="s">
        <v>9051</v>
      </c>
      <c r="E3585" s="46" cm="1">
        <f t="array" ref="E3585">result_disasinci_hih_mar_num_suspend</f>
        <v>0</v>
      </c>
      <c r="F3585" s="46" t="b">
        <v>1</v>
      </c>
    </row>
    <row r="3586" spans="1:8">
      <c r="A3586" s="46" t="s">
        <v>8992</v>
      </c>
      <c r="B3586" s="46" t="s">
        <v>8946</v>
      </c>
      <c r="C3586" s="46" t="s">
        <v>8992</v>
      </c>
      <c r="D3586" s="1018" t="s">
        <v>9052</v>
      </c>
      <c r="E3586" s="46" cm="1">
        <f t="array" ref="E3586">result_disasinci_hih_apr_num_suspend</f>
        <v>0</v>
      </c>
      <c r="F3586" s="46" t="b">
        <v>1</v>
      </c>
    </row>
    <row r="3587" spans="1:8">
      <c r="A3587" s="46" t="s">
        <v>8993</v>
      </c>
      <c r="B3587" s="46" t="s">
        <v>8946</v>
      </c>
      <c r="C3587" s="46" t="s">
        <v>8993</v>
      </c>
      <c r="D3587" s="1018" t="s">
        <v>9053</v>
      </c>
      <c r="E3587" s="46" cm="1">
        <f t="array" ref="E3587">result_disasinci_hih_may_num_suspend</f>
        <v>0</v>
      </c>
      <c r="F3587" s="46" t="b">
        <v>1</v>
      </c>
    </row>
    <row r="3588" spans="1:8">
      <c r="A3588" s="46" t="s">
        <v>8994</v>
      </c>
      <c r="B3588" s="46" t="s">
        <v>8946</v>
      </c>
      <c r="C3588" s="46" t="s">
        <v>8994</v>
      </c>
      <c r="D3588" s="1018" t="s">
        <v>9054</v>
      </c>
      <c r="E3588" s="46" cm="1">
        <f t="array" ref="E3588">result_disasinci_jun_num_arm_conflict</f>
        <v>0</v>
      </c>
      <c r="F3588" s="46" t="b">
        <v>1</v>
      </c>
    </row>
    <row r="3589" spans="1:8">
      <c r="A3589" s="46" t="s">
        <v>8995</v>
      </c>
      <c r="B3589" s="46" t="s">
        <v>8946</v>
      </c>
      <c r="C3589" s="46" t="s">
        <v>8995</v>
      </c>
      <c r="D3589" s="1018" t="s">
        <v>9055</v>
      </c>
      <c r="E3589" s="46" cm="1">
        <f t="array" ref="E3589">result_disasinci_jul_num_arm_conflict</f>
        <v>0</v>
      </c>
      <c r="F3589" s="46" t="b">
        <v>1</v>
      </c>
    </row>
    <row r="3590" spans="1:8">
      <c r="A3590" s="46" t="s">
        <v>8996</v>
      </c>
      <c r="B3590" s="46" t="s">
        <v>8946</v>
      </c>
      <c r="C3590" s="46" t="s">
        <v>8996</v>
      </c>
      <c r="D3590" s="1018" t="s">
        <v>9056</v>
      </c>
      <c r="E3590" s="46" cm="1">
        <f t="array" ref="E3590">result_disasinci_aug_num_arm_conflict</f>
        <v>0</v>
      </c>
      <c r="F3590" s="46" t="b">
        <v>1</v>
      </c>
    </row>
    <row r="3591" spans="1:8">
      <c r="A3591" s="46" t="s">
        <v>8997</v>
      </c>
      <c r="B3591" s="46" t="s">
        <v>8946</v>
      </c>
      <c r="C3591" s="46" t="s">
        <v>8997</v>
      </c>
      <c r="D3591" s="1018" t="s">
        <v>9057</v>
      </c>
      <c r="E3591" s="46" cm="1">
        <f t="array" ref="E3591">result_disasinci_sep_num_arm_conflict</f>
        <v>0</v>
      </c>
      <c r="F3591" s="46" t="b">
        <v>1</v>
      </c>
    </row>
    <row r="3592" spans="1:8">
      <c r="A3592" s="46" t="s">
        <v>8998</v>
      </c>
      <c r="B3592" s="46" t="s">
        <v>8946</v>
      </c>
      <c r="C3592" s="46" t="s">
        <v>8998</v>
      </c>
      <c r="D3592" s="1018" t="s">
        <v>9058</v>
      </c>
      <c r="E3592" s="46" cm="1">
        <f t="array" ref="E3592">result_disasinci_oct_num_arm_conflict</f>
        <v>0</v>
      </c>
      <c r="F3592" s="46" t="b">
        <v>1</v>
      </c>
    </row>
    <row r="3593" spans="1:8">
      <c r="A3593" s="46" t="s">
        <v>8999</v>
      </c>
      <c r="B3593" s="46" t="s">
        <v>8946</v>
      </c>
      <c r="C3593" s="46" t="s">
        <v>8999</v>
      </c>
      <c r="D3593" s="1018" t="s">
        <v>9059</v>
      </c>
      <c r="E3593" s="46" cm="1">
        <f t="array" ref="E3593">result_disasinci_nov_num_arm_conflict</f>
        <v>0</v>
      </c>
      <c r="F3593" s="46" t="b">
        <v>1</v>
      </c>
    </row>
    <row r="3594" spans="1:8">
      <c r="A3594" s="46" t="s">
        <v>9000</v>
      </c>
      <c r="B3594" s="46" t="s">
        <v>8946</v>
      </c>
      <c r="C3594" s="46" t="s">
        <v>9000</v>
      </c>
      <c r="D3594" s="1018" t="s">
        <v>9060</v>
      </c>
      <c r="E3594" s="46" cm="1">
        <f t="array" ref="E3594">result_disasinci_dec_num_arm_conflict</f>
        <v>0</v>
      </c>
      <c r="F3594" s="46" t="b">
        <v>1</v>
      </c>
    </row>
    <row r="3595" spans="1:8">
      <c r="A3595" s="46" t="s">
        <v>9001</v>
      </c>
      <c r="B3595" s="46" t="s">
        <v>8946</v>
      </c>
      <c r="C3595" s="46" t="s">
        <v>9001</v>
      </c>
      <c r="D3595" s="1018" t="s">
        <v>9061</v>
      </c>
      <c r="E3595" s="46" cm="1">
        <f t="array" ref="E3595">result_disasinci_jan_num_arm_conflict</f>
        <v>0</v>
      </c>
      <c r="F3595" s="46" t="b">
        <v>1</v>
      </c>
    </row>
    <row r="3596" spans="1:8">
      <c r="A3596" s="46" t="s">
        <v>9002</v>
      </c>
      <c r="B3596" s="46" t="s">
        <v>8946</v>
      </c>
      <c r="C3596" s="46" t="s">
        <v>9002</v>
      </c>
      <c r="D3596" s="1018" t="s">
        <v>9062</v>
      </c>
      <c r="E3596" s="46" cm="1">
        <f t="array" ref="E3596">result_disasinci_feb_num_arm_conflict</f>
        <v>0</v>
      </c>
      <c r="F3596" s="46" t="b">
        <v>1</v>
      </c>
    </row>
    <row r="3597" spans="1:8">
      <c r="A3597" s="46" t="s">
        <v>9003</v>
      </c>
      <c r="B3597" s="46" t="s">
        <v>8946</v>
      </c>
      <c r="C3597" s="46" t="s">
        <v>9003</v>
      </c>
      <c r="D3597" s="1018" t="s">
        <v>9063</v>
      </c>
      <c r="E3597" s="46" cm="1">
        <f t="array" ref="E3597">result_disasinci_mar_num_arm_conflict</f>
        <v>0</v>
      </c>
      <c r="F3597" s="46" t="b">
        <v>1</v>
      </c>
    </row>
    <row r="3598" spans="1:8">
      <c r="A3598" s="46" t="s">
        <v>9004</v>
      </c>
      <c r="B3598" s="46" t="s">
        <v>8946</v>
      </c>
      <c r="C3598" s="46" t="s">
        <v>9004</v>
      </c>
      <c r="D3598" s="1018" t="s">
        <v>9064</v>
      </c>
      <c r="E3598" s="46" cm="1">
        <f t="array" ref="E3598">result_disasinci_apr_num_arm_conflict</f>
        <v>0</v>
      </c>
      <c r="F3598" s="46" t="b">
        <v>1</v>
      </c>
    </row>
    <row r="3599" spans="1:8" ht="16.5" thickBot="1">
      <c r="A3599" s="479" t="s">
        <v>9005</v>
      </c>
      <c r="B3599" s="479" t="s">
        <v>8946</v>
      </c>
      <c r="C3599" s="479" t="s">
        <v>9005</v>
      </c>
      <c r="D3599" s="1019" t="s">
        <v>9065</v>
      </c>
      <c r="E3599" s="479" cm="1">
        <f t="array" ref="E3599">result_disasinci_may_num_arm_conflict</f>
        <v>0</v>
      </c>
      <c r="F3599" s="479" t="b">
        <v>1</v>
      </c>
      <c r="G3599" s="479"/>
      <c r="H3599" s="479"/>
    </row>
    <row r="3600" spans="1:8" ht="16.5" thickTop="1">
      <c r="A3600" s="1768" t="s">
        <v>9066</v>
      </c>
      <c r="B3600" s="1768" t="s">
        <v>9067</v>
      </c>
      <c r="C3600" s="1768" t="s">
        <v>9066</v>
      </c>
      <c r="D3600" s="1751" t="s">
        <v>9075</v>
      </c>
      <c r="E3600" s="1768" t="b" cm="1">
        <f t="array" ref="E3600">drrm_cca_policies_DO82_s2010</f>
        <v>0</v>
      </c>
      <c r="F3600" s="1696" t="b">
        <f t="shared" ref="F3600:F3615" si="33">OR(E3600=TRUE, E3600=FALSE)</f>
        <v>1</v>
      </c>
      <c r="G3600" s="46" t="s">
        <v>11265</v>
      </c>
    </row>
    <row r="3601" spans="1:7">
      <c r="A3601" s="1769" t="s">
        <v>9068</v>
      </c>
      <c r="B3601" s="1769" t="s">
        <v>9067</v>
      </c>
      <c r="C3601" s="1769" t="s">
        <v>9068</v>
      </c>
      <c r="D3601" s="1751" t="s">
        <v>9076</v>
      </c>
      <c r="E3601" s="1769" t="b" cm="1">
        <f t="array" ref="E3601">drrm_cca_policies_DO83_s2011</f>
        <v>1</v>
      </c>
      <c r="F3601" s="1696" t="b">
        <f t="shared" si="33"/>
        <v>1</v>
      </c>
      <c r="G3601" s="46" t="s">
        <v>11265</v>
      </c>
    </row>
    <row r="3602" spans="1:7">
      <c r="A3602" s="1769" t="s">
        <v>9069</v>
      </c>
      <c r="B3602" s="1769" t="s">
        <v>9067</v>
      </c>
      <c r="C3602" s="1769" t="s">
        <v>9069</v>
      </c>
      <c r="D3602" s="1751" t="s">
        <v>9077</v>
      </c>
      <c r="E3602" s="1769" t="b" cm="1">
        <f t="array" ref="E3602">drrm_cca_policies_DO43_s2012</f>
        <v>0</v>
      </c>
      <c r="F3602" s="1696" t="b">
        <f t="shared" si="33"/>
        <v>1</v>
      </c>
      <c r="G3602" s="46" t="s">
        <v>11265</v>
      </c>
    </row>
    <row r="3603" spans="1:7">
      <c r="A3603" s="1769" t="s">
        <v>9070</v>
      </c>
      <c r="B3603" s="1769" t="s">
        <v>9067</v>
      </c>
      <c r="C3603" s="1769" t="s">
        <v>9070</v>
      </c>
      <c r="D3603" s="1751" t="s">
        <v>9078</v>
      </c>
      <c r="E3603" s="1769" t="b" cm="1">
        <f t="array" ref="E3603">drrm_cca_policies_DO21_s2015</f>
        <v>0</v>
      </c>
      <c r="F3603" s="1696" t="b">
        <f t="shared" si="33"/>
        <v>1</v>
      </c>
      <c r="G3603" s="46" t="s">
        <v>11265</v>
      </c>
    </row>
    <row r="3604" spans="1:7">
      <c r="A3604" s="1769" t="s">
        <v>9071</v>
      </c>
      <c r="B3604" s="1769" t="s">
        <v>9067</v>
      </c>
      <c r="C3604" s="1769" t="s">
        <v>9071</v>
      </c>
      <c r="D3604" s="1751" t="s">
        <v>9079</v>
      </c>
      <c r="E3604" s="1769" t="b" cm="1">
        <f t="array" ref="E3604">drrm_cca_policies_DO23_s2015</f>
        <v>0</v>
      </c>
      <c r="F3604" s="1696" t="b">
        <f t="shared" si="33"/>
        <v>1</v>
      </c>
      <c r="G3604" s="46" t="s">
        <v>11265</v>
      </c>
    </row>
    <row r="3605" spans="1:7">
      <c r="A3605" s="1769" t="s">
        <v>9072</v>
      </c>
      <c r="B3605" s="1769" t="s">
        <v>9067</v>
      </c>
      <c r="C3605" s="1769" t="s">
        <v>9072</v>
      </c>
      <c r="D3605" s="1751" t="s">
        <v>9080</v>
      </c>
      <c r="E3605" s="1769" t="b" cm="1">
        <f t="array" ref="E3605">drrm_cca_policies_DO27_s2015</f>
        <v>0</v>
      </c>
      <c r="F3605" s="1696" t="b">
        <f t="shared" si="33"/>
        <v>1</v>
      </c>
      <c r="G3605" s="46" t="s">
        <v>11265</v>
      </c>
    </row>
    <row r="3606" spans="1:7">
      <c r="A3606" s="1769" t="s">
        <v>9073</v>
      </c>
      <c r="B3606" s="1769" t="s">
        <v>9067</v>
      </c>
      <c r="C3606" s="1769" t="s">
        <v>9073</v>
      </c>
      <c r="D3606" s="1751" t="s">
        <v>9081</v>
      </c>
      <c r="E3606" s="1769" t="b" cm="1">
        <f t="array" ref="E3606">drrm_cca_policies_DO37_s2015</f>
        <v>0</v>
      </c>
      <c r="F3606" s="1696" t="b">
        <f t="shared" si="33"/>
        <v>1</v>
      </c>
      <c r="G3606" s="46" t="s">
        <v>11265</v>
      </c>
    </row>
    <row r="3607" spans="1:7">
      <c r="A3607" s="1769" t="s">
        <v>9074</v>
      </c>
      <c r="B3607" s="1769" t="s">
        <v>9067</v>
      </c>
      <c r="C3607" s="1769" t="s">
        <v>9074</v>
      </c>
      <c r="D3607" s="1751" t="s">
        <v>9082</v>
      </c>
      <c r="E3607" s="1769" t="b" cm="1">
        <f t="array" ref="E3607">drrm_cca_policies_DO28_s2016</f>
        <v>0</v>
      </c>
      <c r="F3607" s="1696" t="b">
        <f t="shared" si="33"/>
        <v>1</v>
      </c>
      <c r="G3607" s="46" t="s">
        <v>11265</v>
      </c>
    </row>
    <row r="3608" spans="1:7">
      <c r="A3608" s="1769" t="s">
        <v>11336</v>
      </c>
      <c r="B3608" s="1769" t="s">
        <v>9067</v>
      </c>
      <c r="C3608" s="1769" t="s">
        <v>11336</v>
      </c>
      <c r="D3608" s="1751" t="s">
        <v>9083</v>
      </c>
      <c r="E3608" s="1769" t="b" cm="1">
        <f t="array" ref="E3608">drrm_cca_policies_DO24_s2021</f>
        <v>1</v>
      </c>
      <c r="F3608" s="1696" t="b">
        <f t="shared" si="33"/>
        <v>1</v>
      </c>
      <c r="G3608" s="46" t="s">
        <v>11265</v>
      </c>
    </row>
    <row r="3609" spans="1:7">
      <c r="A3609" s="1769" t="s">
        <v>11337</v>
      </c>
      <c r="B3609" s="1769" t="s">
        <v>9067</v>
      </c>
      <c r="C3609" s="1769" t="s">
        <v>11337</v>
      </c>
      <c r="D3609" s="1751" t="s">
        <v>9084</v>
      </c>
      <c r="E3609" s="1769" t="b" cm="1">
        <f t="array" ref="E3609">drrm_cca_policies_DO33_s2021</f>
        <v>1</v>
      </c>
      <c r="F3609" s="1696" t="b">
        <f t="shared" si="33"/>
        <v>1</v>
      </c>
      <c r="G3609" s="46" t="s">
        <v>11265</v>
      </c>
    </row>
    <row r="3610" spans="1:7">
      <c r="A3610" s="1769" t="s">
        <v>11338</v>
      </c>
      <c r="B3610" s="1769" t="s">
        <v>9067</v>
      </c>
      <c r="C3610" s="1769" t="s">
        <v>11338</v>
      </c>
      <c r="D3610" s="1751" t="s">
        <v>9085</v>
      </c>
      <c r="E3610" s="1769" t="b" cm="1">
        <f t="array" ref="E3610">drrm_cca_policies_DM084_s2019</f>
        <v>0</v>
      </c>
      <c r="F3610" s="1696" t="b">
        <f t="shared" si="33"/>
        <v>1</v>
      </c>
      <c r="G3610" s="46" t="s">
        <v>11265</v>
      </c>
    </row>
    <row r="3611" spans="1:7">
      <c r="A3611" s="1769" t="s">
        <v>11352</v>
      </c>
      <c r="B3611" s="1769" t="s">
        <v>9067</v>
      </c>
      <c r="C3611" s="1769" t="s">
        <v>11352</v>
      </c>
      <c r="D3611" s="1751" t="s">
        <v>9086</v>
      </c>
      <c r="E3611" s="1769" t="b" cm="1">
        <f t="array" ref="E3611">child_protect_DO44_s2005</f>
        <v>1</v>
      </c>
      <c r="F3611" s="1696" t="b">
        <f t="shared" si="33"/>
        <v>1</v>
      </c>
      <c r="G3611" s="46" t="s">
        <v>11265</v>
      </c>
    </row>
    <row r="3612" spans="1:7">
      <c r="A3612" s="1769" t="s">
        <v>11354</v>
      </c>
      <c r="B3612" s="1769" t="s">
        <v>9067</v>
      </c>
      <c r="C3612" s="1769" t="s">
        <v>11354</v>
      </c>
      <c r="D3612" s="1751" t="s">
        <v>9087</v>
      </c>
      <c r="E3612" s="1769" t="b" cm="1">
        <f t="array" ref="E3612">child_protect_DO40_s2012</f>
        <v>1</v>
      </c>
      <c r="F3612" s="1696" t="b">
        <f t="shared" si="33"/>
        <v>1</v>
      </c>
      <c r="G3612" s="46" t="s">
        <v>11265</v>
      </c>
    </row>
    <row r="3613" spans="1:7">
      <c r="A3613" s="1769" t="s">
        <v>11353</v>
      </c>
      <c r="B3613" s="1769" t="s">
        <v>9067</v>
      </c>
      <c r="C3613" s="1769" t="s">
        <v>11353</v>
      </c>
      <c r="D3613" s="1751" t="s">
        <v>9088</v>
      </c>
      <c r="E3613" s="1769" t="b" cm="1">
        <f t="array" ref="E3613">child_protect_DO57_s2017</f>
        <v>0</v>
      </c>
      <c r="F3613" s="1696" t="b">
        <f t="shared" si="33"/>
        <v>1</v>
      </c>
      <c r="G3613" s="46" t="s">
        <v>11265</v>
      </c>
    </row>
    <row r="3614" spans="1:7">
      <c r="A3614" s="1769" t="s">
        <v>11355</v>
      </c>
      <c r="B3614" s="1769" t="s">
        <v>9067</v>
      </c>
      <c r="C3614" s="1769" t="s">
        <v>11355</v>
      </c>
      <c r="D3614" s="1751" t="s">
        <v>9089</v>
      </c>
      <c r="E3614" s="1769" t="b" cm="1">
        <f t="array" ref="E3614">drrm_cca_policies_DO32_s2019</f>
        <v>0</v>
      </c>
      <c r="F3614" s="1696" t="b">
        <f t="shared" si="33"/>
        <v>1</v>
      </c>
      <c r="G3614" s="46" t="s">
        <v>11265</v>
      </c>
    </row>
    <row r="3615" spans="1:7">
      <c r="A3615" s="1769" t="s">
        <v>11356</v>
      </c>
      <c r="B3615" s="1769" t="s">
        <v>9067</v>
      </c>
      <c r="C3615" s="1769" t="s">
        <v>11356</v>
      </c>
      <c r="D3615" s="1751" t="s">
        <v>9090</v>
      </c>
      <c r="E3615" s="1769" t="b" cm="1">
        <f t="array" ref="E3615">drrm_cca_policies_DM221_s2013</f>
        <v>0</v>
      </c>
      <c r="F3615" s="1696" t="b">
        <f t="shared" si="33"/>
        <v>1</v>
      </c>
      <c r="G3615" s="46" t="s">
        <v>11265</v>
      </c>
    </row>
    <row r="3616" spans="1:7">
      <c r="A3616" s="1769" t="s">
        <v>9096</v>
      </c>
      <c r="B3616" s="1769" t="s">
        <v>9067</v>
      </c>
      <c r="C3616" s="1769" t="s">
        <v>9096</v>
      </c>
      <c r="D3616" s="1751" t="s">
        <v>9099</v>
      </c>
      <c r="E3616" s="1769" cm="1">
        <f t="array" ref="E3616">cons_l_excl_ip_m</f>
        <v>0</v>
      </c>
      <c r="F3616" s="46" t="b">
        <v>1</v>
      </c>
    </row>
    <row r="3617" spans="1:8">
      <c r="A3617" s="1769" t="s">
        <v>9091</v>
      </c>
      <c r="B3617" s="1769" t="s">
        <v>9067</v>
      </c>
      <c r="C3617" s="1769" t="s">
        <v>9091</v>
      </c>
      <c r="D3617" s="1751" t="s">
        <v>9100</v>
      </c>
      <c r="E3617" s="1769" cm="1">
        <f t="array" ref="E3617">cons_l_excl_ip_f</f>
        <v>0</v>
      </c>
      <c r="F3617" s="46" t="b">
        <v>1</v>
      </c>
    </row>
    <row r="3618" spans="1:8">
      <c r="A3618" s="1769" t="s">
        <v>9092</v>
      </c>
      <c r="B3618" s="1769" t="s">
        <v>9067</v>
      </c>
      <c r="C3618" s="1769" t="s">
        <v>9092</v>
      </c>
      <c r="D3618" s="1751" t="s">
        <v>9101</v>
      </c>
      <c r="E3618" s="1769" cm="1">
        <f t="array" ref="E3618">cons_ip_l_m</f>
        <v>0</v>
      </c>
      <c r="F3618" s="46" t="b">
        <v>1</v>
      </c>
    </row>
    <row r="3619" spans="1:8">
      <c r="A3619" s="1769" t="s">
        <v>9093</v>
      </c>
      <c r="B3619" s="1769" t="s">
        <v>9067</v>
      </c>
      <c r="C3619" s="1769" t="s">
        <v>9093</v>
      </c>
      <c r="D3619" s="1751" t="s">
        <v>9102</v>
      </c>
      <c r="E3619" s="1769" cm="1">
        <f t="array" ref="E3619">cons_ip_l_f</f>
        <v>0</v>
      </c>
      <c r="F3619" s="46" t="b">
        <v>1</v>
      </c>
    </row>
    <row r="3620" spans="1:8">
      <c r="A3620" s="1769" t="s">
        <v>9094</v>
      </c>
      <c r="B3620" s="1769" t="s">
        <v>9067</v>
      </c>
      <c r="C3620" s="1769" t="s">
        <v>9094</v>
      </c>
      <c r="D3620" s="1751" t="s">
        <v>9103</v>
      </c>
      <c r="E3620" s="1769" cm="1">
        <f t="array" ref="E3620">cons_muslim_l_m</f>
        <v>0</v>
      </c>
      <c r="F3620" s="46" t="b">
        <v>1</v>
      </c>
    </row>
    <row r="3621" spans="1:8">
      <c r="A3621" s="1769" t="s">
        <v>9095</v>
      </c>
      <c r="B3621" s="1769" t="s">
        <v>9067</v>
      </c>
      <c r="C3621" s="1769" t="s">
        <v>9095</v>
      </c>
      <c r="D3621" s="1751" t="s">
        <v>9104</v>
      </c>
      <c r="E3621" s="1769" cm="1">
        <f t="array" ref="E3621">cons_muslim_l_f</f>
        <v>0</v>
      </c>
      <c r="F3621" s="46" t="b">
        <v>1</v>
      </c>
    </row>
    <row r="3622" spans="1:8">
      <c r="A3622" s="46" t="s">
        <v>9097</v>
      </c>
      <c r="B3622" s="1769" t="s">
        <v>9067</v>
      </c>
      <c r="C3622" s="46" t="s">
        <v>9097</v>
      </c>
      <c r="D3622" s="1751" t="s">
        <v>9105</v>
      </c>
      <c r="E3622" s="46" cm="1">
        <f t="array" ref="E3622">cons_lwd_m</f>
        <v>0</v>
      </c>
      <c r="F3622" s="46" t="b">
        <v>1</v>
      </c>
    </row>
    <row r="3623" spans="1:8">
      <c r="A3623" s="46" t="s">
        <v>9098</v>
      </c>
      <c r="B3623" s="1769" t="s">
        <v>9067</v>
      </c>
      <c r="C3623" s="46" t="s">
        <v>9098</v>
      </c>
      <c r="D3623" s="1751" t="s">
        <v>9106</v>
      </c>
      <c r="E3623" s="46" cm="1">
        <f t="array" ref="E3623">cons_lwd_f</f>
        <v>0</v>
      </c>
      <c r="F3623" s="46" t="b">
        <v>1</v>
      </c>
    </row>
    <row r="3624" spans="1:8">
      <c r="A3624" s="1769" t="s">
        <v>9107</v>
      </c>
      <c r="B3624" s="1769" t="s">
        <v>9067</v>
      </c>
      <c r="C3624" s="1769" t="s">
        <v>9107</v>
      </c>
      <c r="D3624" s="1751" t="s">
        <v>9112</v>
      </c>
      <c r="E3624" s="1769" cm="1">
        <f t="array" ref="E3624">sch_lev_pol_l</f>
        <v>0</v>
      </c>
      <c r="F3624" s="46" t="b">
        <v>1</v>
      </c>
    </row>
    <row r="3625" spans="1:8">
      <c r="A3625" s="1769" t="s">
        <v>9108</v>
      </c>
      <c r="B3625" s="1769" t="s">
        <v>9067</v>
      </c>
      <c r="C3625" s="1769" t="s">
        <v>9108</v>
      </c>
      <c r="D3625" s="1751" t="s">
        <v>9113</v>
      </c>
      <c r="E3625" s="1769" cm="1">
        <f t="array" ref="E3625">sch_lev_pol_per</f>
        <v>0</v>
      </c>
      <c r="F3625" s="46" t="b">
        <v>1</v>
      </c>
    </row>
    <row r="3626" spans="1:8">
      <c r="A3626" s="1769" t="s">
        <v>9109</v>
      </c>
      <c r="B3626" s="1769" t="s">
        <v>9067</v>
      </c>
      <c r="C3626" s="1769" t="s">
        <v>9109</v>
      </c>
      <c r="D3626" s="1751" t="s">
        <v>9114</v>
      </c>
      <c r="E3626" s="1769" cm="1">
        <f t="array" ref="E3626">sch_lev_pol_parents</f>
        <v>0</v>
      </c>
      <c r="F3626" s="46" t="b">
        <v>1</v>
      </c>
    </row>
    <row r="3627" spans="1:8">
      <c r="A3627" s="1769" t="s">
        <v>9110</v>
      </c>
      <c r="B3627" s="1769" t="s">
        <v>9067</v>
      </c>
      <c r="C3627" s="1769" t="s">
        <v>9110</v>
      </c>
      <c r="D3627" s="1751" t="s">
        <v>9115</v>
      </c>
      <c r="E3627" s="1769" cm="1">
        <f t="array" ref="E3627">sch_lev_pol_lgu</f>
        <v>0</v>
      </c>
      <c r="F3627" s="46" t="b">
        <v>1</v>
      </c>
    </row>
    <row r="3628" spans="1:8" ht="16.5" thickBot="1">
      <c r="A3628" s="1770" t="s">
        <v>9111</v>
      </c>
      <c r="B3628" s="1770" t="s">
        <v>9067</v>
      </c>
      <c r="C3628" s="1770" t="s">
        <v>9111</v>
      </c>
      <c r="D3628" s="1771" t="s">
        <v>9116</v>
      </c>
      <c r="E3628" s="1770" cm="1">
        <f t="array" ref="E3628">sch_lev_pol_ngo</f>
        <v>0</v>
      </c>
      <c r="F3628" s="479" t="b">
        <v>1</v>
      </c>
      <c r="G3628" s="479"/>
      <c r="H3628" s="479"/>
    </row>
    <row r="3629" spans="1:8" ht="16.5" thickTop="1">
      <c r="A3629" s="46" t="s">
        <v>9117</v>
      </c>
      <c r="B3629" s="1769" t="s">
        <v>9067</v>
      </c>
      <c r="C3629" s="46" t="s">
        <v>9117</v>
      </c>
      <c r="D3629" s="1751" t="s">
        <v>9153</v>
      </c>
      <c r="E3629" s="1018" t="b" cm="1">
        <f t="array" ref="E3629">sch_drrm_ccam_peacebuild_plan</f>
        <v>1</v>
      </c>
      <c r="F3629" s="1696" t="b">
        <f t="shared" ref="F3629:F3637" si="34">OR(E3629=TRUE, E3629=FALSE)</f>
        <v>1</v>
      </c>
      <c r="G3629" s="46" t="s">
        <v>11265</v>
      </c>
    </row>
    <row r="3630" spans="1:8">
      <c r="A3630" s="46" t="s">
        <v>9118</v>
      </c>
      <c r="B3630" s="1769" t="s">
        <v>9067</v>
      </c>
      <c r="C3630" s="46" t="s">
        <v>9118</v>
      </c>
      <c r="D3630" s="1751" t="s">
        <v>9154</v>
      </c>
      <c r="E3630" s="1018" t="b" cm="1">
        <f t="array" ref="E3630">sch_drrm_ccam_peacebuild_plan_dev_sp</f>
        <v>1</v>
      </c>
      <c r="F3630" s="1696" t="b">
        <f t="shared" si="34"/>
        <v>1</v>
      </c>
      <c r="G3630" s="46" t="s">
        <v>11265</v>
      </c>
    </row>
    <row r="3631" spans="1:8">
      <c r="A3631" s="46" t="s">
        <v>9119</v>
      </c>
      <c r="B3631" s="1769" t="s">
        <v>9067</v>
      </c>
      <c r="C3631" s="46" t="s">
        <v>9119</v>
      </c>
      <c r="D3631" s="1751" t="s">
        <v>9155</v>
      </c>
      <c r="E3631" s="1018" t="b" cm="1">
        <f t="array" ref="E3631">sch_drrm_ccam_peacebuild_plan_dev_parents</f>
        <v>1</v>
      </c>
      <c r="F3631" s="1696" t="b">
        <f t="shared" si="34"/>
        <v>1</v>
      </c>
      <c r="G3631" s="46" t="s">
        <v>11265</v>
      </c>
    </row>
    <row r="3632" spans="1:8">
      <c r="A3632" s="46" t="s">
        <v>9120</v>
      </c>
      <c r="B3632" s="1769" t="s">
        <v>9067</v>
      </c>
      <c r="C3632" s="46" t="s">
        <v>9120</v>
      </c>
      <c r="D3632" s="1751" t="s">
        <v>9156</v>
      </c>
      <c r="E3632" s="1018" t="b" cm="1">
        <f t="array" ref="E3632">sch_drrm_ccam_peacebuild_plan_dev_lgu</f>
        <v>1</v>
      </c>
      <c r="F3632" s="1696" t="b">
        <f t="shared" si="34"/>
        <v>1</v>
      </c>
      <c r="G3632" s="46" t="s">
        <v>11265</v>
      </c>
    </row>
    <row r="3633" spans="1:7">
      <c r="A3633" s="46" t="s">
        <v>9121</v>
      </c>
      <c r="B3633" s="1769" t="s">
        <v>9067</v>
      </c>
      <c r="C3633" s="46" t="s">
        <v>9121</v>
      </c>
      <c r="D3633" s="1751" t="s">
        <v>9157</v>
      </c>
      <c r="E3633" s="1018" t="b" cm="1">
        <f t="array" ref="E3633">sch_drrm_ccam_peacebuild_plan_dev_expart</f>
        <v>1</v>
      </c>
      <c r="F3633" s="1696" t="b">
        <f t="shared" si="34"/>
        <v>1</v>
      </c>
      <c r="G3633" s="46" t="s">
        <v>11265</v>
      </c>
    </row>
    <row r="3634" spans="1:7">
      <c r="A3634" s="46" t="s">
        <v>9122</v>
      </c>
      <c r="B3634" s="1769" t="s">
        <v>9067</v>
      </c>
      <c r="C3634" s="46" t="s">
        <v>9122</v>
      </c>
      <c r="D3634" s="1751" t="s">
        <v>9158</v>
      </c>
      <c r="E3634" s="46" t="b" cm="1">
        <f t="array" ref="E3634">sch_drrm_ccam_peacebuild_plan_lwd</f>
        <v>0</v>
      </c>
      <c r="F3634" s="1696" t="b">
        <f t="shared" si="34"/>
        <v>1</v>
      </c>
      <c r="G3634" s="46" t="s">
        <v>11265</v>
      </c>
    </row>
    <row r="3635" spans="1:7">
      <c r="A3635" s="46" t="s">
        <v>9123</v>
      </c>
      <c r="B3635" s="1769" t="s">
        <v>9067</v>
      </c>
      <c r="C3635" s="46" t="s">
        <v>9123</v>
      </c>
      <c r="D3635" s="1751" t="s">
        <v>9159</v>
      </c>
      <c r="E3635" s="46" t="b" cm="1">
        <f t="array" ref="E3635">sch_drrm_ccam_peacebuild_plan_iksp</f>
        <v>0</v>
      </c>
      <c r="F3635" s="1696" t="b">
        <f t="shared" si="34"/>
        <v>1</v>
      </c>
      <c r="G3635" s="46" t="s">
        <v>11265</v>
      </c>
    </row>
    <row r="3636" spans="1:7">
      <c r="A3636" s="46" t="s">
        <v>9124</v>
      </c>
      <c r="B3636" s="1769" t="s">
        <v>9067</v>
      </c>
      <c r="C3636" s="46" t="s">
        <v>9124</v>
      </c>
      <c r="D3636" s="1751" t="s">
        <v>9160</v>
      </c>
      <c r="E3636" s="46" t="b" cm="1">
        <f t="array" ref="E3636">sch_drrm_ccam_peacebuild_plan_gensense</f>
        <v>1</v>
      </c>
      <c r="F3636" s="1696" t="b">
        <f t="shared" si="34"/>
        <v>1</v>
      </c>
      <c r="G3636" s="46" t="s">
        <v>11265</v>
      </c>
    </row>
    <row r="3637" spans="1:7">
      <c r="A3637" s="46" t="s">
        <v>9125</v>
      </c>
      <c r="B3637" s="1769" t="s">
        <v>9067</v>
      </c>
      <c r="C3637" s="46" t="s">
        <v>9125</v>
      </c>
      <c r="D3637" s="1751" t="s">
        <v>9161</v>
      </c>
      <c r="E3637" s="46" t="b" cm="1">
        <f t="array" ref="E3637">sch_drrm_ccam_peacebuild_plan2</f>
        <v>1</v>
      </c>
      <c r="F3637" s="1696" t="b">
        <f t="shared" si="34"/>
        <v>1</v>
      </c>
      <c r="G3637" s="46" t="s">
        <v>11265</v>
      </c>
    </row>
    <row r="3638" spans="1:7">
      <c r="A3638" s="46" t="s">
        <v>9126</v>
      </c>
      <c r="B3638" s="1769" t="s">
        <v>9067</v>
      </c>
      <c r="C3638" s="46" t="s">
        <v>9126</v>
      </c>
      <c r="D3638" s="1751" t="s">
        <v>9162</v>
      </c>
      <c r="E3638" s="46" cm="1">
        <f t="array" ref="E3638">sch_drrm_ccam_peacebuild_plan_dev_l_excl_ip_m</f>
        <v>0</v>
      </c>
      <c r="F3638" s="46" t="b">
        <v>1</v>
      </c>
    </row>
    <row r="3639" spans="1:7">
      <c r="A3639" s="46" t="s">
        <v>9127</v>
      </c>
      <c r="B3639" s="1769" t="s">
        <v>9067</v>
      </c>
      <c r="C3639" s="46" t="s">
        <v>9127</v>
      </c>
      <c r="D3639" s="1751" t="s">
        <v>9163</v>
      </c>
      <c r="E3639" s="46" cm="1">
        <f t="array" ref="E3639">sch_drrm_ccam_peacebuild_plan_dev_l_excl_ip_f</f>
        <v>0</v>
      </c>
      <c r="F3639" s="46" t="b">
        <v>1</v>
      </c>
    </row>
    <row r="3640" spans="1:7">
      <c r="A3640" s="46" t="s">
        <v>9128</v>
      </c>
      <c r="B3640" s="1769" t="s">
        <v>9067</v>
      </c>
      <c r="C3640" s="46" t="s">
        <v>9128</v>
      </c>
      <c r="D3640" s="1751" t="s">
        <v>9164</v>
      </c>
      <c r="E3640" s="46" cm="1">
        <f t="array" ref="E3640">sch_drrm_ccam_peacebuild_plan_dev_ip_l_m</f>
        <v>0</v>
      </c>
      <c r="F3640" s="46" t="b">
        <v>1</v>
      </c>
    </row>
    <row r="3641" spans="1:7">
      <c r="A3641" s="46" t="s">
        <v>9129</v>
      </c>
      <c r="B3641" s="1769" t="s">
        <v>9067</v>
      </c>
      <c r="C3641" s="46" t="s">
        <v>9129</v>
      </c>
      <c r="D3641" s="1751" t="s">
        <v>9165</v>
      </c>
      <c r="E3641" s="46" cm="1">
        <f t="array" ref="E3641">sch_drrm_ccam_peacebuild_plan_dev_ip_l_f</f>
        <v>0</v>
      </c>
      <c r="F3641" s="46" t="b">
        <v>1</v>
      </c>
    </row>
    <row r="3642" spans="1:7">
      <c r="A3642" s="46" t="s">
        <v>9130</v>
      </c>
      <c r="B3642" s="1769" t="s">
        <v>9067</v>
      </c>
      <c r="C3642" s="46" t="s">
        <v>9130</v>
      </c>
      <c r="D3642" s="1751" t="s">
        <v>9166</v>
      </c>
      <c r="E3642" s="46" cm="1">
        <f t="array" ref="E3642">sch_drrm_ccam_peacebuild_plan_dev_muslim_l_m</f>
        <v>0</v>
      </c>
      <c r="F3642" s="46" t="b">
        <v>1</v>
      </c>
    </row>
    <row r="3643" spans="1:7">
      <c r="A3643" s="46" t="s">
        <v>9131</v>
      </c>
      <c r="B3643" s="1769" t="s">
        <v>9067</v>
      </c>
      <c r="C3643" s="46" t="s">
        <v>9131</v>
      </c>
      <c r="D3643" s="1751" t="s">
        <v>9167</v>
      </c>
      <c r="E3643" s="46" cm="1">
        <f t="array" ref="E3643">sch_drrm_ccam_peacebuild_plan_dev_muslim_l_f</f>
        <v>0</v>
      </c>
      <c r="F3643" s="46" t="b">
        <v>1</v>
      </c>
    </row>
    <row r="3644" spans="1:7">
      <c r="A3644" s="46" t="s">
        <v>9132</v>
      </c>
      <c r="B3644" s="1769" t="s">
        <v>9067</v>
      </c>
      <c r="C3644" s="46" t="s">
        <v>9132</v>
      </c>
      <c r="D3644" s="1751" t="s">
        <v>9168</v>
      </c>
      <c r="E3644" s="46" cm="1">
        <f t="array" ref="E3644">sch_drrm_ccam_peacebuild_plan_dev_lwd_m</f>
        <v>0</v>
      </c>
      <c r="F3644" s="46" t="b">
        <v>1</v>
      </c>
    </row>
    <row r="3645" spans="1:7">
      <c r="A3645" s="46" t="s">
        <v>9133</v>
      </c>
      <c r="B3645" s="1769" t="s">
        <v>9067</v>
      </c>
      <c r="C3645" s="46" t="s">
        <v>9133</v>
      </c>
      <c r="D3645" s="1751" t="s">
        <v>9169</v>
      </c>
      <c r="E3645" s="46" cm="1">
        <f t="array" ref="E3645">sch_drrm_ccam_peacebuild_plan_dev_lwd_f</f>
        <v>0</v>
      </c>
      <c r="F3645" s="46" t="b">
        <v>1</v>
      </c>
    </row>
    <row r="3646" spans="1:7">
      <c r="A3646" s="46" t="s">
        <v>9134</v>
      </c>
      <c r="B3646" s="1769" t="s">
        <v>9067</v>
      </c>
      <c r="C3646" s="46" t="s">
        <v>9134</v>
      </c>
      <c r="D3646" s="1751" t="s">
        <v>9170</v>
      </c>
      <c r="E3646" s="46" t="b" cm="1">
        <f t="array" ref="E3646">sch_drrm_ccam_peacebuild_func_team</f>
        <v>1</v>
      </c>
      <c r="F3646" s="1696" t="b">
        <f t="shared" ref="F3646:F3647" si="35">OR(E3646=TRUE, E3646=FALSE)</f>
        <v>1</v>
      </c>
      <c r="G3646" s="46" t="s">
        <v>11265</v>
      </c>
    </row>
    <row r="3647" spans="1:7">
      <c r="A3647" s="46" t="s">
        <v>9135</v>
      </c>
      <c r="B3647" s="1769" t="s">
        <v>9067</v>
      </c>
      <c r="C3647" s="46" t="s">
        <v>9135</v>
      </c>
      <c r="D3647" s="1751" t="s">
        <v>9171</v>
      </c>
      <c r="E3647" s="46" t="b" cm="1">
        <f t="array" ref="E3647">sch_drrm_ccam_peacebuild_drrm_coor</f>
        <v>1</v>
      </c>
      <c r="F3647" s="1696" t="b">
        <f t="shared" si="35"/>
        <v>1</v>
      </c>
      <c r="G3647" s="46" t="s">
        <v>11265</v>
      </c>
    </row>
    <row r="3648" spans="1:7">
      <c r="A3648" s="46" t="s">
        <v>9136</v>
      </c>
      <c r="B3648" s="1769" t="s">
        <v>9067</v>
      </c>
      <c r="C3648" s="46" t="s">
        <v>9136</v>
      </c>
      <c r="D3648" s="1751" t="s">
        <v>9172</v>
      </c>
      <c r="E3648" s="1772" cm="1">
        <f t="array" ref="E3648">sch_drrm_ccam_peacebuild_drrm_ppa_no</f>
        <v>0</v>
      </c>
      <c r="F3648" s="46" t="b">
        <v>1</v>
      </c>
    </row>
    <row r="3649" spans="1:8">
      <c r="A3649" s="46" t="s">
        <v>9137</v>
      </c>
      <c r="B3649" s="1769" t="s">
        <v>9067</v>
      </c>
      <c r="C3649" s="46" t="s">
        <v>9137</v>
      </c>
      <c r="D3649" s="1751" t="s">
        <v>9173</v>
      </c>
      <c r="E3649" s="1777" cm="1">
        <f t="array" ref="E3649">sch_drrm_ccam_peacebuild_drrm_ppa_cost</f>
        <v>0</v>
      </c>
      <c r="F3649" s="46" t="b">
        <v>1</v>
      </c>
    </row>
    <row r="3650" spans="1:8">
      <c r="A3650" s="46" t="s">
        <v>9138</v>
      </c>
      <c r="B3650" s="1769" t="s">
        <v>9067</v>
      </c>
      <c r="C3650" s="46" t="s">
        <v>9138</v>
      </c>
      <c r="D3650" s="1751" t="s">
        <v>9174</v>
      </c>
      <c r="E3650" s="1786" cm="1">
        <f t="array" ref="E3650">sch_drrm_ccam_peacebuild_drrm_ppa_percent</f>
        <v>0</v>
      </c>
      <c r="F3650" s="46" t="b">
        <v>1</v>
      </c>
    </row>
    <row r="3651" spans="1:8">
      <c r="A3651" s="46" t="s">
        <v>9139</v>
      </c>
      <c r="B3651" s="1769" t="s">
        <v>9067</v>
      </c>
      <c r="C3651" s="46" t="s">
        <v>9139</v>
      </c>
      <c r="D3651" s="1751" t="s">
        <v>9175</v>
      </c>
      <c r="E3651" s="1772" cm="1">
        <f t="array" ref="E3651">sch_drrm_ccam_peacebuild_ccam_ppa_no</f>
        <v>0</v>
      </c>
      <c r="F3651" s="46" t="b">
        <v>1</v>
      </c>
    </row>
    <row r="3652" spans="1:8">
      <c r="A3652" s="46" t="s">
        <v>9140</v>
      </c>
      <c r="B3652" s="1769" t="s">
        <v>9067</v>
      </c>
      <c r="C3652" s="46" t="s">
        <v>9140</v>
      </c>
      <c r="D3652" s="1751" t="s">
        <v>9176</v>
      </c>
      <c r="E3652" s="1777" cm="1">
        <f t="array" ref="E3652">sch_drrm_ccam_peacebuild_ccam_ppa_cost</f>
        <v>0</v>
      </c>
      <c r="F3652" s="46" t="b">
        <v>1</v>
      </c>
    </row>
    <row r="3653" spans="1:8">
      <c r="A3653" s="46" t="s">
        <v>9141</v>
      </c>
      <c r="B3653" s="1769" t="s">
        <v>9067</v>
      </c>
      <c r="C3653" s="46" t="s">
        <v>9141</v>
      </c>
      <c r="D3653" s="1751" t="s">
        <v>9177</v>
      </c>
      <c r="E3653" s="1786" cm="1">
        <f t="array" ref="E3653">sch_drrm_ccam_peacebuild_ccam_ppa_percent</f>
        <v>0</v>
      </c>
      <c r="F3653" s="46" t="b">
        <v>1</v>
      </c>
    </row>
    <row r="3654" spans="1:8">
      <c r="A3654" s="46" t="s">
        <v>9142</v>
      </c>
      <c r="B3654" s="1769" t="s">
        <v>9067</v>
      </c>
      <c r="C3654" s="46" t="s">
        <v>9142</v>
      </c>
      <c r="D3654" s="1751" t="s">
        <v>9178</v>
      </c>
      <c r="E3654" s="1772" cm="1">
        <f t="array" ref="E3654">sch_drrm_ccam_peacebuild_pbuild_ppa_no</f>
        <v>0</v>
      </c>
      <c r="F3654" s="46" t="b">
        <v>1</v>
      </c>
    </row>
    <row r="3655" spans="1:8">
      <c r="A3655" s="46" t="s">
        <v>9143</v>
      </c>
      <c r="B3655" s="1769" t="s">
        <v>9067</v>
      </c>
      <c r="C3655" s="46" t="s">
        <v>9143</v>
      </c>
      <c r="D3655" s="1751" t="s">
        <v>9179</v>
      </c>
      <c r="E3655" s="1777" cm="1">
        <f t="array" ref="E3655">sch_drrm_ccam_peacebuild_pbuild_ppa_cost</f>
        <v>0</v>
      </c>
      <c r="F3655" s="46" t="b">
        <v>1</v>
      </c>
    </row>
    <row r="3656" spans="1:8">
      <c r="A3656" s="46" t="s">
        <v>9144</v>
      </c>
      <c r="B3656" s="1769" t="s">
        <v>9067</v>
      </c>
      <c r="C3656" s="46" t="s">
        <v>9144</v>
      </c>
      <c r="D3656" s="1751" t="s">
        <v>9180</v>
      </c>
      <c r="E3656" s="1786" cm="1">
        <f t="array" ref="E3656">sch_drrm_ccam_peacebuild_pbuild_ppa_percent</f>
        <v>0</v>
      </c>
      <c r="F3656" s="46" t="b">
        <v>1</v>
      </c>
    </row>
    <row r="3657" spans="1:8">
      <c r="A3657" s="46" t="s">
        <v>9145</v>
      </c>
      <c r="B3657" s="1769" t="s">
        <v>9067</v>
      </c>
      <c r="C3657" s="46" t="s">
        <v>9145</v>
      </c>
      <c r="D3657" s="1751" t="s">
        <v>9181</v>
      </c>
      <c r="E3657" s="46" cm="1">
        <f t="array" ref="E3657">sch_drrm_ccam_peacebuild_dim_teachper_m</f>
        <v>0</v>
      </c>
      <c r="F3657" s="46" t="b">
        <v>1</v>
      </c>
    </row>
    <row r="3658" spans="1:8">
      <c r="A3658" s="46" t="s">
        <v>9146</v>
      </c>
      <c r="B3658" s="1769" t="s">
        <v>9067</v>
      </c>
      <c r="C3658" s="46" t="s">
        <v>9146</v>
      </c>
      <c r="D3658" s="1751" t="s">
        <v>9182</v>
      </c>
      <c r="E3658" s="46" cm="1">
        <f t="array" ref="E3658">sch_drrm_ccam_peacebuild_dim_teachper_f</f>
        <v>0</v>
      </c>
      <c r="F3658" s="46" t="b">
        <v>1</v>
      </c>
    </row>
    <row r="3659" spans="1:8">
      <c r="A3659" s="46" t="s">
        <v>9147</v>
      </c>
      <c r="B3659" s="1769" t="s">
        <v>9067</v>
      </c>
      <c r="C3659" s="46" t="s">
        <v>9147</v>
      </c>
      <c r="D3659" s="1751" t="s">
        <v>9183</v>
      </c>
      <c r="E3659" s="46" cm="1">
        <f t="array" ref="E3659">sch_drrm_ccam_peacebuild_dim_non_teachper_m</f>
        <v>0</v>
      </c>
      <c r="F3659" s="46" t="b">
        <v>1</v>
      </c>
    </row>
    <row r="3660" spans="1:8">
      <c r="A3660" s="46" t="s">
        <v>9148</v>
      </c>
      <c r="B3660" s="1769" t="s">
        <v>9067</v>
      </c>
      <c r="C3660" s="46" t="s">
        <v>9148</v>
      </c>
      <c r="D3660" s="1751" t="s">
        <v>9184</v>
      </c>
      <c r="E3660" s="46" cm="1">
        <f t="array" ref="E3660">sch_drrm_ccam_peacebuild_dim_non_teachper_f</f>
        <v>0</v>
      </c>
      <c r="F3660" s="46" t="b">
        <v>1</v>
      </c>
    </row>
    <row r="3661" spans="1:8">
      <c r="A3661" s="46" t="s">
        <v>9149</v>
      </c>
      <c r="B3661" s="1769" t="s">
        <v>9067</v>
      </c>
      <c r="C3661" s="46" t="s">
        <v>9149</v>
      </c>
      <c r="D3661" s="1751" t="s">
        <v>9185</v>
      </c>
      <c r="E3661" s="46" cm="1">
        <f t="array" ref="E3661">sch_drrm_ccam_peacebuild_dim_train</f>
        <v>0</v>
      </c>
      <c r="F3661" s="46" t="b">
        <v>1</v>
      </c>
    </row>
    <row r="3662" spans="1:8">
      <c r="A3662" s="46" t="s">
        <v>9150</v>
      </c>
      <c r="B3662" s="1769" t="s">
        <v>9067</v>
      </c>
      <c r="C3662" s="46" t="s">
        <v>9150</v>
      </c>
      <c r="D3662" s="1751" t="s">
        <v>9186</v>
      </c>
      <c r="E3662" s="46" cm="1">
        <f t="array" ref="E3662">sch_drrm_ccam_peacebuild_dim_research</f>
        <v>0</v>
      </c>
      <c r="F3662" s="46" t="b">
        <v>1</v>
      </c>
    </row>
    <row r="3663" spans="1:8">
      <c r="A3663" s="46" t="s">
        <v>9151</v>
      </c>
      <c r="B3663" s="1769" t="s">
        <v>9067</v>
      </c>
      <c r="C3663" s="46" t="s">
        <v>9151</v>
      </c>
      <c r="D3663" s="1751" t="s">
        <v>9187</v>
      </c>
      <c r="E3663" s="46" cm="1">
        <f t="array" ref="E3663">sch_drrm_ccam_peacebuild_dim_prog_dev</f>
        <v>0</v>
      </c>
      <c r="F3663" s="46" t="b">
        <v>1</v>
      </c>
    </row>
    <row r="3664" spans="1:8" ht="16.5" thickBot="1">
      <c r="A3664" s="479" t="s">
        <v>9152</v>
      </c>
      <c r="B3664" s="1770" t="s">
        <v>9067</v>
      </c>
      <c r="C3664" s="479" t="s">
        <v>9152</v>
      </c>
      <c r="D3664" s="1771" t="s">
        <v>9188</v>
      </c>
      <c r="E3664" s="479" t="b" cm="1">
        <f t="array" ref="E3664">sch_drrm_ccam_peacebuild_dim_sw_dcr</f>
        <v>0</v>
      </c>
      <c r="F3664" s="1697" t="b">
        <f t="shared" ref="F3664:F3666" si="36">OR(E3664=TRUE, E3664=FALSE)</f>
        <v>1</v>
      </c>
      <c r="G3664" s="479" t="s">
        <v>11265</v>
      </c>
      <c r="H3664" s="479"/>
    </row>
    <row r="3665" spans="1:8" ht="16.5" thickTop="1">
      <c r="A3665" s="46" t="s">
        <v>9189</v>
      </c>
      <c r="B3665" s="1769" t="s">
        <v>9067</v>
      </c>
      <c r="C3665" s="46" t="s">
        <v>9189</v>
      </c>
      <c r="D3665" s="1751" t="s">
        <v>9194</v>
      </c>
      <c r="E3665" s="46" t="b" cm="1">
        <f t="array" ref="E3665">sch_drrm_ccam_peacebuild_monitor_evaluate_implementyes</f>
        <v>0</v>
      </c>
      <c r="F3665" s="1696" t="b">
        <f t="shared" si="36"/>
        <v>1</v>
      </c>
      <c r="G3665" s="46" t="s">
        <v>11265</v>
      </c>
    </row>
    <row r="3666" spans="1:8">
      <c r="A3666" s="46" t="s">
        <v>9190</v>
      </c>
      <c r="B3666" s="1769" t="s">
        <v>9067</v>
      </c>
      <c r="C3666" s="46" t="s">
        <v>9190</v>
      </c>
      <c r="D3666" s="1751" t="s">
        <v>9195</v>
      </c>
      <c r="E3666" s="46" t="b" cm="1">
        <f t="array" ref="E3666">sch_drrm_ccam_peacebuild_monitor_cssyes</f>
        <v>0</v>
      </c>
      <c r="F3666" s="1696" t="b">
        <f t="shared" si="36"/>
        <v>1</v>
      </c>
      <c r="G3666" s="46" t="s">
        <v>11265</v>
      </c>
    </row>
    <row r="3667" spans="1:8">
      <c r="A3667" s="46" t="s">
        <v>9191</v>
      </c>
      <c r="B3667" s="1769" t="s">
        <v>9067</v>
      </c>
      <c r="C3667" s="46" t="s">
        <v>9191</v>
      </c>
      <c r="D3667" s="1751" t="s">
        <v>9196</v>
      </c>
      <c r="E3667" s="46" cm="1">
        <f t="array" ref="E3667">sch_drrm_ccam_peacebuild_docs_drrm</f>
        <v>0</v>
      </c>
      <c r="F3667" s="46" t="b">
        <v>1</v>
      </c>
    </row>
    <row r="3668" spans="1:8">
      <c r="A3668" s="46" t="s">
        <v>9192</v>
      </c>
      <c r="B3668" s="1769" t="s">
        <v>9067</v>
      </c>
      <c r="C3668" s="46" t="s">
        <v>9192</v>
      </c>
      <c r="D3668" s="1751" t="s">
        <v>9197</v>
      </c>
      <c r="E3668" s="46" cm="1">
        <f t="array" ref="E3668">sch_drrm_ccam_peacebuild_docs_peacebuild</f>
        <v>0</v>
      </c>
      <c r="F3668" s="46" t="b">
        <v>1</v>
      </c>
    </row>
    <row r="3669" spans="1:8" ht="16.5" thickBot="1">
      <c r="A3669" s="479" t="s">
        <v>9193</v>
      </c>
      <c r="B3669" s="1770" t="s">
        <v>9067</v>
      </c>
      <c r="C3669" s="479" t="s">
        <v>9193</v>
      </c>
      <c r="D3669" s="1771" t="s">
        <v>9198</v>
      </c>
      <c r="E3669" s="479" cm="1">
        <f t="array" ref="E3669">sch_drrm_ccam_peacebuild_nos_prog</f>
        <v>0</v>
      </c>
      <c r="F3669" s="479" t="b">
        <v>1</v>
      </c>
      <c r="G3669" s="479"/>
      <c r="H3669" s="479"/>
    </row>
    <row r="3670" spans="1:8" ht="16.5" thickTop="1">
      <c r="A3670" s="46" t="s">
        <v>9199</v>
      </c>
      <c r="B3670" s="46" t="s">
        <v>9234</v>
      </c>
      <c r="C3670" s="46" t="s">
        <v>9199</v>
      </c>
      <c r="D3670" s="1751" t="s">
        <v>9235</v>
      </c>
      <c r="E3670" s="46" cm="1">
        <f t="array" ref="E3670">safelearn_facilities_instructional_safe</f>
        <v>0</v>
      </c>
      <c r="F3670" s="46" t="b">
        <v>1</v>
      </c>
    </row>
    <row r="3671" spans="1:8">
      <c r="A3671" s="46" t="s">
        <v>9200</v>
      </c>
      <c r="B3671" s="46" t="s">
        <v>9234</v>
      </c>
      <c r="C3671" s="46" t="s">
        <v>9200</v>
      </c>
      <c r="D3671" s="1751" t="s">
        <v>9236</v>
      </c>
      <c r="E3671" s="46" cm="1">
        <f t="array" ref="E3671">safelearn_facilities_instructional_unsafe</f>
        <v>0</v>
      </c>
      <c r="F3671" s="46" t="b">
        <v>1</v>
      </c>
    </row>
    <row r="3672" spans="1:8">
      <c r="A3672" s="46" t="s">
        <v>9201</v>
      </c>
      <c r="B3672" s="46" t="s">
        <v>9234</v>
      </c>
      <c r="C3672" s="46" t="s">
        <v>9201</v>
      </c>
      <c r="D3672" s="1751" t="s">
        <v>9237</v>
      </c>
      <c r="E3672" s="46" cm="1">
        <f t="array" ref="E3672">safelearn_facilities_noninstructional_safe</f>
        <v>0</v>
      </c>
      <c r="F3672" s="46" t="b">
        <v>1</v>
      </c>
    </row>
    <row r="3673" spans="1:8">
      <c r="A3673" s="46" t="s">
        <v>9202</v>
      </c>
      <c r="B3673" s="46" t="s">
        <v>9234</v>
      </c>
      <c r="C3673" s="46" t="s">
        <v>9202</v>
      </c>
      <c r="D3673" s="1751" t="s">
        <v>9238</v>
      </c>
      <c r="E3673" s="46" cm="1">
        <f t="array" ref="E3673">safelearn_facilities_noninstructional_unsafe</f>
        <v>0</v>
      </c>
      <c r="F3673" s="46" t="b">
        <v>1</v>
      </c>
    </row>
    <row r="3674" spans="1:8">
      <c r="A3674" s="46" t="s">
        <v>9203</v>
      </c>
      <c r="B3674" s="46" t="s">
        <v>9234</v>
      </c>
      <c r="C3674" s="46" t="s">
        <v>9203</v>
      </c>
      <c r="D3674" s="1751" t="s">
        <v>9239</v>
      </c>
      <c r="E3674" s="46" cm="1">
        <f t="array" ref="E3674">safelearn_facilities_instructional_retrofitted</f>
        <v>0</v>
      </c>
      <c r="F3674" s="46" t="b">
        <v>1</v>
      </c>
    </row>
    <row r="3675" spans="1:8">
      <c r="A3675" s="46" t="s">
        <v>9204</v>
      </c>
      <c r="B3675" s="46" t="s">
        <v>9234</v>
      </c>
      <c r="C3675" s="46" t="s">
        <v>9204</v>
      </c>
      <c r="D3675" s="1751" t="s">
        <v>9240</v>
      </c>
      <c r="E3675" s="46" cm="1">
        <f t="array" ref="E3675">safelearn_facilities_noninstructional_retrofitted</f>
        <v>0</v>
      </c>
      <c r="F3675" s="46" t="b">
        <v>1</v>
      </c>
    </row>
    <row r="3676" spans="1:8">
      <c r="A3676" s="46" t="s">
        <v>9205</v>
      </c>
      <c r="B3676" s="46" t="s">
        <v>9234</v>
      </c>
      <c r="C3676" s="46" t="s">
        <v>9205</v>
      </c>
      <c r="D3676" s="1751" t="s">
        <v>9241</v>
      </c>
      <c r="E3676" s="46" cm="1">
        <f t="array" ref="E3676">safelearn_facilities_instructional_resilient</f>
        <v>0</v>
      </c>
      <c r="F3676" s="46" t="b">
        <v>1</v>
      </c>
    </row>
    <row r="3677" spans="1:8">
      <c r="A3677" s="46" t="s">
        <v>9206</v>
      </c>
      <c r="B3677" s="46" t="s">
        <v>9234</v>
      </c>
      <c r="C3677" s="46" t="s">
        <v>9206</v>
      </c>
      <c r="D3677" s="1751" t="s">
        <v>9242</v>
      </c>
      <c r="E3677" s="46" cm="1">
        <f t="array" ref="E3677">safelearn_facilities_noninstructional_resilient</f>
        <v>0</v>
      </c>
      <c r="F3677" s="46" t="b">
        <v>1</v>
      </c>
    </row>
    <row r="3678" spans="1:8">
      <c r="A3678" s="46" t="s">
        <v>9207</v>
      </c>
      <c r="B3678" s="46" t="s">
        <v>9234</v>
      </c>
      <c r="C3678" s="46" t="s">
        <v>9207</v>
      </c>
      <c r="D3678" s="1751" t="s">
        <v>9243</v>
      </c>
      <c r="E3678" s="46" t="b" cm="1">
        <f t="array" ref="E3678">safelearn_facilities_structural_hazard_mit_fld</f>
        <v>0</v>
      </c>
      <c r="F3678" s="1696" t="b">
        <f t="shared" ref="F3678:F3682" si="37">OR(E3678=TRUE, E3678=FALSE)</f>
        <v>1</v>
      </c>
      <c r="G3678" s="46" t="s">
        <v>11265</v>
      </c>
    </row>
    <row r="3679" spans="1:8">
      <c r="A3679" s="46" t="s">
        <v>9208</v>
      </c>
      <c r="B3679" s="46" t="s">
        <v>9234</v>
      </c>
      <c r="C3679" s="46" t="s">
        <v>9208</v>
      </c>
      <c r="D3679" s="1751" t="s">
        <v>9244</v>
      </c>
      <c r="E3679" s="46" t="b" cm="1">
        <f t="array" ref="E3679">safelearn_facilities_structural_hazard_mit_fire</f>
        <v>0</v>
      </c>
      <c r="F3679" s="1696" t="b">
        <f t="shared" si="37"/>
        <v>1</v>
      </c>
      <c r="G3679" s="46" t="s">
        <v>11265</v>
      </c>
    </row>
    <row r="3680" spans="1:8">
      <c r="A3680" s="46" t="s">
        <v>9209</v>
      </c>
      <c r="B3680" s="46" t="s">
        <v>9234</v>
      </c>
      <c r="C3680" s="46" t="s">
        <v>9209</v>
      </c>
      <c r="D3680" s="1751" t="s">
        <v>9245</v>
      </c>
      <c r="E3680" s="46" t="b" cm="1">
        <f t="array" ref="E3680">safelearn_facilities_structural_hazard_mit_sea</f>
        <v>0</v>
      </c>
      <c r="F3680" s="1696" t="b">
        <f t="shared" si="37"/>
        <v>1</v>
      </c>
      <c r="G3680" s="46" t="s">
        <v>11265</v>
      </c>
    </row>
    <row r="3681" spans="1:7">
      <c r="A3681" s="46" t="s">
        <v>9210</v>
      </c>
      <c r="B3681" s="46" t="s">
        <v>9234</v>
      </c>
      <c r="C3681" s="46" t="s">
        <v>9210</v>
      </c>
      <c r="D3681" s="1751" t="s">
        <v>9246</v>
      </c>
      <c r="E3681" s="46" t="b" cm="1">
        <f t="array" ref="E3681">safelearn_facilities_structural_hazard_mit_slope</f>
        <v>0</v>
      </c>
      <c r="F3681" s="1696" t="b">
        <f t="shared" si="37"/>
        <v>1</v>
      </c>
      <c r="G3681" s="46" t="s">
        <v>11265</v>
      </c>
    </row>
    <row r="3682" spans="1:7">
      <c r="A3682" s="46" t="s">
        <v>9211</v>
      </c>
      <c r="B3682" s="46" t="s">
        <v>9234</v>
      </c>
      <c r="C3682" s="46" t="s">
        <v>9211</v>
      </c>
      <c r="D3682" s="1751" t="s">
        <v>9247</v>
      </c>
      <c r="E3682" s="46" t="b" cm="1">
        <f t="array" ref="E3682">safelearn_facilities_structural_hazard_mit_others</f>
        <v>0</v>
      </c>
      <c r="F3682" s="1696" t="b">
        <f t="shared" si="37"/>
        <v>1</v>
      </c>
      <c r="G3682" s="46" t="s">
        <v>11265</v>
      </c>
    </row>
    <row r="3683" spans="1:7">
      <c r="A3683" s="46" t="s">
        <v>9212</v>
      </c>
      <c r="B3683" s="46" t="s">
        <v>9234</v>
      </c>
      <c r="C3683" s="46" t="s">
        <v>9212</v>
      </c>
      <c r="D3683" s="1751" t="s">
        <v>9248</v>
      </c>
      <c r="E3683" s="46" cm="1">
        <f t="array" ref="E3683">safelearn_facilities_structural_hazard_mit_others_specify</f>
        <v>0</v>
      </c>
      <c r="F3683" s="46" t="b">
        <v>1</v>
      </c>
    </row>
    <row r="3684" spans="1:7">
      <c r="A3684" s="46" t="s">
        <v>9213</v>
      </c>
      <c r="B3684" s="46" t="s">
        <v>9234</v>
      </c>
      <c r="C3684" s="46" t="s">
        <v>9213</v>
      </c>
      <c r="D3684" s="1751" t="s">
        <v>9249</v>
      </c>
      <c r="E3684" s="46" t="b" cm="1">
        <f t="array" ref="E3684">safelearn_facilities_nonstructural_hazard_mit_slope_protect</f>
        <v>0</v>
      </c>
      <c r="F3684" s="1696" t="b">
        <f t="shared" ref="F3684:F3688" si="38">OR(E3684=TRUE, E3684=FALSE)</f>
        <v>1</v>
      </c>
      <c r="G3684" s="46" t="s">
        <v>11265</v>
      </c>
    </row>
    <row r="3685" spans="1:7">
      <c r="A3685" s="46" t="s">
        <v>9214</v>
      </c>
      <c r="B3685" s="46" t="s">
        <v>9234</v>
      </c>
      <c r="C3685" s="46" t="s">
        <v>9214</v>
      </c>
      <c r="D3685" s="1751" t="s">
        <v>9250</v>
      </c>
      <c r="E3685" s="46" t="b" cm="1">
        <f t="array" ref="E3685">safelearn_facilities_nonstructural_hazard_mit_vege</f>
        <v>0</v>
      </c>
      <c r="F3685" s="1696" t="b">
        <f t="shared" si="38"/>
        <v>1</v>
      </c>
      <c r="G3685" s="46" t="s">
        <v>11265</v>
      </c>
    </row>
    <row r="3686" spans="1:7">
      <c r="A3686" s="46" t="s">
        <v>9215</v>
      </c>
      <c r="B3686" s="46" t="s">
        <v>9234</v>
      </c>
      <c r="C3686" s="46" t="s">
        <v>9215</v>
      </c>
      <c r="D3686" s="1751" t="s">
        <v>9251</v>
      </c>
      <c r="E3686" s="46" t="b" cm="1">
        <f t="array" ref="E3686">safelearn_facilities_nonstructural_hazard_mit_porous</f>
        <v>0</v>
      </c>
      <c r="F3686" s="1696" t="b">
        <f t="shared" si="38"/>
        <v>1</v>
      </c>
      <c r="G3686" s="46" t="s">
        <v>11265</v>
      </c>
    </row>
    <row r="3687" spans="1:7">
      <c r="A3687" s="46" t="s">
        <v>9216</v>
      </c>
      <c r="B3687" s="46" t="s">
        <v>9234</v>
      </c>
      <c r="C3687" s="46" t="s">
        <v>9216</v>
      </c>
      <c r="D3687" s="1751" t="s">
        <v>9252</v>
      </c>
      <c r="E3687" s="46" t="b" cm="1">
        <f t="array" ref="E3687">safelearn_facilities_nonstructural_hazard_mit_pruning</f>
        <v>0</v>
      </c>
      <c r="F3687" s="1696" t="b">
        <f t="shared" si="38"/>
        <v>1</v>
      </c>
      <c r="G3687" s="46" t="s">
        <v>11265</v>
      </c>
    </row>
    <row r="3688" spans="1:7">
      <c r="A3688" s="46" t="s">
        <v>9217</v>
      </c>
      <c r="B3688" s="46" t="s">
        <v>9234</v>
      </c>
      <c r="C3688" s="46" t="s">
        <v>9217</v>
      </c>
      <c r="D3688" s="1751" t="s">
        <v>9253</v>
      </c>
      <c r="E3688" s="46" t="b" cm="1">
        <f t="array" ref="E3688">safelearn_facilities_nonstructural_hazard_mit_others</f>
        <v>0</v>
      </c>
      <c r="F3688" s="1696" t="b">
        <f t="shared" si="38"/>
        <v>1</v>
      </c>
      <c r="G3688" s="46" t="s">
        <v>11265</v>
      </c>
    </row>
    <row r="3689" spans="1:7">
      <c r="A3689" s="46" t="s">
        <v>9218</v>
      </c>
      <c r="B3689" s="46" t="s">
        <v>9234</v>
      </c>
      <c r="C3689" s="46" t="s">
        <v>9218</v>
      </c>
      <c r="D3689" s="1751" t="s">
        <v>9254</v>
      </c>
      <c r="E3689" s="46" cm="1">
        <f t="array" ref="E3689">safelearn_facilities_nonstructural_hazard_mit_others_specify</f>
        <v>0</v>
      </c>
      <c r="F3689" s="46" t="b">
        <v>1</v>
      </c>
    </row>
    <row r="3690" spans="1:7">
      <c r="A3690" s="46" t="s">
        <v>9219</v>
      </c>
      <c r="B3690" s="46" t="s">
        <v>9234</v>
      </c>
      <c r="C3690" s="46" t="s">
        <v>9219</v>
      </c>
      <c r="D3690" s="1751" t="s">
        <v>9255</v>
      </c>
      <c r="E3690" s="46" t="b" cm="1">
        <f t="array" ref="E3690">safelearn_facilities_reg_inspect</f>
        <v>0</v>
      </c>
      <c r="F3690" s="1696" t="b">
        <f t="shared" ref="F3690:F3705" si="39">OR(E3690=TRUE, E3690=FALSE)</f>
        <v>1</v>
      </c>
      <c r="G3690" s="46" t="s">
        <v>11265</v>
      </c>
    </row>
    <row r="3691" spans="1:7">
      <c r="A3691" s="46" t="s">
        <v>9220</v>
      </c>
      <c r="B3691" s="46" t="s">
        <v>9234</v>
      </c>
      <c r="C3691" s="46" t="s">
        <v>9220</v>
      </c>
      <c r="D3691" s="1751" t="s">
        <v>9256</v>
      </c>
      <c r="E3691" s="46" t="b" cm="1">
        <f t="array" ref="E3691">safelearn_facilities_sh_budget</f>
        <v>1</v>
      </c>
      <c r="F3691" s="1696" t="b">
        <f t="shared" si="39"/>
        <v>1</v>
      </c>
      <c r="G3691" s="46" t="s">
        <v>11265</v>
      </c>
    </row>
    <row r="3692" spans="1:7">
      <c r="A3692" s="46" t="s">
        <v>9221</v>
      </c>
      <c r="B3692" s="46" t="s">
        <v>9234</v>
      </c>
      <c r="C3692" s="46" t="s">
        <v>9221</v>
      </c>
      <c r="D3692" s="1751" t="s">
        <v>9257</v>
      </c>
      <c r="E3692" s="46" t="b" cm="1">
        <f t="array" ref="E3692">safelearn_facilities_reg_repair</f>
        <v>1</v>
      </c>
      <c r="F3692" s="1696" t="b">
        <f t="shared" si="39"/>
        <v>1</v>
      </c>
      <c r="G3692" s="46" t="s">
        <v>11265</v>
      </c>
    </row>
    <row r="3693" spans="1:7">
      <c r="A3693" s="1773" t="s">
        <v>9229</v>
      </c>
      <c r="B3693" s="46" t="s">
        <v>9234</v>
      </c>
      <c r="C3693" s="1773" t="s">
        <v>9229</v>
      </c>
      <c r="D3693" s="1751" t="s">
        <v>9258</v>
      </c>
      <c r="E3693" s="1773" t="b" cm="1">
        <f t="array" ref="E3693">safelearn_main_fac_jan</f>
        <v>0</v>
      </c>
      <c r="F3693" s="1696" t="b">
        <f t="shared" si="39"/>
        <v>1</v>
      </c>
      <c r="G3693" s="46" t="s">
        <v>11265</v>
      </c>
    </row>
    <row r="3694" spans="1:7">
      <c r="A3694" s="1773" t="s">
        <v>9230</v>
      </c>
      <c r="B3694" s="46" t="s">
        <v>9234</v>
      </c>
      <c r="C3694" s="1773" t="s">
        <v>9230</v>
      </c>
      <c r="D3694" s="1751" t="s">
        <v>9259</v>
      </c>
      <c r="E3694" s="1773" t="b" cm="1">
        <f t="array" ref="E3694">safelearn_main_fac_feb</f>
        <v>0</v>
      </c>
      <c r="F3694" s="1696" t="b">
        <f t="shared" si="39"/>
        <v>1</v>
      </c>
      <c r="G3694" s="46" t="s">
        <v>11265</v>
      </c>
    </row>
    <row r="3695" spans="1:7">
      <c r="A3695" s="1773" t="s">
        <v>9233</v>
      </c>
      <c r="B3695" s="46" t="s">
        <v>9234</v>
      </c>
      <c r="C3695" s="1773" t="s">
        <v>9233</v>
      </c>
      <c r="D3695" s="1751" t="s">
        <v>9260</v>
      </c>
      <c r="E3695" s="1773" t="b" cm="1">
        <f t="array" ref="E3695">safelearn_main_fac_mar</f>
        <v>0</v>
      </c>
      <c r="F3695" s="1696" t="b">
        <f t="shared" si="39"/>
        <v>1</v>
      </c>
      <c r="G3695" s="46" t="s">
        <v>11265</v>
      </c>
    </row>
    <row r="3696" spans="1:7">
      <c r="A3696" s="1773" t="s">
        <v>9231</v>
      </c>
      <c r="B3696" s="46" t="s">
        <v>9234</v>
      </c>
      <c r="C3696" s="1773" t="s">
        <v>9231</v>
      </c>
      <c r="D3696" s="1751" t="s">
        <v>9261</v>
      </c>
      <c r="E3696" s="1773" t="b" cm="1">
        <f t="array" ref="E3696">safelearn_main_fac_apr</f>
        <v>0</v>
      </c>
      <c r="F3696" s="1696" t="b">
        <f t="shared" si="39"/>
        <v>1</v>
      </c>
      <c r="G3696" s="46" t="s">
        <v>11265</v>
      </c>
    </row>
    <row r="3697" spans="1:8">
      <c r="A3697" s="1773" t="s">
        <v>9232</v>
      </c>
      <c r="B3697" s="46" t="s">
        <v>9234</v>
      </c>
      <c r="C3697" s="1773" t="s">
        <v>9232</v>
      </c>
      <c r="D3697" s="1751" t="s">
        <v>9262</v>
      </c>
      <c r="E3697" s="1773" t="b" cm="1">
        <f t="array" ref="E3697">safelearn_main_fac_may</f>
        <v>0</v>
      </c>
      <c r="F3697" s="1696" t="b">
        <f t="shared" si="39"/>
        <v>1</v>
      </c>
      <c r="G3697" s="46" t="s">
        <v>11265</v>
      </c>
    </row>
    <row r="3698" spans="1:8">
      <c r="A3698" s="1773" t="s">
        <v>9222</v>
      </c>
      <c r="B3698" s="46" t="s">
        <v>9234</v>
      </c>
      <c r="C3698" s="1773" t="s">
        <v>9222</v>
      </c>
      <c r="D3698" s="1751" t="s">
        <v>9263</v>
      </c>
      <c r="E3698" s="1773" t="b" cm="1">
        <f t="array" ref="E3698">safelearn_main_fac_jun</f>
        <v>1</v>
      </c>
      <c r="F3698" s="1696" t="b">
        <f t="shared" si="39"/>
        <v>1</v>
      </c>
      <c r="G3698" s="46" t="s">
        <v>11265</v>
      </c>
    </row>
    <row r="3699" spans="1:8">
      <c r="A3699" s="1773" t="s">
        <v>9223</v>
      </c>
      <c r="B3699" s="46" t="s">
        <v>9234</v>
      </c>
      <c r="C3699" s="1773" t="s">
        <v>9223</v>
      </c>
      <c r="D3699" s="1751" t="s">
        <v>9264</v>
      </c>
      <c r="E3699" s="1773" t="b" cm="1">
        <f t="array" ref="E3699">safelearn_main_fac_july</f>
        <v>1</v>
      </c>
      <c r="F3699" s="1696" t="b">
        <f t="shared" si="39"/>
        <v>1</v>
      </c>
      <c r="G3699" s="46" t="s">
        <v>11265</v>
      </c>
    </row>
    <row r="3700" spans="1:8">
      <c r="A3700" s="1773" t="s">
        <v>9224</v>
      </c>
      <c r="B3700" s="46" t="s">
        <v>9234</v>
      </c>
      <c r="C3700" s="1773" t="s">
        <v>9224</v>
      </c>
      <c r="D3700" s="1751" t="s">
        <v>9265</v>
      </c>
      <c r="E3700" s="1773" t="b" cm="1">
        <f t="array" ref="E3700">safelearn_main_fac_aug</f>
        <v>0</v>
      </c>
      <c r="F3700" s="1696" t="b">
        <f t="shared" si="39"/>
        <v>1</v>
      </c>
      <c r="G3700" s="46" t="s">
        <v>11265</v>
      </c>
    </row>
    <row r="3701" spans="1:8">
      <c r="A3701" s="1773" t="s">
        <v>9225</v>
      </c>
      <c r="B3701" s="46" t="s">
        <v>9234</v>
      </c>
      <c r="C3701" s="1773" t="s">
        <v>9225</v>
      </c>
      <c r="D3701" s="1751" t="s">
        <v>9266</v>
      </c>
      <c r="E3701" s="1773" t="b" cm="1">
        <f t="array" ref="E3701">safelearn_main_fac_sep</f>
        <v>0</v>
      </c>
      <c r="F3701" s="1696" t="b">
        <f t="shared" si="39"/>
        <v>1</v>
      </c>
      <c r="G3701" s="46" t="s">
        <v>11265</v>
      </c>
    </row>
    <row r="3702" spans="1:8">
      <c r="A3702" s="1773" t="s">
        <v>9226</v>
      </c>
      <c r="B3702" s="46" t="s">
        <v>9234</v>
      </c>
      <c r="C3702" s="1773" t="s">
        <v>9226</v>
      </c>
      <c r="D3702" s="1751" t="s">
        <v>9267</v>
      </c>
      <c r="E3702" s="1773" t="b" cm="1">
        <f t="array" ref="E3702">safelearn_main_fac_oct</f>
        <v>0</v>
      </c>
      <c r="F3702" s="1696" t="b">
        <f t="shared" si="39"/>
        <v>1</v>
      </c>
      <c r="G3702" s="46" t="s">
        <v>11265</v>
      </c>
    </row>
    <row r="3703" spans="1:8">
      <c r="A3703" s="1773" t="s">
        <v>9227</v>
      </c>
      <c r="B3703" s="46" t="s">
        <v>9234</v>
      </c>
      <c r="C3703" s="1773" t="s">
        <v>9227</v>
      </c>
      <c r="D3703" s="1751" t="s">
        <v>9268</v>
      </c>
      <c r="E3703" s="1773" t="b" cm="1">
        <f t="array" ref="E3703">safelearn_main_fac_nov</f>
        <v>0</v>
      </c>
      <c r="F3703" s="1696" t="b">
        <f t="shared" si="39"/>
        <v>1</v>
      </c>
      <c r="G3703" s="46" t="s">
        <v>11265</v>
      </c>
    </row>
    <row r="3704" spans="1:8" ht="16.5" thickBot="1">
      <c r="A3704" s="1774" t="s">
        <v>9228</v>
      </c>
      <c r="B3704" s="479" t="s">
        <v>9234</v>
      </c>
      <c r="C3704" s="1774" t="s">
        <v>9228</v>
      </c>
      <c r="D3704" s="1771" t="s">
        <v>9269</v>
      </c>
      <c r="E3704" s="1774" t="b" cm="1">
        <f t="array" ref="E3704">safelearn_main_fac_dec</f>
        <v>0</v>
      </c>
      <c r="F3704" s="1697" t="b">
        <f t="shared" si="39"/>
        <v>1</v>
      </c>
      <c r="G3704" s="479" t="s">
        <v>11265</v>
      </c>
      <c r="H3704" s="479"/>
    </row>
    <row r="3705" spans="1:8" ht="16.5" thickTop="1">
      <c r="A3705" s="46" t="s">
        <v>9302</v>
      </c>
      <c r="B3705" s="46" t="s">
        <v>9234</v>
      </c>
      <c r="C3705" s="46" t="s">
        <v>9302</v>
      </c>
      <c r="D3705" s="1751" t="s">
        <v>9303</v>
      </c>
      <c r="E3705" s="46" t="b" cm="1">
        <f t="array" ref="E3705">safelearn_rehab_recover_safe_precaution_yes</f>
        <v>1</v>
      </c>
      <c r="F3705" s="1696" t="b">
        <f t="shared" si="39"/>
        <v>1</v>
      </c>
      <c r="G3705" s="46" t="s">
        <v>11265</v>
      </c>
    </row>
    <row r="3706" spans="1:8">
      <c r="A3706" s="46" t="s">
        <v>9270</v>
      </c>
      <c r="B3706" s="46" t="s">
        <v>9234</v>
      </c>
      <c r="C3706" s="46" t="s">
        <v>9270</v>
      </c>
      <c r="D3706" s="1751" t="s">
        <v>9286</v>
      </c>
      <c r="E3706" s="46" cm="1">
        <f t="array" ref="E3706">safelearn_rehab_recover_instruction_rep_basic</f>
        <v>0</v>
      </c>
      <c r="F3706" s="46" t="b">
        <v>1</v>
      </c>
    </row>
    <row r="3707" spans="1:8">
      <c r="A3707" s="46" t="s">
        <v>9271</v>
      </c>
      <c r="B3707" s="46" t="s">
        <v>9234</v>
      </c>
      <c r="C3707" s="46" t="s">
        <v>9271</v>
      </c>
      <c r="D3707" s="1751" t="s">
        <v>9287</v>
      </c>
      <c r="E3707" s="46" cm="1">
        <f t="array" ref="E3707">safelearn_rehab_recover_instruction_rep_quick</f>
        <v>0</v>
      </c>
      <c r="F3707" s="46" t="b">
        <v>1</v>
      </c>
    </row>
    <row r="3708" spans="1:8">
      <c r="A3708" s="46" t="s">
        <v>9272</v>
      </c>
      <c r="B3708" s="46" t="s">
        <v>9234</v>
      </c>
      <c r="C3708" s="46" t="s">
        <v>9272</v>
      </c>
      <c r="D3708" s="1751" t="s">
        <v>9288</v>
      </c>
      <c r="E3708" s="46" cm="1">
        <f t="array" ref="E3708">safelearn_rehab_recover_instruction_rep_ndrrm</f>
        <v>0</v>
      </c>
      <c r="F3708" s="46" t="b">
        <v>1</v>
      </c>
    </row>
    <row r="3709" spans="1:8">
      <c r="A3709" s="46" t="s">
        <v>9273</v>
      </c>
      <c r="B3709" s="46" t="s">
        <v>9234</v>
      </c>
      <c r="C3709" s="46" t="s">
        <v>9273</v>
      </c>
      <c r="D3709" s="1751" t="s">
        <v>9289</v>
      </c>
      <c r="E3709" s="46" cm="1">
        <f t="array" ref="E3709">safelearn_rehab_recover_instruction_rep_expart</f>
        <v>0</v>
      </c>
      <c r="F3709" s="46" t="b">
        <v>1</v>
      </c>
    </row>
    <row r="3710" spans="1:8">
      <c r="A3710" s="46" t="s">
        <v>9274</v>
      </c>
      <c r="B3710" s="46" t="s">
        <v>9234</v>
      </c>
      <c r="C3710" s="46" t="s">
        <v>9274</v>
      </c>
      <c r="D3710" s="1751" t="s">
        <v>9290</v>
      </c>
      <c r="E3710" s="46" cm="1">
        <f t="array" ref="E3710">safelearn_rehab_recover_noninstruction_rep_basic</f>
        <v>0</v>
      </c>
      <c r="F3710" s="46" t="b">
        <v>1</v>
      </c>
    </row>
    <row r="3711" spans="1:8">
      <c r="A3711" s="46" t="s">
        <v>9275</v>
      </c>
      <c r="B3711" s="46" t="s">
        <v>9234</v>
      </c>
      <c r="C3711" s="46" t="s">
        <v>9275</v>
      </c>
      <c r="D3711" s="1751" t="s">
        <v>9291</v>
      </c>
      <c r="E3711" s="46" cm="1">
        <f t="array" ref="E3711">safelearn_rehab_recover_noninstruction_rep_quick</f>
        <v>0</v>
      </c>
      <c r="F3711" s="46" t="b">
        <v>1</v>
      </c>
    </row>
    <row r="3712" spans="1:8">
      <c r="A3712" s="46" t="s">
        <v>9276</v>
      </c>
      <c r="B3712" s="46" t="s">
        <v>9234</v>
      </c>
      <c r="C3712" s="46" t="s">
        <v>9276</v>
      </c>
      <c r="D3712" s="1751" t="s">
        <v>9292</v>
      </c>
      <c r="E3712" s="46" cm="1">
        <f t="array" ref="E3712">safelearn_rehab_recover_noninstruction_rep_ndrrm</f>
        <v>0</v>
      </c>
      <c r="F3712" s="46" t="b">
        <v>1</v>
      </c>
    </row>
    <row r="3713" spans="1:8">
      <c r="A3713" s="46" t="s">
        <v>9277</v>
      </c>
      <c r="B3713" s="46" t="s">
        <v>9234</v>
      </c>
      <c r="C3713" s="46" t="s">
        <v>9277</v>
      </c>
      <c r="D3713" s="1751" t="s">
        <v>9293</v>
      </c>
      <c r="E3713" s="46" cm="1">
        <f t="array" ref="E3713">safelearn_rehab_recover_noninstruction_rep_expart</f>
        <v>0</v>
      </c>
      <c r="F3713" s="46" t="b">
        <v>1</v>
      </c>
    </row>
    <row r="3714" spans="1:8">
      <c r="A3714" s="46" t="s">
        <v>9278</v>
      </c>
      <c r="B3714" s="46" t="s">
        <v>9234</v>
      </c>
      <c r="C3714" s="46" t="s">
        <v>9278</v>
      </c>
      <c r="D3714" s="1751" t="s">
        <v>9294</v>
      </c>
      <c r="E3714" s="46" cm="1">
        <f t="array" ref="E3714">safelearn_rehab_recover_instruction_reconstruct_basic</f>
        <v>0</v>
      </c>
      <c r="F3714" s="46" t="b">
        <v>1</v>
      </c>
    </row>
    <row r="3715" spans="1:8">
      <c r="A3715" s="46" t="s">
        <v>9279</v>
      </c>
      <c r="B3715" s="46" t="s">
        <v>9234</v>
      </c>
      <c r="C3715" s="46" t="s">
        <v>9279</v>
      </c>
      <c r="D3715" s="1751" t="s">
        <v>9295</v>
      </c>
      <c r="E3715" s="46" cm="1">
        <f t="array" ref="E3715">safelearn_rehab_recover_instruction_reconstruct_quick</f>
        <v>0</v>
      </c>
      <c r="F3715" s="46" t="b">
        <v>1</v>
      </c>
    </row>
    <row r="3716" spans="1:8">
      <c r="A3716" s="46" t="s">
        <v>9280</v>
      </c>
      <c r="B3716" s="46" t="s">
        <v>9234</v>
      </c>
      <c r="C3716" s="46" t="s">
        <v>9280</v>
      </c>
      <c r="D3716" s="1751" t="s">
        <v>9296</v>
      </c>
      <c r="E3716" s="46" cm="1">
        <f t="array" ref="E3716">safelearn_rehab_recover_instruction_reconstruct_ndrrm</f>
        <v>0</v>
      </c>
      <c r="F3716" s="46" t="b">
        <v>1</v>
      </c>
    </row>
    <row r="3717" spans="1:8">
      <c r="A3717" s="46" t="s">
        <v>9281</v>
      </c>
      <c r="B3717" s="46" t="s">
        <v>9234</v>
      </c>
      <c r="C3717" s="46" t="s">
        <v>9281</v>
      </c>
      <c r="D3717" s="1751" t="s">
        <v>9297</v>
      </c>
      <c r="E3717" s="46" cm="1">
        <f t="array" ref="E3717">safelearn_rehab_recover_instruction_reconstruct_expart</f>
        <v>0</v>
      </c>
      <c r="F3717" s="46" t="b">
        <v>1</v>
      </c>
    </row>
    <row r="3718" spans="1:8">
      <c r="A3718" s="46" t="s">
        <v>9282</v>
      </c>
      <c r="B3718" s="46" t="s">
        <v>9234</v>
      </c>
      <c r="C3718" s="46" t="s">
        <v>9282</v>
      </c>
      <c r="D3718" s="1751" t="s">
        <v>9298</v>
      </c>
      <c r="E3718" s="46" cm="1">
        <f t="array" ref="E3718">safelearn_rehab_recover_noninstruction_reconstruct_basic</f>
        <v>0</v>
      </c>
      <c r="F3718" s="46" t="b">
        <v>1</v>
      </c>
    </row>
    <row r="3719" spans="1:8">
      <c r="A3719" s="46" t="s">
        <v>9283</v>
      </c>
      <c r="B3719" s="46" t="s">
        <v>9234</v>
      </c>
      <c r="C3719" s="46" t="s">
        <v>9283</v>
      </c>
      <c r="D3719" s="1751" t="s">
        <v>9299</v>
      </c>
      <c r="E3719" s="46" cm="1">
        <f t="array" ref="E3719">safelearn_rehab_recover_noninstruction_reconstruct_quick</f>
        <v>0</v>
      </c>
      <c r="F3719" s="46" t="b">
        <v>1</v>
      </c>
    </row>
    <row r="3720" spans="1:8">
      <c r="A3720" s="46" t="s">
        <v>9284</v>
      </c>
      <c r="B3720" s="46" t="s">
        <v>9234</v>
      </c>
      <c r="C3720" s="46" t="s">
        <v>9284</v>
      </c>
      <c r="D3720" s="1751" t="s">
        <v>9300</v>
      </c>
      <c r="E3720" s="46" cm="1">
        <f t="array" ref="E3720">safelearn_rehab_recover_noninstruction_reconstruct_ndrrm</f>
        <v>0</v>
      </c>
      <c r="F3720" s="46" t="b">
        <v>1</v>
      </c>
    </row>
    <row r="3721" spans="1:8" ht="16.5" thickBot="1">
      <c r="A3721" s="479" t="s">
        <v>9285</v>
      </c>
      <c r="B3721" s="479" t="s">
        <v>9234</v>
      </c>
      <c r="C3721" s="479" t="s">
        <v>9285</v>
      </c>
      <c r="D3721" s="1771" t="s">
        <v>9301</v>
      </c>
      <c r="E3721" s="479" cm="1">
        <f t="array" ref="E3721">safelearn_rehab_recover_noninstruction_reconstruct_expart</f>
        <v>0</v>
      </c>
      <c r="F3721" s="479" t="b">
        <v>1</v>
      </c>
      <c r="G3721" s="479"/>
      <c r="H3721" s="479"/>
    </row>
    <row r="3722" spans="1:8" ht="16.5" thickTop="1">
      <c r="A3722" s="46" t="s">
        <v>9304</v>
      </c>
      <c r="B3722" s="46" t="s">
        <v>11339</v>
      </c>
      <c r="C3722" s="46" t="s">
        <v>9304</v>
      </c>
      <c r="D3722" s="1751" t="s">
        <v>9359</v>
      </c>
      <c r="E3722" s="46" t="b" cm="1">
        <f t="array" ref="E3722">sch_watch_conduct_hazard_map</f>
        <v>1</v>
      </c>
      <c r="F3722" s="1696" t="b">
        <f t="shared" ref="F3722:F3736" si="40">OR(E3722=TRUE, E3722=FALSE)</f>
        <v>1</v>
      </c>
      <c r="G3722" s="46" t="s">
        <v>11265</v>
      </c>
    </row>
    <row r="3723" spans="1:8">
      <c r="A3723" s="46" t="s">
        <v>9305</v>
      </c>
      <c r="B3723" s="46" t="s">
        <v>11339</v>
      </c>
      <c r="C3723" s="46" t="s">
        <v>9305</v>
      </c>
      <c r="D3723" s="1751" t="s">
        <v>9360</v>
      </c>
      <c r="E3723" s="46" t="b" cm="1">
        <f t="array" ref="E3723">sch_watch_inc_hazard_map</f>
        <v>1</v>
      </c>
      <c r="F3723" s="1696" t="b">
        <f t="shared" si="40"/>
        <v>1</v>
      </c>
      <c r="G3723" s="46" t="s">
        <v>11265</v>
      </c>
    </row>
    <row r="3724" spans="1:8">
      <c r="A3724" s="46" t="s">
        <v>9306</v>
      </c>
      <c r="B3724" s="46" t="s">
        <v>11339</v>
      </c>
      <c r="C3724" s="46" t="s">
        <v>9306</v>
      </c>
      <c r="D3724" s="1751" t="s">
        <v>9361</v>
      </c>
      <c r="E3724" s="46" t="b" cm="1">
        <f t="array" ref="E3724">sch_watch_avail_hazard_map</f>
        <v>0</v>
      </c>
      <c r="F3724" s="1696" t="b">
        <f t="shared" si="40"/>
        <v>1</v>
      </c>
      <c r="G3724" s="46" t="s">
        <v>11265</v>
      </c>
    </row>
    <row r="3725" spans="1:8">
      <c r="A3725" s="46" t="s">
        <v>9307</v>
      </c>
      <c r="B3725" s="46" t="s">
        <v>11339</v>
      </c>
      <c r="C3725" s="46" t="s">
        <v>9307</v>
      </c>
      <c r="D3725" s="1751" t="s">
        <v>9362</v>
      </c>
      <c r="E3725" s="46" t="b" cm="1">
        <f t="array" ref="E3725">sch_watch_present_hazard_map</f>
        <v>1</v>
      </c>
      <c r="F3725" s="1696" t="b">
        <f t="shared" si="40"/>
        <v>1</v>
      </c>
      <c r="G3725" s="46" t="s">
        <v>11265</v>
      </c>
    </row>
    <row r="3726" spans="1:8">
      <c r="A3726" s="46" t="s">
        <v>9308</v>
      </c>
      <c r="B3726" s="46" t="s">
        <v>11339</v>
      </c>
      <c r="C3726" s="46" t="s">
        <v>9308</v>
      </c>
      <c r="D3726" s="1751" t="s">
        <v>9363</v>
      </c>
      <c r="E3726" s="46" t="b" cm="1">
        <f t="array" ref="E3726">sch_watch_link_hazard_map</f>
        <v>0</v>
      </c>
      <c r="F3726" s="1696" t="b">
        <f t="shared" si="40"/>
        <v>1</v>
      </c>
      <c r="G3726" s="46" t="s">
        <v>11265</v>
      </c>
    </row>
    <row r="3727" spans="1:8">
      <c r="A3727" s="46" t="s">
        <v>9309</v>
      </c>
      <c r="B3727" s="46" t="s">
        <v>11339</v>
      </c>
      <c r="C3727" s="46" t="s">
        <v>9309</v>
      </c>
      <c r="D3727" s="1751" t="s">
        <v>9364</v>
      </c>
      <c r="E3727" s="46" t="b" cm="1">
        <f t="array" ref="E3727">sch_watch_nat_hazard_trop_cyclone</f>
        <v>0</v>
      </c>
      <c r="F3727" s="1696" t="b">
        <f t="shared" si="40"/>
        <v>1</v>
      </c>
      <c r="G3727" s="46" t="s">
        <v>11265</v>
      </c>
    </row>
    <row r="3728" spans="1:8">
      <c r="A3728" s="46" t="s">
        <v>9310</v>
      </c>
      <c r="B3728" s="46" t="s">
        <v>11339</v>
      </c>
      <c r="C3728" s="46" t="s">
        <v>9310</v>
      </c>
      <c r="D3728" s="1751" t="s">
        <v>9365</v>
      </c>
      <c r="E3728" s="46" t="b" cm="1">
        <f t="array" ref="E3728">sch_watch_nat_hazard_storm_surge</f>
        <v>0</v>
      </c>
      <c r="F3728" s="1696" t="b">
        <f t="shared" si="40"/>
        <v>1</v>
      </c>
      <c r="G3728" s="46" t="s">
        <v>11265</v>
      </c>
    </row>
    <row r="3729" spans="1:7">
      <c r="A3729" s="46" t="s">
        <v>9311</v>
      </c>
      <c r="B3729" s="46" t="s">
        <v>11339</v>
      </c>
      <c r="C3729" s="46" t="s">
        <v>9311</v>
      </c>
      <c r="D3729" s="1751" t="s">
        <v>9366</v>
      </c>
      <c r="E3729" s="46" t="b" cm="1">
        <f t="array" ref="E3729">sch_watch_nat_hazard_flood</f>
        <v>1</v>
      </c>
      <c r="F3729" s="1696" t="b">
        <f t="shared" si="40"/>
        <v>1</v>
      </c>
      <c r="G3729" s="46" t="s">
        <v>11265</v>
      </c>
    </row>
    <row r="3730" spans="1:7">
      <c r="A3730" s="46" t="s">
        <v>9312</v>
      </c>
      <c r="B3730" s="46" t="s">
        <v>11339</v>
      </c>
      <c r="C3730" s="46" t="s">
        <v>9312</v>
      </c>
      <c r="D3730" s="1751" t="s">
        <v>9367</v>
      </c>
      <c r="E3730" s="46" t="b" cm="1">
        <f t="array" ref="E3730">sch_watch_nat_hazard_drought</f>
        <v>0</v>
      </c>
      <c r="F3730" s="1696" t="b">
        <f t="shared" si="40"/>
        <v>1</v>
      </c>
      <c r="G3730" s="46" t="s">
        <v>11265</v>
      </c>
    </row>
    <row r="3731" spans="1:7">
      <c r="A3731" s="46" t="s">
        <v>9313</v>
      </c>
      <c r="B3731" s="46" t="s">
        <v>11339</v>
      </c>
      <c r="C3731" s="46" t="s">
        <v>9313</v>
      </c>
      <c r="D3731" s="1751" t="s">
        <v>9368</v>
      </c>
      <c r="E3731" s="46" t="b" cm="1">
        <f t="array" ref="E3731">sch_watch_nat_hazard_landslide</f>
        <v>0</v>
      </c>
      <c r="F3731" s="1696" t="b">
        <f t="shared" si="40"/>
        <v>1</v>
      </c>
      <c r="G3731" s="46" t="s">
        <v>11265</v>
      </c>
    </row>
    <row r="3732" spans="1:7">
      <c r="A3732" s="46" t="s">
        <v>9314</v>
      </c>
      <c r="B3732" s="46" t="s">
        <v>11339</v>
      </c>
      <c r="C3732" s="46" t="s">
        <v>9314</v>
      </c>
      <c r="D3732" s="1751" t="s">
        <v>9369</v>
      </c>
      <c r="E3732" s="46" t="b" cm="1">
        <f t="array" ref="E3732">sch_watch_nat_hazard_earthquake</f>
        <v>1</v>
      </c>
      <c r="F3732" s="1696" t="b">
        <f t="shared" si="40"/>
        <v>1</v>
      </c>
      <c r="G3732" s="46" t="s">
        <v>11265</v>
      </c>
    </row>
    <row r="3733" spans="1:7">
      <c r="A3733" s="46" t="s">
        <v>9315</v>
      </c>
      <c r="B3733" s="46" t="s">
        <v>11339</v>
      </c>
      <c r="C3733" s="46" t="s">
        <v>9315</v>
      </c>
      <c r="D3733" s="1751" t="s">
        <v>9370</v>
      </c>
      <c r="E3733" s="46" t="b" cm="1">
        <f t="array" ref="E3733">sch_watch_nat_hazard_vol_erupt</f>
        <v>0</v>
      </c>
      <c r="F3733" s="1696" t="b">
        <f t="shared" si="40"/>
        <v>1</v>
      </c>
      <c r="G3733" s="46" t="s">
        <v>11265</v>
      </c>
    </row>
    <row r="3734" spans="1:7">
      <c r="A3734" s="46" t="s">
        <v>9316</v>
      </c>
      <c r="B3734" s="46" t="s">
        <v>11339</v>
      </c>
      <c r="C3734" s="46" t="s">
        <v>9316</v>
      </c>
      <c r="D3734" s="1751" t="s">
        <v>9371</v>
      </c>
      <c r="E3734" s="46" t="b" cm="1">
        <f t="array" ref="E3734">sch_watch_nat_hazard_tsunami</f>
        <v>0</v>
      </c>
      <c r="F3734" s="1696" t="b">
        <f t="shared" si="40"/>
        <v>1</v>
      </c>
      <c r="G3734" s="46" t="s">
        <v>11265</v>
      </c>
    </row>
    <row r="3735" spans="1:7">
      <c r="A3735" s="46" t="s">
        <v>9317</v>
      </c>
      <c r="B3735" s="46" t="s">
        <v>11339</v>
      </c>
      <c r="C3735" s="46" t="s">
        <v>9317</v>
      </c>
      <c r="D3735" s="1751" t="s">
        <v>9372</v>
      </c>
      <c r="E3735" s="46" t="b" cm="1">
        <f t="array" ref="E3735">sch_watch_nat_hazard_fire</f>
        <v>1</v>
      </c>
      <c r="F3735" s="1696" t="b">
        <f t="shared" si="40"/>
        <v>1</v>
      </c>
      <c r="G3735" s="46" t="s">
        <v>11265</v>
      </c>
    </row>
    <row r="3736" spans="1:7">
      <c r="A3736" s="46" t="s">
        <v>9318</v>
      </c>
      <c r="B3736" s="46" t="s">
        <v>11339</v>
      </c>
      <c r="C3736" s="46" t="s">
        <v>9318</v>
      </c>
      <c r="D3736" s="1751" t="s">
        <v>9373</v>
      </c>
      <c r="E3736" s="46" t="b" cm="1">
        <f t="array" ref="E3736">sch_watch_nat_hazard_others</f>
        <v>0</v>
      </c>
      <c r="F3736" s="1696" t="b">
        <f t="shared" si="40"/>
        <v>1</v>
      </c>
      <c r="G3736" s="46" t="s">
        <v>11265</v>
      </c>
    </row>
    <row r="3737" spans="1:7">
      <c r="A3737" s="46" t="s">
        <v>9319</v>
      </c>
      <c r="B3737" s="46" t="s">
        <v>11339</v>
      </c>
      <c r="C3737" s="46" t="s">
        <v>9319</v>
      </c>
      <c r="D3737" s="1751" t="s">
        <v>9374</v>
      </c>
      <c r="E3737" s="46" cm="1">
        <f t="array" ref="E3737">sch_watch_nat_hazard_others_specify</f>
        <v>0</v>
      </c>
      <c r="F3737" s="46" t="b">
        <v>1</v>
      </c>
    </row>
    <row r="3738" spans="1:7">
      <c r="A3738" s="46" t="s">
        <v>9320</v>
      </c>
      <c r="B3738" s="46" t="s">
        <v>11339</v>
      </c>
      <c r="C3738" s="46" t="s">
        <v>9320</v>
      </c>
      <c r="D3738" s="1751" t="s">
        <v>9375</v>
      </c>
      <c r="E3738" s="46" t="b" cm="1">
        <f t="array" ref="E3738">sch_watch_human_induce_hazard_armed_conflict</f>
        <v>0</v>
      </c>
      <c r="F3738" s="1696" t="b">
        <f t="shared" ref="F3738:F3742" si="41">OR(E3738=TRUE, E3738=FALSE)</f>
        <v>1</v>
      </c>
      <c r="G3738" s="46" t="s">
        <v>11265</v>
      </c>
    </row>
    <row r="3739" spans="1:7">
      <c r="A3739" s="46" t="s">
        <v>9321</v>
      </c>
      <c r="B3739" s="46" t="s">
        <v>11339</v>
      </c>
      <c r="C3739" s="46" t="s">
        <v>9321</v>
      </c>
      <c r="D3739" s="1751" t="s">
        <v>9376</v>
      </c>
      <c r="E3739" s="46" t="b" cm="1">
        <f t="array" ref="E3739">sch_watch_human_induce_hazard_bomb_threat</f>
        <v>0</v>
      </c>
      <c r="F3739" s="1696" t="b">
        <f t="shared" si="41"/>
        <v>1</v>
      </c>
      <c r="G3739" s="46" t="s">
        <v>11265</v>
      </c>
    </row>
    <row r="3740" spans="1:7">
      <c r="A3740" s="46" t="s">
        <v>9322</v>
      </c>
      <c r="B3740" s="46" t="s">
        <v>11339</v>
      </c>
      <c r="C3740" s="46" t="s">
        <v>9322</v>
      </c>
      <c r="D3740" s="1751" t="s">
        <v>9377</v>
      </c>
      <c r="E3740" s="46" t="b" cm="1">
        <f t="array" ref="E3740">sch_watch_human_induce_hazard_civil_violence</f>
        <v>0</v>
      </c>
      <c r="F3740" s="1696" t="b">
        <f t="shared" si="41"/>
        <v>1</v>
      </c>
      <c r="G3740" s="46" t="s">
        <v>11265</v>
      </c>
    </row>
    <row r="3741" spans="1:7">
      <c r="A3741" s="46" t="s">
        <v>9323</v>
      </c>
      <c r="B3741" s="46" t="s">
        <v>11339</v>
      </c>
      <c r="C3741" s="46" t="s">
        <v>9323</v>
      </c>
      <c r="D3741" s="1751" t="s">
        <v>9378</v>
      </c>
      <c r="E3741" s="46" t="b" cm="1">
        <f t="array" ref="E3741">sch_watch_human_induce_hazard_fire</f>
        <v>0</v>
      </c>
      <c r="F3741" s="1696" t="b">
        <f t="shared" si="41"/>
        <v>1</v>
      </c>
      <c r="G3741" s="46" t="s">
        <v>11265</v>
      </c>
    </row>
    <row r="3742" spans="1:7">
      <c r="A3742" s="46" t="s">
        <v>9324</v>
      </c>
      <c r="B3742" s="46" t="s">
        <v>11339</v>
      </c>
      <c r="C3742" s="46" t="s">
        <v>9324</v>
      </c>
      <c r="D3742" s="1751" t="s">
        <v>9379</v>
      </c>
      <c r="E3742" s="46" t="b" cm="1">
        <f t="array" ref="E3742">sch_watch_human_induce_hazard_others</f>
        <v>0</v>
      </c>
      <c r="F3742" s="1696" t="b">
        <f t="shared" si="41"/>
        <v>1</v>
      </c>
      <c r="G3742" s="46" t="s">
        <v>11265</v>
      </c>
    </row>
    <row r="3743" spans="1:7">
      <c r="A3743" s="46" t="s">
        <v>9325</v>
      </c>
      <c r="B3743" s="46" t="s">
        <v>11339</v>
      </c>
      <c r="C3743" s="46" t="s">
        <v>9325</v>
      </c>
      <c r="D3743" s="1751" t="s">
        <v>9380</v>
      </c>
      <c r="E3743" s="46" cm="1">
        <f t="array" ref="E3743">sch_watch_human_induce_hazard_othrs_specify</f>
        <v>0</v>
      </c>
      <c r="F3743" s="46" t="b">
        <v>1</v>
      </c>
    </row>
    <row r="3744" spans="1:7">
      <c r="A3744" s="46" t="s">
        <v>9326</v>
      </c>
      <c r="B3744" s="46" t="s">
        <v>11339</v>
      </c>
      <c r="C3744" s="46" t="s">
        <v>9326</v>
      </c>
      <c r="D3744" s="1751" t="s">
        <v>9381</v>
      </c>
      <c r="E3744" s="46" t="b" cm="1">
        <f t="array" ref="E3744">sch_watch_stand_cont_vulnerable</f>
        <v>0</v>
      </c>
      <c r="F3744" s="1696" t="b">
        <f t="shared" ref="F3744:F3772" si="42">OR(E3744=TRUE, E3744=FALSE)</f>
        <v>1</v>
      </c>
      <c r="G3744" s="46" t="s">
        <v>11265</v>
      </c>
    </row>
    <row r="3745" spans="1:7">
      <c r="A3745" s="46" t="s">
        <v>9327</v>
      </c>
      <c r="B3745" s="46" t="s">
        <v>11339</v>
      </c>
      <c r="C3745" s="46" t="s">
        <v>9327</v>
      </c>
      <c r="D3745" s="1751" t="s">
        <v>9382</v>
      </c>
      <c r="E3745" s="46" t="b" cm="1">
        <f t="array" ref="E3745">sch_watch_stand_cont_evac</f>
        <v>1</v>
      </c>
      <c r="F3745" s="1696" t="b">
        <f t="shared" si="42"/>
        <v>1</v>
      </c>
      <c r="G3745" s="46" t="s">
        <v>11265</v>
      </c>
    </row>
    <row r="3746" spans="1:7">
      <c r="A3746" s="46" t="s">
        <v>9328</v>
      </c>
      <c r="B3746" s="46" t="s">
        <v>11339</v>
      </c>
      <c r="C3746" s="46" t="s">
        <v>9328</v>
      </c>
      <c r="D3746" s="1751" t="s">
        <v>9383</v>
      </c>
      <c r="E3746" s="46" t="b" cm="1">
        <f t="array" ref="E3746">sch_watch_stand_cont_reunify</f>
        <v>1</v>
      </c>
      <c r="F3746" s="1696" t="b">
        <f t="shared" si="42"/>
        <v>1</v>
      </c>
      <c r="G3746" s="46" t="s">
        <v>11265</v>
      </c>
    </row>
    <row r="3747" spans="1:7">
      <c r="A3747" s="46" t="s">
        <v>9329</v>
      </c>
      <c r="B3747" s="46" t="s">
        <v>11339</v>
      </c>
      <c r="C3747" s="46" t="s">
        <v>9329</v>
      </c>
      <c r="D3747" s="1751" t="s">
        <v>9384</v>
      </c>
      <c r="E3747" s="46" t="b" cm="1">
        <f t="array" ref="E3747">sch_watch_stand_cont_track</f>
        <v>0</v>
      </c>
      <c r="F3747" s="1696" t="b">
        <f t="shared" si="42"/>
        <v>1</v>
      </c>
      <c r="G3747" s="46" t="s">
        <v>11265</v>
      </c>
    </row>
    <row r="3748" spans="1:7">
      <c r="A3748" s="46" t="s">
        <v>9330</v>
      </c>
      <c r="B3748" s="46" t="s">
        <v>11339</v>
      </c>
      <c r="C3748" s="46" t="s">
        <v>9330</v>
      </c>
      <c r="D3748" s="1751" t="s">
        <v>9385</v>
      </c>
      <c r="E3748" s="46" t="b" cm="1">
        <f t="array" ref="E3748">sch_watch_stand_cont_recover</f>
        <v>0</v>
      </c>
      <c r="F3748" s="1696" t="b">
        <f t="shared" si="42"/>
        <v>1</v>
      </c>
      <c r="G3748" s="46" t="s">
        <v>11265</v>
      </c>
    </row>
    <row r="3749" spans="1:7">
      <c r="A3749" s="46" t="s">
        <v>9331</v>
      </c>
      <c r="B3749" s="46" t="s">
        <v>11339</v>
      </c>
      <c r="C3749" s="46" t="s">
        <v>9331</v>
      </c>
      <c r="D3749" s="1751" t="s">
        <v>9386</v>
      </c>
      <c r="E3749" s="46" t="b" cm="1">
        <f t="array" ref="E3749">sch_watch_stand_cont_tls_wash</f>
        <v>1</v>
      </c>
      <c r="F3749" s="1696" t="b">
        <f t="shared" si="42"/>
        <v>1</v>
      </c>
      <c r="G3749" s="46" t="s">
        <v>11265</v>
      </c>
    </row>
    <row r="3750" spans="1:7">
      <c r="A3750" s="46" t="s">
        <v>9332</v>
      </c>
      <c r="B3750" s="46" t="s">
        <v>11339</v>
      </c>
      <c r="C3750" s="46" t="s">
        <v>9332</v>
      </c>
      <c r="D3750" s="1751" t="s">
        <v>9387</v>
      </c>
      <c r="E3750" s="46" t="b" cm="1">
        <f t="array" ref="E3750">sch_watch_stand_cont_evac_center</f>
        <v>1</v>
      </c>
      <c r="F3750" s="1696" t="b">
        <f t="shared" si="42"/>
        <v>1</v>
      </c>
      <c r="G3750" s="46" t="s">
        <v>11265</v>
      </c>
    </row>
    <row r="3751" spans="1:7">
      <c r="A3751" s="46" t="s">
        <v>9333</v>
      </c>
      <c r="B3751" s="46" t="s">
        <v>11339</v>
      </c>
      <c r="C3751" s="46" t="s">
        <v>9333</v>
      </c>
      <c r="D3751" s="1751" t="s">
        <v>9388</v>
      </c>
      <c r="E3751" s="46" t="b" cm="1">
        <f t="array" ref="E3751">sch_watch_stand_cont_temp_evac_center</f>
        <v>1</v>
      </c>
      <c r="F3751" s="1696" t="b">
        <f t="shared" si="42"/>
        <v>1</v>
      </c>
      <c r="G3751" s="46" t="s">
        <v>11265</v>
      </c>
    </row>
    <row r="3752" spans="1:7">
      <c r="A3752" s="46" t="s">
        <v>9334</v>
      </c>
      <c r="B3752" s="46" t="s">
        <v>11339</v>
      </c>
      <c r="C3752" s="46" t="s">
        <v>9334</v>
      </c>
      <c r="D3752" s="1751" t="s">
        <v>9393</v>
      </c>
      <c r="E3752" s="46" t="b" cm="1">
        <f t="array" ref="E3752">sch_watch_stand_cont_class_resume</f>
        <v>0</v>
      </c>
      <c r="F3752" s="1696" t="b">
        <f t="shared" si="42"/>
        <v>1</v>
      </c>
      <c r="G3752" s="46" t="s">
        <v>11265</v>
      </c>
    </row>
    <row r="3753" spans="1:7">
      <c r="A3753" s="46" t="s">
        <v>9335</v>
      </c>
      <c r="B3753" s="46" t="s">
        <v>11339</v>
      </c>
      <c r="C3753" s="46" t="s">
        <v>9335</v>
      </c>
      <c r="D3753" s="1751" t="s">
        <v>9389</v>
      </c>
      <c r="E3753" s="46" t="b" cm="1">
        <f t="array" ref="E3753">sch_watch_stand_cont_emergency_supply</f>
        <v>0</v>
      </c>
      <c r="F3753" s="1696" t="b">
        <f t="shared" si="42"/>
        <v>1</v>
      </c>
      <c r="G3753" s="46" t="s">
        <v>11265</v>
      </c>
    </row>
    <row r="3754" spans="1:7">
      <c r="A3754" s="46" t="s">
        <v>9336</v>
      </c>
      <c r="B3754" s="46" t="s">
        <v>11339</v>
      </c>
      <c r="C3754" s="46" t="s">
        <v>9336</v>
      </c>
      <c r="D3754" s="1751" t="s">
        <v>9390</v>
      </c>
      <c r="E3754" s="46" t="b" cm="1">
        <f t="array" ref="E3754">sch_watch_stand_cont_part</f>
        <v>0</v>
      </c>
      <c r="F3754" s="1696" t="b">
        <f t="shared" si="42"/>
        <v>1</v>
      </c>
      <c r="G3754" s="46" t="s">
        <v>11265</v>
      </c>
    </row>
    <row r="3755" spans="1:7">
      <c r="A3755" s="46" t="s">
        <v>9337</v>
      </c>
      <c r="B3755" s="46" t="s">
        <v>11339</v>
      </c>
      <c r="C3755" s="46" t="s">
        <v>9337</v>
      </c>
      <c r="D3755" s="1751" t="s">
        <v>9391</v>
      </c>
      <c r="E3755" s="46" t="b" cm="1">
        <f t="array" ref="E3755">sch_watch_stand_cont_drrm</f>
        <v>0</v>
      </c>
      <c r="F3755" s="1696" t="b">
        <f t="shared" si="42"/>
        <v>1</v>
      </c>
      <c r="G3755" s="46" t="s">
        <v>11265</v>
      </c>
    </row>
    <row r="3756" spans="1:7">
      <c r="A3756" s="46" t="s">
        <v>9338</v>
      </c>
      <c r="B3756" s="46" t="s">
        <v>11339</v>
      </c>
      <c r="C3756" s="46" t="s">
        <v>9338</v>
      </c>
      <c r="D3756" s="1751" t="s">
        <v>9392</v>
      </c>
      <c r="E3756" s="46" t="b" cm="1">
        <f t="array" ref="E3756">sch_watch_stand_cont_lockdown</f>
        <v>0</v>
      </c>
      <c r="F3756" s="1696" t="b">
        <f t="shared" si="42"/>
        <v>1</v>
      </c>
      <c r="G3756" s="46" t="s">
        <v>11265</v>
      </c>
    </row>
    <row r="3757" spans="1:7">
      <c r="A3757" s="46" t="s">
        <v>9339</v>
      </c>
      <c r="B3757" s="46" t="s">
        <v>11339</v>
      </c>
      <c r="C3757" s="46" t="s">
        <v>9339</v>
      </c>
      <c r="D3757" s="1751" t="s">
        <v>9394</v>
      </c>
      <c r="E3757" s="46" t="b" cm="1">
        <f t="array" ref="E3757">sch_watch_covid_quarantine_fac</f>
        <v>1</v>
      </c>
      <c r="F3757" s="1696" t="b">
        <f t="shared" si="42"/>
        <v>1</v>
      </c>
      <c r="G3757" s="46" t="s">
        <v>11265</v>
      </c>
    </row>
    <row r="3758" spans="1:7">
      <c r="A3758" s="46" t="s">
        <v>9340</v>
      </c>
      <c r="B3758" s="46" t="s">
        <v>11339</v>
      </c>
      <c r="C3758" s="46" t="s">
        <v>9340</v>
      </c>
      <c r="D3758" s="1751" t="s">
        <v>9395</v>
      </c>
      <c r="E3758" s="46" t="b" cm="1">
        <f t="array" ref="E3758">sch_watch_covid_health_safe</f>
        <v>1</v>
      </c>
      <c r="F3758" s="1696" t="b">
        <f t="shared" si="42"/>
        <v>1</v>
      </c>
      <c r="G3758" s="46" t="s">
        <v>11265</v>
      </c>
    </row>
    <row r="3759" spans="1:7">
      <c r="A3759" s="46" t="s">
        <v>9341</v>
      </c>
      <c r="B3759" s="46" t="s">
        <v>11339</v>
      </c>
      <c r="C3759" s="46" t="s">
        <v>9341</v>
      </c>
      <c r="D3759" s="1751" t="s">
        <v>9396</v>
      </c>
      <c r="E3759" s="46" t="b" cm="1">
        <f t="array" ref="E3759">sch_watch_covid_ppe</f>
        <v>0</v>
      </c>
      <c r="F3759" s="1696" t="b">
        <f t="shared" si="42"/>
        <v>1</v>
      </c>
      <c r="G3759" s="46" t="s">
        <v>11265</v>
      </c>
    </row>
    <row r="3760" spans="1:7">
      <c r="A3760" s="46" t="s">
        <v>9342</v>
      </c>
      <c r="B3760" s="46" t="s">
        <v>11339</v>
      </c>
      <c r="C3760" s="46" t="s">
        <v>9342</v>
      </c>
      <c r="D3760" s="1751" t="s">
        <v>9397</v>
      </c>
      <c r="E3760" s="46" t="b" cm="1">
        <f t="array" ref="E3760">sch_watch_covid_mgmt</f>
        <v>1</v>
      </c>
      <c r="F3760" s="1696" t="b">
        <f t="shared" si="42"/>
        <v>1</v>
      </c>
      <c r="G3760" s="46" t="s">
        <v>11265</v>
      </c>
    </row>
    <row r="3761" spans="1:8">
      <c r="A3761" s="46" t="s">
        <v>9343</v>
      </c>
      <c r="B3761" s="46" t="s">
        <v>11339</v>
      </c>
      <c r="C3761" s="46" t="s">
        <v>9343</v>
      </c>
      <c r="D3761" s="1751" t="s">
        <v>9398</v>
      </c>
      <c r="E3761" s="46" t="b">
        <f>sch_watch_cont_plan_l</f>
        <v>1</v>
      </c>
      <c r="F3761" s="1696" t="b">
        <f t="shared" si="42"/>
        <v>1</v>
      </c>
      <c r="G3761" s="46" t="s">
        <v>11265</v>
      </c>
    </row>
    <row r="3762" spans="1:8">
      <c r="A3762" s="46" t="s">
        <v>9344</v>
      </c>
      <c r="B3762" s="46" t="s">
        <v>11339</v>
      </c>
      <c r="C3762" s="46" t="s">
        <v>9344</v>
      </c>
      <c r="D3762" s="1751" t="s">
        <v>9399</v>
      </c>
      <c r="E3762" s="46" t="b">
        <f>sch_watch_cont_plan_per</f>
        <v>1</v>
      </c>
      <c r="F3762" s="1696" t="b">
        <f t="shared" si="42"/>
        <v>1</v>
      </c>
      <c r="G3762" s="46" t="s">
        <v>11265</v>
      </c>
    </row>
    <row r="3763" spans="1:8">
      <c r="A3763" s="46" t="s">
        <v>9345</v>
      </c>
      <c r="B3763" s="46" t="s">
        <v>11339</v>
      </c>
      <c r="C3763" s="46" t="s">
        <v>9345</v>
      </c>
      <c r="D3763" s="1751" t="s">
        <v>9400</v>
      </c>
      <c r="E3763" s="46" t="b">
        <f>sch_watch_cont_plan_par</f>
        <v>1</v>
      </c>
      <c r="F3763" s="1696" t="b">
        <f t="shared" si="42"/>
        <v>1</v>
      </c>
      <c r="G3763" s="46" t="s">
        <v>11265</v>
      </c>
    </row>
    <row r="3764" spans="1:8">
      <c r="A3764" s="46" t="s">
        <v>9346</v>
      </c>
      <c r="B3764" s="46" t="s">
        <v>11339</v>
      </c>
      <c r="C3764" s="46" t="s">
        <v>9346</v>
      </c>
      <c r="D3764" s="1751" t="s">
        <v>9401</v>
      </c>
      <c r="E3764" s="46" t="b" cm="1">
        <f t="array" ref="E3764">sch_watch_cont_plan_lgu</f>
        <v>1</v>
      </c>
      <c r="F3764" s="1696" t="b">
        <f t="shared" si="42"/>
        <v>1</v>
      </c>
      <c r="G3764" s="46" t="s">
        <v>11265</v>
      </c>
    </row>
    <row r="3765" spans="1:8">
      <c r="A3765" s="46" t="s">
        <v>9347</v>
      </c>
      <c r="B3765" s="46" t="s">
        <v>11339</v>
      </c>
      <c r="C3765" s="46" t="s">
        <v>9347</v>
      </c>
      <c r="D3765" s="1751" t="s">
        <v>9402</v>
      </c>
      <c r="E3765" s="46" t="b">
        <f>sch_watch_cont_plan_part</f>
        <v>1</v>
      </c>
      <c r="F3765" s="1696" t="b">
        <f t="shared" si="42"/>
        <v>1</v>
      </c>
      <c r="G3765" s="46" t="s">
        <v>11265</v>
      </c>
    </row>
    <row r="3766" spans="1:8">
      <c r="A3766" s="46" t="s">
        <v>9348</v>
      </c>
      <c r="B3766" s="46" t="s">
        <v>11339</v>
      </c>
      <c r="C3766" s="46" t="s">
        <v>9348</v>
      </c>
      <c r="D3766" s="1751" t="s">
        <v>9403</v>
      </c>
      <c r="E3766" s="46" t="b" cm="1">
        <f t="array" ref="E3766">sch_watch_cont_plan_docs_moa</f>
        <v>0</v>
      </c>
      <c r="F3766" s="1696" t="b">
        <f t="shared" si="42"/>
        <v>1</v>
      </c>
      <c r="G3766" s="46" t="s">
        <v>11265</v>
      </c>
    </row>
    <row r="3767" spans="1:8">
      <c r="A3767" s="46" t="s">
        <v>9349</v>
      </c>
      <c r="B3767" s="46" t="s">
        <v>11339</v>
      </c>
      <c r="C3767" s="46" t="s">
        <v>9349</v>
      </c>
      <c r="D3767" s="1751" t="s">
        <v>9404</v>
      </c>
      <c r="E3767" s="46" t="b" cm="1">
        <f t="array" ref="E3767">sch_watch_cont_plan_terms_fac</f>
        <v>1</v>
      </c>
      <c r="F3767" s="1696" t="b">
        <f t="shared" si="42"/>
        <v>1</v>
      </c>
      <c r="G3767" s="46" t="s">
        <v>11265</v>
      </c>
    </row>
    <row r="3768" spans="1:8">
      <c r="A3768" s="46" t="s">
        <v>9350</v>
      </c>
      <c r="B3768" s="46" t="s">
        <v>11339</v>
      </c>
      <c r="C3768" s="46" t="s">
        <v>9350</v>
      </c>
      <c r="D3768" s="1751" t="s">
        <v>9405</v>
      </c>
      <c r="E3768" s="46" t="b" cm="1">
        <f t="array" ref="E3768">sch_watch_cont_plan_fam_earthquake_prepared</f>
        <v>1</v>
      </c>
      <c r="F3768" s="1696" t="b">
        <f t="shared" si="42"/>
        <v>1</v>
      </c>
      <c r="G3768" s="46" t="s">
        <v>11265</v>
      </c>
    </row>
    <row r="3769" spans="1:8">
      <c r="A3769" s="46" t="s">
        <v>9351</v>
      </c>
      <c r="B3769" s="46" t="s">
        <v>11339</v>
      </c>
      <c r="C3769" s="46" t="s">
        <v>9351</v>
      </c>
      <c r="D3769" s="1751" t="s">
        <v>9406</v>
      </c>
      <c r="E3769" s="46" t="b" cm="1">
        <f t="array" ref="E3769">sch_watch_cont_plan_act_earthquake_prepared</f>
        <v>1</v>
      </c>
      <c r="F3769" s="1696" t="b">
        <f t="shared" si="42"/>
        <v>1</v>
      </c>
      <c r="G3769" s="46" t="s">
        <v>11265</v>
      </c>
    </row>
    <row r="3770" spans="1:8">
      <c r="A3770" s="46" t="s">
        <v>9352</v>
      </c>
      <c r="B3770" s="46" t="s">
        <v>11339</v>
      </c>
      <c r="C3770" s="46" t="s">
        <v>9352</v>
      </c>
      <c r="D3770" s="1751" t="s">
        <v>9407</v>
      </c>
      <c r="E3770" s="46" t="b" cm="1">
        <f t="array" ref="E3770">sch_watch_cont_plan_drrm_com_plan</f>
        <v>0</v>
      </c>
      <c r="F3770" s="1696" t="b">
        <f t="shared" si="42"/>
        <v>1</v>
      </c>
      <c r="G3770" s="46" t="s">
        <v>11265</v>
      </c>
    </row>
    <row r="3771" spans="1:8">
      <c r="A3771" s="46" t="s">
        <v>9353</v>
      </c>
      <c r="B3771" s="46" t="s">
        <v>11339</v>
      </c>
      <c r="C3771" s="46" t="s">
        <v>9353</v>
      </c>
      <c r="D3771" s="1751" t="s">
        <v>9408</v>
      </c>
      <c r="E3771" s="46" t="b" cm="1">
        <f t="array" ref="E3771">sch_watch_cont_plan_with_part</f>
        <v>0</v>
      </c>
      <c r="F3771" s="1696" t="b">
        <f t="shared" si="42"/>
        <v>1</v>
      </c>
      <c r="G3771" s="46" t="s">
        <v>11265</v>
      </c>
    </row>
    <row r="3772" spans="1:8">
      <c r="A3772" s="46" t="s">
        <v>9354</v>
      </c>
      <c r="B3772" s="46" t="s">
        <v>11339</v>
      </c>
      <c r="C3772" s="46" t="s">
        <v>9354</v>
      </c>
      <c r="D3772" s="1751" t="s">
        <v>9409</v>
      </c>
      <c r="E3772" s="46" t="b" cm="1">
        <f t="array" ref="E3772">sch_watch_cont_plan_with_lgu</f>
        <v>0</v>
      </c>
      <c r="F3772" s="1696" t="b">
        <f t="shared" si="42"/>
        <v>1</v>
      </c>
      <c r="G3772" s="46" t="s">
        <v>11265</v>
      </c>
    </row>
    <row r="3773" spans="1:8">
      <c r="A3773" s="46" t="s">
        <v>9355</v>
      </c>
      <c r="B3773" s="46" t="s">
        <v>11339</v>
      </c>
      <c r="C3773" s="46" t="s">
        <v>9355</v>
      </c>
      <c r="D3773" s="1751" t="s">
        <v>9410</v>
      </c>
      <c r="E3773" s="46" cm="1">
        <f t="array" ref="E3773">sch_watch_cont_plan_support_drrm</f>
        <v>0</v>
      </c>
      <c r="F3773" s="46" t="b">
        <v>1</v>
      </c>
    </row>
    <row r="3774" spans="1:8">
      <c r="A3774" s="46" t="s">
        <v>9356</v>
      </c>
      <c r="B3774" s="46" t="s">
        <v>11339</v>
      </c>
      <c r="C3774" s="46" t="s">
        <v>9356</v>
      </c>
      <c r="D3774" s="1751" t="s">
        <v>9411</v>
      </c>
      <c r="E3774" s="46" cm="1">
        <f t="array" ref="E3774">sch_watch_cont_plan_support_arm_conf</f>
        <v>0</v>
      </c>
      <c r="F3774" s="46" t="b">
        <v>1</v>
      </c>
    </row>
    <row r="3775" spans="1:8">
      <c r="A3775" s="46" t="s">
        <v>9357</v>
      </c>
      <c r="B3775" s="46" t="s">
        <v>11339</v>
      </c>
      <c r="C3775" s="46" t="s">
        <v>9357</v>
      </c>
      <c r="D3775" s="1751" t="s">
        <v>9412</v>
      </c>
      <c r="E3775" s="46" cm="1">
        <f t="array" ref="E3775">sch_watch_cont_plan_support_ppa</f>
        <v>0</v>
      </c>
      <c r="F3775" s="46" t="b">
        <v>1</v>
      </c>
    </row>
    <row r="3776" spans="1:8" ht="16.5" thickBot="1">
      <c r="A3776" s="479" t="s">
        <v>9358</v>
      </c>
      <c r="B3776" s="479" t="s">
        <v>11339</v>
      </c>
      <c r="C3776" s="479" t="s">
        <v>9358</v>
      </c>
      <c r="D3776" s="1771" t="s">
        <v>9413</v>
      </c>
      <c r="E3776" s="479" cm="1">
        <f t="array" ref="E3776">sch_watch_cont_plan_train_teach_nonteach</f>
        <v>0</v>
      </c>
      <c r="F3776" s="479" t="b">
        <v>1</v>
      </c>
      <c r="G3776" s="479"/>
      <c r="H3776" s="479"/>
    </row>
    <row r="3777" spans="1:7" ht="16.5" thickTop="1">
      <c r="A3777" s="46" t="s">
        <v>9414</v>
      </c>
      <c r="B3777" s="46" t="s">
        <v>11339</v>
      </c>
      <c r="C3777" s="46" t="s">
        <v>9414</v>
      </c>
      <c r="D3777" s="1751" t="s">
        <v>9561</v>
      </c>
      <c r="E3777" s="46" t="b" cm="1">
        <f t="array" ref="E3777">disaspre_brigada_eskwela</f>
        <v>1</v>
      </c>
      <c r="F3777" s="1696" t="b">
        <f t="shared" ref="F3777:F3779" si="43">OR(E3777=TRUE, E3777=FALSE)</f>
        <v>1</v>
      </c>
      <c r="G3777" s="46" t="s">
        <v>11265</v>
      </c>
    </row>
    <row r="3778" spans="1:7">
      <c r="A3778" s="46" t="s">
        <v>9415</v>
      </c>
      <c r="B3778" s="46" t="s">
        <v>11339</v>
      </c>
      <c r="C3778" s="46" t="s">
        <v>9415</v>
      </c>
      <c r="D3778" s="1751" t="s">
        <v>9562</v>
      </c>
      <c r="E3778" s="46" t="b" cm="1">
        <f t="array" ref="E3778">disaspre_func_warn_syst</f>
        <v>1</v>
      </c>
      <c r="F3778" s="1696" t="b">
        <f t="shared" si="43"/>
        <v>1</v>
      </c>
      <c r="G3778" s="46" t="s">
        <v>11265</v>
      </c>
    </row>
    <row r="3779" spans="1:7">
      <c r="A3779" s="46" t="s">
        <v>9416</v>
      </c>
      <c r="B3779" s="46" t="s">
        <v>11339</v>
      </c>
      <c r="C3779" s="46" t="s">
        <v>9416</v>
      </c>
      <c r="D3779" s="1751" t="s">
        <v>9563</v>
      </c>
      <c r="E3779" s="46" t="b" cm="1">
        <f t="array" ref="E3779">disaspre_emer_supply</f>
        <v>0</v>
      </c>
      <c r="F3779" s="1696" t="b">
        <f t="shared" si="43"/>
        <v>1</v>
      </c>
      <c r="G3779" s="46" t="s">
        <v>11265</v>
      </c>
    </row>
    <row r="3780" spans="1:7">
      <c r="A3780" s="46" t="s">
        <v>9417</v>
      </c>
      <c r="B3780" s="46" t="s">
        <v>11339</v>
      </c>
      <c r="C3780" s="46" t="s">
        <v>9417</v>
      </c>
      <c r="D3780" s="1751" t="s">
        <v>9564</v>
      </c>
      <c r="E3780" s="46" cm="1">
        <f t="array" ref="E3780">disaspre_num_emer_2fold_deped</f>
        <v>0</v>
      </c>
      <c r="F3780" s="46" t="b">
        <v>1</v>
      </c>
    </row>
    <row r="3781" spans="1:7">
      <c r="A3781" s="46" t="s">
        <v>9418</v>
      </c>
      <c r="B3781" s="46" t="s">
        <v>11339</v>
      </c>
      <c r="C3781" s="46" t="s">
        <v>9418</v>
      </c>
      <c r="D3781" s="1751" t="s">
        <v>9565</v>
      </c>
      <c r="E3781" s="46" cm="1">
        <f t="array" ref="E3781">disaspre_num_emer_cad_bag_deped</f>
        <v>0</v>
      </c>
      <c r="F3781" s="46" t="b">
        <v>1</v>
      </c>
    </row>
    <row r="3782" spans="1:7">
      <c r="A3782" s="46" t="s">
        <v>9419</v>
      </c>
      <c r="B3782" s="46" t="s">
        <v>11339</v>
      </c>
      <c r="C3782" s="46" t="s">
        <v>9419</v>
      </c>
      <c r="D3782" s="1751" t="s">
        <v>9566</v>
      </c>
      <c r="E3782" s="46" cm="1">
        <f t="array" ref="E3782">disaspre_num_emer_ccollar_deped</f>
        <v>0</v>
      </c>
      <c r="F3782" s="46" t="b">
        <v>1</v>
      </c>
    </row>
    <row r="3783" spans="1:7">
      <c r="A3783" s="46" t="s">
        <v>9420</v>
      </c>
      <c r="B3783" s="46" t="s">
        <v>11339</v>
      </c>
      <c r="C3783" s="46" t="s">
        <v>9420</v>
      </c>
      <c r="D3783" s="1751" t="s">
        <v>9567</v>
      </c>
      <c r="E3783" s="46" cm="1">
        <f t="array" ref="E3783">disaspre_num_emer_cot_deped</f>
        <v>0</v>
      </c>
      <c r="F3783" s="46" t="b">
        <v>1</v>
      </c>
    </row>
    <row r="3784" spans="1:7">
      <c r="A3784" s="46" t="s">
        <v>9421</v>
      </c>
      <c r="B3784" s="46" t="s">
        <v>11339</v>
      </c>
      <c r="C3784" s="46" t="s">
        <v>9421</v>
      </c>
      <c r="D3784" s="1751" t="s">
        <v>9568</v>
      </c>
      <c r="E3784" s="46" cm="1">
        <f t="array" ref="E3784">disaspre_num_emer_cpr_deped</f>
        <v>0</v>
      </c>
      <c r="F3784" s="46" t="b">
        <v>1</v>
      </c>
    </row>
    <row r="3785" spans="1:7">
      <c r="A3785" s="46" t="s">
        <v>9422</v>
      </c>
      <c r="B3785" s="46" t="s">
        <v>11339</v>
      </c>
      <c r="C3785" s="46" t="s">
        <v>9422</v>
      </c>
      <c r="D3785" s="1751" t="s">
        <v>9569</v>
      </c>
      <c r="E3785" s="46" cm="1">
        <f t="array" ref="E3785">disaspre_num_emer_headlamp_deped</f>
        <v>0</v>
      </c>
      <c r="F3785" s="46" t="b">
        <v>1</v>
      </c>
    </row>
    <row r="3786" spans="1:7">
      <c r="A3786" s="46" t="s">
        <v>9423</v>
      </c>
      <c r="B3786" s="46" t="s">
        <v>11339</v>
      </c>
      <c r="C3786" s="46" t="s">
        <v>9423</v>
      </c>
      <c r="D3786" s="1751" t="s">
        <v>9570</v>
      </c>
      <c r="E3786" s="46" cm="1">
        <f t="array" ref="E3786">disaspre_num_emer_whistle_deped</f>
        <v>0</v>
      </c>
      <c r="F3786" s="46" t="b">
        <v>1</v>
      </c>
    </row>
    <row r="3787" spans="1:7">
      <c r="A3787" s="46" t="s">
        <v>9424</v>
      </c>
      <c r="B3787" s="46" t="s">
        <v>11339</v>
      </c>
      <c r="C3787" s="46" t="s">
        <v>9424</v>
      </c>
      <c r="D3787" s="1751" t="s">
        <v>9571</v>
      </c>
      <c r="E3787" s="46" cm="1">
        <f t="array" ref="E3787">disaspre_num_emer_firextinguish_deped</f>
        <v>0</v>
      </c>
      <c r="F3787" s="46" t="b">
        <v>1</v>
      </c>
    </row>
    <row r="3788" spans="1:7">
      <c r="A3788" s="46" t="s">
        <v>9425</v>
      </c>
      <c r="B3788" s="46" t="s">
        <v>11339</v>
      </c>
      <c r="C3788" s="46" t="s">
        <v>9425</v>
      </c>
      <c r="D3788" s="1751" t="s">
        <v>9572</v>
      </c>
      <c r="E3788" s="46" cm="1">
        <f t="array" ref="E3788">disaspre_num_emer_firstaid_l_deped</f>
        <v>0</v>
      </c>
      <c r="F3788" s="46" t="b">
        <v>1</v>
      </c>
    </row>
    <row r="3789" spans="1:7">
      <c r="A3789" s="46" t="s">
        <v>9426</v>
      </c>
      <c r="B3789" s="46" t="s">
        <v>11339</v>
      </c>
      <c r="C3789" s="46" t="s">
        <v>9426</v>
      </c>
      <c r="D3789" s="1751" t="s">
        <v>9573</v>
      </c>
      <c r="E3789" s="46" cm="1">
        <f t="array" ref="E3789">disaspre_num_emer_firstaid_per_deped</f>
        <v>0</v>
      </c>
      <c r="F3789" s="46" t="b">
        <v>1</v>
      </c>
    </row>
    <row r="3790" spans="1:7">
      <c r="A3790" s="46" t="s">
        <v>9427</v>
      </c>
      <c r="B3790" s="46" t="s">
        <v>11339</v>
      </c>
      <c r="C3790" s="46" t="s">
        <v>9427</v>
      </c>
      <c r="D3790" s="1751" t="s">
        <v>9574</v>
      </c>
      <c r="E3790" s="46" cm="1">
        <f t="array" ref="E3790">disaspre_num_emer_go_bag_l_deped</f>
        <v>0</v>
      </c>
      <c r="F3790" s="46" t="b">
        <v>1</v>
      </c>
    </row>
    <row r="3791" spans="1:7">
      <c r="A3791" s="46" t="s">
        <v>9428</v>
      </c>
      <c r="B3791" s="46" t="s">
        <v>11339</v>
      </c>
      <c r="C3791" s="46" t="s">
        <v>9428</v>
      </c>
      <c r="D3791" s="1751" t="s">
        <v>9575</v>
      </c>
      <c r="E3791" s="46" cm="1">
        <f t="array" ref="E3791">disaspre_num_emer_go_bag_per_deped</f>
        <v>0</v>
      </c>
      <c r="F3791" s="46" t="b">
        <v>1</v>
      </c>
    </row>
    <row r="3792" spans="1:7">
      <c r="A3792" s="46" t="s">
        <v>9429</v>
      </c>
      <c r="B3792" s="46" t="s">
        <v>11339</v>
      </c>
      <c r="C3792" s="46" t="s">
        <v>9429</v>
      </c>
      <c r="D3792" s="1751" t="s">
        <v>9576</v>
      </c>
      <c r="E3792" s="46" cm="1">
        <f t="array" ref="E3792">disaspre_num_emer_radio_deped</f>
        <v>0</v>
      </c>
      <c r="F3792" s="46" t="b">
        <v>1</v>
      </c>
    </row>
    <row r="3793" spans="1:6">
      <c r="A3793" s="46" t="s">
        <v>9430</v>
      </c>
      <c r="B3793" s="46" t="s">
        <v>11339</v>
      </c>
      <c r="C3793" s="46" t="s">
        <v>9430</v>
      </c>
      <c r="D3793" s="1751" t="s">
        <v>9577</v>
      </c>
      <c r="E3793" s="46" cm="1">
        <f t="array" ref="E3793">disaspre_num_emer_light_deped</f>
        <v>0</v>
      </c>
      <c r="F3793" s="46" t="b">
        <v>1</v>
      </c>
    </row>
    <row r="3794" spans="1:6">
      <c r="A3794" s="46" t="s">
        <v>9431</v>
      </c>
      <c r="B3794" s="46" t="s">
        <v>11339</v>
      </c>
      <c r="C3794" s="46" t="s">
        <v>9431</v>
      </c>
      <c r="D3794" s="1751" t="s">
        <v>9578</v>
      </c>
      <c r="E3794" s="46" cm="1">
        <f t="array" ref="E3794">disaspre_num_emer_search_light_deped</f>
        <v>0</v>
      </c>
      <c r="F3794" s="46" t="b">
        <v>1</v>
      </c>
    </row>
    <row r="3795" spans="1:6">
      <c r="A3795" s="46" t="s">
        <v>9432</v>
      </c>
      <c r="B3795" s="46" t="s">
        <v>11339</v>
      </c>
      <c r="C3795" s="46" t="s">
        <v>9432</v>
      </c>
      <c r="D3795" s="1751" t="s">
        <v>9579</v>
      </c>
      <c r="E3795" s="46" cm="1">
        <f t="array" ref="E3795">disaspre_num_emer_vest_deped</f>
        <v>0</v>
      </c>
      <c r="F3795" s="46" t="b">
        <v>1</v>
      </c>
    </row>
    <row r="3796" spans="1:6">
      <c r="A3796" s="46" t="s">
        <v>9433</v>
      </c>
      <c r="B3796" s="46" t="s">
        <v>11339</v>
      </c>
      <c r="C3796" s="46" t="s">
        <v>9433</v>
      </c>
      <c r="D3796" s="1751" t="s">
        <v>9580</v>
      </c>
      <c r="E3796" s="46" cm="1">
        <f t="array" ref="E3796">disaspre_num_emer_cushion_deped</f>
        <v>0</v>
      </c>
      <c r="F3796" s="46" t="b">
        <v>1</v>
      </c>
    </row>
    <row r="3797" spans="1:6">
      <c r="A3797" s="46" t="s">
        <v>9434</v>
      </c>
      <c r="B3797" s="46" t="s">
        <v>11339</v>
      </c>
      <c r="C3797" s="46" t="s">
        <v>9434</v>
      </c>
      <c r="D3797" s="1751" t="s">
        <v>9581</v>
      </c>
      <c r="E3797" s="46" cm="1">
        <f t="array" ref="E3797">disaspre_num_emer_spine_board_deped</f>
        <v>0</v>
      </c>
      <c r="F3797" s="46" t="b">
        <v>1</v>
      </c>
    </row>
    <row r="3798" spans="1:6">
      <c r="A3798" s="46" t="s">
        <v>9435</v>
      </c>
      <c r="B3798" s="46" t="s">
        <v>11339</v>
      </c>
      <c r="C3798" s="46" t="s">
        <v>9435</v>
      </c>
      <c r="D3798" s="1751" t="s">
        <v>9582</v>
      </c>
      <c r="E3798" s="46" cm="1">
        <f t="array" ref="E3798">disaspre_num_emer_pa_sys_deped</f>
        <v>0</v>
      </c>
      <c r="F3798" s="46" t="b">
        <v>1</v>
      </c>
    </row>
    <row r="3799" spans="1:6">
      <c r="A3799" s="46" t="s">
        <v>9436</v>
      </c>
      <c r="B3799" s="46" t="s">
        <v>11339</v>
      </c>
      <c r="C3799" s="46" t="s">
        <v>9436</v>
      </c>
      <c r="D3799" s="1751" t="s">
        <v>9584</v>
      </c>
      <c r="E3799" s="46" cm="1">
        <f t="array" ref="E3799">disaspre_num_emer_coat_deped</f>
        <v>0</v>
      </c>
      <c r="F3799" s="46" t="b">
        <v>1</v>
      </c>
    </row>
    <row r="3800" spans="1:6">
      <c r="A3800" s="46" t="s">
        <v>9437</v>
      </c>
      <c r="B3800" s="46" t="s">
        <v>11339</v>
      </c>
      <c r="C3800" s="46" t="s">
        <v>9437</v>
      </c>
      <c r="D3800" s="1751" t="s">
        <v>9585</v>
      </c>
      <c r="E3800" s="46" cm="1">
        <f t="array" ref="E3800">disaspre_num_emer_helmet_deped</f>
        <v>0</v>
      </c>
      <c r="F3800" s="46" t="b">
        <v>1</v>
      </c>
    </row>
    <row r="3801" spans="1:6">
      <c r="A3801" s="46" t="s">
        <v>9438</v>
      </c>
      <c r="B3801" s="46" t="s">
        <v>11339</v>
      </c>
      <c r="C3801" s="46" t="s">
        <v>9438</v>
      </c>
      <c r="D3801" s="1751" t="s">
        <v>9586</v>
      </c>
      <c r="E3801" s="46" cm="1">
        <f t="array" ref="E3801">disaspre_num_emer_shoes_deped</f>
        <v>0</v>
      </c>
      <c r="F3801" s="46" t="b">
        <v>1</v>
      </c>
    </row>
    <row r="3802" spans="1:6">
      <c r="A3802" s="46" t="s">
        <v>9439</v>
      </c>
      <c r="B3802" s="46" t="s">
        <v>11339</v>
      </c>
      <c r="C3802" s="46" t="s">
        <v>9439</v>
      </c>
      <c r="D3802" s="1751" t="s">
        <v>9587</v>
      </c>
      <c r="E3802" s="46" cm="1">
        <f t="array" ref="E3802">disaspre_num_emer_splinter_deped</f>
        <v>0</v>
      </c>
      <c r="F3802" s="46" t="b">
        <v>1</v>
      </c>
    </row>
    <row r="3803" spans="1:6">
      <c r="A3803" s="46" t="s">
        <v>9440</v>
      </c>
      <c r="B3803" s="46" t="s">
        <v>11339</v>
      </c>
      <c r="C3803" s="46" t="s">
        <v>9440</v>
      </c>
      <c r="D3803" s="1751" t="s">
        <v>9588</v>
      </c>
      <c r="E3803" s="46" cm="1">
        <f t="array" ref="E3803">disaspre_num_emer_steel_box_deped</f>
        <v>0</v>
      </c>
      <c r="F3803" s="46" t="b">
        <v>1</v>
      </c>
    </row>
    <row r="3804" spans="1:6">
      <c r="A3804" s="46" t="s">
        <v>9441</v>
      </c>
      <c r="B3804" s="46" t="s">
        <v>11339</v>
      </c>
      <c r="C3804" s="46" t="s">
        <v>9441</v>
      </c>
      <c r="D3804" s="1751" t="s">
        <v>9589</v>
      </c>
      <c r="E3804" s="46" cm="1">
        <f t="array" ref="E3804">disaspre_num_emer_steel_cab_deped</f>
        <v>0</v>
      </c>
      <c r="F3804" s="46" t="b">
        <v>1</v>
      </c>
    </row>
    <row r="3805" spans="1:6">
      <c r="A3805" s="46" t="s">
        <v>9442</v>
      </c>
      <c r="B3805" s="46" t="s">
        <v>11339</v>
      </c>
      <c r="C3805" s="46" t="s">
        <v>9442</v>
      </c>
      <c r="D3805" s="1751" t="s">
        <v>9583</v>
      </c>
      <c r="E3805" s="46" cm="1">
        <f t="array" ref="E3805">disaspre_num_emer_tvest_deped</f>
        <v>0</v>
      </c>
      <c r="F3805" s="46" t="b">
        <v>1</v>
      </c>
    </row>
    <row r="3806" spans="1:6">
      <c r="A3806" s="46" t="s">
        <v>9443</v>
      </c>
      <c r="B3806" s="46" t="s">
        <v>11339</v>
      </c>
      <c r="C3806" s="46" t="s">
        <v>9443</v>
      </c>
      <c r="D3806" s="1751" t="s">
        <v>9590</v>
      </c>
      <c r="E3806" s="46" cm="1">
        <f t="array" ref="E3806">disaspre_num_emer_trans_bag_deped</f>
        <v>0</v>
      </c>
      <c r="F3806" s="46" t="b">
        <v>1</v>
      </c>
    </row>
    <row r="3807" spans="1:6">
      <c r="A3807" s="46" t="s">
        <v>9444</v>
      </c>
      <c r="B3807" s="46" t="s">
        <v>11339</v>
      </c>
      <c r="C3807" s="46" t="s">
        <v>9444</v>
      </c>
      <c r="D3807" s="1751" t="s">
        <v>9591</v>
      </c>
      <c r="E3807" s="46" cm="1">
        <f t="array" ref="E3807">disaspre_num_emer_trauma_bag_deped</f>
        <v>0</v>
      </c>
      <c r="F3807" s="46" t="b">
        <v>1</v>
      </c>
    </row>
    <row r="3808" spans="1:6">
      <c r="A3808" s="46" t="s">
        <v>9445</v>
      </c>
      <c r="B3808" s="46" t="s">
        <v>11339</v>
      </c>
      <c r="C3808" s="46" t="s">
        <v>9445</v>
      </c>
      <c r="D3808" s="1751" t="s">
        <v>9592</v>
      </c>
      <c r="E3808" s="46" cm="1">
        <f t="array" ref="E3808">disaspre_num_emer_univ_head_deped</f>
        <v>0</v>
      </c>
      <c r="F3808" s="46" t="b">
        <v>1</v>
      </c>
    </row>
    <row r="3809" spans="1:6">
      <c r="A3809" s="46" t="s">
        <v>9446</v>
      </c>
      <c r="B3809" s="46" t="s">
        <v>11339</v>
      </c>
      <c r="C3809" s="46" t="s">
        <v>9446</v>
      </c>
      <c r="D3809" s="1751" t="s">
        <v>9593</v>
      </c>
      <c r="E3809" s="46" cm="1">
        <f t="array" ref="E3809">disaspre_num_emer_2fold_part</f>
        <v>0</v>
      </c>
      <c r="F3809" s="46" t="b">
        <v>1</v>
      </c>
    </row>
    <row r="3810" spans="1:6">
      <c r="A3810" s="46" t="s">
        <v>9447</v>
      </c>
      <c r="B3810" s="46" t="s">
        <v>11339</v>
      </c>
      <c r="C3810" s="46" t="s">
        <v>9447</v>
      </c>
      <c r="D3810" s="1751" t="s">
        <v>9594</v>
      </c>
      <c r="E3810" s="46" cm="1">
        <f t="array" ref="E3810">disaspre_num_emer_cad_bag_part</f>
        <v>0</v>
      </c>
      <c r="F3810" s="46" t="b">
        <v>1</v>
      </c>
    </row>
    <row r="3811" spans="1:6">
      <c r="A3811" s="46" t="s">
        <v>9448</v>
      </c>
      <c r="B3811" s="46" t="s">
        <v>11339</v>
      </c>
      <c r="C3811" s="46" t="s">
        <v>9448</v>
      </c>
      <c r="D3811" s="1751" t="s">
        <v>9595</v>
      </c>
      <c r="E3811" s="46" cm="1">
        <f t="array" ref="E3811">disaspre_num_emer_ccollar_part</f>
        <v>0</v>
      </c>
      <c r="F3811" s="46" t="b">
        <v>1</v>
      </c>
    </row>
    <row r="3812" spans="1:6">
      <c r="A3812" s="46" t="s">
        <v>9449</v>
      </c>
      <c r="B3812" s="46" t="s">
        <v>11339</v>
      </c>
      <c r="C3812" s="46" t="s">
        <v>9449</v>
      </c>
      <c r="D3812" s="1751" t="s">
        <v>9596</v>
      </c>
      <c r="E3812" s="46" cm="1">
        <f t="array" ref="E3812">disaspre_num_emer_cot_part</f>
        <v>0</v>
      </c>
      <c r="F3812" s="46" t="b">
        <v>1</v>
      </c>
    </row>
    <row r="3813" spans="1:6">
      <c r="A3813" s="46" t="s">
        <v>9450</v>
      </c>
      <c r="B3813" s="46" t="s">
        <v>11339</v>
      </c>
      <c r="C3813" s="46" t="s">
        <v>9450</v>
      </c>
      <c r="D3813" s="1751" t="s">
        <v>9597</v>
      </c>
      <c r="E3813" s="46" cm="1">
        <f t="array" ref="E3813">disaspre_num_emer_cpr_part</f>
        <v>0</v>
      </c>
      <c r="F3813" s="46" t="b">
        <v>1</v>
      </c>
    </row>
    <row r="3814" spans="1:6">
      <c r="A3814" s="46" t="s">
        <v>9451</v>
      </c>
      <c r="B3814" s="46" t="s">
        <v>11339</v>
      </c>
      <c r="C3814" s="46" t="s">
        <v>9451</v>
      </c>
      <c r="D3814" s="1751" t="s">
        <v>9598</v>
      </c>
      <c r="E3814" s="46" cm="1">
        <f t="array" ref="E3814">disaspre_num_emer_headlamp_part</f>
        <v>0</v>
      </c>
      <c r="F3814" s="46" t="b">
        <v>1</v>
      </c>
    </row>
    <row r="3815" spans="1:6">
      <c r="A3815" s="46" t="s">
        <v>9452</v>
      </c>
      <c r="B3815" s="46" t="s">
        <v>11339</v>
      </c>
      <c r="C3815" s="46" t="s">
        <v>9452</v>
      </c>
      <c r="D3815" s="1751" t="s">
        <v>9599</v>
      </c>
      <c r="E3815" s="46" cm="1">
        <f t="array" ref="E3815">disaspre_num_emer_whistle_part</f>
        <v>0</v>
      </c>
      <c r="F3815" s="46" t="b">
        <v>1</v>
      </c>
    </row>
    <row r="3816" spans="1:6">
      <c r="A3816" s="46" t="s">
        <v>9453</v>
      </c>
      <c r="B3816" s="46" t="s">
        <v>11339</v>
      </c>
      <c r="C3816" s="46" t="s">
        <v>9453</v>
      </c>
      <c r="D3816" s="1751" t="s">
        <v>9600</v>
      </c>
      <c r="E3816" s="46" cm="1">
        <f t="array" ref="E3816">disaspre_num_emer_firextinguish_part</f>
        <v>0</v>
      </c>
      <c r="F3816" s="46" t="b">
        <v>1</v>
      </c>
    </row>
    <row r="3817" spans="1:6">
      <c r="A3817" s="46" t="s">
        <v>9454</v>
      </c>
      <c r="B3817" s="46" t="s">
        <v>11339</v>
      </c>
      <c r="C3817" s="46" t="s">
        <v>9454</v>
      </c>
      <c r="D3817" s="1751" t="s">
        <v>9601</v>
      </c>
      <c r="E3817" s="46" cm="1">
        <f t="array" ref="E3817">disaspre_num_emer_firstaid_l_part</f>
        <v>0</v>
      </c>
      <c r="F3817" s="46" t="b">
        <v>1</v>
      </c>
    </row>
    <row r="3818" spans="1:6">
      <c r="A3818" s="46" t="s">
        <v>9455</v>
      </c>
      <c r="B3818" s="46" t="s">
        <v>11339</v>
      </c>
      <c r="C3818" s="46" t="s">
        <v>9455</v>
      </c>
      <c r="D3818" s="1751" t="s">
        <v>9602</v>
      </c>
      <c r="E3818" s="46" cm="1">
        <f t="array" ref="E3818">disaspre_num_emer_firstaid_per_part</f>
        <v>0</v>
      </c>
      <c r="F3818" s="46" t="b">
        <v>1</v>
      </c>
    </row>
    <row r="3819" spans="1:6">
      <c r="A3819" s="46" t="s">
        <v>9456</v>
      </c>
      <c r="B3819" s="46" t="s">
        <v>11339</v>
      </c>
      <c r="C3819" s="46" t="s">
        <v>9456</v>
      </c>
      <c r="D3819" s="1751" t="s">
        <v>9603</v>
      </c>
      <c r="E3819" s="46" cm="1">
        <f t="array" ref="E3819">disaspre_num_emer_go_bag_l_part</f>
        <v>0</v>
      </c>
      <c r="F3819" s="46" t="b">
        <v>1</v>
      </c>
    </row>
    <row r="3820" spans="1:6">
      <c r="A3820" s="46" t="s">
        <v>9457</v>
      </c>
      <c r="B3820" s="46" t="s">
        <v>11339</v>
      </c>
      <c r="C3820" s="46" t="s">
        <v>9457</v>
      </c>
      <c r="D3820" s="1751" t="s">
        <v>9604</v>
      </c>
      <c r="E3820" s="46" cm="1">
        <f t="array" ref="E3820">disaspre_num_emer_go_bag_per_part</f>
        <v>0</v>
      </c>
      <c r="F3820" s="46" t="b">
        <v>1</v>
      </c>
    </row>
    <row r="3821" spans="1:6">
      <c r="A3821" s="46" t="s">
        <v>9458</v>
      </c>
      <c r="B3821" s="46" t="s">
        <v>11339</v>
      </c>
      <c r="C3821" s="46" t="s">
        <v>9458</v>
      </c>
      <c r="D3821" s="1751" t="s">
        <v>9605</v>
      </c>
      <c r="E3821" s="46" cm="1">
        <f t="array" ref="E3821">disaspre_num_emer_radio_part</f>
        <v>0</v>
      </c>
      <c r="F3821" s="46" t="b">
        <v>1</v>
      </c>
    </row>
    <row r="3822" spans="1:6">
      <c r="A3822" s="46" t="s">
        <v>9459</v>
      </c>
      <c r="B3822" s="46" t="s">
        <v>11339</v>
      </c>
      <c r="C3822" s="46" t="s">
        <v>9459</v>
      </c>
      <c r="D3822" s="1751" t="s">
        <v>9606</v>
      </c>
      <c r="E3822" s="46" cm="1">
        <f t="array" ref="E3822">disaspre_num_emer_light_part</f>
        <v>0</v>
      </c>
      <c r="F3822" s="46" t="b">
        <v>1</v>
      </c>
    </row>
    <row r="3823" spans="1:6">
      <c r="A3823" s="46" t="s">
        <v>9460</v>
      </c>
      <c r="B3823" s="46" t="s">
        <v>11339</v>
      </c>
      <c r="C3823" s="46" t="s">
        <v>9460</v>
      </c>
      <c r="D3823" s="1751" t="s">
        <v>9607</v>
      </c>
      <c r="E3823" s="46" cm="1">
        <f t="array" ref="E3823">disaspre_num_emer_search_light_part</f>
        <v>0</v>
      </c>
      <c r="F3823" s="46" t="b">
        <v>1</v>
      </c>
    </row>
    <row r="3824" spans="1:6">
      <c r="A3824" s="46" t="s">
        <v>9461</v>
      </c>
      <c r="B3824" s="46" t="s">
        <v>11339</v>
      </c>
      <c r="C3824" s="46" t="s">
        <v>9461</v>
      </c>
      <c r="D3824" s="1751" t="s">
        <v>9608</v>
      </c>
      <c r="E3824" s="46" cm="1">
        <f t="array" ref="E3824">disaspre_num_emer_vest_part</f>
        <v>0</v>
      </c>
      <c r="F3824" s="46" t="b">
        <v>1</v>
      </c>
    </row>
    <row r="3825" spans="1:6">
      <c r="A3825" s="46" t="s">
        <v>9462</v>
      </c>
      <c r="B3825" s="46" t="s">
        <v>11339</v>
      </c>
      <c r="C3825" s="46" t="s">
        <v>9462</v>
      </c>
      <c r="D3825" s="1751" t="s">
        <v>9609</v>
      </c>
      <c r="E3825" s="46" cm="1">
        <f t="array" ref="E3825">disaspre_num_emer_cushion_part</f>
        <v>0</v>
      </c>
      <c r="F3825" s="46" t="b">
        <v>1</v>
      </c>
    </row>
    <row r="3826" spans="1:6">
      <c r="A3826" s="46" t="s">
        <v>9463</v>
      </c>
      <c r="B3826" s="46" t="s">
        <v>11339</v>
      </c>
      <c r="C3826" s="46" t="s">
        <v>9463</v>
      </c>
      <c r="D3826" s="1751" t="s">
        <v>9610</v>
      </c>
      <c r="E3826" s="46" cm="1">
        <f t="array" ref="E3826">disaspre_num_emer_spine_board_part</f>
        <v>0</v>
      </c>
      <c r="F3826" s="46" t="b">
        <v>1</v>
      </c>
    </row>
    <row r="3827" spans="1:6">
      <c r="A3827" s="46" t="s">
        <v>9464</v>
      </c>
      <c r="B3827" s="46" t="s">
        <v>11339</v>
      </c>
      <c r="C3827" s="46" t="s">
        <v>9464</v>
      </c>
      <c r="D3827" s="1751" t="s">
        <v>9611</v>
      </c>
      <c r="E3827" s="46" cm="1">
        <f t="array" ref="E3827">disaspre_num_emer_pa_sys_part</f>
        <v>0</v>
      </c>
      <c r="F3827" s="46" t="b">
        <v>1</v>
      </c>
    </row>
    <row r="3828" spans="1:6">
      <c r="A3828" s="46" t="s">
        <v>9465</v>
      </c>
      <c r="B3828" s="46" t="s">
        <v>11339</v>
      </c>
      <c r="C3828" s="46" t="s">
        <v>9465</v>
      </c>
      <c r="D3828" s="1751" t="s">
        <v>9612</v>
      </c>
      <c r="E3828" s="46" cm="1">
        <f t="array" ref="E3828">disaspre_num_emer_coat_part</f>
        <v>0</v>
      </c>
      <c r="F3828" s="46" t="b">
        <v>1</v>
      </c>
    </row>
    <row r="3829" spans="1:6">
      <c r="A3829" s="46" t="s">
        <v>9466</v>
      </c>
      <c r="B3829" s="46" t="s">
        <v>11339</v>
      </c>
      <c r="C3829" s="46" t="s">
        <v>9466</v>
      </c>
      <c r="D3829" s="1751" t="s">
        <v>9613</v>
      </c>
      <c r="E3829" s="46" cm="1">
        <f t="array" ref="E3829">disaspre_num_emer_helmet_part</f>
        <v>0</v>
      </c>
      <c r="F3829" s="46" t="b">
        <v>1</v>
      </c>
    </row>
    <row r="3830" spans="1:6">
      <c r="A3830" s="46" t="s">
        <v>9467</v>
      </c>
      <c r="B3830" s="46" t="s">
        <v>11339</v>
      </c>
      <c r="C3830" s="46" t="s">
        <v>9467</v>
      </c>
      <c r="D3830" s="1751" t="s">
        <v>9614</v>
      </c>
      <c r="E3830" s="46" cm="1">
        <f t="array" ref="E3830">disaspre_num_emer_shoes_part</f>
        <v>0</v>
      </c>
      <c r="F3830" s="46" t="b">
        <v>1</v>
      </c>
    </row>
    <row r="3831" spans="1:6">
      <c r="A3831" s="46" t="s">
        <v>9468</v>
      </c>
      <c r="B3831" s="46" t="s">
        <v>11339</v>
      </c>
      <c r="C3831" s="46" t="s">
        <v>9468</v>
      </c>
      <c r="D3831" s="1751" t="s">
        <v>9615</v>
      </c>
      <c r="E3831" s="46" cm="1">
        <f t="array" ref="E3831">disaspre_num_emer_splinter_part</f>
        <v>0</v>
      </c>
      <c r="F3831" s="46" t="b">
        <v>1</v>
      </c>
    </row>
    <row r="3832" spans="1:6">
      <c r="A3832" s="46" t="s">
        <v>9469</v>
      </c>
      <c r="B3832" s="46" t="s">
        <v>11339</v>
      </c>
      <c r="C3832" s="46" t="s">
        <v>9469</v>
      </c>
      <c r="D3832" s="1751" t="s">
        <v>9616</v>
      </c>
      <c r="E3832" s="46" cm="1">
        <f t="array" ref="E3832">disaspre_num_emer_steel_box_part</f>
        <v>0</v>
      </c>
      <c r="F3832" s="46" t="b">
        <v>1</v>
      </c>
    </row>
    <row r="3833" spans="1:6">
      <c r="A3833" s="46" t="s">
        <v>9470</v>
      </c>
      <c r="B3833" s="46" t="s">
        <v>11339</v>
      </c>
      <c r="C3833" s="46" t="s">
        <v>9470</v>
      </c>
      <c r="D3833" s="1751" t="s">
        <v>9617</v>
      </c>
      <c r="E3833" s="46" cm="1">
        <f t="array" ref="E3833">disaspre_num_emer_steel_cab_part</f>
        <v>0</v>
      </c>
      <c r="F3833" s="46" t="b">
        <v>1</v>
      </c>
    </row>
    <row r="3834" spans="1:6">
      <c r="A3834" s="46" t="s">
        <v>9471</v>
      </c>
      <c r="B3834" s="46" t="s">
        <v>11339</v>
      </c>
      <c r="C3834" s="46" t="s">
        <v>9471</v>
      </c>
      <c r="D3834" s="1751" t="s">
        <v>9618</v>
      </c>
      <c r="E3834" s="46" cm="1">
        <f t="array" ref="E3834">disaspre_num_emer_tvest_part</f>
        <v>0</v>
      </c>
      <c r="F3834" s="46" t="b">
        <v>1</v>
      </c>
    </row>
    <row r="3835" spans="1:6">
      <c r="A3835" s="46" t="s">
        <v>9472</v>
      </c>
      <c r="B3835" s="46" t="s">
        <v>11339</v>
      </c>
      <c r="C3835" s="46" t="s">
        <v>9472</v>
      </c>
      <c r="D3835" s="1751" t="s">
        <v>9619</v>
      </c>
      <c r="E3835" s="46" cm="1">
        <f t="array" ref="E3835">disaspre_num_emer_trans_bag_part</f>
        <v>0</v>
      </c>
      <c r="F3835" s="46" t="b">
        <v>1</v>
      </c>
    </row>
    <row r="3836" spans="1:6">
      <c r="A3836" s="46" t="s">
        <v>9473</v>
      </c>
      <c r="B3836" s="46" t="s">
        <v>11339</v>
      </c>
      <c r="C3836" s="46" t="s">
        <v>9473</v>
      </c>
      <c r="D3836" s="1751" t="s">
        <v>9620</v>
      </c>
      <c r="E3836" s="46" cm="1">
        <f t="array" ref="E3836">disaspre_num_emer_trauma_bag_part</f>
        <v>0</v>
      </c>
      <c r="F3836" s="46" t="b">
        <v>1</v>
      </c>
    </row>
    <row r="3837" spans="1:6">
      <c r="A3837" s="46" t="s">
        <v>9474</v>
      </c>
      <c r="B3837" s="46" t="s">
        <v>11339</v>
      </c>
      <c r="C3837" s="46" t="s">
        <v>9474</v>
      </c>
      <c r="D3837" s="1751" t="s">
        <v>9621</v>
      </c>
      <c r="E3837" s="46" cm="1">
        <f t="array" ref="E3837">disaspre_num_emer_univ_head_part</f>
        <v>0</v>
      </c>
      <c r="F3837" s="46" t="b">
        <v>1</v>
      </c>
    </row>
    <row r="3838" spans="1:6">
      <c r="A3838" s="46" t="s">
        <v>9475</v>
      </c>
      <c r="B3838" s="46" t="s">
        <v>11339</v>
      </c>
      <c r="C3838" s="46" t="s">
        <v>9475</v>
      </c>
      <c r="D3838" s="1751" t="s">
        <v>9622</v>
      </c>
      <c r="E3838" s="46" cm="1">
        <f t="array" ref="E3838">disaspre_num_rescue_bic_deped</f>
        <v>0</v>
      </c>
      <c r="F3838" s="46" t="b">
        <v>1</v>
      </c>
    </row>
    <row r="3839" spans="1:6">
      <c r="A3839" s="46" t="s">
        <v>9476</v>
      </c>
      <c r="B3839" s="46" t="s">
        <v>11339</v>
      </c>
      <c r="C3839" s="46" t="s">
        <v>9476</v>
      </c>
      <c r="D3839" s="1751" t="s">
        <v>9623</v>
      </c>
      <c r="E3839" s="46" cm="1">
        <f t="array" ref="E3839">disaspre_num_rescue_fire_cabinet_deped</f>
        <v>0</v>
      </c>
      <c r="F3839" s="46" t="b">
        <v>1</v>
      </c>
    </row>
    <row r="3840" spans="1:6">
      <c r="A3840" s="46" t="s">
        <v>9477</v>
      </c>
      <c r="B3840" s="46" t="s">
        <v>11339</v>
      </c>
      <c r="C3840" s="46" t="s">
        <v>9477</v>
      </c>
      <c r="D3840" s="1751" t="s">
        <v>9624</v>
      </c>
      <c r="E3840" s="46" cm="1">
        <f t="array" ref="E3840">disaspre_num_rescue_firextinguish_deped</f>
        <v>0</v>
      </c>
      <c r="F3840" s="46" t="b">
        <v>1</v>
      </c>
    </row>
    <row r="3841" spans="1:6">
      <c r="A3841" s="46" t="s">
        <v>9478</v>
      </c>
      <c r="B3841" s="46" t="s">
        <v>11339</v>
      </c>
      <c r="C3841" s="46" t="s">
        <v>9478</v>
      </c>
      <c r="D3841" s="1751" t="s">
        <v>9625</v>
      </c>
      <c r="E3841" s="46" cm="1">
        <f t="array" ref="E3841">disaspre_num_rescue_firehose_deped</f>
        <v>6</v>
      </c>
      <c r="F3841" s="46" t="b">
        <v>1</v>
      </c>
    </row>
    <row r="3842" spans="1:6">
      <c r="A3842" s="46" t="s">
        <v>9479</v>
      </c>
      <c r="B3842" s="46" t="s">
        <v>11339</v>
      </c>
      <c r="C3842" s="46" t="s">
        <v>9479</v>
      </c>
      <c r="D3842" s="1751" t="s">
        <v>9626</v>
      </c>
      <c r="E3842" s="46" cm="1">
        <f t="array" ref="E3842">disaspre_num_rescue_lvest_deped</f>
        <v>0</v>
      </c>
      <c r="F3842" s="46" t="b">
        <v>1</v>
      </c>
    </row>
    <row r="3843" spans="1:6">
      <c r="A3843" s="46" t="s">
        <v>9480</v>
      </c>
      <c r="B3843" s="46" t="s">
        <v>11339</v>
      </c>
      <c r="C3843" s="46" t="s">
        <v>9480</v>
      </c>
      <c r="D3843" s="1751" t="s">
        <v>9627</v>
      </c>
      <c r="E3843" s="46" cm="1">
        <f t="array" ref="E3843">disaspre_num_rescue_mot_banca_deped</f>
        <v>0</v>
      </c>
      <c r="F3843" s="46" t="b">
        <v>1</v>
      </c>
    </row>
    <row r="3844" spans="1:6">
      <c r="A3844" s="46" t="s">
        <v>9481</v>
      </c>
      <c r="B3844" s="46" t="s">
        <v>11339</v>
      </c>
      <c r="C3844" s="46" t="s">
        <v>9481</v>
      </c>
      <c r="D3844" s="1751" t="s">
        <v>9628</v>
      </c>
      <c r="E3844" s="46" cm="1">
        <f t="array" ref="E3844">disaspre_num_rescue_psprayer_deped</f>
        <v>0</v>
      </c>
      <c r="F3844" s="46" t="b">
        <v>1</v>
      </c>
    </row>
    <row r="3845" spans="1:6">
      <c r="A3845" s="46" t="s">
        <v>9482</v>
      </c>
      <c r="B3845" s="46" t="s">
        <v>11339</v>
      </c>
      <c r="C3845" s="46" t="s">
        <v>9482</v>
      </c>
      <c r="D3845" s="1751" t="s">
        <v>9629</v>
      </c>
      <c r="E3845" s="46" cm="1">
        <f t="array" ref="E3845">disaspre_num_rescue_bic_part</f>
        <v>0</v>
      </c>
      <c r="F3845" s="46" t="b">
        <v>1</v>
      </c>
    </row>
    <row r="3846" spans="1:6">
      <c r="A3846" s="46" t="s">
        <v>9483</v>
      </c>
      <c r="B3846" s="46" t="s">
        <v>11339</v>
      </c>
      <c r="C3846" s="46" t="s">
        <v>9483</v>
      </c>
      <c r="D3846" s="1751" t="s">
        <v>9630</v>
      </c>
      <c r="E3846" s="46" cm="1">
        <f t="array" ref="E3846">disaspre_num_rescue_fire_cabinet_part</f>
        <v>0</v>
      </c>
      <c r="F3846" s="46" t="b">
        <v>1</v>
      </c>
    </row>
    <row r="3847" spans="1:6">
      <c r="A3847" s="46" t="s">
        <v>9484</v>
      </c>
      <c r="B3847" s="46" t="s">
        <v>11339</v>
      </c>
      <c r="C3847" s="46" t="s">
        <v>9484</v>
      </c>
      <c r="D3847" s="1751" t="s">
        <v>9631</v>
      </c>
      <c r="E3847" s="46" cm="1">
        <f t="array" ref="E3847">disaspre_num_rescue_firextinguish_part</f>
        <v>0</v>
      </c>
      <c r="F3847" s="46" t="b">
        <v>1</v>
      </c>
    </row>
    <row r="3848" spans="1:6">
      <c r="A3848" s="46" t="s">
        <v>9485</v>
      </c>
      <c r="B3848" s="46" t="s">
        <v>11339</v>
      </c>
      <c r="C3848" s="46" t="s">
        <v>9485</v>
      </c>
      <c r="D3848" s="1751" t="s">
        <v>9632</v>
      </c>
      <c r="E3848" s="46" cm="1">
        <f t="array" ref="E3848">disaspre_num_rescue_firehose_part</f>
        <v>0</v>
      </c>
      <c r="F3848" s="46" t="b">
        <v>1</v>
      </c>
    </row>
    <row r="3849" spans="1:6">
      <c r="A3849" s="46" t="s">
        <v>9486</v>
      </c>
      <c r="B3849" s="46" t="s">
        <v>11339</v>
      </c>
      <c r="C3849" s="46" t="s">
        <v>9486</v>
      </c>
      <c r="D3849" s="1751" t="s">
        <v>9633</v>
      </c>
      <c r="E3849" s="46" cm="1">
        <f t="array" ref="E3849">disaspre_num_rescue_lvest_part</f>
        <v>0</v>
      </c>
      <c r="F3849" s="46" t="b">
        <v>1</v>
      </c>
    </row>
    <row r="3850" spans="1:6">
      <c r="A3850" s="46" t="s">
        <v>9487</v>
      </c>
      <c r="B3850" s="46" t="s">
        <v>11339</v>
      </c>
      <c r="C3850" s="46" t="s">
        <v>9487</v>
      </c>
      <c r="D3850" s="1751" t="s">
        <v>9634</v>
      </c>
      <c r="E3850" s="46" cm="1">
        <f t="array" ref="E3850">disaspre_num_rescue_mot_banca_part</f>
        <v>0</v>
      </c>
      <c r="F3850" s="46" t="b">
        <v>1</v>
      </c>
    </row>
    <row r="3851" spans="1:6">
      <c r="A3851" s="46" t="s">
        <v>9488</v>
      </c>
      <c r="B3851" s="46" t="s">
        <v>11339</v>
      </c>
      <c r="C3851" s="46" t="s">
        <v>9488</v>
      </c>
      <c r="D3851" s="1751" t="s">
        <v>9635</v>
      </c>
      <c r="E3851" s="46" cm="1">
        <f t="array" ref="E3851">disaspre_num_rescue_psprayer_part</f>
        <v>0</v>
      </c>
      <c r="F3851" s="46" t="b">
        <v>1</v>
      </c>
    </row>
    <row r="3852" spans="1:6">
      <c r="A3852" s="46" t="s">
        <v>9496</v>
      </c>
      <c r="B3852" s="46" t="s">
        <v>11339</v>
      </c>
      <c r="C3852" s="46" t="s">
        <v>9496</v>
      </c>
      <c r="D3852" s="1751" t="s">
        <v>9636</v>
      </c>
      <c r="E3852" s="46" cm="1">
        <f t="array" ref="E3852">disaspre_jan_earthq_drl</f>
        <v>0</v>
      </c>
      <c r="F3852" s="46" t="b">
        <v>1</v>
      </c>
    </row>
    <row r="3853" spans="1:6">
      <c r="A3853" s="46" t="s">
        <v>9497</v>
      </c>
      <c r="B3853" s="46" t="s">
        <v>11339</v>
      </c>
      <c r="C3853" s="46" t="s">
        <v>9497</v>
      </c>
      <c r="D3853" s="1751" t="s">
        <v>9637</v>
      </c>
      <c r="E3853" s="46" cm="1">
        <f t="array" ref="E3853">disaspre_feb_earthq_drl</f>
        <v>0</v>
      </c>
      <c r="F3853" s="46" t="b">
        <v>1</v>
      </c>
    </row>
    <row r="3854" spans="1:6">
      <c r="A3854" s="46" t="s">
        <v>9498</v>
      </c>
      <c r="B3854" s="46" t="s">
        <v>11339</v>
      </c>
      <c r="C3854" s="46" t="s">
        <v>9498</v>
      </c>
      <c r="D3854" s="1751" t="s">
        <v>9638</v>
      </c>
      <c r="E3854" s="46" cm="1">
        <f t="array" ref="E3854">disaspre_mar_earthq_drl</f>
        <v>1</v>
      </c>
      <c r="F3854" s="46" t="b">
        <v>1</v>
      </c>
    </row>
    <row r="3855" spans="1:6">
      <c r="A3855" s="46" t="s">
        <v>9499</v>
      </c>
      <c r="B3855" s="46" t="s">
        <v>11339</v>
      </c>
      <c r="C3855" s="46" t="s">
        <v>9499</v>
      </c>
      <c r="D3855" s="1751" t="s">
        <v>9639</v>
      </c>
      <c r="E3855" s="46" cm="1">
        <f t="array" ref="E3855">disaspre_apr_earthq_drl</f>
        <v>0</v>
      </c>
      <c r="F3855" s="46" t="b">
        <v>1</v>
      </c>
    </row>
    <row r="3856" spans="1:6">
      <c r="A3856" s="46" t="s">
        <v>9500</v>
      </c>
      <c r="B3856" s="46" t="s">
        <v>11339</v>
      </c>
      <c r="C3856" s="46" t="s">
        <v>9500</v>
      </c>
      <c r="D3856" s="1751" t="s">
        <v>9640</v>
      </c>
      <c r="E3856" s="46" cm="1">
        <f t="array" ref="E3856">disaspre_may_earthq_drl</f>
        <v>0</v>
      </c>
      <c r="F3856" s="46" t="b">
        <v>1</v>
      </c>
    </row>
    <row r="3857" spans="1:6">
      <c r="A3857" s="46" t="s">
        <v>9489</v>
      </c>
      <c r="B3857" s="46" t="s">
        <v>11339</v>
      </c>
      <c r="C3857" s="46" t="s">
        <v>9489</v>
      </c>
      <c r="D3857" s="1751" t="s">
        <v>9641</v>
      </c>
      <c r="E3857" s="46" cm="1">
        <f t="array" ref="E3857">disaspre_jun_earthq_drl</f>
        <v>1</v>
      </c>
      <c r="F3857" s="46" t="b">
        <v>1</v>
      </c>
    </row>
    <row r="3858" spans="1:6">
      <c r="A3858" s="46" t="s">
        <v>9490</v>
      </c>
      <c r="B3858" s="46" t="s">
        <v>11339</v>
      </c>
      <c r="C3858" s="46" t="s">
        <v>9490</v>
      </c>
      <c r="D3858" s="1751" t="s">
        <v>9642</v>
      </c>
      <c r="E3858" s="46" cm="1">
        <f t="array" ref="E3858">disaspre_jul_earthq_drl</f>
        <v>0</v>
      </c>
      <c r="F3858" s="46" t="b">
        <v>1</v>
      </c>
    </row>
    <row r="3859" spans="1:6">
      <c r="A3859" s="46" t="s">
        <v>9491</v>
      </c>
      <c r="B3859" s="46" t="s">
        <v>11339</v>
      </c>
      <c r="C3859" s="46" t="s">
        <v>9491</v>
      </c>
      <c r="D3859" s="1751" t="s">
        <v>9643</v>
      </c>
      <c r="E3859" s="46" cm="1">
        <f t="array" ref="E3859">disaspre_aug_earthq_drl</f>
        <v>0</v>
      </c>
      <c r="F3859" s="46" t="b">
        <v>1</v>
      </c>
    </row>
    <row r="3860" spans="1:6">
      <c r="A3860" s="46" t="s">
        <v>9492</v>
      </c>
      <c r="B3860" s="46" t="s">
        <v>11339</v>
      </c>
      <c r="C3860" s="46" t="s">
        <v>9492</v>
      </c>
      <c r="D3860" s="1751" t="s">
        <v>9644</v>
      </c>
      <c r="E3860" s="46" cm="1">
        <f t="array" ref="E3860">disaspre_sep_earthq_drl</f>
        <v>1</v>
      </c>
      <c r="F3860" s="46" t="b">
        <v>1</v>
      </c>
    </row>
    <row r="3861" spans="1:6">
      <c r="A3861" s="46" t="s">
        <v>9493</v>
      </c>
      <c r="B3861" s="46" t="s">
        <v>11339</v>
      </c>
      <c r="C3861" s="46" t="s">
        <v>9493</v>
      </c>
      <c r="D3861" s="1751" t="s">
        <v>9645</v>
      </c>
      <c r="E3861" s="46" cm="1">
        <f t="array" ref="E3861">disaspre_oct_earthq_drl</f>
        <v>0</v>
      </c>
      <c r="F3861" s="46" t="b">
        <v>1</v>
      </c>
    </row>
    <row r="3862" spans="1:6">
      <c r="A3862" s="46" t="s">
        <v>9494</v>
      </c>
      <c r="B3862" s="46" t="s">
        <v>11339</v>
      </c>
      <c r="C3862" s="46" t="s">
        <v>9494</v>
      </c>
      <c r="D3862" s="1751" t="s">
        <v>9646</v>
      </c>
      <c r="E3862" s="46" cm="1">
        <f t="array" ref="E3862">disaspre_nov_earthq_drl</f>
        <v>1</v>
      </c>
      <c r="F3862" s="46" t="b">
        <v>1</v>
      </c>
    </row>
    <row r="3863" spans="1:6">
      <c r="A3863" s="46" t="s">
        <v>9495</v>
      </c>
      <c r="B3863" s="46" t="s">
        <v>11339</v>
      </c>
      <c r="C3863" s="46" t="s">
        <v>9495</v>
      </c>
      <c r="D3863" s="1751" t="s">
        <v>9647</v>
      </c>
      <c r="E3863" s="46" cm="1">
        <f t="array" ref="E3863">disaspre_dec_earthq_drl</f>
        <v>0</v>
      </c>
      <c r="F3863" s="46" t="b">
        <v>1</v>
      </c>
    </row>
    <row r="3864" spans="1:6">
      <c r="A3864" s="46" t="s">
        <v>9508</v>
      </c>
      <c r="B3864" s="46" t="s">
        <v>11339</v>
      </c>
      <c r="C3864" s="46" t="s">
        <v>9508</v>
      </c>
      <c r="D3864" s="1751" t="s">
        <v>9648</v>
      </c>
      <c r="E3864" s="46" cm="1">
        <f t="array" ref="E3864">disaspre_jan_fire_drl</f>
        <v>0</v>
      </c>
      <c r="F3864" s="46" t="b">
        <v>1</v>
      </c>
    </row>
    <row r="3865" spans="1:6">
      <c r="A3865" s="46" t="s">
        <v>9509</v>
      </c>
      <c r="B3865" s="46" t="s">
        <v>11339</v>
      </c>
      <c r="C3865" s="46" t="s">
        <v>9509</v>
      </c>
      <c r="D3865" s="1751" t="s">
        <v>9649</v>
      </c>
      <c r="E3865" s="46" cm="1">
        <f t="array" ref="E3865">disaspre_feb_fire_drl</f>
        <v>0</v>
      </c>
      <c r="F3865" s="46" t="b">
        <v>1</v>
      </c>
    </row>
    <row r="3866" spans="1:6">
      <c r="A3866" s="46" t="s">
        <v>9510</v>
      </c>
      <c r="B3866" s="46" t="s">
        <v>11339</v>
      </c>
      <c r="C3866" s="46" t="s">
        <v>9510</v>
      </c>
      <c r="D3866" s="1751" t="s">
        <v>9650</v>
      </c>
      <c r="E3866" s="46" cm="1">
        <f t="array" ref="E3866">disaspre_mar_fire_drl</f>
        <v>1</v>
      </c>
      <c r="F3866" s="46" t="b">
        <v>1</v>
      </c>
    </row>
    <row r="3867" spans="1:6">
      <c r="A3867" s="46" t="s">
        <v>9511</v>
      </c>
      <c r="B3867" s="46" t="s">
        <v>11339</v>
      </c>
      <c r="C3867" s="46" t="s">
        <v>9511</v>
      </c>
      <c r="D3867" s="1751" t="s">
        <v>9651</v>
      </c>
      <c r="E3867" s="46" cm="1">
        <f t="array" ref="E3867">disaspre_apr_fire_drl</f>
        <v>0</v>
      </c>
      <c r="F3867" s="46" t="b">
        <v>1</v>
      </c>
    </row>
    <row r="3868" spans="1:6">
      <c r="A3868" s="46" t="s">
        <v>9512</v>
      </c>
      <c r="B3868" s="46" t="s">
        <v>11339</v>
      </c>
      <c r="C3868" s="46" t="s">
        <v>9512</v>
      </c>
      <c r="D3868" s="1751" t="s">
        <v>9652</v>
      </c>
      <c r="E3868" s="46" cm="1">
        <f t="array" ref="E3868">disaspre_may_fire_drl</f>
        <v>0</v>
      </c>
      <c r="F3868" s="46" t="b">
        <v>1</v>
      </c>
    </row>
    <row r="3869" spans="1:6">
      <c r="A3869" s="46" t="s">
        <v>9501</v>
      </c>
      <c r="B3869" s="46" t="s">
        <v>11339</v>
      </c>
      <c r="C3869" s="46" t="s">
        <v>9501</v>
      </c>
      <c r="D3869" s="1751" t="s">
        <v>9653</v>
      </c>
      <c r="E3869" s="46" cm="1">
        <f t="array" ref="E3869">disaspre_jun_fire_drl</f>
        <v>1</v>
      </c>
      <c r="F3869" s="46" t="b">
        <v>1</v>
      </c>
    </row>
    <row r="3870" spans="1:6">
      <c r="A3870" s="46" t="s">
        <v>9502</v>
      </c>
      <c r="B3870" s="46" t="s">
        <v>11339</v>
      </c>
      <c r="C3870" s="46" t="s">
        <v>9502</v>
      </c>
      <c r="D3870" s="1751" t="s">
        <v>9654</v>
      </c>
      <c r="E3870" s="46" cm="1">
        <f t="array" ref="E3870">disaspre_jul_fire_drl</f>
        <v>0</v>
      </c>
      <c r="F3870" s="46" t="b">
        <v>1</v>
      </c>
    </row>
    <row r="3871" spans="1:6">
      <c r="A3871" s="46" t="s">
        <v>9503</v>
      </c>
      <c r="B3871" s="46" t="s">
        <v>11339</v>
      </c>
      <c r="C3871" s="46" t="s">
        <v>9503</v>
      </c>
      <c r="D3871" s="1751" t="s">
        <v>9655</v>
      </c>
      <c r="E3871" s="46" cm="1">
        <f t="array" ref="E3871">disaspre_aug_fire_drl</f>
        <v>0</v>
      </c>
      <c r="F3871" s="46" t="b">
        <v>1</v>
      </c>
    </row>
    <row r="3872" spans="1:6">
      <c r="A3872" s="46" t="s">
        <v>9504</v>
      </c>
      <c r="B3872" s="46" t="s">
        <v>11339</v>
      </c>
      <c r="C3872" s="46" t="s">
        <v>9504</v>
      </c>
      <c r="D3872" s="1751" t="s">
        <v>9656</v>
      </c>
      <c r="E3872" s="46" cm="1">
        <f t="array" ref="E3872">disaspre_sep_fire_drl</f>
        <v>1</v>
      </c>
      <c r="F3872" s="46" t="b">
        <v>1</v>
      </c>
    </row>
    <row r="3873" spans="1:6">
      <c r="A3873" s="46" t="s">
        <v>9505</v>
      </c>
      <c r="B3873" s="46" t="s">
        <v>11339</v>
      </c>
      <c r="C3873" s="46" t="s">
        <v>9505</v>
      </c>
      <c r="D3873" s="1751" t="s">
        <v>9657</v>
      </c>
      <c r="E3873" s="46" cm="1">
        <f t="array" ref="E3873">disaspre_oct_fire_drl</f>
        <v>0</v>
      </c>
      <c r="F3873" s="46" t="b">
        <v>1</v>
      </c>
    </row>
    <row r="3874" spans="1:6">
      <c r="A3874" s="46" t="s">
        <v>9506</v>
      </c>
      <c r="B3874" s="46" t="s">
        <v>11339</v>
      </c>
      <c r="C3874" s="46" t="s">
        <v>9506</v>
      </c>
      <c r="D3874" s="1751" t="s">
        <v>9658</v>
      </c>
      <c r="E3874" s="46" cm="1">
        <f t="array" ref="E3874">disaspre_nov_fire_drl</f>
        <v>1</v>
      </c>
      <c r="F3874" s="46" t="b">
        <v>1</v>
      </c>
    </row>
    <row r="3875" spans="1:6">
      <c r="A3875" s="46" t="s">
        <v>9507</v>
      </c>
      <c r="B3875" s="46" t="s">
        <v>11339</v>
      </c>
      <c r="C3875" s="46" t="s">
        <v>9507</v>
      </c>
      <c r="D3875" s="1751" t="s">
        <v>9659</v>
      </c>
      <c r="E3875" s="46" cm="1">
        <f t="array" ref="E3875">disaspre_dec_fire_drl</f>
        <v>0</v>
      </c>
      <c r="F3875" s="46" t="b">
        <v>1</v>
      </c>
    </row>
    <row r="3876" spans="1:6">
      <c r="A3876" s="46" t="s">
        <v>9520</v>
      </c>
      <c r="B3876" s="46" t="s">
        <v>11339</v>
      </c>
      <c r="C3876" s="46" t="s">
        <v>9520</v>
      </c>
      <c r="D3876" s="1751" t="s">
        <v>9660</v>
      </c>
      <c r="E3876" s="46" cm="1">
        <f t="array" ref="E3876">disaspre_jan_flood_drl</f>
        <v>0</v>
      </c>
      <c r="F3876" s="46" t="b">
        <v>1</v>
      </c>
    </row>
    <row r="3877" spans="1:6">
      <c r="A3877" s="46" t="s">
        <v>9521</v>
      </c>
      <c r="B3877" s="46" t="s">
        <v>11339</v>
      </c>
      <c r="C3877" s="46" t="s">
        <v>9521</v>
      </c>
      <c r="D3877" s="1751" t="s">
        <v>9661</v>
      </c>
      <c r="E3877" s="46" cm="1">
        <f t="array" ref="E3877">disaspre_feb_flood_drl</f>
        <v>0</v>
      </c>
      <c r="F3877" s="46" t="b">
        <v>1</v>
      </c>
    </row>
    <row r="3878" spans="1:6">
      <c r="A3878" s="46" t="s">
        <v>9522</v>
      </c>
      <c r="B3878" s="46" t="s">
        <v>11339</v>
      </c>
      <c r="C3878" s="46" t="s">
        <v>9522</v>
      </c>
      <c r="D3878" s="1751" t="s">
        <v>9662</v>
      </c>
      <c r="E3878" s="46" cm="1">
        <f t="array" ref="E3878">disaspre_mar_flood_drl</f>
        <v>0</v>
      </c>
      <c r="F3878" s="46" t="b">
        <v>1</v>
      </c>
    </row>
    <row r="3879" spans="1:6">
      <c r="A3879" s="46" t="s">
        <v>9523</v>
      </c>
      <c r="B3879" s="46" t="s">
        <v>11339</v>
      </c>
      <c r="C3879" s="46" t="s">
        <v>9523</v>
      </c>
      <c r="D3879" s="1751" t="s">
        <v>9663</v>
      </c>
      <c r="E3879" s="46" cm="1">
        <f t="array" ref="E3879">disaspre_apr_flood_drl</f>
        <v>0</v>
      </c>
      <c r="F3879" s="46" t="b">
        <v>1</v>
      </c>
    </row>
    <row r="3880" spans="1:6">
      <c r="A3880" s="46" t="s">
        <v>9524</v>
      </c>
      <c r="B3880" s="46" t="s">
        <v>11339</v>
      </c>
      <c r="C3880" s="46" t="s">
        <v>9524</v>
      </c>
      <c r="D3880" s="1751" t="s">
        <v>9664</v>
      </c>
      <c r="E3880" s="46" cm="1">
        <f t="array" ref="E3880">disaspre_may_flood_drl</f>
        <v>0</v>
      </c>
      <c r="F3880" s="46" t="b">
        <v>1</v>
      </c>
    </row>
    <row r="3881" spans="1:6">
      <c r="A3881" s="46" t="s">
        <v>9513</v>
      </c>
      <c r="B3881" s="46" t="s">
        <v>11339</v>
      </c>
      <c r="C3881" s="46" t="s">
        <v>9513</v>
      </c>
      <c r="D3881" s="1751" t="s">
        <v>9665</v>
      </c>
      <c r="E3881" s="46" cm="1">
        <f t="array" ref="E3881">disaspre_jun_flood_drl</f>
        <v>0</v>
      </c>
      <c r="F3881" s="46" t="b">
        <v>1</v>
      </c>
    </row>
    <row r="3882" spans="1:6">
      <c r="A3882" s="46" t="s">
        <v>9514</v>
      </c>
      <c r="B3882" s="46" t="s">
        <v>11339</v>
      </c>
      <c r="C3882" s="46" t="s">
        <v>9514</v>
      </c>
      <c r="D3882" s="1751" t="s">
        <v>9666</v>
      </c>
      <c r="E3882" s="46" cm="1">
        <f t="array" ref="E3882">disaspre_jul_flood_drl</f>
        <v>0</v>
      </c>
      <c r="F3882" s="46" t="b">
        <v>1</v>
      </c>
    </row>
    <row r="3883" spans="1:6">
      <c r="A3883" s="46" t="s">
        <v>9515</v>
      </c>
      <c r="B3883" s="46" t="s">
        <v>11339</v>
      </c>
      <c r="C3883" s="46" t="s">
        <v>9515</v>
      </c>
      <c r="D3883" s="1751" t="s">
        <v>9667</v>
      </c>
      <c r="E3883" s="46" cm="1">
        <f t="array" ref="E3883">disaspre_aug_flood_drl</f>
        <v>0</v>
      </c>
      <c r="F3883" s="46" t="b">
        <v>1</v>
      </c>
    </row>
    <row r="3884" spans="1:6">
      <c r="A3884" s="46" t="s">
        <v>9516</v>
      </c>
      <c r="B3884" s="46" t="s">
        <v>11339</v>
      </c>
      <c r="C3884" s="46" t="s">
        <v>9516</v>
      </c>
      <c r="D3884" s="1751" t="s">
        <v>9668</v>
      </c>
      <c r="E3884" s="46" cm="1">
        <f t="array" ref="E3884">disaspre_sep_flood_drl</f>
        <v>0</v>
      </c>
      <c r="F3884" s="46" t="b">
        <v>1</v>
      </c>
    </row>
    <row r="3885" spans="1:6">
      <c r="A3885" s="46" t="s">
        <v>9517</v>
      </c>
      <c r="B3885" s="46" t="s">
        <v>11339</v>
      </c>
      <c r="C3885" s="46" t="s">
        <v>9517</v>
      </c>
      <c r="D3885" s="1751" t="s">
        <v>9669</v>
      </c>
      <c r="E3885" s="46" cm="1">
        <f t="array" ref="E3885">disaspre_oct_flood_drl</f>
        <v>0</v>
      </c>
      <c r="F3885" s="46" t="b">
        <v>1</v>
      </c>
    </row>
    <row r="3886" spans="1:6">
      <c r="A3886" s="46" t="s">
        <v>9518</v>
      </c>
      <c r="B3886" s="46" t="s">
        <v>11339</v>
      </c>
      <c r="C3886" s="46" t="s">
        <v>9518</v>
      </c>
      <c r="D3886" s="1751" t="s">
        <v>9670</v>
      </c>
      <c r="E3886" s="46" cm="1">
        <f t="array" ref="E3886">disaspre_nov_flood_drl</f>
        <v>0</v>
      </c>
      <c r="F3886" s="46" t="b">
        <v>1</v>
      </c>
    </row>
    <row r="3887" spans="1:6">
      <c r="A3887" s="46" t="s">
        <v>9519</v>
      </c>
      <c r="B3887" s="46" t="s">
        <v>11339</v>
      </c>
      <c r="C3887" s="46" t="s">
        <v>9519</v>
      </c>
      <c r="D3887" s="1751" t="s">
        <v>9671</v>
      </c>
      <c r="E3887" s="46" cm="1">
        <f t="array" ref="E3887">disaspre_dec_flood_drl</f>
        <v>0</v>
      </c>
      <c r="F3887" s="46" t="b">
        <v>1</v>
      </c>
    </row>
    <row r="3888" spans="1:6">
      <c r="A3888" s="46" t="s">
        <v>9556</v>
      </c>
      <c r="B3888" s="46" t="s">
        <v>11339</v>
      </c>
      <c r="C3888" s="46" t="s">
        <v>9556</v>
      </c>
      <c r="D3888" s="1751" t="s">
        <v>9672</v>
      </c>
      <c r="E3888" s="46" cm="1">
        <f t="array" ref="E3888">disaspre_jan_lockdown_drl</f>
        <v>0</v>
      </c>
      <c r="F3888" s="46" t="b">
        <v>1</v>
      </c>
    </row>
    <row r="3889" spans="1:6">
      <c r="A3889" s="46" t="s">
        <v>9557</v>
      </c>
      <c r="B3889" s="46" t="s">
        <v>11339</v>
      </c>
      <c r="C3889" s="46" t="s">
        <v>9557</v>
      </c>
      <c r="D3889" s="1751" t="s">
        <v>9673</v>
      </c>
      <c r="E3889" s="46" cm="1">
        <f t="array" ref="E3889">disaspre_feb_lockdown_drl</f>
        <v>0</v>
      </c>
      <c r="F3889" s="46" t="b">
        <v>1</v>
      </c>
    </row>
    <row r="3890" spans="1:6">
      <c r="A3890" s="46" t="s">
        <v>9558</v>
      </c>
      <c r="B3890" s="46" t="s">
        <v>11339</v>
      </c>
      <c r="C3890" s="46" t="s">
        <v>9558</v>
      </c>
      <c r="D3890" s="1751" t="s">
        <v>9674</v>
      </c>
      <c r="E3890" s="46" cm="1">
        <f t="array" ref="E3890">disaspre_mar_lockdown_drl</f>
        <v>0</v>
      </c>
      <c r="F3890" s="46" t="b">
        <v>1</v>
      </c>
    </row>
    <row r="3891" spans="1:6">
      <c r="A3891" s="46" t="s">
        <v>9559</v>
      </c>
      <c r="B3891" s="46" t="s">
        <v>11339</v>
      </c>
      <c r="C3891" s="46" t="s">
        <v>9559</v>
      </c>
      <c r="D3891" s="1751" t="s">
        <v>9675</v>
      </c>
      <c r="E3891" s="46" cm="1">
        <f t="array" ref="E3891">disaspre_apr_lockdown_drl</f>
        <v>0</v>
      </c>
      <c r="F3891" s="46" t="b">
        <v>1</v>
      </c>
    </row>
    <row r="3892" spans="1:6">
      <c r="A3892" s="46" t="s">
        <v>9560</v>
      </c>
      <c r="B3892" s="46" t="s">
        <v>11339</v>
      </c>
      <c r="C3892" s="46" t="s">
        <v>9560</v>
      </c>
      <c r="D3892" s="1751" t="s">
        <v>9676</v>
      </c>
      <c r="E3892" s="46" cm="1">
        <f t="array" ref="E3892">disaspre_may_lockdown_drl</f>
        <v>0</v>
      </c>
      <c r="F3892" s="46" t="b">
        <v>1</v>
      </c>
    </row>
    <row r="3893" spans="1:6">
      <c r="A3893" s="46" t="s">
        <v>9549</v>
      </c>
      <c r="B3893" s="46" t="s">
        <v>11339</v>
      </c>
      <c r="C3893" s="46" t="s">
        <v>9549</v>
      </c>
      <c r="D3893" s="1751" t="s">
        <v>9677</v>
      </c>
      <c r="E3893" s="46" cm="1">
        <f t="array" ref="E3893">disaspre_jun_lockdown_drl</f>
        <v>0</v>
      </c>
      <c r="F3893" s="46" t="b">
        <v>1</v>
      </c>
    </row>
    <row r="3894" spans="1:6">
      <c r="A3894" s="46" t="s">
        <v>9550</v>
      </c>
      <c r="B3894" s="46" t="s">
        <v>11339</v>
      </c>
      <c r="C3894" s="46" t="s">
        <v>9550</v>
      </c>
      <c r="D3894" s="1751" t="s">
        <v>9678</v>
      </c>
      <c r="E3894" s="46" cm="1">
        <f t="array" ref="E3894">disaspre_jul_lockdown_drl</f>
        <v>0</v>
      </c>
      <c r="F3894" s="46" t="b">
        <v>1</v>
      </c>
    </row>
    <row r="3895" spans="1:6">
      <c r="A3895" s="46" t="s">
        <v>9551</v>
      </c>
      <c r="B3895" s="46" t="s">
        <v>11339</v>
      </c>
      <c r="C3895" s="46" t="s">
        <v>9551</v>
      </c>
      <c r="D3895" s="1751" t="s">
        <v>9679</v>
      </c>
      <c r="E3895" s="46" cm="1">
        <f t="array" ref="E3895">disaspre_aug_lockdown_drl</f>
        <v>0</v>
      </c>
      <c r="F3895" s="46" t="b">
        <v>1</v>
      </c>
    </row>
    <row r="3896" spans="1:6">
      <c r="A3896" s="46" t="s">
        <v>9552</v>
      </c>
      <c r="B3896" s="46" t="s">
        <v>11339</v>
      </c>
      <c r="C3896" s="46" t="s">
        <v>9552</v>
      </c>
      <c r="D3896" s="1751" t="s">
        <v>9680</v>
      </c>
      <c r="E3896" s="46" cm="1">
        <f t="array" ref="E3896">disaspre_sep_lockdown_drl</f>
        <v>0</v>
      </c>
      <c r="F3896" s="46" t="b">
        <v>1</v>
      </c>
    </row>
    <row r="3897" spans="1:6">
      <c r="A3897" s="46" t="s">
        <v>9553</v>
      </c>
      <c r="B3897" s="46" t="s">
        <v>11339</v>
      </c>
      <c r="C3897" s="46" t="s">
        <v>9553</v>
      </c>
      <c r="D3897" s="1751" t="s">
        <v>9681</v>
      </c>
      <c r="E3897" s="46" cm="1">
        <f t="array" ref="E3897">disaspre_oct_lockdown_drl</f>
        <v>0</v>
      </c>
      <c r="F3897" s="46" t="b">
        <v>1</v>
      </c>
    </row>
    <row r="3898" spans="1:6">
      <c r="A3898" s="46" t="s">
        <v>9554</v>
      </c>
      <c r="B3898" s="46" t="s">
        <v>11339</v>
      </c>
      <c r="C3898" s="46" t="s">
        <v>9554</v>
      </c>
      <c r="D3898" s="1751" t="s">
        <v>9682</v>
      </c>
      <c r="E3898" s="46" cm="1">
        <f t="array" ref="E3898">disaspre_nov_lockdown_drl</f>
        <v>0</v>
      </c>
      <c r="F3898" s="46" t="b">
        <v>1</v>
      </c>
    </row>
    <row r="3899" spans="1:6">
      <c r="A3899" s="46" t="s">
        <v>9555</v>
      </c>
      <c r="B3899" s="46" t="s">
        <v>11339</v>
      </c>
      <c r="C3899" s="46" t="s">
        <v>9555</v>
      </c>
      <c r="D3899" s="1751" t="s">
        <v>9683</v>
      </c>
      <c r="E3899" s="46" cm="1">
        <f t="array" ref="E3899">disaspre_dec_lockdown_drl</f>
        <v>0</v>
      </c>
      <c r="F3899" s="46" t="b">
        <v>1</v>
      </c>
    </row>
    <row r="3900" spans="1:6">
      <c r="A3900" s="46" t="s">
        <v>9544</v>
      </c>
      <c r="B3900" s="46" t="s">
        <v>11339</v>
      </c>
      <c r="C3900" s="46" t="s">
        <v>9544</v>
      </c>
      <c r="D3900" s="1751" t="s">
        <v>9684</v>
      </c>
      <c r="E3900" s="46" cm="1">
        <f t="array" ref="E3900">disaspre_jan_stormsurge_drl</f>
        <v>0</v>
      </c>
      <c r="F3900" s="46" t="b">
        <v>1</v>
      </c>
    </row>
    <row r="3901" spans="1:6">
      <c r="A3901" s="46" t="s">
        <v>9545</v>
      </c>
      <c r="B3901" s="46" t="s">
        <v>11339</v>
      </c>
      <c r="C3901" s="46" t="s">
        <v>9545</v>
      </c>
      <c r="D3901" s="1751" t="s">
        <v>9685</v>
      </c>
      <c r="E3901" s="46" cm="1">
        <f t="array" ref="E3901">disaspre_feb_stormsurge_drl</f>
        <v>0</v>
      </c>
      <c r="F3901" s="46" t="b">
        <v>1</v>
      </c>
    </row>
    <row r="3902" spans="1:6">
      <c r="A3902" s="46" t="s">
        <v>9546</v>
      </c>
      <c r="B3902" s="46" t="s">
        <v>11339</v>
      </c>
      <c r="C3902" s="46" t="s">
        <v>9546</v>
      </c>
      <c r="D3902" s="1751" t="s">
        <v>9686</v>
      </c>
      <c r="E3902" s="46" cm="1">
        <f t="array" ref="E3902">disaspre_mar_stormsurge_drl</f>
        <v>0</v>
      </c>
      <c r="F3902" s="46" t="b">
        <v>1</v>
      </c>
    </row>
    <row r="3903" spans="1:6">
      <c r="A3903" s="46" t="s">
        <v>9547</v>
      </c>
      <c r="B3903" s="46" t="s">
        <v>11339</v>
      </c>
      <c r="C3903" s="46" t="s">
        <v>9547</v>
      </c>
      <c r="D3903" s="1751" t="s">
        <v>9687</v>
      </c>
      <c r="E3903" s="46" cm="1">
        <f t="array" ref="E3903">disaspre_apr_stormsurge_drl</f>
        <v>0</v>
      </c>
      <c r="F3903" s="46" t="b">
        <v>1</v>
      </c>
    </row>
    <row r="3904" spans="1:6">
      <c r="A3904" s="46" t="s">
        <v>9548</v>
      </c>
      <c r="B3904" s="46" t="s">
        <v>11339</v>
      </c>
      <c r="C3904" s="46" t="s">
        <v>9548</v>
      </c>
      <c r="D3904" s="1751" t="s">
        <v>9688</v>
      </c>
      <c r="E3904" s="46" cm="1">
        <f t="array" ref="E3904">disaspre_may_stormsurge_drl</f>
        <v>0</v>
      </c>
      <c r="F3904" s="46" t="b">
        <v>1</v>
      </c>
    </row>
    <row r="3905" spans="1:6">
      <c r="A3905" s="46" t="s">
        <v>9537</v>
      </c>
      <c r="B3905" s="46" t="s">
        <v>11339</v>
      </c>
      <c r="C3905" s="46" t="s">
        <v>9537</v>
      </c>
      <c r="D3905" s="1751" t="s">
        <v>9689</v>
      </c>
      <c r="E3905" s="46" cm="1">
        <f t="array" ref="E3905">disaspre_jun_stormsurge_drl</f>
        <v>0</v>
      </c>
      <c r="F3905" s="46" t="b">
        <v>1</v>
      </c>
    </row>
    <row r="3906" spans="1:6">
      <c r="A3906" s="46" t="s">
        <v>9538</v>
      </c>
      <c r="B3906" s="46" t="s">
        <v>11339</v>
      </c>
      <c r="C3906" s="46" t="s">
        <v>9538</v>
      </c>
      <c r="D3906" s="1751" t="s">
        <v>9690</v>
      </c>
      <c r="E3906" s="46" cm="1">
        <f t="array" ref="E3906">disaspre_jul_stormsurge_drl</f>
        <v>0</v>
      </c>
      <c r="F3906" s="46" t="b">
        <v>1</v>
      </c>
    </row>
    <row r="3907" spans="1:6">
      <c r="A3907" s="46" t="s">
        <v>9539</v>
      </c>
      <c r="B3907" s="46" t="s">
        <v>11339</v>
      </c>
      <c r="C3907" s="46" t="s">
        <v>9539</v>
      </c>
      <c r="D3907" s="1751" t="s">
        <v>9691</v>
      </c>
      <c r="E3907" s="46" cm="1">
        <f t="array" ref="E3907">disaspre_aug_stormsurge_drl</f>
        <v>0</v>
      </c>
      <c r="F3907" s="46" t="b">
        <v>1</v>
      </c>
    </row>
    <row r="3908" spans="1:6">
      <c r="A3908" s="46" t="s">
        <v>9540</v>
      </c>
      <c r="B3908" s="46" t="s">
        <v>11339</v>
      </c>
      <c r="C3908" s="46" t="s">
        <v>9540</v>
      </c>
      <c r="D3908" s="1751" t="s">
        <v>9692</v>
      </c>
      <c r="E3908" s="46" cm="1">
        <f t="array" ref="E3908">disaspre_sep_stormsurge_drl</f>
        <v>0</v>
      </c>
      <c r="F3908" s="46" t="b">
        <v>1</v>
      </c>
    </row>
    <row r="3909" spans="1:6">
      <c r="A3909" s="46" t="s">
        <v>9541</v>
      </c>
      <c r="B3909" s="46" t="s">
        <v>11339</v>
      </c>
      <c r="C3909" s="46" t="s">
        <v>9541</v>
      </c>
      <c r="D3909" s="1751" t="s">
        <v>9693</v>
      </c>
      <c r="E3909" s="46" cm="1">
        <f t="array" ref="E3909">disaspre_oct_stormsurge_drl</f>
        <v>0</v>
      </c>
      <c r="F3909" s="46" t="b">
        <v>1</v>
      </c>
    </row>
    <row r="3910" spans="1:6">
      <c r="A3910" s="46" t="s">
        <v>9542</v>
      </c>
      <c r="B3910" s="46" t="s">
        <v>11339</v>
      </c>
      <c r="C3910" s="46" t="s">
        <v>9542</v>
      </c>
      <c r="D3910" s="1751" t="s">
        <v>9694</v>
      </c>
      <c r="E3910" s="46" cm="1">
        <f t="array" ref="E3910">disaspre_nov_stormsurge_drl</f>
        <v>0</v>
      </c>
      <c r="F3910" s="46" t="b">
        <v>1</v>
      </c>
    </row>
    <row r="3911" spans="1:6">
      <c r="A3911" s="46" t="s">
        <v>9543</v>
      </c>
      <c r="B3911" s="46" t="s">
        <v>11339</v>
      </c>
      <c r="C3911" s="46" t="s">
        <v>9543</v>
      </c>
      <c r="D3911" s="1751" t="s">
        <v>9695</v>
      </c>
      <c r="E3911" s="46" cm="1">
        <f t="array" ref="E3911">disaspre_dec_stormsurge_drl</f>
        <v>0</v>
      </c>
      <c r="F3911" s="46" t="b">
        <v>1</v>
      </c>
    </row>
    <row r="3912" spans="1:6">
      <c r="A3912" s="46" t="s">
        <v>9532</v>
      </c>
      <c r="B3912" s="46" t="s">
        <v>11339</v>
      </c>
      <c r="C3912" s="46" t="s">
        <v>9532</v>
      </c>
      <c r="D3912" s="1751" t="s">
        <v>9696</v>
      </c>
      <c r="E3912" s="46" cm="1">
        <f t="array" ref="E3912">disaspre_jan_tsunami_drl</f>
        <v>0</v>
      </c>
      <c r="F3912" s="46" t="b">
        <v>1</v>
      </c>
    </row>
    <row r="3913" spans="1:6">
      <c r="A3913" s="46" t="s">
        <v>9533</v>
      </c>
      <c r="B3913" s="46" t="s">
        <v>11339</v>
      </c>
      <c r="C3913" s="46" t="s">
        <v>9533</v>
      </c>
      <c r="D3913" s="1751" t="s">
        <v>9697</v>
      </c>
      <c r="E3913" s="46" cm="1">
        <f t="array" ref="E3913">disaspre_feb_tsunami_drl</f>
        <v>0</v>
      </c>
      <c r="F3913" s="46" t="b">
        <v>1</v>
      </c>
    </row>
    <row r="3914" spans="1:6">
      <c r="A3914" s="46" t="s">
        <v>9534</v>
      </c>
      <c r="B3914" s="46" t="s">
        <v>11339</v>
      </c>
      <c r="C3914" s="46" t="s">
        <v>9534</v>
      </c>
      <c r="D3914" s="1751" t="s">
        <v>9698</v>
      </c>
      <c r="E3914" s="46" cm="1">
        <f t="array" ref="E3914">disaspre_mar_tsunami_drl</f>
        <v>0</v>
      </c>
      <c r="F3914" s="46" t="b">
        <v>1</v>
      </c>
    </row>
    <row r="3915" spans="1:6">
      <c r="A3915" s="46" t="s">
        <v>9535</v>
      </c>
      <c r="B3915" s="46" t="s">
        <v>11339</v>
      </c>
      <c r="C3915" s="46" t="s">
        <v>9535</v>
      </c>
      <c r="D3915" s="1751" t="s">
        <v>9699</v>
      </c>
      <c r="E3915" s="46" cm="1">
        <f t="array" ref="E3915">disaspre_apr_tsunami_drl</f>
        <v>0</v>
      </c>
      <c r="F3915" s="46" t="b">
        <v>1</v>
      </c>
    </row>
    <row r="3916" spans="1:6">
      <c r="A3916" s="46" t="s">
        <v>9536</v>
      </c>
      <c r="B3916" s="46" t="s">
        <v>11339</v>
      </c>
      <c r="C3916" s="46" t="s">
        <v>9536</v>
      </c>
      <c r="D3916" s="1751" t="s">
        <v>9700</v>
      </c>
      <c r="E3916" s="46" cm="1">
        <f t="array" ref="E3916">disaspre_may_tsunami_drl</f>
        <v>0</v>
      </c>
      <c r="F3916" s="46" t="b">
        <v>1</v>
      </c>
    </row>
    <row r="3917" spans="1:6">
      <c r="A3917" s="46" t="s">
        <v>9525</v>
      </c>
      <c r="B3917" s="46" t="s">
        <v>11339</v>
      </c>
      <c r="C3917" s="46" t="s">
        <v>9525</v>
      </c>
      <c r="D3917" s="1751" t="s">
        <v>9701</v>
      </c>
      <c r="E3917" s="46" cm="1">
        <f t="array" ref="E3917">disaspre_jun_tsunami_drl</f>
        <v>0</v>
      </c>
      <c r="F3917" s="46" t="b">
        <v>1</v>
      </c>
    </row>
    <row r="3918" spans="1:6">
      <c r="A3918" s="46" t="s">
        <v>9526</v>
      </c>
      <c r="B3918" s="46" t="s">
        <v>11339</v>
      </c>
      <c r="C3918" s="46" t="s">
        <v>9526</v>
      </c>
      <c r="D3918" s="1751" t="s">
        <v>9702</v>
      </c>
      <c r="E3918" s="46" cm="1">
        <f t="array" ref="E3918">disaspre_jul_tsunami_drl</f>
        <v>0</v>
      </c>
      <c r="F3918" s="46" t="b">
        <v>1</v>
      </c>
    </row>
    <row r="3919" spans="1:6">
      <c r="A3919" s="46" t="s">
        <v>9527</v>
      </c>
      <c r="B3919" s="46" t="s">
        <v>11339</v>
      </c>
      <c r="C3919" s="46" t="s">
        <v>9527</v>
      </c>
      <c r="D3919" s="1751" t="s">
        <v>9703</v>
      </c>
      <c r="E3919" s="46" cm="1">
        <f t="array" ref="E3919">disaspre_aug_tsunami_drl</f>
        <v>0</v>
      </c>
      <c r="F3919" s="46" t="b">
        <v>1</v>
      </c>
    </row>
    <row r="3920" spans="1:6">
      <c r="A3920" s="46" t="s">
        <v>9528</v>
      </c>
      <c r="B3920" s="46" t="s">
        <v>11339</v>
      </c>
      <c r="C3920" s="46" t="s">
        <v>9528</v>
      </c>
      <c r="D3920" s="1751" t="s">
        <v>9704</v>
      </c>
      <c r="E3920" s="46" cm="1">
        <f t="array" ref="E3920">disaspre_sep_tsunami_drl</f>
        <v>0</v>
      </c>
      <c r="F3920" s="46" t="b">
        <v>1</v>
      </c>
    </row>
    <row r="3921" spans="1:8">
      <c r="A3921" s="46" t="s">
        <v>9529</v>
      </c>
      <c r="B3921" s="46" t="s">
        <v>11339</v>
      </c>
      <c r="C3921" s="46" t="s">
        <v>9529</v>
      </c>
      <c r="D3921" s="1751" t="s">
        <v>9705</v>
      </c>
      <c r="E3921" s="46" cm="1">
        <f t="array" ref="E3921">disaspre_oct_tsunami_drl</f>
        <v>0</v>
      </c>
      <c r="F3921" s="46" t="b">
        <v>1</v>
      </c>
    </row>
    <row r="3922" spans="1:8">
      <c r="A3922" s="46" t="s">
        <v>9530</v>
      </c>
      <c r="B3922" s="46" t="s">
        <v>11339</v>
      </c>
      <c r="C3922" s="46" t="s">
        <v>9530</v>
      </c>
      <c r="D3922" s="1751" t="s">
        <v>9706</v>
      </c>
      <c r="E3922" s="46" cm="1">
        <f t="array" ref="E3922">disaspre_nov_tsunami_drl</f>
        <v>0</v>
      </c>
      <c r="F3922" s="46" t="b">
        <v>1</v>
      </c>
    </row>
    <row r="3923" spans="1:8">
      <c r="A3923" s="46" t="s">
        <v>9531</v>
      </c>
      <c r="B3923" s="46" t="s">
        <v>11339</v>
      </c>
      <c r="C3923" s="46" t="s">
        <v>9531</v>
      </c>
      <c r="D3923" s="1751" t="s">
        <v>9707</v>
      </c>
      <c r="E3923" s="46" cm="1">
        <f t="array" ref="E3923">disaspre_dec_tsunami_drl</f>
        <v>0</v>
      </c>
      <c r="F3923" s="46" t="b">
        <v>1</v>
      </c>
    </row>
    <row r="3924" spans="1:8">
      <c r="A3924" s="46" t="s">
        <v>9720</v>
      </c>
      <c r="B3924" s="46" t="s">
        <v>11339</v>
      </c>
      <c r="C3924" s="46" t="s">
        <v>9720</v>
      </c>
      <c r="D3924" s="1751" t="s">
        <v>9708</v>
      </c>
      <c r="E3924" s="46" cm="1">
        <f t="array" ref="E3924">disaspre_num_hazzard_drl_teach_m</f>
        <v>11</v>
      </c>
      <c r="F3924" s="46" t="b">
        <v>1</v>
      </c>
    </row>
    <row r="3925" spans="1:8">
      <c r="A3925" s="46" t="s">
        <v>9721</v>
      </c>
      <c r="B3925" s="46" t="s">
        <v>11339</v>
      </c>
      <c r="C3925" s="46" t="s">
        <v>9721</v>
      </c>
      <c r="D3925" s="1751" t="s">
        <v>9709</v>
      </c>
      <c r="E3925" s="46" cm="1">
        <f t="array" ref="E3925">disaspre_num_hazzard_drl_teach_f</f>
        <v>17</v>
      </c>
      <c r="F3925" s="46" t="b">
        <v>1</v>
      </c>
    </row>
    <row r="3926" spans="1:8">
      <c r="A3926" s="46" t="s">
        <v>9722</v>
      </c>
      <c r="B3926" s="46" t="s">
        <v>11339</v>
      </c>
      <c r="C3926" s="46" t="s">
        <v>9722</v>
      </c>
      <c r="D3926" s="1751" t="s">
        <v>9710</v>
      </c>
      <c r="E3926" s="46" cm="1">
        <f t="array" ref="E3926">disaspre_num_hazzard_drl_nonteach_m</f>
        <v>1</v>
      </c>
      <c r="F3926" s="46" t="b">
        <v>1</v>
      </c>
    </row>
    <row r="3927" spans="1:8">
      <c r="A3927" s="46" t="s">
        <v>9723</v>
      </c>
      <c r="B3927" s="46" t="s">
        <v>11339</v>
      </c>
      <c r="C3927" s="46" t="s">
        <v>9723</v>
      </c>
      <c r="D3927" s="1751" t="s">
        <v>9711</v>
      </c>
      <c r="E3927" s="46" cm="1">
        <f t="array" ref="E3927">disaspre_num_hazzard_drl_nonteach_f</f>
        <v>1</v>
      </c>
      <c r="F3927" s="46" t="b">
        <v>1</v>
      </c>
    </row>
    <row r="3928" spans="1:8">
      <c r="A3928" s="46" t="s">
        <v>9724</v>
      </c>
      <c r="B3928" s="46" t="s">
        <v>11339</v>
      </c>
      <c r="C3928" s="46" t="s">
        <v>9724</v>
      </c>
      <c r="D3928" s="1751" t="s">
        <v>9712</v>
      </c>
      <c r="E3928" s="46" cm="1">
        <f t="array" ref="E3928">disaspre_num_hazzard_drl_l_m</f>
        <v>542</v>
      </c>
      <c r="F3928" s="46" t="b">
        <v>1</v>
      </c>
    </row>
    <row r="3929" spans="1:8">
      <c r="A3929" s="46" t="s">
        <v>9725</v>
      </c>
      <c r="B3929" s="46" t="s">
        <v>11339</v>
      </c>
      <c r="C3929" s="46" t="s">
        <v>9725</v>
      </c>
      <c r="D3929" s="1751" t="s">
        <v>9713</v>
      </c>
      <c r="E3929" s="46" cm="1">
        <f t="array" ref="E3929">disaspre_num_hazzard_drl_l_f</f>
        <v>465</v>
      </c>
      <c r="F3929" s="46" t="b">
        <v>1</v>
      </c>
    </row>
    <row r="3930" spans="1:8">
      <c r="A3930" s="46" t="s">
        <v>9726</v>
      </c>
      <c r="B3930" s="46" t="s">
        <v>11339</v>
      </c>
      <c r="C3930" s="46" t="s">
        <v>9726</v>
      </c>
      <c r="D3930" s="1751" t="s">
        <v>9714</v>
      </c>
      <c r="E3930" s="46" cm="1">
        <f t="array" ref="E3930">disaspre_num_hazzard_drl_ip_m</f>
        <v>10</v>
      </c>
      <c r="F3930" s="46" t="b">
        <v>1</v>
      </c>
    </row>
    <row r="3931" spans="1:8">
      <c r="A3931" s="46" t="s">
        <v>9727</v>
      </c>
      <c r="B3931" s="46" t="s">
        <v>11339</v>
      </c>
      <c r="C3931" s="46" t="s">
        <v>9727</v>
      </c>
      <c r="D3931" s="1751" t="s">
        <v>9715</v>
      </c>
      <c r="E3931" s="46" cm="1">
        <f t="array" ref="E3931">disaspre_num_hazzard_drl_ip_f</f>
        <v>7</v>
      </c>
      <c r="F3931" s="46" t="b">
        <v>1</v>
      </c>
    </row>
    <row r="3932" spans="1:8">
      <c r="A3932" s="46" t="s">
        <v>9728</v>
      </c>
      <c r="B3932" s="46" t="s">
        <v>11339</v>
      </c>
      <c r="C3932" s="46" t="s">
        <v>9728</v>
      </c>
      <c r="D3932" s="1751" t="s">
        <v>9716</v>
      </c>
      <c r="E3932" s="46" cm="1">
        <f t="array" ref="E3932">disaspre_num_hazzard_drl_muslim_m</f>
        <v>0</v>
      </c>
      <c r="F3932" s="46" t="b">
        <v>1</v>
      </c>
    </row>
    <row r="3933" spans="1:8">
      <c r="A3933" s="46" t="s">
        <v>9729</v>
      </c>
      <c r="B3933" s="46" t="s">
        <v>11339</v>
      </c>
      <c r="C3933" s="46" t="s">
        <v>9729</v>
      </c>
      <c r="D3933" s="1751" t="s">
        <v>9717</v>
      </c>
      <c r="E3933" s="46" cm="1">
        <f t="array" ref="E3933">disaspre_num_hazzard_drl_muslim_f</f>
        <v>1</v>
      </c>
      <c r="F3933" s="46" t="b">
        <v>1</v>
      </c>
    </row>
    <row r="3934" spans="1:8">
      <c r="A3934" s="46" t="s">
        <v>9730</v>
      </c>
      <c r="B3934" s="46" t="s">
        <v>11339</v>
      </c>
      <c r="C3934" s="46" t="s">
        <v>9730</v>
      </c>
      <c r="D3934" s="1751" t="s">
        <v>9718</v>
      </c>
      <c r="E3934" s="46" cm="1">
        <f t="array" ref="E3934">disaspre_num_hazzard_drl_lwd_m</f>
        <v>0</v>
      </c>
      <c r="F3934" s="46" t="b">
        <v>1</v>
      </c>
    </row>
    <row r="3935" spans="1:8" ht="16.5" thickBot="1">
      <c r="A3935" s="479" t="s">
        <v>9731</v>
      </c>
      <c r="B3935" s="479" t="s">
        <v>11339</v>
      </c>
      <c r="C3935" s="479" t="s">
        <v>9731</v>
      </c>
      <c r="D3935" s="1771" t="s">
        <v>9719</v>
      </c>
      <c r="E3935" s="479" cm="1">
        <f t="array" ref="E3935">disaspre_num_hazzard_drl_lwd_f</f>
        <v>0</v>
      </c>
      <c r="F3935" s="479" t="b">
        <v>1</v>
      </c>
      <c r="G3935" s="479"/>
      <c r="H3935" s="479"/>
    </row>
    <row r="3936" spans="1:8" ht="16.5" thickTop="1">
      <c r="A3936" s="46" t="s">
        <v>9732</v>
      </c>
      <c r="B3936" s="46" t="s">
        <v>11339</v>
      </c>
      <c r="C3936" s="46" t="s">
        <v>9732</v>
      </c>
      <c r="D3936" s="1751" t="s">
        <v>9820</v>
      </c>
      <c r="E3936" s="46" t="b" cm="1">
        <f t="array" ref="E3936">disasres_brigada_eskwela</f>
        <v>1</v>
      </c>
      <c r="F3936" s="1696" t="b">
        <f t="shared" ref="F3936" si="44">OR(E3936=TRUE, E3936=FALSE)</f>
        <v>1</v>
      </c>
      <c r="G3936" s="46" t="s">
        <v>11265</v>
      </c>
    </row>
    <row r="3937" spans="1:7">
      <c r="A3937" s="46" t="s">
        <v>9733</v>
      </c>
      <c r="B3937" s="46" t="s">
        <v>11339</v>
      </c>
      <c r="C3937" s="46" t="s">
        <v>9733</v>
      </c>
      <c r="D3937" s="1751" t="s">
        <v>9822</v>
      </c>
      <c r="E3937" s="46" cm="1">
        <f t="array" ref="E3937">disasres_peace_prog</f>
        <v>0</v>
      </c>
      <c r="F3937" s="46" t="b">
        <v>1</v>
      </c>
    </row>
    <row r="3938" spans="1:7">
      <c r="A3938" s="46" t="s">
        <v>9734</v>
      </c>
      <c r="B3938" s="46" t="s">
        <v>11339</v>
      </c>
      <c r="C3938" s="46" t="s">
        <v>9734</v>
      </c>
      <c r="D3938" s="1751" t="s">
        <v>9821</v>
      </c>
      <c r="E3938" s="46" t="b" cm="1">
        <f t="array" ref="E3938">disasres_radar</f>
        <v>0</v>
      </c>
      <c r="F3938" s="1696" t="b">
        <f t="shared" ref="F3938" si="45">OR(E3938=TRUE, E3938=FALSE)</f>
        <v>1</v>
      </c>
      <c r="G3938" s="46" t="s">
        <v>11265</v>
      </c>
    </row>
    <row r="3939" spans="1:7">
      <c r="A3939" s="46" t="s">
        <v>9735</v>
      </c>
      <c r="B3939" s="46" t="s">
        <v>11339</v>
      </c>
      <c r="C3939" s="46" t="s">
        <v>9735</v>
      </c>
      <c r="D3939" s="1751" t="s">
        <v>9823</v>
      </c>
      <c r="E3939" s="46" cm="1">
        <f t="array" ref="E3939">disasres_num_drrms_fund_cleanup</f>
        <v>0</v>
      </c>
      <c r="F3939" s="46" t="b">
        <v>1</v>
      </c>
    </row>
    <row r="3940" spans="1:7">
      <c r="A3940" s="46" t="s">
        <v>9736</v>
      </c>
      <c r="B3940" s="46" t="s">
        <v>11339</v>
      </c>
      <c r="C3940" s="46" t="s">
        <v>9736</v>
      </c>
      <c r="D3940" s="1751" t="s">
        <v>9824</v>
      </c>
      <c r="E3940" s="46" cm="1">
        <f t="array" ref="E3940">disasres_num_drrms_fund_templearn</f>
        <v>0</v>
      </c>
      <c r="F3940" s="46" t="b">
        <v>1</v>
      </c>
    </row>
    <row r="3941" spans="1:7">
      <c r="A3941" s="46" t="s">
        <v>9737</v>
      </c>
      <c r="B3941" s="46" t="s">
        <v>11339</v>
      </c>
      <c r="C3941" s="46" t="s">
        <v>9737</v>
      </c>
      <c r="D3941" s="1751" t="s">
        <v>9825</v>
      </c>
      <c r="E3941" s="46" cm="1">
        <f t="array" ref="E3941">disasres_num_drrms_fund_tempwash</f>
        <v>0</v>
      </c>
      <c r="F3941" s="46" t="b">
        <v>1</v>
      </c>
    </row>
    <row r="3942" spans="1:7">
      <c r="A3942" s="46" t="s">
        <v>9738</v>
      </c>
      <c r="B3942" s="46" t="s">
        <v>11339</v>
      </c>
      <c r="C3942" s="46" t="s">
        <v>9738</v>
      </c>
      <c r="D3942" s="1751" t="s">
        <v>9826</v>
      </c>
      <c r="E3942" s="46" cm="1">
        <f t="array" ref="E3942">disasres_num_drrms_fund_feed</f>
        <v>0</v>
      </c>
      <c r="F3942" s="46" t="b">
        <v>1</v>
      </c>
    </row>
    <row r="3943" spans="1:7">
      <c r="A3943" s="46" t="s">
        <v>9739</v>
      </c>
      <c r="B3943" s="46" t="s">
        <v>11339</v>
      </c>
      <c r="C3943" s="46" t="s">
        <v>9739</v>
      </c>
      <c r="D3943" s="1751" t="s">
        <v>9827</v>
      </c>
      <c r="E3943" s="46" cm="1">
        <f t="array" ref="E3943">disasres_num_drrms_hygiene</f>
        <v>0</v>
      </c>
      <c r="F3943" s="46" t="b">
        <v>1</v>
      </c>
    </row>
    <row r="3944" spans="1:7">
      <c r="A3944" s="46" t="s">
        <v>9740</v>
      </c>
      <c r="B3944" s="46" t="s">
        <v>11339</v>
      </c>
      <c r="C3944" s="46" t="s">
        <v>9740</v>
      </c>
      <c r="D3944" s="1751" t="s">
        <v>9828</v>
      </c>
      <c r="E3944" s="46" cm="1">
        <f t="array" ref="E3944">disasres_num_drrms_learnkit</f>
        <v>0</v>
      </c>
      <c r="F3944" s="46" t="b">
        <v>1</v>
      </c>
    </row>
    <row r="3945" spans="1:7">
      <c r="A3945" s="46" t="s">
        <v>9741</v>
      </c>
      <c r="B3945" s="46" t="s">
        <v>11339</v>
      </c>
      <c r="C3945" s="46" t="s">
        <v>9741</v>
      </c>
      <c r="D3945" s="1751" t="s">
        <v>9829</v>
      </c>
      <c r="E3945" s="46" cm="1">
        <f t="array" ref="E3945">disasres_num_drrms_teachkit</f>
        <v>0</v>
      </c>
      <c r="F3945" s="46" t="b">
        <v>1</v>
      </c>
    </row>
    <row r="3946" spans="1:7">
      <c r="A3946" s="46" t="s">
        <v>9742</v>
      </c>
      <c r="B3946" s="46" t="s">
        <v>11339</v>
      </c>
      <c r="C3946" s="46" t="s">
        <v>9742</v>
      </c>
      <c r="D3946" s="1751" t="s">
        <v>9830</v>
      </c>
      <c r="E3946" s="46" cm="1">
        <f t="array" ref="E3946">disasres_num_drrms_adm</f>
        <v>0</v>
      </c>
      <c r="F3946" s="46" t="b">
        <v>1</v>
      </c>
    </row>
    <row r="3947" spans="1:7">
      <c r="A3947" s="46" t="s">
        <v>9743</v>
      </c>
      <c r="B3947" s="46" t="s">
        <v>11339</v>
      </c>
      <c r="C3947" s="46" t="s">
        <v>9743</v>
      </c>
      <c r="D3947" s="1751" t="s">
        <v>9831</v>
      </c>
      <c r="E3947" s="1761" cm="1">
        <f t="array" ref="E3947">disasres_num_drrms_fund_cleanup_date</f>
        <v>0</v>
      </c>
      <c r="F3947" s="46" t="b">
        <v>1</v>
      </c>
    </row>
    <row r="3948" spans="1:7">
      <c r="A3948" s="46" t="s">
        <v>9744</v>
      </c>
      <c r="B3948" s="46" t="s">
        <v>11339</v>
      </c>
      <c r="C3948" s="46" t="s">
        <v>9744</v>
      </c>
      <c r="D3948" s="1751" t="s">
        <v>9832</v>
      </c>
      <c r="E3948" s="1761" cm="1">
        <f t="array" ref="E3948">disasres_num_drrms_fund_templearn_date</f>
        <v>0</v>
      </c>
      <c r="F3948" s="46" t="b">
        <v>1</v>
      </c>
    </row>
    <row r="3949" spans="1:7">
      <c r="A3949" s="46" t="s">
        <v>9745</v>
      </c>
      <c r="B3949" s="46" t="s">
        <v>11339</v>
      </c>
      <c r="C3949" s="46" t="s">
        <v>9745</v>
      </c>
      <c r="D3949" s="1751" t="s">
        <v>9833</v>
      </c>
      <c r="E3949" s="1761" cm="1">
        <f t="array" ref="E3949">disasres_num_drrms_fund_tempwash_date</f>
        <v>0</v>
      </c>
      <c r="F3949" s="46" t="b">
        <v>1</v>
      </c>
    </row>
    <row r="3950" spans="1:7">
      <c r="A3950" s="46" t="s">
        <v>9746</v>
      </c>
      <c r="B3950" s="46" t="s">
        <v>11339</v>
      </c>
      <c r="C3950" s="46" t="s">
        <v>9746</v>
      </c>
      <c r="D3950" s="1751" t="s">
        <v>9834</v>
      </c>
      <c r="E3950" s="1761" cm="1">
        <f t="array" ref="E3950">disasres_num_drrms_fund_feed_date</f>
        <v>0</v>
      </c>
      <c r="F3950" s="46" t="b">
        <v>1</v>
      </c>
    </row>
    <row r="3951" spans="1:7">
      <c r="A3951" s="46" t="s">
        <v>9747</v>
      </c>
      <c r="B3951" s="46" t="s">
        <v>11339</v>
      </c>
      <c r="C3951" s="46" t="s">
        <v>9747</v>
      </c>
      <c r="D3951" s="1751" t="s">
        <v>9835</v>
      </c>
      <c r="E3951" s="1761" cm="1">
        <f t="array" ref="E3951">disasres_num_drrms_hygiene_date</f>
        <v>0</v>
      </c>
      <c r="F3951" s="46" t="b">
        <v>1</v>
      </c>
    </row>
    <row r="3952" spans="1:7">
      <c r="A3952" s="46" t="s">
        <v>9748</v>
      </c>
      <c r="B3952" s="46" t="s">
        <v>11339</v>
      </c>
      <c r="C3952" s="46" t="s">
        <v>9748</v>
      </c>
      <c r="D3952" s="1751" t="s">
        <v>9836</v>
      </c>
      <c r="E3952" s="1761" cm="1">
        <f t="array" ref="E3952">disasres_num_drrms_learnkit_date</f>
        <v>0</v>
      </c>
      <c r="F3952" s="46" t="b">
        <v>1</v>
      </c>
    </row>
    <row r="3953" spans="1:7">
      <c r="A3953" s="46" t="s">
        <v>9749</v>
      </c>
      <c r="B3953" s="46" t="s">
        <v>11339</v>
      </c>
      <c r="C3953" s="46" t="s">
        <v>9749</v>
      </c>
      <c r="D3953" s="1751" t="s">
        <v>9837</v>
      </c>
      <c r="E3953" s="1761" cm="1">
        <f t="array" ref="E3953">disasres_num_drrms_teachkit_date</f>
        <v>0</v>
      </c>
      <c r="F3953" s="46" t="b">
        <v>1</v>
      </c>
    </row>
    <row r="3954" spans="1:7">
      <c r="A3954" s="46" t="s">
        <v>9750</v>
      </c>
      <c r="B3954" s="46" t="s">
        <v>11339</v>
      </c>
      <c r="C3954" s="46" t="s">
        <v>9750</v>
      </c>
      <c r="D3954" s="1751" t="s">
        <v>9838</v>
      </c>
      <c r="E3954" s="1761" cm="1">
        <f t="array" ref="E3954">disasres_num_drrms_adm_date</f>
        <v>0</v>
      </c>
      <c r="F3954" s="46" t="b">
        <v>1</v>
      </c>
    </row>
    <row r="3955" spans="1:7">
      <c r="A3955" s="46" t="s">
        <v>9751</v>
      </c>
      <c r="B3955" s="46" t="s">
        <v>11339</v>
      </c>
      <c r="C3955" s="46" t="s">
        <v>9751</v>
      </c>
      <c r="D3955" s="1751" t="s">
        <v>9839</v>
      </c>
      <c r="E3955" s="46" cm="1">
        <f t="array" ref="E3955">disasres_num_part_donate</f>
        <v>0</v>
      </c>
      <c r="F3955" s="46" t="b">
        <v>1</v>
      </c>
    </row>
    <row r="3956" spans="1:7">
      <c r="A3956" s="46" t="s">
        <v>9752</v>
      </c>
      <c r="B3956" s="46" t="s">
        <v>11339</v>
      </c>
      <c r="C3956" s="46" t="s">
        <v>9752</v>
      </c>
      <c r="D3956" s="1751" t="s">
        <v>9840</v>
      </c>
      <c r="E3956" s="46" cm="1">
        <f t="array" ref="E3956">disasres_num_part_feed</f>
        <v>0</v>
      </c>
      <c r="F3956" s="46" t="b">
        <v>1</v>
      </c>
    </row>
    <row r="3957" spans="1:7">
      <c r="A3957" s="46" t="s">
        <v>9753</v>
      </c>
      <c r="B3957" s="46" t="s">
        <v>11339</v>
      </c>
      <c r="C3957" s="46" t="s">
        <v>9753</v>
      </c>
      <c r="D3957" s="1751" t="s">
        <v>9841</v>
      </c>
      <c r="E3957" s="46" cm="1">
        <f t="array" ref="E3957">disasres_num_part_hygiene</f>
        <v>0</v>
      </c>
      <c r="F3957" s="46" t="b">
        <v>1</v>
      </c>
    </row>
    <row r="3958" spans="1:7">
      <c r="A3958" s="46" t="s">
        <v>9754</v>
      </c>
      <c r="B3958" s="46" t="s">
        <v>11339</v>
      </c>
      <c r="C3958" s="46" t="s">
        <v>9754</v>
      </c>
      <c r="D3958" s="1751" t="s">
        <v>9842</v>
      </c>
      <c r="E3958" s="46" cm="1">
        <f t="array" ref="E3958">disasres_num_part_learnkit</f>
        <v>0</v>
      </c>
      <c r="F3958" s="46" t="b">
        <v>1</v>
      </c>
    </row>
    <row r="3959" spans="1:7">
      <c r="A3959" s="46" t="s">
        <v>9755</v>
      </c>
      <c r="B3959" s="46" t="s">
        <v>11339</v>
      </c>
      <c r="C3959" s="46" t="s">
        <v>9755</v>
      </c>
      <c r="D3959" s="1751" t="s">
        <v>9843</v>
      </c>
      <c r="E3959" s="46" cm="1">
        <f t="array" ref="E3959">disasres_num_part_teachkit</f>
        <v>0</v>
      </c>
      <c r="F3959" s="46" t="b">
        <v>1</v>
      </c>
    </row>
    <row r="3960" spans="1:7">
      <c r="A3960" s="46" t="s">
        <v>9756</v>
      </c>
      <c r="B3960" s="46" t="s">
        <v>11339</v>
      </c>
      <c r="C3960" s="46" t="s">
        <v>9756</v>
      </c>
      <c r="D3960" s="1751" t="s">
        <v>9844</v>
      </c>
      <c r="E3960" s="46" cm="1">
        <f t="array" ref="E3960">disasres_num_part_adm</f>
        <v>0</v>
      </c>
      <c r="F3960" s="46" t="b">
        <v>1</v>
      </c>
    </row>
    <row r="3961" spans="1:7">
      <c r="A3961" s="46" t="s">
        <v>9757</v>
      </c>
      <c r="B3961" s="46" t="s">
        <v>11339</v>
      </c>
      <c r="C3961" s="46" t="s">
        <v>9757</v>
      </c>
      <c r="D3961" s="1751" t="s">
        <v>9845</v>
      </c>
      <c r="E3961" s="46" cm="1">
        <f t="array" ref="E3961">disasres_num_part_mhpps</f>
        <v>0</v>
      </c>
      <c r="F3961" s="46" t="b">
        <v>1</v>
      </c>
    </row>
    <row r="3962" spans="1:7">
      <c r="A3962" s="46" t="s">
        <v>9758</v>
      </c>
      <c r="B3962" s="46" t="s">
        <v>11339</v>
      </c>
      <c r="C3962" s="46" t="s">
        <v>9758</v>
      </c>
      <c r="D3962" s="1751" t="s">
        <v>9846</v>
      </c>
      <c r="E3962" s="46" cm="1">
        <f t="array" ref="E3962">disasres_num_part_templearn</f>
        <v>0</v>
      </c>
      <c r="F3962" s="46" t="b">
        <v>1</v>
      </c>
    </row>
    <row r="3963" spans="1:7">
      <c r="A3963" s="46" t="s">
        <v>9759</v>
      </c>
      <c r="B3963" s="46" t="s">
        <v>11339</v>
      </c>
      <c r="C3963" s="46" t="s">
        <v>9759</v>
      </c>
      <c r="D3963" s="1751" t="s">
        <v>9847</v>
      </c>
      <c r="E3963" s="46" cm="1">
        <f t="array" ref="E3963">disasres_num_part_wash</f>
        <v>0</v>
      </c>
      <c r="F3963" s="46" t="b">
        <v>1</v>
      </c>
    </row>
    <row r="3964" spans="1:7">
      <c r="A3964" s="46" t="s">
        <v>9760</v>
      </c>
      <c r="B3964" s="46" t="s">
        <v>11339</v>
      </c>
      <c r="C3964" s="46" t="s">
        <v>9760</v>
      </c>
      <c r="D3964" s="1751" t="s">
        <v>9848</v>
      </c>
      <c r="E3964" s="46" cm="1">
        <f t="array" ref="E3964">disasres_num_teachper_resp_m</f>
        <v>1</v>
      </c>
      <c r="F3964" s="46" t="b">
        <v>1</v>
      </c>
    </row>
    <row r="3965" spans="1:7">
      <c r="A3965" s="46" t="s">
        <v>9761</v>
      </c>
      <c r="B3965" s="46" t="s">
        <v>11339</v>
      </c>
      <c r="C3965" s="46" t="s">
        <v>9761</v>
      </c>
      <c r="D3965" s="1751" t="s">
        <v>9849</v>
      </c>
      <c r="E3965" s="46" cm="1">
        <f t="array" ref="E3965">disasres_num_teachper_resp_f</f>
        <v>0</v>
      </c>
      <c r="F3965" s="46" t="b">
        <v>1</v>
      </c>
    </row>
    <row r="3966" spans="1:7">
      <c r="A3966" s="46" t="s">
        <v>9762</v>
      </c>
      <c r="B3966" s="46" t="s">
        <v>11339</v>
      </c>
      <c r="C3966" s="46" t="s">
        <v>9762</v>
      </c>
      <c r="D3966" s="1751" t="s">
        <v>9850</v>
      </c>
      <c r="E3966" s="46" cm="1">
        <f t="array" ref="E3966">disasres_num_teachper_impl_m</f>
        <v>1</v>
      </c>
      <c r="F3966" s="46" t="b">
        <v>1</v>
      </c>
    </row>
    <row r="3967" spans="1:7">
      <c r="A3967" s="46" t="s">
        <v>9763</v>
      </c>
      <c r="B3967" s="46" t="s">
        <v>11339</v>
      </c>
      <c r="C3967" s="46" t="s">
        <v>9763</v>
      </c>
      <c r="D3967" s="1751" t="s">
        <v>9851</v>
      </c>
      <c r="E3967" s="46" cm="1">
        <f t="array" ref="E3967">disasres_num_teachper_impl_f</f>
        <v>0</v>
      </c>
      <c r="F3967" s="46" t="b">
        <v>1</v>
      </c>
    </row>
    <row r="3968" spans="1:7">
      <c r="A3968" s="46" t="s">
        <v>9764</v>
      </c>
      <c r="B3968" s="46" t="s">
        <v>11339</v>
      </c>
      <c r="C3968" s="46" t="s">
        <v>9764</v>
      </c>
      <c r="D3968" s="1751" t="s">
        <v>9852</v>
      </c>
      <c r="E3968" s="46" t="b" cm="1">
        <f t="array" ref="E3968">disasres_impl_adm_disas</f>
        <v>1</v>
      </c>
      <c r="F3968" s="1696" t="b">
        <f t="shared" ref="F3968:F3975" si="46">OR(E3968=TRUE, E3968=FALSE)</f>
        <v>1</v>
      </c>
      <c r="G3968" s="46" t="s">
        <v>11265</v>
      </c>
    </row>
    <row r="3969" spans="1:7">
      <c r="A3969" s="46" t="s">
        <v>9765</v>
      </c>
      <c r="B3969" s="46" t="s">
        <v>11339</v>
      </c>
      <c r="C3969" s="46" t="s">
        <v>9765</v>
      </c>
      <c r="D3969" s="1751" t="s">
        <v>9853</v>
      </c>
      <c r="E3969" s="46" t="b" cm="1">
        <f t="array" ref="E3969">disasres_impl_adm_emer</f>
        <v>1</v>
      </c>
      <c r="F3969" s="1696" t="b">
        <f t="shared" si="46"/>
        <v>1</v>
      </c>
      <c r="G3969" s="46" t="s">
        <v>11265</v>
      </c>
    </row>
    <row r="3970" spans="1:7">
      <c r="A3970" s="46" t="s">
        <v>9766</v>
      </c>
      <c r="B3970" s="46" t="s">
        <v>11339</v>
      </c>
      <c r="C3970" s="46" t="s">
        <v>9766</v>
      </c>
      <c r="D3970" s="1751" t="s">
        <v>9854</v>
      </c>
      <c r="E3970" s="46" t="b" cm="1">
        <f t="array" ref="E3970">disasres_resump_classhift</f>
        <v>0</v>
      </c>
      <c r="F3970" s="1696" t="b">
        <f t="shared" si="46"/>
        <v>1</v>
      </c>
      <c r="G3970" s="46" t="s">
        <v>11265</v>
      </c>
    </row>
    <row r="3971" spans="1:7">
      <c r="A3971" s="46" t="s">
        <v>9767</v>
      </c>
      <c r="B3971" s="46" t="s">
        <v>11339</v>
      </c>
      <c r="C3971" s="46" t="s">
        <v>9767</v>
      </c>
      <c r="D3971" s="1751" t="s">
        <v>9855</v>
      </c>
      <c r="E3971" s="46" t="b" cm="1">
        <f t="array" ref="E3971">disasres_resump_makeup</f>
        <v>0</v>
      </c>
      <c r="F3971" s="1696" t="b">
        <f t="shared" si="46"/>
        <v>1</v>
      </c>
      <c r="G3971" s="46" t="s">
        <v>11265</v>
      </c>
    </row>
    <row r="3972" spans="1:7">
      <c r="A3972" s="46" t="s">
        <v>9768</v>
      </c>
      <c r="B3972" s="46" t="s">
        <v>11339</v>
      </c>
      <c r="C3972" s="46" t="s">
        <v>9768</v>
      </c>
      <c r="D3972" s="1751" t="s">
        <v>9856</v>
      </c>
      <c r="E3972" s="46" t="b" cm="1">
        <f t="array" ref="E3972">disasres_resump_module</f>
        <v>1</v>
      </c>
      <c r="F3972" s="1696" t="b">
        <f t="shared" si="46"/>
        <v>1</v>
      </c>
      <c r="G3972" s="46" t="s">
        <v>11265</v>
      </c>
    </row>
    <row r="3973" spans="1:7">
      <c r="A3973" s="46" t="s">
        <v>9769</v>
      </c>
      <c r="B3973" s="46" t="s">
        <v>11339</v>
      </c>
      <c r="C3973" s="46" t="s">
        <v>9769</v>
      </c>
      <c r="D3973" s="1751" t="s">
        <v>9857</v>
      </c>
      <c r="E3973" s="46" t="b" cm="1">
        <f t="array" ref="E3973">disasres_resump_online</f>
        <v>0</v>
      </c>
      <c r="F3973" s="1696" t="b">
        <f t="shared" si="46"/>
        <v>1</v>
      </c>
      <c r="G3973" s="46" t="s">
        <v>11265</v>
      </c>
    </row>
    <row r="3974" spans="1:7">
      <c r="A3974" s="46" t="s">
        <v>9770</v>
      </c>
      <c r="B3974" s="46" t="s">
        <v>11339</v>
      </c>
      <c r="C3974" s="46" t="s">
        <v>9770</v>
      </c>
      <c r="D3974" s="1751" t="s">
        <v>9858</v>
      </c>
      <c r="E3974" s="46" t="b" cm="1">
        <f t="array" ref="E3974">disasres_resump_peer</f>
        <v>0</v>
      </c>
      <c r="F3974" s="1696" t="b">
        <f t="shared" si="46"/>
        <v>1</v>
      </c>
      <c r="G3974" s="46" t="s">
        <v>11265</v>
      </c>
    </row>
    <row r="3975" spans="1:7">
      <c r="A3975" s="46" t="s">
        <v>9771</v>
      </c>
      <c r="B3975" s="46" t="s">
        <v>11339</v>
      </c>
      <c r="C3975" s="46" t="s">
        <v>9771</v>
      </c>
      <c r="D3975" s="1751" t="s">
        <v>9859</v>
      </c>
      <c r="E3975" s="46" t="b" cm="1">
        <f t="array" ref="E3975">disasres_resump_prog</f>
        <v>0</v>
      </c>
      <c r="F3975" s="1696" t="b">
        <f t="shared" si="46"/>
        <v>1</v>
      </c>
      <c r="G3975" s="46" t="s">
        <v>11265</v>
      </c>
    </row>
    <row r="3976" spans="1:7">
      <c r="A3976" s="46" t="s">
        <v>9772</v>
      </c>
      <c r="B3976" s="46" t="s">
        <v>11339</v>
      </c>
      <c r="C3976" s="46" t="s">
        <v>9772</v>
      </c>
      <c r="D3976" s="1751" t="s">
        <v>9860</v>
      </c>
      <c r="E3976" s="46" cm="1">
        <f t="array" ref="E3976">disasres_resump_classhift_days</f>
        <v>0</v>
      </c>
      <c r="F3976" s="46" t="b">
        <v>1</v>
      </c>
    </row>
    <row r="3977" spans="1:7">
      <c r="A3977" s="46" t="s">
        <v>9773</v>
      </c>
      <c r="B3977" s="46" t="s">
        <v>11339</v>
      </c>
      <c r="C3977" s="46" t="s">
        <v>9773</v>
      </c>
      <c r="D3977" s="1751" t="s">
        <v>9861</v>
      </c>
      <c r="E3977" s="46" cm="1">
        <f t="array" ref="E3977">disasres_resump_makeup_days</f>
        <v>0</v>
      </c>
      <c r="F3977" s="46" t="b">
        <v>1</v>
      </c>
    </row>
    <row r="3978" spans="1:7">
      <c r="A3978" s="46" t="s">
        <v>9774</v>
      </c>
      <c r="B3978" s="46" t="s">
        <v>11339</v>
      </c>
      <c r="C3978" s="46" t="s">
        <v>9774</v>
      </c>
      <c r="D3978" s="1751" t="s">
        <v>9862</v>
      </c>
      <c r="E3978" s="46" cm="1">
        <f t="array" ref="E3978">disasres_resump_module_days</f>
        <v>3</v>
      </c>
      <c r="F3978" s="46" t="b">
        <v>1</v>
      </c>
    </row>
    <row r="3979" spans="1:7">
      <c r="A3979" s="46" t="s">
        <v>9775</v>
      </c>
      <c r="B3979" s="46" t="s">
        <v>11339</v>
      </c>
      <c r="C3979" s="46" t="s">
        <v>9775</v>
      </c>
      <c r="D3979" s="1751" t="s">
        <v>9863</v>
      </c>
      <c r="E3979" s="46" cm="1">
        <f t="array" ref="E3979">disasres_resump_online_days</f>
        <v>0</v>
      </c>
      <c r="F3979" s="46" t="b">
        <v>1</v>
      </c>
    </row>
    <row r="3980" spans="1:7">
      <c r="A3980" s="46" t="s">
        <v>9776</v>
      </c>
      <c r="B3980" s="46" t="s">
        <v>11339</v>
      </c>
      <c r="C3980" s="46" t="s">
        <v>9776</v>
      </c>
      <c r="D3980" s="1751" t="s">
        <v>9864</v>
      </c>
      <c r="E3980" s="46" cm="1">
        <f t="array" ref="E3980">disasres_resump_peer_days</f>
        <v>0</v>
      </c>
      <c r="F3980" s="46" t="b">
        <v>1</v>
      </c>
    </row>
    <row r="3981" spans="1:7">
      <c r="A3981" s="46" t="s">
        <v>9777</v>
      </c>
      <c r="B3981" s="46" t="s">
        <v>11339</v>
      </c>
      <c r="C3981" s="46" t="s">
        <v>9777</v>
      </c>
      <c r="D3981" s="1751" t="s">
        <v>9865</v>
      </c>
      <c r="E3981" s="46" cm="1">
        <f t="array" ref="E3981">disasres_resump_prog_days</f>
        <v>0</v>
      </c>
      <c r="F3981" s="46" t="b">
        <v>1</v>
      </c>
    </row>
    <row r="3982" spans="1:7">
      <c r="A3982" s="46" t="s">
        <v>9778</v>
      </c>
      <c r="B3982" s="46" t="s">
        <v>11339</v>
      </c>
      <c r="C3982" s="46" t="s">
        <v>9778</v>
      </c>
      <c r="D3982" s="1751" t="s">
        <v>9866</v>
      </c>
      <c r="E3982" s="46" t="b" cm="1">
        <f t="array" ref="E3982">disasres_adm_eimpact</f>
        <v>0</v>
      </c>
      <c r="F3982" s="1696" t="b">
        <f t="shared" ref="F3982:F3986" si="47">OR(E3982=TRUE, E3982=FALSE)</f>
        <v>1</v>
      </c>
      <c r="G3982" s="46" t="s">
        <v>11265</v>
      </c>
    </row>
    <row r="3983" spans="1:7">
      <c r="A3983" s="46" t="s">
        <v>9779</v>
      </c>
      <c r="B3983" s="46" t="s">
        <v>11339</v>
      </c>
      <c r="C3983" s="46" t="s">
        <v>9779</v>
      </c>
      <c r="D3983" s="1751" t="s">
        <v>9867</v>
      </c>
      <c r="E3983" s="46" t="b" cm="1">
        <f t="array" ref="E3983">disasres_adm_home</f>
        <v>0</v>
      </c>
      <c r="F3983" s="1696" t="b">
        <f t="shared" si="47"/>
        <v>1</v>
      </c>
      <c r="G3983" s="46" t="s">
        <v>11265</v>
      </c>
    </row>
    <row r="3984" spans="1:7">
      <c r="A3984" s="46" t="s">
        <v>9780</v>
      </c>
      <c r="B3984" s="46" t="s">
        <v>11339</v>
      </c>
      <c r="C3984" s="46" t="s">
        <v>9780</v>
      </c>
      <c r="D3984" s="1751" t="s">
        <v>9868</v>
      </c>
      <c r="E3984" s="46" t="b" cm="1">
        <f t="array" ref="E3984">disasres_adm_misosa</f>
        <v>0</v>
      </c>
      <c r="F3984" s="1696" t="b">
        <f t="shared" si="47"/>
        <v>1</v>
      </c>
      <c r="G3984" s="46" t="s">
        <v>11265</v>
      </c>
    </row>
    <row r="3985" spans="1:7">
      <c r="A3985" s="46" t="s">
        <v>9781</v>
      </c>
      <c r="B3985" s="46" t="s">
        <v>11339</v>
      </c>
      <c r="C3985" s="46" t="s">
        <v>9781</v>
      </c>
      <c r="D3985" s="1751" t="s">
        <v>9869</v>
      </c>
      <c r="E3985" s="46" t="b" cm="1">
        <f t="array" ref="E3985">disasres_adm_nhs</f>
        <v>0</v>
      </c>
      <c r="F3985" s="1696" t="b">
        <f t="shared" si="47"/>
        <v>1</v>
      </c>
      <c r="G3985" s="46" t="s">
        <v>11265</v>
      </c>
    </row>
    <row r="3986" spans="1:7">
      <c r="A3986" s="46" t="s">
        <v>9782</v>
      </c>
      <c r="B3986" s="46" t="s">
        <v>11339</v>
      </c>
      <c r="C3986" s="46" t="s">
        <v>9782</v>
      </c>
      <c r="D3986" s="1751" t="s">
        <v>9870</v>
      </c>
      <c r="E3986" s="46" t="b" cm="1">
        <f t="array" ref="E3986">disasres_adm_ohsp</f>
        <v>0</v>
      </c>
      <c r="F3986" s="1696" t="b">
        <f t="shared" si="47"/>
        <v>1</v>
      </c>
      <c r="G3986" s="46" t="s">
        <v>11265</v>
      </c>
    </row>
    <row r="3987" spans="1:7">
      <c r="A3987" s="46" t="s">
        <v>9783</v>
      </c>
      <c r="B3987" s="46" t="s">
        <v>11339</v>
      </c>
      <c r="C3987" s="46" t="s">
        <v>9783</v>
      </c>
      <c r="D3987" s="1751" t="s">
        <v>9871</v>
      </c>
      <c r="E3987" s="46" cm="1">
        <f t="array" ref="E3987">disasres_adm_eimpact_days</f>
        <v>0</v>
      </c>
      <c r="F3987" s="46" t="b">
        <v>1</v>
      </c>
    </row>
    <row r="3988" spans="1:7">
      <c r="A3988" s="46" t="s">
        <v>9784</v>
      </c>
      <c r="B3988" s="46" t="s">
        <v>11339</v>
      </c>
      <c r="C3988" s="46" t="s">
        <v>9784</v>
      </c>
      <c r="D3988" s="1751" t="s">
        <v>9872</v>
      </c>
      <c r="E3988" s="46" cm="1">
        <f t="array" ref="E3988">disasres_adm_home_days</f>
        <v>0</v>
      </c>
      <c r="F3988" s="46" t="b">
        <v>1</v>
      </c>
    </row>
    <row r="3989" spans="1:7">
      <c r="A3989" s="46" t="s">
        <v>9785</v>
      </c>
      <c r="B3989" s="46" t="s">
        <v>11339</v>
      </c>
      <c r="C3989" s="46" t="s">
        <v>9785</v>
      </c>
      <c r="D3989" s="1751" t="s">
        <v>9873</v>
      </c>
      <c r="E3989" s="46" cm="1">
        <f t="array" ref="E3989">disasres_adm_misosa_days</f>
        <v>0</v>
      </c>
      <c r="F3989" s="46" t="b">
        <v>1</v>
      </c>
    </row>
    <row r="3990" spans="1:7">
      <c r="A3990" s="46" t="s">
        <v>9786</v>
      </c>
      <c r="B3990" s="46" t="s">
        <v>11339</v>
      </c>
      <c r="C3990" s="46" t="s">
        <v>9786</v>
      </c>
      <c r="D3990" s="1751" t="s">
        <v>9874</v>
      </c>
      <c r="E3990" s="46" cm="1">
        <f t="array" ref="E3990">disasres_adm_nhs_days</f>
        <v>0</v>
      </c>
      <c r="F3990" s="46" t="b">
        <v>1</v>
      </c>
    </row>
    <row r="3991" spans="1:7">
      <c r="A3991" s="46" t="s">
        <v>9787</v>
      </c>
      <c r="B3991" s="46" t="s">
        <v>11339</v>
      </c>
      <c r="C3991" s="46" t="s">
        <v>9787</v>
      </c>
      <c r="D3991" s="1751" t="s">
        <v>9875</v>
      </c>
      <c r="E3991" s="46" cm="1">
        <f t="array" ref="E3991">disasres_adm_ohsp_days</f>
        <v>0</v>
      </c>
      <c r="F3991" s="46" t="b">
        <v>1</v>
      </c>
    </row>
    <row r="3992" spans="1:7">
      <c r="A3992" s="46" t="s">
        <v>9788</v>
      </c>
      <c r="B3992" s="46" t="s">
        <v>11339</v>
      </c>
      <c r="C3992" s="46" t="s">
        <v>9788</v>
      </c>
      <c r="D3992" s="1751" t="s">
        <v>9876</v>
      </c>
      <c r="E3992" s="46" cm="1">
        <f t="array" ref="E3992">disasres_learn_sess_l_m</f>
        <v>0</v>
      </c>
      <c r="F3992" s="46" t="b">
        <v>1</v>
      </c>
    </row>
    <row r="3993" spans="1:7">
      <c r="A3993" s="46" t="s">
        <v>9789</v>
      </c>
      <c r="B3993" s="46" t="s">
        <v>11339</v>
      </c>
      <c r="C3993" s="46" t="s">
        <v>9789</v>
      </c>
      <c r="D3993" s="1751" t="s">
        <v>9877</v>
      </c>
      <c r="E3993" s="46" cm="1">
        <f t="array" ref="E3993">disasres_learn_mhpss_l_m</f>
        <v>0</v>
      </c>
      <c r="F3993" s="46" t="b">
        <v>1</v>
      </c>
    </row>
    <row r="3994" spans="1:7">
      <c r="A3994" s="46" t="s">
        <v>9790</v>
      </c>
      <c r="B3994" s="46" t="s">
        <v>11339</v>
      </c>
      <c r="C3994" s="46" t="s">
        <v>9790</v>
      </c>
      <c r="D3994" s="1751" t="s">
        <v>9878</v>
      </c>
      <c r="E3994" s="46" cm="1">
        <f t="array" ref="E3994">disasres_learn_pss_l_m</f>
        <v>0</v>
      </c>
      <c r="F3994" s="46" t="b">
        <v>1</v>
      </c>
    </row>
    <row r="3995" spans="1:7">
      <c r="A3995" s="46" t="s">
        <v>9791</v>
      </c>
      <c r="B3995" s="46" t="s">
        <v>11339</v>
      </c>
      <c r="C3995" s="46" t="s">
        <v>9791</v>
      </c>
      <c r="D3995" s="1751" t="s">
        <v>9879</v>
      </c>
      <c r="E3995" s="46" cm="1">
        <f t="array" ref="E3995">disasres_learn_ref_mech_l_m</f>
        <v>0</v>
      </c>
      <c r="F3995" s="46" t="b">
        <v>1</v>
      </c>
    </row>
    <row r="3996" spans="1:7">
      <c r="A3996" s="46" t="s">
        <v>9792</v>
      </c>
      <c r="B3996" s="46" t="s">
        <v>11339</v>
      </c>
      <c r="C3996" s="46" t="s">
        <v>9792</v>
      </c>
      <c r="D3996" s="1751" t="s">
        <v>9880</v>
      </c>
      <c r="E3996" s="46" cm="1">
        <f t="array" ref="E3996">disasres_learn_sess_l_f</f>
        <v>0</v>
      </c>
      <c r="F3996" s="46" t="b">
        <v>1</v>
      </c>
    </row>
    <row r="3997" spans="1:7">
      <c r="A3997" s="46" t="s">
        <v>9793</v>
      </c>
      <c r="B3997" s="46" t="s">
        <v>11339</v>
      </c>
      <c r="C3997" s="46" t="s">
        <v>9793</v>
      </c>
      <c r="D3997" s="1751" t="s">
        <v>9881</v>
      </c>
      <c r="E3997" s="46" cm="1">
        <f t="array" ref="E3997">disasres_learn_mhpss_l_f</f>
        <v>0</v>
      </c>
      <c r="F3997" s="46" t="b">
        <v>1</v>
      </c>
    </row>
    <row r="3998" spans="1:7">
      <c r="A3998" s="46" t="s">
        <v>9794</v>
      </c>
      <c r="B3998" s="46" t="s">
        <v>11339</v>
      </c>
      <c r="C3998" s="46" t="s">
        <v>9794</v>
      </c>
      <c r="D3998" s="1751" t="s">
        <v>9882</v>
      </c>
      <c r="E3998" s="46" cm="1">
        <f t="array" ref="E3998">disasres_learn_pss_l_f</f>
        <v>0</v>
      </c>
      <c r="F3998" s="46" t="b">
        <v>1</v>
      </c>
    </row>
    <row r="3999" spans="1:7">
      <c r="A3999" s="46" t="s">
        <v>9795</v>
      </c>
      <c r="B3999" s="46" t="s">
        <v>11339</v>
      </c>
      <c r="C3999" s="46" t="s">
        <v>9795</v>
      </c>
      <c r="D3999" s="1751" t="s">
        <v>9883</v>
      </c>
      <c r="E3999" s="46" cm="1">
        <f t="array" ref="E3999">disasres_learn_ref_mech_l_f</f>
        <v>0</v>
      </c>
      <c r="F3999" s="46" t="b">
        <v>1</v>
      </c>
    </row>
    <row r="4000" spans="1:7">
      <c r="A4000" s="46" t="s">
        <v>9796</v>
      </c>
      <c r="B4000" s="46" t="s">
        <v>11339</v>
      </c>
      <c r="C4000" s="46" t="s">
        <v>9796</v>
      </c>
      <c r="D4000" s="1751" t="s">
        <v>9884</v>
      </c>
      <c r="E4000" s="46" cm="1">
        <f t="array" ref="E4000">disasres_ipearn_sess_ip_m</f>
        <v>0</v>
      </c>
      <c r="F4000" s="46" t="b">
        <v>1</v>
      </c>
    </row>
    <row r="4001" spans="1:6">
      <c r="A4001" s="46" t="s">
        <v>9797</v>
      </c>
      <c r="B4001" s="46" t="s">
        <v>11339</v>
      </c>
      <c r="C4001" s="46" t="s">
        <v>9797</v>
      </c>
      <c r="D4001" s="1751" t="s">
        <v>9885</v>
      </c>
      <c r="E4001" s="46" cm="1">
        <f t="array" ref="E4001">disasres_ipearn_mhpss_ip_m</f>
        <v>0</v>
      </c>
      <c r="F4001" s="46" t="b">
        <v>1</v>
      </c>
    </row>
    <row r="4002" spans="1:6">
      <c r="A4002" s="46" t="s">
        <v>9798</v>
      </c>
      <c r="B4002" s="46" t="s">
        <v>11339</v>
      </c>
      <c r="C4002" s="46" t="s">
        <v>9798</v>
      </c>
      <c r="D4002" s="1751" t="s">
        <v>9886</v>
      </c>
      <c r="E4002" s="46" cm="1">
        <f t="array" ref="E4002">disasres_ipearn_pss_ip_m</f>
        <v>0</v>
      </c>
      <c r="F4002" s="46" t="b">
        <v>1</v>
      </c>
    </row>
    <row r="4003" spans="1:6">
      <c r="A4003" s="46" t="s">
        <v>9799</v>
      </c>
      <c r="B4003" s="46" t="s">
        <v>11339</v>
      </c>
      <c r="C4003" s="46" t="s">
        <v>9799</v>
      </c>
      <c r="D4003" s="1751" t="s">
        <v>9887</v>
      </c>
      <c r="E4003" s="46" cm="1">
        <f t="array" ref="E4003">disasres_ipearn_ref_mech_ip_m</f>
        <v>0</v>
      </c>
      <c r="F4003" s="46" t="b">
        <v>1</v>
      </c>
    </row>
    <row r="4004" spans="1:6">
      <c r="A4004" s="46" t="s">
        <v>9800</v>
      </c>
      <c r="B4004" s="46" t="s">
        <v>11339</v>
      </c>
      <c r="C4004" s="46" t="s">
        <v>9800</v>
      </c>
      <c r="D4004" s="1751" t="s">
        <v>9888</v>
      </c>
      <c r="E4004" s="46" cm="1">
        <f t="array" ref="E4004">disasres_ipearn_sess_ip_f</f>
        <v>0</v>
      </c>
      <c r="F4004" s="46" t="b">
        <v>1</v>
      </c>
    </row>
    <row r="4005" spans="1:6">
      <c r="A4005" s="46" t="s">
        <v>9801</v>
      </c>
      <c r="B4005" s="46" t="s">
        <v>11339</v>
      </c>
      <c r="C4005" s="46" t="s">
        <v>9801</v>
      </c>
      <c r="D4005" s="1751" t="s">
        <v>9889</v>
      </c>
      <c r="E4005" s="46" cm="1">
        <f t="array" ref="E4005">disasres_ipearn_mhpss_ip_f</f>
        <v>0</v>
      </c>
      <c r="F4005" s="46" t="b">
        <v>1</v>
      </c>
    </row>
    <row r="4006" spans="1:6">
      <c r="A4006" s="46" t="s">
        <v>9802</v>
      </c>
      <c r="B4006" s="46" t="s">
        <v>11339</v>
      </c>
      <c r="C4006" s="46" t="s">
        <v>9802</v>
      </c>
      <c r="D4006" s="1751" t="s">
        <v>9890</v>
      </c>
      <c r="E4006" s="46" cm="1">
        <f t="array" ref="E4006">disasres_ipearn_pss_ip_f</f>
        <v>0</v>
      </c>
      <c r="F4006" s="46" t="b">
        <v>1</v>
      </c>
    </row>
    <row r="4007" spans="1:6">
      <c r="A4007" s="46" t="s">
        <v>9803</v>
      </c>
      <c r="B4007" s="46" t="s">
        <v>11339</v>
      </c>
      <c r="C4007" s="46" t="s">
        <v>9803</v>
      </c>
      <c r="D4007" s="1751" t="s">
        <v>9891</v>
      </c>
      <c r="E4007" s="46" cm="1">
        <f t="array" ref="E4007">disasres_ipearn_ref_mech_ip_f</f>
        <v>0</v>
      </c>
      <c r="F4007" s="46" t="b">
        <v>1</v>
      </c>
    </row>
    <row r="4008" spans="1:6">
      <c r="A4008" s="46" t="s">
        <v>9804</v>
      </c>
      <c r="B4008" s="46" t="s">
        <v>11339</v>
      </c>
      <c r="C4008" s="46" t="s">
        <v>9804</v>
      </c>
      <c r="D4008" s="1751" t="s">
        <v>9892</v>
      </c>
      <c r="E4008" s="46" cm="1">
        <f t="array" ref="E4008">disasres_ipearn_sess_muslim_m</f>
        <v>0</v>
      </c>
      <c r="F4008" s="46" t="b">
        <v>1</v>
      </c>
    </row>
    <row r="4009" spans="1:6">
      <c r="A4009" s="46" t="s">
        <v>9805</v>
      </c>
      <c r="B4009" s="46" t="s">
        <v>11339</v>
      </c>
      <c r="C4009" s="46" t="s">
        <v>9805</v>
      </c>
      <c r="D4009" s="1751" t="s">
        <v>9893</v>
      </c>
      <c r="E4009" s="46" cm="1">
        <f t="array" ref="E4009">disasres_ipearn_mhpss_muslim_m</f>
        <v>0</v>
      </c>
      <c r="F4009" s="46" t="b">
        <v>1</v>
      </c>
    </row>
    <row r="4010" spans="1:6">
      <c r="A4010" s="46" t="s">
        <v>9806</v>
      </c>
      <c r="B4010" s="46" t="s">
        <v>11339</v>
      </c>
      <c r="C4010" s="46" t="s">
        <v>9806</v>
      </c>
      <c r="D4010" s="1751" t="s">
        <v>9894</v>
      </c>
      <c r="E4010" s="46" cm="1">
        <f t="array" ref="E4010">disasres_ipearn_pss_muslim_m</f>
        <v>0</v>
      </c>
      <c r="F4010" s="46" t="b">
        <v>1</v>
      </c>
    </row>
    <row r="4011" spans="1:6">
      <c r="A4011" s="46" t="s">
        <v>9807</v>
      </c>
      <c r="B4011" s="46" t="s">
        <v>11339</v>
      </c>
      <c r="C4011" s="46" t="s">
        <v>9807</v>
      </c>
      <c r="D4011" s="1751" t="s">
        <v>9895</v>
      </c>
      <c r="E4011" s="46" cm="1">
        <f t="array" ref="E4011">disasres_ipearn_ref_mech_muslim_m</f>
        <v>0</v>
      </c>
      <c r="F4011" s="46" t="b">
        <v>1</v>
      </c>
    </row>
    <row r="4012" spans="1:6">
      <c r="A4012" s="46" t="s">
        <v>9808</v>
      </c>
      <c r="B4012" s="46" t="s">
        <v>11339</v>
      </c>
      <c r="C4012" s="46" t="s">
        <v>9808</v>
      </c>
      <c r="D4012" s="1751" t="s">
        <v>9896</v>
      </c>
      <c r="E4012" s="46" cm="1">
        <f t="array" ref="E4012">disasres_ipearn_sess_muslim_f</f>
        <v>0</v>
      </c>
      <c r="F4012" s="46" t="b">
        <v>1</v>
      </c>
    </row>
    <row r="4013" spans="1:6">
      <c r="A4013" s="46" t="s">
        <v>9809</v>
      </c>
      <c r="B4013" s="46" t="s">
        <v>11339</v>
      </c>
      <c r="C4013" s="46" t="s">
        <v>9809</v>
      </c>
      <c r="D4013" s="1751" t="s">
        <v>9897</v>
      </c>
      <c r="E4013" s="46" cm="1">
        <f t="array" ref="E4013">disasres_ipearn_mhpss_muslim_f</f>
        <v>0</v>
      </c>
      <c r="F4013" s="46" t="b">
        <v>1</v>
      </c>
    </row>
    <row r="4014" spans="1:6">
      <c r="A4014" s="46" t="s">
        <v>9810</v>
      </c>
      <c r="B4014" s="46" t="s">
        <v>11339</v>
      </c>
      <c r="C4014" s="46" t="s">
        <v>9810</v>
      </c>
      <c r="D4014" s="1751" t="s">
        <v>9898</v>
      </c>
      <c r="E4014" s="46" cm="1">
        <f t="array" ref="E4014">disasres_ipearn_pss_muslim_f</f>
        <v>0</v>
      </c>
      <c r="F4014" s="46" t="b">
        <v>1</v>
      </c>
    </row>
    <row r="4015" spans="1:6">
      <c r="A4015" s="46" t="s">
        <v>9811</v>
      </c>
      <c r="B4015" s="46" t="s">
        <v>11339</v>
      </c>
      <c r="C4015" s="46" t="s">
        <v>9811</v>
      </c>
      <c r="D4015" s="1751" t="s">
        <v>9899</v>
      </c>
      <c r="E4015" s="46" cm="1">
        <f t="array" ref="E4015">disasres_ipearn_ref_mech_muslim_f</f>
        <v>0</v>
      </c>
      <c r="F4015" s="46" t="b">
        <v>1</v>
      </c>
    </row>
    <row r="4016" spans="1:6">
      <c r="A4016" s="46" t="s">
        <v>9812</v>
      </c>
      <c r="B4016" s="46" t="s">
        <v>11339</v>
      </c>
      <c r="C4016" s="46" t="s">
        <v>9812</v>
      </c>
      <c r="D4016" s="1751" t="s">
        <v>9900</v>
      </c>
      <c r="E4016" s="46" cm="1">
        <f t="array" ref="E4016">disasres_ipearn_sess_lwd_m</f>
        <v>0</v>
      </c>
      <c r="F4016" s="46" t="b">
        <v>1</v>
      </c>
    </row>
    <row r="4017" spans="1:8">
      <c r="A4017" s="46" t="s">
        <v>9813</v>
      </c>
      <c r="B4017" s="46" t="s">
        <v>11339</v>
      </c>
      <c r="C4017" s="46" t="s">
        <v>9813</v>
      </c>
      <c r="D4017" s="1751" t="s">
        <v>9901</v>
      </c>
      <c r="E4017" s="46" cm="1">
        <f t="array" ref="E4017">disasres_ipearn_mhpss_lwd_m</f>
        <v>0</v>
      </c>
      <c r="F4017" s="46" t="b">
        <v>1</v>
      </c>
    </row>
    <row r="4018" spans="1:8">
      <c r="A4018" s="46" t="s">
        <v>9814</v>
      </c>
      <c r="B4018" s="46" t="s">
        <v>11339</v>
      </c>
      <c r="C4018" s="46" t="s">
        <v>9814</v>
      </c>
      <c r="D4018" s="1751" t="s">
        <v>9902</v>
      </c>
      <c r="E4018" s="46" cm="1">
        <f t="array" ref="E4018">disasres_ipearn_pss_lwd_m</f>
        <v>0</v>
      </c>
      <c r="F4018" s="46" t="b">
        <v>1</v>
      </c>
    </row>
    <row r="4019" spans="1:8">
      <c r="A4019" s="46" t="s">
        <v>9815</v>
      </c>
      <c r="B4019" s="46" t="s">
        <v>11339</v>
      </c>
      <c r="C4019" s="46" t="s">
        <v>9815</v>
      </c>
      <c r="D4019" s="1751" t="s">
        <v>9903</v>
      </c>
      <c r="E4019" s="46" cm="1">
        <f t="array" ref="E4019">disasres_ipearn_ref_mech_lwd_m</f>
        <v>0</v>
      </c>
      <c r="F4019" s="46" t="b">
        <v>1</v>
      </c>
    </row>
    <row r="4020" spans="1:8">
      <c r="A4020" s="46" t="s">
        <v>9816</v>
      </c>
      <c r="B4020" s="46" t="s">
        <v>11339</v>
      </c>
      <c r="C4020" s="46" t="s">
        <v>9816</v>
      </c>
      <c r="D4020" s="1751" t="s">
        <v>9904</v>
      </c>
      <c r="E4020" s="46" cm="1">
        <f t="array" ref="E4020">disasres_ipearn_sess_lwd_f</f>
        <v>0</v>
      </c>
      <c r="F4020" s="46" t="b">
        <v>1</v>
      </c>
    </row>
    <row r="4021" spans="1:8">
      <c r="A4021" s="46" t="s">
        <v>9817</v>
      </c>
      <c r="B4021" s="46" t="s">
        <v>11339</v>
      </c>
      <c r="C4021" s="46" t="s">
        <v>9817</v>
      </c>
      <c r="D4021" s="1751" t="s">
        <v>9905</v>
      </c>
      <c r="E4021" s="46" cm="1">
        <f t="array" ref="E4021">disasres_ipearn_mhpss_lwd_f</f>
        <v>0</v>
      </c>
      <c r="F4021" s="46" t="b">
        <v>1</v>
      </c>
    </row>
    <row r="4022" spans="1:8">
      <c r="A4022" s="46" t="s">
        <v>9818</v>
      </c>
      <c r="B4022" s="46" t="s">
        <v>11339</v>
      </c>
      <c r="C4022" s="46" t="s">
        <v>9818</v>
      </c>
      <c r="D4022" s="1751" t="s">
        <v>9906</v>
      </c>
      <c r="E4022" s="46" cm="1">
        <f t="array" ref="E4022">disasres_ipearn_pss_lwd_f</f>
        <v>0</v>
      </c>
      <c r="F4022" s="46" t="b">
        <v>1</v>
      </c>
    </row>
    <row r="4023" spans="1:8" ht="16.5" thickBot="1">
      <c r="A4023" s="479" t="s">
        <v>9819</v>
      </c>
      <c r="B4023" s="479" t="s">
        <v>11339</v>
      </c>
      <c r="C4023" s="479" t="s">
        <v>9819</v>
      </c>
      <c r="D4023" s="1771" t="s">
        <v>9907</v>
      </c>
      <c r="E4023" s="479" cm="1">
        <f t="array" ref="E4023">disasres_ipearn_ref_mech_lwd_f</f>
        <v>0</v>
      </c>
      <c r="F4023" s="479" t="b">
        <v>1</v>
      </c>
      <c r="G4023" s="479"/>
      <c r="H4023" s="479"/>
    </row>
    <row r="4024" spans="1:8" ht="16.5" thickTop="1">
      <c r="A4024" s="46" t="s">
        <v>9908</v>
      </c>
      <c r="B4024" s="46" t="s">
        <v>11339</v>
      </c>
      <c r="C4024" s="46" t="s">
        <v>9908</v>
      </c>
      <c r="D4024" s="1751" t="s">
        <v>9926</v>
      </c>
      <c r="E4024" s="46" cm="1">
        <f t="array" ref="E4024">disasres_num_teach_per_mhpss_m</f>
        <v>0</v>
      </c>
      <c r="F4024" s="46" t="b">
        <v>1</v>
      </c>
    </row>
    <row r="4025" spans="1:8">
      <c r="A4025" s="46" t="s">
        <v>9909</v>
      </c>
      <c r="B4025" s="46" t="s">
        <v>11339</v>
      </c>
      <c r="C4025" s="46" t="s">
        <v>9909</v>
      </c>
      <c r="D4025" s="1751" t="s">
        <v>9927</v>
      </c>
      <c r="E4025" s="46" cm="1">
        <f t="array" ref="E4025">disasres_num_teach_per_pss_m</f>
        <v>0</v>
      </c>
      <c r="F4025" s="46" t="b">
        <v>1</v>
      </c>
    </row>
    <row r="4026" spans="1:8">
      <c r="A4026" s="46" t="s">
        <v>9910</v>
      </c>
      <c r="B4026" s="46" t="s">
        <v>11339</v>
      </c>
      <c r="C4026" s="46" t="s">
        <v>9910</v>
      </c>
      <c r="D4026" s="1751" t="s">
        <v>9928</v>
      </c>
      <c r="E4026" s="46" cm="1">
        <f t="array" ref="E4026">disasres_num_teach_per_refmech_m</f>
        <v>0</v>
      </c>
      <c r="F4026" s="46" t="b">
        <v>1</v>
      </c>
    </row>
    <row r="4027" spans="1:8">
      <c r="A4027" s="46" t="s">
        <v>9911</v>
      </c>
      <c r="B4027" s="46" t="s">
        <v>11339</v>
      </c>
      <c r="C4027" s="46" t="s">
        <v>9911</v>
      </c>
      <c r="D4027" s="1751" t="s">
        <v>9929</v>
      </c>
      <c r="E4027" s="46" cm="1">
        <f t="array" ref="E4027">disasres_num_teach_per_mhpss_f</f>
        <v>0</v>
      </c>
      <c r="F4027" s="46" t="b">
        <v>1</v>
      </c>
    </row>
    <row r="4028" spans="1:8">
      <c r="A4028" s="46" t="s">
        <v>9912</v>
      </c>
      <c r="B4028" s="46" t="s">
        <v>11339</v>
      </c>
      <c r="C4028" s="46" t="s">
        <v>9912</v>
      </c>
      <c r="D4028" s="1751" t="s">
        <v>9930</v>
      </c>
      <c r="E4028" s="46" cm="1">
        <f t="array" ref="E4028">disasres_num_teach_per_pss_f</f>
        <v>0</v>
      </c>
      <c r="F4028" s="46" t="b">
        <v>1</v>
      </c>
    </row>
    <row r="4029" spans="1:8">
      <c r="A4029" s="46" t="s">
        <v>9913</v>
      </c>
      <c r="B4029" s="46" t="s">
        <v>11339</v>
      </c>
      <c r="C4029" s="46" t="s">
        <v>9913</v>
      </c>
      <c r="D4029" s="1751" t="s">
        <v>9931</v>
      </c>
      <c r="E4029" s="46" cm="1">
        <f t="array" ref="E4029">disasres_num_teach_per_refmech_f</f>
        <v>0</v>
      </c>
      <c r="F4029" s="46" t="b">
        <v>1</v>
      </c>
    </row>
    <row r="4030" spans="1:8">
      <c r="A4030" s="46" t="s">
        <v>9914</v>
      </c>
      <c r="B4030" s="46" t="s">
        <v>11339</v>
      </c>
      <c r="C4030" s="46" t="s">
        <v>9914</v>
      </c>
      <c r="D4030" s="1751" t="s">
        <v>9932</v>
      </c>
      <c r="E4030" s="46" cm="1">
        <f t="array" ref="E4030">disasres_num_nonteach_per_mhpss_m</f>
        <v>0</v>
      </c>
      <c r="F4030" s="46" t="b">
        <v>1</v>
      </c>
    </row>
    <row r="4031" spans="1:8">
      <c r="A4031" s="46" t="s">
        <v>9915</v>
      </c>
      <c r="B4031" s="46" t="s">
        <v>11339</v>
      </c>
      <c r="C4031" s="46" t="s">
        <v>9915</v>
      </c>
      <c r="D4031" s="1751" t="s">
        <v>9933</v>
      </c>
      <c r="E4031" s="46" cm="1">
        <f t="array" ref="E4031">disasres_num_nonteach_per_pss_m</f>
        <v>0</v>
      </c>
      <c r="F4031" s="46" t="b">
        <v>1</v>
      </c>
    </row>
    <row r="4032" spans="1:8">
      <c r="A4032" s="46" t="s">
        <v>9916</v>
      </c>
      <c r="B4032" s="46" t="s">
        <v>11339</v>
      </c>
      <c r="C4032" s="46" t="s">
        <v>9916</v>
      </c>
      <c r="D4032" s="1751" t="s">
        <v>9934</v>
      </c>
      <c r="E4032" s="46" cm="1">
        <f t="array" ref="E4032">disasres_num_nonteach_per_refmech_m</f>
        <v>0</v>
      </c>
      <c r="F4032" s="46" t="b">
        <v>1</v>
      </c>
    </row>
    <row r="4033" spans="1:8">
      <c r="A4033" s="46" t="s">
        <v>9917</v>
      </c>
      <c r="B4033" s="46" t="s">
        <v>11339</v>
      </c>
      <c r="C4033" s="46" t="s">
        <v>9917</v>
      </c>
      <c r="D4033" s="1751" t="s">
        <v>9935</v>
      </c>
      <c r="E4033" s="46" cm="1">
        <f t="array" ref="E4033">disasres_num_nonteach_per_mhpss_f</f>
        <v>0</v>
      </c>
      <c r="F4033" s="46" t="b">
        <v>1</v>
      </c>
    </row>
    <row r="4034" spans="1:8">
      <c r="A4034" s="46" t="s">
        <v>9918</v>
      </c>
      <c r="B4034" s="46" t="s">
        <v>11339</v>
      </c>
      <c r="C4034" s="46" t="s">
        <v>9918</v>
      </c>
      <c r="D4034" s="1751" t="s">
        <v>9936</v>
      </c>
      <c r="E4034" s="46" cm="1">
        <f t="array" ref="E4034">disasres_num_nonteach_per_pss_f</f>
        <v>0</v>
      </c>
      <c r="F4034" s="46" t="b">
        <v>1</v>
      </c>
    </row>
    <row r="4035" spans="1:8">
      <c r="A4035" s="46" t="s">
        <v>9919</v>
      </c>
      <c r="B4035" s="46" t="s">
        <v>11339</v>
      </c>
      <c r="C4035" s="46" t="s">
        <v>9919</v>
      </c>
      <c r="D4035" s="1751" t="s">
        <v>9937</v>
      </c>
      <c r="E4035" s="46" cm="1">
        <f t="array" ref="E4035">disasres_num_nonteach_per_refmech_f</f>
        <v>0</v>
      </c>
      <c r="F4035" s="46" t="b">
        <v>1</v>
      </c>
    </row>
    <row r="4036" spans="1:8">
      <c r="A4036" s="46" t="s">
        <v>9920</v>
      </c>
      <c r="B4036" s="46" t="s">
        <v>11339</v>
      </c>
      <c r="C4036" s="46" t="s">
        <v>9920</v>
      </c>
      <c r="D4036" s="1751" t="s">
        <v>9941</v>
      </c>
      <c r="E4036" s="46" cm="1">
        <f t="array" ref="E4036">disasres_num_mhpss_conduct</f>
        <v>0</v>
      </c>
      <c r="F4036" s="46" t="b">
        <v>1</v>
      </c>
    </row>
    <row r="4037" spans="1:8">
      <c r="A4037" s="46" t="s">
        <v>9921</v>
      </c>
      <c r="B4037" s="46" t="s">
        <v>11339</v>
      </c>
      <c r="C4037" s="46" t="s">
        <v>9921</v>
      </c>
      <c r="D4037" s="1751" t="s">
        <v>9942</v>
      </c>
      <c r="E4037" s="46" cm="1">
        <f t="array" ref="E4037">disasres_num_grps_rehab_recover</f>
        <v>0</v>
      </c>
      <c r="F4037" s="46" t="b">
        <v>1</v>
      </c>
    </row>
    <row r="4038" spans="1:8">
      <c r="A4038" s="46" t="s">
        <v>9922</v>
      </c>
      <c r="B4038" s="46" t="s">
        <v>11339</v>
      </c>
      <c r="C4038" s="46" t="s">
        <v>9922</v>
      </c>
      <c r="D4038" s="1751" t="s">
        <v>9938</v>
      </c>
      <c r="E4038" s="46" t="b" cm="1">
        <f t="array" ref="E4038">disasres_num_recvd_fur</f>
        <v>0</v>
      </c>
      <c r="F4038" s="46" t="b">
        <f t="shared" ref="F4038:F4041" si="48">OR(E4038=TRUE, E4038=FALSE)</f>
        <v>1</v>
      </c>
      <c r="G4038" s="46" t="s">
        <v>11265</v>
      </c>
    </row>
    <row r="4039" spans="1:8">
      <c r="A4039" s="46" t="s">
        <v>9923</v>
      </c>
      <c r="B4039" s="46" t="s">
        <v>11339</v>
      </c>
      <c r="C4039" s="46" t="s">
        <v>9923</v>
      </c>
      <c r="D4039" s="1751" t="s">
        <v>9939</v>
      </c>
      <c r="E4039" s="46" t="b" cm="1">
        <f t="array" ref="E4039">disasres_num_recvd_dcp</f>
        <v>0</v>
      </c>
      <c r="F4039" s="46" t="b">
        <f t="shared" si="48"/>
        <v>1</v>
      </c>
      <c r="G4039" s="46" t="s">
        <v>11265</v>
      </c>
    </row>
    <row r="4040" spans="1:8">
      <c r="A4040" s="46" t="s">
        <v>9924</v>
      </c>
      <c r="B4040" s="46" t="s">
        <v>11339</v>
      </c>
      <c r="C4040" s="46" t="s">
        <v>9924</v>
      </c>
      <c r="D4040" s="1751" t="s">
        <v>9940</v>
      </c>
      <c r="E4040" s="46" t="b" cm="1">
        <f t="array" ref="E4040">disasres_num_recvd_learnresource</f>
        <v>0</v>
      </c>
      <c r="F4040" s="46" t="b">
        <f t="shared" si="48"/>
        <v>1</v>
      </c>
      <c r="G4040" s="46" t="s">
        <v>11265</v>
      </c>
    </row>
    <row r="4041" spans="1:8" ht="16.5" thickBot="1">
      <c r="A4041" s="479" t="s">
        <v>9925</v>
      </c>
      <c r="B4041" s="479" t="s">
        <v>11339</v>
      </c>
      <c r="C4041" s="479" t="s">
        <v>9925</v>
      </c>
      <c r="D4041" s="1771" t="s">
        <v>9943</v>
      </c>
      <c r="E4041" s="479" t="b" cm="1">
        <f t="array" ref="E4041">disasres_num_recvd_accountmecha</f>
        <v>0</v>
      </c>
      <c r="F4041" s="479" t="b">
        <f t="shared" si="48"/>
        <v>1</v>
      </c>
      <c r="G4041" s="479" t="s">
        <v>11265</v>
      </c>
      <c r="H4041" s="479"/>
    </row>
    <row r="4042" spans="1:8" ht="16.5" thickTop="1">
      <c r="A4042" s="1773" t="s">
        <v>9944</v>
      </c>
      <c r="B4042" s="46" t="s">
        <v>11263</v>
      </c>
      <c r="C4042" s="1773" t="s">
        <v>9944</v>
      </c>
      <c r="D4042" s="1751" t="s">
        <v>10060</v>
      </c>
      <c r="E4042" s="1773" t="b" cm="1">
        <f t="array" ref="E4042">riskreduce_drrm_abm_g11</f>
        <v>0</v>
      </c>
      <c r="F4042" s="46" t="b">
        <f>OR(E4042=TRUE, E4042=FALSE)</f>
        <v>1</v>
      </c>
      <c r="G4042" s="46" t="s">
        <v>11265</v>
      </c>
    </row>
    <row r="4043" spans="1:8">
      <c r="A4043" s="1773" t="s">
        <v>9945</v>
      </c>
      <c r="B4043" s="46" t="s">
        <v>11263</v>
      </c>
      <c r="C4043" s="1773" t="s">
        <v>9945</v>
      </c>
      <c r="D4043" s="1751" t="s">
        <v>10062</v>
      </c>
      <c r="E4043" s="1773" t="b" cm="1">
        <f t="array" ref="E4043">riskreduce_drrm_abm_g12</f>
        <v>0</v>
      </c>
      <c r="F4043" s="46" t="b">
        <f t="shared" ref="F4043:F4101" si="49">OR(E4043=TRUE, E4043=FALSE)</f>
        <v>1</v>
      </c>
      <c r="G4043" s="46" t="s">
        <v>11265</v>
      </c>
    </row>
    <row r="4044" spans="1:8">
      <c r="A4044" s="1773" t="s">
        <v>9946</v>
      </c>
      <c r="B4044" s="46" t="s">
        <v>11263</v>
      </c>
      <c r="C4044" s="1773" t="s">
        <v>9946</v>
      </c>
      <c r="D4044" s="1751" t="s">
        <v>10063</v>
      </c>
      <c r="E4044" s="1773" t="b" cm="1">
        <f t="array" ref="E4044">riskreduce_ccam_abm_g11</f>
        <v>0</v>
      </c>
      <c r="F4044" s="46" t="b">
        <f t="shared" si="49"/>
        <v>1</v>
      </c>
      <c r="G4044" s="46" t="s">
        <v>11265</v>
      </c>
    </row>
    <row r="4045" spans="1:8">
      <c r="A4045" s="1773" t="s">
        <v>9947</v>
      </c>
      <c r="B4045" s="46" t="s">
        <v>11263</v>
      </c>
      <c r="C4045" s="1773" t="s">
        <v>9947</v>
      </c>
      <c r="D4045" s="1751" t="s">
        <v>10065</v>
      </c>
      <c r="E4045" s="1773" t="b" cm="1">
        <f t="array" ref="E4045">riskreduce_ccam_abm_g12</f>
        <v>0</v>
      </c>
      <c r="F4045" s="46" t="b">
        <f t="shared" si="49"/>
        <v>1</v>
      </c>
      <c r="G4045" s="46" t="s">
        <v>11265</v>
      </c>
    </row>
    <row r="4046" spans="1:8">
      <c r="A4046" s="1773" t="s">
        <v>9948</v>
      </c>
      <c r="B4046" s="46" t="s">
        <v>11263</v>
      </c>
      <c r="C4046" s="1773" t="s">
        <v>9948</v>
      </c>
      <c r="D4046" s="1751" t="s">
        <v>10066</v>
      </c>
      <c r="E4046" s="1773" t="b" cm="1">
        <f t="array" ref="E4046">riskreduce_peacebuilding_abm_g11</f>
        <v>0</v>
      </c>
      <c r="F4046" s="46" t="b">
        <f t="shared" si="49"/>
        <v>1</v>
      </c>
      <c r="G4046" s="46" t="s">
        <v>11265</v>
      </c>
    </row>
    <row r="4047" spans="1:8">
      <c r="A4047" s="1773" t="s">
        <v>9949</v>
      </c>
      <c r="B4047" s="46" t="s">
        <v>11263</v>
      </c>
      <c r="C4047" s="1773" t="s">
        <v>9949</v>
      </c>
      <c r="D4047" s="1751" t="s">
        <v>10068</v>
      </c>
      <c r="E4047" s="1773" t="b" cm="1">
        <f t="array" ref="E4047">riskreduce_peacebuilding_abm_g12</f>
        <v>0</v>
      </c>
      <c r="F4047" s="46" t="b">
        <f t="shared" si="49"/>
        <v>1</v>
      </c>
      <c r="G4047" s="46" t="s">
        <v>11265</v>
      </c>
    </row>
    <row r="4048" spans="1:8">
      <c r="A4048" s="1773" t="s">
        <v>9950</v>
      </c>
      <c r="B4048" s="46" t="s">
        <v>11263</v>
      </c>
      <c r="C4048" s="1773" t="s">
        <v>9950</v>
      </c>
      <c r="D4048" s="1751" t="s">
        <v>10061</v>
      </c>
      <c r="E4048" s="1773" t="b" cm="1">
        <f t="array" ref="E4048">riskreduce_drrm_humss_g11</f>
        <v>0</v>
      </c>
      <c r="F4048" s="46" t="b">
        <f t="shared" si="49"/>
        <v>1</v>
      </c>
      <c r="G4048" s="46" t="s">
        <v>11265</v>
      </c>
    </row>
    <row r="4049" spans="1:7">
      <c r="A4049" s="1773" t="s">
        <v>9951</v>
      </c>
      <c r="B4049" s="46" t="s">
        <v>11263</v>
      </c>
      <c r="C4049" s="1773" t="s">
        <v>9951</v>
      </c>
      <c r="D4049" s="1751" t="s">
        <v>10069</v>
      </c>
      <c r="E4049" s="1773" t="b" cm="1">
        <f t="array" ref="E4049">riskreduce_drrm_humss_g12</f>
        <v>0</v>
      </c>
      <c r="F4049" s="46" t="b">
        <f t="shared" si="49"/>
        <v>1</v>
      </c>
      <c r="G4049" s="46" t="s">
        <v>11265</v>
      </c>
    </row>
    <row r="4050" spans="1:7">
      <c r="A4050" s="1773" t="s">
        <v>9952</v>
      </c>
      <c r="B4050" s="46" t="s">
        <v>11263</v>
      </c>
      <c r="C4050" s="1773" t="s">
        <v>9952</v>
      </c>
      <c r="D4050" s="1751" t="s">
        <v>10064</v>
      </c>
      <c r="E4050" s="1773" t="b" cm="1">
        <f t="array" ref="E4050">riskreduce_ccam_humss_g11</f>
        <v>0</v>
      </c>
      <c r="F4050" s="46" t="b">
        <f t="shared" si="49"/>
        <v>1</v>
      </c>
      <c r="G4050" s="46" t="s">
        <v>11265</v>
      </c>
    </row>
    <row r="4051" spans="1:7">
      <c r="A4051" s="1773" t="s">
        <v>9953</v>
      </c>
      <c r="B4051" s="46" t="s">
        <v>11263</v>
      </c>
      <c r="C4051" s="1773" t="s">
        <v>9953</v>
      </c>
      <c r="D4051" s="1751" t="s">
        <v>10070</v>
      </c>
      <c r="E4051" s="1773" t="b" cm="1">
        <f t="array" ref="E4051">riskreduce_ccam_humss_g12</f>
        <v>0</v>
      </c>
      <c r="F4051" s="46" t="b">
        <f t="shared" si="49"/>
        <v>1</v>
      </c>
      <c r="G4051" s="46" t="s">
        <v>11265</v>
      </c>
    </row>
    <row r="4052" spans="1:7">
      <c r="A4052" s="1773" t="s">
        <v>9954</v>
      </c>
      <c r="B4052" s="46" t="s">
        <v>11263</v>
      </c>
      <c r="C4052" s="1773" t="s">
        <v>9954</v>
      </c>
      <c r="D4052" s="1751" t="s">
        <v>10067</v>
      </c>
      <c r="E4052" s="1773" t="b" cm="1">
        <f t="array" ref="E4052">riskreduce_peacebuilding_humss_g11</f>
        <v>0</v>
      </c>
      <c r="F4052" s="46" t="b">
        <f t="shared" si="49"/>
        <v>1</v>
      </c>
      <c r="G4052" s="46" t="s">
        <v>11265</v>
      </c>
    </row>
    <row r="4053" spans="1:7">
      <c r="A4053" s="1773" t="s">
        <v>9955</v>
      </c>
      <c r="B4053" s="46" t="s">
        <v>11263</v>
      </c>
      <c r="C4053" s="1773" t="s">
        <v>9955</v>
      </c>
      <c r="D4053" s="1751" t="s">
        <v>10071</v>
      </c>
      <c r="E4053" s="1773" t="b" cm="1">
        <f t="array" ref="E4053">riskreduce_peacebuilding_humss_g12</f>
        <v>0</v>
      </c>
      <c r="F4053" s="46" t="b">
        <f t="shared" si="49"/>
        <v>1</v>
      </c>
      <c r="G4053" s="46" t="s">
        <v>11265</v>
      </c>
    </row>
    <row r="4054" spans="1:7">
      <c r="A4054" s="1773" t="s">
        <v>9956</v>
      </c>
      <c r="B4054" s="46" t="s">
        <v>11263</v>
      </c>
      <c r="C4054" s="1773" t="s">
        <v>9956</v>
      </c>
      <c r="D4054" s="1751" t="s">
        <v>10072</v>
      </c>
      <c r="E4054" s="1773" t="b" cm="1">
        <f t="array" ref="E4054">riskreduce_drrm_stem_g11</f>
        <v>0</v>
      </c>
      <c r="F4054" s="46" t="b">
        <f t="shared" si="49"/>
        <v>1</v>
      </c>
      <c r="G4054" s="46" t="s">
        <v>11265</v>
      </c>
    </row>
    <row r="4055" spans="1:7">
      <c r="A4055" s="1773" t="s">
        <v>9957</v>
      </c>
      <c r="B4055" s="46" t="s">
        <v>11263</v>
      </c>
      <c r="C4055" s="1773" t="s">
        <v>9957</v>
      </c>
      <c r="D4055" s="1751" t="s">
        <v>10073</v>
      </c>
      <c r="E4055" s="1773" t="b" cm="1">
        <f t="array" ref="E4055">riskreduce_drrm_stem_g12</f>
        <v>0</v>
      </c>
      <c r="F4055" s="46" t="b">
        <f t="shared" si="49"/>
        <v>1</v>
      </c>
      <c r="G4055" s="46" t="s">
        <v>11265</v>
      </c>
    </row>
    <row r="4056" spans="1:7">
      <c r="A4056" s="1773" t="s">
        <v>9958</v>
      </c>
      <c r="B4056" s="46" t="s">
        <v>11263</v>
      </c>
      <c r="C4056" s="1773" t="s">
        <v>9958</v>
      </c>
      <c r="D4056" s="1751" t="s">
        <v>10074</v>
      </c>
      <c r="E4056" s="1773" t="b" cm="1">
        <f t="array" ref="E4056">riskreduce_ccam_stem_g11</f>
        <v>0</v>
      </c>
      <c r="F4056" s="46" t="b">
        <f t="shared" si="49"/>
        <v>1</v>
      </c>
      <c r="G4056" s="46" t="s">
        <v>11265</v>
      </c>
    </row>
    <row r="4057" spans="1:7">
      <c r="A4057" s="1773" t="s">
        <v>9959</v>
      </c>
      <c r="B4057" s="46" t="s">
        <v>11263</v>
      </c>
      <c r="C4057" s="1773" t="s">
        <v>9959</v>
      </c>
      <c r="D4057" s="1751" t="s">
        <v>10075</v>
      </c>
      <c r="E4057" s="1773" t="b" cm="1">
        <f t="array" ref="E4057">riskreduce_ccam_stem_g12</f>
        <v>0</v>
      </c>
      <c r="F4057" s="46" t="b">
        <f t="shared" si="49"/>
        <v>1</v>
      </c>
      <c r="G4057" s="46" t="s">
        <v>11265</v>
      </c>
    </row>
    <row r="4058" spans="1:7">
      <c r="A4058" s="1773" t="s">
        <v>9960</v>
      </c>
      <c r="B4058" s="46" t="s">
        <v>11263</v>
      </c>
      <c r="C4058" s="1773" t="s">
        <v>9960</v>
      </c>
      <c r="D4058" s="1751" t="s">
        <v>10076</v>
      </c>
      <c r="E4058" s="1773" t="b" cm="1">
        <f t="array" ref="E4058">riskreduce_peacebuilding_stem_g11</f>
        <v>0</v>
      </c>
      <c r="F4058" s="46" t="b">
        <f t="shared" si="49"/>
        <v>1</v>
      </c>
      <c r="G4058" s="46" t="s">
        <v>11265</v>
      </c>
    </row>
    <row r="4059" spans="1:7">
      <c r="A4059" s="1773" t="s">
        <v>9961</v>
      </c>
      <c r="B4059" s="46" t="s">
        <v>11263</v>
      </c>
      <c r="C4059" s="1773" t="s">
        <v>9961</v>
      </c>
      <c r="D4059" s="1751" t="s">
        <v>10077</v>
      </c>
      <c r="E4059" s="1773" t="b" cm="1">
        <f t="array" ref="E4059">riskreduce_peacebuilding_stem_g12</f>
        <v>0</v>
      </c>
      <c r="F4059" s="46" t="b">
        <f t="shared" si="49"/>
        <v>1</v>
      </c>
      <c r="G4059" s="46" t="s">
        <v>11265</v>
      </c>
    </row>
    <row r="4060" spans="1:7">
      <c r="A4060" s="1773" t="s">
        <v>9962</v>
      </c>
      <c r="B4060" s="46" t="s">
        <v>11263</v>
      </c>
      <c r="C4060" s="1773" t="s">
        <v>9962</v>
      </c>
      <c r="D4060" s="1751" t="s">
        <v>10078</v>
      </c>
      <c r="E4060" s="1773" t="b" cm="1">
        <f t="array" ref="E4060">riskreduce_drrm_gas_g11</f>
        <v>1</v>
      </c>
      <c r="F4060" s="46" t="b">
        <f t="shared" si="49"/>
        <v>1</v>
      </c>
      <c r="G4060" s="46" t="s">
        <v>11265</v>
      </c>
    </row>
    <row r="4061" spans="1:7">
      <c r="A4061" s="1773" t="s">
        <v>9963</v>
      </c>
      <c r="B4061" s="46" t="s">
        <v>11263</v>
      </c>
      <c r="C4061" s="1773" t="s">
        <v>9963</v>
      </c>
      <c r="D4061" s="1751" t="s">
        <v>10079</v>
      </c>
      <c r="E4061" s="1773" t="b" cm="1">
        <f t="array" ref="E4061">riskreduce_drrm_gas_g12</f>
        <v>1</v>
      </c>
      <c r="F4061" s="46" t="b">
        <f t="shared" si="49"/>
        <v>1</v>
      </c>
      <c r="G4061" s="46" t="s">
        <v>11265</v>
      </c>
    </row>
    <row r="4062" spans="1:7">
      <c r="A4062" s="1773" t="s">
        <v>9964</v>
      </c>
      <c r="B4062" s="46" t="s">
        <v>11263</v>
      </c>
      <c r="C4062" s="1773" t="s">
        <v>9964</v>
      </c>
      <c r="D4062" s="1751" t="s">
        <v>10080</v>
      </c>
      <c r="E4062" s="1773" t="b" cm="1">
        <f t="array" ref="E4062">riskreduce_ccam_gas_g11</f>
        <v>0</v>
      </c>
      <c r="F4062" s="46" t="b">
        <f t="shared" si="49"/>
        <v>1</v>
      </c>
      <c r="G4062" s="46" t="s">
        <v>11265</v>
      </c>
    </row>
    <row r="4063" spans="1:7">
      <c r="A4063" s="1773" t="s">
        <v>9965</v>
      </c>
      <c r="B4063" s="46" t="s">
        <v>11263</v>
      </c>
      <c r="C4063" s="1773" t="s">
        <v>9965</v>
      </c>
      <c r="D4063" s="1751" t="s">
        <v>10081</v>
      </c>
      <c r="E4063" s="1773" t="b" cm="1">
        <f t="array" ref="E4063">riskreduce_ccam_gas_g12</f>
        <v>0</v>
      </c>
      <c r="F4063" s="46" t="b">
        <f t="shared" si="49"/>
        <v>1</v>
      </c>
      <c r="G4063" s="46" t="s">
        <v>11265</v>
      </c>
    </row>
    <row r="4064" spans="1:7">
      <c r="A4064" s="1773" t="s">
        <v>9966</v>
      </c>
      <c r="B4064" s="46" t="s">
        <v>11263</v>
      </c>
      <c r="C4064" s="1773" t="s">
        <v>9966</v>
      </c>
      <c r="D4064" s="1751" t="s">
        <v>10082</v>
      </c>
      <c r="E4064" s="1773" t="b" cm="1">
        <f t="array" ref="E4064">riskreduce_peacebuilding_gas_g11</f>
        <v>0</v>
      </c>
      <c r="F4064" s="46" t="b">
        <f t="shared" si="49"/>
        <v>1</v>
      </c>
      <c r="G4064" s="46" t="s">
        <v>11265</v>
      </c>
    </row>
    <row r="4065" spans="1:7">
      <c r="A4065" s="1773" t="s">
        <v>9967</v>
      </c>
      <c r="B4065" s="46" t="s">
        <v>11263</v>
      </c>
      <c r="C4065" s="1773" t="s">
        <v>9967</v>
      </c>
      <c r="D4065" s="1751" t="s">
        <v>10083</v>
      </c>
      <c r="E4065" s="1773" t="b" cm="1">
        <f t="array" ref="E4065">riskreduce_peacebuilding_gas_g12</f>
        <v>0</v>
      </c>
      <c r="F4065" s="46" t="b">
        <f t="shared" si="49"/>
        <v>1</v>
      </c>
      <c r="G4065" s="46" t="s">
        <v>11265</v>
      </c>
    </row>
    <row r="4066" spans="1:7">
      <c r="A4066" s="1773" t="s">
        <v>9968</v>
      </c>
      <c r="B4066" s="46" t="s">
        <v>11263</v>
      </c>
      <c r="C4066" s="1773" t="s">
        <v>9968</v>
      </c>
      <c r="D4066" s="1751" t="s">
        <v>10084</v>
      </c>
      <c r="E4066" s="1773" t="b" cm="1">
        <f t="array" ref="E4066">riskreduce_drrm_agrifish_g11</f>
        <v>0</v>
      </c>
      <c r="F4066" s="46" t="b">
        <f t="shared" si="49"/>
        <v>1</v>
      </c>
      <c r="G4066" s="46" t="s">
        <v>11265</v>
      </c>
    </row>
    <row r="4067" spans="1:7">
      <c r="A4067" s="1773" t="s">
        <v>9969</v>
      </c>
      <c r="B4067" s="46" t="s">
        <v>11263</v>
      </c>
      <c r="C4067" s="1773" t="s">
        <v>9969</v>
      </c>
      <c r="D4067" s="1751" t="s">
        <v>10085</v>
      </c>
      <c r="E4067" s="1773" t="b" cm="1">
        <f t="array" ref="E4067">riskreduce_drrm_agrifish_g12</f>
        <v>0</v>
      </c>
      <c r="F4067" s="46" t="b">
        <f t="shared" si="49"/>
        <v>1</v>
      </c>
      <c r="G4067" s="46" t="s">
        <v>11265</v>
      </c>
    </row>
    <row r="4068" spans="1:7">
      <c r="A4068" s="1773" t="s">
        <v>9970</v>
      </c>
      <c r="B4068" s="46" t="s">
        <v>11263</v>
      </c>
      <c r="C4068" s="1773" t="s">
        <v>9970</v>
      </c>
      <c r="D4068" s="1751" t="s">
        <v>10086</v>
      </c>
      <c r="E4068" s="1773" t="b" cm="1">
        <f t="array" ref="E4068">riskreduce_ccam_agrifish_g11</f>
        <v>0</v>
      </c>
      <c r="F4068" s="46" t="b">
        <f t="shared" si="49"/>
        <v>1</v>
      </c>
      <c r="G4068" s="46" t="s">
        <v>11265</v>
      </c>
    </row>
    <row r="4069" spans="1:7">
      <c r="A4069" s="1773" t="s">
        <v>9971</v>
      </c>
      <c r="B4069" s="46" t="s">
        <v>11263</v>
      </c>
      <c r="C4069" s="1773" t="s">
        <v>9971</v>
      </c>
      <c r="D4069" s="1751" t="s">
        <v>10087</v>
      </c>
      <c r="E4069" s="1773" t="b" cm="1">
        <f t="array" ref="E4069">riskreduce_ccam_agrifish_g12</f>
        <v>0</v>
      </c>
      <c r="F4069" s="46" t="b">
        <f t="shared" si="49"/>
        <v>1</v>
      </c>
      <c r="G4069" s="46" t="s">
        <v>11265</v>
      </c>
    </row>
    <row r="4070" spans="1:7">
      <c r="A4070" s="1773" t="s">
        <v>9972</v>
      </c>
      <c r="B4070" s="46" t="s">
        <v>11263</v>
      </c>
      <c r="C4070" s="1773" t="s">
        <v>9972</v>
      </c>
      <c r="D4070" s="1751" t="s">
        <v>10088</v>
      </c>
      <c r="E4070" s="1773" t="b" cm="1">
        <f t="array" ref="E4070">riskreduce_peacebuilding_agrifish_g11</f>
        <v>0</v>
      </c>
      <c r="F4070" s="46" t="b">
        <f t="shared" si="49"/>
        <v>1</v>
      </c>
      <c r="G4070" s="46" t="s">
        <v>11265</v>
      </c>
    </row>
    <row r="4071" spans="1:7">
      <c r="A4071" s="1773" t="s">
        <v>9973</v>
      </c>
      <c r="B4071" s="46" t="s">
        <v>11263</v>
      </c>
      <c r="C4071" s="1773" t="s">
        <v>9973</v>
      </c>
      <c r="D4071" s="1751" t="s">
        <v>10089</v>
      </c>
      <c r="E4071" s="1773" t="b" cm="1">
        <f t="array" ref="E4071">riskreduce_peacebuilding_agrifish_g12</f>
        <v>0</v>
      </c>
      <c r="F4071" s="46" t="b">
        <f t="shared" si="49"/>
        <v>1</v>
      </c>
      <c r="G4071" s="46" t="s">
        <v>11265</v>
      </c>
    </row>
    <row r="4072" spans="1:7">
      <c r="A4072" s="1773" t="s">
        <v>9974</v>
      </c>
      <c r="B4072" s="46" t="s">
        <v>11263</v>
      </c>
      <c r="C4072" s="1773" t="s">
        <v>9974</v>
      </c>
      <c r="D4072" s="1751" t="s">
        <v>10090</v>
      </c>
      <c r="E4072" s="1773" t="b" cm="1">
        <f t="array" ref="E4072">riskreduce_drrm_he_g11</f>
        <v>0</v>
      </c>
      <c r="F4072" s="46" t="b">
        <f t="shared" si="49"/>
        <v>1</v>
      </c>
      <c r="G4072" s="46" t="s">
        <v>11265</v>
      </c>
    </row>
    <row r="4073" spans="1:7">
      <c r="A4073" s="1773" t="s">
        <v>9975</v>
      </c>
      <c r="B4073" s="46" t="s">
        <v>11263</v>
      </c>
      <c r="C4073" s="1773" t="s">
        <v>9975</v>
      </c>
      <c r="D4073" s="1751" t="s">
        <v>10091</v>
      </c>
      <c r="E4073" s="1773" t="b" cm="1">
        <f t="array" ref="E4073">riskreduce_drrm_he_g12</f>
        <v>0</v>
      </c>
      <c r="F4073" s="46" t="b">
        <f t="shared" si="49"/>
        <v>1</v>
      </c>
      <c r="G4073" s="46" t="s">
        <v>11265</v>
      </c>
    </row>
    <row r="4074" spans="1:7">
      <c r="A4074" s="1773" t="s">
        <v>9976</v>
      </c>
      <c r="B4074" s="46" t="s">
        <v>11263</v>
      </c>
      <c r="C4074" s="1773" t="s">
        <v>9976</v>
      </c>
      <c r="D4074" s="1751" t="s">
        <v>10092</v>
      </c>
      <c r="E4074" s="1773" t="b" cm="1">
        <f t="array" ref="E4074">riskreduce_ccam_he_g11</f>
        <v>0</v>
      </c>
      <c r="F4074" s="46" t="b">
        <f t="shared" si="49"/>
        <v>1</v>
      </c>
      <c r="G4074" s="46" t="s">
        <v>11265</v>
      </c>
    </row>
    <row r="4075" spans="1:7">
      <c r="A4075" s="1773" t="s">
        <v>9977</v>
      </c>
      <c r="B4075" s="46" t="s">
        <v>11263</v>
      </c>
      <c r="C4075" s="1773" t="s">
        <v>9977</v>
      </c>
      <c r="D4075" s="1751" t="s">
        <v>10093</v>
      </c>
      <c r="E4075" s="1773" t="b" cm="1">
        <f t="array" ref="E4075">riskreduce_ccam_he_g12</f>
        <v>0</v>
      </c>
      <c r="F4075" s="46" t="b">
        <f t="shared" si="49"/>
        <v>1</v>
      </c>
      <c r="G4075" s="46" t="s">
        <v>11265</v>
      </c>
    </row>
    <row r="4076" spans="1:7">
      <c r="A4076" s="1773" t="s">
        <v>9978</v>
      </c>
      <c r="B4076" s="46" t="s">
        <v>11263</v>
      </c>
      <c r="C4076" s="1773" t="s">
        <v>9978</v>
      </c>
      <c r="D4076" s="1751" t="s">
        <v>10094</v>
      </c>
      <c r="E4076" s="1773" t="b" cm="1">
        <f t="array" ref="E4076">riskreduce_peacebuilding_he_g11</f>
        <v>0</v>
      </c>
      <c r="F4076" s="46" t="b">
        <f t="shared" si="49"/>
        <v>1</v>
      </c>
      <c r="G4076" s="46" t="s">
        <v>11265</v>
      </c>
    </row>
    <row r="4077" spans="1:7">
      <c r="A4077" s="1773" t="s">
        <v>9979</v>
      </c>
      <c r="B4077" s="46" t="s">
        <v>11263</v>
      </c>
      <c r="C4077" s="1773" t="s">
        <v>9979</v>
      </c>
      <c r="D4077" s="1751" t="s">
        <v>10095</v>
      </c>
      <c r="E4077" s="1773" t="b" cm="1">
        <f t="array" ref="E4077">riskreduce_peacebuilding_he_g12</f>
        <v>0</v>
      </c>
      <c r="F4077" s="46" t="b">
        <f t="shared" si="49"/>
        <v>1</v>
      </c>
      <c r="G4077" s="46" t="s">
        <v>11265</v>
      </c>
    </row>
    <row r="4078" spans="1:7">
      <c r="A4078" s="1773" t="s">
        <v>9980</v>
      </c>
      <c r="B4078" s="46" t="s">
        <v>11263</v>
      </c>
      <c r="C4078" s="1773" t="s">
        <v>9980</v>
      </c>
      <c r="D4078" s="1751" t="s">
        <v>10096</v>
      </c>
      <c r="E4078" s="1773" t="b" cm="1">
        <f t="array" ref="E4078">riskreduce_drrm_ict_g11</f>
        <v>0</v>
      </c>
      <c r="F4078" s="46" t="b">
        <f t="shared" si="49"/>
        <v>1</v>
      </c>
      <c r="G4078" s="46" t="s">
        <v>11265</v>
      </c>
    </row>
    <row r="4079" spans="1:7">
      <c r="A4079" s="1773" t="s">
        <v>9981</v>
      </c>
      <c r="B4079" s="46" t="s">
        <v>11263</v>
      </c>
      <c r="C4079" s="1773" t="s">
        <v>9981</v>
      </c>
      <c r="D4079" s="1751" t="s">
        <v>10097</v>
      </c>
      <c r="E4079" s="1773" t="b" cm="1">
        <f t="array" ref="E4079">riskreduce_drrm_ict_g12</f>
        <v>0</v>
      </c>
      <c r="F4079" s="46" t="b">
        <f t="shared" si="49"/>
        <v>1</v>
      </c>
      <c r="G4079" s="46" t="s">
        <v>11265</v>
      </c>
    </row>
    <row r="4080" spans="1:7">
      <c r="A4080" s="1773" t="s">
        <v>9982</v>
      </c>
      <c r="B4080" s="46" t="s">
        <v>11263</v>
      </c>
      <c r="C4080" s="1773" t="s">
        <v>9982</v>
      </c>
      <c r="D4080" s="1751" t="s">
        <v>10098</v>
      </c>
      <c r="E4080" s="1773" t="b" cm="1">
        <f t="array" ref="E4080">riskreduce_ccam_ict_g11</f>
        <v>0</v>
      </c>
      <c r="F4080" s="46" t="b">
        <f t="shared" si="49"/>
        <v>1</v>
      </c>
      <c r="G4080" s="46" t="s">
        <v>11265</v>
      </c>
    </row>
    <row r="4081" spans="1:7">
      <c r="A4081" s="1773" t="s">
        <v>9983</v>
      </c>
      <c r="B4081" s="46" t="s">
        <v>11263</v>
      </c>
      <c r="C4081" s="1773" t="s">
        <v>9983</v>
      </c>
      <c r="D4081" s="1751" t="s">
        <v>10099</v>
      </c>
      <c r="E4081" s="1773" t="b" cm="1">
        <f t="array" ref="E4081">riskreduce_ccam_ict_g12</f>
        <v>0</v>
      </c>
      <c r="F4081" s="46" t="b">
        <f t="shared" si="49"/>
        <v>1</v>
      </c>
      <c r="G4081" s="46" t="s">
        <v>11265</v>
      </c>
    </row>
    <row r="4082" spans="1:7">
      <c r="A4082" s="1773" t="s">
        <v>9984</v>
      </c>
      <c r="B4082" s="46" t="s">
        <v>11263</v>
      </c>
      <c r="C4082" s="1773" t="s">
        <v>9984</v>
      </c>
      <c r="D4082" s="1751" t="s">
        <v>10100</v>
      </c>
      <c r="E4082" s="1773" t="b" cm="1">
        <f t="array" ref="E4082">riskreduce_peacebuilding_ict_g11</f>
        <v>0</v>
      </c>
      <c r="F4082" s="46" t="b">
        <f t="shared" si="49"/>
        <v>1</v>
      </c>
      <c r="G4082" s="46" t="s">
        <v>11265</v>
      </c>
    </row>
    <row r="4083" spans="1:7">
      <c r="A4083" s="1773" t="s">
        <v>9985</v>
      </c>
      <c r="B4083" s="46" t="s">
        <v>11263</v>
      </c>
      <c r="C4083" s="1773" t="s">
        <v>9985</v>
      </c>
      <c r="D4083" s="1751" t="s">
        <v>10101</v>
      </c>
      <c r="E4083" s="1773" t="b" cm="1">
        <f t="array" ref="E4083">riskreduce_peacebuilding_ict_g12</f>
        <v>0</v>
      </c>
      <c r="F4083" s="46" t="b">
        <f t="shared" si="49"/>
        <v>1</v>
      </c>
      <c r="G4083" s="46" t="s">
        <v>11265</v>
      </c>
    </row>
    <row r="4084" spans="1:7">
      <c r="A4084" s="1773" t="s">
        <v>9986</v>
      </c>
      <c r="B4084" s="46" t="s">
        <v>11263</v>
      </c>
      <c r="C4084" s="1773" t="s">
        <v>9986</v>
      </c>
      <c r="D4084" s="1751" t="s">
        <v>10102</v>
      </c>
      <c r="E4084" s="1773" t="b" cm="1">
        <f t="array" ref="E4084">riskreduce_drrm_sports_g11</f>
        <v>0</v>
      </c>
      <c r="F4084" s="46" t="b">
        <f t="shared" si="49"/>
        <v>1</v>
      </c>
      <c r="G4084" s="46" t="s">
        <v>11265</v>
      </c>
    </row>
    <row r="4085" spans="1:7">
      <c r="A4085" s="1773" t="s">
        <v>9987</v>
      </c>
      <c r="B4085" s="46" t="s">
        <v>11263</v>
      </c>
      <c r="C4085" s="1773" t="s">
        <v>9987</v>
      </c>
      <c r="D4085" s="1751" t="s">
        <v>10103</v>
      </c>
      <c r="E4085" s="1773" t="b" cm="1">
        <f t="array" ref="E4085">riskreduce_drrm_sports_g12</f>
        <v>0</v>
      </c>
      <c r="F4085" s="46" t="b">
        <f t="shared" si="49"/>
        <v>1</v>
      </c>
      <c r="G4085" s="46" t="s">
        <v>11265</v>
      </c>
    </row>
    <row r="4086" spans="1:7">
      <c r="A4086" s="1773" t="s">
        <v>9988</v>
      </c>
      <c r="B4086" s="46" t="s">
        <v>11263</v>
      </c>
      <c r="C4086" s="1773" t="s">
        <v>9988</v>
      </c>
      <c r="D4086" s="1751" t="s">
        <v>10104</v>
      </c>
      <c r="E4086" s="1773" t="b" cm="1">
        <f t="array" ref="E4086">riskreduce_ccam_sports_g11</f>
        <v>0</v>
      </c>
      <c r="F4086" s="46" t="b">
        <f t="shared" si="49"/>
        <v>1</v>
      </c>
      <c r="G4086" s="46" t="s">
        <v>11265</v>
      </c>
    </row>
    <row r="4087" spans="1:7">
      <c r="A4087" s="1773" t="s">
        <v>9989</v>
      </c>
      <c r="B4087" s="46" t="s">
        <v>11263</v>
      </c>
      <c r="C4087" s="1773" t="s">
        <v>9989</v>
      </c>
      <c r="D4087" s="1751" t="s">
        <v>10105</v>
      </c>
      <c r="E4087" s="1773" t="b" cm="1">
        <f t="array" ref="E4087">riskreduce_ccam_sports_g12</f>
        <v>0</v>
      </c>
      <c r="F4087" s="46" t="b">
        <f t="shared" si="49"/>
        <v>1</v>
      </c>
      <c r="G4087" s="46" t="s">
        <v>11265</v>
      </c>
    </row>
    <row r="4088" spans="1:7">
      <c r="A4088" s="1773" t="s">
        <v>9990</v>
      </c>
      <c r="B4088" s="46" t="s">
        <v>11263</v>
      </c>
      <c r="C4088" s="1773" t="s">
        <v>9990</v>
      </c>
      <c r="D4088" s="1751" t="s">
        <v>10106</v>
      </c>
      <c r="E4088" s="1773" t="b" cm="1">
        <f t="array" ref="E4088">riskreduce_peacebuilding_sports_g11</f>
        <v>0</v>
      </c>
      <c r="F4088" s="46" t="b">
        <f t="shared" si="49"/>
        <v>1</v>
      </c>
      <c r="G4088" s="46" t="s">
        <v>11265</v>
      </c>
    </row>
    <row r="4089" spans="1:7">
      <c r="A4089" s="1773" t="s">
        <v>9991</v>
      </c>
      <c r="B4089" s="46" t="s">
        <v>11263</v>
      </c>
      <c r="C4089" s="1773" t="s">
        <v>9991</v>
      </c>
      <c r="D4089" s="1751" t="s">
        <v>10107</v>
      </c>
      <c r="E4089" s="1773" t="b" cm="1">
        <f t="array" ref="E4089">riskreduce_peacebuilding_sports_g12</f>
        <v>0</v>
      </c>
      <c r="F4089" s="46" t="b">
        <f t="shared" si="49"/>
        <v>1</v>
      </c>
      <c r="G4089" s="46" t="s">
        <v>11265</v>
      </c>
    </row>
    <row r="4090" spans="1:7">
      <c r="A4090" s="1773" t="s">
        <v>9992</v>
      </c>
      <c r="B4090" s="46" t="s">
        <v>11263</v>
      </c>
      <c r="C4090" s="1773" t="s">
        <v>9992</v>
      </c>
      <c r="D4090" s="1751" t="s">
        <v>10108</v>
      </c>
      <c r="E4090" s="1773" t="b" cm="1">
        <f t="array" ref="E4090">riskreduce_drrm_artsdesign_g11</f>
        <v>0</v>
      </c>
      <c r="F4090" s="46" t="b">
        <f t="shared" si="49"/>
        <v>1</v>
      </c>
      <c r="G4090" s="46" t="s">
        <v>11265</v>
      </c>
    </row>
    <row r="4091" spans="1:7">
      <c r="A4091" s="1773" t="s">
        <v>9993</v>
      </c>
      <c r="B4091" s="46" t="s">
        <v>11263</v>
      </c>
      <c r="C4091" s="1773" t="s">
        <v>9993</v>
      </c>
      <c r="D4091" s="1751" t="s">
        <v>10109</v>
      </c>
      <c r="E4091" s="1773" t="b" cm="1">
        <f t="array" ref="E4091">riskreduce_drrm_artsdesign_g12</f>
        <v>0</v>
      </c>
      <c r="F4091" s="46" t="b">
        <f t="shared" si="49"/>
        <v>1</v>
      </c>
      <c r="G4091" s="46" t="s">
        <v>11265</v>
      </c>
    </row>
    <row r="4092" spans="1:7">
      <c r="A4092" s="1773" t="s">
        <v>9994</v>
      </c>
      <c r="B4092" s="46" t="s">
        <v>11263</v>
      </c>
      <c r="C4092" s="1773" t="s">
        <v>9994</v>
      </c>
      <c r="D4092" s="1751" t="s">
        <v>10110</v>
      </c>
      <c r="E4092" s="1773" t="b" cm="1">
        <f t="array" ref="E4092">riskreduce_ccam_artsdesign_g11</f>
        <v>0</v>
      </c>
      <c r="F4092" s="46" t="b">
        <f t="shared" si="49"/>
        <v>1</v>
      </c>
      <c r="G4092" s="46" t="s">
        <v>11265</v>
      </c>
    </row>
    <row r="4093" spans="1:7">
      <c r="A4093" s="1773" t="s">
        <v>9995</v>
      </c>
      <c r="B4093" s="46" t="s">
        <v>11263</v>
      </c>
      <c r="C4093" s="1773" t="s">
        <v>9995</v>
      </c>
      <c r="D4093" s="1751" t="s">
        <v>10111</v>
      </c>
      <c r="E4093" s="1773" t="b" cm="1">
        <f t="array" ref="E4093">riskreduce_ccam_artsdesign_g12</f>
        <v>0</v>
      </c>
      <c r="F4093" s="46" t="b">
        <f t="shared" si="49"/>
        <v>1</v>
      </c>
      <c r="G4093" s="46" t="s">
        <v>11265</v>
      </c>
    </row>
    <row r="4094" spans="1:7">
      <c r="A4094" s="1773" t="s">
        <v>9996</v>
      </c>
      <c r="B4094" s="46" t="s">
        <v>11263</v>
      </c>
      <c r="C4094" s="1773" t="s">
        <v>9996</v>
      </c>
      <c r="D4094" s="1751" t="s">
        <v>10112</v>
      </c>
      <c r="E4094" s="1773" t="b" cm="1">
        <f t="array" ref="E4094">riskreduce_peacebuilding_artsdesign_g11</f>
        <v>0</v>
      </c>
      <c r="F4094" s="46" t="b">
        <f t="shared" si="49"/>
        <v>1</v>
      </c>
      <c r="G4094" s="46" t="s">
        <v>11265</v>
      </c>
    </row>
    <row r="4095" spans="1:7">
      <c r="A4095" s="1773" t="s">
        <v>9997</v>
      </c>
      <c r="B4095" s="46" t="s">
        <v>11263</v>
      </c>
      <c r="C4095" s="1773" t="s">
        <v>9997</v>
      </c>
      <c r="D4095" s="1751" t="s">
        <v>10113</v>
      </c>
      <c r="E4095" s="1773" t="b" cm="1">
        <f t="array" ref="E4095">riskreduce_peacebuilding_artsdesign_g12</f>
        <v>0</v>
      </c>
      <c r="F4095" s="46" t="b">
        <f t="shared" si="49"/>
        <v>1</v>
      </c>
      <c r="G4095" s="46" t="s">
        <v>11265</v>
      </c>
    </row>
    <row r="4096" spans="1:7">
      <c r="A4096" s="1773" t="s">
        <v>9998</v>
      </c>
      <c r="B4096" s="46" t="s">
        <v>11263</v>
      </c>
      <c r="C4096" s="1773" t="s">
        <v>9998</v>
      </c>
      <c r="D4096" s="1751" t="s">
        <v>10114</v>
      </c>
      <c r="E4096" s="1773" t="b" cm="1">
        <f t="array" ref="E4096">riskreduce_drrm_others_g11</f>
        <v>0</v>
      </c>
      <c r="F4096" s="46" t="b">
        <f t="shared" si="49"/>
        <v>1</v>
      </c>
      <c r="G4096" s="46" t="s">
        <v>11265</v>
      </c>
    </row>
    <row r="4097" spans="1:7">
      <c r="A4097" s="1773" t="s">
        <v>9999</v>
      </c>
      <c r="B4097" s="46" t="s">
        <v>11263</v>
      </c>
      <c r="C4097" s="1773" t="s">
        <v>9999</v>
      </c>
      <c r="D4097" s="1751" t="s">
        <v>10115</v>
      </c>
      <c r="E4097" s="1773" t="b" cm="1">
        <f t="array" ref="E4097">riskreduce_drrm_others_g12</f>
        <v>0</v>
      </c>
      <c r="F4097" s="46" t="b">
        <f t="shared" si="49"/>
        <v>1</v>
      </c>
      <c r="G4097" s="46" t="s">
        <v>11265</v>
      </c>
    </row>
    <row r="4098" spans="1:7">
      <c r="A4098" s="1773" t="s">
        <v>10000</v>
      </c>
      <c r="B4098" s="46" t="s">
        <v>11263</v>
      </c>
      <c r="C4098" s="1773" t="s">
        <v>10000</v>
      </c>
      <c r="D4098" s="1751" t="s">
        <v>10116</v>
      </c>
      <c r="E4098" s="1773" t="b" cm="1">
        <f t="array" ref="E4098">riskreduce_ccam_others_g11</f>
        <v>0</v>
      </c>
      <c r="F4098" s="46" t="b">
        <f t="shared" si="49"/>
        <v>1</v>
      </c>
      <c r="G4098" s="46" t="s">
        <v>11265</v>
      </c>
    </row>
    <row r="4099" spans="1:7">
      <c r="A4099" s="1773" t="s">
        <v>10001</v>
      </c>
      <c r="B4099" s="46" t="s">
        <v>11263</v>
      </c>
      <c r="C4099" s="1773" t="s">
        <v>10001</v>
      </c>
      <c r="D4099" s="1751" t="s">
        <v>10117</v>
      </c>
      <c r="E4099" s="1773" t="b" cm="1">
        <f t="array" ref="E4099">riskreduce_ccam_others_g12</f>
        <v>0</v>
      </c>
      <c r="F4099" s="46" t="b">
        <f t="shared" si="49"/>
        <v>1</v>
      </c>
      <c r="G4099" s="46" t="s">
        <v>11265</v>
      </c>
    </row>
    <row r="4100" spans="1:7">
      <c r="A4100" s="1773" t="s">
        <v>10002</v>
      </c>
      <c r="B4100" s="46" t="s">
        <v>11263</v>
      </c>
      <c r="C4100" s="1773" t="s">
        <v>10002</v>
      </c>
      <c r="D4100" s="1751" t="s">
        <v>10118</v>
      </c>
      <c r="E4100" s="1773" t="b" cm="1">
        <f t="array" ref="E4100">riskreduce_peacebuilding_others_g11</f>
        <v>0</v>
      </c>
      <c r="F4100" s="46" t="b">
        <f t="shared" si="49"/>
        <v>1</v>
      </c>
      <c r="G4100" s="46" t="s">
        <v>11265</v>
      </c>
    </row>
    <row r="4101" spans="1:7">
      <c r="A4101" s="1773" t="s">
        <v>10003</v>
      </c>
      <c r="B4101" s="46" t="s">
        <v>11263</v>
      </c>
      <c r="C4101" s="1773" t="s">
        <v>10003</v>
      </c>
      <c r="D4101" s="1751" t="s">
        <v>10119</v>
      </c>
      <c r="E4101" s="1773" t="b" cm="1">
        <f t="array" ref="E4101">riskreduce_peacebuilding_others_g12</f>
        <v>0</v>
      </c>
      <c r="F4101" s="46" t="b">
        <f t="shared" si="49"/>
        <v>1</v>
      </c>
      <c r="G4101" s="46" t="s">
        <v>11265</v>
      </c>
    </row>
    <row r="4102" spans="1:7">
      <c r="A4102" s="1773" t="s">
        <v>10004</v>
      </c>
      <c r="B4102" s="46" t="s">
        <v>11263</v>
      </c>
      <c r="C4102" s="1773" t="s">
        <v>10004</v>
      </c>
      <c r="D4102" s="1751" t="s">
        <v>10120</v>
      </c>
      <c r="E4102" s="1773" cm="1">
        <f t="array" ref="E4102">riskreduce_drrm_sped</f>
        <v>0</v>
      </c>
      <c r="F4102" s="46" t="b">
        <v>1</v>
      </c>
    </row>
    <row r="4103" spans="1:7">
      <c r="A4103" s="1773" t="s">
        <v>10005</v>
      </c>
      <c r="B4103" s="46" t="s">
        <v>11263</v>
      </c>
      <c r="C4103" s="1773" t="s">
        <v>10005</v>
      </c>
      <c r="D4103" s="1751" t="s">
        <v>10121</v>
      </c>
      <c r="E4103" s="1773" cm="1">
        <f t="array" ref="E4103">riskreduce_drrm_iped</f>
        <v>0</v>
      </c>
      <c r="F4103" s="46" t="b">
        <v>1</v>
      </c>
    </row>
    <row r="4104" spans="1:7">
      <c r="A4104" s="1773" t="s">
        <v>10006</v>
      </c>
      <c r="B4104" s="46" t="s">
        <v>11263</v>
      </c>
      <c r="C4104" s="1773" t="s">
        <v>10006</v>
      </c>
      <c r="D4104" s="1751" t="s">
        <v>10122</v>
      </c>
      <c r="E4104" s="1773" cm="1">
        <f t="array" ref="E4104">riskreduce_drrm_als</f>
        <v>0</v>
      </c>
      <c r="F4104" s="46" t="b">
        <v>1</v>
      </c>
    </row>
    <row r="4105" spans="1:7">
      <c r="A4105" s="1773" t="s">
        <v>10007</v>
      </c>
      <c r="B4105" s="46" t="s">
        <v>11263</v>
      </c>
      <c r="C4105" s="1773" t="s">
        <v>10007</v>
      </c>
      <c r="D4105" s="1751" t="s">
        <v>10123</v>
      </c>
      <c r="E4105" s="1773" cm="1">
        <f t="array" ref="E4105">riskreduce_drrm_learn_competence</f>
        <v>0</v>
      </c>
      <c r="F4105" s="46" t="b">
        <v>1</v>
      </c>
    </row>
    <row r="4106" spans="1:7">
      <c r="A4106" s="1773" t="s">
        <v>10008</v>
      </c>
      <c r="B4106" s="46" t="s">
        <v>11263</v>
      </c>
      <c r="C4106" s="1773" t="s">
        <v>10008</v>
      </c>
      <c r="D4106" s="1751" t="s">
        <v>10124</v>
      </c>
      <c r="E4106" s="1773" cm="1">
        <f t="array" ref="E4106">riskreduce_drrm_intro_contents</f>
        <v>0</v>
      </c>
      <c r="F4106" s="46" t="b">
        <v>1</v>
      </c>
    </row>
    <row r="4107" spans="1:7">
      <c r="A4107" s="1773" t="s">
        <v>10009</v>
      </c>
      <c r="B4107" s="46" t="s">
        <v>11263</v>
      </c>
      <c r="C4107" s="1773" t="s">
        <v>10009</v>
      </c>
      <c r="D4107" s="1751" t="s">
        <v>10125</v>
      </c>
      <c r="E4107" s="1773" cm="1">
        <f t="array" ref="E4107">riskreduce_drrm_context_learn</f>
        <v>0</v>
      </c>
      <c r="F4107" s="46" t="b">
        <v>1</v>
      </c>
    </row>
    <row r="4108" spans="1:7">
      <c r="A4108" s="1773" t="s">
        <v>10010</v>
      </c>
      <c r="B4108" s="46" t="s">
        <v>11263</v>
      </c>
      <c r="C4108" s="1773" t="s">
        <v>10010</v>
      </c>
      <c r="D4108" s="1751" t="s">
        <v>10126</v>
      </c>
      <c r="E4108" s="1773" cm="1">
        <f t="array" ref="E4108">riskreduce_ccam_sped</f>
        <v>0</v>
      </c>
      <c r="F4108" s="46" t="b">
        <v>1</v>
      </c>
    </row>
    <row r="4109" spans="1:7">
      <c r="A4109" s="1773" t="s">
        <v>10011</v>
      </c>
      <c r="B4109" s="46" t="s">
        <v>11263</v>
      </c>
      <c r="C4109" s="1773" t="s">
        <v>10011</v>
      </c>
      <c r="D4109" s="1751" t="s">
        <v>10127</v>
      </c>
      <c r="E4109" s="1773" cm="1">
        <f t="array" ref="E4109">riskreduce_ccam_iped</f>
        <v>0</v>
      </c>
      <c r="F4109" s="46" t="b">
        <v>1</v>
      </c>
    </row>
    <row r="4110" spans="1:7">
      <c r="A4110" s="1773" t="s">
        <v>10012</v>
      </c>
      <c r="B4110" s="46" t="s">
        <v>11263</v>
      </c>
      <c r="C4110" s="1773" t="s">
        <v>10012</v>
      </c>
      <c r="D4110" s="1751" t="s">
        <v>10128</v>
      </c>
      <c r="E4110" s="1773" cm="1">
        <f t="array" ref="E4110">riskreduce_ccam_als</f>
        <v>0</v>
      </c>
      <c r="F4110" s="46" t="b">
        <v>1</v>
      </c>
    </row>
    <row r="4111" spans="1:7">
      <c r="A4111" s="1773" t="s">
        <v>10013</v>
      </c>
      <c r="B4111" s="46" t="s">
        <v>11263</v>
      </c>
      <c r="C4111" s="1773" t="s">
        <v>10013</v>
      </c>
      <c r="D4111" s="1751" t="s">
        <v>10129</v>
      </c>
      <c r="E4111" s="1773" cm="1">
        <f t="array" ref="E4111">riskreduce_ccam_learn_competence</f>
        <v>0</v>
      </c>
      <c r="F4111" s="46" t="b">
        <v>1</v>
      </c>
    </row>
    <row r="4112" spans="1:7">
      <c r="A4112" s="1773" t="s">
        <v>10014</v>
      </c>
      <c r="B4112" s="46" t="s">
        <v>11263</v>
      </c>
      <c r="C4112" s="1773" t="s">
        <v>10014</v>
      </c>
      <c r="D4112" s="1751" t="s">
        <v>10130</v>
      </c>
      <c r="E4112" s="1773" cm="1">
        <f t="array" ref="E4112">riskreduce_ccam_intro_contents</f>
        <v>0</v>
      </c>
      <c r="F4112" s="46" t="b">
        <v>1</v>
      </c>
    </row>
    <row r="4113" spans="1:7">
      <c r="A4113" s="1773" t="s">
        <v>10015</v>
      </c>
      <c r="B4113" s="46" t="s">
        <v>11263</v>
      </c>
      <c r="C4113" s="1773" t="s">
        <v>10015</v>
      </c>
      <c r="D4113" s="1751" t="s">
        <v>10131</v>
      </c>
      <c r="E4113" s="1773" cm="1">
        <f t="array" ref="E4113">riskreduce_ccam_context_learn</f>
        <v>0</v>
      </c>
      <c r="F4113" s="46" t="b">
        <v>1</v>
      </c>
    </row>
    <row r="4114" spans="1:7">
      <c r="A4114" s="1773" t="s">
        <v>10016</v>
      </c>
      <c r="B4114" s="46" t="s">
        <v>11263</v>
      </c>
      <c r="C4114" s="1773" t="s">
        <v>10016</v>
      </c>
      <c r="D4114" s="1751" t="s">
        <v>10132</v>
      </c>
      <c r="E4114" s="1773" cm="1">
        <f t="array" ref="E4114">riskreduce_peace_sped</f>
        <v>0</v>
      </c>
      <c r="F4114" s="46" t="b">
        <v>1</v>
      </c>
    </row>
    <row r="4115" spans="1:7">
      <c r="A4115" s="1773" t="s">
        <v>10017</v>
      </c>
      <c r="B4115" s="46" t="s">
        <v>11263</v>
      </c>
      <c r="C4115" s="1773" t="s">
        <v>10017</v>
      </c>
      <c r="D4115" s="1751" t="s">
        <v>10133</v>
      </c>
      <c r="E4115" s="1773" cm="1">
        <f t="array" ref="E4115">riskreduce_peace_iped</f>
        <v>0</v>
      </c>
      <c r="F4115" s="46" t="b">
        <v>1</v>
      </c>
    </row>
    <row r="4116" spans="1:7">
      <c r="A4116" s="1773" t="s">
        <v>10018</v>
      </c>
      <c r="B4116" s="46" t="s">
        <v>11263</v>
      </c>
      <c r="C4116" s="1773" t="s">
        <v>10018</v>
      </c>
      <c r="D4116" s="1751" t="s">
        <v>10134</v>
      </c>
      <c r="E4116" s="1773" cm="1">
        <f t="array" ref="E4116">riskreduce_peace_als</f>
        <v>0</v>
      </c>
      <c r="F4116" s="46" t="b">
        <v>1</v>
      </c>
    </row>
    <row r="4117" spans="1:7">
      <c r="A4117" s="1773" t="s">
        <v>10019</v>
      </c>
      <c r="B4117" s="46" t="s">
        <v>11263</v>
      </c>
      <c r="C4117" s="1773" t="s">
        <v>10019</v>
      </c>
      <c r="D4117" s="1751" t="s">
        <v>10135</v>
      </c>
      <c r="E4117" s="1773" cm="1">
        <f t="array" ref="E4117">riskreduce_peace_learn_competence</f>
        <v>0</v>
      </c>
      <c r="F4117" s="46" t="b">
        <v>1</v>
      </c>
    </row>
    <row r="4118" spans="1:7">
      <c r="A4118" s="1773" t="s">
        <v>10020</v>
      </c>
      <c r="B4118" s="46" t="s">
        <v>11263</v>
      </c>
      <c r="C4118" s="1773" t="s">
        <v>10020</v>
      </c>
      <c r="D4118" s="1751" t="s">
        <v>10136</v>
      </c>
      <c r="E4118" s="1773" cm="1">
        <f t="array" ref="E4118">riskreduce_peace_intro_contents</f>
        <v>0</v>
      </c>
      <c r="F4118" s="46" t="b">
        <v>1</v>
      </c>
    </row>
    <row r="4119" spans="1:7">
      <c r="A4119" s="1773" t="s">
        <v>10021</v>
      </c>
      <c r="B4119" s="46" t="s">
        <v>11263</v>
      </c>
      <c r="C4119" s="1773" t="s">
        <v>10021</v>
      </c>
      <c r="D4119" s="1751" t="s">
        <v>10137</v>
      </c>
      <c r="E4119" s="1773" cm="1">
        <f t="array" ref="E4119">riskreduce_peace_context_learn</f>
        <v>0</v>
      </c>
      <c r="F4119" s="46" t="b">
        <v>1</v>
      </c>
    </row>
    <row r="4120" spans="1:7">
      <c r="A4120" s="1773" t="s">
        <v>10138</v>
      </c>
      <c r="B4120" s="46" t="s">
        <v>11263</v>
      </c>
      <c r="C4120" s="1773" t="s">
        <v>10138</v>
      </c>
      <c r="D4120" s="1751" t="s">
        <v>10139</v>
      </c>
      <c r="E4120" s="1773" t="b" cm="1">
        <f t="array" ref="E4120">riskreduce_assess_rel_comp</f>
        <v>0</v>
      </c>
      <c r="F4120" s="46" t="b">
        <f t="shared" ref="F4120:F4122" si="50">OR(E4120=TRUE, E4120=FALSE)</f>
        <v>1</v>
      </c>
      <c r="G4120" s="46" t="s">
        <v>11265</v>
      </c>
    </row>
    <row r="4121" spans="1:7">
      <c r="A4121" s="1773" t="s">
        <v>10022</v>
      </c>
      <c r="B4121" s="46" t="s">
        <v>11263</v>
      </c>
      <c r="C4121" s="1773" t="s">
        <v>10022</v>
      </c>
      <c r="D4121" s="1751" t="s">
        <v>10140</v>
      </c>
      <c r="E4121" s="1773" t="b" cm="1">
        <f t="array" ref="E4121">riskreduce_use_iec_mat</f>
        <v>0</v>
      </c>
      <c r="F4121" s="46" t="b">
        <f t="shared" si="50"/>
        <v>1</v>
      </c>
      <c r="G4121" s="46" t="s">
        <v>11265</v>
      </c>
    </row>
    <row r="4122" spans="1:7">
      <c r="A4122" s="1773" t="s">
        <v>10023</v>
      </c>
      <c r="B4122" s="46" t="s">
        <v>11263</v>
      </c>
      <c r="C4122" s="1773" t="s">
        <v>10023</v>
      </c>
      <c r="D4122" s="1751" t="s">
        <v>10141</v>
      </c>
      <c r="E4122" s="1773" t="b" cm="1">
        <f t="array" ref="E4122">riskreduce_update_iec_mat</f>
        <v>0</v>
      </c>
      <c r="F4122" s="46" t="b">
        <f t="shared" si="50"/>
        <v>1</v>
      </c>
      <c r="G4122" s="46" t="s">
        <v>11265</v>
      </c>
    </row>
    <row r="4123" spans="1:7">
      <c r="A4123" s="1773" t="s">
        <v>10024</v>
      </c>
      <c r="B4123" s="46" t="s">
        <v>11263</v>
      </c>
      <c r="C4123" s="1773" t="s">
        <v>10024</v>
      </c>
      <c r="D4123" s="1751" t="s">
        <v>10142</v>
      </c>
      <c r="E4123" s="1773" cm="1">
        <f t="array" ref="E4123">riskreduce_iec_teach_m</f>
        <v>0</v>
      </c>
      <c r="F4123" s="46" t="b">
        <v>1</v>
      </c>
    </row>
    <row r="4124" spans="1:7">
      <c r="A4124" s="1773" t="s">
        <v>10025</v>
      </c>
      <c r="B4124" s="46" t="s">
        <v>11263</v>
      </c>
      <c r="C4124" s="1773" t="s">
        <v>10025</v>
      </c>
      <c r="D4124" s="1751" t="s">
        <v>10143</v>
      </c>
      <c r="E4124" s="1773" cm="1">
        <f t="array" ref="E4124">riskreduce_iec_teach_f</f>
        <v>0</v>
      </c>
      <c r="F4124" s="46" t="b">
        <v>1</v>
      </c>
    </row>
    <row r="4125" spans="1:7">
      <c r="A4125" s="1773" t="s">
        <v>10026</v>
      </c>
      <c r="B4125" s="46" t="s">
        <v>11263</v>
      </c>
      <c r="C4125" s="1773" t="s">
        <v>10026</v>
      </c>
      <c r="D4125" s="1751" t="s">
        <v>10144</v>
      </c>
      <c r="E4125" s="1773" cm="1">
        <f t="array" ref="E4125">riskreduce_iec_nonteach_m</f>
        <v>0</v>
      </c>
      <c r="F4125" s="46" t="b">
        <v>1</v>
      </c>
    </row>
    <row r="4126" spans="1:7">
      <c r="A4126" s="1773" t="s">
        <v>10027</v>
      </c>
      <c r="B4126" s="46" t="s">
        <v>11263</v>
      </c>
      <c r="C4126" s="1773" t="s">
        <v>10027</v>
      </c>
      <c r="D4126" s="1751" t="s">
        <v>10145</v>
      </c>
      <c r="E4126" s="1773" cm="1">
        <f t="array" ref="E4126">riskreduce_iec_nonteach_f</f>
        <v>0</v>
      </c>
      <c r="F4126" s="46" t="b">
        <v>1</v>
      </c>
    </row>
    <row r="4127" spans="1:7">
      <c r="A4127" s="1773" t="s">
        <v>10028</v>
      </c>
      <c r="B4127" s="46" t="s">
        <v>11263</v>
      </c>
      <c r="C4127" s="1773" t="s">
        <v>10028</v>
      </c>
      <c r="D4127" s="1751" t="s">
        <v>10146</v>
      </c>
      <c r="E4127" s="1773" cm="1">
        <f t="array" ref="E4127">riskreduce_iec_part_l_m</f>
        <v>0</v>
      </c>
      <c r="F4127" s="46" t="b">
        <v>1</v>
      </c>
    </row>
    <row r="4128" spans="1:7">
      <c r="A4128" s="1773" t="s">
        <v>10029</v>
      </c>
      <c r="B4128" s="46" t="s">
        <v>11263</v>
      </c>
      <c r="C4128" s="1773" t="s">
        <v>10029</v>
      </c>
      <c r="D4128" s="1751" t="s">
        <v>10147</v>
      </c>
      <c r="E4128" s="1773" cm="1">
        <f t="array" ref="E4128">riskreduce_iec_consult_l_m</f>
        <v>0</v>
      </c>
      <c r="F4128" s="46" t="b">
        <v>1</v>
      </c>
    </row>
    <row r="4129" spans="1:6">
      <c r="A4129" s="1773" t="s">
        <v>10030</v>
      </c>
      <c r="B4129" s="46" t="s">
        <v>11263</v>
      </c>
      <c r="C4129" s="1773" t="s">
        <v>10030</v>
      </c>
      <c r="D4129" s="1751" t="s">
        <v>10148</v>
      </c>
      <c r="E4129" s="1773" cm="1">
        <f t="array" ref="E4129">riskreduce_iec_codev_l_m</f>
        <v>0</v>
      </c>
      <c r="F4129" s="46" t="b">
        <v>1</v>
      </c>
    </row>
    <row r="4130" spans="1:6">
      <c r="A4130" s="1773" t="s">
        <v>10031</v>
      </c>
      <c r="B4130" s="46" t="s">
        <v>11263</v>
      </c>
      <c r="C4130" s="1773" t="s">
        <v>10031</v>
      </c>
      <c r="D4130" s="1751" t="s">
        <v>10149</v>
      </c>
      <c r="E4130" s="1773" cm="1">
        <f t="array" ref="E4130">riskreduce_iec_initiate_l_m</f>
        <v>0</v>
      </c>
      <c r="F4130" s="46" t="b">
        <v>1</v>
      </c>
    </row>
    <row r="4131" spans="1:6">
      <c r="A4131" s="1773" t="s">
        <v>10032</v>
      </c>
      <c r="B4131" s="46" t="s">
        <v>11263</v>
      </c>
      <c r="C4131" s="1773" t="s">
        <v>10032</v>
      </c>
      <c r="D4131" s="1751" t="s">
        <v>10150</v>
      </c>
      <c r="E4131" s="1773" cm="1">
        <f t="array" ref="E4131">riskreduce_iec_part_l_f</f>
        <v>0</v>
      </c>
      <c r="F4131" s="46" t="b">
        <v>1</v>
      </c>
    </row>
    <row r="4132" spans="1:6">
      <c r="A4132" s="1773" t="s">
        <v>10033</v>
      </c>
      <c r="B4132" s="46" t="s">
        <v>11263</v>
      </c>
      <c r="C4132" s="1773" t="s">
        <v>10033</v>
      </c>
      <c r="D4132" s="1751" t="s">
        <v>10151</v>
      </c>
      <c r="E4132" s="1773" cm="1">
        <f t="array" ref="E4132">riskreduce_iec_consult_l_f</f>
        <v>0</v>
      </c>
      <c r="F4132" s="46" t="b">
        <v>1</v>
      </c>
    </row>
    <row r="4133" spans="1:6">
      <c r="A4133" s="1773" t="s">
        <v>10034</v>
      </c>
      <c r="B4133" s="46" t="s">
        <v>11263</v>
      </c>
      <c r="C4133" s="1773" t="s">
        <v>10034</v>
      </c>
      <c r="D4133" s="1751" t="s">
        <v>10152</v>
      </c>
      <c r="E4133" s="1773" cm="1">
        <f t="array" ref="E4133">riskreduce_iec_codev_l_f</f>
        <v>0</v>
      </c>
      <c r="F4133" s="46" t="b">
        <v>1</v>
      </c>
    </row>
    <row r="4134" spans="1:6">
      <c r="A4134" s="1773" t="s">
        <v>10035</v>
      </c>
      <c r="B4134" s="46" t="s">
        <v>11263</v>
      </c>
      <c r="C4134" s="1773" t="s">
        <v>10035</v>
      </c>
      <c r="D4134" s="1751" t="s">
        <v>10153</v>
      </c>
      <c r="E4134" s="1773" cm="1">
        <f t="array" ref="E4134">riskreduce_iec_initiate_l_f</f>
        <v>0</v>
      </c>
      <c r="F4134" s="46" t="b">
        <v>1</v>
      </c>
    </row>
    <row r="4135" spans="1:6">
      <c r="A4135" s="1773" t="s">
        <v>10036</v>
      </c>
      <c r="B4135" s="46" t="s">
        <v>11263</v>
      </c>
      <c r="C4135" s="1773" t="s">
        <v>10036</v>
      </c>
      <c r="D4135" s="1751" t="s">
        <v>10154</v>
      </c>
      <c r="E4135" s="1773" cm="1">
        <f t="array" ref="E4135">riskreduce_iec_part_ip_m</f>
        <v>0</v>
      </c>
      <c r="F4135" s="46" t="b">
        <v>1</v>
      </c>
    </row>
    <row r="4136" spans="1:6">
      <c r="A4136" s="1773" t="s">
        <v>10037</v>
      </c>
      <c r="B4136" s="46" t="s">
        <v>11263</v>
      </c>
      <c r="C4136" s="1773" t="s">
        <v>10037</v>
      </c>
      <c r="D4136" s="1751" t="s">
        <v>10155</v>
      </c>
      <c r="E4136" s="1773" cm="1">
        <f t="array" ref="E4136">riskreduce_iec_consult_ip_m</f>
        <v>0</v>
      </c>
      <c r="F4136" s="46" t="b">
        <v>1</v>
      </c>
    </row>
    <row r="4137" spans="1:6">
      <c r="A4137" s="1773" t="s">
        <v>10038</v>
      </c>
      <c r="B4137" s="46" t="s">
        <v>11263</v>
      </c>
      <c r="C4137" s="1773" t="s">
        <v>10038</v>
      </c>
      <c r="D4137" s="1751" t="s">
        <v>10156</v>
      </c>
      <c r="E4137" s="1773" cm="1">
        <f t="array" ref="E4137">riskreduce_iec_codev_ip_m</f>
        <v>0</v>
      </c>
      <c r="F4137" s="46" t="b">
        <v>1</v>
      </c>
    </row>
    <row r="4138" spans="1:6">
      <c r="A4138" s="1773" t="s">
        <v>10039</v>
      </c>
      <c r="B4138" s="46" t="s">
        <v>11263</v>
      </c>
      <c r="C4138" s="1773" t="s">
        <v>10039</v>
      </c>
      <c r="D4138" s="1751" t="s">
        <v>10157</v>
      </c>
      <c r="E4138" s="1773" cm="1">
        <f t="array" ref="E4138">riskreduce_iec_initiate_ip_m</f>
        <v>0</v>
      </c>
      <c r="F4138" s="46" t="b">
        <v>1</v>
      </c>
    </row>
    <row r="4139" spans="1:6">
      <c r="A4139" s="1773" t="s">
        <v>10040</v>
      </c>
      <c r="B4139" s="46" t="s">
        <v>11263</v>
      </c>
      <c r="C4139" s="1773" t="s">
        <v>10040</v>
      </c>
      <c r="D4139" s="1751" t="s">
        <v>10158</v>
      </c>
      <c r="E4139" s="1773" cm="1">
        <f t="array" ref="E4139">riskreduce_iec_part_ip_f</f>
        <v>0</v>
      </c>
      <c r="F4139" s="46" t="b">
        <v>1</v>
      </c>
    </row>
    <row r="4140" spans="1:6">
      <c r="A4140" s="1773" t="s">
        <v>10041</v>
      </c>
      <c r="B4140" s="46" t="s">
        <v>11263</v>
      </c>
      <c r="C4140" s="1773" t="s">
        <v>10041</v>
      </c>
      <c r="D4140" s="1751" t="s">
        <v>10159</v>
      </c>
      <c r="E4140" s="1773" cm="1">
        <f t="array" ref="E4140">riskreduce_iec_consult_ip_f</f>
        <v>0</v>
      </c>
      <c r="F4140" s="46" t="b">
        <v>1</v>
      </c>
    </row>
    <row r="4141" spans="1:6">
      <c r="A4141" s="1773" t="s">
        <v>10042</v>
      </c>
      <c r="B4141" s="46" t="s">
        <v>11263</v>
      </c>
      <c r="C4141" s="1773" t="s">
        <v>10042</v>
      </c>
      <c r="D4141" s="1751" t="s">
        <v>10160</v>
      </c>
      <c r="E4141" s="1773" cm="1">
        <f t="array" ref="E4141">riskreduce_iec_codev_ip_f</f>
        <v>0</v>
      </c>
      <c r="F4141" s="46" t="b">
        <v>1</v>
      </c>
    </row>
    <row r="4142" spans="1:6">
      <c r="A4142" s="1773" t="s">
        <v>10043</v>
      </c>
      <c r="B4142" s="46" t="s">
        <v>11263</v>
      </c>
      <c r="C4142" s="1773" t="s">
        <v>10043</v>
      </c>
      <c r="D4142" s="1751" t="s">
        <v>10161</v>
      </c>
      <c r="E4142" s="1773" cm="1">
        <f t="array" ref="E4142">riskreduce_iec_initiate_ip_f</f>
        <v>0</v>
      </c>
      <c r="F4142" s="46" t="b">
        <v>1</v>
      </c>
    </row>
    <row r="4143" spans="1:6">
      <c r="A4143" s="1773" t="s">
        <v>10044</v>
      </c>
      <c r="B4143" s="46" t="s">
        <v>11263</v>
      </c>
      <c r="C4143" s="1773" t="s">
        <v>10044</v>
      </c>
      <c r="D4143" s="1751" t="s">
        <v>10162</v>
      </c>
      <c r="E4143" s="1773" cm="1">
        <f t="array" ref="E4143">riskreduce_iec_part_muslim_m</f>
        <v>0</v>
      </c>
      <c r="F4143" s="46" t="b">
        <v>1</v>
      </c>
    </row>
    <row r="4144" spans="1:6">
      <c r="A4144" s="1773" t="s">
        <v>10045</v>
      </c>
      <c r="B4144" s="46" t="s">
        <v>11263</v>
      </c>
      <c r="C4144" s="1773" t="s">
        <v>10045</v>
      </c>
      <c r="D4144" s="1751" t="s">
        <v>10163</v>
      </c>
      <c r="E4144" s="1773" cm="1">
        <f t="array" ref="E4144">riskreduce_iec_consult_muslim_m</f>
        <v>0</v>
      </c>
      <c r="F4144" s="46" t="b">
        <v>1</v>
      </c>
    </row>
    <row r="4145" spans="1:8">
      <c r="A4145" s="1773" t="s">
        <v>10046</v>
      </c>
      <c r="B4145" s="46" t="s">
        <v>11263</v>
      </c>
      <c r="C4145" s="1773" t="s">
        <v>10046</v>
      </c>
      <c r="D4145" s="1751" t="s">
        <v>10164</v>
      </c>
      <c r="E4145" s="1773" cm="1">
        <f t="array" ref="E4145">riskreduce_iec_codev_muslim_m</f>
        <v>0</v>
      </c>
      <c r="F4145" s="46" t="b">
        <v>1</v>
      </c>
    </row>
    <row r="4146" spans="1:8">
      <c r="A4146" s="1773" t="s">
        <v>10047</v>
      </c>
      <c r="B4146" s="46" t="s">
        <v>11263</v>
      </c>
      <c r="C4146" s="1773" t="s">
        <v>10047</v>
      </c>
      <c r="D4146" s="1751" t="s">
        <v>10165</v>
      </c>
      <c r="E4146" s="1773" cm="1">
        <f t="array" ref="E4146">riskreduce_iec_initiate_muslim_m</f>
        <v>0</v>
      </c>
      <c r="F4146" s="46" t="b">
        <v>1</v>
      </c>
    </row>
    <row r="4147" spans="1:8">
      <c r="A4147" s="1773" t="s">
        <v>10048</v>
      </c>
      <c r="B4147" s="46" t="s">
        <v>11263</v>
      </c>
      <c r="C4147" s="1773" t="s">
        <v>10048</v>
      </c>
      <c r="D4147" s="1751" t="s">
        <v>10166</v>
      </c>
      <c r="E4147" s="1773" cm="1">
        <f t="array" ref="E4147">riskreduce_iec_part_muslim_f</f>
        <v>0</v>
      </c>
      <c r="F4147" s="46" t="b">
        <v>1</v>
      </c>
    </row>
    <row r="4148" spans="1:8">
      <c r="A4148" s="1773" t="s">
        <v>10049</v>
      </c>
      <c r="B4148" s="46" t="s">
        <v>11263</v>
      </c>
      <c r="C4148" s="1773" t="s">
        <v>10049</v>
      </c>
      <c r="D4148" s="1751" t="s">
        <v>10167</v>
      </c>
      <c r="E4148" s="1773" cm="1">
        <f t="array" ref="E4148">riskreduce_iec_consult_muslim_f</f>
        <v>0</v>
      </c>
      <c r="F4148" s="46" t="b">
        <v>1</v>
      </c>
    </row>
    <row r="4149" spans="1:8">
      <c r="A4149" s="1773" t="s">
        <v>10050</v>
      </c>
      <c r="B4149" s="46" t="s">
        <v>11263</v>
      </c>
      <c r="C4149" s="1773" t="s">
        <v>10050</v>
      </c>
      <c r="D4149" s="1751" t="s">
        <v>10168</v>
      </c>
      <c r="E4149" s="1773" cm="1">
        <f t="array" ref="E4149">riskreduce_iec_codev_muslim_f</f>
        <v>0</v>
      </c>
      <c r="F4149" s="46" t="b">
        <v>1</v>
      </c>
    </row>
    <row r="4150" spans="1:8">
      <c r="A4150" s="1773" t="s">
        <v>10051</v>
      </c>
      <c r="B4150" s="46" t="s">
        <v>11263</v>
      </c>
      <c r="C4150" s="1773" t="s">
        <v>10051</v>
      </c>
      <c r="D4150" s="1751" t="s">
        <v>10169</v>
      </c>
      <c r="E4150" s="1773" cm="1">
        <f t="array" ref="E4150">riskreduce_iec_initiate_muslim_f</f>
        <v>0</v>
      </c>
      <c r="F4150" s="46" t="b">
        <v>1</v>
      </c>
    </row>
    <row r="4151" spans="1:8">
      <c r="A4151" s="1773" t="s">
        <v>10052</v>
      </c>
      <c r="B4151" s="46" t="s">
        <v>11263</v>
      </c>
      <c r="C4151" s="1773" t="s">
        <v>10052</v>
      </c>
      <c r="D4151" s="1751" t="s">
        <v>10170</v>
      </c>
      <c r="E4151" s="1773" cm="1">
        <f t="array" ref="E4151">riskreduce_iec_part_lwd_m</f>
        <v>0</v>
      </c>
      <c r="F4151" s="46" t="b">
        <v>1</v>
      </c>
    </row>
    <row r="4152" spans="1:8">
      <c r="A4152" s="1773" t="s">
        <v>10053</v>
      </c>
      <c r="B4152" s="46" t="s">
        <v>11263</v>
      </c>
      <c r="C4152" s="1773" t="s">
        <v>10053</v>
      </c>
      <c r="D4152" s="1751" t="s">
        <v>10171</v>
      </c>
      <c r="E4152" s="1773" cm="1">
        <f t="array" ref="E4152">riskreduce_iec_consult_lwd_m</f>
        <v>0</v>
      </c>
      <c r="F4152" s="46" t="b">
        <v>1</v>
      </c>
    </row>
    <row r="4153" spans="1:8">
      <c r="A4153" s="1773" t="s">
        <v>10054</v>
      </c>
      <c r="B4153" s="46" t="s">
        <v>11263</v>
      </c>
      <c r="C4153" s="1773" t="s">
        <v>10054</v>
      </c>
      <c r="D4153" s="1751" t="s">
        <v>10172</v>
      </c>
      <c r="E4153" s="1773" cm="1">
        <f t="array" ref="E4153">riskreduce_iec_codev_lwd_m</f>
        <v>0</v>
      </c>
      <c r="F4153" s="46" t="b">
        <v>1</v>
      </c>
    </row>
    <row r="4154" spans="1:8">
      <c r="A4154" s="1773" t="s">
        <v>10055</v>
      </c>
      <c r="B4154" s="46" t="s">
        <v>11263</v>
      </c>
      <c r="C4154" s="1773" t="s">
        <v>10055</v>
      </c>
      <c r="D4154" s="1751" t="s">
        <v>10173</v>
      </c>
      <c r="E4154" s="1773" cm="1">
        <f t="array" ref="E4154">riskreduce_iec_initiate_lwd_m</f>
        <v>0</v>
      </c>
      <c r="F4154" s="46" t="b">
        <v>1</v>
      </c>
    </row>
    <row r="4155" spans="1:8">
      <c r="A4155" s="1773" t="s">
        <v>10056</v>
      </c>
      <c r="B4155" s="46" t="s">
        <v>11263</v>
      </c>
      <c r="C4155" s="1773" t="s">
        <v>10056</v>
      </c>
      <c r="D4155" s="1751" t="s">
        <v>10174</v>
      </c>
      <c r="E4155" s="1773" cm="1">
        <f t="array" ref="E4155">riskreduce_iec_part_lwd_f</f>
        <v>0</v>
      </c>
      <c r="F4155" s="46" t="b">
        <v>1</v>
      </c>
    </row>
    <row r="4156" spans="1:8">
      <c r="A4156" s="1773" t="s">
        <v>10057</v>
      </c>
      <c r="B4156" s="46" t="s">
        <v>11263</v>
      </c>
      <c r="C4156" s="1773" t="s">
        <v>10057</v>
      </c>
      <c r="D4156" s="1751" t="s">
        <v>10175</v>
      </c>
      <c r="E4156" s="1773" cm="1">
        <f t="array" ref="E4156">riskreduce_iec_consult_lwd_f</f>
        <v>0</v>
      </c>
      <c r="F4156" s="46" t="b">
        <v>1</v>
      </c>
    </row>
    <row r="4157" spans="1:8">
      <c r="A4157" s="1773" t="s">
        <v>10058</v>
      </c>
      <c r="B4157" s="46" t="s">
        <v>11263</v>
      </c>
      <c r="C4157" s="1773" t="s">
        <v>10058</v>
      </c>
      <c r="D4157" s="1751" t="s">
        <v>10176</v>
      </c>
      <c r="E4157" s="1773" cm="1">
        <f t="array" ref="E4157">riskreduce_iec_codev_lwd_f</f>
        <v>0</v>
      </c>
      <c r="F4157" s="46" t="b">
        <v>1</v>
      </c>
    </row>
    <row r="4158" spans="1:8" ht="16.5" thickBot="1">
      <c r="A4158" s="1774" t="s">
        <v>10059</v>
      </c>
      <c r="B4158" s="479" t="s">
        <v>11263</v>
      </c>
      <c r="C4158" s="1774" t="s">
        <v>10059</v>
      </c>
      <c r="D4158" s="1771" t="s">
        <v>10177</v>
      </c>
      <c r="E4158" s="1774" cm="1">
        <f t="array" ref="E4158">riskreduce_iec_initiate_lwd_f</f>
        <v>0</v>
      </c>
      <c r="F4158" s="479" t="b">
        <v>1</v>
      </c>
      <c r="G4158" s="479"/>
      <c r="H4158" s="479"/>
    </row>
    <row r="4159" spans="1:8" ht="16.5" thickTop="1">
      <c r="A4159" s="1773" t="s">
        <v>10179</v>
      </c>
      <c r="B4159" s="46" t="s">
        <v>11263</v>
      </c>
      <c r="C4159" s="1773" t="s">
        <v>10179</v>
      </c>
      <c r="D4159" s="1751" t="s">
        <v>10303</v>
      </c>
      <c r="E4159" s="1773" cm="1">
        <f t="array" ref="E4159">resilince_train_teach_per_m</f>
        <v>1</v>
      </c>
      <c r="F4159" s="46" t="b">
        <v>1</v>
      </c>
    </row>
    <row r="4160" spans="1:8">
      <c r="A4160" s="1773" t="s">
        <v>10180</v>
      </c>
      <c r="B4160" s="46" t="s">
        <v>11263</v>
      </c>
      <c r="C4160" s="1773" t="s">
        <v>10180</v>
      </c>
      <c r="D4160" s="1751" t="s">
        <v>10304</v>
      </c>
      <c r="E4160" s="1773" cm="1">
        <f t="array" ref="E4160">resilince_train_teach_per_f</f>
        <v>0</v>
      </c>
      <c r="F4160" s="46" t="b">
        <v>1</v>
      </c>
    </row>
    <row r="4161" spans="1:6">
      <c r="A4161" s="1773" t="s">
        <v>10181</v>
      </c>
      <c r="B4161" s="46" t="s">
        <v>11263</v>
      </c>
      <c r="C4161" s="1773" t="s">
        <v>10181</v>
      </c>
      <c r="D4161" s="1751" t="s">
        <v>10305</v>
      </c>
      <c r="E4161" s="1773" cm="1">
        <f t="array" ref="E4161">resilince_train_nonteach_per_m</f>
        <v>2</v>
      </c>
      <c r="F4161" s="46" t="b">
        <v>1</v>
      </c>
    </row>
    <row r="4162" spans="1:6">
      <c r="A4162" s="1773" t="s">
        <v>10182</v>
      </c>
      <c r="B4162" s="46" t="s">
        <v>11263</v>
      </c>
      <c r="C4162" s="1773" t="s">
        <v>10182</v>
      </c>
      <c r="D4162" s="1751" t="s">
        <v>10306</v>
      </c>
      <c r="E4162" s="1773" cm="1">
        <f t="array" ref="E4162">resilince_train_nonteach_per_f</f>
        <v>0</v>
      </c>
      <c r="F4162" s="46" t="b">
        <v>1</v>
      </c>
    </row>
    <row r="4163" spans="1:6">
      <c r="A4163" s="1773" t="s">
        <v>10183</v>
      </c>
      <c r="B4163" s="46" t="s">
        <v>11263</v>
      </c>
      <c r="C4163" s="1773" t="s">
        <v>10183</v>
      </c>
      <c r="D4163" s="1751" t="s">
        <v>10307</v>
      </c>
      <c r="E4163" s="1773" cm="1">
        <f t="array" ref="E4163">resilince_num_drrm_part_l</f>
        <v>0</v>
      </c>
      <c r="F4163" s="46" t="b">
        <v>1</v>
      </c>
    </row>
    <row r="4164" spans="1:6">
      <c r="A4164" s="1773" t="s">
        <v>10184</v>
      </c>
      <c r="B4164" s="46" t="s">
        <v>11263</v>
      </c>
      <c r="C4164" s="1773" t="s">
        <v>10184</v>
      </c>
      <c r="D4164" s="1751" t="s">
        <v>10308</v>
      </c>
      <c r="E4164" s="1773" cm="1">
        <f t="array" ref="E4164">resilince_num_drrm_part_per</f>
        <v>2</v>
      </c>
      <c r="F4164" s="46" t="b">
        <v>1</v>
      </c>
    </row>
    <row r="4165" spans="1:6">
      <c r="A4165" s="1773" t="s">
        <v>10185</v>
      </c>
      <c r="B4165" s="46" t="s">
        <v>11263</v>
      </c>
      <c r="C4165" s="1773" t="s">
        <v>10185</v>
      </c>
      <c r="D4165" s="1751" t="s">
        <v>10309</v>
      </c>
      <c r="E4165" s="1773" cm="1">
        <f t="array" ref="E4165">resilince_num_drrm_part_par</f>
        <v>0</v>
      </c>
      <c r="F4165" s="46" t="b">
        <v>1</v>
      </c>
    </row>
    <row r="4166" spans="1:6">
      <c r="A4166" s="1773" t="s">
        <v>10186</v>
      </c>
      <c r="B4166" s="46" t="s">
        <v>11263</v>
      </c>
      <c r="C4166" s="1773" t="s">
        <v>10186</v>
      </c>
      <c r="D4166" s="1751" t="s">
        <v>10310</v>
      </c>
      <c r="E4166" s="1773" cm="1">
        <f t="array" ref="E4166">resilince_num_drrm_part_lgu</f>
        <v>0</v>
      </c>
      <c r="F4166" s="46" t="b">
        <v>1</v>
      </c>
    </row>
    <row r="4167" spans="1:6">
      <c r="A4167" s="1773" t="s">
        <v>10187</v>
      </c>
      <c r="B4167" s="46" t="s">
        <v>11263</v>
      </c>
      <c r="C4167" s="1773" t="s">
        <v>10187</v>
      </c>
      <c r="D4167" s="1751" t="s">
        <v>10311</v>
      </c>
      <c r="E4167" s="1773" cm="1">
        <f t="array" ref="E4167">resilince_num_drrm_part_ngo</f>
        <v>0</v>
      </c>
      <c r="F4167" s="46" t="b">
        <v>1</v>
      </c>
    </row>
    <row r="4168" spans="1:6">
      <c r="A4168" s="1773" t="s">
        <v>10188</v>
      </c>
      <c r="B4168" s="46" t="s">
        <v>11263</v>
      </c>
      <c r="C4168" s="1773" t="s">
        <v>10188</v>
      </c>
      <c r="D4168" s="1751" t="s">
        <v>10312</v>
      </c>
      <c r="E4168" s="1773" cm="1">
        <f t="array" ref="E4168">resilince_num_drrm_basic_teach_per_m</f>
        <v>1</v>
      </c>
      <c r="F4168" s="46" t="b">
        <v>1</v>
      </c>
    </row>
    <row r="4169" spans="1:6">
      <c r="A4169" s="1773" t="s">
        <v>10189</v>
      </c>
      <c r="B4169" s="46" t="s">
        <v>11263</v>
      </c>
      <c r="C4169" s="1773" t="s">
        <v>10189</v>
      </c>
      <c r="D4169" s="1751" t="s">
        <v>10313</v>
      </c>
      <c r="E4169" s="1773" cm="1">
        <f t="array" ref="E4169">resilince_num_drrm_basic_teach_per_f</f>
        <v>0</v>
      </c>
      <c r="F4169" s="46" t="b">
        <v>1</v>
      </c>
    </row>
    <row r="4170" spans="1:6">
      <c r="A4170" s="1773" t="s">
        <v>10190</v>
      </c>
      <c r="B4170" s="46" t="s">
        <v>11263</v>
      </c>
      <c r="C4170" s="1773" t="s">
        <v>10190</v>
      </c>
      <c r="D4170" s="1751" t="s">
        <v>10314</v>
      </c>
      <c r="E4170" s="1773" cm="1">
        <f t="array" ref="E4170">resilince_num_drrm_basic_nonteach_per_m</f>
        <v>1</v>
      </c>
      <c r="F4170" s="46" t="b">
        <v>1</v>
      </c>
    </row>
    <row r="4171" spans="1:6">
      <c r="A4171" s="1773" t="s">
        <v>10191</v>
      </c>
      <c r="B4171" s="46" t="s">
        <v>11263</v>
      </c>
      <c r="C4171" s="1773" t="s">
        <v>10191</v>
      </c>
      <c r="D4171" s="1751" t="s">
        <v>10315</v>
      </c>
      <c r="E4171" s="1773" cm="1">
        <f t="array" ref="E4171">resilince_num_drrm_basic_nonteach_per_f</f>
        <v>0</v>
      </c>
      <c r="F4171" s="46" t="b">
        <v>1</v>
      </c>
    </row>
    <row r="4172" spans="1:6">
      <c r="A4172" s="1773" t="s">
        <v>10192</v>
      </c>
      <c r="B4172" s="46" t="s">
        <v>11263</v>
      </c>
      <c r="C4172" s="1773" t="s">
        <v>10192</v>
      </c>
      <c r="D4172" s="1751" t="s">
        <v>10316</v>
      </c>
      <c r="E4172" s="1773" cm="1">
        <f t="array" ref="E4172">resilince_num_drrm_quake_teach_per_m</f>
        <v>1</v>
      </c>
      <c r="F4172" s="46" t="b">
        <v>1</v>
      </c>
    </row>
    <row r="4173" spans="1:6">
      <c r="A4173" s="1773" t="s">
        <v>10193</v>
      </c>
      <c r="B4173" s="46" t="s">
        <v>11263</v>
      </c>
      <c r="C4173" s="1773" t="s">
        <v>10193</v>
      </c>
      <c r="D4173" s="1751" t="s">
        <v>10317</v>
      </c>
      <c r="E4173" s="1773" cm="1">
        <f t="array" ref="E4173">resilince_num_drrm_quake_teach_per_f</f>
        <v>0</v>
      </c>
      <c r="F4173" s="46" t="b">
        <v>1</v>
      </c>
    </row>
    <row r="4174" spans="1:6">
      <c r="A4174" s="1773" t="s">
        <v>10194</v>
      </c>
      <c r="B4174" s="46" t="s">
        <v>11263</v>
      </c>
      <c r="C4174" s="1773" t="s">
        <v>10194</v>
      </c>
      <c r="D4174" s="1751" t="s">
        <v>10318</v>
      </c>
      <c r="E4174" s="1773" cm="1">
        <f t="array" ref="E4174">resilince_num_drrm_quake_nonteach_per_m</f>
        <v>1</v>
      </c>
      <c r="F4174" s="46" t="b">
        <v>1</v>
      </c>
    </row>
    <row r="4175" spans="1:6">
      <c r="A4175" s="1773" t="s">
        <v>10195</v>
      </c>
      <c r="B4175" s="46" t="s">
        <v>11263</v>
      </c>
      <c r="C4175" s="1773" t="s">
        <v>10195</v>
      </c>
      <c r="D4175" s="1751" t="s">
        <v>10319</v>
      </c>
      <c r="E4175" s="1773" cm="1">
        <f t="array" ref="E4175">resilince_num_drrm_quake_nonteach_per_f</f>
        <v>0</v>
      </c>
      <c r="F4175" s="46" t="b">
        <v>1</v>
      </c>
    </row>
    <row r="4176" spans="1:6">
      <c r="A4176" s="1773" t="s">
        <v>10196</v>
      </c>
      <c r="B4176" s="46" t="s">
        <v>11263</v>
      </c>
      <c r="C4176" s="1773" t="s">
        <v>10196</v>
      </c>
      <c r="D4176" s="1751" t="s">
        <v>10320</v>
      </c>
      <c r="E4176" s="1773" cm="1">
        <f t="array" ref="E4176">resilince_num_drrm_sw_teach_per_m</f>
        <v>1</v>
      </c>
      <c r="F4176" s="46" t="b">
        <v>1</v>
      </c>
    </row>
    <row r="4177" spans="1:6">
      <c r="A4177" s="1773" t="s">
        <v>10197</v>
      </c>
      <c r="B4177" s="46" t="s">
        <v>11263</v>
      </c>
      <c r="C4177" s="1773" t="s">
        <v>10197</v>
      </c>
      <c r="D4177" s="1751" t="s">
        <v>10321</v>
      </c>
      <c r="E4177" s="1773" cm="1">
        <f t="array" ref="E4177">resilince_num_drrm_sw_teach_per_f</f>
        <v>0</v>
      </c>
      <c r="F4177" s="46" t="b">
        <v>1</v>
      </c>
    </row>
    <row r="4178" spans="1:6">
      <c r="A4178" s="1773" t="s">
        <v>10198</v>
      </c>
      <c r="B4178" s="46" t="s">
        <v>11263</v>
      </c>
      <c r="C4178" s="1773" t="s">
        <v>10198</v>
      </c>
      <c r="D4178" s="1751" t="s">
        <v>10322</v>
      </c>
      <c r="E4178" s="1773" cm="1">
        <f t="array" ref="E4178">resilince_num_drrm_sw_nonteach_per_m</f>
        <v>1</v>
      </c>
      <c r="F4178" s="46" t="b">
        <v>1</v>
      </c>
    </row>
    <row r="4179" spans="1:6">
      <c r="A4179" s="1773" t="s">
        <v>10199</v>
      </c>
      <c r="B4179" s="46" t="s">
        <v>11263</v>
      </c>
      <c r="C4179" s="1773" t="s">
        <v>10199</v>
      </c>
      <c r="D4179" s="1751" t="s">
        <v>10323</v>
      </c>
      <c r="E4179" s="1773" cm="1">
        <f t="array" ref="E4179">resilince_num_drrm_sw_nonteach_per_f</f>
        <v>0</v>
      </c>
      <c r="F4179" s="46" t="b">
        <v>1</v>
      </c>
    </row>
    <row r="4180" spans="1:6">
      <c r="A4180" s="1773" t="s">
        <v>10200</v>
      </c>
      <c r="B4180" s="46" t="s">
        <v>11263</v>
      </c>
      <c r="C4180" s="1773" t="s">
        <v>10200</v>
      </c>
      <c r="D4180" s="1751" t="s">
        <v>10324</v>
      </c>
      <c r="E4180" s="1773" cm="1">
        <f t="array" ref="E4180">resilince_num_drrm_spl_event_teach_per_m</f>
        <v>0</v>
      </c>
      <c r="F4180" s="46" t="b">
        <v>1</v>
      </c>
    </row>
    <row r="4181" spans="1:6">
      <c r="A4181" s="1773" t="s">
        <v>10201</v>
      </c>
      <c r="B4181" s="46" t="s">
        <v>11263</v>
      </c>
      <c r="C4181" s="1773" t="s">
        <v>10201</v>
      </c>
      <c r="D4181" s="1751" t="s">
        <v>10325</v>
      </c>
      <c r="E4181" s="1773" cm="1">
        <f t="array" ref="E4181">resilince_num_drrm_spl_event_teach_per_f</f>
        <v>0</v>
      </c>
      <c r="F4181" s="46" t="b">
        <v>1</v>
      </c>
    </row>
    <row r="4182" spans="1:6">
      <c r="A4182" s="1773" t="s">
        <v>10202</v>
      </c>
      <c r="B4182" s="46" t="s">
        <v>11263</v>
      </c>
      <c r="C4182" s="1773" t="s">
        <v>10202</v>
      </c>
      <c r="D4182" s="1751" t="s">
        <v>10326</v>
      </c>
      <c r="E4182" s="1773" cm="1">
        <f t="array" ref="E4182">resilince_num_drrm_spl_event_nonteach_per_m</f>
        <v>0</v>
      </c>
      <c r="F4182" s="46" t="b">
        <v>1</v>
      </c>
    </row>
    <row r="4183" spans="1:6">
      <c r="A4183" s="1773" t="s">
        <v>10203</v>
      </c>
      <c r="B4183" s="46" t="s">
        <v>11263</v>
      </c>
      <c r="C4183" s="1773" t="s">
        <v>10203</v>
      </c>
      <c r="D4183" s="1751" t="s">
        <v>10327</v>
      </c>
      <c r="E4183" s="1773" cm="1">
        <f t="array" ref="E4183">resilince_num_drrm_spl_event_nonteach_per_f</f>
        <v>0</v>
      </c>
      <c r="F4183" s="46" t="b">
        <v>1</v>
      </c>
    </row>
    <row r="4184" spans="1:6">
      <c r="A4184" s="1773" t="s">
        <v>10204</v>
      </c>
      <c r="B4184" s="46" t="s">
        <v>11263</v>
      </c>
      <c r="C4184" s="1773" t="s">
        <v>10204</v>
      </c>
      <c r="D4184" s="1751" t="s">
        <v>10328</v>
      </c>
      <c r="E4184" s="1773" cm="1">
        <f t="array" ref="E4184">resilince_num_drrm_drrm_camp_teach_per_m</f>
        <v>0</v>
      </c>
      <c r="F4184" s="46" t="b">
        <v>1</v>
      </c>
    </row>
    <row r="4185" spans="1:6">
      <c r="A4185" s="1773" t="s">
        <v>10205</v>
      </c>
      <c r="B4185" s="46" t="s">
        <v>11263</v>
      </c>
      <c r="C4185" s="1773" t="s">
        <v>10205</v>
      </c>
      <c r="D4185" s="1751" t="s">
        <v>10329</v>
      </c>
      <c r="E4185" s="1773" cm="1">
        <f t="array" ref="E4185">resilince_num_drrm_drrm_camp_teach_per_f</f>
        <v>0</v>
      </c>
      <c r="F4185" s="46" t="b">
        <v>1</v>
      </c>
    </row>
    <row r="4186" spans="1:6">
      <c r="A4186" s="1773" t="s">
        <v>10206</v>
      </c>
      <c r="B4186" s="46" t="s">
        <v>11263</v>
      </c>
      <c r="C4186" s="1773" t="s">
        <v>10206</v>
      </c>
      <c r="D4186" s="1751" t="s">
        <v>10330</v>
      </c>
      <c r="E4186" s="1773" cm="1">
        <f t="array" ref="E4186">resilince_num_drrm_drrm_camp_nonteach_per_m</f>
        <v>0</v>
      </c>
      <c r="F4186" s="46" t="b">
        <v>1</v>
      </c>
    </row>
    <row r="4187" spans="1:6">
      <c r="A4187" s="1773" t="s">
        <v>10207</v>
      </c>
      <c r="B4187" s="46" t="s">
        <v>11263</v>
      </c>
      <c r="C4187" s="1773" t="s">
        <v>10207</v>
      </c>
      <c r="D4187" s="1751" t="s">
        <v>10331</v>
      </c>
      <c r="E4187" s="1773" cm="1">
        <f t="array" ref="E4187">resilince_num_drrm_drrm_camp_nonteach_per_f</f>
        <v>0</v>
      </c>
      <c r="F4187" s="46" t="b">
        <v>1</v>
      </c>
    </row>
    <row r="4188" spans="1:6">
      <c r="A4188" s="1773" t="s">
        <v>10208</v>
      </c>
      <c r="B4188" s="46" t="s">
        <v>11263</v>
      </c>
      <c r="C4188" s="1773" t="s">
        <v>10208</v>
      </c>
      <c r="D4188" s="1751" t="s">
        <v>10332</v>
      </c>
      <c r="E4188" s="1773" cm="1">
        <f t="array" ref="E4188">resilince_num_drrm_youth_council_teach_per_m</f>
        <v>0</v>
      </c>
      <c r="F4188" s="46" t="b">
        <v>1</v>
      </c>
    </row>
    <row r="4189" spans="1:6">
      <c r="A4189" s="1773" t="s">
        <v>10209</v>
      </c>
      <c r="B4189" s="46" t="s">
        <v>11263</v>
      </c>
      <c r="C4189" s="1773" t="s">
        <v>10209</v>
      </c>
      <c r="D4189" s="1751" t="s">
        <v>10333</v>
      </c>
      <c r="E4189" s="1773" cm="1">
        <f t="array" ref="E4189">resilince_num_drrm_youth_council_teach_per_f</f>
        <v>0</v>
      </c>
      <c r="F4189" s="46" t="b">
        <v>1</v>
      </c>
    </row>
    <row r="4190" spans="1:6">
      <c r="A4190" s="1773" t="s">
        <v>10210</v>
      </c>
      <c r="B4190" s="46" t="s">
        <v>11263</v>
      </c>
      <c r="C4190" s="1773" t="s">
        <v>10210</v>
      </c>
      <c r="D4190" s="1751" t="s">
        <v>10334</v>
      </c>
      <c r="E4190" s="1773" cm="1">
        <f t="array" ref="E4190">resilince_num_drrm_youth_council_nonteach_per_m</f>
        <v>0</v>
      </c>
      <c r="F4190" s="46" t="b">
        <v>1</v>
      </c>
    </row>
    <row r="4191" spans="1:6">
      <c r="A4191" s="1773" t="s">
        <v>10211</v>
      </c>
      <c r="B4191" s="46" t="s">
        <v>11263</v>
      </c>
      <c r="C4191" s="1773" t="s">
        <v>10211</v>
      </c>
      <c r="D4191" s="1751" t="s">
        <v>10335</v>
      </c>
      <c r="E4191" s="1773" cm="1">
        <f t="array" ref="E4191">resilince_num_drrm_youth_council_nonteach_per_f</f>
        <v>0</v>
      </c>
      <c r="F4191" s="46" t="b">
        <v>1</v>
      </c>
    </row>
    <row r="4192" spans="1:6">
      <c r="A4192" s="1773" t="s">
        <v>10212</v>
      </c>
      <c r="B4192" s="46" t="s">
        <v>11263</v>
      </c>
      <c r="C4192" s="1773" t="s">
        <v>10212</v>
      </c>
      <c r="D4192" s="1751" t="s">
        <v>10336</v>
      </c>
      <c r="E4192" s="1773" cm="1">
        <f t="array" ref="E4192">resilince_num_drrm_youth_act_teach_per_m</f>
        <v>0</v>
      </c>
      <c r="F4192" s="46" t="b">
        <v>1</v>
      </c>
    </row>
    <row r="4193" spans="1:6">
      <c r="A4193" s="1773" t="s">
        <v>10213</v>
      </c>
      <c r="B4193" s="46" t="s">
        <v>11263</v>
      </c>
      <c r="C4193" s="1773" t="s">
        <v>10213</v>
      </c>
      <c r="D4193" s="1751" t="s">
        <v>10337</v>
      </c>
      <c r="E4193" s="1773" cm="1">
        <f t="array" ref="E4193">resilince_num_drrm_youth_act_teach_per_f</f>
        <v>0</v>
      </c>
      <c r="F4193" s="46" t="b">
        <v>1</v>
      </c>
    </row>
    <row r="4194" spans="1:6">
      <c r="A4194" s="1773" t="s">
        <v>10214</v>
      </c>
      <c r="B4194" s="46" t="s">
        <v>11263</v>
      </c>
      <c r="C4194" s="1773" t="s">
        <v>10214</v>
      </c>
      <c r="D4194" s="1751" t="s">
        <v>10338</v>
      </c>
      <c r="E4194" s="1773" cm="1">
        <f t="array" ref="E4194">resilince_num_drrm_youth_act_nonteach_per_m</f>
        <v>0</v>
      </c>
      <c r="F4194" s="46" t="b">
        <v>1</v>
      </c>
    </row>
    <row r="4195" spans="1:6">
      <c r="A4195" s="1773" t="s">
        <v>10215</v>
      </c>
      <c r="B4195" s="46" t="s">
        <v>11263</v>
      </c>
      <c r="C4195" s="1773" t="s">
        <v>10215</v>
      </c>
      <c r="D4195" s="1751" t="s">
        <v>10339</v>
      </c>
      <c r="E4195" s="1773" cm="1">
        <f t="array" ref="E4195">resilince_num_drrm_youth_act_nonteach_per_f</f>
        <v>0</v>
      </c>
      <c r="F4195" s="46" t="b">
        <v>1</v>
      </c>
    </row>
    <row r="4196" spans="1:6">
      <c r="A4196" s="1773" t="s">
        <v>10216</v>
      </c>
      <c r="B4196" s="46" t="s">
        <v>11263</v>
      </c>
      <c r="C4196" s="1773" t="s">
        <v>10216</v>
      </c>
      <c r="D4196" s="1751" t="s">
        <v>10340</v>
      </c>
      <c r="E4196" s="1773" cm="1">
        <f t="array" ref="E4196">resilince_num_drrm_camp_journal_teach_per_m</f>
        <v>0</v>
      </c>
      <c r="F4196" s="46" t="b">
        <v>1</v>
      </c>
    </row>
    <row r="4197" spans="1:6">
      <c r="A4197" s="1773" t="s">
        <v>10217</v>
      </c>
      <c r="B4197" s="46" t="s">
        <v>11263</v>
      </c>
      <c r="C4197" s="1773" t="s">
        <v>10217</v>
      </c>
      <c r="D4197" s="1751" t="s">
        <v>10341</v>
      </c>
      <c r="E4197" s="1773" cm="1">
        <f t="array" ref="E4197">resilince_num_drrm_camp_journal_teach_per_f</f>
        <v>0</v>
      </c>
      <c r="F4197" s="46" t="b">
        <v>1</v>
      </c>
    </row>
    <row r="4198" spans="1:6">
      <c r="A4198" s="1773" t="s">
        <v>10218</v>
      </c>
      <c r="B4198" s="46" t="s">
        <v>11263</v>
      </c>
      <c r="C4198" s="1773" t="s">
        <v>10218</v>
      </c>
      <c r="D4198" s="1751" t="s">
        <v>10342</v>
      </c>
      <c r="E4198" s="1773" cm="1">
        <f t="array" ref="E4198">resilince_num_drrm_camp_journal_nonteach_per_m</f>
        <v>0</v>
      </c>
      <c r="F4198" s="46" t="b">
        <v>1</v>
      </c>
    </row>
    <row r="4199" spans="1:6">
      <c r="A4199" s="1773" t="s">
        <v>10219</v>
      </c>
      <c r="B4199" s="46" t="s">
        <v>11263</v>
      </c>
      <c r="C4199" s="1773" t="s">
        <v>10219</v>
      </c>
      <c r="D4199" s="1751" t="s">
        <v>10343</v>
      </c>
      <c r="E4199" s="1773" cm="1">
        <f t="array" ref="E4199">resilince_num_drrm_camp_journal_nonteach_per_f</f>
        <v>0</v>
      </c>
      <c r="F4199" s="46" t="b">
        <v>1</v>
      </c>
    </row>
    <row r="4200" spans="1:6">
      <c r="A4200" s="1773" t="s">
        <v>10220</v>
      </c>
      <c r="B4200" s="46" t="s">
        <v>11263</v>
      </c>
      <c r="C4200" s="1773" t="s">
        <v>10220</v>
      </c>
      <c r="D4200" s="1751" t="s">
        <v>10344</v>
      </c>
      <c r="E4200" s="1773" cm="1">
        <f t="array" ref="E4200">resilince_num_drrm_others_teach_per_m</f>
        <v>0</v>
      </c>
      <c r="F4200" s="46" t="b">
        <v>1</v>
      </c>
    </row>
    <row r="4201" spans="1:6">
      <c r="A4201" s="1773" t="s">
        <v>10221</v>
      </c>
      <c r="B4201" s="46" t="s">
        <v>11263</v>
      </c>
      <c r="C4201" s="1773" t="s">
        <v>10221</v>
      </c>
      <c r="D4201" s="1751" t="s">
        <v>10345</v>
      </c>
      <c r="E4201" s="1773" cm="1">
        <f t="array" ref="E4201">resilince_num_drrm_others_teach_per_f</f>
        <v>0</v>
      </c>
      <c r="F4201" s="46" t="b">
        <v>1</v>
      </c>
    </row>
    <row r="4202" spans="1:6">
      <c r="A4202" s="1773" t="s">
        <v>10222</v>
      </c>
      <c r="B4202" s="46" t="s">
        <v>11263</v>
      </c>
      <c r="C4202" s="1773" t="s">
        <v>10222</v>
      </c>
      <c r="D4202" s="1751" t="s">
        <v>10346</v>
      </c>
      <c r="E4202" s="1773" cm="1">
        <f t="array" ref="E4202">resilince_num_drrm_others_nonteach_per_m</f>
        <v>0</v>
      </c>
      <c r="F4202" s="46" t="b">
        <v>1</v>
      </c>
    </row>
    <row r="4203" spans="1:6">
      <c r="A4203" s="1773" t="s">
        <v>10223</v>
      </c>
      <c r="B4203" s="46" t="s">
        <v>11263</v>
      </c>
      <c r="C4203" s="1773" t="s">
        <v>10223</v>
      </c>
      <c r="D4203" s="1751" t="s">
        <v>10347</v>
      </c>
      <c r="E4203" s="1773" cm="1">
        <f t="array" ref="E4203">resilince_num_drrm_others_nonteach_per_f</f>
        <v>0</v>
      </c>
      <c r="F4203" s="46" t="b">
        <v>1</v>
      </c>
    </row>
    <row r="4204" spans="1:6">
      <c r="A4204" s="1773" t="s">
        <v>10224</v>
      </c>
      <c r="B4204" s="46" t="s">
        <v>11263</v>
      </c>
      <c r="C4204" s="1773" t="s">
        <v>10224</v>
      </c>
      <c r="D4204" s="1751" t="s">
        <v>10348</v>
      </c>
      <c r="E4204" s="1773" cm="1">
        <f t="array" ref="E4204">resilince_num_drrm_others_specify</f>
        <v>0</v>
      </c>
      <c r="F4204" s="46" t="b">
        <v>1</v>
      </c>
    </row>
    <row r="4205" spans="1:6">
      <c r="A4205" s="1773" t="s">
        <v>10226</v>
      </c>
      <c r="B4205" s="46" t="s">
        <v>11263</v>
      </c>
      <c r="C4205" s="1773" t="s">
        <v>10226</v>
      </c>
      <c r="D4205" s="1751" t="s">
        <v>10349</v>
      </c>
      <c r="E4205" s="1773" cm="1">
        <f t="array" ref="E4205">resilince_num_ccam_arts_teach_per_m</f>
        <v>0</v>
      </c>
      <c r="F4205" s="46" t="b">
        <v>1</v>
      </c>
    </row>
    <row r="4206" spans="1:6">
      <c r="A4206" s="1773" t="s">
        <v>10227</v>
      </c>
      <c r="B4206" s="46" t="s">
        <v>11263</v>
      </c>
      <c r="C4206" s="1773" t="s">
        <v>10227</v>
      </c>
      <c r="D4206" s="1751" t="s">
        <v>10350</v>
      </c>
      <c r="E4206" s="1773" cm="1">
        <f t="array" ref="E4206">resilince_num_ccam_arts_teach_per_f</f>
        <v>0</v>
      </c>
      <c r="F4206" s="46" t="b">
        <v>1</v>
      </c>
    </row>
    <row r="4207" spans="1:6">
      <c r="A4207" s="1773" t="s">
        <v>10228</v>
      </c>
      <c r="B4207" s="46" t="s">
        <v>11263</v>
      </c>
      <c r="C4207" s="1773" t="s">
        <v>10228</v>
      </c>
      <c r="D4207" s="1751" t="s">
        <v>10351</v>
      </c>
      <c r="E4207" s="1773" cm="1">
        <f t="array" ref="E4207">resilince_num_ccam_arts_nonteach_per_m</f>
        <v>0</v>
      </c>
      <c r="F4207" s="46" t="b">
        <v>1</v>
      </c>
    </row>
    <row r="4208" spans="1:6">
      <c r="A4208" s="1773" t="s">
        <v>10229</v>
      </c>
      <c r="B4208" s="46" t="s">
        <v>11263</v>
      </c>
      <c r="C4208" s="1773" t="s">
        <v>10229</v>
      </c>
      <c r="D4208" s="1751" t="s">
        <v>10352</v>
      </c>
      <c r="E4208" s="1773" cm="1">
        <f t="array" ref="E4208">resilince_num_ccam_arts_nonteach_per_f</f>
        <v>0</v>
      </c>
      <c r="F4208" s="46" t="b">
        <v>1</v>
      </c>
    </row>
    <row r="4209" spans="1:6">
      <c r="A4209" s="1773" t="s">
        <v>10230</v>
      </c>
      <c r="B4209" s="46" t="s">
        <v>11263</v>
      </c>
      <c r="C4209" s="1773" t="s">
        <v>10230</v>
      </c>
      <c r="D4209" s="1751" t="s">
        <v>10353</v>
      </c>
      <c r="E4209" s="1773" cm="1">
        <f t="array" ref="E4209">resilince_num_ccam_climate_action_teach_per_m</f>
        <v>0</v>
      </c>
      <c r="F4209" s="46" t="b">
        <v>1</v>
      </c>
    </row>
    <row r="4210" spans="1:6">
      <c r="A4210" s="1773" t="s">
        <v>10233</v>
      </c>
      <c r="B4210" s="46" t="s">
        <v>11263</v>
      </c>
      <c r="C4210" s="1773" t="s">
        <v>10233</v>
      </c>
      <c r="D4210" s="1751" t="s">
        <v>10354</v>
      </c>
      <c r="E4210" s="1773" cm="1">
        <f t="array" ref="E4210">resilince_num_ccam_climate_action_teach_per_f</f>
        <v>0</v>
      </c>
      <c r="F4210" s="46" t="b">
        <v>1</v>
      </c>
    </row>
    <row r="4211" spans="1:6">
      <c r="A4211" s="1773" t="s">
        <v>10231</v>
      </c>
      <c r="B4211" s="46" t="s">
        <v>11263</v>
      </c>
      <c r="C4211" s="1773" t="s">
        <v>10231</v>
      </c>
      <c r="D4211" s="1751" t="s">
        <v>10355</v>
      </c>
      <c r="E4211" s="1773" cm="1">
        <f t="array" ref="E4211">resilince_num_ccam_climate_action_nonteach_per_m</f>
        <v>0</v>
      </c>
      <c r="F4211" s="46" t="b">
        <v>1</v>
      </c>
    </row>
    <row r="4212" spans="1:6">
      <c r="A4212" s="1773" t="s">
        <v>10232</v>
      </c>
      <c r="B4212" s="46" t="s">
        <v>11263</v>
      </c>
      <c r="C4212" s="1773" t="s">
        <v>10232</v>
      </c>
      <c r="D4212" s="1751" t="s">
        <v>10356</v>
      </c>
      <c r="E4212" s="1773" cm="1">
        <f t="array" ref="E4212">resilince_num_ccam_climate_action_nonteach_per_f</f>
        <v>0</v>
      </c>
      <c r="F4212" s="46" t="b">
        <v>1</v>
      </c>
    </row>
    <row r="4213" spans="1:6">
      <c r="A4213" s="1773" t="s">
        <v>10234</v>
      </c>
      <c r="B4213" s="46" t="s">
        <v>11263</v>
      </c>
      <c r="C4213" s="1773" t="s">
        <v>10234</v>
      </c>
      <c r="D4213" s="1751" t="s">
        <v>10357</v>
      </c>
      <c r="E4213" s="1773" cm="1">
        <f t="array" ref="E4213">resilince_num_ccam_climate_change_teach_per_m</f>
        <v>0</v>
      </c>
      <c r="F4213" s="46" t="b">
        <v>1</v>
      </c>
    </row>
    <row r="4214" spans="1:6">
      <c r="A4214" s="1773" t="s">
        <v>10235</v>
      </c>
      <c r="B4214" s="46" t="s">
        <v>11263</v>
      </c>
      <c r="C4214" s="1773" t="s">
        <v>10235</v>
      </c>
      <c r="D4214" s="1751" t="s">
        <v>10358</v>
      </c>
      <c r="E4214" s="1773" cm="1">
        <f t="array" ref="E4214">resilince_num_ccam_climate_change_teach_per_f</f>
        <v>0</v>
      </c>
      <c r="F4214" s="46" t="b">
        <v>1</v>
      </c>
    </row>
    <row r="4215" spans="1:6">
      <c r="A4215" s="1773" t="s">
        <v>10236</v>
      </c>
      <c r="B4215" s="46" t="s">
        <v>11263</v>
      </c>
      <c r="C4215" s="1773" t="s">
        <v>10236</v>
      </c>
      <c r="D4215" s="1751" t="s">
        <v>10359</v>
      </c>
      <c r="E4215" s="1773" cm="1">
        <f t="array" ref="E4215">resilince_num_ccam_climate_change_nonteach_per_m</f>
        <v>0</v>
      </c>
      <c r="F4215" s="46" t="b">
        <v>1</v>
      </c>
    </row>
    <row r="4216" spans="1:6">
      <c r="A4216" s="1773" t="s">
        <v>10237</v>
      </c>
      <c r="B4216" s="46" t="s">
        <v>11263</v>
      </c>
      <c r="C4216" s="1773" t="s">
        <v>10237</v>
      </c>
      <c r="D4216" s="1751" t="s">
        <v>10360</v>
      </c>
      <c r="E4216" s="1773" cm="1">
        <f t="array" ref="E4216">resilince_num_ccam_climate_change_nonteach_per_f</f>
        <v>0</v>
      </c>
      <c r="F4216" s="46" t="b">
        <v>1</v>
      </c>
    </row>
    <row r="4217" spans="1:6">
      <c r="A4217" s="1773" t="s">
        <v>10238</v>
      </c>
      <c r="B4217" s="46" t="s">
        <v>11263</v>
      </c>
      <c r="C4217" s="1773" t="s">
        <v>10238</v>
      </c>
      <c r="D4217" s="1751" t="s">
        <v>10361</v>
      </c>
      <c r="E4217" s="1773" cm="1">
        <f t="array" ref="E4217">resilince_num_ccam_climate_maker_teach_per_m</f>
        <v>0</v>
      </c>
      <c r="F4217" s="46" t="b">
        <v>1</v>
      </c>
    </row>
    <row r="4218" spans="1:6">
      <c r="A4218" s="1773" t="s">
        <v>10239</v>
      </c>
      <c r="B4218" s="46" t="s">
        <v>11263</v>
      </c>
      <c r="C4218" s="1773" t="s">
        <v>10239</v>
      </c>
      <c r="D4218" s="1751" t="s">
        <v>10362</v>
      </c>
      <c r="E4218" s="1773" cm="1">
        <f t="array" ref="E4218">resilince_num_ccam_climate_maker_teach_per_f</f>
        <v>0</v>
      </c>
      <c r="F4218" s="46" t="b">
        <v>1</v>
      </c>
    </row>
    <row r="4219" spans="1:6">
      <c r="A4219" s="1773" t="s">
        <v>10240</v>
      </c>
      <c r="B4219" s="46" t="s">
        <v>11263</v>
      </c>
      <c r="C4219" s="1773" t="s">
        <v>10240</v>
      </c>
      <c r="D4219" s="1751" t="s">
        <v>10363</v>
      </c>
      <c r="E4219" s="1773" cm="1">
        <f t="array" ref="E4219">resilince_num_ccam_climate_maker_nonteach_per_m</f>
        <v>0</v>
      </c>
      <c r="F4219" s="46" t="b">
        <v>1</v>
      </c>
    </row>
    <row r="4220" spans="1:6">
      <c r="A4220" s="1773" t="s">
        <v>10241</v>
      </c>
      <c r="B4220" s="46" t="s">
        <v>11263</v>
      </c>
      <c r="C4220" s="1773" t="s">
        <v>10241</v>
      </c>
      <c r="D4220" s="1751" t="s">
        <v>10364</v>
      </c>
      <c r="E4220" s="1773" cm="1">
        <f t="array" ref="E4220">resilince_num_ccam_climate_maker_nonteach_per_f</f>
        <v>0</v>
      </c>
      <c r="F4220" s="46" t="b">
        <v>1</v>
      </c>
    </row>
    <row r="4221" spans="1:6">
      <c r="A4221" s="1773" t="s">
        <v>10242</v>
      </c>
      <c r="B4221" s="46" t="s">
        <v>11263</v>
      </c>
      <c r="C4221" s="1773" t="s">
        <v>10242</v>
      </c>
      <c r="D4221" s="1751" t="s">
        <v>10365</v>
      </c>
      <c r="E4221" s="1773" cm="1">
        <f t="array" ref="E4221">resilince_num_ccam_enviro_journal_teach_per_m</f>
        <v>0</v>
      </c>
      <c r="F4221" s="46" t="b">
        <v>1</v>
      </c>
    </row>
    <row r="4222" spans="1:6">
      <c r="A4222" s="1773" t="s">
        <v>10243</v>
      </c>
      <c r="B4222" s="46" t="s">
        <v>11263</v>
      </c>
      <c r="C4222" s="1773" t="s">
        <v>10243</v>
      </c>
      <c r="D4222" s="1751" t="s">
        <v>10366</v>
      </c>
      <c r="E4222" s="1773" cm="1">
        <f t="array" ref="E4222">resilince_num_ccam_enviro_journal_teach_per_f</f>
        <v>0</v>
      </c>
      <c r="F4222" s="46" t="b">
        <v>1</v>
      </c>
    </row>
    <row r="4223" spans="1:6">
      <c r="A4223" s="1773" t="s">
        <v>10244</v>
      </c>
      <c r="B4223" s="46" t="s">
        <v>11263</v>
      </c>
      <c r="C4223" s="1773" t="s">
        <v>10244</v>
      </c>
      <c r="D4223" s="1751" t="s">
        <v>10367</v>
      </c>
      <c r="E4223" s="1773" cm="1">
        <f t="array" ref="E4223">resilince_num_ccam_enviro_journal_nonteach_per_m</f>
        <v>0</v>
      </c>
      <c r="F4223" s="46" t="b">
        <v>1</v>
      </c>
    </row>
    <row r="4224" spans="1:6">
      <c r="A4224" s="1773" t="s">
        <v>10245</v>
      </c>
      <c r="B4224" s="46" t="s">
        <v>11263</v>
      </c>
      <c r="C4224" s="1773" t="s">
        <v>10245</v>
      </c>
      <c r="D4224" s="1751" t="s">
        <v>10368</v>
      </c>
      <c r="E4224" s="1773" cm="1">
        <f t="array" ref="E4224">resilince_num_ccam_enviro_journal_nonteach_per_f</f>
        <v>0</v>
      </c>
      <c r="F4224" s="46" t="b">
        <v>1</v>
      </c>
    </row>
    <row r="4225" spans="1:6">
      <c r="A4225" s="1773" t="s">
        <v>10246</v>
      </c>
      <c r="B4225" s="46" t="s">
        <v>11263</v>
      </c>
      <c r="C4225" s="1773" t="s">
        <v>10246</v>
      </c>
      <c r="D4225" s="1751" t="s">
        <v>10369</v>
      </c>
      <c r="E4225" s="1773" cm="1">
        <f t="array" ref="E4225">resilince_num_ccam_gulayan_teach_per_m</f>
        <v>2</v>
      </c>
      <c r="F4225" s="46" t="b">
        <v>1</v>
      </c>
    </row>
    <row r="4226" spans="1:6">
      <c r="A4226" s="1773" t="s">
        <v>10247</v>
      </c>
      <c r="B4226" s="46" t="s">
        <v>11263</v>
      </c>
      <c r="C4226" s="1773" t="s">
        <v>10247</v>
      </c>
      <c r="D4226" s="1751" t="s">
        <v>10370</v>
      </c>
      <c r="E4226" s="1773" cm="1">
        <f t="array" ref="E4226">resilince_num_ccam_gulayan_teach_per_f</f>
        <v>2</v>
      </c>
      <c r="F4226" s="46" t="b">
        <v>1</v>
      </c>
    </row>
    <row r="4227" spans="1:6">
      <c r="A4227" s="1773" t="s">
        <v>10248</v>
      </c>
      <c r="B4227" s="46" t="s">
        <v>11263</v>
      </c>
      <c r="C4227" s="1773" t="s">
        <v>10248</v>
      </c>
      <c r="D4227" s="1751" t="s">
        <v>10371</v>
      </c>
      <c r="E4227" s="1773" cm="1">
        <f t="array" ref="E4227">resilince_num_ccam_gulayan_nonteach_per_m</f>
        <v>0</v>
      </c>
      <c r="F4227" s="46" t="b">
        <v>1</v>
      </c>
    </row>
    <row r="4228" spans="1:6">
      <c r="A4228" s="1773" t="s">
        <v>10249</v>
      </c>
      <c r="B4228" s="46" t="s">
        <v>11263</v>
      </c>
      <c r="C4228" s="1773" t="s">
        <v>10249</v>
      </c>
      <c r="D4228" s="1751" t="s">
        <v>10372</v>
      </c>
      <c r="E4228" s="1773" cm="1">
        <f t="array" ref="E4228">resilince_num_ccam_gulayan_nonteach_per_f</f>
        <v>0</v>
      </c>
      <c r="F4228" s="46" t="b">
        <v>1</v>
      </c>
    </row>
    <row r="4229" spans="1:6">
      <c r="A4229" s="1773" t="s">
        <v>10250</v>
      </c>
      <c r="B4229" s="46" t="s">
        <v>11263</v>
      </c>
      <c r="C4229" s="1773" t="s">
        <v>10250</v>
      </c>
      <c r="D4229" s="1751" t="s">
        <v>10373</v>
      </c>
      <c r="E4229" s="1773" cm="1">
        <f t="array" ref="E4229">resilince_num_ccam_mat_recover_teach_per_m</f>
        <v>0</v>
      </c>
      <c r="F4229" s="46" t="b">
        <v>1</v>
      </c>
    </row>
    <row r="4230" spans="1:6">
      <c r="A4230" s="1773" t="s">
        <v>10251</v>
      </c>
      <c r="B4230" s="46" t="s">
        <v>11263</v>
      </c>
      <c r="C4230" s="1773" t="s">
        <v>10251</v>
      </c>
      <c r="D4230" s="1751" t="s">
        <v>10374</v>
      </c>
      <c r="E4230" s="1773" cm="1">
        <f t="array" ref="E4230">resilince_num_ccam_mat_recover_teach_per_f</f>
        <v>0</v>
      </c>
      <c r="F4230" s="46" t="b">
        <v>1</v>
      </c>
    </row>
    <row r="4231" spans="1:6">
      <c r="A4231" s="1773" t="s">
        <v>10252</v>
      </c>
      <c r="B4231" s="46" t="s">
        <v>11263</v>
      </c>
      <c r="C4231" s="1773" t="s">
        <v>10252</v>
      </c>
      <c r="D4231" s="1751" t="s">
        <v>10375</v>
      </c>
      <c r="E4231" s="1773" cm="1">
        <f t="array" ref="E4231">resilince_num_ccam_mat_recover_nonteach_per_m</f>
        <v>0</v>
      </c>
      <c r="F4231" s="46" t="b">
        <v>1</v>
      </c>
    </row>
    <row r="4232" spans="1:6">
      <c r="A4232" s="1773" t="s">
        <v>10253</v>
      </c>
      <c r="B4232" s="46" t="s">
        <v>11263</v>
      </c>
      <c r="C4232" s="1773" t="s">
        <v>10253</v>
      </c>
      <c r="D4232" s="1751" t="s">
        <v>10376</v>
      </c>
      <c r="E4232" s="1773" cm="1">
        <f t="array" ref="E4232">resilince_num_ccam_mat_recover_nonteach_per_f</f>
        <v>0</v>
      </c>
      <c r="F4232" s="46" t="b">
        <v>1</v>
      </c>
    </row>
    <row r="4233" spans="1:6">
      <c r="A4233" s="1773" t="s">
        <v>10254</v>
      </c>
      <c r="B4233" s="46" t="s">
        <v>11263</v>
      </c>
      <c r="C4233" s="1773" t="s">
        <v>10254</v>
      </c>
      <c r="D4233" s="1751" t="s">
        <v>10377</v>
      </c>
      <c r="E4233" s="1773" cm="1">
        <f t="array" ref="E4233">resilince_num_ccam_kalikhasan_teach_per_m</f>
        <v>0</v>
      </c>
      <c r="F4233" s="46" t="b">
        <v>1</v>
      </c>
    </row>
    <row r="4234" spans="1:6">
      <c r="A4234" s="1773" t="s">
        <v>10255</v>
      </c>
      <c r="B4234" s="46" t="s">
        <v>11263</v>
      </c>
      <c r="C4234" s="1773" t="s">
        <v>10255</v>
      </c>
      <c r="D4234" s="1751" t="s">
        <v>10378</v>
      </c>
      <c r="E4234" s="1773" cm="1">
        <f t="array" ref="E4234">resilince_num_ccam_kalikhasan_teach_per_f</f>
        <v>0</v>
      </c>
      <c r="F4234" s="46" t="b">
        <v>1</v>
      </c>
    </row>
    <row r="4235" spans="1:6">
      <c r="A4235" s="1773" t="s">
        <v>10256</v>
      </c>
      <c r="B4235" s="46" t="s">
        <v>11263</v>
      </c>
      <c r="C4235" s="1773" t="s">
        <v>10256</v>
      </c>
      <c r="D4235" s="1751" t="s">
        <v>10379</v>
      </c>
      <c r="E4235" s="1773" cm="1">
        <f t="array" ref="E4235">resilince_num_ccam_kalikhasan_nonteach_per_m</f>
        <v>0</v>
      </c>
      <c r="F4235" s="46" t="b">
        <v>1</v>
      </c>
    </row>
    <row r="4236" spans="1:6">
      <c r="A4236" s="1773" t="s">
        <v>10257</v>
      </c>
      <c r="B4236" s="46" t="s">
        <v>11263</v>
      </c>
      <c r="C4236" s="1773" t="s">
        <v>10257</v>
      </c>
      <c r="D4236" s="1751" t="s">
        <v>10380</v>
      </c>
      <c r="E4236" s="1773" cm="1">
        <f t="array" ref="E4236">resilince_num_ccam_kalikhasan_nonteach_per_f</f>
        <v>0</v>
      </c>
      <c r="F4236" s="46" t="b">
        <v>1</v>
      </c>
    </row>
    <row r="4237" spans="1:6">
      <c r="A4237" s="1773" t="s">
        <v>10258</v>
      </c>
      <c r="B4237" s="46" t="s">
        <v>11263</v>
      </c>
      <c r="C4237" s="1773" t="s">
        <v>10258</v>
      </c>
      <c r="D4237" s="1751" t="s">
        <v>10381</v>
      </c>
      <c r="E4237" s="1773" cm="1">
        <f t="array" ref="E4237">resilince_num_ccam_solidwaste_teach_per_m</f>
        <v>0</v>
      </c>
      <c r="F4237" s="46" t="b">
        <v>1</v>
      </c>
    </row>
    <row r="4238" spans="1:6">
      <c r="A4238" s="1773" t="s">
        <v>10259</v>
      </c>
      <c r="B4238" s="46" t="s">
        <v>11263</v>
      </c>
      <c r="C4238" s="1773" t="s">
        <v>10259</v>
      </c>
      <c r="D4238" s="1751" t="s">
        <v>10382</v>
      </c>
      <c r="E4238" s="1773" cm="1">
        <f t="array" ref="E4238">resilince_num_ccam_solidwaste_teach_per_f</f>
        <v>0</v>
      </c>
      <c r="F4238" s="46" t="b">
        <v>1</v>
      </c>
    </row>
    <row r="4239" spans="1:6">
      <c r="A4239" s="1773" t="s">
        <v>10260</v>
      </c>
      <c r="B4239" s="46" t="s">
        <v>11263</v>
      </c>
      <c r="C4239" s="1773" t="s">
        <v>10260</v>
      </c>
      <c r="D4239" s="1751" t="s">
        <v>10383</v>
      </c>
      <c r="E4239" s="1773" cm="1">
        <f t="array" ref="E4239">resilince_num_ccam_solidwaste_nonteach_per_m</f>
        <v>0</v>
      </c>
      <c r="F4239" s="46" t="b">
        <v>1</v>
      </c>
    </row>
    <row r="4240" spans="1:6">
      <c r="A4240" s="1773" t="s">
        <v>10261</v>
      </c>
      <c r="B4240" s="46" t="s">
        <v>11263</v>
      </c>
      <c r="C4240" s="1773" t="s">
        <v>10261</v>
      </c>
      <c r="D4240" s="1751" t="s">
        <v>10384</v>
      </c>
      <c r="E4240" s="1773" cm="1">
        <f t="array" ref="E4240">resilince_num_ccam_solidwaste_nonteach_per_f</f>
        <v>0</v>
      </c>
      <c r="F4240" s="46" t="b">
        <v>1</v>
      </c>
    </row>
    <row r="4241" spans="1:6">
      <c r="A4241" s="1773" t="s">
        <v>10262</v>
      </c>
      <c r="B4241" s="46" t="s">
        <v>11263</v>
      </c>
      <c r="C4241" s="1773" t="s">
        <v>10262</v>
      </c>
      <c r="D4241" s="1751" t="s">
        <v>10385</v>
      </c>
      <c r="E4241" s="1773" cm="1">
        <f t="array" ref="E4241">resilince_num_ccam_recycling_teach_per_m</f>
        <v>0</v>
      </c>
      <c r="F4241" s="46" t="b">
        <v>1</v>
      </c>
    </row>
    <row r="4242" spans="1:6">
      <c r="A4242" s="1773" t="s">
        <v>10263</v>
      </c>
      <c r="B4242" s="46" t="s">
        <v>11263</v>
      </c>
      <c r="C4242" s="1773" t="s">
        <v>10263</v>
      </c>
      <c r="D4242" s="1751" t="s">
        <v>10386</v>
      </c>
      <c r="E4242" s="1773" cm="1">
        <f t="array" ref="E4242">resilince_num_ccam_recycling_teach_per_f</f>
        <v>0</v>
      </c>
      <c r="F4242" s="46" t="b">
        <v>1</v>
      </c>
    </row>
    <row r="4243" spans="1:6">
      <c r="A4243" s="1773" t="s">
        <v>10264</v>
      </c>
      <c r="B4243" s="46" t="s">
        <v>11263</v>
      </c>
      <c r="C4243" s="1773" t="s">
        <v>10264</v>
      </c>
      <c r="D4243" s="1751" t="s">
        <v>10387</v>
      </c>
      <c r="E4243" s="1773" cm="1">
        <f t="array" ref="E4243">resilince_num_ccam_recycling_nonteach_per_m</f>
        <v>0</v>
      </c>
      <c r="F4243" s="46" t="b">
        <v>1</v>
      </c>
    </row>
    <row r="4244" spans="1:6">
      <c r="A4244" s="1773" t="s">
        <v>10265</v>
      </c>
      <c r="B4244" s="46" t="s">
        <v>11263</v>
      </c>
      <c r="C4244" s="1773" t="s">
        <v>10265</v>
      </c>
      <c r="D4244" s="1751" t="s">
        <v>10388</v>
      </c>
      <c r="E4244" s="1773" cm="1">
        <f t="array" ref="E4244">resilince_num_ccam_recycling_nonteach_per_f</f>
        <v>0</v>
      </c>
      <c r="F4244" s="46" t="b">
        <v>1</v>
      </c>
    </row>
    <row r="4245" spans="1:6">
      <c r="A4245" s="1773" t="s">
        <v>10266</v>
      </c>
      <c r="B4245" s="46" t="s">
        <v>11263</v>
      </c>
      <c r="C4245" s="1773" t="s">
        <v>10266</v>
      </c>
      <c r="D4245" s="1751" t="s">
        <v>10389</v>
      </c>
      <c r="E4245" s="1773" cm="1">
        <f t="array" ref="E4245">resilince_num_ccam_treeplanting_teach_per_m</f>
        <v>0</v>
      </c>
      <c r="F4245" s="46" t="b">
        <v>1</v>
      </c>
    </row>
    <row r="4246" spans="1:6">
      <c r="A4246" s="1773" t="s">
        <v>10267</v>
      </c>
      <c r="B4246" s="46" t="s">
        <v>11263</v>
      </c>
      <c r="C4246" s="1773" t="s">
        <v>10267</v>
      </c>
      <c r="D4246" s="1751" t="s">
        <v>10390</v>
      </c>
      <c r="E4246" s="1773" cm="1">
        <f t="array" ref="E4246">resilince_num_ccam_treeplanting_teach_per_f</f>
        <v>0</v>
      </c>
      <c r="F4246" s="46" t="b">
        <v>1</v>
      </c>
    </row>
    <row r="4247" spans="1:6">
      <c r="A4247" s="1773" t="s">
        <v>10268</v>
      </c>
      <c r="B4247" s="46" t="s">
        <v>11263</v>
      </c>
      <c r="C4247" s="1773" t="s">
        <v>10268</v>
      </c>
      <c r="D4247" s="1751" t="s">
        <v>10391</v>
      </c>
      <c r="E4247" s="1773" cm="1">
        <f t="array" ref="E4247">resilince_num_ccam_treeplanting_nonteach_per_m</f>
        <v>0</v>
      </c>
      <c r="F4247" s="46" t="b">
        <v>1</v>
      </c>
    </row>
    <row r="4248" spans="1:6">
      <c r="A4248" s="1773" t="s">
        <v>10269</v>
      </c>
      <c r="B4248" s="46" t="s">
        <v>11263</v>
      </c>
      <c r="C4248" s="1773" t="s">
        <v>10269</v>
      </c>
      <c r="D4248" s="1751" t="s">
        <v>10392</v>
      </c>
      <c r="E4248" s="1773" cm="1">
        <f t="array" ref="E4248">resilince_num_ccam_treeplanting_nonteach_per_f</f>
        <v>0</v>
      </c>
      <c r="F4248" s="46" t="b">
        <v>1</v>
      </c>
    </row>
    <row r="4249" spans="1:6">
      <c r="A4249" s="1773" t="s">
        <v>10270</v>
      </c>
      <c r="B4249" s="46" t="s">
        <v>11263</v>
      </c>
      <c r="C4249" s="1773" t="s">
        <v>10270</v>
      </c>
      <c r="D4249" s="1751" t="s">
        <v>10393</v>
      </c>
      <c r="E4249" s="1773" cm="1">
        <f t="array" ref="E4249">resilince_num_ccam_youthstrike_teach_per_m</f>
        <v>0</v>
      </c>
      <c r="F4249" s="46" t="b">
        <v>1</v>
      </c>
    </row>
    <row r="4250" spans="1:6">
      <c r="A4250" s="1773" t="s">
        <v>10271</v>
      </c>
      <c r="B4250" s="46" t="s">
        <v>11263</v>
      </c>
      <c r="C4250" s="1773" t="s">
        <v>10271</v>
      </c>
      <c r="D4250" s="1751" t="s">
        <v>10394</v>
      </c>
      <c r="E4250" s="1773" cm="1">
        <f t="array" ref="E4250">resilince_num_ccam_youthstrike_teach_per_f</f>
        <v>0</v>
      </c>
      <c r="F4250" s="46" t="b">
        <v>1</v>
      </c>
    </row>
    <row r="4251" spans="1:6">
      <c r="A4251" s="1773" t="s">
        <v>10272</v>
      </c>
      <c r="B4251" s="46" t="s">
        <v>11263</v>
      </c>
      <c r="C4251" s="1773" t="s">
        <v>10272</v>
      </c>
      <c r="D4251" s="1751" t="s">
        <v>10395</v>
      </c>
      <c r="E4251" s="1773" cm="1">
        <f t="array" ref="E4251">resilince_num_ccam_youthstrike_nonteach_per_m</f>
        <v>0</v>
      </c>
      <c r="F4251" s="46" t="b">
        <v>1</v>
      </c>
    </row>
    <row r="4252" spans="1:6">
      <c r="A4252" s="1773" t="s">
        <v>10273</v>
      </c>
      <c r="B4252" s="46" t="s">
        <v>11263</v>
      </c>
      <c r="C4252" s="1773" t="s">
        <v>10273</v>
      </c>
      <c r="D4252" s="1751" t="s">
        <v>10396</v>
      </c>
      <c r="E4252" s="1773" cm="1">
        <f t="array" ref="E4252">resilince_num_ccam_youthstrike_nonteach_per_f</f>
        <v>0</v>
      </c>
      <c r="F4252" s="46" t="b">
        <v>1</v>
      </c>
    </row>
    <row r="4253" spans="1:6">
      <c r="A4253" s="1773" t="s">
        <v>10274</v>
      </c>
      <c r="B4253" s="46" t="s">
        <v>11263</v>
      </c>
      <c r="C4253" s="1773" t="s">
        <v>10274</v>
      </c>
      <c r="D4253" s="1751" t="s">
        <v>10397</v>
      </c>
      <c r="E4253" s="1773" cm="1">
        <f t="array" ref="E4253">resilince_num_ccam_commsplevent_teach_per_m</f>
        <v>0</v>
      </c>
      <c r="F4253" s="46" t="b">
        <v>1</v>
      </c>
    </row>
    <row r="4254" spans="1:6">
      <c r="A4254" s="1773" t="s">
        <v>10275</v>
      </c>
      <c r="B4254" s="46" t="s">
        <v>11263</v>
      </c>
      <c r="C4254" s="1773" t="s">
        <v>10275</v>
      </c>
      <c r="D4254" s="1751" t="s">
        <v>10398</v>
      </c>
      <c r="E4254" s="1773" cm="1">
        <f t="array" ref="E4254">resilince_num_ccam_commsplevent_teach_per_f</f>
        <v>0</v>
      </c>
      <c r="F4254" s="46" t="b">
        <v>1</v>
      </c>
    </row>
    <row r="4255" spans="1:6">
      <c r="A4255" s="1773" t="s">
        <v>10276</v>
      </c>
      <c r="B4255" s="46" t="s">
        <v>11263</v>
      </c>
      <c r="C4255" s="1773" t="s">
        <v>10276</v>
      </c>
      <c r="D4255" s="1751" t="s">
        <v>10399</v>
      </c>
      <c r="E4255" s="1773" cm="1">
        <f t="array" ref="E4255">resilince_num_ccam_commsplevent_nonteach_per_m</f>
        <v>0</v>
      </c>
      <c r="F4255" s="46" t="b">
        <v>1</v>
      </c>
    </row>
    <row r="4256" spans="1:6">
      <c r="A4256" s="1773" t="s">
        <v>10277</v>
      </c>
      <c r="B4256" s="46" t="s">
        <v>11263</v>
      </c>
      <c r="C4256" s="1773" t="s">
        <v>10277</v>
      </c>
      <c r="D4256" s="1751" t="s">
        <v>10400</v>
      </c>
      <c r="E4256" s="1773" cm="1">
        <f t="array" ref="E4256">resilince_num_ccam_commsplevent_nonteach_per_f</f>
        <v>0</v>
      </c>
      <c r="F4256" s="46" t="b">
        <v>1</v>
      </c>
    </row>
    <row r="4257" spans="1:6">
      <c r="A4257" s="1773" t="s">
        <v>10278</v>
      </c>
      <c r="B4257" s="46" t="s">
        <v>11263</v>
      </c>
      <c r="C4257" s="1773" t="s">
        <v>10278</v>
      </c>
      <c r="D4257" s="1751" t="s">
        <v>10401</v>
      </c>
      <c r="E4257" s="1773" cm="1">
        <f t="array" ref="E4257">resilince_num_ccam_others_teach_per_m</f>
        <v>0</v>
      </c>
      <c r="F4257" s="46" t="b">
        <v>1</v>
      </c>
    </row>
    <row r="4258" spans="1:6">
      <c r="A4258" s="1773" t="s">
        <v>10279</v>
      </c>
      <c r="B4258" s="46" t="s">
        <v>11263</v>
      </c>
      <c r="C4258" s="1773" t="s">
        <v>10279</v>
      </c>
      <c r="D4258" s="1751" t="s">
        <v>10402</v>
      </c>
      <c r="E4258" s="1773" cm="1">
        <f t="array" ref="E4258">resilince_num_ccam_others_teach_per_f</f>
        <v>0</v>
      </c>
      <c r="F4258" s="46" t="b">
        <v>1</v>
      </c>
    </row>
    <row r="4259" spans="1:6">
      <c r="A4259" s="1773" t="s">
        <v>10280</v>
      </c>
      <c r="B4259" s="46" t="s">
        <v>11263</v>
      </c>
      <c r="C4259" s="1773" t="s">
        <v>10280</v>
      </c>
      <c r="D4259" s="1751" t="s">
        <v>10403</v>
      </c>
      <c r="E4259" s="1773" cm="1">
        <f t="array" ref="E4259">resilince_num_ccam_others_nonteach_per_m</f>
        <v>0</v>
      </c>
      <c r="F4259" s="46" t="b">
        <v>1</v>
      </c>
    </row>
    <row r="4260" spans="1:6">
      <c r="A4260" s="1773" t="s">
        <v>10281</v>
      </c>
      <c r="B4260" s="46" t="s">
        <v>11263</v>
      </c>
      <c r="C4260" s="1773" t="s">
        <v>10281</v>
      </c>
      <c r="D4260" s="1751" t="s">
        <v>10404</v>
      </c>
      <c r="E4260" s="1773" cm="1">
        <f t="array" ref="E4260">resilince_num_ccam_others_nonteach_per_f</f>
        <v>0</v>
      </c>
      <c r="F4260" s="46" t="b">
        <v>1</v>
      </c>
    </row>
    <row r="4261" spans="1:6">
      <c r="A4261" s="1773" t="s">
        <v>10225</v>
      </c>
      <c r="B4261" s="46" t="s">
        <v>11263</v>
      </c>
      <c r="C4261" s="1773" t="s">
        <v>10225</v>
      </c>
      <c r="D4261" s="1751" t="s">
        <v>10405</v>
      </c>
      <c r="E4261" s="1773" cm="1">
        <f t="array" ref="E4261">resilince_num_ccam_others_specify</f>
        <v>0</v>
      </c>
      <c r="F4261" s="46" t="b">
        <v>1</v>
      </c>
    </row>
    <row r="4262" spans="1:6">
      <c r="A4262" s="1773" t="s">
        <v>10282</v>
      </c>
      <c r="B4262" s="46" t="s">
        <v>11263</v>
      </c>
      <c r="C4262" s="1773" t="s">
        <v>10282</v>
      </c>
      <c r="D4262" s="1751" t="s">
        <v>10406</v>
      </c>
      <c r="E4262" s="1773" cm="1">
        <f t="array" ref="E4262">resilince_num_peace_conf_teach_per_m</f>
        <v>0</v>
      </c>
      <c r="F4262" s="46" t="b">
        <v>1</v>
      </c>
    </row>
    <row r="4263" spans="1:6">
      <c r="A4263" s="1773" t="s">
        <v>10283</v>
      </c>
      <c r="B4263" s="46" t="s">
        <v>11263</v>
      </c>
      <c r="C4263" s="1773" t="s">
        <v>10283</v>
      </c>
      <c r="D4263" s="1751" t="s">
        <v>10407</v>
      </c>
      <c r="E4263" s="1773" cm="1">
        <f t="array" ref="E4263">resilince_num_peace_conf_teach_per_f</f>
        <v>0</v>
      </c>
      <c r="F4263" s="46" t="b">
        <v>1</v>
      </c>
    </row>
    <row r="4264" spans="1:6">
      <c r="A4264" s="1773" t="s">
        <v>10284</v>
      </c>
      <c r="B4264" s="46" t="s">
        <v>11263</v>
      </c>
      <c r="C4264" s="1773" t="s">
        <v>10284</v>
      </c>
      <c r="D4264" s="1751" t="s">
        <v>10408</v>
      </c>
      <c r="E4264" s="1773" cm="1">
        <f t="array" ref="E4264">resilince_num_peace_conf_nonteach_per_m</f>
        <v>0</v>
      </c>
      <c r="F4264" s="46" t="b">
        <v>1</v>
      </c>
    </row>
    <row r="4265" spans="1:6">
      <c r="A4265" s="1773" t="s">
        <v>10285</v>
      </c>
      <c r="B4265" s="46" t="s">
        <v>11263</v>
      </c>
      <c r="C4265" s="1773" t="s">
        <v>10285</v>
      </c>
      <c r="D4265" s="1751" t="s">
        <v>10409</v>
      </c>
      <c r="E4265" s="1773" cm="1">
        <f t="array" ref="E4265">resilince_num_peace_conf_nonteach_per_f</f>
        <v>0</v>
      </c>
      <c r="F4265" s="46" t="b">
        <v>1</v>
      </c>
    </row>
    <row r="4266" spans="1:6">
      <c r="A4266" s="1773" t="s">
        <v>10286</v>
      </c>
      <c r="B4266" s="46" t="s">
        <v>11263</v>
      </c>
      <c r="C4266" s="1773" t="s">
        <v>10286</v>
      </c>
      <c r="D4266" s="1751" t="s">
        <v>10410</v>
      </c>
      <c r="E4266" s="1773" cm="1">
        <f t="array" ref="E4266">resilince_num_peace_youthnet_teach_per_m</f>
        <v>0</v>
      </c>
      <c r="F4266" s="46" t="b">
        <v>1</v>
      </c>
    </row>
    <row r="4267" spans="1:6">
      <c r="A4267" s="1773" t="s">
        <v>10287</v>
      </c>
      <c r="B4267" s="46" t="s">
        <v>11263</v>
      </c>
      <c r="C4267" s="1773" t="s">
        <v>10287</v>
      </c>
      <c r="D4267" s="1751" t="s">
        <v>10411</v>
      </c>
      <c r="E4267" s="1773" cm="1">
        <f t="array" ref="E4267">resilince_num_peace_youthnet_teach_per_f</f>
        <v>0</v>
      </c>
      <c r="F4267" s="46" t="b">
        <v>1</v>
      </c>
    </row>
    <row r="4268" spans="1:6">
      <c r="A4268" s="1773" t="s">
        <v>10288</v>
      </c>
      <c r="B4268" s="46" t="s">
        <v>11263</v>
      </c>
      <c r="C4268" s="1773" t="s">
        <v>10288</v>
      </c>
      <c r="D4268" s="1751" t="s">
        <v>10412</v>
      </c>
      <c r="E4268" s="1773" cm="1">
        <f t="array" ref="E4268">resilince_num_peace_youthnet_nonteach_per_m</f>
        <v>0</v>
      </c>
      <c r="F4268" s="46" t="b">
        <v>1</v>
      </c>
    </row>
    <row r="4269" spans="1:6">
      <c r="A4269" s="1773" t="s">
        <v>10289</v>
      </c>
      <c r="B4269" s="46" t="s">
        <v>11263</v>
      </c>
      <c r="C4269" s="1773" t="s">
        <v>10289</v>
      </c>
      <c r="D4269" s="1751" t="s">
        <v>10413</v>
      </c>
      <c r="E4269" s="1773" cm="1">
        <f t="array" ref="E4269">resilince_num_peace_youthnet_nonteach_per_f</f>
        <v>0</v>
      </c>
      <c r="F4269" s="46" t="b">
        <v>1</v>
      </c>
    </row>
    <row r="4270" spans="1:6">
      <c r="A4270" s="1773" t="s">
        <v>10290</v>
      </c>
      <c r="B4270" s="46" t="s">
        <v>11263</v>
      </c>
      <c r="C4270" s="1773" t="s">
        <v>10290</v>
      </c>
      <c r="D4270" s="1751" t="s">
        <v>10414</v>
      </c>
      <c r="E4270" s="1773" cm="1">
        <f t="array" ref="E4270">resilince_num_peace_artscontest_teach_per_m</f>
        <v>0</v>
      </c>
      <c r="F4270" s="46" t="b">
        <v>1</v>
      </c>
    </row>
    <row r="4271" spans="1:6">
      <c r="A4271" s="1773" t="s">
        <v>10291</v>
      </c>
      <c r="B4271" s="46" t="s">
        <v>11263</v>
      </c>
      <c r="C4271" s="1773" t="s">
        <v>10291</v>
      </c>
      <c r="D4271" s="1751" t="s">
        <v>10415</v>
      </c>
      <c r="E4271" s="1773" cm="1">
        <f t="array" ref="E4271">resilince_num_peace_artscontest_teach_per_f</f>
        <v>0</v>
      </c>
      <c r="F4271" s="46" t="b">
        <v>1</v>
      </c>
    </row>
    <row r="4272" spans="1:6">
      <c r="A4272" s="1773" t="s">
        <v>10292</v>
      </c>
      <c r="B4272" s="46" t="s">
        <v>11263</v>
      </c>
      <c r="C4272" s="1773" t="s">
        <v>10292</v>
      </c>
      <c r="D4272" s="1751" t="s">
        <v>10416</v>
      </c>
      <c r="E4272" s="1773" cm="1">
        <f t="array" ref="E4272">resilince_num_peace_artscontest_nonteach_per_m</f>
        <v>0</v>
      </c>
      <c r="F4272" s="46" t="b">
        <v>1</v>
      </c>
    </row>
    <row r="4273" spans="1:8">
      <c r="A4273" s="1773" t="s">
        <v>10293</v>
      </c>
      <c r="B4273" s="46" t="s">
        <v>11263</v>
      </c>
      <c r="C4273" s="1773" t="s">
        <v>10293</v>
      </c>
      <c r="D4273" s="1751" t="s">
        <v>10178</v>
      </c>
      <c r="E4273" s="1773" cm="1">
        <f t="array" ref="E4273">resilince_num_peace_artscontest_nonteach_per_f</f>
        <v>0</v>
      </c>
      <c r="F4273" s="46" t="b">
        <v>1</v>
      </c>
    </row>
    <row r="4274" spans="1:8">
      <c r="A4274" s="1773" t="s">
        <v>10294</v>
      </c>
      <c r="B4274" s="46" t="s">
        <v>11263</v>
      </c>
      <c r="C4274" s="1773" t="s">
        <v>10294</v>
      </c>
      <c r="D4274" s="1751" t="s">
        <v>10417</v>
      </c>
      <c r="E4274" s="1773" cm="1">
        <f t="array" ref="E4274">resilince_num_peace_commsplevent_teach_per_m</f>
        <v>0</v>
      </c>
      <c r="F4274" s="46" t="b">
        <v>1</v>
      </c>
    </row>
    <row r="4275" spans="1:8">
      <c r="A4275" s="1773" t="s">
        <v>10295</v>
      </c>
      <c r="B4275" s="46" t="s">
        <v>11263</v>
      </c>
      <c r="C4275" s="1773" t="s">
        <v>10295</v>
      </c>
      <c r="D4275" s="1751" t="s">
        <v>10418</v>
      </c>
      <c r="E4275" s="1773" cm="1">
        <f t="array" ref="E4275">resilince_num_peace_commsplevent_teach_per_f</f>
        <v>0</v>
      </c>
      <c r="F4275" s="46" t="b">
        <v>1</v>
      </c>
    </row>
    <row r="4276" spans="1:8">
      <c r="A4276" s="1773" t="s">
        <v>10296</v>
      </c>
      <c r="B4276" s="46" t="s">
        <v>11263</v>
      </c>
      <c r="C4276" s="1773" t="s">
        <v>10296</v>
      </c>
      <c r="D4276" s="1751" t="s">
        <v>10419</v>
      </c>
      <c r="E4276" s="1773" cm="1">
        <f t="array" ref="E4276">resilince_num_peace_commsplevent_nonteach_per_m</f>
        <v>0</v>
      </c>
      <c r="F4276" s="46" t="b">
        <v>1</v>
      </c>
    </row>
    <row r="4277" spans="1:8">
      <c r="A4277" s="1773" t="s">
        <v>10297</v>
      </c>
      <c r="B4277" s="46" t="s">
        <v>11263</v>
      </c>
      <c r="C4277" s="1773" t="s">
        <v>10297</v>
      </c>
      <c r="D4277" s="1751" t="s">
        <v>10420</v>
      </c>
      <c r="E4277" s="1773" cm="1">
        <f t="array" ref="E4277">resilince_num_peace_commsplevent_nonteach_per_f</f>
        <v>0</v>
      </c>
      <c r="F4277" s="46" t="b">
        <v>1</v>
      </c>
    </row>
    <row r="4278" spans="1:8">
      <c r="A4278" s="1773" t="s">
        <v>10298</v>
      </c>
      <c r="B4278" s="46" t="s">
        <v>11263</v>
      </c>
      <c r="C4278" s="1773" t="s">
        <v>10298</v>
      </c>
      <c r="D4278" s="1751" t="s">
        <v>10421</v>
      </c>
      <c r="E4278" s="1773" cm="1">
        <f t="array" ref="E4278">resilince_num_peace_others_teach_per_m</f>
        <v>0</v>
      </c>
      <c r="F4278" s="46" t="b">
        <v>1</v>
      </c>
    </row>
    <row r="4279" spans="1:8">
      <c r="A4279" s="1773" t="s">
        <v>10299</v>
      </c>
      <c r="B4279" s="46" t="s">
        <v>11263</v>
      </c>
      <c r="C4279" s="1773" t="s">
        <v>10299</v>
      </c>
      <c r="D4279" s="1751" t="s">
        <v>10422</v>
      </c>
      <c r="E4279" s="1773" cm="1">
        <f t="array" ref="E4279">resilince_num_peace_others_teach_per_f</f>
        <v>0</v>
      </c>
      <c r="F4279" s="46" t="b">
        <v>1</v>
      </c>
    </row>
    <row r="4280" spans="1:8">
      <c r="A4280" s="1773" t="s">
        <v>10300</v>
      </c>
      <c r="B4280" s="46" t="s">
        <v>11263</v>
      </c>
      <c r="C4280" s="1773" t="s">
        <v>10300</v>
      </c>
      <c r="D4280" s="1751" t="s">
        <v>10423</v>
      </c>
      <c r="E4280" s="1773" cm="1">
        <f t="array" ref="E4280">resilince_num_peace_others_nonteach_per_m</f>
        <v>0</v>
      </c>
      <c r="F4280" s="46" t="b">
        <v>1</v>
      </c>
    </row>
    <row r="4281" spans="1:8">
      <c r="A4281" s="1773" t="s">
        <v>10301</v>
      </c>
      <c r="B4281" s="46" t="s">
        <v>11263</v>
      </c>
      <c r="C4281" s="1773" t="s">
        <v>10301</v>
      </c>
      <c r="D4281" s="1751" t="s">
        <v>10424</v>
      </c>
      <c r="E4281" s="1773" cm="1">
        <f t="array" ref="E4281">resilince_num_peace_others_nonteach_per_f</f>
        <v>0</v>
      </c>
      <c r="F4281" s="46" t="b">
        <v>1</v>
      </c>
    </row>
    <row r="4282" spans="1:8" ht="16.5" thickBot="1">
      <c r="A4282" s="1774" t="s">
        <v>10302</v>
      </c>
      <c r="B4282" s="479" t="s">
        <v>11263</v>
      </c>
      <c r="C4282" s="1774" t="s">
        <v>10302</v>
      </c>
      <c r="D4282" s="1771" t="s">
        <v>10425</v>
      </c>
      <c r="E4282" s="1774" cm="1">
        <f t="array" ref="E4282">resilince_num_peace_others_specify</f>
        <v>0</v>
      </c>
      <c r="F4282" s="479" t="b">
        <v>1</v>
      </c>
      <c r="G4282" s="479"/>
      <c r="H4282" s="479"/>
    </row>
    <row r="4283" spans="1:8" ht="16.5" thickTop="1">
      <c r="A4283" s="1773" t="s">
        <v>10426</v>
      </c>
      <c r="B4283" s="46" t="s">
        <v>11263</v>
      </c>
      <c r="C4283" s="1773" t="s">
        <v>10426</v>
      </c>
      <c r="D4283" s="1751" t="s">
        <v>10646</v>
      </c>
      <c r="E4283" s="1773" cm="1">
        <f t="array" ref="E4283">resilince_num_drrm_basic_l_m</f>
        <v>0</v>
      </c>
      <c r="F4283" s="46" t="b">
        <v>1</v>
      </c>
    </row>
    <row r="4284" spans="1:8">
      <c r="A4284" s="1773" t="s">
        <v>10427</v>
      </c>
      <c r="B4284" s="46" t="s">
        <v>11263</v>
      </c>
      <c r="C4284" s="1773" t="s">
        <v>10427</v>
      </c>
      <c r="D4284" s="1751" t="s">
        <v>10647</v>
      </c>
      <c r="E4284" s="1773" cm="1">
        <f t="array" ref="E4284">resilince_num_drrm_basic_l_f</f>
        <v>0</v>
      </c>
      <c r="F4284" s="46" t="b">
        <v>1</v>
      </c>
    </row>
    <row r="4285" spans="1:8">
      <c r="A4285" s="1773" t="s">
        <v>10428</v>
      </c>
      <c r="B4285" s="46" t="s">
        <v>11263</v>
      </c>
      <c r="C4285" s="1773" t="s">
        <v>10428</v>
      </c>
      <c r="D4285" s="1751" t="s">
        <v>10648</v>
      </c>
      <c r="E4285" s="1773" cm="1">
        <f t="array" ref="E4285">resilince_num_drrm_basic_ip_m</f>
        <v>0</v>
      </c>
      <c r="F4285" s="46" t="b">
        <v>1</v>
      </c>
    </row>
    <row r="4286" spans="1:8">
      <c r="A4286" s="1773" t="s">
        <v>10429</v>
      </c>
      <c r="B4286" s="46" t="s">
        <v>11263</v>
      </c>
      <c r="C4286" s="1773" t="s">
        <v>10429</v>
      </c>
      <c r="D4286" s="1751" t="s">
        <v>10649</v>
      </c>
      <c r="E4286" s="1773" cm="1">
        <f t="array" ref="E4286">resilince_num_drrm_basic_ip_f</f>
        <v>0</v>
      </c>
      <c r="F4286" s="46" t="b">
        <v>1</v>
      </c>
    </row>
    <row r="4287" spans="1:8">
      <c r="A4287" s="1773" t="s">
        <v>10430</v>
      </c>
      <c r="B4287" s="46" t="s">
        <v>11263</v>
      </c>
      <c r="C4287" s="1773" t="s">
        <v>10430</v>
      </c>
      <c r="D4287" s="1751" t="s">
        <v>10650</v>
      </c>
      <c r="E4287" s="1773" cm="1">
        <f t="array" ref="E4287">resilince_num_drrm_basic_muslim_m</f>
        <v>0</v>
      </c>
      <c r="F4287" s="46" t="b">
        <v>1</v>
      </c>
    </row>
    <row r="4288" spans="1:8">
      <c r="A4288" s="1773" t="s">
        <v>10431</v>
      </c>
      <c r="B4288" s="46" t="s">
        <v>11263</v>
      </c>
      <c r="C4288" s="1773" t="s">
        <v>10431</v>
      </c>
      <c r="D4288" s="1751" t="s">
        <v>10651</v>
      </c>
      <c r="E4288" s="1773" cm="1">
        <f t="array" ref="E4288">resilince_num_drrm_basic_muslim_f</f>
        <v>0</v>
      </c>
      <c r="F4288" s="46" t="b">
        <v>1</v>
      </c>
    </row>
    <row r="4289" spans="1:6">
      <c r="A4289" s="1773" t="s">
        <v>10432</v>
      </c>
      <c r="B4289" s="46" t="s">
        <v>11263</v>
      </c>
      <c r="C4289" s="1773" t="s">
        <v>10432</v>
      </c>
      <c r="D4289" s="1751" t="s">
        <v>10652</v>
      </c>
      <c r="E4289" s="1773" cm="1">
        <f t="array" ref="E4289">resilince_num_drrm_basic_lwd_m</f>
        <v>0</v>
      </c>
      <c r="F4289" s="46" t="b">
        <v>1</v>
      </c>
    </row>
    <row r="4290" spans="1:6">
      <c r="A4290" s="1773" t="s">
        <v>10433</v>
      </c>
      <c r="B4290" s="46" t="s">
        <v>11263</v>
      </c>
      <c r="C4290" s="1773" t="s">
        <v>10433</v>
      </c>
      <c r="D4290" s="1751" t="s">
        <v>10653</v>
      </c>
      <c r="E4290" s="1773" cm="1">
        <f t="array" ref="E4290">resilince_num_drrm_basic_lwd_f</f>
        <v>0</v>
      </c>
      <c r="F4290" s="46" t="b">
        <v>1</v>
      </c>
    </row>
    <row r="4291" spans="1:6">
      <c r="A4291" s="1773" t="s">
        <v>10434</v>
      </c>
      <c r="B4291" s="46" t="s">
        <v>11263</v>
      </c>
      <c r="C4291" s="1773" t="s">
        <v>10434</v>
      </c>
      <c r="D4291" s="1751" t="s">
        <v>10654</v>
      </c>
      <c r="E4291" s="1773" cm="1">
        <f t="array" ref="E4291">resilince_num_drrm_quake_l_m</f>
        <v>0</v>
      </c>
      <c r="F4291" s="46" t="b">
        <v>1</v>
      </c>
    </row>
    <row r="4292" spans="1:6">
      <c r="A4292" s="1773" t="s">
        <v>10435</v>
      </c>
      <c r="B4292" s="46" t="s">
        <v>11263</v>
      </c>
      <c r="C4292" s="1773" t="s">
        <v>10435</v>
      </c>
      <c r="D4292" s="1751" t="s">
        <v>10655</v>
      </c>
      <c r="E4292" s="1773" cm="1">
        <f t="array" ref="E4292">resilince_num_drrm_quake_l_f</f>
        <v>0</v>
      </c>
      <c r="F4292" s="46" t="b">
        <v>1</v>
      </c>
    </row>
    <row r="4293" spans="1:6">
      <c r="A4293" s="1773" t="s">
        <v>10436</v>
      </c>
      <c r="B4293" s="46" t="s">
        <v>11263</v>
      </c>
      <c r="C4293" s="1773" t="s">
        <v>10436</v>
      </c>
      <c r="D4293" s="1751" t="s">
        <v>10656</v>
      </c>
      <c r="E4293" s="1773" cm="1">
        <f t="array" ref="E4293">resilince_num_drrm_quake_ip_m</f>
        <v>0</v>
      </c>
      <c r="F4293" s="46" t="b">
        <v>1</v>
      </c>
    </row>
    <row r="4294" spans="1:6">
      <c r="A4294" s="1773" t="s">
        <v>10437</v>
      </c>
      <c r="B4294" s="46" t="s">
        <v>11263</v>
      </c>
      <c r="C4294" s="1773" t="s">
        <v>10437</v>
      </c>
      <c r="D4294" s="1751" t="s">
        <v>10657</v>
      </c>
      <c r="E4294" s="1773" cm="1">
        <f t="array" ref="E4294">resilince_num_drrm_quake_ip_f</f>
        <v>0</v>
      </c>
      <c r="F4294" s="46" t="b">
        <v>1</v>
      </c>
    </row>
    <row r="4295" spans="1:6">
      <c r="A4295" s="1773" t="s">
        <v>10438</v>
      </c>
      <c r="B4295" s="46" t="s">
        <v>11263</v>
      </c>
      <c r="C4295" s="1773" t="s">
        <v>10438</v>
      </c>
      <c r="D4295" s="1751" t="s">
        <v>10658</v>
      </c>
      <c r="E4295" s="1773" cm="1">
        <f t="array" ref="E4295">resilince_num_drrm_quake_muslim_m</f>
        <v>0</v>
      </c>
      <c r="F4295" s="46" t="b">
        <v>1</v>
      </c>
    </row>
    <row r="4296" spans="1:6">
      <c r="A4296" s="1773" t="s">
        <v>10439</v>
      </c>
      <c r="B4296" s="46" t="s">
        <v>11263</v>
      </c>
      <c r="C4296" s="1773" t="s">
        <v>10439</v>
      </c>
      <c r="D4296" s="1751" t="s">
        <v>10659</v>
      </c>
      <c r="E4296" s="1773" cm="1">
        <f t="array" ref="E4296">resilince_num_drrm_quake_muslim_f</f>
        <v>0</v>
      </c>
      <c r="F4296" s="46" t="b">
        <v>1</v>
      </c>
    </row>
    <row r="4297" spans="1:6">
      <c r="A4297" s="1773" t="s">
        <v>10440</v>
      </c>
      <c r="B4297" s="46" t="s">
        <v>11263</v>
      </c>
      <c r="C4297" s="1773" t="s">
        <v>10440</v>
      </c>
      <c r="D4297" s="1751" t="s">
        <v>10660</v>
      </c>
      <c r="E4297" s="1773" cm="1">
        <f t="array" ref="E4297">resilince_num_drrm_quake_lwd_m</f>
        <v>0</v>
      </c>
      <c r="F4297" s="46" t="b">
        <v>1</v>
      </c>
    </row>
    <row r="4298" spans="1:6">
      <c r="A4298" s="1773" t="s">
        <v>10441</v>
      </c>
      <c r="B4298" s="46" t="s">
        <v>11263</v>
      </c>
      <c r="C4298" s="1773" t="s">
        <v>10441</v>
      </c>
      <c r="D4298" s="1751" t="s">
        <v>10661</v>
      </c>
      <c r="E4298" s="1773" cm="1">
        <f t="array" ref="E4298">resilince_num_drrm_quake_lwd_f</f>
        <v>0</v>
      </c>
      <c r="F4298" s="46" t="b">
        <v>1</v>
      </c>
    </row>
    <row r="4299" spans="1:6">
      <c r="A4299" s="1773" t="s">
        <v>10442</v>
      </c>
      <c r="B4299" s="46" t="s">
        <v>11263</v>
      </c>
      <c r="C4299" s="1773" t="s">
        <v>10442</v>
      </c>
      <c r="D4299" s="1751" t="s">
        <v>10662</v>
      </c>
      <c r="E4299" s="1773" cm="1">
        <f t="array" ref="E4299">resilince_num_drrm_sw_l_m</f>
        <v>0</v>
      </c>
      <c r="F4299" s="46" t="b">
        <v>1</v>
      </c>
    </row>
    <row r="4300" spans="1:6">
      <c r="A4300" s="1773" t="s">
        <v>10443</v>
      </c>
      <c r="B4300" s="46" t="s">
        <v>11263</v>
      </c>
      <c r="C4300" s="1773" t="s">
        <v>10443</v>
      </c>
      <c r="D4300" s="1751" t="s">
        <v>10663</v>
      </c>
      <c r="E4300" s="1773" cm="1">
        <f t="array" ref="E4300">resilince_num_drrm_sw_l_f</f>
        <v>0</v>
      </c>
      <c r="F4300" s="46" t="b">
        <v>1</v>
      </c>
    </row>
    <row r="4301" spans="1:6">
      <c r="A4301" s="1773" t="s">
        <v>10444</v>
      </c>
      <c r="B4301" s="46" t="s">
        <v>11263</v>
      </c>
      <c r="C4301" s="1773" t="s">
        <v>10444</v>
      </c>
      <c r="D4301" s="1751" t="s">
        <v>10664</v>
      </c>
      <c r="E4301" s="1773" cm="1">
        <f t="array" ref="E4301">resilince_num_drrm_sw_ip_m</f>
        <v>0</v>
      </c>
      <c r="F4301" s="46" t="b">
        <v>1</v>
      </c>
    </row>
    <row r="4302" spans="1:6">
      <c r="A4302" s="1773" t="s">
        <v>10445</v>
      </c>
      <c r="B4302" s="46" t="s">
        <v>11263</v>
      </c>
      <c r="C4302" s="1773" t="s">
        <v>10445</v>
      </c>
      <c r="D4302" s="1751" t="s">
        <v>10665</v>
      </c>
      <c r="E4302" s="1773" cm="1">
        <f t="array" ref="E4302">resilince_num_drrm_sw_ip_f</f>
        <v>0</v>
      </c>
      <c r="F4302" s="46" t="b">
        <v>1</v>
      </c>
    </row>
    <row r="4303" spans="1:6">
      <c r="A4303" s="1773" t="s">
        <v>10446</v>
      </c>
      <c r="B4303" s="46" t="s">
        <v>11263</v>
      </c>
      <c r="C4303" s="1773" t="s">
        <v>10446</v>
      </c>
      <c r="D4303" s="1751" t="s">
        <v>10666</v>
      </c>
      <c r="E4303" s="1773" cm="1">
        <f t="array" ref="E4303">resilince_num_drrm_sw_muslim_m</f>
        <v>0</v>
      </c>
      <c r="F4303" s="46" t="b">
        <v>1</v>
      </c>
    </row>
    <row r="4304" spans="1:6">
      <c r="A4304" s="1773" t="s">
        <v>10447</v>
      </c>
      <c r="B4304" s="46" t="s">
        <v>11263</v>
      </c>
      <c r="C4304" s="1773" t="s">
        <v>10447</v>
      </c>
      <c r="D4304" s="1751" t="s">
        <v>10667</v>
      </c>
      <c r="E4304" s="1773" cm="1">
        <f t="array" ref="E4304">resilince_num_drrm_sw_muslim_f</f>
        <v>0</v>
      </c>
      <c r="F4304" s="46" t="b">
        <v>1</v>
      </c>
    </row>
    <row r="4305" spans="1:6">
      <c r="A4305" s="1773" t="s">
        <v>10448</v>
      </c>
      <c r="B4305" s="46" t="s">
        <v>11263</v>
      </c>
      <c r="C4305" s="1773" t="s">
        <v>10448</v>
      </c>
      <c r="D4305" s="1751" t="s">
        <v>10668</v>
      </c>
      <c r="E4305" s="1773" cm="1">
        <f t="array" ref="E4305">resilince_num_drrm_sw_lwd_m</f>
        <v>0</v>
      </c>
      <c r="F4305" s="46" t="b">
        <v>1</v>
      </c>
    </row>
    <row r="4306" spans="1:6">
      <c r="A4306" s="1773" t="s">
        <v>10449</v>
      </c>
      <c r="B4306" s="46" t="s">
        <v>11263</v>
      </c>
      <c r="C4306" s="1773" t="s">
        <v>10449</v>
      </c>
      <c r="D4306" s="1751" t="s">
        <v>10669</v>
      </c>
      <c r="E4306" s="1773" cm="1">
        <f t="array" ref="E4306">resilince_num_drrm_sw_lwd_f</f>
        <v>0</v>
      </c>
      <c r="F4306" s="46" t="b">
        <v>1</v>
      </c>
    </row>
    <row r="4307" spans="1:6">
      <c r="A4307" s="1773" t="s">
        <v>10450</v>
      </c>
      <c r="B4307" s="46" t="s">
        <v>11263</v>
      </c>
      <c r="C4307" s="1773" t="s">
        <v>10450</v>
      </c>
      <c r="D4307" s="1751" t="s">
        <v>10670</v>
      </c>
      <c r="E4307" s="1773" cm="1">
        <f t="array" ref="E4307">resilince_num_drrm_mhpss_l_m</f>
        <v>0</v>
      </c>
      <c r="F4307" s="46" t="b">
        <v>1</v>
      </c>
    </row>
    <row r="4308" spans="1:6">
      <c r="A4308" s="1773" t="s">
        <v>10451</v>
      </c>
      <c r="B4308" s="46" t="s">
        <v>11263</v>
      </c>
      <c r="C4308" s="1773" t="s">
        <v>10451</v>
      </c>
      <c r="D4308" s="1751" t="s">
        <v>10671</v>
      </c>
      <c r="E4308" s="1773" cm="1">
        <f t="array" ref="E4308">resilince_num_drrm_mhpss_l_f</f>
        <v>0</v>
      </c>
      <c r="F4308" s="46" t="b">
        <v>1</v>
      </c>
    </row>
    <row r="4309" spans="1:6">
      <c r="A4309" s="1773" t="s">
        <v>10452</v>
      </c>
      <c r="B4309" s="46" t="s">
        <v>11263</v>
      </c>
      <c r="C4309" s="1773" t="s">
        <v>10452</v>
      </c>
      <c r="D4309" s="1751" t="s">
        <v>10672</v>
      </c>
      <c r="E4309" s="1773" cm="1">
        <f t="array" ref="E4309">resilince_num_drrm_mhpss_ip_m</f>
        <v>0</v>
      </c>
      <c r="F4309" s="46" t="b">
        <v>1</v>
      </c>
    </row>
    <row r="4310" spans="1:6">
      <c r="A4310" s="1773" t="s">
        <v>10453</v>
      </c>
      <c r="B4310" s="46" t="s">
        <v>11263</v>
      </c>
      <c r="C4310" s="1773" t="s">
        <v>10453</v>
      </c>
      <c r="D4310" s="1751" t="s">
        <v>10673</v>
      </c>
      <c r="E4310" s="1773" cm="1">
        <f t="array" ref="E4310">resilince_num_drrm_mhpss_ip_f</f>
        <v>0</v>
      </c>
      <c r="F4310" s="46" t="b">
        <v>1</v>
      </c>
    </row>
    <row r="4311" spans="1:6">
      <c r="A4311" s="1773" t="s">
        <v>10454</v>
      </c>
      <c r="B4311" s="46" t="s">
        <v>11263</v>
      </c>
      <c r="C4311" s="1773" t="s">
        <v>10454</v>
      </c>
      <c r="D4311" s="1751" t="s">
        <v>10674</v>
      </c>
      <c r="E4311" s="1773" cm="1">
        <f t="array" ref="E4311">resilince_num_drrm_mhpss_muslim_m</f>
        <v>0</v>
      </c>
      <c r="F4311" s="46" t="b">
        <v>1</v>
      </c>
    </row>
    <row r="4312" spans="1:6">
      <c r="A4312" s="1773" t="s">
        <v>10455</v>
      </c>
      <c r="B4312" s="46" t="s">
        <v>11263</v>
      </c>
      <c r="C4312" s="1773" t="s">
        <v>10455</v>
      </c>
      <c r="D4312" s="1751" t="s">
        <v>10675</v>
      </c>
      <c r="E4312" s="1773" cm="1">
        <f t="array" ref="E4312">resilince_num_drrm_mhpss_muslim_f</f>
        <v>0</v>
      </c>
      <c r="F4312" s="46" t="b">
        <v>1</v>
      </c>
    </row>
    <row r="4313" spans="1:6">
      <c r="A4313" s="1773" t="s">
        <v>10456</v>
      </c>
      <c r="B4313" s="46" t="s">
        <v>11263</v>
      </c>
      <c r="C4313" s="1773" t="s">
        <v>10456</v>
      </c>
      <c r="D4313" s="1751" t="s">
        <v>10676</v>
      </c>
      <c r="E4313" s="1773" cm="1">
        <f t="array" ref="E4313">resilince_num_drrm_mhpss_lwd_m</f>
        <v>0</v>
      </c>
      <c r="F4313" s="46" t="b">
        <v>1</v>
      </c>
    </row>
    <row r="4314" spans="1:6">
      <c r="A4314" s="1773" t="s">
        <v>10457</v>
      </c>
      <c r="B4314" s="46" t="s">
        <v>11263</v>
      </c>
      <c r="C4314" s="1773" t="s">
        <v>10457</v>
      </c>
      <c r="D4314" s="1751" t="s">
        <v>10677</v>
      </c>
      <c r="E4314" s="1773" cm="1">
        <f t="array" ref="E4314">resilince_num_drrm_mhpss_lwd_f</f>
        <v>0</v>
      </c>
      <c r="F4314" s="46" t="b">
        <v>1</v>
      </c>
    </row>
    <row r="4315" spans="1:6">
      <c r="A4315" s="1773" t="s">
        <v>10458</v>
      </c>
      <c r="B4315" s="46" t="s">
        <v>11263</v>
      </c>
      <c r="C4315" s="1773" t="s">
        <v>10458</v>
      </c>
      <c r="D4315" s="1751" t="s">
        <v>10678</v>
      </c>
      <c r="E4315" s="1773" cm="1">
        <f t="array" ref="E4315">resilince_num_drrm_spl_event_l_m</f>
        <v>0</v>
      </c>
      <c r="F4315" s="46" t="b">
        <v>1</v>
      </c>
    </row>
    <row r="4316" spans="1:6">
      <c r="A4316" s="1773" t="s">
        <v>10459</v>
      </c>
      <c r="B4316" s="46" t="s">
        <v>11263</v>
      </c>
      <c r="C4316" s="1773" t="s">
        <v>10459</v>
      </c>
      <c r="D4316" s="1751" t="s">
        <v>10679</v>
      </c>
      <c r="E4316" s="1773" cm="1">
        <f t="array" ref="E4316">resilince_num_drrm_spl_event_l_f</f>
        <v>0</v>
      </c>
      <c r="F4316" s="46" t="b">
        <v>1</v>
      </c>
    </row>
    <row r="4317" spans="1:6">
      <c r="A4317" s="1773" t="s">
        <v>10460</v>
      </c>
      <c r="B4317" s="46" t="s">
        <v>11263</v>
      </c>
      <c r="C4317" s="1773" t="s">
        <v>10460</v>
      </c>
      <c r="D4317" s="1751" t="s">
        <v>10680</v>
      </c>
      <c r="E4317" s="1773" cm="1">
        <f t="array" ref="E4317">resilince_num_drrm_spl_event_ip_m</f>
        <v>0</v>
      </c>
      <c r="F4317" s="46" t="b">
        <v>1</v>
      </c>
    </row>
    <row r="4318" spans="1:6">
      <c r="A4318" s="1773" t="s">
        <v>10461</v>
      </c>
      <c r="B4318" s="46" t="s">
        <v>11263</v>
      </c>
      <c r="C4318" s="1773" t="s">
        <v>10461</v>
      </c>
      <c r="D4318" s="1751" t="s">
        <v>10681</v>
      </c>
      <c r="E4318" s="1773" cm="1">
        <f t="array" ref="E4318">resilince_num_drrm_spl_event_ip_f</f>
        <v>0</v>
      </c>
      <c r="F4318" s="46" t="b">
        <v>1</v>
      </c>
    </row>
    <row r="4319" spans="1:6">
      <c r="A4319" s="1773" t="s">
        <v>10462</v>
      </c>
      <c r="B4319" s="46" t="s">
        <v>11263</v>
      </c>
      <c r="C4319" s="1773" t="s">
        <v>10462</v>
      </c>
      <c r="D4319" s="1751" t="s">
        <v>10682</v>
      </c>
      <c r="E4319" s="1773" cm="1">
        <f t="array" ref="E4319">resilince_num_drrm_spl_event_muslim_m</f>
        <v>0</v>
      </c>
      <c r="F4319" s="46" t="b">
        <v>1</v>
      </c>
    </row>
    <row r="4320" spans="1:6">
      <c r="A4320" s="1773" t="s">
        <v>10463</v>
      </c>
      <c r="B4320" s="46" t="s">
        <v>11263</v>
      </c>
      <c r="C4320" s="1773" t="s">
        <v>10463</v>
      </c>
      <c r="D4320" s="1751" t="s">
        <v>10683</v>
      </c>
      <c r="E4320" s="1773" cm="1">
        <f t="array" ref="E4320">resilince_num_drrm_spl_event_muslim_f</f>
        <v>0</v>
      </c>
      <c r="F4320" s="46" t="b">
        <v>1</v>
      </c>
    </row>
    <row r="4321" spans="1:6">
      <c r="A4321" s="1773" t="s">
        <v>10464</v>
      </c>
      <c r="B4321" s="46" t="s">
        <v>11263</v>
      </c>
      <c r="C4321" s="1773" t="s">
        <v>10464</v>
      </c>
      <c r="D4321" s="1751" t="s">
        <v>10684</v>
      </c>
      <c r="E4321" s="1773" cm="1">
        <f t="array" ref="E4321">resilince_num_drrm_spl_event_lwd_m</f>
        <v>0</v>
      </c>
      <c r="F4321" s="46" t="b">
        <v>1</v>
      </c>
    </row>
    <row r="4322" spans="1:6">
      <c r="A4322" s="1773" t="s">
        <v>10465</v>
      </c>
      <c r="B4322" s="46" t="s">
        <v>11263</v>
      </c>
      <c r="C4322" s="1773" t="s">
        <v>10465</v>
      </c>
      <c r="D4322" s="1751" t="s">
        <v>10685</v>
      </c>
      <c r="E4322" s="1773" cm="1">
        <f t="array" ref="E4322">resilince_num_drrm_spl_event_lwd_f</f>
        <v>0</v>
      </c>
      <c r="F4322" s="46" t="b">
        <v>1</v>
      </c>
    </row>
    <row r="4323" spans="1:6">
      <c r="A4323" s="1773" t="s">
        <v>10466</v>
      </c>
      <c r="B4323" s="46" t="s">
        <v>11263</v>
      </c>
      <c r="C4323" s="1773" t="s">
        <v>10466</v>
      </c>
      <c r="D4323" s="1751" t="s">
        <v>10686</v>
      </c>
      <c r="E4323" s="1773" cm="1">
        <f t="array" ref="E4323">resilince_num_drrm_camp_l_m</f>
        <v>0</v>
      </c>
      <c r="F4323" s="46" t="b">
        <v>1</v>
      </c>
    </row>
    <row r="4324" spans="1:6">
      <c r="A4324" s="1773" t="s">
        <v>10467</v>
      </c>
      <c r="B4324" s="46" t="s">
        <v>11263</v>
      </c>
      <c r="C4324" s="1773" t="s">
        <v>10467</v>
      </c>
      <c r="D4324" s="1751" t="s">
        <v>10687</v>
      </c>
      <c r="E4324" s="1773" cm="1">
        <f t="array" ref="E4324">resilince_num_drrm_camp_l_f</f>
        <v>0</v>
      </c>
      <c r="F4324" s="46" t="b">
        <v>1</v>
      </c>
    </row>
    <row r="4325" spans="1:6">
      <c r="A4325" s="1773" t="s">
        <v>10468</v>
      </c>
      <c r="B4325" s="46" t="s">
        <v>11263</v>
      </c>
      <c r="C4325" s="1773" t="s">
        <v>10468</v>
      </c>
      <c r="D4325" s="1751" t="s">
        <v>10688</v>
      </c>
      <c r="E4325" s="1773" cm="1">
        <f t="array" ref="E4325">resilince_num_drrm_camp_ip_m</f>
        <v>0</v>
      </c>
      <c r="F4325" s="46" t="b">
        <v>1</v>
      </c>
    </row>
    <row r="4326" spans="1:6">
      <c r="A4326" s="1773" t="s">
        <v>10469</v>
      </c>
      <c r="B4326" s="46" t="s">
        <v>11263</v>
      </c>
      <c r="C4326" s="1773" t="s">
        <v>10469</v>
      </c>
      <c r="D4326" s="1751" t="s">
        <v>10689</v>
      </c>
      <c r="E4326" s="1773" cm="1">
        <f t="array" ref="E4326">resilince_num_drrm_camp_ip_f</f>
        <v>0</v>
      </c>
      <c r="F4326" s="46" t="b">
        <v>1</v>
      </c>
    </row>
    <row r="4327" spans="1:6">
      <c r="A4327" s="1773" t="s">
        <v>10470</v>
      </c>
      <c r="B4327" s="46" t="s">
        <v>11263</v>
      </c>
      <c r="C4327" s="1773" t="s">
        <v>10470</v>
      </c>
      <c r="D4327" s="1751" t="s">
        <v>10690</v>
      </c>
      <c r="E4327" s="1773" cm="1">
        <f t="array" ref="E4327">resilince_num_drrm_camp_muslim_m</f>
        <v>0</v>
      </c>
      <c r="F4327" s="46" t="b">
        <v>1</v>
      </c>
    </row>
    <row r="4328" spans="1:6">
      <c r="A4328" s="1773" t="s">
        <v>10471</v>
      </c>
      <c r="B4328" s="46" t="s">
        <v>11263</v>
      </c>
      <c r="C4328" s="1773" t="s">
        <v>10471</v>
      </c>
      <c r="D4328" s="1751" t="s">
        <v>10691</v>
      </c>
      <c r="E4328" s="1773" cm="1">
        <f t="array" ref="E4328">resilince_num_drrm_camp_muslim_f</f>
        <v>0</v>
      </c>
      <c r="F4328" s="46" t="b">
        <v>1</v>
      </c>
    </row>
    <row r="4329" spans="1:6">
      <c r="A4329" s="1773" t="s">
        <v>10472</v>
      </c>
      <c r="B4329" s="46" t="s">
        <v>11263</v>
      </c>
      <c r="C4329" s="1773" t="s">
        <v>10472</v>
      </c>
      <c r="D4329" s="1751" t="s">
        <v>10692</v>
      </c>
      <c r="E4329" s="1773" cm="1">
        <f t="array" ref="E4329">resilince_num_drrm_camp_lwd_m</f>
        <v>0</v>
      </c>
      <c r="F4329" s="46" t="b">
        <v>1</v>
      </c>
    </row>
    <row r="4330" spans="1:6">
      <c r="A4330" s="1773" t="s">
        <v>10473</v>
      </c>
      <c r="B4330" s="46" t="s">
        <v>11263</v>
      </c>
      <c r="C4330" s="1773" t="s">
        <v>10473</v>
      </c>
      <c r="D4330" s="1751" t="s">
        <v>10693</v>
      </c>
      <c r="E4330" s="1773" cm="1">
        <f t="array" ref="E4330">resilince_num_drrm_camp_lwd_f</f>
        <v>0</v>
      </c>
      <c r="F4330" s="46" t="b">
        <v>1</v>
      </c>
    </row>
    <row r="4331" spans="1:6">
      <c r="A4331" s="1773" t="s">
        <v>10474</v>
      </c>
      <c r="B4331" s="46" t="s">
        <v>11263</v>
      </c>
      <c r="C4331" s="1773" t="s">
        <v>10474</v>
      </c>
      <c r="D4331" s="1751" t="s">
        <v>10694</v>
      </c>
      <c r="E4331" s="1773" cm="1">
        <f t="array" ref="E4331">resilince_num_drrm_youth_council_l_m</f>
        <v>0</v>
      </c>
      <c r="F4331" s="46" t="b">
        <v>1</v>
      </c>
    </row>
    <row r="4332" spans="1:6">
      <c r="A4332" s="1773" t="s">
        <v>10475</v>
      </c>
      <c r="B4332" s="46" t="s">
        <v>11263</v>
      </c>
      <c r="C4332" s="1773" t="s">
        <v>10475</v>
      </c>
      <c r="D4332" s="1751" t="s">
        <v>10695</v>
      </c>
      <c r="E4332" s="1773" cm="1">
        <f t="array" ref="E4332">resilince_num_drrm_youth_council_l_f</f>
        <v>0</v>
      </c>
      <c r="F4332" s="46" t="b">
        <v>1</v>
      </c>
    </row>
    <row r="4333" spans="1:6">
      <c r="A4333" s="1773" t="s">
        <v>10476</v>
      </c>
      <c r="B4333" s="46" t="s">
        <v>11263</v>
      </c>
      <c r="C4333" s="1773" t="s">
        <v>10476</v>
      </c>
      <c r="D4333" s="1751" t="s">
        <v>10696</v>
      </c>
      <c r="E4333" s="1773" cm="1">
        <f t="array" ref="E4333">resilince_num_drrm_youth_council_ip_m</f>
        <v>0</v>
      </c>
      <c r="F4333" s="46" t="b">
        <v>1</v>
      </c>
    </row>
    <row r="4334" spans="1:6">
      <c r="A4334" s="1773" t="s">
        <v>10477</v>
      </c>
      <c r="B4334" s="46" t="s">
        <v>11263</v>
      </c>
      <c r="C4334" s="1773" t="s">
        <v>10477</v>
      </c>
      <c r="D4334" s="1751" t="s">
        <v>10697</v>
      </c>
      <c r="E4334" s="1773" cm="1">
        <f t="array" ref="E4334">resilince_num_drrm_youth_council_ip_f</f>
        <v>0</v>
      </c>
      <c r="F4334" s="46" t="b">
        <v>1</v>
      </c>
    </row>
    <row r="4335" spans="1:6">
      <c r="A4335" s="1773" t="s">
        <v>10478</v>
      </c>
      <c r="B4335" s="46" t="s">
        <v>11263</v>
      </c>
      <c r="C4335" s="1773" t="s">
        <v>10478</v>
      </c>
      <c r="D4335" s="1751" t="s">
        <v>10698</v>
      </c>
      <c r="E4335" s="1773" cm="1">
        <f t="array" ref="E4335">resilince_num_drrm_youth_council_muslim_m</f>
        <v>0</v>
      </c>
      <c r="F4335" s="46" t="b">
        <v>1</v>
      </c>
    </row>
    <row r="4336" spans="1:6">
      <c r="A4336" s="1773" t="s">
        <v>10479</v>
      </c>
      <c r="B4336" s="46" t="s">
        <v>11263</v>
      </c>
      <c r="C4336" s="1773" t="s">
        <v>10479</v>
      </c>
      <c r="D4336" s="1751" t="s">
        <v>10699</v>
      </c>
      <c r="E4336" s="1773" cm="1">
        <f t="array" ref="E4336">resilince_num_drrm_youth_council_muslim_f</f>
        <v>0</v>
      </c>
      <c r="F4336" s="46" t="b">
        <v>1</v>
      </c>
    </row>
    <row r="4337" spans="1:6">
      <c r="A4337" s="1773" t="s">
        <v>10480</v>
      </c>
      <c r="B4337" s="46" t="s">
        <v>11263</v>
      </c>
      <c r="C4337" s="1773" t="s">
        <v>10480</v>
      </c>
      <c r="D4337" s="1751" t="s">
        <v>10700</v>
      </c>
      <c r="E4337" s="1773" cm="1">
        <f t="array" ref="E4337">resilince_num_drrm_youth_council_lwd_m</f>
        <v>0</v>
      </c>
      <c r="F4337" s="46" t="b">
        <v>1</v>
      </c>
    </row>
    <row r="4338" spans="1:6">
      <c r="A4338" s="1773" t="s">
        <v>10481</v>
      </c>
      <c r="B4338" s="46" t="s">
        <v>11263</v>
      </c>
      <c r="C4338" s="1773" t="s">
        <v>10481</v>
      </c>
      <c r="D4338" s="1751" t="s">
        <v>10701</v>
      </c>
      <c r="E4338" s="1773" cm="1">
        <f t="array" ref="E4338">resilince_num_drrm_youth_council_lwd_f</f>
        <v>0</v>
      </c>
      <c r="F4338" s="46" t="b">
        <v>1</v>
      </c>
    </row>
    <row r="4339" spans="1:6">
      <c r="A4339" s="1773" t="s">
        <v>10482</v>
      </c>
      <c r="B4339" s="46" t="s">
        <v>11263</v>
      </c>
      <c r="C4339" s="1773" t="s">
        <v>10482</v>
      </c>
      <c r="D4339" s="1751" t="s">
        <v>10702</v>
      </c>
      <c r="E4339" s="1773" cm="1">
        <f t="array" ref="E4339">resilince_num_drrm_youth_act_l_m</f>
        <v>0</v>
      </c>
      <c r="F4339" s="46" t="b">
        <v>1</v>
      </c>
    </row>
    <row r="4340" spans="1:6">
      <c r="A4340" s="1773" t="s">
        <v>10483</v>
      </c>
      <c r="B4340" s="46" t="s">
        <v>11263</v>
      </c>
      <c r="C4340" s="1773" t="s">
        <v>10483</v>
      </c>
      <c r="D4340" s="1751" t="s">
        <v>10703</v>
      </c>
      <c r="E4340" s="1773" cm="1">
        <f t="array" ref="E4340">resilince_num_drrm_youth_act_l_f</f>
        <v>0</v>
      </c>
      <c r="F4340" s="46" t="b">
        <v>1</v>
      </c>
    </row>
    <row r="4341" spans="1:6">
      <c r="A4341" s="1773" t="s">
        <v>10484</v>
      </c>
      <c r="B4341" s="46" t="s">
        <v>11263</v>
      </c>
      <c r="C4341" s="1773" t="s">
        <v>10484</v>
      </c>
      <c r="D4341" s="1751" t="s">
        <v>10704</v>
      </c>
      <c r="E4341" s="1773" cm="1">
        <f t="array" ref="E4341">resilince_num_drrm_youth_act_ip_m</f>
        <v>0</v>
      </c>
      <c r="F4341" s="46" t="b">
        <v>1</v>
      </c>
    </row>
    <row r="4342" spans="1:6">
      <c r="A4342" s="1773" t="s">
        <v>10485</v>
      </c>
      <c r="B4342" s="46" t="s">
        <v>11263</v>
      </c>
      <c r="C4342" s="1773" t="s">
        <v>10485</v>
      </c>
      <c r="D4342" s="1751" t="s">
        <v>10705</v>
      </c>
      <c r="E4342" s="1773" cm="1">
        <f t="array" ref="E4342">resilince_num_drrm_youth_act_ip_f</f>
        <v>0</v>
      </c>
      <c r="F4342" s="46" t="b">
        <v>1</v>
      </c>
    </row>
    <row r="4343" spans="1:6">
      <c r="A4343" s="1773" t="s">
        <v>10486</v>
      </c>
      <c r="B4343" s="46" t="s">
        <v>11263</v>
      </c>
      <c r="C4343" s="1773" t="s">
        <v>10486</v>
      </c>
      <c r="D4343" s="1751" t="s">
        <v>10706</v>
      </c>
      <c r="E4343" s="1773" cm="1">
        <f t="array" ref="E4343">resilince_num_drrm_youth_act_muslim_m</f>
        <v>0</v>
      </c>
      <c r="F4343" s="46" t="b">
        <v>1</v>
      </c>
    </row>
    <row r="4344" spans="1:6">
      <c r="A4344" s="1773" t="s">
        <v>10487</v>
      </c>
      <c r="B4344" s="46" t="s">
        <v>11263</v>
      </c>
      <c r="C4344" s="1773" t="s">
        <v>10487</v>
      </c>
      <c r="D4344" s="1751" t="s">
        <v>10707</v>
      </c>
      <c r="E4344" s="1773" cm="1">
        <f t="array" ref="E4344">resilince_num_drrm_youth_act_muslim_f</f>
        <v>0</v>
      </c>
      <c r="F4344" s="46" t="b">
        <v>1</v>
      </c>
    </row>
    <row r="4345" spans="1:6">
      <c r="A4345" s="1773" t="s">
        <v>10488</v>
      </c>
      <c r="B4345" s="46" t="s">
        <v>11263</v>
      </c>
      <c r="C4345" s="1773" t="s">
        <v>10488</v>
      </c>
      <c r="D4345" s="1751" t="s">
        <v>10708</v>
      </c>
      <c r="E4345" s="1773" cm="1">
        <f t="array" ref="E4345">resilince_num_drrm_youth_act_lwd_m</f>
        <v>0</v>
      </c>
      <c r="F4345" s="46" t="b">
        <v>1</v>
      </c>
    </row>
    <row r="4346" spans="1:6">
      <c r="A4346" s="1773" t="s">
        <v>10489</v>
      </c>
      <c r="B4346" s="46" t="s">
        <v>11263</v>
      </c>
      <c r="C4346" s="1773" t="s">
        <v>10489</v>
      </c>
      <c r="D4346" s="1751" t="s">
        <v>10709</v>
      </c>
      <c r="E4346" s="1773" cm="1">
        <f t="array" ref="E4346">resilince_num_drrm_youth_act_lwd_f</f>
        <v>0</v>
      </c>
      <c r="F4346" s="46" t="b">
        <v>1</v>
      </c>
    </row>
    <row r="4347" spans="1:6">
      <c r="A4347" s="1773" t="s">
        <v>10490</v>
      </c>
      <c r="B4347" s="46" t="s">
        <v>11263</v>
      </c>
      <c r="C4347" s="1773" t="s">
        <v>10490</v>
      </c>
      <c r="D4347" s="1751" t="s">
        <v>10710</v>
      </c>
      <c r="E4347" s="1773" cm="1">
        <f t="array" ref="E4347">resilince_num_drrm_camp_journal_l_m</f>
        <v>0</v>
      </c>
      <c r="F4347" s="46" t="b">
        <v>1</v>
      </c>
    </row>
    <row r="4348" spans="1:6">
      <c r="A4348" s="1773" t="s">
        <v>10491</v>
      </c>
      <c r="B4348" s="46" t="s">
        <v>11263</v>
      </c>
      <c r="C4348" s="1773" t="s">
        <v>10491</v>
      </c>
      <c r="D4348" s="1751" t="s">
        <v>10711</v>
      </c>
      <c r="E4348" s="1773" cm="1">
        <f t="array" ref="E4348">resilince_num_drrm_camp_journal_l_f</f>
        <v>0</v>
      </c>
      <c r="F4348" s="46" t="b">
        <v>1</v>
      </c>
    </row>
    <row r="4349" spans="1:6">
      <c r="A4349" s="1773" t="s">
        <v>10492</v>
      </c>
      <c r="B4349" s="46" t="s">
        <v>11263</v>
      </c>
      <c r="C4349" s="1773" t="s">
        <v>10492</v>
      </c>
      <c r="D4349" s="1751" t="s">
        <v>10712</v>
      </c>
      <c r="E4349" s="1773" cm="1">
        <f t="array" ref="E4349">resilince_num_drrm_camp_journal_ip_m</f>
        <v>0</v>
      </c>
      <c r="F4349" s="46" t="b">
        <v>1</v>
      </c>
    </row>
    <row r="4350" spans="1:6">
      <c r="A4350" s="1773" t="s">
        <v>10493</v>
      </c>
      <c r="B4350" s="46" t="s">
        <v>11263</v>
      </c>
      <c r="C4350" s="1773" t="s">
        <v>10493</v>
      </c>
      <c r="D4350" s="1751" t="s">
        <v>10713</v>
      </c>
      <c r="E4350" s="1773" cm="1">
        <f t="array" ref="E4350">resilince_num_drrm_camp_journal_ip_f</f>
        <v>0</v>
      </c>
      <c r="F4350" s="46" t="b">
        <v>1</v>
      </c>
    </row>
    <row r="4351" spans="1:6">
      <c r="A4351" s="1773" t="s">
        <v>10494</v>
      </c>
      <c r="B4351" s="46" t="s">
        <v>11263</v>
      </c>
      <c r="C4351" s="1773" t="s">
        <v>10494</v>
      </c>
      <c r="D4351" s="1751" t="s">
        <v>10714</v>
      </c>
      <c r="E4351" s="1773" cm="1">
        <f t="array" ref="E4351">resilince_num_drrm_camp_journal_muslim_m</f>
        <v>0</v>
      </c>
      <c r="F4351" s="46" t="b">
        <v>1</v>
      </c>
    </row>
    <row r="4352" spans="1:6">
      <c r="A4352" s="1773" t="s">
        <v>10495</v>
      </c>
      <c r="B4352" s="46" t="s">
        <v>11263</v>
      </c>
      <c r="C4352" s="1773" t="s">
        <v>10495</v>
      </c>
      <c r="D4352" s="1751" t="s">
        <v>10715</v>
      </c>
      <c r="E4352" s="1773" cm="1">
        <f t="array" ref="E4352">resilince_num_drrm_camp_journal_muslim_f</f>
        <v>0</v>
      </c>
      <c r="F4352" s="46" t="b">
        <v>1</v>
      </c>
    </row>
    <row r="4353" spans="1:6">
      <c r="A4353" s="1773" t="s">
        <v>10496</v>
      </c>
      <c r="B4353" s="46" t="s">
        <v>11263</v>
      </c>
      <c r="C4353" s="1773" t="s">
        <v>10496</v>
      </c>
      <c r="D4353" s="1751" t="s">
        <v>10716</v>
      </c>
      <c r="E4353" s="1773" cm="1">
        <f t="array" ref="E4353">resilince_num_drrm_camp_journal_lwd_m</f>
        <v>0</v>
      </c>
      <c r="F4353" s="46" t="b">
        <v>1</v>
      </c>
    </row>
    <row r="4354" spans="1:6">
      <c r="A4354" s="1773" t="s">
        <v>10497</v>
      </c>
      <c r="B4354" s="46" t="s">
        <v>11263</v>
      </c>
      <c r="C4354" s="1773" t="s">
        <v>10497</v>
      </c>
      <c r="D4354" s="1751" t="s">
        <v>10717</v>
      </c>
      <c r="E4354" s="1773" cm="1">
        <f t="array" ref="E4354">resilince_num_drrm_camp_journal_lwd_f</f>
        <v>0</v>
      </c>
      <c r="F4354" s="46" t="b">
        <v>1</v>
      </c>
    </row>
    <row r="4355" spans="1:6">
      <c r="A4355" s="1773" t="s">
        <v>10498</v>
      </c>
      <c r="B4355" s="46" t="s">
        <v>11263</v>
      </c>
      <c r="C4355" s="1773" t="s">
        <v>10498</v>
      </c>
      <c r="D4355" s="1751" t="s">
        <v>10718</v>
      </c>
      <c r="E4355" s="1773" cm="1">
        <f t="array" ref="E4355">resilince_num_drrm_others_l_m</f>
        <v>0</v>
      </c>
      <c r="F4355" s="46" t="b">
        <v>1</v>
      </c>
    </row>
    <row r="4356" spans="1:6">
      <c r="A4356" s="1773" t="s">
        <v>10499</v>
      </c>
      <c r="B4356" s="46" t="s">
        <v>11263</v>
      </c>
      <c r="C4356" s="1773" t="s">
        <v>10499</v>
      </c>
      <c r="D4356" s="1751" t="s">
        <v>10719</v>
      </c>
      <c r="E4356" s="1773" cm="1">
        <f t="array" ref="E4356">resilince_num_drrm_others_l_f</f>
        <v>0</v>
      </c>
      <c r="F4356" s="46" t="b">
        <v>1</v>
      </c>
    </row>
    <row r="4357" spans="1:6">
      <c r="A4357" s="1773" t="s">
        <v>10500</v>
      </c>
      <c r="B4357" s="46" t="s">
        <v>11263</v>
      </c>
      <c r="C4357" s="1773" t="s">
        <v>10500</v>
      </c>
      <c r="D4357" s="1751" t="s">
        <v>10720</v>
      </c>
      <c r="E4357" s="1773" cm="1">
        <f t="array" ref="E4357">resilince_num_drrm_others_ip_m</f>
        <v>0</v>
      </c>
      <c r="F4357" s="46" t="b">
        <v>1</v>
      </c>
    </row>
    <row r="4358" spans="1:6">
      <c r="A4358" s="1773" t="s">
        <v>10501</v>
      </c>
      <c r="B4358" s="46" t="s">
        <v>11263</v>
      </c>
      <c r="C4358" s="1773" t="s">
        <v>10501</v>
      </c>
      <c r="D4358" s="1751" t="s">
        <v>10721</v>
      </c>
      <c r="E4358" s="1773" cm="1">
        <f t="array" ref="E4358">resilince_num_drrm_others_ip_f</f>
        <v>0</v>
      </c>
      <c r="F4358" s="46" t="b">
        <v>1</v>
      </c>
    </row>
    <row r="4359" spans="1:6">
      <c r="A4359" s="1773" t="s">
        <v>10502</v>
      </c>
      <c r="B4359" s="46" t="s">
        <v>11263</v>
      </c>
      <c r="C4359" s="1773" t="s">
        <v>10502</v>
      </c>
      <c r="D4359" s="1751" t="s">
        <v>10722</v>
      </c>
      <c r="E4359" s="1773" cm="1">
        <f t="array" ref="E4359">resilince_num_drrm_others_muslim_m</f>
        <v>0</v>
      </c>
      <c r="F4359" s="46" t="b">
        <v>1</v>
      </c>
    </row>
    <row r="4360" spans="1:6">
      <c r="A4360" s="1773" t="s">
        <v>10503</v>
      </c>
      <c r="B4360" s="46" t="s">
        <v>11263</v>
      </c>
      <c r="C4360" s="1773" t="s">
        <v>10503</v>
      </c>
      <c r="D4360" s="1751" t="s">
        <v>10723</v>
      </c>
      <c r="E4360" s="1773" cm="1">
        <f t="array" ref="E4360">resilince_num_drrm_others_muslim_f</f>
        <v>0</v>
      </c>
      <c r="F4360" s="46" t="b">
        <v>1</v>
      </c>
    </row>
    <row r="4361" spans="1:6">
      <c r="A4361" s="1773" t="s">
        <v>10504</v>
      </c>
      <c r="B4361" s="46" t="s">
        <v>11263</v>
      </c>
      <c r="C4361" s="1773" t="s">
        <v>10504</v>
      </c>
      <c r="D4361" s="1751" t="s">
        <v>10724</v>
      </c>
      <c r="E4361" s="1773" cm="1">
        <f t="array" ref="E4361">resilince_num_drrm_others_lwd_m</f>
        <v>0</v>
      </c>
      <c r="F4361" s="46" t="b">
        <v>1</v>
      </c>
    </row>
    <row r="4362" spans="1:6">
      <c r="A4362" s="1773" t="s">
        <v>10505</v>
      </c>
      <c r="B4362" s="46" t="s">
        <v>11263</v>
      </c>
      <c r="C4362" s="1773" t="s">
        <v>10505</v>
      </c>
      <c r="D4362" s="1751" t="s">
        <v>10725</v>
      </c>
      <c r="E4362" s="1773" cm="1">
        <f t="array" ref="E4362">resilince_num_drrm_others_lwd_f</f>
        <v>0</v>
      </c>
      <c r="F4362" s="46" t="b">
        <v>1</v>
      </c>
    </row>
    <row r="4363" spans="1:6">
      <c r="A4363" s="1773" t="s">
        <v>10869</v>
      </c>
      <c r="B4363" s="46" t="s">
        <v>11263</v>
      </c>
      <c r="C4363" s="1773" t="s">
        <v>10869</v>
      </c>
      <c r="D4363" s="1751" t="s">
        <v>10726</v>
      </c>
      <c r="E4363" s="1773" cm="1">
        <f t="array" ref="E4363">resilince_num_drrm_learners_others_specify</f>
        <v>0</v>
      </c>
      <c r="F4363" s="46" t="b">
        <v>1</v>
      </c>
    </row>
    <row r="4364" spans="1:6">
      <c r="A4364" s="1773" t="s">
        <v>10506</v>
      </c>
      <c r="B4364" s="46" t="s">
        <v>11263</v>
      </c>
      <c r="C4364" s="1773" t="s">
        <v>10506</v>
      </c>
      <c r="D4364" s="1751" t="s">
        <v>10727</v>
      </c>
      <c r="E4364" s="1773" cm="1">
        <f t="array" ref="E4364">resilince_num_ccam_arts_l_m</f>
        <v>0</v>
      </c>
      <c r="F4364" s="46" t="b">
        <v>1</v>
      </c>
    </row>
    <row r="4365" spans="1:6">
      <c r="A4365" s="1773" t="s">
        <v>10507</v>
      </c>
      <c r="B4365" s="46" t="s">
        <v>11263</v>
      </c>
      <c r="C4365" s="1773" t="s">
        <v>10507</v>
      </c>
      <c r="D4365" s="1751" t="s">
        <v>10728</v>
      </c>
      <c r="E4365" s="1773" cm="1">
        <f t="array" ref="E4365">resilince_num_ccam_arts_l_f</f>
        <v>0</v>
      </c>
      <c r="F4365" s="46" t="b">
        <v>1</v>
      </c>
    </row>
    <row r="4366" spans="1:6">
      <c r="A4366" s="1773" t="s">
        <v>10508</v>
      </c>
      <c r="B4366" s="46" t="s">
        <v>11263</v>
      </c>
      <c r="C4366" s="1773" t="s">
        <v>10508</v>
      </c>
      <c r="D4366" s="1751" t="s">
        <v>10729</v>
      </c>
      <c r="E4366" s="1773" cm="1">
        <f t="array" ref="E4366">resilince_num_ccam_arts_ip_m</f>
        <v>0</v>
      </c>
      <c r="F4366" s="46" t="b">
        <v>1</v>
      </c>
    </row>
    <row r="4367" spans="1:6">
      <c r="A4367" s="1773" t="s">
        <v>10509</v>
      </c>
      <c r="B4367" s="46" t="s">
        <v>11263</v>
      </c>
      <c r="C4367" s="1773" t="s">
        <v>10509</v>
      </c>
      <c r="D4367" s="1751" t="s">
        <v>10730</v>
      </c>
      <c r="E4367" s="1773" cm="1">
        <f t="array" ref="E4367">resilince_num_ccam_arts_ip_f</f>
        <v>0</v>
      </c>
      <c r="F4367" s="46" t="b">
        <v>1</v>
      </c>
    </row>
    <row r="4368" spans="1:6">
      <c r="A4368" s="1773" t="s">
        <v>10510</v>
      </c>
      <c r="B4368" s="46" t="s">
        <v>11263</v>
      </c>
      <c r="C4368" s="1773" t="s">
        <v>10510</v>
      </c>
      <c r="D4368" s="1751" t="s">
        <v>10731</v>
      </c>
      <c r="E4368" s="1773" cm="1">
        <f t="array" ref="E4368">resilince_num_ccam_arts_muslim_m</f>
        <v>0</v>
      </c>
      <c r="F4368" s="46" t="b">
        <v>1</v>
      </c>
    </row>
    <row r="4369" spans="1:6">
      <c r="A4369" s="1773" t="s">
        <v>10511</v>
      </c>
      <c r="B4369" s="46" t="s">
        <v>11263</v>
      </c>
      <c r="C4369" s="1773" t="s">
        <v>10511</v>
      </c>
      <c r="D4369" s="1751" t="s">
        <v>10732</v>
      </c>
      <c r="E4369" s="1773" cm="1">
        <f t="array" ref="E4369">resilince_num_ccam_arts_muslim_f</f>
        <v>0</v>
      </c>
      <c r="F4369" s="46" t="b">
        <v>1</v>
      </c>
    </row>
    <row r="4370" spans="1:6">
      <c r="A4370" s="1773" t="s">
        <v>10512</v>
      </c>
      <c r="B4370" s="46" t="s">
        <v>11263</v>
      </c>
      <c r="C4370" s="1773" t="s">
        <v>10512</v>
      </c>
      <c r="D4370" s="1751" t="s">
        <v>10733</v>
      </c>
      <c r="E4370" s="1773" cm="1">
        <f t="array" ref="E4370">resilince_num_ccam_arts_lwd_m</f>
        <v>0</v>
      </c>
      <c r="F4370" s="46" t="b">
        <v>1</v>
      </c>
    </row>
    <row r="4371" spans="1:6">
      <c r="A4371" s="1773" t="s">
        <v>10513</v>
      </c>
      <c r="B4371" s="46" t="s">
        <v>11263</v>
      </c>
      <c r="C4371" s="1773" t="s">
        <v>10513</v>
      </c>
      <c r="D4371" s="1751" t="s">
        <v>10734</v>
      </c>
      <c r="E4371" s="1773" cm="1">
        <f t="array" ref="E4371">resilince_num_ccam_arts_lwd_f</f>
        <v>0</v>
      </c>
      <c r="F4371" s="46" t="b">
        <v>1</v>
      </c>
    </row>
    <row r="4372" spans="1:6">
      <c r="A4372" s="1773" t="s">
        <v>10514</v>
      </c>
      <c r="B4372" s="46" t="s">
        <v>11263</v>
      </c>
      <c r="C4372" s="1773" t="s">
        <v>10514</v>
      </c>
      <c r="D4372" s="1751" t="s">
        <v>10735</v>
      </c>
      <c r="E4372" s="1773" cm="1">
        <f t="array" ref="E4372">resilince_num_ccam_climate_action_l_m</f>
        <v>0</v>
      </c>
      <c r="F4372" s="46" t="b">
        <v>1</v>
      </c>
    </row>
    <row r="4373" spans="1:6">
      <c r="A4373" s="1773" t="s">
        <v>10515</v>
      </c>
      <c r="B4373" s="46" t="s">
        <v>11263</v>
      </c>
      <c r="C4373" s="1773" t="s">
        <v>10515</v>
      </c>
      <c r="D4373" s="1751" t="s">
        <v>10736</v>
      </c>
      <c r="E4373" s="1773" cm="1">
        <f t="array" ref="E4373">resilince_num_ccam_climate_action_l_f</f>
        <v>0</v>
      </c>
      <c r="F4373" s="46" t="b">
        <v>1</v>
      </c>
    </row>
    <row r="4374" spans="1:6">
      <c r="A4374" s="1773" t="s">
        <v>10516</v>
      </c>
      <c r="B4374" s="46" t="s">
        <v>11263</v>
      </c>
      <c r="C4374" s="1773" t="s">
        <v>10516</v>
      </c>
      <c r="D4374" s="1751" t="s">
        <v>10737</v>
      </c>
      <c r="E4374" s="1773" cm="1">
        <f t="array" ref="E4374">resilince_num_ccam_climate_action_ip_m</f>
        <v>0</v>
      </c>
      <c r="F4374" s="46" t="b">
        <v>1</v>
      </c>
    </row>
    <row r="4375" spans="1:6">
      <c r="A4375" s="1773" t="s">
        <v>10517</v>
      </c>
      <c r="B4375" s="46" t="s">
        <v>11263</v>
      </c>
      <c r="C4375" s="1773" t="s">
        <v>10517</v>
      </c>
      <c r="D4375" s="1751" t="s">
        <v>10738</v>
      </c>
      <c r="E4375" s="1773" cm="1">
        <f t="array" ref="E4375">resilince_num_ccam_climate_action_ip_f</f>
        <v>0</v>
      </c>
      <c r="F4375" s="46" t="b">
        <v>1</v>
      </c>
    </row>
    <row r="4376" spans="1:6">
      <c r="A4376" s="1773" t="s">
        <v>10518</v>
      </c>
      <c r="B4376" s="46" t="s">
        <v>11263</v>
      </c>
      <c r="C4376" s="1773" t="s">
        <v>10518</v>
      </c>
      <c r="D4376" s="1751" t="s">
        <v>10739</v>
      </c>
      <c r="E4376" s="1773" cm="1">
        <f t="array" ref="E4376">resilince_num_ccam_climate_action_muslim_m</f>
        <v>0</v>
      </c>
      <c r="F4376" s="46" t="b">
        <v>1</v>
      </c>
    </row>
    <row r="4377" spans="1:6">
      <c r="A4377" s="1773" t="s">
        <v>10519</v>
      </c>
      <c r="B4377" s="46" t="s">
        <v>11263</v>
      </c>
      <c r="C4377" s="1773" t="s">
        <v>10519</v>
      </c>
      <c r="D4377" s="1751" t="s">
        <v>10740</v>
      </c>
      <c r="E4377" s="1773" cm="1">
        <f t="array" ref="E4377">resilince_num_ccam_climate_action_muslim_f</f>
        <v>0</v>
      </c>
      <c r="F4377" s="46" t="b">
        <v>1</v>
      </c>
    </row>
    <row r="4378" spans="1:6">
      <c r="A4378" s="1773" t="s">
        <v>10520</v>
      </c>
      <c r="B4378" s="46" t="s">
        <v>11263</v>
      </c>
      <c r="C4378" s="1773" t="s">
        <v>10520</v>
      </c>
      <c r="D4378" s="1751" t="s">
        <v>10741</v>
      </c>
      <c r="E4378" s="1773" cm="1">
        <f t="array" ref="E4378">resilince_num_ccam_climate_action_lwd_m</f>
        <v>0</v>
      </c>
      <c r="F4378" s="46" t="b">
        <v>1</v>
      </c>
    </row>
    <row r="4379" spans="1:6">
      <c r="A4379" s="1773" t="s">
        <v>10521</v>
      </c>
      <c r="B4379" s="46" t="s">
        <v>11263</v>
      </c>
      <c r="C4379" s="1773" t="s">
        <v>10521</v>
      </c>
      <c r="D4379" s="1751" t="s">
        <v>10742</v>
      </c>
      <c r="E4379" s="1773" cm="1">
        <f t="array" ref="E4379">resilince_num_ccam_climate_action_lwd_f</f>
        <v>0</v>
      </c>
      <c r="F4379" s="46" t="b">
        <v>1</v>
      </c>
    </row>
    <row r="4380" spans="1:6">
      <c r="A4380" s="1773" t="s">
        <v>10522</v>
      </c>
      <c r="B4380" s="46" t="s">
        <v>11263</v>
      </c>
      <c r="C4380" s="1773" t="s">
        <v>10522</v>
      </c>
      <c r="D4380" s="1751" t="s">
        <v>10743</v>
      </c>
      <c r="E4380" s="1773" cm="1">
        <f t="array" ref="E4380">resilince_num_ccam_climate_change_l_m</f>
        <v>0</v>
      </c>
      <c r="F4380" s="46" t="b">
        <v>1</v>
      </c>
    </row>
    <row r="4381" spans="1:6">
      <c r="A4381" s="1773" t="s">
        <v>10523</v>
      </c>
      <c r="B4381" s="46" t="s">
        <v>11263</v>
      </c>
      <c r="C4381" s="1773" t="s">
        <v>10523</v>
      </c>
      <c r="D4381" s="1751" t="s">
        <v>10744</v>
      </c>
      <c r="E4381" s="1773" cm="1">
        <f t="array" ref="E4381">resilince_num_ccam_climate_change_l_f</f>
        <v>0</v>
      </c>
      <c r="F4381" s="46" t="b">
        <v>1</v>
      </c>
    </row>
    <row r="4382" spans="1:6">
      <c r="A4382" s="1773" t="s">
        <v>10524</v>
      </c>
      <c r="B4382" s="46" t="s">
        <v>11263</v>
      </c>
      <c r="C4382" s="1773" t="s">
        <v>10524</v>
      </c>
      <c r="D4382" s="1751" t="s">
        <v>10745</v>
      </c>
      <c r="E4382" s="1773" cm="1">
        <f t="array" ref="E4382">resilince_num_ccam_climate_change_ip_m</f>
        <v>0</v>
      </c>
      <c r="F4382" s="46" t="b">
        <v>1</v>
      </c>
    </row>
    <row r="4383" spans="1:6">
      <c r="A4383" s="1773" t="s">
        <v>10525</v>
      </c>
      <c r="B4383" s="46" t="s">
        <v>11263</v>
      </c>
      <c r="C4383" s="1773" t="s">
        <v>10525</v>
      </c>
      <c r="D4383" s="1751" t="s">
        <v>10746</v>
      </c>
      <c r="E4383" s="1773" cm="1">
        <f t="array" ref="E4383">resilince_num_ccam_climate_change_ip_f</f>
        <v>0</v>
      </c>
      <c r="F4383" s="46" t="b">
        <v>1</v>
      </c>
    </row>
    <row r="4384" spans="1:6">
      <c r="A4384" s="1773" t="s">
        <v>10526</v>
      </c>
      <c r="B4384" s="46" t="s">
        <v>11263</v>
      </c>
      <c r="C4384" s="1773" t="s">
        <v>10526</v>
      </c>
      <c r="D4384" s="1751" t="s">
        <v>10747</v>
      </c>
      <c r="E4384" s="1773" cm="1">
        <f t="array" ref="E4384">resilince_num_ccam_climate_change_muslim_m</f>
        <v>0</v>
      </c>
      <c r="F4384" s="46" t="b">
        <v>1</v>
      </c>
    </row>
    <row r="4385" spans="1:6">
      <c r="A4385" s="1773" t="s">
        <v>10527</v>
      </c>
      <c r="B4385" s="46" t="s">
        <v>11263</v>
      </c>
      <c r="C4385" s="1773" t="s">
        <v>10527</v>
      </c>
      <c r="D4385" s="1751" t="s">
        <v>10748</v>
      </c>
      <c r="E4385" s="1773" cm="1">
        <f t="array" ref="E4385">resilince_num_ccam_climate_change_muslim_f</f>
        <v>0</v>
      </c>
      <c r="F4385" s="46" t="b">
        <v>1</v>
      </c>
    </row>
    <row r="4386" spans="1:6">
      <c r="A4386" s="1773" t="s">
        <v>10528</v>
      </c>
      <c r="B4386" s="46" t="s">
        <v>11263</v>
      </c>
      <c r="C4386" s="1773" t="s">
        <v>10528</v>
      </c>
      <c r="D4386" s="1751" t="s">
        <v>10749</v>
      </c>
      <c r="E4386" s="1773" cm="1">
        <f t="array" ref="E4386">resilince_num_ccam_climate_change_lwd_m</f>
        <v>0</v>
      </c>
      <c r="F4386" s="46" t="b">
        <v>1</v>
      </c>
    </row>
    <row r="4387" spans="1:6">
      <c r="A4387" s="1773" t="s">
        <v>10529</v>
      </c>
      <c r="B4387" s="46" t="s">
        <v>11263</v>
      </c>
      <c r="C4387" s="1773" t="s">
        <v>10529</v>
      </c>
      <c r="D4387" s="1751" t="s">
        <v>10750</v>
      </c>
      <c r="E4387" s="1773" cm="1">
        <f t="array" ref="E4387">resilince_num_ccam_climate_change_lwd_f</f>
        <v>0</v>
      </c>
      <c r="F4387" s="46" t="b">
        <v>1</v>
      </c>
    </row>
    <row r="4388" spans="1:6">
      <c r="A4388" s="1773" t="s">
        <v>10530</v>
      </c>
      <c r="B4388" s="46" t="s">
        <v>11263</v>
      </c>
      <c r="C4388" s="1773" t="s">
        <v>10530</v>
      </c>
      <c r="D4388" s="1751" t="s">
        <v>10751</v>
      </c>
      <c r="E4388" s="1773" cm="1">
        <f t="array" ref="E4388">resilince_num_ccam_enviro_journal_l_m</f>
        <v>0</v>
      </c>
      <c r="F4388" s="46" t="b">
        <v>1</v>
      </c>
    </row>
    <row r="4389" spans="1:6">
      <c r="A4389" s="1773" t="s">
        <v>10531</v>
      </c>
      <c r="B4389" s="46" t="s">
        <v>11263</v>
      </c>
      <c r="C4389" s="1773" t="s">
        <v>10531</v>
      </c>
      <c r="D4389" s="1751" t="s">
        <v>10752</v>
      </c>
      <c r="E4389" s="1773" cm="1">
        <f t="array" ref="E4389">resilince_num_ccam_enviro_journal_l_f</f>
        <v>0</v>
      </c>
      <c r="F4389" s="46" t="b">
        <v>1</v>
      </c>
    </row>
    <row r="4390" spans="1:6">
      <c r="A4390" s="1773" t="s">
        <v>10532</v>
      </c>
      <c r="B4390" s="46" t="s">
        <v>11263</v>
      </c>
      <c r="C4390" s="1773" t="s">
        <v>10532</v>
      </c>
      <c r="D4390" s="1751" t="s">
        <v>10753</v>
      </c>
      <c r="E4390" s="1773" cm="1">
        <f t="array" ref="E4390">resilince_num_ccam_enviro_journal_ip_m</f>
        <v>0</v>
      </c>
      <c r="F4390" s="46" t="b">
        <v>1</v>
      </c>
    </row>
    <row r="4391" spans="1:6">
      <c r="A4391" s="1773" t="s">
        <v>10533</v>
      </c>
      <c r="B4391" s="46" t="s">
        <v>11263</v>
      </c>
      <c r="C4391" s="1773" t="s">
        <v>10533</v>
      </c>
      <c r="D4391" s="1751" t="s">
        <v>10754</v>
      </c>
      <c r="E4391" s="1773" cm="1">
        <f t="array" ref="E4391">resilince_num_ccam_enviro_journal_ip_f</f>
        <v>0</v>
      </c>
      <c r="F4391" s="46" t="b">
        <v>1</v>
      </c>
    </row>
    <row r="4392" spans="1:6">
      <c r="A4392" s="1773" t="s">
        <v>10534</v>
      </c>
      <c r="B4392" s="46" t="s">
        <v>11263</v>
      </c>
      <c r="C4392" s="1773" t="s">
        <v>10534</v>
      </c>
      <c r="D4392" s="1751" t="s">
        <v>10755</v>
      </c>
      <c r="E4392" s="1773" cm="1">
        <f t="array" ref="E4392">resilince_num_ccam_enviro_journal_muslim_m</f>
        <v>0</v>
      </c>
      <c r="F4392" s="46" t="b">
        <v>1</v>
      </c>
    </row>
    <row r="4393" spans="1:6">
      <c r="A4393" s="1773" t="s">
        <v>10535</v>
      </c>
      <c r="B4393" s="46" t="s">
        <v>11263</v>
      </c>
      <c r="C4393" s="1773" t="s">
        <v>10535</v>
      </c>
      <c r="D4393" s="1751" t="s">
        <v>10756</v>
      </c>
      <c r="E4393" s="1773" cm="1">
        <f t="array" ref="E4393">resilince_num_ccam_enviro_journal_muslim_f</f>
        <v>0</v>
      </c>
      <c r="F4393" s="46" t="b">
        <v>1</v>
      </c>
    </row>
    <row r="4394" spans="1:6">
      <c r="A4394" s="1773" t="s">
        <v>10536</v>
      </c>
      <c r="B4394" s="46" t="s">
        <v>11263</v>
      </c>
      <c r="C4394" s="1773" t="s">
        <v>10536</v>
      </c>
      <c r="D4394" s="1751" t="s">
        <v>10757</v>
      </c>
      <c r="E4394" s="1773" cm="1">
        <f t="array" ref="E4394">resilince_num_ccam_enviro_journal_lwd_m</f>
        <v>0</v>
      </c>
      <c r="F4394" s="46" t="b">
        <v>1</v>
      </c>
    </row>
    <row r="4395" spans="1:6">
      <c r="A4395" s="1773" t="s">
        <v>10537</v>
      </c>
      <c r="B4395" s="46" t="s">
        <v>11263</v>
      </c>
      <c r="C4395" s="1773" t="s">
        <v>10537</v>
      </c>
      <c r="D4395" s="1751" t="s">
        <v>10758</v>
      </c>
      <c r="E4395" s="1773" cm="1">
        <f t="array" ref="E4395">resilince_num_ccam_enviro_journal_lwd_f</f>
        <v>0</v>
      </c>
      <c r="F4395" s="46" t="b">
        <v>1</v>
      </c>
    </row>
    <row r="4396" spans="1:6">
      <c r="A4396" s="1773" t="s">
        <v>10538</v>
      </c>
      <c r="B4396" s="46" t="s">
        <v>11263</v>
      </c>
      <c r="C4396" s="1773" t="s">
        <v>10538</v>
      </c>
      <c r="D4396" s="1751" t="s">
        <v>10759</v>
      </c>
      <c r="E4396" s="1773" cm="1">
        <f t="array" ref="E4396">resilince_num_ccam_gulayan_l_m</f>
        <v>24</v>
      </c>
      <c r="F4396" s="46" t="b">
        <v>1</v>
      </c>
    </row>
    <row r="4397" spans="1:6">
      <c r="A4397" s="1773" t="s">
        <v>10539</v>
      </c>
      <c r="B4397" s="46" t="s">
        <v>11263</v>
      </c>
      <c r="C4397" s="1773" t="s">
        <v>10539</v>
      </c>
      <c r="D4397" s="1751" t="s">
        <v>10760</v>
      </c>
      <c r="E4397" s="1773" cm="1">
        <f t="array" ref="E4397">resilince_num_ccam_gulayan_l_f</f>
        <v>22</v>
      </c>
      <c r="F4397" s="46" t="b">
        <v>1</v>
      </c>
    </row>
    <row r="4398" spans="1:6">
      <c r="A4398" s="1773" t="s">
        <v>10540</v>
      </c>
      <c r="B4398" s="46" t="s">
        <v>11263</v>
      </c>
      <c r="C4398" s="1773" t="s">
        <v>10540</v>
      </c>
      <c r="D4398" s="1751" t="s">
        <v>10761</v>
      </c>
      <c r="E4398" s="1773" cm="1">
        <f t="array" ref="E4398">resilince_num_ccam_gulayan_ip_m</f>
        <v>0</v>
      </c>
      <c r="F4398" s="46" t="b">
        <v>1</v>
      </c>
    </row>
    <row r="4399" spans="1:6">
      <c r="A4399" s="1773" t="s">
        <v>10541</v>
      </c>
      <c r="B4399" s="46" t="s">
        <v>11263</v>
      </c>
      <c r="C4399" s="1773" t="s">
        <v>10541</v>
      </c>
      <c r="D4399" s="1751" t="s">
        <v>10762</v>
      </c>
      <c r="E4399" s="1773" cm="1">
        <f t="array" ref="E4399">resilince_num_ccam_gulayan_ip_f</f>
        <v>0</v>
      </c>
      <c r="F4399" s="46" t="b">
        <v>1</v>
      </c>
    </row>
    <row r="4400" spans="1:6">
      <c r="A4400" s="1773" t="s">
        <v>10542</v>
      </c>
      <c r="B4400" s="46" t="s">
        <v>11263</v>
      </c>
      <c r="C4400" s="1773" t="s">
        <v>10542</v>
      </c>
      <c r="D4400" s="1751" t="s">
        <v>10763</v>
      </c>
      <c r="E4400" s="1773" cm="1">
        <f t="array" ref="E4400">resilince_num_ccam_gulayan_muslim_m</f>
        <v>0</v>
      </c>
      <c r="F4400" s="46" t="b">
        <v>1</v>
      </c>
    </row>
    <row r="4401" spans="1:6">
      <c r="A4401" s="1773" t="s">
        <v>10543</v>
      </c>
      <c r="B4401" s="46" t="s">
        <v>11263</v>
      </c>
      <c r="C4401" s="1773" t="s">
        <v>10543</v>
      </c>
      <c r="D4401" s="1751" t="s">
        <v>10764</v>
      </c>
      <c r="E4401" s="1773" cm="1">
        <f t="array" ref="E4401">resilince_num_ccam_gulayan_muslim_f</f>
        <v>0</v>
      </c>
      <c r="F4401" s="46" t="b">
        <v>1</v>
      </c>
    </row>
    <row r="4402" spans="1:6">
      <c r="A4402" s="1773" t="s">
        <v>10544</v>
      </c>
      <c r="B4402" s="46" t="s">
        <v>11263</v>
      </c>
      <c r="C4402" s="1773" t="s">
        <v>10544</v>
      </c>
      <c r="D4402" s="1751" t="s">
        <v>10765</v>
      </c>
      <c r="E4402" s="1773" cm="1">
        <f t="array" ref="E4402">resilince_num_ccam_gulayan_lwd_m</f>
        <v>0</v>
      </c>
      <c r="F4402" s="46" t="b">
        <v>1</v>
      </c>
    </row>
    <row r="4403" spans="1:6">
      <c r="A4403" s="1773" t="s">
        <v>10545</v>
      </c>
      <c r="B4403" s="46" t="s">
        <v>11263</v>
      </c>
      <c r="C4403" s="1773" t="s">
        <v>10545</v>
      </c>
      <c r="D4403" s="1751" t="s">
        <v>10766</v>
      </c>
      <c r="E4403" s="1773" cm="1">
        <f t="array" ref="E4403">resilince_num_ccam_gulayan_lwd_f</f>
        <v>0</v>
      </c>
      <c r="F4403" s="46" t="b">
        <v>1</v>
      </c>
    </row>
    <row r="4404" spans="1:6">
      <c r="A4404" s="1773" t="s">
        <v>10546</v>
      </c>
      <c r="B4404" s="46" t="s">
        <v>11263</v>
      </c>
      <c r="C4404" s="1773" t="s">
        <v>10546</v>
      </c>
      <c r="D4404" s="1751" t="s">
        <v>10767</v>
      </c>
      <c r="E4404" s="1773" cm="1">
        <f t="array" ref="E4404">resilince_num_ccam_kalikhasan_l_m</f>
        <v>0</v>
      </c>
      <c r="F4404" s="46" t="b">
        <v>1</v>
      </c>
    </row>
    <row r="4405" spans="1:6">
      <c r="A4405" s="1773" t="s">
        <v>10547</v>
      </c>
      <c r="B4405" s="46" t="s">
        <v>11263</v>
      </c>
      <c r="C4405" s="1773" t="s">
        <v>10547</v>
      </c>
      <c r="D4405" s="1751" t="s">
        <v>10768</v>
      </c>
      <c r="E4405" s="1773" cm="1">
        <f t="array" ref="E4405">resilince_num_ccam_kalikhasan_l_f</f>
        <v>0</v>
      </c>
      <c r="F4405" s="46" t="b">
        <v>1</v>
      </c>
    </row>
    <row r="4406" spans="1:6">
      <c r="A4406" s="1773" t="s">
        <v>10548</v>
      </c>
      <c r="B4406" s="46" t="s">
        <v>11263</v>
      </c>
      <c r="C4406" s="1773" t="s">
        <v>10548</v>
      </c>
      <c r="D4406" s="1751" t="s">
        <v>10769</v>
      </c>
      <c r="E4406" s="1773" cm="1">
        <f t="array" ref="E4406">resilince_num_ccam_kalikhasan_ip_m</f>
        <v>0</v>
      </c>
      <c r="F4406" s="46" t="b">
        <v>1</v>
      </c>
    </row>
    <row r="4407" spans="1:6">
      <c r="A4407" s="1773" t="s">
        <v>10549</v>
      </c>
      <c r="B4407" s="46" t="s">
        <v>11263</v>
      </c>
      <c r="C4407" s="1773" t="s">
        <v>10549</v>
      </c>
      <c r="D4407" s="1751" t="s">
        <v>10770</v>
      </c>
      <c r="E4407" s="1773" cm="1">
        <f t="array" ref="E4407">resilince_num_ccam_kalikhasan_ip_f</f>
        <v>0</v>
      </c>
      <c r="F4407" s="46" t="b">
        <v>1</v>
      </c>
    </row>
    <row r="4408" spans="1:6">
      <c r="A4408" s="1773" t="s">
        <v>10550</v>
      </c>
      <c r="B4408" s="46" t="s">
        <v>11263</v>
      </c>
      <c r="C4408" s="1773" t="s">
        <v>10550</v>
      </c>
      <c r="D4408" s="1751" t="s">
        <v>10771</v>
      </c>
      <c r="E4408" s="1773" cm="1">
        <f t="array" ref="E4408">resilince_num_ccam_kalikhasan_muslim_m</f>
        <v>0</v>
      </c>
      <c r="F4408" s="46" t="b">
        <v>1</v>
      </c>
    </row>
    <row r="4409" spans="1:6">
      <c r="A4409" s="1773" t="s">
        <v>10551</v>
      </c>
      <c r="B4409" s="46" t="s">
        <v>11263</v>
      </c>
      <c r="C4409" s="1773" t="s">
        <v>10551</v>
      </c>
      <c r="D4409" s="1751" t="s">
        <v>10772</v>
      </c>
      <c r="E4409" s="1773" cm="1">
        <f t="array" ref="E4409">resilince_num_ccam_kalikhasan_muslim_f</f>
        <v>0</v>
      </c>
      <c r="F4409" s="46" t="b">
        <v>1</v>
      </c>
    </row>
    <row r="4410" spans="1:6">
      <c r="A4410" s="1773" t="s">
        <v>10552</v>
      </c>
      <c r="B4410" s="46" t="s">
        <v>11263</v>
      </c>
      <c r="C4410" s="1773" t="s">
        <v>10552</v>
      </c>
      <c r="D4410" s="1751" t="s">
        <v>10773</v>
      </c>
      <c r="E4410" s="1773" cm="1">
        <f t="array" ref="E4410">resilince_num_ccam_kalikhasan_lwd_m</f>
        <v>0</v>
      </c>
      <c r="F4410" s="46" t="b">
        <v>1</v>
      </c>
    </row>
    <row r="4411" spans="1:6">
      <c r="A4411" s="1773" t="s">
        <v>10553</v>
      </c>
      <c r="B4411" s="46" t="s">
        <v>11263</v>
      </c>
      <c r="C4411" s="1773" t="s">
        <v>10553</v>
      </c>
      <c r="D4411" s="1751" t="s">
        <v>10774</v>
      </c>
      <c r="E4411" s="1773" cm="1">
        <f t="array" ref="E4411">resilince_num_ccam_kalikhasan_lwd_f</f>
        <v>0</v>
      </c>
      <c r="F4411" s="46" t="b">
        <v>1</v>
      </c>
    </row>
    <row r="4412" spans="1:6">
      <c r="A4412" s="1773" t="s">
        <v>10554</v>
      </c>
      <c r="B4412" s="46" t="s">
        <v>11263</v>
      </c>
      <c r="C4412" s="1773" t="s">
        <v>10554</v>
      </c>
      <c r="D4412" s="1751" t="s">
        <v>10775</v>
      </c>
      <c r="E4412" s="1773" cm="1">
        <f t="array" ref="E4412">resilince_num_ccam_solidwaste_l_m</f>
        <v>0</v>
      </c>
      <c r="F4412" s="46" t="b">
        <v>1</v>
      </c>
    </row>
    <row r="4413" spans="1:6">
      <c r="A4413" s="1773" t="s">
        <v>10555</v>
      </c>
      <c r="B4413" s="46" t="s">
        <v>11263</v>
      </c>
      <c r="C4413" s="1773" t="s">
        <v>10555</v>
      </c>
      <c r="D4413" s="1751" t="s">
        <v>10776</v>
      </c>
      <c r="E4413" s="1773" cm="1">
        <f t="array" ref="E4413">resilince_num_ccam_solidwaste_l_f</f>
        <v>0</v>
      </c>
      <c r="F4413" s="46" t="b">
        <v>1</v>
      </c>
    </row>
    <row r="4414" spans="1:6">
      <c r="A4414" s="1773" t="s">
        <v>10556</v>
      </c>
      <c r="B4414" s="46" t="s">
        <v>11263</v>
      </c>
      <c r="C4414" s="1773" t="s">
        <v>10556</v>
      </c>
      <c r="D4414" s="1751" t="s">
        <v>10777</v>
      </c>
      <c r="E4414" s="1773" cm="1">
        <f t="array" ref="E4414">resilince_num_ccam_solidwaste_ip_m</f>
        <v>0</v>
      </c>
      <c r="F4414" s="46" t="b">
        <v>1</v>
      </c>
    </row>
    <row r="4415" spans="1:6">
      <c r="A4415" s="1773" t="s">
        <v>10557</v>
      </c>
      <c r="B4415" s="46" t="s">
        <v>11263</v>
      </c>
      <c r="C4415" s="1773" t="s">
        <v>10557</v>
      </c>
      <c r="D4415" s="1751" t="s">
        <v>10778</v>
      </c>
      <c r="E4415" s="1773" cm="1">
        <f t="array" ref="E4415">resilince_num_ccam_solidwaste_ip_f</f>
        <v>0</v>
      </c>
      <c r="F4415" s="46" t="b">
        <v>1</v>
      </c>
    </row>
    <row r="4416" spans="1:6">
      <c r="A4416" s="1773" t="s">
        <v>10558</v>
      </c>
      <c r="B4416" s="46" t="s">
        <v>11263</v>
      </c>
      <c r="C4416" s="1773" t="s">
        <v>10558</v>
      </c>
      <c r="D4416" s="1751" t="s">
        <v>10779</v>
      </c>
      <c r="E4416" s="1773" cm="1">
        <f t="array" ref="E4416">resilince_num_ccam_solidwaste_muslim_m</f>
        <v>0</v>
      </c>
      <c r="F4416" s="46" t="b">
        <v>1</v>
      </c>
    </row>
    <row r="4417" spans="1:6">
      <c r="A4417" s="1773" t="s">
        <v>10559</v>
      </c>
      <c r="B4417" s="46" t="s">
        <v>11263</v>
      </c>
      <c r="C4417" s="1773" t="s">
        <v>10559</v>
      </c>
      <c r="D4417" s="1751" t="s">
        <v>10780</v>
      </c>
      <c r="E4417" s="1773" cm="1">
        <f t="array" ref="E4417">resilince_num_ccam_solidwaste_muslim_f</f>
        <v>0</v>
      </c>
      <c r="F4417" s="46" t="b">
        <v>1</v>
      </c>
    </row>
    <row r="4418" spans="1:6">
      <c r="A4418" s="1773" t="s">
        <v>10560</v>
      </c>
      <c r="B4418" s="46" t="s">
        <v>11263</v>
      </c>
      <c r="C4418" s="1773" t="s">
        <v>10560</v>
      </c>
      <c r="D4418" s="1751" t="s">
        <v>10781</v>
      </c>
      <c r="E4418" s="1773" cm="1">
        <f t="array" ref="E4418">resilince_num_ccam_solidwaste_lwd_m</f>
        <v>0</v>
      </c>
      <c r="F4418" s="46" t="b">
        <v>1</v>
      </c>
    </row>
    <row r="4419" spans="1:6">
      <c r="A4419" s="1773" t="s">
        <v>10561</v>
      </c>
      <c r="B4419" s="46" t="s">
        <v>11263</v>
      </c>
      <c r="C4419" s="1773" t="s">
        <v>10561</v>
      </c>
      <c r="D4419" s="1751" t="s">
        <v>10782</v>
      </c>
      <c r="E4419" s="1773" cm="1">
        <f t="array" ref="E4419">resilince_num_ccam_solidwaste_lwd_f</f>
        <v>0</v>
      </c>
      <c r="F4419" s="46" t="b">
        <v>1</v>
      </c>
    </row>
    <row r="4420" spans="1:6">
      <c r="A4420" s="1773" t="s">
        <v>10562</v>
      </c>
      <c r="B4420" s="46" t="s">
        <v>11263</v>
      </c>
      <c r="C4420" s="1773" t="s">
        <v>10562</v>
      </c>
      <c r="D4420" s="1751" t="s">
        <v>10783</v>
      </c>
      <c r="E4420" s="1773" cm="1">
        <f t="array" ref="E4420">resilince_num_ccam_recycling_l_m</f>
        <v>0</v>
      </c>
      <c r="F4420" s="46" t="b">
        <v>1</v>
      </c>
    </row>
    <row r="4421" spans="1:6">
      <c r="A4421" s="1773" t="s">
        <v>10563</v>
      </c>
      <c r="B4421" s="46" t="s">
        <v>11263</v>
      </c>
      <c r="C4421" s="1773" t="s">
        <v>10563</v>
      </c>
      <c r="D4421" s="1751" t="s">
        <v>10784</v>
      </c>
      <c r="E4421" s="1773" cm="1">
        <f t="array" ref="E4421">resilince_num_ccam_recycling_l_f</f>
        <v>0</v>
      </c>
      <c r="F4421" s="46" t="b">
        <v>1</v>
      </c>
    </row>
    <row r="4422" spans="1:6">
      <c r="A4422" s="1773" t="s">
        <v>10564</v>
      </c>
      <c r="B4422" s="46" t="s">
        <v>11263</v>
      </c>
      <c r="C4422" s="1773" t="s">
        <v>10564</v>
      </c>
      <c r="D4422" s="1751" t="s">
        <v>10785</v>
      </c>
      <c r="E4422" s="1773" cm="1">
        <f t="array" ref="E4422">resilince_num_ccam_recycling_ip_m</f>
        <v>0</v>
      </c>
      <c r="F4422" s="46" t="b">
        <v>1</v>
      </c>
    </row>
    <row r="4423" spans="1:6">
      <c r="A4423" s="1773" t="s">
        <v>10565</v>
      </c>
      <c r="B4423" s="46" t="s">
        <v>11263</v>
      </c>
      <c r="C4423" s="1773" t="s">
        <v>10565</v>
      </c>
      <c r="D4423" s="1751" t="s">
        <v>10786</v>
      </c>
      <c r="E4423" s="1773" cm="1">
        <f t="array" ref="E4423">resilince_num_ccam_recycling_ip_f</f>
        <v>0</v>
      </c>
      <c r="F4423" s="46" t="b">
        <v>1</v>
      </c>
    </row>
    <row r="4424" spans="1:6">
      <c r="A4424" s="1773" t="s">
        <v>10566</v>
      </c>
      <c r="B4424" s="46" t="s">
        <v>11263</v>
      </c>
      <c r="C4424" s="1773" t="s">
        <v>10566</v>
      </c>
      <c r="D4424" s="1751" t="s">
        <v>10787</v>
      </c>
      <c r="E4424" s="1773" cm="1">
        <f t="array" ref="E4424">resilince_num_ccam_recycling_muslim_m</f>
        <v>0</v>
      </c>
      <c r="F4424" s="46" t="b">
        <v>1</v>
      </c>
    </row>
    <row r="4425" spans="1:6">
      <c r="A4425" s="1773" t="s">
        <v>10567</v>
      </c>
      <c r="B4425" s="46" t="s">
        <v>11263</v>
      </c>
      <c r="C4425" s="1773" t="s">
        <v>10567</v>
      </c>
      <c r="D4425" s="1751" t="s">
        <v>10788</v>
      </c>
      <c r="E4425" s="1773" cm="1">
        <f t="array" ref="E4425">resilince_num_ccam_recycling_muslim_f</f>
        <v>0</v>
      </c>
      <c r="F4425" s="46" t="b">
        <v>1</v>
      </c>
    </row>
    <row r="4426" spans="1:6">
      <c r="A4426" s="1773" t="s">
        <v>10568</v>
      </c>
      <c r="B4426" s="46" t="s">
        <v>11263</v>
      </c>
      <c r="C4426" s="1773" t="s">
        <v>10568</v>
      </c>
      <c r="D4426" s="1751" t="s">
        <v>10789</v>
      </c>
      <c r="E4426" s="1773" cm="1">
        <f t="array" ref="E4426">resilince_num_ccam_recycling_lwd_m</f>
        <v>0</v>
      </c>
      <c r="F4426" s="46" t="b">
        <v>1</v>
      </c>
    </row>
    <row r="4427" spans="1:6">
      <c r="A4427" s="1773" t="s">
        <v>10569</v>
      </c>
      <c r="B4427" s="46" t="s">
        <v>11263</v>
      </c>
      <c r="C4427" s="1773" t="s">
        <v>10569</v>
      </c>
      <c r="D4427" s="1751" t="s">
        <v>10790</v>
      </c>
      <c r="E4427" s="1773" cm="1">
        <f t="array" ref="E4427">resilince_num_ccam_recycling_lwd_f</f>
        <v>0</v>
      </c>
      <c r="F4427" s="46" t="b">
        <v>1</v>
      </c>
    </row>
    <row r="4428" spans="1:6">
      <c r="A4428" s="1773" t="s">
        <v>10570</v>
      </c>
      <c r="B4428" s="46" t="s">
        <v>11263</v>
      </c>
      <c r="C4428" s="1773" t="s">
        <v>10570</v>
      </c>
      <c r="D4428" s="1751" t="s">
        <v>10791</v>
      </c>
      <c r="E4428" s="1773" cm="1">
        <f t="array" ref="E4428">resilince_num_ccam_treeplanting_l_m</f>
        <v>0</v>
      </c>
      <c r="F4428" s="46" t="b">
        <v>1</v>
      </c>
    </row>
    <row r="4429" spans="1:6">
      <c r="A4429" s="1773" t="s">
        <v>10571</v>
      </c>
      <c r="B4429" s="46" t="s">
        <v>11263</v>
      </c>
      <c r="C4429" s="1773" t="s">
        <v>10571</v>
      </c>
      <c r="D4429" s="1751" t="s">
        <v>10792</v>
      </c>
      <c r="E4429" s="1773" cm="1">
        <f t="array" ref="E4429">resilince_num_ccam_treeplanting_l_f</f>
        <v>0</v>
      </c>
      <c r="F4429" s="46" t="b">
        <v>1</v>
      </c>
    </row>
    <row r="4430" spans="1:6">
      <c r="A4430" s="1773" t="s">
        <v>10572</v>
      </c>
      <c r="B4430" s="46" t="s">
        <v>11263</v>
      </c>
      <c r="C4430" s="1773" t="s">
        <v>10572</v>
      </c>
      <c r="D4430" s="1751" t="s">
        <v>10793</v>
      </c>
      <c r="E4430" s="1773" cm="1">
        <f t="array" ref="E4430">resilince_num_ccam_treeplanting_ip_m</f>
        <v>0</v>
      </c>
      <c r="F4430" s="46" t="b">
        <v>1</v>
      </c>
    </row>
    <row r="4431" spans="1:6">
      <c r="A4431" s="1773" t="s">
        <v>10573</v>
      </c>
      <c r="B4431" s="46" t="s">
        <v>11263</v>
      </c>
      <c r="C4431" s="1773" t="s">
        <v>10573</v>
      </c>
      <c r="D4431" s="1751" t="s">
        <v>10794</v>
      </c>
      <c r="E4431" s="1773" cm="1">
        <f t="array" ref="E4431">resilince_num_ccam_treeplanting_ip_f</f>
        <v>0</v>
      </c>
      <c r="F4431" s="46" t="b">
        <v>1</v>
      </c>
    </row>
    <row r="4432" spans="1:6">
      <c r="A4432" s="1773" t="s">
        <v>10574</v>
      </c>
      <c r="B4432" s="46" t="s">
        <v>11263</v>
      </c>
      <c r="C4432" s="1773" t="s">
        <v>10574</v>
      </c>
      <c r="D4432" s="1751" t="s">
        <v>10795</v>
      </c>
      <c r="E4432" s="1773" cm="1">
        <f t="array" ref="E4432">resilince_num_ccam_treeplanting_muslim_m</f>
        <v>0</v>
      </c>
      <c r="F4432" s="46" t="b">
        <v>1</v>
      </c>
    </row>
    <row r="4433" spans="1:6">
      <c r="A4433" s="1773" t="s">
        <v>10575</v>
      </c>
      <c r="B4433" s="46" t="s">
        <v>11263</v>
      </c>
      <c r="C4433" s="1773" t="s">
        <v>10575</v>
      </c>
      <c r="D4433" s="1751" t="s">
        <v>10796</v>
      </c>
      <c r="E4433" s="1773" cm="1">
        <f t="array" ref="E4433">resilince_num_ccam_treeplanting_muslim_f</f>
        <v>0</v>
      </c>
      <c r="F4433" s="46" t="b">
        <v>1</v>
      </c>
    </row>
    <row r="4434" spans="1:6">
      <c r="A4434" s="1773" t="s">
        <v>10576</v>
      </c>
      <c r="B4434" s="46" t="s">
        <v>11263</v>
      </c>
      <c r="C4434" s="1773" t="s">
        <v>10576</v>
      </c>
      <c r="D4434" s="1751" t="s">
        <v>10797</v>
      </c>
      <c r="E4434" s="1773" cm="1">
        <f t="array" ref="E4434">resilince_num_ccam_treeplanting_lwd_m</f>
        <v>0</v>
      </c>
      <c r="F4434" s="46" t="b">
        <v>1</v>
      </c>
    </row>
    <row r="4435" spans="1:6">
      <c r="A4435" s="1773" t="s">
        <v>10577</v>
      </c>
      <c r="B4435" s="46" t="s">
        <v>11263</v>
      </c>
      <c r="C4435" s="1773" t="s">
        <v>10577</v>
      </c>
      <c r="D4435" s="1751" t="s">
        <v>10798</v>
      </c>
      <c r="E4435" s="1773" cm="1">
        <f t="array" ref="E4435">resilince_num_ccam_treeplanting_lwd_f</f>
        <v>0</v>
      </c>
      <c r="F4435" s="46" t="b">
        <v>1</v>
      </c>
    </row>
    <row r="4436" spans="1:6">
      <c r="A4436" s="1773" t="s">
        <v>10578</v>
      </c>
      <c r="B4436" s="46" t="s">
        <v>11263</v>
      </c>
      <c r="C4436" s="1773" t="s">
        <v>10578</v>
      </c>
      <c r="D4436" s="1751" t="s">
        <v>10799</v>
      </c>
      <c r="E4436" s="1773" cm="1">
        <f t="array" ref="E4436">resilince_num_ccam_youthstrike_l_m</f>
        <v>0</v>
      </c>
      <c r="F4436" s="46" t="b">
        <v>1</v>
      </c>
    </row>
    <row r="4437" spans="1:6">
      <c r="A4437" s="1773" t="s">
        <v>10579</v>
      </c>
      <c r="B4437" s="46" t="s">
        <v>11263</v>
      </c>
      <c r="C4437" s="1773" t="s">
        <v>10579</v>
      </c>
      <c r="D4437" s="1751" t="s">
        <v>10800</v>
      </c>
      <c r="E4437" s="1773" cm="1">
        <f t="array" ref="E4437">resilince_num_ccam_youthstrike_l_f</f>
        <v>0</v>
      </c>
      <c r="F4437" s="46" t="b">
        <v>1</v>
      </c>
    </row>
    <row r="4438" spans="1:6">
      <c r="A4438" s="1773" t="s">
        <v>10580</v>
      </c>
      <c r="B4438" s="46" t="s">
        <v>11263</v>
      </c>
      <c r="C4438" s="1773" t="s">
        <v>10580</v>
      </c>
      <c r="D4438" s="1751" t="s">
        <v>10801</v>
      </c>
      <c r="E4438" s="1773" cm="1">
        <f t="array" ref="E4438">resilince_num_ccam_youthstrike_ip_m</f>
        <v>0</v>
      </c>
      <c r="F4438" s="46" t="b">
        <v>1</v>
      </c>
    </row>
    <row r="4439" spans="1:6">
      <c r="A4439" s="1773" t="s">
        <v>10581</v>
      </c>
      <c r="B4439" s="46" t="s">
        <v>11263</v>
      </c>
      <c r="C4439" s="1773" t="s">
        <v>10581</v>
      </c>
      <c r="D4439" s="1751" t="s">
        <v>10802</v>
      </c>
      <c r="E4439" s="1773" cm="1">
        <f t="array" ref="E4439">resilince_num_ccam_youthstrike_ip_f</f>
        <v>0</v>
      </c>
      <c r="F4439" s="46" t="b">
        <v>1</v>
      </c>
    </row>
    <row r="4440" spans="1:6">
      <c r="A4440" s="1773" t="s">
        <v>10582</v>
      </c>
      <c r="B4440" s="46" t="s">
        <v>11263</v>
      </c>
      <c r="C4440" s="1773" t="s">
        <v>10582</v>
      </c>
      <c r="D4440" s="1751" t="s">
        <v>10803</v>
      </c>
      <c r="E4440" s="1773" cm="1">
        <f t="array" ref="E4440">resilince_num_ccam_youthstrike_muslim_m</f>
        <v>0</v>
      </c>
      <c r="F4440" s="46" t="b">
        <v>1</v>
      </c>
    </row>
    <row r="4441" spans="1:6">
      <c r="A4441" s="1773" t="s">
        <v>10583</v>
      </c>
      <c r="B4441" s="46" t="s">
        <v>11263</v>
      </c>
      <c r="C4441" s="1773" t="s">
        <v>10583</v>
      </c>
      <c r="D4441" s="1751" t="s">
        <v>10804</v>
      </c>
      <c r="E4441" s="1773" cm="1">
        <f t="array" ref="E4441">resilince_num_ccam_youthstrike_muslim_f</f>
        <v>0</v>
      </c>
      <c r="F4441" s="46" t="b">
        <v>1</v>
      </c>
    </row>
    <row r="4442" spans="1:6">
      <c r="A4442" s="1773" t="s">
        <v>10584</v>
      </c>
      <c r="B4442" s="46" t="s">
        <v>11263</v>
      </c>
      <c r="C4442" s="1773" t="s">
        <v>10584</v>
      </c>
      <c r="D4442" s="1751" t="s">
        <v>10805</v>
      </c>
      <c r="E4442" s="1773" cm="1">
        <f t="array" ref="E4442">resilince_num_ccam_youthstrike_lwd_m</f>
        <v>0</v>
      </c>
      <c r="F4442" s="46" t="b">
        <v>1</v>
      </c>
    </row>
    <row r="4443" spans="1:6">
      <c r="A4443" s="1773" t="s">
        <v>10585</v>
      </c>
      <c r="B4443" s="46" t="s">
        <v>11263</v>
      </c>
      <c r="C4443" s="1773" t="s">
        <v>10585</v>
      </c>
      <c r="D4443" s="1751" t="s">
        <v>10806</v>
      </c>
      <c r="E4443" s="1773" cm="1">
        <f t="array" ref="E4443">resilince_num_ccam_youthstrike_lwd_f</f>
        <v>0</v>
      </c>
      <c r="F4443" s="46" t="b">
        <v>1</v>
      </c>
    </row>
    <row r="4444" spans="1:6">
      <c r="A4444" s="1773" t="s">
        <v>10586</v>
      </c>
      <c r="B4444" s="46" t="s">
        <v>11263</v>
      </c>
      <c r="C4444" s="1773" t="s">
        <v>10586</v>
      </c>
      <c r="D4444" s="1751" t="s">
        <v>10807</v>
      </c>
      <c r="E4444" s="1773" cm="1">
        <f t="array" ref="E4444">resilince_num_ccam_commsplevent_l_m</f>
        <v>0</v>
      </c>
      <c r="F4444" s="46" t="b">
        <v>1</v>
      </c>
    </row>
    <row r="4445" spans="1:6">
      <c r="A4445" s="1773" t="s">
        <v>10587</v>
      </c>
      <c r="B4445" s="46" t="s">
        <v>11263</v>
      </c>
      <c r="C4445" s="1773" t="s">
        <v>10587</v>
      </c>
      <c r="D4445" s="1751" t="s">
        <v>10808</v>
      </c>
      <c r="E4445" s="1773" cm="1">
        <f t="array" ref="E4445">resilince_num_ccam_commsplevent_l_f</f>
        <v>0</v>
      </c>
      <c r="F4445" s="46" t="b">
        <v>1</v>
      </c>
    </row>
    <row r="4446" spans="1:6">
      <c r="A4446" s="1773" t="s">
        <v>10588</v>
      </c>
      <c r="B4446" s="46" t="s">
        <v>11263</v>
      </c>
      <c r="C4446" s="1773" t="s">
        <v>10588</v>
      </c>
      <c r="D4446" s="1751" t="s">
        <v>10809</v>
      </c>
      <c r="E4446" s="1773" cm="1">
        <f t="array" ref="E4446">resilince_num_ccam_commsplevent_ip_m</f>
        <v>0</v>
      </c>
      <c r="F4446" s="46" t="b">
        <v>1</v>
      </c>
    </row>
    <row r="4447" spans="1:6">
      <c r="A4447" s="1773" t="s">
        <v>10589</v>
      </c>
      <c r="B4447" s="46" t="s">
        <v>11263</v>
      </c>
      <c r="C4447" s="1773" t="s">
        <v>10589</v>
      </c>
      <c r="D4447" s="1751" t="s">
        <v>10810</v>
      </c>
      <c r="E4447" s="1773" cm="1">
        <f t="array" ref="E4447">resilince_num_ccam_commsplevent_ip_f</f>
        <v>0</v>
      </c>
      <c r="F4447" s="46" t="b">
        <v>1</v>
      </c>
    </row>
    <row r="4448" spans="1:6">
      <c r="A4448" s="1773" t="s">
        <v>10590</v>
      </c>
      <c r="B4448" s="46" t="s">
        <v>11263</v>
      </c>
      <c r="C4448" s="1773" t="s">
        <v>10590</v>
      </c>
      <c r="D4448" s="1751" t="s">
        <v>10811</v>
      </c>
      <c r="E4448" s="1773" cm="1">
        <f t="array" ref="E4448">resilince_num_ccam_commsplevent_muslim_m</f>
        <v>0</v>
      </c>
      <c r="F4448" s="46" t="b">
        <v>1</v>
      </c>
    </row>
    <row r="4449" spans="1:6">
      <c r="A4449" s="1773" t="s">
        <v>10591</v>
      </c>
      <c r="B4449" s="46" t="s">
        <v>11263</v>
      </c>
      <c r="C4449" s="1773" t="s">
        <v>10591</v>
      </c>
      <c r="D4449" s="1751" t="s">
        <v>10812</v>
      </c>
      <c r="E4449" s="1773" cm="1">
        <f t="array" ref="E4449">resilince_num_ccam_commsplevent_muslim_f</f>
        <v>0</v>
      </c>
      <c r="F4449" s="46" t="b">
        <v>1</v>
      </c>
    </row>
    <row r="4450" spans="1:6">
      <c r="A4450" s="1773" t="s">
        <v>10592</v>
      </c>
      <c r="B4450" s="46" t="s">
        <v>11263</v>
      </c>
      <c r="C4450" s="1773" t="s">
        <v>10592</v>
      </c>
      <c r="D4450" s="1751" t="s">
        <v>10813</v>
      </c>
      <c r="E4450" s="1773" cm="1">
        <f t="array" ref="E4450">resilince_num_ccam_commsplevent_lwd_m</f>
        <v>0</v>
      </c>
      <c r="F4450" s="46" t="b">
        <v>1</v>
      </c>
    </row>
    <row r="4451" spans="1:6">
      <c r="A4451" s="1773" t="s">
        <v>10593</v>
      </c>
      <c r="B4451" s="46" t="s">
        <v>11263</v>
      </c>
      <c r="C4451" s="1773" t="s">
        <v>10593</v>
      </c>
      <c r="D4451" s="1751" t="s">
        <v>10814</v>
      </c>
      <c r="E4451" s="1773" cm="1">
        <f t="array" ref="E4451">resilince_num_ccam_commsplevent_lwd_f</f>
        <v>0</v>
      </c>
      <c r="F4451" s="46" t="b">
        <v>1</v>
      </c>
    </row>
    <row r="4452" spans="1:6">
      <c r="A4452" s="1773" t="s">
        <v>10594</v>
      </c>
      <c r="B4452" s="46" t="s">
        <v>11263</v>
      </c>
      <c r="C4452" s="1773" t="s">
        <v>10594</v>
      </c>
      <c r="D4452" s="1751" t="s">
        <v>10815</v>
      </c>
      <c r="E4452" s="1773" cm="1">
        <f t="array" ref="E4452">resilince_num_ccam_others_l_m</f>
        <v>0</v>
      </c>
      <c r="F4452" s="46" t="b">
        <v>1</v>
      </c>
    </row>
    <row r="4453" spans="1:6">
      <c r="A4453" s="1773" t="s">
        <v>10595</v>
      </c>
      <c r="B4453" s="46" t="s">
        <v>11263</v>
      </c>
      <c r="C4453" s="1773" t="s">
        <v>10595</v>
      </c>
      <c r="D4453" s="1751" t="s">
        <v>10816</v>
      </c>
      <c r="E4453" s="1773" cm="1">
        <f t="array" ref="E4453">resilince_num_ccam_others_l_f</f>
        <v>0</v>
      </c>
      <c r="F4453" s="46" t="b">
        <v>1</v>
      </c>
    </row>
    <row r="4454" spans="1:6">
      <c r="A4454" s="1773" t="s">
        <v>10596</v>
      </c>
      <c r="B4454" s="46" t="s">
        <v>11263</v>
      </c>
      <c r="C4454" s="1773" t="s">
        <v>10596</v>
      </c>
      <c r="D4454" s="1751" t="s">
        <v>10817</v>
      </c>
      <c r="E4454" s="1773" cm="1">
        <f t="array" ref="E4454">resilince_num_ccam_others_ip_m</f>
        <v>0</v>
      </c>
      <c r="F4454" s="46" t="b">
        <v>1</v>
      </c>
    </row>
    <row r="4455" spans="1:6">
      <c r="A4455" s="1773" t="s">
        <v>10597</v>
      </c>
      <c r="B4455" s="46" t="s">
        <v>11263</v>
      </c>
      <c r="C4455" s="1773" t="s">
        <v>10597</v>
      </c>
      <c r="D4455" s="1751" t="s">
        <v>10818</v>
      </c>
      <c r="E4455" s="1773" cm="1">
        <f t="array" ref="E4455">resilince_num_ccam_others_ip_f</f>
        <v>0</v>
      </c>
      <c r="F4455" s="46" t="b">
        <v>1</v>
      </c>
    </row>
    <row r="4456" spans="1:6">
      <c r="A4456" s="1773" t="s">
        <v>10598</v>
      </c>
      <c r="B4456" s="46" t="s">
        <v>11263</v>
      </c>
      <c r="C4456" s="1773" t="s">
        <v>10598</v>
      </c>
      <c r="D4456" s="1751" t="s">
        <v>10819</v>
      </c>
      <c r="E4456" s="1773" cm="1">
        <f t="array" ref="E4456">resilince_num_ccam_others_muslim_m</f>
        <v>0</v>
      </c>
      <c r="F4456" s="46" t="b">
        <v>1</v>
      </c>
    </row>
    <row r="4457" spans="1:6">
      <c r="A4457" s="1773" t="s">
        <v>10599</v>
      </c>
      <c r="B4457" s="46" t="s">
        <v>11263</v>
      </c>
      <c r="C4457" s="1773" t="s">
        <v>10599</v>
      </c>
      <c r="D4457" s="1751" t="s">
        <v>10820</v>
      </c>
      <c r="E4457" s="1773" cm="1">
        <f t="array" ref="E4457">resilince_num_ccam_others_muslim_f</f>
        <v>0</v>
      </c>
      <c r="F4457" s="46" t="b">
        <v>1</v>
      </c>
    </row>
    <row r="4458" spans="1:6">
      <c r="A4458" s="1773" t="s">
        <v>10600</v>
      </c>
      <c r="B4458" s="46" t="s">
        <v>11263</v>
      </c>
      <c r="C4458" s="1773" t="s">
        <v>10600</v>
      </c>
      <c r="D4458" s="1751" t="s">
        <v>10821</v>
      </c>
      <c r="E4458" s="1773" cm="1">
        <f t="array" ref="E4458">resilince_num_ccam_others_lwd_m</f>
        <v>0</v>
      </c>
      <c r="F4458" s="46" t="b">
        <v>1</v>
      </c>
    </row>
    <row r="4459" spans="1:6">
      <c r="A4459" s="1773" t="s">
        <v>10601</v>
      </c>
      <c r="B4459" s="46" t="s">
        <v>11263</v>
      </c>
      <c r="C4459" s="1773" t="s">
        <v>10601</v>
      </c>
      <c r="D4459" s="1751" t="s">
        <v>10822</v>
      </c>
      <c r="E4459" s="1773" cm="1">
        <f t="array" ref="E4459">resilince_num_ccam_others_lwd_f</f>
        <v>0</v>
      </c>
      <c r="F4459" s="46" t="b">
        <v>1</v>
      </c>
    </row>
    <row r="4460" spans="1:6">
      <c r="A4460" s="1773" t="s">
        <v>10870</v>
      </c>
      <c r="B4460" s="46" t="s">
        <v>11263</v>
      </c>
      <c r="C4460" s="1773" t="s">
        <v>10870</v>
      </c>
      <c r="D4460" s="1751" t="s">
        <v>10823</v>
      </c>
      <c r="E4460" s="1773" cm="1">
        <f t="array" ref="E4460">resilince_num_ccam_l_others_secify</f>
        <v>0</v>
      </c>
      <c r="F4460" s="46" t="b">
        <v>1</v>
      </c>
    </row>
    <row r="4461" spans="1:6">
      <c r="A4461" s="1773" t="s">
        <v>10602</v>
      </c>
      <c r="B4461" s="46" t="s">
        <v>11263</v>
      </c>
      <c r="C4461" s="1773" t="s">
        <v>10602</v>
      </c>
      <c r="D4461" s="1751" t="s">
        <v>10824</v>
      </c>
      <c r="E4461" s="1773" cm="1">
        <f t="array" ref="E4461">resilince_num_peace_conf_l_m</f>
        <v>0</v>
      </c>
      <c r="F4461" s="46" t="b">
        <v>1</v>
      </c>
    </row>
    <row r="4462" spans="1:6">
      <c r="A4462" s="1773" t="s">
        <v>10603</v>
      </c>
      <c r="B4462" s="46" t="s">
        <v>11263</v>
      </c>
      <c r="C4462" s="1773" t="s">
        <v>10603</v>
      </c>
      <c r="D4462" s="1751" t="s">
        <v>10825</v>
      </c>
      <c r="E4462" s="1773" cm="1">
        <f t="array" ref="E4462">resilince_num_peace_conf_l_f</f>
        <v>0</v>
      </c>
      <c r="F4462" s="46" t="b">
        <v>1</v>
      </c>
    </row>
    <row r="4463" spans="1:6">
      <c r="A4463" s="1773" t="s">
        <v>10604</v>
      </c>
      <c r="B4463" s="46" t="s">
        <v>11263</v>
      </c>
      <c r="C4463" s="1773" t="s">
        <v>10604</v>
      </c>
      <c r="D4463" s="1751" t="s">
        <v>10826</v>
      </c>
      <c r="E4463" s="1773" cm="1">
        <f t="array" ref="E4463">resilince_num_peace_conf_ip_m</f>
        <v>0</v>
      </c>
      <c r="F4463" s="46" t="b">
        <v>1</v>
      </c>
    </row>
    <row r="4464" spans="1:6">
      <c r="A4464" s="1773" t="s">
        <v>10605</v>
      </c>
      <c r="B4464" s="46" t="s">
        <v>11263</v>
      </c>
      <c r="C4464" s="1773" t="s">
        <v>10605</v>
      </c>
      <c r="D4464" s="1751" t="s">
        <v>10827</v>
      </c>
      <c r="E4464" s="1773" cm="1">
        <f t="array" ref="E4464">resilince_num_peace_conf_ip_f</f>
        <v>0</v>
      </c>
      <c r="F4464" s="46" t="b">
        <v>1</v>
      </c>
    </row>
    <row r="4465" spans="1:6">
      <c r="A4465" s="1773" t="s">
        <v>10606</v>
      </c>
      <c r="B4465" s="46" t="s">
        <v>11263</v>
      </c>
      <c r="C4465" s="1773" t="s">
        <v>10606</v>
      </c>
      <c r="D4465" s="1751" t="s">
        <v>10828</v>
      </c>
      <c r="E4465" s="1773" cm="1">
        <f t="array" ref="E4465">resilince_num_peace_conf_muslim_m</f>
        <v>0</v>
      </c>
      <c r="F4465" s="46" t="b">
        <v>1</v>
      </c>
    </row>
    <row r="4466" spans="1:6">
      <c r="A4466" s="1773" t="s">
        <v>10607</v>
      </c>
      <c r="B4466" s="46" t="s">
        <v>11263</v>
      </c>
      <c r="C4466" s="1773" t="s">
        <v>10607</v>
      </c>
      <c r="D4466" s="1751" t="s">
        <v>10829</v>
      </c>
      <c r="E4466" s="1773" cm="1">
        <f t="array" ref="E4466">resilince_num_peace_conf_muslim_f</f>
        <v>0</v>
      </c>
      <c r="F4466" s="46" t="b">
        <v>1</v>
      </c>
    </row>
    <row r="4467" spans="1:6">
      <c r="A4467" s="1773" t="s">
        <v>10608</v>
      </c>
      <c r="B4467" s="46" t="s">
        <v>11263</v>
      </c>
      <c r="C4467" s="1773" t="s">
        <v>10608</v>
      </c>
      <c r="D4467" s="1751" t="s">
        <v>10830</v>
      </c>
      <c r="E4467" s="1773" cm="1">
        <f t="array" ref="E4467">resilince_num_peace_conf_lwd_m</f>
        <v>0</v>
      </c>
      <c r="F4467" s="46" t="b">
        <v>1</v>
      </c>
    </row>
    <row r="4468" spans="1:6">
      <c r="A4468" s="1773" t="s">
        <v>10609</v>
      </c>
      <c r="B4468" s="46" t="s">
        <v>11263</v>
      </c>
      <c r="C4468" s="1773" t="s">
        <v>10609</v>
      </c>
      <c r="D4468" s="1751" t="s">
        <v>10831</v>
      </c>
      <c r="E4468" s="1773" cm="1">
        <f t="array" ref="E4468">resilince_num_peace_conf_lwd_f</f>
        <v>0</v>
      </c>
      <c r="F4468" s="46" t="b">
        <v>1</v>
      </c>
    </row>
    <row r="4469" spans="1:6">
      <c r="A4469" s="1773" t="s">
        <v>10610</v>
      </c>
      <c r="B4469" s="46" t="s">
        <v>11263</v>
      </c>
      <c r="C4469" s="1773" t="s">
        <v>10610</v>
      </c>
      <c r="D4469" s="1751" t="s">
        <v>10832</v>
      </c>
      <c r="E4469" s="1773" cm="1">
        <f t="array" ref="E4469">resilince_num_peace_youthnet_l_m</f>
        <v>0</v>
      </c>
      <c r="F4469" s="46" t="b">
        <v>1</v>
      </c>
    </row>
    <row r="4470" spans="1:6">
      <c r="A4470" s="1773" t="s">
        <v>10611</v>
      </c>
      <c r="B4470" s="46" t="s">
        <v>11263</v>
      </c>
      <c r="C4470" s="1773" t="s">
        <v>10611</v>
      </c>
      <c r="D4470" s="1751" t="s">
        <v>10833</v>
      </c>
      <c r="E4470" s="1773" cm="1">
        <f t="array" ref="E4470">resilince_num_peace_youthnet_l_f</f>
        <v>0</v>
      </c>
      <c r="F4470" s="46" t="b">
        <v>1</v>
      </c>
    </row>
    <row r="4471" spans="1:6">
      <c r="A4471" s="1773" t="s">
        <v>10612</v>
      </c>
      <c r="B4471" s="46" t="s">
        <v>11263</v>
      </c>
      <c r="C4471" s="1773" t="s">
        <v>10612</v>
      </c>
      <c r="D4471" s="1751" t="s">
        <v>10834</v>
      </c>
      <c r="E4471" s="1773" cm="1">
        <f t="array" ref="E4471">resilince_num_peace_youthnet_ip_m</f>
        <v>0</v>
      </c>
      <c r="F4471" s="46" t="b">
        <v>1</v>
      </c>
    </row>
    <row r="4472" spans="1:6">
      <c r="A4472" s="1773" t="s">
        <v>10613</v>
      </c>
      <c r="B4472" s="46" t="s">
        <v>11263</v>
      </c>
      <c r="C4472" s="1773" t="s">
        <v>10613</v>
      </c>
      <c r="D4472" s="1751" t="s">
        <v>10835</v>
      </c>
      <c r="E4472" s="1773" cm="1">
        <f t="array" ref="E4472">resilince_num_peace_youthnet_ip_f</f>
        <v>0</v>
      </c>
      <c r="F4472" s="46" t="b">
        <v>1</v>
      </c>
    </row>
    <row r="4473" spans="1:6">
      <c r="A4473" s="1773" t="s">
        <v>10614</v>
      </c>
      <c r="B4473" s="46" t="s">
        <v>11263</v>
      </c>
      <c r="C4473" s="1773" t="s">
        <v>10614</v>
      </c>
      <c r="D4473" s="1751" t="s">
        <v>10836</v>
      </c>
      <c r="E4473" s="1773" cm="1">
        <f t="array" ref="E4473">resilince_num_peace_youthnet_muslim_m</f>
        <v>0</v>
      </c>
      <c r="F4473" s="46" t="b">
        <v>1</v>
      </c>
    </row>
    <row r="4474" spans="1:6">
      <c r="A4474" s="1773" t="s">
        <v>10615</v>
      </c>
      <c r="B4474" s="46" t="s">
        <v>11263</v>
      </c>
      <c r="C4474" s="1773" t="s">
        <v>10615</v>
      </c>
      <c r="D4474" s="1751" t="s">
        <v>10837</v>
      </c>
      <c r="E4474" s="1773" cm="1">
        <f t="array" ref="E4474">resilince_num_peace_youthnet_muslim_f</f>
        <v>0</v>
      </c>
      <c r="F4474" s="46" t="b">
        <v>1</v>
      </c>
    </row>
    <row r="4475" spans="1:6">
      <c r="A4475" s="1773" t="s">
        <v>10616</v>
      </c>
      <c r="B4475" s="46" t="s">
        <v>11263</v>
      </c>
      <c r="C4475" s="1773" t="s">
        <v>10616</v>
      </c>
      <c r="D4475" s="1751" t="s">
        <v>10838</v>
      </c>
      <c r="E4475" s="1773" cm="1">
        <f t="array" ref="E4475">resilince_num_peace_youthnet_lwd_m</f>
        <v>0</v>
      </c>
      <c r="F4475" s="46" t="b">
        <v>1</v>
      </c>
    </row>
    <row r="4476" spans="1:6">
      <c r="A4476" s="1773" t="s">
        <v>10617</v>
      </c>
      <c r="B4476" s="46" t="s">
        <v>11263</v>
      </c>
      <c r="C4476" s="1773" t="s">
        <v>10617</v>
      </c>
      <c r="D4476" s="1751" t="s">
        <v>10839</v>
      </c>
      <c r="E4476" s="1773" cm="1">
        <f t="array" ref="E4476">resilince_num_peace_youthnet_lwd_f</f>
        <v>0</v>
      </c>
      <c r="F4476" s="46" t="b">
        <v>1</v>
      </c>
    </row>
    <row r="4477" spans="1:6">
      <c r="A4477" s="1773" t="s">
        <v>10618</v>
      </c>
      <c r="B4477" s="46" t="s">
        <v>11263</v>
      </c>
      <c r="C4477" s="1773" t="s">
        <v>10618</v>
      </c>
      <c r="D4477" s="1751" t="s">
        <v>10840</v>
      </c>
      <c r="E4477" s="1773" cm="1">
        <f t="array" ref="E4477">resilince_num_peace_artscontest_l_m</f>
        <v>0</v>
      </c>
      <c r="F4477" s="46" t="b">
        <v>1</v>
      </c>
    </row>
    <row r="4478" spans="1:6">
      <c r="A4478" s="1773" t="s">
        <v>10619</v>
      </c>
      <c r="B4478" s="46" t="s">
        <v>11263</v>
      </c>
      <c r="C4478" s="1773" t="s">
        <v>10619</v>
      </c>
      <c r="D4478" s="1751" t="s">
        <v>10841</v>
      </c>
      <c r="E4478" s="1773" cm="1">
        <f t="array" ref="E4478">resilince_num_peace_artscontest_l_f</f>
        <v>0</v>
      </c>
      <c r="F4478" s="46" t="b">
        <v>1</v>
      </c>
    </row>
    <row r="4479" spans="1:6">
      <c r="A4479" s="1773" t="s">
        <v>10620</v>
      </c>
      <c r="B4479" s="46" t="s">
        <v>11263</v>
      </c>
      <c r="C4479" s="1773" t="s">
        <v>10620</v>
      </c>
      <c r="D4479" s="1751" t="s">
        <v>10842</v>
      </c>
      <c r="E4479" s="1773" cm="1">
        <f t="array" ref="E4479">resilince_num_peace_artscontest_ip_m</f>
        <v>0</v>
      </c>
      <c r="F4479" s="46" t="b">
        <v>1</v>
      </c>
    </row>
    <row r="4480" spans="1:6">
      <c r="A4480" s="1773" t="s">
        <v>10621</v>
      </c>
      <c r="B4480" s="46" t="s">
        <v>11263</v>
      </c>
      <c r="C4480" s="1773" t="s">
        <v>10621</v>
      </c>
      <c r="D4480" s="1751" t="s">
        <v>10843</v>
      </c>
      <c r="E4480" s="1773" cm="1">
        <f t="array" ref="E4480">resilince_num_peace_artscontest_ip_f</f>
        <v>0</v>
      </c>
      <c r="F4480" s="46" t="b">
        <v>1</v>
      </c>
    </row>
    <row r="4481" spans="1:6">
      <c r="A4481" s="1773" t="s">
        <v>10622</v>
      </c>
      <c r="B4481" s="46" t="s">
        <v>11263</v>
      </c>
      <c r="C4481" s="1773" t="s">
        <v>10622</v>
      </c>
      <c r="D4481" s="1751" t="s">
        <v>10844</v>
      </c>
      <c r="E4481" s="1773" cm="1">
        <f t="array" ref="E4481">resilince_num_peace_artscontest_muslim_m</f>
        <v>0</v>
      </c>
      <c r="F4481" s="46" t="b">
        <v>1</v>
      </c>
    </row>
    <row r="4482" spans="1:6">
      <c r="A4482" s="1773" t="s">
        <v>10623</v>
      </c>
      <c r="B4482" s="46" t="s">
        <v>11263</v>
      </c>
      <c r="C4482" s="1773" t="s">
        <v>10623</v>
      </c>
      <c r="D4482" s="1751" t="s">
        <v>10845</v>
      </c>
      <c r="E4482" s="1773" cm="1">
        <f t="array" ref="E4482">resilince_num_peace_artscontest_muslim_f</f>
        <v>0</v>
      </c>
      <c r="F4482" s="46" t="b">
        <v>1</v>
      </c>
    </row>
    <row r="4483" spans="1:6">
      <c r="A4483" s="1773" t="s">
        <v>10624</v>
      </c>
      <c r="B4483" s="46" t="s">
        <v>11263</v>
      </c>
      <c r="C4483" s="1773" t="s">
        <v>10624</v>
      </c>
      <c r="D4483" s="1751" t="s">
        <v>10846</v>
      </c>
      <c r="E4483" s="1773" cm="1">
        <f t="array" ref="E4483">resilince_num_peace_artscontest_lwd_m</f>
        <v>0</v>
      </c>
      <c r="F4483" s="46" t="b">
        <v>1</v>
      </c>
    </row>
    <row r="4484" spans="1:6">
      <c r="A4484" s="1773" t="s">
        <v>10625</v>
      </c>
      <c r="B4484" s="46" t="s">
        <v>11263</v>
      </c>
      <c r="C4484" s="1773" t="s">
        <v>10625</v>
      </c>
      <c r="D4484" s="1751" t="s">
        <v>10847</v>
      </c>
      <c r="E4484" s="1773" cm="1">
        <f t="array" ref="E4484">resilince_num_peace_artscontest_lwd_f</f>
        <v>0</v>
      </c>
      <c r="F4484" s="46" t="b">
        <v>1</v>
      </c>
    </row>
    <row r="4485" spans="1:6">
      <c r="A4485" s="1773" t="s">
        <v>10626</v>
      </c>
      <c r="B4485" s="46" t="s">
        <v>11263</v>
      </c>
      <c r="C4485" s="1773" t="s">
        <v>10626</v>
      </c>
      <c r="D4485" s="1751" t="s">
        <v>10848</v>
      </c>
      <c r="E4485" s="1773" cm="1">
        <f t="array" ref="E4485">resilince_num_peace_commsplevent_l_m</f>
        <v>0</v>
      </c>
      <c r="F4485" s="46" t="b">
        <v>1</v>
      </c>
    </row>
    <row r="4486" spans="1:6">
      <c r="A4486" s="1773" t="s">
        <v>10627</v>
      </c>
      <c r="B4486" s="46" t="s">
        <v>11263</v>
      </c>
      <c r="C4486" s="1773" t="s">
        <v>10627</v>
      </c>
      <c r="D4486" s="1751" t="s">
        <v>10849</v>
      </c>
      <c r="E4486" s="1773" cm="1">
        <f t="array" ref="E4486">resilince_num_peace_commsplevent_l_f</f>
        <v>0</v>
      </c>
      <c r="F4486" s="46" t="b">
        <v>1</v>
      </c>
    </row>
    <row r="4487" spans="1:6">
      <c r="A4487" s="1773" t="s">
        <v>10628</v>
      </c>
      <c r="B4487" s="46" t="s">
        <v>11263</v>
      </c>
      <c r="C4487" s="1773" t="s">
        <v>10628</v>
      </c>
      <c r="D4487" s="1751" t="s">
        <v>10850</v>
      </c>
      <c r="E4487" s="1773" cm="1">
        <f t="array" ref="E4487">resilince_num_peace_commsplevent_ip_m</f>
        <v>0</v>
      </c>
      <c r="F4487" s="46" t="b">
        <v>1</v>
      </c>
    </row>
    <row r="4488" spans="1:6">
      <c r="A4488" s="1773" t="s">
        <v>10629</v>
      </c>
      <c r="B4488" s="46" t="s">
        <v>11263</v>
      </c>
      <c r="C4488" s="1773" t="s">
        <v>10629</v>
      </c>
      <c r="D4488" s="1751" t="s">
        <v>10851</v>
      </c>
      <c r="E4488" s="1773" cm="1">
        <f t="array" ref="E4488">resilince_num_peace_commsplevent_ip_f</f>
        <v>0</v>
      </c>
      <c r="F4488" s="46" t="b">
        <v>1</v>
      </c>
    </row>
    <row r="4489" spans="1:6">
      <c r="A4489" s="1773" t="s">
        <v>10630</v>
      </c>
      <c r="B4489" s="46" t="s">
        <v>11263</v>
      </c>
      <c r="C4489" s="1773" t="s">
        <v>10630</v>
      </c>
      <c r="D4489" s="1751" t="s">
        <v>10852</v>
      </c>
      <c r="E4489" s="1773" cm="1">
        <f t="array" ref="E4489">resilince_num_peace_commsplevent_muslim_m</f>
        <v>0</v>
      </c>
      <c r="F4489" s="46" t="b">
        <v>1</v>
      </c>
    </row>
    <row r="4490" spans="1:6">
      <c r="A4490" s="1773" t="s">
        <v>10631</v>
      </c>
      <c r="B4490" s="46" t="s">
        <v>11263</v>
      </c>
      <c r="C4490" s="1773" t="s">
        <v>10631</v>
      </c>
      <c r="D4490" s="1751" t="s">
        <v>10853</v>
      </c>
      <c r="E4490" s="1773" cm="1">
        <f t="array" ref="E4490">resilince_num_peace_commsplevent_muslim_f</f>
        <v>0</v>
      </c>
      <c r="F4490" s="46" t="b">
        <v>1</v>
      </c>
    </row>
    <row r="4491" spans="1:6">
      <c r="A4491" s="1773" t="s">
        <v>10632</v>
      </c>
      <c r="B4491" s="46" t="s">
        <v>11263</v>
      </c>
      <c r="C4491" s="1773" t="s">
        <v>10632</v>
      </c>
      <c r="D4491" s="1751" t="s">
        <v>10854</v>
      </c>
      <c r="E4491" s="1773" cm="1">
        <f t="array" ref="E4491">resilince_num_peace_commsplevent_lwd_m</f>
        <v>0</v>
      </c>
      <c r="F4491" s="46" t="b">
        <v>1</v>
      </c>
    </row>
    <row r="4492" spans="1:6">
      <c r="A4492" s="1773" t="s">
        <v>10633</v>
      </c>
      <c r="B4492" s="46" t="s">
        <v>11263</v>
      </c>
      <c r="C4492" s="1773" t="s">
        <v>10633</v>
      </c>
      <c r="D4492" s="1751" t="s">
        <v>10855</v>
      </c>
      <c r="E4492" s="1773" cm="1">
        <f t="array" ref="E4492">resilince_num_peace_commsplevent_lwd_f</f>
        <v>0</v>
      </c>
      <c r="F4492" s="46" t="b">
        <v>1</v>
      </c>
    </row>
    <row r="4493" spans="1:6">
      <c r="A4493" s="1773" t="s">
        <v>10634</v>
      </c>
      <c r="B4493" s="46" t="s">
        <v>11263</v>
      </c>
      <c r="C4493" s="1773" t="s">
        <v>10634</v>
      </c>
      <c r="D4493" s="1751" t="s">
        <v>10856</v>
      </c>
      <c r="E4493" s="1773" cm="1">
        <f t="array" ref="E4493">resilince_num_peace_others_l_m</f>
        <v>0</v>
      </c>
      <c r="F4493" s="46" t="b">
        <v>1</v>
      </c>
    </row>
    <row r="4494" spans="1:6">
      <c r="A4494" s="1773" t="s">
        <v>10635</v>
      </c>
      <c r="B4494" s="46" t="s">
        <v>11263</v>
      </c>
      <c r="C4494" s="1773" t="s">
        <v>10635</v>
      </c>
      <c r="D4494" s="1751" t="s">
        <v>10857</v>
      </c>
      <c r="E4494" s="1773" cm="1">
        <f t="array" ref="E4494">resilince_num_peace_others_l_f</f>
        <v>0</v>
      </c>
      <c r="F4494" s="46" t="b">
        <v>1</v>
      </c>
    </row>
    <row r="4495" spans="1:6">
      <c r="A4495" s="1773" t="s">
        <v>10636</v>
      </c>
      <c r="B4495" s="46" t="s">
        <v>11263</v>
      </c>
      <c r="C4495" s="1773" t="s">
        <v>10636</v>
      </c>
      <c r="D4495" s="1751" t="s">
        <v>10858</v>
      </c>
      <c r="E4495" s="1773" cm="1">
        <f t="array" ref="E4495">resilince_num_peace_others_ip_m</f>
        <v>0</v>
      </c>
      <c r="F4495" s="46" t="b">
        <v>1</v>
      </c>
    </row>
    <row r="4496" spans="1:6">
      <c r="A4496" s="1773" t="s">
        <v>10637</v>
      </c>
      <c r="B4496" s="46" t="s">
        <v>11263</v>
      </c>
      <c r="C4496" s="1773" t="s">
        <v>10637</v>
      </c>
      <c r="D4496" s="1751" t="s">
        <v>10859</v>
      </c>
      <c r="E4496" s="1773" cm="1">
        <f t="array" ref="E4496">resilince_num_peace_others_ip_f</f>
        <v>0</v>
      </c>
      <c r="F4496" s="46" t="b">
        <v>1</v>
      </c>
    </row>
    <row r="4497" spans="1:8">
      <c r="A4497" s="1773" t="s">
        <v>10638</v>
      </c>
      <c r="B4497" s="46" t="s">
        <v>11263</v>
      </c>
      <c r="C4497" s="1773" t="s">
        <v>10638</v>
      </c>
      <c r="D4497" s="1751" t="s">
        <v>10860</v>
      </c>
      <c r="E4497" s="1773" cm="1">
        <f t="array" ref="E4497">resilince_num_peace_others_muslim_m</f>
        <v>0</v>
      </c>
      <c r="F4497" s="46" t="b">
        <v>1</v>
      </c>
    </row>
    <row r="4498" spans="1:8">
      <c r="A4498" s="1773" t="s">
        <v>10639</v>
      </c>
      <c r="B4498" s="46" t="s">
        <v>11263</v>
      </c>
      <c r="C4498" s="1773" t="s">
        <v>10639</v>
      </c>
      <c r="D4498" s="1751" t="s">
        <v>10861</v>
      </c>
      <c r="E4498" s="1773" cm="1">
        <f t="array" ref="E4498">resilince_num_peace_others_muslim_f</f>
        <v>0</v>
      </c>
      <c r="F4498" s="46" t="b">
        <v>1</v>
      </c>
    </row>
    <row r="4499" spans="1:8">
      <c r="A4499" s="1773" t="s">
        <v>10640</v>
      </c>
      <c r="B4499" s="46" t="s">
        <v>11263</v>
      </c>
      <c r="C4499" s="1773" t="s">
        <v>10640</v>
      </c>
      <c r="D4499" s="1751" t="s">
        <v>10862</v>
      </c>
      <c r="E4499" s="1773" cm="1">
        <f t="array" ref="E4499">resilince_num_peace_others_lwd_m</f>
        <v>0</v>
      </c>
      <c r="F4499" s="46" t="b">
        <v>1</v>
      </c>
    </row>
    <row r="4500" spans="1:8">
      <c r="A4500" s="1773" t="s">
        <v>10641</v>
      </c>
      <c r="B4500" s="46" t="s">
        <v>11263</v>
      </c>
      <c r="C4500" s="1773" t="s">
        <v>10641</v>
      </c>
      <c r="D4500" s="1751" t="s">
        <v>10863</v>
      </c>
      <c r="E4500" s="1773" cm="1">
        <f t="array" ref="E4500">resilince_num_peace_others_lwd_f</f>
        <v>0</v>
      </c>
      <c r="F4500" s="46" t="b">
        <v>1</v>
      </c>
    </row>
    <row r="4501" spans="1:8">
      <c r="A4501" s="1773" t="s">
        <v>10871</v>
      </c>
      <c r="B4501" s="46" t="s">
        <v>11263</v>
      </c>
      <c r="C4501" s="1773" t="s">
        <v>10871</v>
      </c>
      <c r="D4501" s="1751" t="s">
        <v>10864</v>
      </c>
      <c r="E4501" s="1773" cm="1">
        <f t="array" ref="E4501">resilince_num_peace_l_others_specify</f>
        <v>0</v>
      </c>
      <c r="F4501" s="46" t="b">
        <v>1</v>
      </c>
    </row>
    <row r="4502" spans="1:8">
      <c r="A4502" s="1773" t="s">
        <v>10642</v>
      </c>
      <c r="B4502" s="46" t="s">
        <v>11263</v>
      </c>
      <c r="C4502" s="1773" t="s">
        <v>10642</v>
      </c>
      <c r="D4502" s="1751" t="s">
        <v>10865</v>
      </c>
      <c r="E4502" s="1773" t="b" cm="1">
        <f t="array" ref="E4502">resilince_num_dev_learning_resources</f>
        <v>0</v>
      </c>
      <c r="F4502" s="46" t="b">
        <f>OR(E4502=TRUE, E4502=FALSE)</f>
        <v>1</v>
      </c>
      <c r="G4502" s="46" t="s">
        <v>11265</v>
      </c>
    </row>
    <row r="4503" spans="1:8">
      <c r="A4503" s="1773" t="s">
        <v>10643</v>
      </c>
      <c r="B4503" s="46" t="s">
        <v>11263</v>
      </c>
      <c r="C4503" s="1773" t="s">
        <v>10643</v>
      </c>
      <c r="D4503" s="1751" t="s">
        <v>10866</v>
      </c>
      <c r="E4503" s="1773" cm="1">
        <f t="array" ref="E4503">resilince_num_drrm_train</f>
        <v>0</v>
      </c>
      <c r="F4503" s="46" t="b">
        <v>1</v>
      </c>
    </row>
    <row r="4504" spans="1:8">
      <c r="A4504" s="1773" t="s">
        <v>10644</v>
      </c>
      <c r="B4504" s="46" t="s">
        <v>11263</v>
      </c>
      <c r="C4504" s="1773" t="s">
        <v>10644</v>
      </c>
      <c r="D4504" s="1751" t="s">
        <v>10867</v>
      </c>
      <c r="E4504" s="1773" cm="1">
        <f t="array" ref="E4504">resilince_num_ccam_train</f>
        <v>0</v>
      </c>
      <c r="F4504" s="46" t="b">
        <v>1</v>
      </c>
    </row>
    <row r="4505" spans="1:8" ht="16.5" thickBot="1">
      <c r="A4505" s="1774" t="s">
        <v>10645</v>
      </c>
      <c r="B4505" s="479" t="s">
        <v>11263</v>
      </c>
      <c r="C4505" s="1774" t="s">
        <v>10645</v>
      </c>
      <c r="D4505" s="1771" t="s">
        <v>10868</v>
      </c>
      <c r="E4505" s="1774" cm="1">
        <f t="array" ref="E4505">resilince_num_peace_train</f>
        <v>0</v>
      </c>
      <c r="F4505" s="479" t="b">
        <v>1</v>
      </c>
      <c r="G4505" s="479"/>
      <c r="H4505" s="479"/>
    </row>
    <row r="4506" spans="1:8" ht="16.5" thickTop="1">
      <c r="A4506" s="1773" t="s">
        <v>10872</v>
      </c>
      <c r="B4506" s="46" t="s">
        <v>11263</v>
      </c>
      <c r="C4506" s="1773" t="s">
        <v>10872</v>
      </c>
      <c r="D4506" s="1751" t="s">
        <v>11001</v>
      </c>
      <c r="E4506" s="1773" cm="1">
        <f t="array" ref="E4506">resilince_num_comp_traincourse_l_m</f>
        <v>0</v>
      </c>
      <c r="F4506" s="46" t="b">
        <v>1</v>
      </c>
    </row>
    <row r="4507" spans="1:8">
      <c r="A4507" s="1773" t="s">
        <v>10873</v>
      </c>
      <c r="B4507" s="46" t="s">
        <v>11263</v>
      </c>
      <c r="C4507" s="1773" t="s">
        <v>10873</v>
      </c>
      <c r="D4507" s="1751" t="s">
        <v>11002</v>
      </c>
      <c r="E4507" s="1773" cm="1">
        <f t="array" ref="E4507">resilince_num_comp_traincourse_l_f</f>
        <v>0</v>
      </c>
      <c r="F4507" s="46" t="b">
        <v>1</v>
      </c>
    </row>
    <row r="4508" spans="1:8">
      <c r="A4508" s="1773" t="s">
        <v>10874</v>
      </c>
      <c r="B4508" s="46" t="s">
        <v>11263</v>
      </c>
      <c r="C4508" s="1773" t="s">
        <v>10874</v>
      </c>
      <c r="D4508" s="1751" t="s">
        <v>11003</v>
      </c>
      <c r="E4508" s="1773" cm="1">
        <f t="array" ref="E4508">resilince_num_comp_traincourse_ip_m</f>
        <v>0</v>
      </c>
      <c r="F4508" s="46" t="b">
        <v>1</v>
      </c>
    </row>
    <row r="4509" spans="1:8">
      <c r="A4509" s="1773" t="s">
        <v>10875</v>
      </c>
      <c r="B4509" s="46" t="s">
        <v>11263</v>
      </c>
      <c r="C4509" s="1773" t="s">
        <v>10875</v>
      </c>
      <c r="D4509" s="1751" t="s">
        <v>11004</v>
      </c>
      <c r="E4509" s="1773" cm="1">
        <f t="array" ref="E4509">resilince_num_comp_traincourse_ip_f</f>
        <v>0</v>
      </c>
      <c r="F4509" s="46" t="b">
        <v>1</v>
      </c>
    </row>
    <row r="4510" spans="1:8">
      <c r="A4510" s="1773" t="s">
        <v>10876</v>
      </c>
      <c r="B4510" s="46" t="s">
        <v>11263</v>
      </c>
      <c r="C4510" s="1773" t="s">
        <v>10876</v>
      </c>
      <c r="D4510" s="1751" t="s">
        <v>11005</v>
      </c>
      <c r="E4510" s="1773" cm="1">
        <f t="array" ref="E4510">resilince_num_comp_traincourse_muslim_m</f>
        <v>0</v>
      </c>
      <c r="F4510" s="46" t="b">
        <v>1</v>
      </c>
    </row>
    <row r="4511" spans="1:8">
      <c r="A4511" s="1773" t="s">
        <v>10877</v>
      </c>
      <c r="B4511" s="46" t="s">
        <v>11263</v>
      </c>
      <c r="C4511" s="1773" t="s">
        <v>10877</v>
      </c>
      <c r="D4511" s="1751" t="s">
        <v>11006</v>
      </c>
      <c r="E4511" s="1773" cm="1">
        <f t="array" ref="E4511">resilince_num_comp_traincourse_muslim_f</f>
        <v>0</v>
      </c>
      <c r="F4511" s="46" t="b">
        <v>1</v>
      </c>
    </row>
    <row r="4512" spans="1:8">
      <c r="A4512" s="1773" t="s">
        <v>10878</v>
      </c>
      <c r="B4512" s="46" t="s">
        <v>11263</v>
      </c>
      <c r="C4512" s="1773" t="s">
        <v>10878</v>
      </c>
      <c r="D4512" s="1751" t="s">
        <v>11007</v>
      </c>
      <c r="E4512" s="1773" cm="1">
        <f t="array" ref="E4512">resilince_num_comp_traincourse_lwd_m</f>
        <v>0</v>
      </c>
      <c r="F4512" s="46" t="b">
        <v>1</v>
      </c>
    </row>
    <row r="4513" spans="1:6">
      <c r="A4513" s="1773" t="s">
        <v>10879</v>
      </c>
      <c r="B4513" s="46" t="s">
        <v>11263</v>
      </c>
      <c r="C4513" s="1773" t="s">
        <v>10879</v>
      </c>
      <c r="D4513" s="1751" t="s">
        <v>11008</v>
      </c>
      <c r="E4513" s="1773" cm="1">
        <f t="array" ref="E4513">resilince_num_comp_traincourse_lwd_f</f>
        <v>0</v>
      </c>
      <c r="F4513" s="46" t="b">
        <v>1</v>
      </c>
    </row>
    <row r="4514" spans="1:6">
      <c r="A4514" s="1773" t="s">
        <v>10880</v>
      </c>
      <c r="B4514" s="46" t="s">
        <v>11263</v>
      </c>
      <c r="C4514" s="1773" t="s">
        <v>10880</v>
      </c>
      <c r="D4514" s="1751" t="s">
        <v>11009</v>
      </c>
      <c r="E4514" s="1773" cm="1">
        <f t="array" ref="E4514">resilince_num_trained_l_m</f>
        <v>0</v>
      </c>
      <c r="F4514" s="46" t="b">
        <v>1</v>
      </c>
    </row>
    <row r="4515" spans="1:6">
      <c r="A4515" s="1773" t="s">
        <v>10881</v>
      </c>
      <c r="B4515" s="46" t="s">
        <v>11263</v>
      </c>
      <c r="C4515" s="1773" t="s">
        <v>10881</v>
      </c>
      <c r="D4515" s="1751" t="s">
        <v>11010</v>
      </c>
      <c r="E4515" s="1773" cm="1">
        <f t="array" ref="E4515">resilince_num_trained_l_f</f>
        <v>0</v>
      </c>
      <c r="F4515" s="46" t="b">
        <v>1</v>
      </c>
    </row>
    <row r="4516" spans="1:6">
      <c r="A4516" s="1773" t="s">
        <v>10882</v>
      </c>
      <c r="B4516" s="46" t="s">
        <v>11263</v>
      </c>
      <c r="C4516" s="1773" t="s">
        <v>10882</v>
      </c>
      <c r="D4516" s="1751" t="s">
        <v>11011</v>
      </c>
      <c r="E4516" s="1773" cm="1">
        <f t="array" ref="E4516">resilince_num_trained_ip_m</f>
        <v>0</v>
      </c>
      <c r="F4516" s="46" t="b">
        <v>1</v>
      </c>
    </row>
    <row r="4517" spans="1:6">
      <c r="A4517" s="1773" t="s">
        <v>10883</v>
      </c>
      <c r="B4517" s="46" t="s">
        <v>11263</v>
      </c>
      <c r="C4517" s="1773" t="s">
        <v>10883</v>
      </c>
      <c r="D4517" s="1751" t="s">
        <v>11012</v>
      </c>
      <c r="E4517" s="1773" cm="1">
        <f t="array" ref="E4517">resilince_num_trained_ip_f</f>
        <v>0</v>
      </c>
      <c r="F4517" s="46" t="b">
        <v>1</v>
      </c>
    </row>
    <row r="4518" spans="1:6">
      <c r="A4518" s="1773" t="s">
        <v>10884</v>
      </c>
      <c r="B4518" s="46" t="s">
        <v>11263</v>
      </c>
      <c r="C4518" s="1773" t="s">
        <v>10884</v>
      </c>
      <c r="D4518" s="1751" t="s">
        <v>11013</v>
      </c>
      <c r="E4518" s="1773" cm="1">
        <f t="array" ref="E4518">resilince_num_trained_muslim_m</f>
        <v>0</v>
      </c>
      <c r="F4518" s="46" t="b">
        <v>1</v>
      </c>
    </row>
    <row r="4519" spans="1:6">
      <c r="A4519" s="1773" t="s">
        <v>10885</v>
      </c>
      <c r="B4519" s="46" t="s">
        <v>11263</v>
      </c>
      <c r="C4519" s="1773" t="s">
        <v>10885</v>
      </c>
      <c r="D4519" s="1751" t="s">
        <v>11014</v>
      </c>
      <c r="E4519" s="1773" cm="1">
        <f t="array" ref="E4519">resilince_num_trained_muslim_f</f>
        <v>0</v>
      </c>
      <c r="F4519" s="46" t="b">
        <v>1</v>
      </c>
    </row>
    <row r="4520" spans="1:6">
      <c r="A4520" s="1773" t="s">
        <v>10886</v>
      </c>
      <c r="B4520" s="46" t="s">
        <v>11263</v>
      </c>
      <c r="C4520" s="1773" t="s">
        <v>10886</v>
      </c>
      <c r="D4520" s="1751" t="s">
        <v>11015</v>
      </c>
      <c r="E4520" s="1773" cm="1">
        <f t="array" ref="E4520">resilince_num_trained_lwd_m</f>
        <v>0</v>
      </c>
      <c r="F4520" s="46" t="b">
        <v>1</v>
      </c>
    </row>
    <row r="4521" spans="1:6">
      <c r="A4521" s="1773" t="s">
        <v>10887</v>
      </c>
      <c r="B4521" s="46" t="s">
        <v>11263</v>
      </c>
      <c r="C4521" s="1773" t="s">
        <v>10887</v>
      </c>
      <c r="D4521" s="1751" t="s">
        <v>11016</v>
      </c>
      <c r="E4521" s="1773" cm="1">
        <f t="array" ref="E4521">resilince_num_trained_lwd_f</f>
        <v>0</v>
      </c>
      <c r="F4521" s="46" t="b">
        <v>1</v>
      </c>
    </row>
    <row r="4522" spans="1:6">
      <c r="A4522" s="1773" t="s">
        <v>10888</v>
      </c>
      <c r="B4522" s="46" t="s">
        <v>11263</v>
      </c>
      <c r="C4522" s="1773" t="s">
        <v>10888</v>
      </c>
      <c r="D4522" s="1751" t="s">
        <v>11017</v>
      </c>
      <c r="E4522" s="1773" cm="1">
        <f t="array" ref="E4522">resilince_num_co_led_l_m</f>
        <v>0</v>
      </c>
      <c r="F4522" s="46" t="b">
        <v>1</v>
      </c>
    </row>
    <row r="4523" spans="1:6">
      <c r="A4523" s="1773" t="s">
        <v>10889</v>
      </c>
      <c r="B4523" s="46" t="s">
        <v>11263</v>
      </c>
      <c r="C4523" s="1773" t="s">
        <v>10889</v>
      </c>
      <c r="D4523" s="1751" t="s">
        <v>11018</v>
      </c>
      <c r="E4523" s="1773" cm="1">
        <f t="array" ref="E4523">resilince_num_co_led_l_f</f>
        <v>0</v>
      </c>
      <c r="F4523" s="46" t="b">
        <v>1</v>
      </c>
    </row>
    <row r="4524" spans="1:6">
      <c r="A4524" s="1773" t="s">
        <v>10890</v>
      </c>
      <c r="B4524" s="46" t="s">
        <v>11263</v>
      </c>
      <c r="C4524" s="1773" t="s">
        <v>10890</v>
      </c>
      <c r="D4524" s="1751" t="s">
        <v>11019</v>
      </c>
      <c r="E4524" s="1773" cm="1">
        <f t="array" ref="E4524">resilince_num_co_led_ip_m</f>
        <v>0</v>
      </c>
      <c r="F4524" s="46" t="b">
        <v>1</v>
      </c>
    </row>
    <row r="4525" spans="1:6">
      <c r="A4525" s="1773" t="s">
        <v>10891</v>
      </c>
      <c r="B4525" s="46" t="s">
        <v>11263</v>
      </c>
      <c r="C4525" s="1773" t="s">
        <v>10891</v>
      </c>
      <c r="D4525" s="1751" t="s">
        <v>11020</v>
      </c>
      <c r="E4525" s="1773" cm="1">
        <f t="array" ref="E4525">resilince_num_co_led_ip_f</f>
        <v>0</v>
      </c>
      <c r="F4525" s="46" t="b">
        <v>1</v>
      </c>
    </row>
    <row r="4526" spans="1:6">
      <c r="A4526" s="1773" t="s">
        <v>10892</v>
      </c>
      <c r="B4526" s="46" t="s">
        <v>11263</v>
      </c>
      <c r="C4526" s="1773" t="s">
        <v>10892</v>
      </c>
      <c r="D4526" s="1751" t="s">
        <v>11021</v>
      </c>
      <c r="E4526" s="1773" cm="1">
        <f t="array" ref="E4526">resilince_num_co_led_muslim_m</f>
        <v>0</v>
      </c>
      <c r="F4526" s="46" t="b">
        <v>1</v>
      </c>
    </row>
    <row r="4527" spans="1:6">
      <c r="A4527" s="1773" t="s">
        <v>10893</v>
      </c>
      <c r="B4527" s="46" t="s">
        <v>11263</v>
      </c>
      <c r="C4527" s="1773" t="s">
        <v>10893</v>
      </c>
      <c r="D4527" s="1751" t="s">
        <v>11022</v>
      </c>
      <c r="E4527" s="1773" cm="1">
        <f t="array" ref="E4527">resilince_num_co_led_muslim_f</f>
        <v>0</v>
      </c>
      <c r="F4527" s="46" t="b">
        <v>1</v>
      </c>
    </row>
    <row r="4528" spans="1:6">
      <c r="A4528" s="1773" t="s">
        <v>10894</v>
      </c>
      <c r="B4528" s="46" t="s">
        <v>11263</v>
      </c>
      <c r="C4528" s="1773" t="s">
        <v>10894</v>
      </c>
      <c r="D4528" s="1751" t="s">
        <v>11023</v>
      </c>
      <c r="E4528" s="1773" cm="1">
        <f t="array" ref="E4528">resilince_num_co_led_lwd_m</f>
        <v>0</v>
      </c>
      <c r="F4528" s="46" t="b">
        <v>1</v>
      </c>
    </row>
    <row r="4529" spans="1:7">
      <c r="A4529" s="1773" t="s">
        <v>10895</v>
      </c>
      <c r="B4529" s="46" t="s">
        <v>11263</v>
      </c>
      <c r="C4529" s="1773" t="s">
        <v>10895</v>
      </c>
      <c r="D4529" s="1751" t="s">
        <v>11024</v>
      </c>
      <c r="E4529" s="1773" cm="1">
        <f t="array" ref="E4529">resilince_num_co_led_lwd_f</f>
        <v>0</v>
      </c>
      <c r="F4529" s="46" t="b">
        <v>1</v>
      </c>
    </row>
    <row r="4530" spans="1:7">
      <c r="A4530" s="1773" t="s">
        <v>10896</v>
      </c>
      <c r="B4530" s="46" t="s">
        <v>11263</v>
      </c>
      <c r="C4530" s="1773" t="s">
        <v>10896</v>
      </c>
      <c r="D4530" s="1751" t="s">
        <v>11025</v>
      </c>
      <c r="E4530" s="1773" cm="1">
        <f t="array" ref="E4530">resilince_num_led_l_m</f>
        <v>0</v>
      </c>
      <c r="F4530" s="46" t="b">
        <v>1</v>
      </c>
    </row>
    <row r="4531" spans="1:7">
      <c r="A4531" s="1773" t="s">
        <v>10897</v>
      </c>
      <c r="B4531" s="46" t="s">
        <v>11263</v>
      </c>
      <c r="C4531" s="1773" t="s">
        <v>10897</v>
      </c>
      <c r="D4531" s="1751" t="s">
        <v>11026</v>
      </c>
      <c r="E4531" s="1773" cm="1">
        <f t="array" ref="E4531">resilince_num_led_l_f</f>
        <v>0</v>
      </c>
      <c r="F4531" s="46" t="b">
        <v>1</v>
      </c>
    </row>
    <row r="4532" spans="1:7">
      <c r="A4532" s="1773" t="s">
        <v>10898</v>
      </c>
      <c r="B4532" s="46" t="s">
        <v>11263</v>
      </c>
      <c r="C4532" s="1773" t="s">
        <v>10898</v>
      </c>
      <c r="D4532" s="1751" t="s">
        <v>11027</v>
      </c>
      <c r="E4532" s="1773" cm="1">
        <f t="array" ref="E4532">resilince_num_led_ip_m</f>
        <v>0</v>
      </c>
      <c r="F4532" s="46" t="b">
        <v>1</v>
      </c>
    </row>
    <row r="4533" spans="1:7">
      <c r="A4533" s="1773" t="s">
        <v>10899</v>
      </c>
      <c r="B4533" s="46" t="s">
        <v>11263</v>
      </c>
      <c r="C4533" s="1773" t="s">
        <v>10899</v>
      </c>
      <c r="D4533" s="1751" t="s">
        <v>11028</v>
      </c>
      <c r="E4533" s="1773" cm="1">
        <f t="array" ref="E4533">resilince_num_led_ip_f</f>
        <v>0</v>
      </c>
      <c r="F4533" s="46" t="b">
        <v>1</v>
      </c>
    </row>
    <row r="4534" spans="1:7">
      <c r="A4534" s="1773" t="s">
        <v>10900</v>
      </c>
      <c r="B4534" s="46" t="s">
        <v>11263</v>
      </c>
      <c r="C4534" s="1773" t="s">
        <v>10900</v>
      </c>
      <c r="D4534" s="1751" t="s">
        <v>11029</v>
      </c>
      <c r="E4534" s="1773" cm="1">
        <f t="array" ref="E4534">resilince_num_led_muslim_m</f>
        <v>0</v>
      </c>
      <c r="F4534" s="46" t="b">
        <v>1</v>
      </c>
    </row>
    <row r="4535" spans="1:7">
      <c r="A4535" s="1773" t="s">
        <v>10901</v>
      </c>
      <c r="B4535" s="46" t="s">
        <v>11263</v>
      </c>
      <c r="C4535" s="1773" t="s">
        <v>10901</v>
      </c>
      <c r="D4535" s="1751" t="s">
        <v>11030</v>
      </c>
      <c r="E4535" s="1773" cm="1">
        <f t="array" ref="E4535">resilince_num_led_muslim_f</f>
        <v>0</v>
      </c>
      <c r="F4535" s="46" t="b">
        <v>1</v>
      </c>
    </row>
    <row r="4536" spans="1:7">
      <c r="A4536" s="1773" t="s">
        <v>10902</v>
      </c>
      <c r="B4536" s="46" t="s">
        <v>11263</v>
      </c>
      <c r="C4536" s="1773" t="s">
        <v>10902</v>
      </c>
      <c r="D4536" s="1751" t="s">
        <v>11031</v>
      </c>
      <c r="E4536" s="1773" cm="1">
        <f t="array" ref="E4536">resilince_num_led_lwd_m</f>
        <v>0</v>
      </c>
      <c r="F4536" s="46" t="b">
        <v>1</v>
      </c>
    </row>
    <row r="4537" spans="1:7">
      <c r="A4537" s="1773" t="s">
        <v>10903</v>
      </c>
      <c r="B4537" s="46" t="s">
        <v>11263</v>
      </c>
      <c r="C4537" s="1773" t="s">
        <v>10903</v>
      </c>
      <c r="D4537" s="1751" t="s">
        <v>11032</v>
      </c>
      <c r="E4537" s="1773" cm="1">
        <f t="array" ref="E4537">resilince_num_led_lwd_f</f>
        <v>0</v>
      </c>
      <c r="F4537" s="46" t="b">
        <v>1</v>
      </c>
    </row>
    <row r="4538" spans="1:7">
      <c r="A4538" s="1773" t="s">
        <v>10904</v>
      </c>
      <c r="B4538" s="46" t="s">
        <v>11263</v>
      </c>
      <c r="C4538" s="1773" t="s">
        <v>10904</v>
      </c>
      <c r="D4538" s="1751" t="s">
        <v>11033</v>
      </c>
      <c r="E4538" s="1773" cm="1">
        <f t="array" ref="E4538">resilince_num_ppaled_l_drrm</f>
        <v>0</v>
      </c>
      <c r="F4538" s="46" t="b">
        <v>1</v>
      </c>
    </row>
    <row r="4539" spans="1:7">
      <c r="A4539" s="1773" t="s">
        <v>10905</v>
      </c>
      <c r="B4539" s="46" t="s">
        <v>11263</v>
      </c>
      <c r="C4539" s="1773" t="s">
        <v>10905</v>
      </c>
      <c r="D4539" s="1751" t="s">
        <v>11034</v>
      </c>
      <c r="E4539" s="1773" cm="1">
        <f t="array" ref="E4539">resilince_num_ppaled_l_ccam</f>
        <v>0</v>
      </c>
      <c r="F4539" s="46" t="b">
        <v>1</v>
      </c>
    </row>
    <row r="4540" spans="1:7">
      <c r="A4540" s="1773" t="s">
        <v>10906</v>
      </c>
      <c r="B4540" s="46" t="s">
        <v>11263</v>
      </c>
      <c r="C4540" s="1773" t="s">
        <v>10906</v>
      </c>
      <c r="D4540" s="1751" t="s">
        <v>11035</v>
      </c>
      <c r="E4540" s="1773" cm="1">
        <f t="array" ref="E4540">resilince_num_ppaled_l_peace</f>
        <v>0</v>
      </c>
      <c r="F4540" s="46" t="b">
        <v>1</v>
      </c>
    </row>
    <row r="4541" spans="1:7">
      <c r="A4541" s="1773" t="s">
        <v>10907</v>
      </c>
      <c r="B4541" s="46" t="s">
        <v>11263</v>
      </c>
      <c r="C4541" s="1773" t="s">
        <v>10907</v>
      </c>
      <c r="D4541" s="1751" t="s">
        <v>11036</v>
      </c>
      <c r="E4541" s="1773" t="b" cm="1">
        <f t="array" ref="E4541">resilince_num_train_manual</f>
        <v>0</v>
      </c>
      <c r="F4541" s="46" t="b">
        <f>OR(E4541=TRUE, E4541=FALSE)</f>
        <v>1</v>
      </c>
      <c r="G4541" s="46" t="s">
        <v>11265</v>
      </c>
    </row>
    <row r="4542" spans="1:7">
      <c r="A4542" s="1773" t="s">
        <v>10908</v>
      </c>
      <c r="B4542" s="46" t="s">
        <v>11263</v>
      </c>
      <c r="C4542" s="1773" t="s">
        <v>10908</v>
      </c>
      <c r="D4542" s="1751" t="s">
        <v>11037</v>
      </c>
      <c r="E4542" s="1773" cm="1">
        <f t="array" ref="E4542">resilince_num_trainmodule_climatechange_teach_per_m</f>
        <v>0</v>
      </c>
      <c r="F4542" s="46" t="b">
        <v>1</v>
      </c>
    </row>
    <row r="4543" spans="1:7">
      <c r="A4543" s="1773" t="s">
        <v>10909</v>
      </c>
      <c r="B4543" s="46" t="s">
        <v>11263</v>
      </c>
      <c r="C4543" s="1773" t="s">
        <v>10909</v>
      </c>
      <c r="D4543" s="1751" t="s">
        <v>11038</v>
      </c>
      <c r="E4543" s="1773" cm="1">
        <f t="array" ref="E4543">resilince_num_trainmodule_climatechange_teach_per_f</f>
        <v>0</v>
      </c>
      <c r="F4543" s="46" t="b">
        <v>1</v>
      </c>
    </row>
    <row r="4544" spans="1:7">
      <c r="A4544" s="1773" t="s">
        <v>10910</v>
      </c>
      <c r="B4544" s="46" t="s">
        <v>11263</v>
      </c>
      <c r="C4544" s="1773" t="s">
        <v>10910</v>
      </c>
      <c r="D4544" s="1751" t="s">
        <v>11039</v>
      </c>
      <c r="E4544" s="1773" cm="1">
        <f t="array" ref="E4544">resilince_num_trainmodule_climatechange_nonteach_per_m</f>
        <v>0</v>
      </c>
      <c r="F4544" s="46" t="b">
        <v>1</v>
      </c>
    </row>
    <row r="4545" spans="1:6">
      <c r="A4545" s="1773" t="s">
        <v>10911</v>
      </c>
      <c r="B4545" s="46" t="s">
        <v>11263</v>
      </c>
      <c r="C4545" s="1773" t="s">
        <v>10911</v>
      </c>
      <c r="D4545" s="1751" t="s">
        <v>11040</v>
      </c>
      <c r="E4545" s="1773" cm="1">
        <f t="array" ref="E4545">resilince_num_trainmodule_climatechange_nonteach_per_f</f>
        <v>0</v>
      </c>
      <c r="F4545" s="46" t="b">
        <v>1</v>
      </c>
    </row>
    <row r="4546" spans="1:6">
      <c r="A4546" s="1773" t="s">
        <v>10912</v>
      </c>
      <c r="B4546" s="46" t="s">
        <v>11263</v>
      </c>
      <c r="C4546" s="1773" t="s">
        <v>10912</v>
      </c>
      <c r="D4546" s="1751" t="s">
        <v>11041</v>
      </c>
      <c r="E4546" s="1773" cm="1">
        <f t="array" ref="E4546">resilince_num_trainmodule_intlfound_teach_per_m</f>
        <v>0</v>
      </c>
      <c r="F4546" s="46" t="b">
        <v>1</v>
      </c>
    </row>
    <row r="4547" spans="1:6">
      <c r="A4547" s="1773" t="s">
        <v>10913</v>
      </c>
      <c r="B4547" s="46" t="s">
        <v>11263</v>
      </c>
      <c r="C4547" s="1773" t="s">
        <v>10913</v>
      </c>
      <c r="D4547" s="1751" t="s">
        <v>11042</v>
      </c>
      <c r="E4547" s="1773" cm="1">
        <f t="array" ref="E4547">resilince_num_trainmodule_intlfound_teach_per_f</f>
        <v>0</v>
      </c>
      <c r="F4547" s="46" t="b">
        <v>1</v>
      </c>
    </row>
    <row r="4548" spans="1:6">
      <c r="A4548" s="1773" t="s">
        <v>10914</v>
      </c>
      <c r="B4548" s="46" t="s">
        <v>11263</v>
      </c>
      <c r="C4548" s="1773" t="s">
        <v>10914</v>
      </c>
      <c r="D4548" s="1751" t="s">
        <v>11043</v>
      </c>
      <c r="E4548" s="1773" cm="1">
        <f t="array" ref="E4548">resilince_num_trainmodule_intlfound_nonteach_per_m</f>
        <v>0</v>
      </c>
      <c r="F4548" s="46" t="b">
        <v>1</v>
      </c>
    </row>
    <row r="4549" spans="1:6">
      <c r="A4549" s="1773" t="s">
        <v>10915</v>
      </c>
      <c r="B4549" s="46" t="s">
        <v>11263</v>
      </c>
      <c r="C4549" s="1773" t="s">
        <v>10915</v>
      </c>
      <c r="D4549" s="1751" t="s">
        <v>11044</v>
      </c>
      <c r="E4549" s="1773" cm="1">
        <f t="array" ref="E4549">resilince_num_trainmodule_intlfound_nonteach_per_f</f>
        <v>0</v>
      </c>
      <c r="F4549" s="46" t="b">
        <v>1</v>
      </c>
    </row>
    <row r="4550" spans="1:6">
      <c r="A4550" s="1773" t="s">
        <v>10916</v>
      </c>
      <c r="B4550" s="46" t="s">
        <v>11263</v>
      </c>
      <c r="C4550" s="1773" t="s">
        <v>10916</v>
      </c>
      <c r="D4550" s="1751" t="s">
        <v>11045</v>
      </c>
      <c r="E4550" s="1773" cm="1">
        <f t="array" ref="E4550">resilince_num_trainmodule_compre_drrm_teach_per_m</f>
        <v>0</v>
      </c>
      <c r="F4550" s="46" t="b">
        <v>1</v>
      </c>
    </row>
    <row r="4551" spans="1:6">
      <c r="A4551" s="1773" t="s">
        <v>10917</v>
      </c>
      <c r="B4551" s="46" t="s">
        <v>11263</v>
      </c>
      <c r="C4551" s="1773" t="s">
        <v>10917</v>
      </c>
      <c r="D4551" s="1751" t="s">
        <v>11046</v>
      </c>
      <c r="E4551" s="1773" cm="1">
        <f t="array" ref="E4551">resilince_num_trainmodule_compre_drrm_teach_per_f</f>
        <v>0</v>
      </c>
      <c r="F4551" s="46" t="b">
        <v>1</v>
      </c>
    </row>
    <row r="4552" spans="1:6">
      <c r="A4552" s="1773" t="s">
        <v>10918</v>
      </c>
      <c r="B4552" s="46" t="s">
        <v>11263</v>
      </c>
      <c r="C4552" s="1773" t="s">
        <v>10918</v>
      </c>
      <c r="D4552" s="1751" t="s">
        <v>11047</v>
      </c>
      <c r="E4552" s="1773" cm="1">
        <f t="array" ref="E4552">resilince_num_trainmodule_compre_drrm_nonteach_per_m</f>
        <v>0</v>
      </c>
      <c r="F4552" s="46" t="b">
        <v>1</v>
      </c>
    </row>
    <row r="4553" spans="1:6">
      <c r="A4553" s="1773" t="s">
        <v>10919</v>
      </c>
      <c r="B4553" s="46" t="s">
        <v>11263</v>
      </c>
      <c r="C4553" s="1773" t="s">
        <v>10919</v>
      </c>
      <c r="D4553" s="1751" t="s">
        <v>11048</v>
      </c>
      <c r="E4553" s="1773" cm="1">
        <f t="array" ref="E4553">resilince_num_trainmodule_compre_drrm_nonteach_per_f</f>
        <v>0</v>
      </c>
      <c r="F4553" s="46" t="b">
        <v>1</v>
      </c>
    </row>
    <row r="4554" spans="1:6">
      <c r="A4554" s="1773" t="s">
        <v>10920</v>
      </c>
      <c r="B4554" s="46" t="s">
        <v>11263</v>
      </c>
      <c r="C4554" s="1773" t="s">
        <v>10920</v>
      </c>
      <c r="D4554" s="1751" t="s">
        <v>11049</v>
      </c>
      <c r="E4554" s="1773" cm="1">
        <f t="array" ref="E4554">resilince_num_trainmodule_childcntrd_teach_per_m</f>
        <v>0</v>
      </c>
      <c r="F4554" s="46" t="b">
        <v>1</v>
      </c>
    </row>
    <row r="4555" spans="1:6">
      <c r="A4555" s="1773" t="s">
        <v>10921</v>
      </c>
      <c r="B4555" s="46" t="s">
        <v>11263</v>
      </c>
      <c r="C4555" s="1773" t="s">
        <v>10921</v>
      </c>
      <c r="D4555" s="1751" t="s">
        <v>11050</v>
      </c>
      <c r="E4555" s="1773" cm="1">
        <f t="array" ref="E4555">resilince_num_trainmodule_childcntrd_teach_per_f</f>
        <v>0</v>
      </c>
      <c r="F4555" s="46" t="b">
        <v>1</v>
      </c>
    </row>
    <row r="4556" spans="1:6">
      <c r="A4556" s="1773" t="s">
        <v>10922</v>
      </c>
      <c r="B4556" s="46" t="s">
        <v>11263</v>
      </c>
      <c r="C4556" s="1773" t="s">
        <v>10922</v>
      </c>
      <c r="D4556" s="1751" t="s">
        <v>11051</v>
      </c>
      <c r="E4556" s="1773" cm="1">
        <f t="array" ref="E4556">resilince_num_trainmodule_childcntrd_nonteach_per_m</f>
        <v>0</v>
      </c>
      <c r="F4556" s="46" t="b">
        <v>1</v>
      </c>
    </row>
    <row r="4557" spans="1:6">
      <c r="A4557" s="1773" t="s">
        <v>10923</v>
      </c>
      <c r="B4557" s="46" t="s">
        <v>11263</v>
      </c>
      <c r="C4557" s="1773" t="s">
        <v>10923</v>
      </c>
      <c r="D4557" s="1751" t="s">
        <v>11052</v>
      </c>
      <c r="E4557" s="1773" cm="1">
        <f t="array" ref="E4557">resilince_num_trainmodule_childcntrd_nonteach_per_f</f>
        <v>0</v>
      </c>
      <c r="F4557" s="46" t="b">
        <v>1</v>
      </c>
    </row>
    <row r="4558" spans="1:6">
      <c r="A4558" s="1773" t="s">
        <v>10924</v>
      </c>
      <c r="B4558" s="46" t="s">
        <v>11263</v>
      </c>
      <c r="C4558" s="1773" t="s">
        <v>10924</v>
      </c>
      <c r="D4558" s="1751" t="s">
        <v>11053</v>
      </c>
      <c r="E4558" s="1773" cm="1">
        <f t="array" ref="E4558">resilince_num_trainmodule_eie_teach_per_m</f>
        <v>0</v>
      </c>
      <c r="F4558" s="46" t="b">
        <v>1</v>
      </c>
    </row>
    <row r="4559" spans="1:6">
      <c r="A4559" s="1773" t="s">
        <v>10925</v>
      </c>
      <c r="B4559" s="46" t="s">
        <v>11263</v>
      </c>
      <c r="C4559" s="1773" t="s">
        <v>10925</v>
      </c>
      <c r="D4559" s="1751" t="s">
        <v>11054</v>
      </c>
      <c r="E4559" s="1773" cm="1">
        <f t="array" ref="E4559">resilince_num_trainmodule_eie_teach_per_f</f>
        <v>0</v>
      </c>
      <c r="F4559" s="46" t="b">
        <v>1</v>
      </c>
    </row>
    <row r="4560" spans="1:6">
      <c r="A4560" s="1773" t="s">
        <v>10926</v>
      </c>
      <c r="B4560" s="46" t="s">
        <v>11263</v>
      </c>
      <c r="C4560" s="1773" t="s">
        <v>10926</v>
      </c>
      <c r="D4560" s="1751" t="s">
        <v>11055</v>
      </c>
      <c r="E4560" s="1773" cm="1">
        <f t="array" ref="E4560">resilince_num_trainmodule_eie_nonteach_per_m</f>
        <v>0</v>
      </c>
      <c r="F4560" s="46" t="b">
        <v>1</v>
      </c>
    </row>
    <row r="4561" spans="1:6">
      <c r="A4561" s="1773" t="s">
        <v>10927</v>
      </c>
      <c r="B4561" s="46" t="s">
        <v>11263</v>
      </c>
      <c r="C4561" s="1773" t="s">
        <v>10927</v>
      </c>
      <c r="D4561" s="1751" t="s">
        <v>11056</v>
      </c>
      <c r="E4561" s="1773" cm="1">
        <f t="array" ref="E4561">resilince_num_trainmodule_eie_nonteach_per_f</f>
        <v>0</v>
      </c>
      <c r="F4561" s="46" t="b">
        <v>1</v>
      </c>
    </row>
    <row r="4562" spans="1:6">
      <c r="A4562" s="1773" t="s">
        <v>10928</v>
      </c>
      <c r="B4562" s="46" t="s">
        <v>11263</v>
      </c>
      <c r="C4562" s="1773" t="s">
        <v>10928</v>
      </c>
      <c r="D4562" s="1751" t="s">
        <v>11057</v>
      </c>
      <c r="E4562" s="1773" cm="1">
        <f t="array" ref="E4562">resilince_num_trainmodule_adm_teach_per_m</f>
        <v>0</v>
      </c>
      <c r="F4562" s="46" t="b">
        <v>1</v>
      </c>
    </row>
    <row r="4563" spans="1:6">
      <c r="A4563" s="1773" t="s">
        <v>10929</v>
      </c>
      <c r="B4563" s="46" t="s">
        <v>11263</v>
      </c>
      <c r="C4563" s="1773" t="s">
        <v>10929</v>
      </c>
      <c r="D4563" s="1751" t="s">
        <v>11058</v>
      </c>
      <c r="E4563" s="1773" cm="1">
        <f t="array" ref="E4563">resilince_num_trainmodule_adm_teach_per_f</f>
        <v>0</v>
      </c>
      <c r="F4563" s="46" t="b">
        <v>1</v>
      </c>
    </row>
    <row r="4564" spans="1:6">
      <c r="A4564" s="1773" t="s">
        <v>10930</v>
      </c>
      <c r="B4564" s="46" t="s">
        <v>11263</v>
      </c>
      <c r="C4564" s="1773" t="s">
        <v>10930</v>
      </c>
      <c r="D4564" s="1751" t="s">
        <v>11059</v>
      </c>
      <c r="E4564" s="1773" cm="1">
        <f t="array" ref="E4564">resilince_num_trainmodule_adm_nonteach_per_m</f>
        <v>0</v>
      </c>
      <c r="F4564" s="46" t="b">
        <v>1</v>
      </c>
    </row>
    <row r="4565" spans="1:6">
      <c r="A4565" s="1773" t="s">
        <v>10931</v>
      </c>
      <c r="B4565" s="46" t="s">
        <v>11263</v>
      </c>
      <c r="C4565" s="1773" t="s">
        <v>10931</v>
      </c>
      <c r="D4565" s="1751" t="s">
        <v>11060</v>
      </c>
      <c r="E4565" s="1773" cm="1">
        <f t="array" ref="E4565">resilince_num_trainmodule_adm_nonteach_per_f</f>
        <v>0</v>
      </c>
      <c r="F4565" s="46" t="b">
        <v>1</v>
      </c>
    </row>
    <row r="4566" spans="1:6">
      <c r="A4566" s="1773" t="s">
        <v>10932</v>
      </c>
      <c r="B4566" s="46" t="s">
        <v>11263</v>
      </c>
      <c r="C4566" s="1773" t="s">
        <v>10932</v>
      </c>
      <c r="D4566" s="1751" t="s">
        <v>11061</v>
      </c>
      <c r="E4566" s="1773" cm="1">
        <f t="array" ref="E4566">resilince_num_trainmodule_im_teach_per_m</f>
        <v>0</v>
      </c>
      <c r="F4566" s="46" t="b">
        <v>1</v>
      </c>
    </row>
    <row r="4567" spans="1:6">
      <c r="A4567" s="1773" t="s">
        <v>10933</v>
      </c>
      <c r="B4567" s="46" t="s">
        <v>11263</v>
      </c>
      <c r="C4567" s="1773" t="s">
        <v>10933</v>
      </c>
      <c r="D4567" s="1751" t="s">
        <v>11062</v>
      </c>
      <c r="E4567" s="1773" cm="1">
        <f t="array" ref="E4567">resilince_num_trainmodule_im_teach_per_f</f>
        <v>0</v>
      </c>
      <c r="F4567" s="46" t="b">
        <v>1</v>
      </c>
    </row>
    <row r="4568" spans="1:6">
      <c r="A4568" s="1773" t="s">
        <v>10934</v>
      </c>
      <c r="B4568" s="46" t="s">
        <v>11263</v>
      </c>
      <c r="C4568" s="1773" t="s">
        <v>10934</v>
      </c>
      <c r="D4568" s="1751" t="s">
        <v>11063</v>
      </c>
      <c r="E4568" s="1773" cm="1">
        <f t="array" ref="E4568">resilince_num_trainmodule_im_nonteach_per_m</f>
        <v>0</v>
      </c>
      <c r="F4568" s="46" t="b">
        <v>1</v>
      </c>
    </row>
    <row r="4569" spans="1:6">
      <c r="A4569" s="1773" t="s">
        <v>10935</v>
      </c>
      <c r="B4569" s="46" t="s">
        <v>11263</v>
      </c>
      <c r="C4569" s="1773" t="s">
        <v>10935</v>
      </c>
      <c r="D4569" s="1751" t="s">
        <v>11064</v>
      </c>
      <c r="E4569" s="1773" cm="1">
        <f t="array" ref="E4569">resilince_num_trainmodule_im_nonteach_per_f</f>
        <v>0</v>
      </c>
      <c r="F4569" s="46" t="b">
        <v>1</v>
      </c>
    </row>
    <row r="4570" spans="1:6">
      <c r="A4570" s="1773" t="s">
        <v>10936</v>
      </c>
      <c r="B4570" s="46" t="s">
        <v>11263</v>
      </c>
      <c r="C4570" s="1773" t="s">
        <v>10936</v>
      </c>
      <c r="D4570" s="1751" t="s">
        <v>11065</v>
      </c>
      <c r="E4570" s="1773" cm="1">
        <f t="array" ref="E4570">resilince_num_trainmodule_schbased_teach_per_m</f>
        <v>0</v>
      </c>
      <c r="F4570" s="46" t="b">
        <v>1</v>
      </c>
    </row>
    <row r="4571" spans="1:6">
      <c r="A4571" s="1773" t="s">
        <v>10937</v>
      </c>
      <c r="B4571" s="46" t="s">
        <v>11263</v>
      </c>
      <c r="C4571" s="1773" t="s">
        <v>10937</v>
      </c>
      <c r="D4571" s="1751" t="s">
        <v>11066</v>
      </c>
      <c r="E4571" s="1773" cm="1">
        <f t="array" ref="E4571">resilince_num_trainmodule_schbased_teach_per_f</f>
        <v>0</v>
      </c>
      <c r="F4571" s="46" t="b">
        <v>1</v>
      </c>
    </row>
    <row r="4572" spans="1:6">
      <c r="A4572" s="1773" t="s">
        <v>10938</v>
      </c>
      <c r="B4572" s="46" t="s">
        <v>11263</v>
      </c>
      <c r="C4572" s="1773" t="s">
        <v>10938</v>
      </c>
      <c r="D4572" s="1751" t="s">
        <v>11067</v>
      </c>
      <c r="E4572" s="1773" cm="1">
        <f t="array" ref="E4572">resilince_num_trainmodule_schbased_nonteach_per_m</f>
        <v>0</v>
      </c>
      <c r="F4572" s="46" t="b">
        <v>1</v>
      </c>
    </row>
    <row r="4573" spans="1:6">
      <c r="A4573" s="1773" t="s">
        <v>10939</v>
      </c>
      <c r="B4573" s="46" t="s">
        <v>11263</v>
      </c>
      <c r="C4573" s="1773" t="s">
        <v>10939</v>
      </c>
      <c r="D4573" s="1751" t="s">
        <v>11068</v>
      </c>
      <c r="E4573" s="1773" cm="1">
        <f t="array" ref="E4573">resilince_num_trainmodule_schbased_nonteach_per_f</f>
        <v>0</v>
      </c>
      <c r="F4573" s="46" t="b">
        <v>1</v>
      </c>
    </row>
    <row r="4574" spans="1:6">
      <c r="A4574" s="1773" t="s">
        <v>10940</v>
      </c>
      <c r="B4574" s="46" t="s">
        <v>11263</v>
      </c>
      <c r="C4574" s="1773" t="s">
        <v>10940</v>
      </c>
      <c r="D4574" s="1751" t="s">
        <v>11069</v>
      </c>
      <c r="E4574" s="1773" cm="1">
        <f t="array" ref="E4574">resilince_num_trainmodule_cmg_teach_per_m</f>
        <v>0</v>
      </c>
      <c r="F4574" s="46" t="b">
        <v>1</v>
      </c>
    </row>
    <row r="4575" spans="1:6">
      <c r="A4575" s="1773" t="s">
        <v>10941</v>
      </c>
      <c r="B4575" s="46" t="s">
        <v>11263</v>
      </c>
      <c r="C4575" s="1773" t="s">
        <v>10941</v>
      </c>
      <c r="D4575" s="1751" t="s">
        <v>11070</v>
      </c>
      <c r="E4575" s="1773" cm="1">
        <f t="array" ref="E4575">resilince_num_trainmodule_cmg_teach_per_f</f>
        <v>0</v>
      </c>
      <c r="F4575" s="46" t="b">
        <v>1</v>
      </c>
    </row>
    <row r="4576" spans="1:6">
      <c r="A4576" s="1773" t="s">
        <v>10942</v>
      </c>
      <c r="B4576" s="46" t="s">
        <v>11263</v>
      </c>
      <c r="C4576" s="1773" t="s">
        <v>10942</v>
      </c>
      <c r="D4576" s="1751" t="s">
        <v>11071</v>
      </c>
      <c r="E4576" s="1773" cm="1">
        <f t="array" ref="E4576">resilince_num_trainmodule_cmg_nonteach_per_m</f>
        <v>0</v>
      </c>
      <c r="F4576" s="46" t="b">
        <v>1</v>
      </c>
    </row>
    <row r="4577" spans="1:6">
      <c r="A4577" s="1773" t="s">
        <v>10943</v>
      </c>
      <c r="B4577" s="46" t="s">
        <v>11263</v>
      </c>
      <c r="C4577" s="1773" t="s">
        <v>10943</v>
      </c>
      <c r="D4577" s="1751" t="s">
        <v>11072</v>
      </c>
      <c r="E4577" s="1773" cm="1">
        <f t="array" ref="E4577">resilince_num_trainmodule_cmg_nonteach_per_f</f>
        <v>0</v>
      </c>
      <c r="F4577" s="46" t="b">
        <v>1</v>
      </c>
    </row>
    <row r="4578" spans="1:6">
      <c r="A4578" s="1773" t="s">
        <v>10944</v>
      </c>
      <c r="B4578" s="46" t="s">
        <v>11263</v>
      </c>
      <c r="C4578" s="1773" t="s">
        <v>10944</v>
      </c>
      <c r="D4578" s="1751" t="s">
        <v>11073</v>
      </c>
      <c r="E4578" s="1773" cm="1">
        <f t="array" ref="E4578">resilince_num_trainmodule_tls_teach_per_m</f>
        <v>0</v>
      </c>
      <c r="F4578" s="46" t="b">
        <v>1</v>
      </c>
    </row>
    <row r="4579" spans="1:6">
      <c r="A4579" s="1773" t="s">
        <v>10945</v>
      </c>
      <c r="B4579" s="46" t="s">
        <v>11263</v>
      </c>
      <c r="C4579" s="1773" t="s">
        <v>10945</v>
      </c>
      <c r="D4579" s="1751" t="s">
        <v>11074</v>
      </c>
      <c r="E4579" s="1773" cm="1">
        <f t="array" ref="E4579">resilince_num_trainmodule_tls_teach_per_f</f>
        <v>0</v>
      </c>
      <c r="F4579" s="46" t="b">
        <v>1</v>
      </c>
    </row>
    <row r="4580" spans="1:6">
      <c r="A4580" s="1773" t="s">
        <v>10946</v>
      </c>
      <c r="B4580" s="46" t="s">
        <v>11263</v>
      </c>
      <c r="C4580" s="1773" t="s">
        <v>10946</v>
      </c>
      <c r="D4580" s="1751" t="s">
        <v>11075</v>
      </c>
      <c r="E4580" s="1773" cm="1">
        <f t="array" ref="E4580">resilince_num_trainmodule_tls_nonteach_per_m</f>
        <v>0</v>
      </c>
      <c r="F4580" s="46" t="b">
        <v>1</v>
      </c>
    </row>
    <row r="4581" spans="1:6">
      <c r="A4581" s="1773" t="s">
        <v>10947</v>
      </c>
      <c r="B4581" s="46" t="s">
        <v>11263</v>
      </c>
      <c r="C4581" s="1773" t="s">
        <v>10947</v>
      </c>
      <c r="D4581" s="1751" t="s">
        <v>11076</v>
      </c>
      <c r="E4581" s="1773" cm="1">
        <f t="array" ref="E4581">resilince_num_trainmodule_tls_nonteach_per_f</f>
        <v>0</v>
      </c>
      <c r="F4581" s="46" t="b">
        <v>1</v>
      </c>
    </row>
    <row r="4582" spans="1:6">
      <c r="A4582" s="1773" t="s">
        <v>10948</v>
      </c>
      <c r="B4582" s="46" t="s">
        <v>11263</v>
      </c>
      <c r="C4582" s="1773" t="s">
        <v>10948</v>
      </c>
      <c r="D4582" s="1751" t="s">
        <v>11077</v>
      </c>
      <c r="E4582" s="1773" cm="1">
        <f t="array" ref="E4582">resilince_num_trainmodule_basiceie_teach_per_m</f>
        <v>0</v>
      </c>
      <c r="F4582" s="46" t="b">
        <v>1</v>
      </c>
    </row>
    <row r="4583" spans="1:6">
      <c r="A4583" s="1773" t="s">
        <v>10949</v>
      </c>
      <c r="B4583" s="46" t="s">
        <v>11263</v>
      </c>
      <c r="C4583" s="1773" t="s">
        <v>10949</v>
      </c>
      <c r="D4583" s="1751" t="s">
        <v>11078</v>
      </c>
      <c r="E4583" s="1773" cm="1">
        <f t="array" ref="E4583">resilince_num_trainmodule_basiceie_teach_per_f</f>
        <v>0</v>
      </c>
      <c r="F4583" s="46" t="b">
        <v>1</v>
      </c>
    </row>
    <row r="4584" spans="1:6">
      <c r="A4584" s="1773" t="s">
        <v>10950</v>
      </c>
      <c r="B4584" s="46" t="s">
        <v>11263</v>
      </c>
      <c r="C4584" s="1773" t="s">
        <v>10950</v>
      </c>
      <c r="D4584" s="1751" t="s">
        <v>11079</v>
      </c>
      <c r="E4584" s="1773" cm="1">
        <f t="array" ref="E4584">resilince_num_trainmodule_basiceie_nonteach_per_m</f>
        <v>0</v>
      </c>
      <c r="F4584" s="46" t="b">
        <v>1</v>
      </c>
    </row>
    <row r="4585" spans="1:6">
      <c r="A4585" s="1773" t="s">
        <v>10951</v>
      </c>
      <c r="B4585" s="46" t="s">
        <v>11263</v>
      </c>
      <c r="C4585" s="1773" t="s">
        <v>10951</v>
      </c>
      <c r="D4585" s="1751" t="s">
        <v>11080</v>
      </c>
      <c r="E4585" s="1773" cm="1">
        <f t="array" ref="E4585">resilince_num_trainmodule_basiceie_nonteach_per_f</f>
        <v>0</v>
      </c>
      <c r="F4585" s="46" t="b">
        <v>1</v>
      </c>
    </row>
    <row r="4586" spans="1:6">
      <c r="A4586" s="1773" t="s">
        <v>10952</v>
      </c>
      <c r="B4586" s="46" t="s">
        <v>11263</v>
      </c>
      <c r="C4586" s="1773" t="s">
        <v>10952</v>
      </c>
      <c r="D4586" s="1751" t="s">
        <v>11081</v>
      </c>
      <c r="E4586" s="1773" cm="1">
        <f t="array" ref="E4586">resilince_num_trainmodule_resmobpart_teach_per_m</f>
        <v>0</v>
      </c>
      <c r="F4586" s="46" t="b">
        <v>1</v>
      </c>
    </row>
    <row r="4587" spans="1:6">
      <c r="A4587" s="1773" t="s">
        <v>10953</v>
      </c>
      <c r="B4587" s="46" t="s">
        <v>11263</v>
      </c>
      <c r="C4587" s="1773" t="s">
        <v>10953</v>
      </c>
      <c r="D4587" s="1751" t="s">
        <v>11082</v>
      </c>
      <c r="E4587" s="1773" cm="1">
        <f t="array" ref="E4587">resilince_num_trainmodule_resmobpart_teach_per_f</f>
        <v>0</v>
      </c>
      <c r="F4587" s="46" t="b">
        <v>1</v>
      </c>
    </row>
    <row r="4588" spans="1:6">
      <c r="A4588" s="1773" t="s">
        <v>10954</v>
      </c>
      <c r="B4588" s="46" t="s">
        <v>11263</v>
      </c>
      <c r="C4588" s="1773" t="s">
        <v>10954</v>
      </c>
      <c r="D4588" s="1751" t="s">
        <v>11083</v>
      </c>
      <c r="E4588" s="1773" cm="1">
        <f t="array" ref="E4588">resilince_num_trainmodule_resmobpart_nonteach_per_m</f>
        <v>0</v>
      </c>
      <c r="F4588" s="46" t="b">
        <v>1</v>
      </c>
    </row>
    <row r="4589" spans="1:6">
      <c r="A4589" s="1773" t="s">
        <v>10955</v>
      </c>
      <c r="B4589" s="46" t="s">
        <v>11263</v>
      </c>
      <c r="C4589" s="1773" t="s">
        <v>10955</v>
      </c>
      <c r="D4589" s="1751" t="s">
        <v>11084</v>
      </c>
      <c r="E4589" s="1773" cm="1">
        <f t="array" ref="E4589">resilince_num_trainmodule_resmobpart_nonteach_per_f</f>
        <v>0</v>
      </c>
      <c r="F4589" s="46" t="b">
        <v>1</v>
      </c>
    </row>
    <row r="4590" spans="1:6">
      <c r="A4590" s="1773" t="s">
        <v>10956</v>
      </c>
      <c r="B4590" s="46" t="s">
        <v>11263</v>
      </c>
      <c r="C4590" s="1773" t="s">
        <v>10956</v>
      </c>
      <c r="D4590" s="1751" t="s">
        <v>11085</v>
      </c>
      <c r="E4590" s="1773" cm="1">
        <f t="array" ref="E4590">resilince_num_trainmodule_contplan_be_teach_per_m</f>
        <v>0</v>
      </c>
      <c r="F4590" s="46" t="b">
        <v>1</v>
      </c>
    </row>
    <row r="4591" spans="1:6">
      <c r="A4591" s="1773" t="s">
        <v>10957</v>
      </c>
      <c r="B4591" s="46" t="s">
        <v>11263</v>
      </c>
      <c r="C4591" s="1773" t="s">
        <v>10957</v>
      </c>
      <c r="D4591" s="1751" t="s">
        <v>11086</v>
      </c>
      <c r="E4591" s="1773" cm="1">
        <f t="array" ref="E4591">resilince_num_trainmodule_contplan_be_teach_per_f</f>
        <v>0</v>
      </c>
      <c r="F4591" s="46" t="b">
        <v>1</v>
      </c>
    </row>
    <row r="4592" spans="1:6">
      <c r="A4592" s="1773" t="s">
        <v>10958</v>
      </c>
      <c r="B4592" s="46" t="s">
        <v>11263</v>
      </c>
      <c r="C4592" s="1773" t="s">
        <v>10958</v>
      </c>
      <c r="D4592" s="1751" t="s">
        <v>11087</v>
      </c>
      <c r="E4592" s="1773" cm="1">
        <f t="array" ref="E4592">resilince_num_trainmodule_contplan_be_nonteach_per_m</f>
        <v>0</v>
      </c>
      <c r="F4592" s="46" t="b">
        <v>1</v>
      </c>
    </row>
    <row r="4593" spans="1:6">
      <c r="A4593" s="1773" t="s">
        <v>10959</v>
      </c>
      <c r="B4593" s="46" t="s">
        <v>11263</v>
      </c>
      <c r="C4593" s="1773" t="s">
        <v>10959</v>
      </c>
      <c r="D4593" s="1751" t="s">
        <v>11088</v>
      </c>
      <c r="E4593" s="1773" cm="1">
        <f t="array" ref="E4593">resilince_num_trainmodule_contplan_be_nonteach_per_f</f>
        <v>0</v>
      </c>
      <c r="F4593" s="46" t="b">
        <v>1</v>
      </c>
    </row>
    <row r="4594" spans="1:6">
      <c r="A4594" s="1773" t="s">
        <v>10960</v>
      </c>
      <c r="B4594" s="46" t="s">
        <v>11263</v>
      </c>
      <c r="C4594" s="1773" t="s">
        <v>10960</v>
      </c>
      <c r="D4594" s="1751" t="s">
        <v>11089</v>
      </c>
      <c r="E4594" s="1773" cm="1">
        <f t="array" ref="E4594">resilince_num_trainmodule_ucomhazard_teach_per_m</f>
        <v>0</v>
      </c>
      <c r="F4594" s="46" t="b">
        <v>1</v>
      </c>
    </row>
    <row r="4595" spans="1:6">
      <c r="A4595" s="1773" t="s">
        <v>10961</v>
      </c>
      <c r="B4595" s="46" t="s">
        <v>11263</v>
      </c>
      <c r="C4595" s="1773" t="s">
        <v>10961</v>
      </c>
      <c r="D4595" s="1751" t="s">
        <v>11090</v>
      </c>
      <c r="E4595" s="1773" cm="1">
        <f t="array" ref="E4595">resilince_num_trainmodule_ucomhazard_teach_per_f</f>
        <v>0</v>
      </c>
      <c r="F4595" s="46" t="b">
        <v>1</v>
      </c>
    </row>
    <row r="4596" spans="1:6">
      <c r="A4596" s="1773" t="s">
        <v>10962</v>
      </c>
      <c r="B4596" s="46" t="s">
        <v>11263</v>
      </c>
      <c r="C4596" s="1773" t="s">
        <v>10962</v>
      </c>
      <c r="D4596" s="1751" t="s">
        <v>11091</v>
      </c>
      <c r="E4596" s="1773" cm="1">
        <f t="array" ref="E4596">resilince_num_trainmodule_ucomhazard_nonteach_per_m</f>
        <v>0</v>
      </c>
      <c r="F4596" s="46" t="b">
        <v>1</v>
      </c>
    </row>
    <row r="4597" spans="1:6">
      <c r="A4597" s="1773" t="s">
        <v>10963</v>
      </c>
      <c r="B4597" s="46" t="s">
        <v>11263</v>
      </c>
      <c r="C4597" s="1773" t="s">
        <v>10963</v>
      </c>
      <c r="D4597" s="1751" t="s">
        <v>11092</v>
      </c>
      <c r="E4597" s="1773" cm="1">
        <f t="array" ref="E4597">resilince_num_trainmodule_ucomhazard_nonteach_per_f</f>
        <v>0</v>
      </c>
      <c r="F4597" s="46" t="b">
        <v>1</v>
      </c>
    </row>
    <row r="4598" spans="1:6">
      <c r="A4598" s="1773" t="s">
        <v>10964</v>
      </c>
      <c r="B4598" s="46" t="s">
        <v>11263</v>
      </c>
      <c r="C4598" s="1773" t="s">
        <v>10964</v>
      </c>
      <c r="D4598" s="1751" t="s">
        <v>11093</v>
      </c>
      <c r="E4598" s="1773" cm="1">
        <f t="array" ref="E4598">resilince_num_trainmodule_plancycle_teach_per_m</f>
        <v>0</v>
      </c>
      <c r="F4598" s="46" t="b">
        <v>1</v>
      </c>
    </row>
    <row r="4599" spans="1:6">
      <c r="A4599" s="1773" t="s">
        <v>10965</v>
      </c>
      <c r="B4599" s="46" t="s">
        <v>11263</v>
      </c>
      <c r="C4599" s="1773" t="s">
        <v>10965</v>
      </c>
      <c r="D4599" s="1751" t="s">
        <v>11094</v>
      </c>
      <c r="E4599" s="1773" cm="1">
        <f t="array" ref="E4599">resilince_num_trainmodule_plancycle_teach_per_f</f>
        <v>0</v>
      </c>
      <c r="F4599" s="46" t="b">
        <v>1</v>
      </c>
    </row>
    <row r="4600" spans="1:6">
      <c r="A4600" s="1773" t="s">
        <v>10966</v>
      </c>
      <c r="B4600" s="46" t="s">
        <v>11263</v>
      </c>
      <c r="C4600" s="1773" t="s">
        <v>10966</v>
      </c>
      <c r="D4600" s="1751" t="s">
        <v>11095</v>
      </c>
      <c r="E4600" s="1773" cm="1">
        <f t="array" ref="E4600">resilince_num_trainmodule_plancycle_nonteach_per_m</f>
        <v>0</v>
      </c>
      <c r="F4600" s="46" t="b">
        <v>1</v>
      </c>
    </row>
    <row r="4601" spans="1:6">
      <c r="A4601" s="1773" t="s">
        <v>10967</v>
      </c>
      <c r="B4601" s="46" t="s">
        <v>11263</v>
      </c>
      <c r="C4601" s="1773" t="s">
        <v>10967</v>
      </c>
      <c r="D4601" s="1751" t="s">
        <v>11096</v>
      </c>
      <c r="E4601" s="1773" cm="1">
        <f t="array" ref="E4601">resilince_num_trainmodule_plancycle_nonteach_per_f</f>
        <v>0</v>
      </c>
      <c r="F4601" s="46" t="b">
        <v>1</v>
      </c>
    </row>
    <row r="4602" spans="1:6">
      <c r="A4602" s="1773" t="s">
        <v>10968</v>
      </c>
      <c r="B4602" s="46" t="s">
        <v>11263</v>
      </c>
      <c r="C4602" s="1773" t="s">
        <v>10968</v>
      </c>
      <c r="D4602" s="1751" t="s">
        <v>11097</v>
      </c>
      <c r="E4602" s="1773" cm="1">
        <f t="array" ref="E4602">resilince_num_trainmodule_uclimatechg_teach_per_m</f>
        <v>0</v>
      </c>
      <c r="F4602" s="46" t="b">
        <v>1</v>
      </c>
    </row>
    <row r="4603" spans="1:6">
      <c r="A4603" s="1773" t="s">
        <v>10969</v>
      </c>
      <c r="B4603" s="46" t="s">
        <v>11263</v>
      </c>
      <c r="C4603" s="1773" t="s">
        <v>10969</v>
      </c>
      <c r="D4603" s="1751" t="s">
        <v>11098</v>
      </c>
      <c r="E4603" s="1773" cm="1">
        <f t="array" ref="E4603">resilince_num_trainmodule_uclimatechg_teach_per_f</f>
        <v>0</v>
      </c>
      <c r="F4603" s="46" t="b">
        <v>1</v>
      </c>
    </row>
    <row r="4604" spans="1:6">
      <c r="A4604" s="1773" t="s">
        <v>10970</v>
      </c>
      <c r="B4604" s="46" t="s">
        <v>11263</v>
      </c>
      <c r="C4604" s="1773" t="s">
        <v>10970</v>
      </c>
      <c r="D4604" s="1751" t="s">
        <v>11099</v>
      </c>
      <c r="E4604" s="1773" cm="1">
        <f t="array" ref="E4604">resilince_num_trainmodule_uclimatechg_nonteach_per_m</f>
        <v>0</v>
      </c>
      <c r="F4604" s="46" t="b">
        <v>1</v>
      </c>
    </row>
    <row r="4605" spans="1:6">
      <c r="A4605" s="1773" t="s">
        <v>10971</v>
      </c>
      <c r="B4605" s="46" t="s">
        <v>11263</v>
      </c>
      <c r="C4605" s="1773" t="s">
        <v>10971</v>
      </c>
      <c r="D4605" s="1751" t="s">
        <v>11100</v>
      </c>
      <c r="E4605" s="1773" cm="1">
        <f t="array" ref="E4605">resilince_num_trainmodule_uclimatechg_nonteach_per_f</f>
        <v>0</v>
      </c>
      <c r="F4605" s="46" t="b">
        <v>1</v>
      </c>
    </row>
    <row r="4606" spans="1:6">
      <c r="A4606" s="1773" t="s">
        <v>10972</v>
      </c>
      <c r="B4606" s="46" t="s">
        <v>11263</v>
      </c>
      <c r="C4606" s="1773" t="s">
        <v>10972</v>
      </c>
      <c r="D4606" s="1751" t="s">
        <v>11101</v>
      </c>
      <c r="E4606" s="1773" cm="1">
        <f t="array" ref="E4606">resilince_num_trainmodule_cchange_global_teach_per_m</f>
        <v>0</v>
      </c>
      <c r="F4606" s="46" t="b">
        <v>1</v>
      </c>
    </row>
    <row r="4607" spans="1:6">
      <c r="A4607" s="1773" t="s">
        <v>10973</v>
      </c>
      <c r="B4607" s="46" t="s">
        <v>11263</v>
      </c>
      <c r="C4607" s="1773" t="s">
        <v>10973</v>
      </c>
      <c r="D4607" s="1751" t="s">
        <v>11102</v>
      </c>
      <c r="E4607" s="1773" cm="1">
        <f t="array" ref="E4607">resilince_num_trainmodule_cchange_global_teach_per_f</f>
        <v>0</v>
      </c>
      <c r="F4607" s="46" t="b">
        <v>1</v>
      </c>
    </row>
    <row r="4608" spans="1:6">
      <c r="A4608" s="1773" t="s">
        <v>10974</v>
      </c>
      <c r="B4608" s="46" t="s">
        <v>11263</v>
      </c>
      <c r="C4608" s="1773" t="s">
        <v>10974</v>
      </c>
      <c r="D4608" s="1751" t="s">
        <v>11103</v>
      </c>
      <c r="E4608" s="1773" cm="1">
        <f t="array" ref="E4608">resilince_num_trainmodule_cchange_global_nonteach_per_m</f>
        <v>0</v>
      </c>
      <c r="F4608" s="46" t="b">
        <v>1</v>
      </c>
    </row>
    <row r="4609" spans="1:6">
      <c r="A4609" s="1773" t="s">
        <v>10975</v>
      </c>
      <c r="B4609" s="46" t="s">
        <v>11263</v>
      </c>
      <c r="C4609" s="1773" t="s">
        <v>10975</v>
      </c>
      <c r="D4609" s="1751" t="s">
        <v>11104</v>
      </c>
      <c r="E4609" s="1773" cm="1">
        <f t="array" ref="E4609">resilince_num_trainmodule_cchange_global_nonteach_per_f</f>
        <v>0</v>
      </c>
      <c r="F4609" s="46" t="b">
        <v>1</v>
      </c>
    </row>
    <row r="4610" spans="1:6">
      <c r="A4610" s="1773" t="s">
        <v>10976</v>
      </c>
      <c r="B4610" s="46" t="s">
        <v>11263</v>
      </c>
      <c r="C4610" s="1773" t="s">
        <v>10976</v>
      </c>
      <c r="D4610" s="1751" t="s">
        <v>11105</v>
      </c>
      <c r="E4610" s="1773" cm="1">
        <f t="array" ref="E4610">resilince_num_trainmodule_upeace_conf_teach_per_m</f>
        <v>0</v>
      </c>
      <c r="F4610" s="46" t="b">
        <v>1</v>
      </c>
    </row>
    <row r="4611" spans="1:6">
      <c r="A4611" s="1773" t="s">
        <v>10977</v>
      </c>
      <c r="B4611" s="46" t="s">
        <v>11263</v>
      </c>
      <c r="C4611" s="1773" t="s">
        <v>10977</v>
      </c>
      <c r="D4611" s="1751" t="s">
        <v>11106</v>
      </c>
      <c r="E4611" s="1773" cm="1">
        <f t="array" ref="E4611">resilince_num_trainmodule_upeace_conf_teach_per_f</f>
        <v>0</v>
      </c>
      <c r="F4611" s="46" t="b">
        <v>1</v>
      </c>
    </row>
    <row r="4612" spans="1:6">
      <c r="A4612" s="1773" t="s">
        <v>10978</v>
      </c>
      <c r="B4612" s="46" t="s">
        <v>11263</v>
      </c>
      <c r="C4612" s="1773" t="s">
        <v>10978</v>
      </c>
      <c r="D4612" s="1751" t="s">
        <v>11107</v>
      </c>
      <c r="E4612" s="1773" cm="1">
        <f t="array" ref="E4612">resilince_num_trainmodule_upeace_conf_nonteach_per_m</f>
        <v>0</v>
      </c>
      <c r="F4612" s="46" t="b">
        <v>1</v>
      </c>
    </row>
    <row r="4613" spans="1:6">
      <c r="A4613" s="1773" t="s">
        <v>10979</v>
      </c>
      <c r="B4613" s="46" t="s">
        <v>11263</v>
      </c>
      <c r="C4613" s="1773" t="s">
        <v>10979</v>
      </c>
      <c r="D4613" s="1751" t="s">
        <v>11108</v>
      </c>
      <c r="E4613" s="1773" cm="1">
        <f t="array" ref="E4613">resilince_num_trainmodule_upeace_conf_nonteach_per_f</f>
        <v>0</v>
      </c>
      <c r="F4613" s="46" t="b">
        <v>1</v>
      </c>
    </row>
    <row r="4614" spans="1:6">
      <c r="A4614" s="1773" t="s">
        <v>10980</v>
      </c>
      <c r="B4614" s="46" t="s">
        <v>11263</v>
      </c>
      <c r="C4614" s="1773" t="s">
        <v>10980</v>
      </c>
      <c r="D4614" s="1751" t="s">
        <v>11109</v>
      </c>
      <c r="E4614" s="1773" cm="1">
        <f t="array" ref="E4614">resilince_num_trainmodule_consense_edu_teach_per_m</f>
        <v>0</v>
      </c>
      <c r="F4614" s="46" t="b">
        <v>1</v>
      </c>
    </row>
    <row r="4615" spans="1:6">
      <c r="A4615" s="1773" t="s">
        <v>10981</v>
      </c>
      <c r="B4615" s="46" t="s">
        <v>11263</v>
      </c>
      <c r="C4615" s="1773" t="s">
        <v>10981</v>
      </c>
      <c r="D4615" s="1751" t="s">
        <v>11110</v>
      </c>
      <c r="E4615" s="1773" cm="1">
        <f t="array" ref="E4615">resilince_num_trainmodule_consense_edu_teach_per_f</f>
        <v>0</v>
      </c>
      <c r="F4615" s="46" t="b">
        <v>1</v>
      </c>
    </row>
    <row r="4616" spans="1:6">
      <c r="A4616" s="1773" t="s">
        <v>10982</v>
      </c>
      <c r="B4616" s="46" t="s">
        <v>11263</v>
      </c>
      <c r="C4616" s="1773" t="s">
        <v>10982</v>
      </c>
      <c r="D4616" s="1751" t="s">
        <v>11111</v>
      </c>
      <c r="E4616" s="1773" cm="1">
        <f t="array" ref="E4616">resilince_num_trainmodule_consense_edu_nonteach_per_m</f>
        <v>0</v>
      </c>
      <c r="F4616" s="46" t="b">
        <v>1</v>
      </c>
    </row>
    <row r="4617" spans="1:6">
      <c r="A4617" s="1773" t="s">
        <v>10983</v>
      </c>
      <c r="B4617" s="46" t="s">
        <v>11263</v>
      </c>
      <c r="C4617" s="1773" t="s">
        <v>10983</v>
      </c>
      <c r="D4617" s="1751" t="s">
        <v>11112</v>
      </c>
      <c r="E4617" s="1773" cm="1">
        <f t="array" ref="E4617">resilince_num_trainmodule_consense_edu_nonteach_per_f</f>
        <v>0</v>
      </c>
      <c r="F4617" s="46" t="b">
        <v>1</v>
      </c>
    </row>
    <row r="4618" spans="1:6">
      <c r="A4618" s="1773" t="s">
        <v>10984</v>
      </c>
      <c r="B4618" s="46" t="s">
        <v>11263</v>
      </c>
      <c r="C4618" s="1773" t="s">
        <v>10984</v>
      </c>
      <c r="D4618" s="1751" t="s">
        <v>11113</v>
      </c>
      <c r="E4618" s="1773" cm="1">
        <f t="array" ref="E4618">resilince_num_trainmodule_mhpss_teach_per_m</f>
        <v>0</v>
      </c>
      <c r="F4618" s="46" t="b">
        <v>1</v>
      </c>
    </row>
    <row r="4619" spans="1:6">
      <c r="A4619" s="1773" t="s">
        <v>10985</v>
      </c>
      <c r="B4619" s="46" t="s">
        <v>11263</v>
      </c>
      <c r="C4619" s="1773" t="s">
        <v>10985</v>
      </c>
      <c r="D4619" s="1751" t="s">
        <v>11114</v>
      </c>
      <c r="E4619" s="1773" cm="1">
        <f t="array" ref="E4619">resilince_num_trainmodule_mhpss_teach_per_f</f>
        <v>0</v>
      </c>
      <c r="F4619" s="46" t="b">
        <v>1</v>
      </c>
    </row>
    <row r="4620" spans="1:6">
      <c r="A4620" s="1773" t="s">
        <v>10986</v>
      </c>
      <c r="B4620" s="46" t="s">
        <v>11263</v>
      </c>
      <c r="C4620" s="1773" t="s">
        <v>10986</v>
      </c>
      <c r="D4620" s="1751" t="s">
        <v>11115</v>
      </c>
      <c r="E4620" s="1773" cm="1">
        <f t="array" ref="E4620">resilince_num_trainmodule_mhpss_nonteach_per_m</f>
        <v>0</v>
      </c>
      <c r="F4620" s="46" t="b">
        <v>1</v>
      </c>
    </row>
    <row r="4621" spans="1:6">
      <c r="A4621" s="1773" t="s">
        <v>10987</v>
      </c>
      <c r="B4621" s="46" t="s">
        <v>11263</v>
      </c>
      <c r="C4621" s="1773" t="s">
        <v>10987</v>
      </c>
      <c r="D4621" s="1751" t="s">
        <v>11116</v>
      </c>
      <c r="E4621" s="1773" cm="1">
        <f t="array" ref="E4621">resilince_num_trainmodule_mhpss_nonteach_per_f</f>
        <v>0</v>
      </c>
      <c r="F4621" s="46" t="b">
        <v>1</v>
      </c>
    </row>
    <row r="4622" spans="1:6">
      <c r="A4622" s="1773" t="s">
        <v>10988</v>
      </c>
      <c r="B4622" s="46" t="s">
        <v>11263</v>
      </c>
      <c r="C4622" s="1773" t="s">
        <v>10988</v>
      </c>
      <c r="D4622" s="1751" t="s">
        <v>11117</v>
      </c>
      <c r="E4622" s="1773" cm="1">
        <f t="array" ref="E4622">resilince_num_trainmodule_baslifsup_teach_per_m</f>
        <v>0</v>
      </c>
      <c r="F4622" s="46" t="b">
        <v>1</v>
      </c>
    </row>
    <row r="4623" spans="1:6">
      <c r="A4623" s="1773" t="s">
        <v>10989</v>
      </c>
      <c r="B4623" s="46" t="s">
        <v>11263</v>
      </c>
      <c r="C4623" s="1773" t="s">
        <v>10989</v>
      </c>
      <c r="D4623" s="1751" t="s">
        <v>11118</v>
      </c>
      <c r="E4623" s="1773" cm="1">
        <f t="array" ref="E4623">resilince_num_trainmodule_baslifsup_teach_per_f</f>
        <v>0</v>
      </c>
      <c r="F4623" s="46" t="b">
        <v>1</v>
      </c>
    </row>
    <row r="4624" spans="1:6">
      <c r="A4624" s="1773" t="s">
        <v>10990</v>
      </c>
      <c r="B4624" s="46" t="s">
        <v>11263</v>
      </c>
      <c r="C4624" s="1773" t="s">
        <v>10990</v>
      </c>
      <c r="D4624" s="1751" t="s">
        <v>11119</v>
      </c>
      <c r="E4624" s="1773" cm="1">
        <f t="array" ref="E4624">resilince_num_trainmodule_baslifsup_nonteach_per_m</f>
        <v>0</v>
      </c>
      <c r="F4624" s="46" t="b">
        <v>1</v>
      </c>
    </row>
    <row r="4625" spans="1:8">
      <c r="A4625" s="1773" t="s">
        <v>10991</v>
      </c>
      <c r="B4625" s="46" t="s">
        <v>11263</v>
      </c>
      <c r="C4625" s="1773" t="s">
        <v>10991</v>
      </c>
      <c r="D4625" s="1751" t="s">
        <v>11120</v>
      </c>
      <c r="E4625" s="1773" cm="1">
        <f t="array" ref="E4625">resilince_num_trainmodule_baslifsup_nonteach_per_f</f>
        <v>0</v>
      </c>
      <c r="F4625" s="46" t="b">
        <v>1</v>
      </c>
    </row>
    <row r="4626" spans="1:8">
      <c r="A4626" s="1773" t="s">
        <v>10992</v>
      </c>
      <c r="B4626" s="46" t="s">
        <v>11263</v>
      </c>
      <c r="C4626" s="1773" t="s">
        <v>10992</v>
      </c>
      <c r="D4626" s="1751" t="s">
        <v>11121</v>
      </c>
      <c r="E4626" s="1773" cm="1">
        <f t="array" ref="E4626">resilince_num_trainmodule_staffsafe_sec_teach_per_m</f>
        <v>0</v>
      </c>
      <c r="F4626" s="46" t="b">
        <v>1</v>
      </c>
    </row>
    <row r="4627" spans="1:8">
      <c r="A4627" s="1773" t="s">
        <v>10993</v>
      </c>
      <c r="B4627" s="46" t="s">
        <v>11263</v>
      </c>
      <c r="C4627" s="1773" t="s">
        <v>10993</v>
      </c>
      <c r="D4627" s="1751" t="s">
        <v>11122</v>
      </c>
      <c r="E4627" s="1773" cm="1">
        <f t="array" ref="E4627">resilince_num_trainmodule_staffsafe_sec_teach_per_f</f>
        <v>0</v>
      </c>
      <c r="F4627" s="46" t="b">
        <v>1</v>
      </c>
    </row>
    <row r="4628" spans="1:8">
      <c r="A4628" s="1773" t="s">
        <v>10994</v>
      </c>
      <c r="B4628" s="46" t="s">
        <v>11263</v>
      </c>
      <c r="C4628" s="1773" t="s">
        <v>10994</v>
      </c>
      <c r="D4628" s="1751" t="s">
        <v>11123</v>
      </c>
      <c r="E4628" s="1773" cm="1">
        <f t="array" ref="E4628">resilince_num_trainmodule_staffsafe_sec_nonteach_per_m</f>
        <v>0</v>
      </c>
      <c r="F4628" s="46" t="b">
        <v>1</v>
      </c>
    </row>
    <row r="4629" spans="1:8">
      <c r="A4629" s="1773" t="s">
        <v>10995</v>
      </c>
      <c r="B4629" s="46" t="s">
        <v>11263</v>
      </c>
      <c r="C4629" s="1773" t="s">
        <v>10995</v>
      </c>
      <c r="D4629" s="1751" t="s">
        <v>11124</v>
      </c>
      <c r="E4629" s="1773" cm="1">
        <f t="array" ref="E4629">resilince_num_trainmodule_staffsafe_sec_nonteach_per_f</f>
        <v>0</v>
      </c>
      <c r="F4629" s="46" t="b">
        <v>1</v>
      </c>
    </row>
    <row r="4630" spans="1:8">
      <c r="A4630" s="1773" t="s">
        <v>10996</v>
      </c>
      <c r="B4630" s="46" t="s">
        <v>11263</v>
      </c>
      <c r="C4630" s="1773" t="s">
        <v>10996</v>
      </c>
      <c r="D4630" s="1751" t="s">
        <v>11125</v>
      </c>
      <c r="E4630" s="1773" cm="1">
        <f t="array" ref="E4630">resilince_num_trainmodule_others_teach_per_m</f>
        <v>0</v>
      </c>
      <c r="F4630" s="46" t="b">
        <v>1</v>
      </c>
    </row>
    <row r="4631" spans="1:8">
      <c r="A4631" s="1773" t="s">
        <v>10997</v>
      </c>
      <c r="B4631" s="46" t="s">
        <v>11263</v>
      </c>
      <c r="C4631" s="1773" t="s">
        <v>10997</v>
      </c>
      <c r="D4631" s="1751" t="s">
        <v>11126</v>
      </c>
      <c r="E4631" s="1773" cm="1">
        <f t="array" ref="E4631">resilince_num_trainmodule_others_teach_per_f</f>
        <v>0</v>
      </c>
      <c r="F4631" s="46" t="b">
        <v>1</v>
      </c>
    </row>
    <row r="4632" spans="1:8">
      <c r="A4632" s="1773" t="s">
        <v>10998</v>
      </c>
      <c r="B4632" s="46" t="s">
        <v>11263</v>
      </c>
      <c r="C4632" s="1773" t="s">
        <v>10998</v>
      </c>
      <c r="D4632" s="1751" t="s">
        <v>11127</v>
      </c>
      <c r="E4632" s="1773" cm="1">
        <f t="array" ref="E4632">resilince_num_trainmodule_others_nonteach_per_m</f>
        <v>0</v>
      </c>
      <c r="F4632" s="46" t="b">
        <v>1</v>
      </c>
    </row>
    <row r="4633" spans="1:8">
      <c r="A4633" s="1773" t="s">
        <v>10999</v>
      </c>
      <c r="B4633" s="46" t="s">
        <v>11263</v>
      </c>
      <c r="C4633" s="1773" t="s">
        <v>10999</v>
      </c>
      <c r="D4633" s="1751" t="s">
        <v>11128</v>
      </c>
      <c r="E4633" s="1773" cm="1">
        <f t="array" ref="E4633">resilince_num_trainmodule_others_nonteach_per_f</f>
        <v>0</v>
      </c>
      <c r="F4633" s="46" t="b">
        <v>1</v>
      </c>
    </row>
    <row r="4634" spans="1:8" ht="16.5" thickBot="1">
      <c r="A4634" s="1774" t="s">
        <v>11000</v>
      </c>
      <c r="B4634" s="479" t="s">
        <v>11263</v>
      </c>
      <c r="C4634" s="1774" t="s">
        <v>11000</v>
      </c>
      <c r="D4634" s="1771" t="s">
        <v>11129</v>
      </c>
      <c r="E4634" s="1774" cm="1">
        <f t="array" ref="E4634">resilince_num_trainmodule_others_specify</f>
        <v>0</v>
      </c>
      <c r="F4634" s="479" t="b">
        <v>1</v>
      </c>
      <c r="G4634" s="479"/>
      <c r="H4634" s="479"/>
    </row>
    <row r="4635" spans="1:8" ht="16.5" thickTop="1">
      <c r="A4635" s="46" t="s">
        <v>11130</v>
      </c>
      <c r="B4635" s="46" t="s">
        <v>11263</v>
      </c>
      <c r="C4635" s="46" t="s">
        <v>11130</v>
      </c>
      <c r="D4635" s="1751" t="s">
        <v>11151</v>
      </c>
      <c r="E4635" s="46" cm="1">
        <f t="array" ref="E4635">resilince_num_compl_train_course_teach_m</f>
        <v>1</v>
      </c>
      <c r="F4635" s="46" t="b">
        <v>1</v>
      </c>
    </row>
    <row r="4636" spans="1:8">
      <c r="A4636" s="46" t="s">
        <v>11131</v>
      </c>
      <c r="B4636" s="46" t="s">
        <v>11263</v>
      </c>
      <c r="C4636" s="46" t="s">
        <v>11131</v>
      </c>
      <c r="D4636" s="1751" t="s">
        <v>11152</v>
      </c>
      <c r="E4636" s="46" cm="1">
        <f t="array" ref="E4636">resilince_num_compl_train_course_teach_f</f>
        <v>0</v>
      </c>
      <c r="F4636" s="46" t="b">
        <v>1</v>
      </c>
    </row>
    <row r="4637" spans="1:8">
      <c r="A4637" s="46" t="s">
        <v>11132</v>
      </c>
      <c r="B4637" s="46" t="s">
        <v>11263</v>
      </c>
      <c r="C4637" s="46" t="s">
        <v>11132</v>
      </c>
      <c r="D4637" s="1751" t="s">
        <v>11153</v>
      </c>
      <c r="E4637" s="46" cm="1">
        <f t="array" ref="E4637">resilince_num_compl_train_course_nonteach_m</f>
        <v>0</v>
      </c>
      <c r="F4637" s="46" t="b">
        <v>1</v>
      </c>
    </row>
    <row r="4638" spans="1:8">
      <c r="A4638" s="46" t="s">
        <v>11133</v>
      </c>
      <c r="B4638" s="46" t="s">
        <v>11263</v>
      </c>
      <c r="C4638" s="46" t="s">
        <v>11133</v>
      </c>
      <c r="D4638" s="1751" t="s">
        <v>11154</v>
      </c>
      <c r="E4638" s="46" cm="1">
        <f t="array" ref="E4638">resilince_num_compl_train_course_nonteach_f</f>
        <v>0</v>
      </c>
      <c r="F4638" s="46" t="b">
        <v>1</v>
      </c>
    </row>
    <row r="4639" spans="1:8">
      <c r="A4639" s="46" t="s">
        <v>11134</v>
      </c>
      <c r="B4639" s="46" t="s">
        <v>11263</v>
      </c>
      <c r="C4639" s="46" t="s">
        <v>11134</v>
      </c>
      <c r="D4639" s="1751" t="s">
        <v>11155</v>
      </c>
      <c r="E4639" s="46" cm="1">
        <f t="array" ref="E4639">resilince_num_trained_intg_teach_m</f>
        <v>0</v>
      </c>
      <c r="F4639" s="46" t="b">
        <v>1</v>
      </c>
    </row>
    <row r="4640" spans="1:8">
      <c r="A4640" s="46" t="s">
        <v>11135</v>
      </c>
      <c r="B4640" s="46" t="s">
        <v>11263</v>
      </c>
      <c r="C4640" s="46" t="s">
        <v>11135</v>
      </c>
      <c r="D4640" s="1751" t="s">
        <v>11156</v>
      </c>
      <c r="E4640" s="46" cm="1">
        <f t="array" ref="E4640">resilince_num_trained_intg_teach_f</f>
        <v>0</v>
      </c>
      <c r="F4640" s="46" t="b">
        <v>1</v>
      </c>
    </row>
    <row r="4641" spans="1:7">
      <c r="A4641" s="46" t="s">
        <v>11136</v>
      </c>
      <c r="B4641" s="46" t="s">
        <v>11263</v>
      </c>
      <c r="C4641" s="46" t="s">
        <v>11136</v>
      </c>
      <c r="D4641" s="1751" t="s">
        <v>11157</v>
      </c>
      <c r="E4641" s="46" t="b" cm="1">
        <f t="array" ref="E4641">resilince_dev_mphss_train_manual</f>
        <v>0</v>
      </c>
      <c r="F4641" s="46" t="b">
        <f>OR(E4641=TRUE, E4641=FALSE)</f>
        <v>1</v>
      </c>
      <c r="G4641" s="46" t="s">
        <v>11265</v>
      </c>
    </row>
    <row r="4642" spans="1:7">
      <c r="A4642" s="46" t="s">
        <v>11137</v>
      </c>
      <c r="B4642" s="46" t="s">
        <v>11263</v>
      </c>
      <c r="C4642" s="46" t="s">
        <v>11137</v>
      </c>
      <c r="D4642" s="1751" t="s">
        <v>11158</v>
      </c>
      <c r="E4642" s="46" cm="1">
        <f t="array" ref="E4642">resilince_num_train_conduct_drrm_l</f>
        <v>0</v>
      </c>
      <c r="F4642" s="46" t="b">
        <v>1</v>
      </c>
    </row>
    <row r="4643" spans="1:7">
      <c r="A4643" s="46" t="s">
        <v>11138</v>
      </c>
      <c r="B4643" s="46" t="s">
        <v>11263</v>
      </c>
      <c r="C4643" s="46" t="s">
        <v>11138</v>
      </c>
      <c r="D4643" s="1751" t="s">
        <v>11159</v>
      </c>
      <c r="E4643" s="46" cm="1">
        <f t="array" ref="E4643">resilince_num_train_conduct_drrm_per</f>
        <v>0</v>
      </c>
      <c r="F4643" s="46" t="b">
        <v>1</v>
      </c>
    </row>
    <row r="4644" spans="1:7">
      <c r="A4644" s="46" t="s">
        <v>11139</v>
      </c>
      <c r="B4644" s="46" t="s">
        <v>11263</v>
      </c>
      <c r="C4644" s="46" t="s">
        <v>11139</v>
      </c>
      <c r="D4644" s="1751" t="s">
        <v>11160</v>
      </c>
      <c r="E4644" s="46" cm="1">
        <f t="array" ref="E4644">resilince_num_train_conduct_ccam_l</f>
        <v>0</v>
      </c>
      <c r="F4644" s="46" t="b">
        <v>1</v>
      </c>
    </row>
    <row r="4645" spans="1:7">
      <c r="A4645" s="46" t="s">
        <v>11140</v>
      </c>
      <c r="B4645" s="46" t="s">
        <v>11263</v>
      </c>
      <c r="C4645" s="46" t="s">
        <v>11140</v>
      </c>
      <c r="D4645" s="1751" t="s">
        <v>11161</v>
      </c>
      <c r="E4645" s="46" cm="1">
        <f t="array" ref="E4645">resilince_num_train_conduct_ccam_per</f>
        <v>0</v>
      </c>
      <c r="F4645" s="46" t="b">
        <v>1</v>
      </c>
    </row>
    <row r="4646" spans="1:7">
      <c r="A4646" s="46" t="s">
        <v>11141</v>
      </c>
      <c r="B4646" s="46" t="s">
        <v>11263</v>
      </c>
      <c r="C4646" s="46" t="s">
        <v>11141</v>
      </c>
      <c r="D4646" s="1751" t="s">
        <v>11162</v>
      </c>
      <c r="E4646" s="46" cm="1">
        <f t="array" ref="E4646">resilince_num_train_conduct_peace_l</f>
        <v>0</v>
      </c>
      <c r="F4646" s="46" t="b">
        <v>1</v>
      </c>
    </row>
    <row r="4647" spans="1:7">
      <c r="A4647" s="46" t="s">
        <v>11142</v>
      </c>
      <c r="B4647" s="46" t="s">
        <v>11263</v>
      </c>
      <c r="C4647" s="46" t="s">
        <v>11142</v>
      </c>
      <c r="D4647" s="1751" t="s">
        <v>11163</v>
      </c>
      <c r="E4647" s="46" cm="1">
        <f t="array" ref="E4647">resilince_num_train_conduct_peace_per</f>
        <v>0</v>
      </c>
      <c r="F4647" s="46" t="b">
        <v>1</v>
      </c>
    </row>
    <row r="4648" spans="1:7">
      <c r="A4648" s="46" t="s">
        <v>11176</v>
      </c>
      <c r="B4648" s="46" t="s">
        <v>11263</v>
      </c>
      <c r="C4648" s="46" t="s">
        <v>11176</v>
      </c>
      <c r="D4648" s="1751" t="s">
        <v>11164</v>
      </c>
      <c r="E4648" s="46" cm="1">
        <f t="array" ref="E4648">resilince_num_train_conduct_mhpss_psych_teach_m</f>
        <v>0</v>
      </c>
      <c r="F4648" s="46" t="b">
        <v>1</v>
      </c>
    </row>
    <row r="4649" spans="1:7">
      <c r="A4649" s="46" t="s">
        <v>11177</v>
      </c>
      <c r="B4649" s="46" t="s">
        <v>11263</v>
      </c>
      <c r="C4649" s="46" t="s">
        <v>11177</v>
      </c>
      <c r="D4649" s="1751" t="s">
        <v>11165</v>
      </c>
      <c r="E4649" s="46" cm="1">
        <f t="array" ref="E4649">resilince_num_train_conduct_mhpss_psych_teach_f</f>
        <v>0</v>
      </c>
      <c r="F4649" s="46" t="b">
        <v>1</v>
      </c>
    </row>
    <row r="4650" spans="1:7">
      <c r="A4650" s="46" t="s">
        <v>11178</v>
      </c>
      <c r="B4650" s="46" t="s">
        <v>11263</v>
      </c>
      <c r="C4650" s="46" t="s">
        <v>11178</v>
      </c>
      <c r="D4650" s="1751" t="s">
        <v>11166</v>
      </c>
      <c r="E4650" s="46">
        <f>resilince_num_train_conduct_mhpss_psych_nonteach_m</f>
        <v>0</v>
      </c>
      <c r="F4650" s="46" t="b">
        <v>1</v>
      </c>
    </row>
    <row r="4651" spans="1:7">
      <c r="A4651" s="46" t="s">
        <v>11179</v>
      </c>
      <c r="B4651" s="46" t="s">
        <v>11263</v>
      </c>
      <c r="C4651" s="46" t="s">
        <v>11179</v>
      </c>
      <c r="D4651" s="1751" t="s">
        <v>11167</v>
      </c>
      <c r="E4651" s="46">
        <f>resilince_num_train_conduct_mhpss_psych_nonteach_f</f>
        <v>0</v>
      </c>
      <c r="F4651" s="46" t="b">
        <v>1</v>
      </c>
    </row>
    <row r="4652" spans="1:7">
      <c r="A4652" s="46" t="s">
        <v>11143</v>
      </c>
      <c r="B4652" s="46" t="s">
        <v>11263</v>
      </c>
      <c r="C4652" s="46" t="s">
        <v>11143</v>
      </c>
      <c r="D4652" s="1751" t="s">
        <v>11168</v>
      </c>
      <c r="E4652" s="46" cm="1">
        <f t="array" ref="E4652">resilince_num_train_provide_mhpss_l_m</f>
        <v>0</v>
      </c>
      <c r="F4652" s="46" t="b">
        <v>1</v>
      </c>
    </row>
    <row r="4653" spans="1:7">
      <c r="A4653" s="46" t="s">
        <v>11144</v>
      </c>
      <c r="B4653" s="46" t="s">
        <v>11263</v>
      </c>
      <c r="C4653" s="46" t="s">
        <v>11144</v>
      </c>
      <c r="D4653" s="1751" t="s">
        <v>11169</v>
      </c>
      <c r="E4653" s="46" cm="1">
        <f t="array" ref="E4653">resilince_num_train_provide_mhpss_l_f</f>
        <v>0</v>
      </c>
      <c r="F4653" s="46" t="b">
        <v>1</v>
      </c>
    </row>
    <row r="4654" spans="1:7">
      <c r="A4654" s="46" t="s">
        <v>11145</v>
      </c>
      <c r="B4654" s="46" t="s">
        <v>11263</v>
      </c>
      <c r="C4654" s="46" t="s">
        <v>11145</v>
      </c>
      <c r="D4654" s="1751" t="s">
        <v>11170</v>
      </c>
      <c r="E4654" s="46" cm="1">
        <f t="array" ref="E4654">resilince_num_train_provide_mhpss_ip_m</f>
        <v>0</v>
      </c>
      <c r="F4654" s="46" t="b">
        <v>1</v>
      </c>
    </row>
    <row r="4655" spans="1:7">
      <c r="A4655" s="46" t="s">
        <v>11146</v>
      </c>
      <c r="B4655" s="46" t="s">
        <v>11263</v>
      </c>
      <c r="C4655" s="46" t="s">
        <v>11146</v>
      </c>
      <c r="D4655" s="1751" t="s">
        <v>11171</v>
      </c>
      <c r="E4655" s="46" cm="1">
        <f t="array" ref="E4655">resilince_num_train_provide_mhpss_ip_f</f>
        <v>0</v>
      </c>
      <c r="F4655" s="46" t="b">
        <v>1</v>
      </c>
    </row>
    <row r="4656" spans="1:7">
      <c r="A4656" s="46" t="s">
        <v>11147</v>
      </c>
      <c r="B4656" s="46" t="s">
        <v>11263</v>
      </c>
      <c r="C4656" s="46" t="s">
        <v>11147</v>
      </c>
      <c r="D4656" s="1751" t="s">
        <v>11172</v>
      </c>
      <c r="E4656" s="46" cm="1">
        <f t="array" ref="E4656">resilince_num_train_provide_mhpss_muslim_m</f>
        <v>0</v>
      </c>
      <c r="F4656" s="46" t="b">
        <v>1</v>
      </c>
    </row>
    <row r="4657" spans="1:8">
      <c r="A4657" s="46" t="s">
        <v>11148</v>
      </c>
      <c r="B4657" s="46" t="s">
        <v>11263</v>
      </c>
      <c r="C4657" s="46" t="s">
        <v>11148</v>
      </c>
      <c r="D4657" s="1751" t="s">
        <v>11173</v>
      </c>
      <c r="E4657" s="46" cm="1">
        <f t="array" ref="E4657">resilince_num_train_provide_mhpss_muslim_f</f>
        <v>0</v>
      </c>
      <c r="F4657" s="46" t="b">
        <v>1</v>
      </c>
    </row>
    <row r="4658" spans="1:8">
      <c r="A4658" s="46" t="s">
        <v>11149</v>
      </c>
      <c r="B4658" s="46" t="s">
        <v>11263</v>
      </c>
      <c r="C4658" s="46" t="s">
        <v>11149</v>
      </c>
      <c r="D4658" s="1751" t="s">
        <v>11174</v>
      </c>
      <c r="E4658" s="46" cm="1">
        <f t="array" ref="E4658">resilince_num_train_provide_mhpss_lwd_m</f>
        <v>0</v>
      </c>
      <c r="F4658" s="46" t="b">
        <v>1</v>
      </c>
    </row>
    <row r="4659" spans="1:8" ht="16.5" thickBot="1">
      <c r="A4659" s="479" t="s">
        <v>11150</v>
      </c>
      <c r="B4659" s="479" t="s">
        <v>11263</v>
      </c>
      <c r="C4659" s="479" t="s">
        <v>11150</v>
      </c>
      <c r="D4659" s="1771" t="s">
        <v>11175</v>
      </c>
      <c r="E4659" s="479" cm="1">
        <f t="array" ref="E4659">resilince_num_train_provide_mhpss_lwd_f</f>
        <v>0</v>
      </c>
      <c r="F4659" s="479" t="b">
        <v>1</v>
      </c>
      <c r="G4659" s="479"/>
      <c r="H4659" s="479"/>
    </row>
    <row r="4660" spans="1:8" ht="16.5" thickTop="1">
      <c r="A4660" s="46" t="s">
        <v>11180</v>
      </c>
      <c r="B4660" s="46" t="s">
        <v>11181</v>
      </c>
      <c r="C4660" s="46" t="s">
        <v>11180</v>
      </c>
      <c r="D4660" s="46" t="s">
        <v>11195</v>
      </c>
      <c r="E4660" s="46" t="b" cm="1">
        <f t="array" ref="E4660">sch_cond_peaceandordertensions_past5yrs</f>
        <v>0</v>
      </c>
      <c r="F4660" s="46" t="b">
        <f t="shared" ref="F4660:F4662" si="51">OR(E4660=TRUE, E4660=FALSE)</f>
        <v>1</v>
      </c>
      <c r="G4660" s="46" t="s">
        <v>11265</v>
      </c>
    </row>
    <row r="4661" spans="1:8">
      <c r="A4661" s="46" t="s">
        <v>11182</v>
      </c>
      <c r="B4661" s="46" t="s">
        <v>11181</v>
      </c>
      <c r="C4661" s="46" t="s">
        <v>11182</v>
      </c>
      <c r="D4661" s="46" t="s">
        <v>11196</v>
      </c>
      <c r="E4661" s="46" t="b" cm="1">
        <f t="array" ref="E4661">sch_cond_cant_reach_regcars_regpuv</f>
        <v>0</v>
      </c>
      <c r="F4661" s="46" t="b">
        <f t="shared" si="51"/>
        <v>1</v>
      </c>
      <c r="G4661" s="46" t="s">
        <v>11265</v>
      </c>
    </row>
    <row r="4662" spans="1:8">
      <c r="A4662" s="46" t="s">
        <v>11183</v>
      </c>
      <c r="B4662" s="46" t="s">
        <v>11181</v>
      </c>
      <c r="C4662" s="46" t="s">
        <v>11183</v>
      </c>
      <c r="D4662" s="46" t="s">
        <v>11197</v>
      </c>
      <c r="E4662" s="46" t="b" cm="1">
        <f t="array" ref="E4662">sch_cond_occ_danger_geo_challenges</f>
        <v>1</v>
      </c>
      <c r="F4662" s="46" t="b">
        <f t="shared" si="51"/>
        <v>1</v>
      </c>
      <c r="G4662" s="46" t="s">
        <v>11265</v>
      </c>
    </row>
    <row r="4663" spans="1:8">
      <c r="A4663" s="46" t="s">
        <v>11184</v>
      </c>
      <c r="B4663" s="46" t="s">
        <v>11181</v>
      </c>
      <c r="C4663" s="46" t="s">
        <v>11184</v>
      </c>
      <c r="D4663" s="46" t="s">
        <v>11198</v>
      </c>
      <c r="E4663" s="46" cm="1">
        <f t="array" ref="E4663">num_teachers_reside_withinschmun_g11_m</f>
        <v>2</v>
      </c>
      <c r="F4663" s="46" t="b">
        <v>1</v>
      </c>
    </row>
    <row r="4664" spans="1:8">
      <c r="A4664" s="46" t="s">
        <v>11185</v>
      </c>
      <c r="B4664" s="46" t="s">
        <v>11181</v>
      </c>
      <c r="C4664" s="46" t="s">
        <v>11185</v>
      </c>
      <c r="D4664" s="46" t="s">
        <v>11199</v>
      </c>
      <c r="E4664" s="46" cm="1">
        <f t="array" ref="E4664">num_teachers_reside_withinschmun_g11_f</f>
        <v>4</v>
      </c>
      <c r="F4664" s="46" t="b">
        <v>1</v>
      </c>
    </row>
    <row r="4665" spans="1:8">
      <c r="A4665" s="46" t="s">
        <v>11186</v>
      </c>
      <c r="B4665" s="46" t="s">
        <v>11181</v>
      </c>
      <c r="C4665" s="46" t="s">
        <v>11186</v>
      </c>
      <c r="D4665" s="46" t="s">
        <v>11200</v>
      </c>
      <c r="E4665" s="46" cm="1">
        <f t="array" ref="E4665">num_teachers_reside_withinschmun_g12_m</f>
        <v>1</v>
      </c>
      <c r="F4665" s="46" t="b">
        <v>1</v>
      </c>
    </row>
    <row r="4666" spans="1:8">
      <c r="A4666" s="46" t="s">
        <v>11187</v>
      </c>
      <c r="B4666" s="46" t="s">
        <v>11181</v>
      </c>
      <c r="C4666" s="46" t="s">
        <v>11187</v>
      </c>
      <c r="D4666" s="46" t="s">
        <v>11201</v>
      </c>
      <c r="E4666" s="46" cm="1">
        <f t="array" ref="E4666">num_teachers_reside_withinschmun_g12_f</f>
        <v>6</v>
      </c>
      <c r="F4666" s="46" t="b">
        <v>1</v>
      </c>
    </row>
    <row r="4667" spans="1:8">
      <c r="A4667" s="46" t="s">
        <v>11188</v>
      </c>
      <c r="B4667" s="46" t="s">
        <v>11181</v>
      </c>
      <c r="C4667" s="46" t="s">
        <v>11188</v>
      </c>
      <c r="D4667" s="46" t="s">
        <v>11202</v>
      </c>
      <c r="E4667" s="46" cm="1">
        <f t="array" ref="E4667">num_teachers_reside_outsideschmun_g11_m</f>
        <v>5</v>
      </c>
      <c r="F4667" s="46" t="b">
        <v>1</v>
      </c>
    </row>
    <row r="4668" spans="1:8">
      <c r="A4668" s="46" t="s">
        <v>11189</v>
      </c>
      <c r="B4668" s="46" t="s">
        <v>11181</v>
      </c>
      <c r="C4668" s="46" t="s">
        <v>11189</v>
      </c>
      <c r="D4668" s="46" t="s">
        <v>11203</v>
      </c>
      <c r="E4668" s="46" cm="1">
        <f t="array" ref="E4668">num_teachers_reside_outsideschmun_g11_f</f>
        <v>4</v>
      </c>
      <c r="F4668" s="46" t="b">
        <v>1</v>
      </c>
    </row>
    <row r="4669" spans="1:8">
      <c r="A4669" s="46" t="s">
        <v>11190</v>
      </c>
      <c r="B4669" s="46" t="s">
        <v>11181</v>
      </c>
      <c r="C4669" s="46" t="s">
        <v>11190</v>
      </c>
      <c r="D4669" s="46" t="s">
        <v>11204</v>
      </c>
      <c r="E4669" s="46" cm="1">
        <f t="array" ref="E4669">num_teachers_reside_outsideschmun_g12_m</f>
        <v>3</v>
      </c>
      <c r="F4669" s="46" t="b">
        <v>1</v>
      </c>
    </row>
    <row r="4670" spans="1:8">
      <c r="A4670" s="46" t="s">
        <v>11191</v>
      </c>
      <c r="B4670" s="46" t="s">
        <v>11181</v>
      </c>
      <c r="C4670" s="46" t="s">
        <v>11191</v>
      </c>
      <c r="D4670" s="46" t="s">
        <v>11205</v>
      </c>
      <c r="E4670" s="46" cm="1">
        <f t="array" ref="E4670">num_teachers_reside_outsideschmun_g12_f</f>
        <v>4</v>
      </c>
      <c r="F4670" s="46" t="b">
        <v>1</v>
      </c>
    </row>
    <row r="4671" spans="1:8">
      <c r="A4671" s="46" t="s">
        <v>11208</v>
      </c>
      <c r="B4671" s="46" t="s">
        <v>11181</v>
      </c>
      <c r="C4671" s="46" t="s">
        <v>11192</v>
      </c>
      <c r="D4671" s="46" t="s">
        <v>11206</v>
      </c>
      <c r="E4671" s="46" t="b" cm="1">
        <f t="array" ref="E4671">sch_workexp_IPcomm_devtlessonplans_ifyes</f>
        <v>1</v>
      </c>
      <c r="F4671" s="46" t="b">
        <f t="shared" ref="F4671:F4674" si="52">OR(E4671=TRUE, E4671=FALSE)</f>
        <v>1</v>
      </c>
      <c r="G4671" s="46" t="s">
        <v>11265</v>
      </c>
    </row>
    <row r="4672" spans="1:8">
      <c r="A4672" s="46" t="s">
        <v>11207</v>
      </c>
      <c r="B4672" s="46" t="s">
        <v>11181</v>
      </c>
      <c r="C4672" s="46" t="s">
        <v>11207</v>
      </c>
      <c r="D4672" s="46" t="s">
        <v>11233</v>
      </c>
      <c r="E4672" s="46" t="b" cm="1">
        <f t="array" ref="E4672">sch_celeb_ipday_ifyes</f>
        <v>0</v>
      </c>
      <c r="F4672" s="46" t="b">
        <f t="shared" si="52"/>
        <v>1</v>
      </c>
      <c r="G4672" s="46" t="s">
        <v>11265</v>
      </c>
    </row>
    <row r="4673" spans="1:7">
      <c r="A4673" s="46" t="s">
        <v>11209</v>
      </c>
      <c r="B4673" s="46" t="s">
        <v>11181</v>
      </c>
      <c r="C4673" s="46" t="s">
        <v>11209</v>
      </c>
      <c r="D4673" s="46" t="s">
        <v>11234</v>
      </c>
      <c r="E4673" s="46" t="b" cm="1">
        <f t="array" ref="E4673">sch_celeb_ipmonth_ifyes</f>
        <v>0</v>
      </c>
      <c r="F4673" s="46" t="b">
        <f t="shared" si="52"/>
        <v>1</v>
      </c>
      <c r="G4673" s="46" t="s">
        <v>11265</v>
      </c>
    </row>
    <row r="4674" spans="1:7">
      <c r="A4674" s="46" t="s">
        <v>11210</v>
      </c>
      <c r="B4674" s="46" t="s">
        <v>11181</v>
      </c>
      <c r="C4674" s="46" t="s">
        <v>11210</v>
      </c>
      <c r="D4674" s="46" t="s">
        <v>11235</v>
      </c>
      <c r="E4674" s="46" t="b" cm="1">
        <f t="array" ref="E4674">sch_head_ip_ifyes</f>
        <v>0</v>
      </c>
      <c r="F4674" s="46" t="b">
        <f t="shared" si="52"/>
        <v>1</v>
      </c>
      <c r="G4674" s="46" t="s">
        <v>11265</v>
      </c>
    </row>
    <row r="4675" spans="1:7">
      <c r="A4675" s="46" t="s">
        <v>11211</v>
      </c>
      <c r="B4675" s="46" t="s">
        <v>11181</v>
      </c>
      <c r="C4675" s="46" t="s">
        <v>11211</v>
      </c>
      <c r="D4675" s="46" t="s">
        <v>11236</v>
      </c>
      <c r="E4675" s="46" cm="1">
        <f t="array" ref="E4675">sch_head_ip_ifyes_ethnicity</f>
        <v>0</v>
      </c>
      <c r="F4675" s="46" t="b">
        <v>1</v>
      </c>
    </row>
    <row r="4676" spans="1:7">
      <c r="A4676" s="46" t="s">
        <v>11212</v>
      </c>
      <c r="B4676" s="46" t="s">
        <v>11181</v>
      </c>
      <c r="C4676" s="46" t="s">
        <v>11212</v>
      </c>
      <c r="D4676" s="46" t="s">
        <v>11237</v>
      </c>
      <c r="E4676" s="46" t="b" cm="1">
        <f t="array" ref="E4676">sch_head_attend_iped_ifyes</f>
        <v>1</v>
      </c>
      <c r="F4676" s="46" t="b">
        <f t="shared" ref="F4676" si="53">OR(E4676=TRUE, E4676=FALSE)</f>
        <v>1</v>
      </c>
      <c r="G4676" s="46" t="s">
        <v>11265</v>
      </c>
    </row>
    <row r="4677" spans="1:7">
      <c r="A4677" s="46" t="s">
        <v>11213</v>
      </c>
      <c r="B4677" s="46" t="s">
        <v>11181</v>
      </c>
      <c r="C4677" s="46" t="s">
        <v>11213</v>
      </c>
      <c r="D4677" s="46" t="s">
        <v>11238</v>
      </c>
      <c r="E4677" s="46" cm="1">
        <f t="array" ref="E4677">sch_num_teach_ip_gr11_m</f>
        <v>0</v>
      </c>
      <c r="F4677" s="46" t="b">
        <v>1</v>
      </c>
    </row>
    <row r="4678" spans="1:7">
      <c r="A4678" s="46" t="s">
        <v>11214</v>
      </c>
      <c r="B4678" s="46" t="s">
        <v>11181</v>
      </c>
      <c r="C4678" s="46" t="s">
        <v>11214</v>
      </c>
      <c r="D4678" s="46" t="s">
        <v>11239</v>
      </c>
      <c r="E4678" s="46" cm="1">
        <f t="array" ref="E4678">sch_num_teach_ip_gr11_f</f>
        <v>0</v>
      </c>
      <c r="F4678" s="46" t="b">
        <v>1</v>
      </c>
    </row>
    <row r="4679" spans="1:7">
      <c r="A4679" s="46" t="s">
        <v>11215</v>
      </c>
      <c r="B4679" s="46" t="s">
        <v>11181</v>
      </c>
      <c r="C4679" s="46" t="s">
        <v>11215</v>
      </c>
      <c r="D4679" s="46" t="s">
        <v>11240</v>
      </c>
      <c r="E4679" s="46" cm="1">
        <f t="array" ref="E4679">sch_num_teach_ip_gr12_m</f>
        <v>0</v>
      </c>
      <c r="F4679" s="46" t="b">
        <v>1</v>
      </c>
    </row>
    <row r="4680" spans="1:7">
      <c r="A4680" s="46" t="s">
        <v>11216</v>
      </c>
      <c r="B4680" s="46" t="s">
        <v>11181</v>
      </c>
      <c r="C4680" s="46" t="s">
        <v>11216</v>
      </c>
      <c r="D4680" s="46" t="s">
        <v>11241</v>
      </c>
      <c r="E4680" s="46" cm="1">
        <f t="array" ref="E4680">sch_num_teach_ip_gr12_f</f>
        <v>0</v>
      </c>
      <c r="F4680" s="46" t="b">
        <v>1</v>
      </c>
    </row>
    <row r="4681" spans="1:7">
      <c r="A4681" s="46" t="s">
        <v>11217</v>
      </c>
      <c r="B4681" s="46" t="s">
        <v>11181</v>
      </c>
      <c r="C4681" s="46" t="s">
        <v>11217</v>
      </c>
      <c r="D4681" s="46" t="s">
        <v>11242</v>
      </c>
      <c r="E4681" s="46" cm="1">
        <f t="array" ref="E4681">sch_num_teach_orient_iped_m</f>
        <v>0</v>
      </c>
      <c r="F4681" s="46" t="b">
        <v>1</v>
      </c>
    </row>
    <row r="4682" spans="1:7">
      <c r="A4682" s="46" t="s">
        <v>11218</v>
      </c>
      <c r="B4682" s="46" t="s">
        <v>11181</v>
      </c>
      <c r="C4682" s="46" t="s">
        <v>11218</v>
      </c>
      <c r="D4682" s="46" t="s">
        <v>11243</v>
      </c>
      <c r="E4682" s="46" cm="1">
        <f t="array" ref="E4682">sch_num_teach_orient_iped_f</f>
        <v>0</v>
      </c>
      <c r="F4682" s="46" t="b">
        <v>1</v>
      </c>
    </row>
    <row r="4683" spans="1:7">
      <c r="A4683" s="46" t="s">
        <v>11219</v>
      </c>
      <c r="B4683" s="46" t="s">
        <v>11181</v>
      </c>
      <c r="C4683" s="46" t="s">
        <v>11219</v>
      </c>
      <c r="D4683" s="46" t="s">
        <v>11244</v>
      </c>
      <c r="E4683" s="46" cm="1">
        <f t="array" ref="E4683">sch_num_teach_train_iped_m</f>
        <v>0</v>
      </c>
      <c r="F4683" s="46" t="b">
        <v>1</v>
      </c>
    </row>
    <row r="4684" spans="1:7">
      <c r="A4684" s="46" t="s">
        <v>11220</v>
      </c>
      <c r="B4684" s="46" t="s">
        <v>11181</v>
      </c>
      <c r="C4684" s="46" t="s">
        <v>11220</v>
      </c>
      <c r="D4684" s="46" t="s">
        <v>11245</v>
      </c>
      <c r="E4684" s="46" cm="1">
        <f t="array" ref="E4684">sch_num_teach_train_iped_f</f>
        <v>0</v>
      </c>
      <c r="F4684" s="46" t="b">
        <v>1</v>
      </c>
    </row>
    <row r="4685" spans="1:7">
      <c r="A4685" s="46" t="s">
        <v>11221</v>
      </c>
      <c r="B4685" s="46" t="s">
        <v>11181</v>
      </c>
      <c r="C4685" s="46" t="s">
        <v>11221</v>
      </c>
      <c r="D4685" s="46" t="s">
        <v>11246</v>
      </c>
      <c r="E4685" s="46" cm="1">
        <f t="array" ref="E4685">sch_num_learn_vac_measle_gr11_m</f>
        <v>0</v>
      </c>
      <c r="F4685" s="46" t="b">
        <v>1</v>
      </c>
    </row>
    <row r="4686" spans="1:7">
      <c r="A4686" s="46" t="s">
        <v>11222</v>
      </c>
      <c r="B4686" s="46" t="s">
        <v>11181</v>
      </c>
      <c r="C4686" s="46" t="s">
        <v>11222</v>
      </c>
      <c r="D4686" s="46" t="s">
        <v>11247</v>
      </c>
      <c r="E4686" s="46" cm="1">
        <f t="array" ref="E4686">sch_num_learn_vac_measle_gr11_f</f>
        <v>0</v>
      </c>
      <c r="F4686" s="46" t="b">
        <v>1</v>
      </c>
    </row>
    <row r="4687" spans="1:7">
      <c r="A4687" s="46" t="s">
        <v>11223</v>
      </c>
      <c r="B4687" s="46" t="s">
        <v>11181</v>
      </c>
      <c r="C4687" s="46" t="s">
        <v>11223</v>
      </c>
      <c r="D4687" s="46" t="s">
        <v>11248</v>
      </c>
      <c r="E4687" s="46" cm="1">
        <f t="array" ref="E4687">sch_num_learn_vac_measle_gr12_m</f>
        <v>0</v>
      </c>
      <c r="F4687" s="46" t="b">
        <v>1</v>
      </c>
    </row>
    <row r="4688" spans="1:7">
      <c r="A4688" s="46" t="s">
        <v>11224</v>
      </c>
      <c r="B4688" s="46" t="s">
        <v>11181</v>
      </c>
      <c r="C4688" s="46" t="s">
        <v>11224</v>
      </c>
      <c r="D4688" s="46" t="s">
        <v>11249</v>
      </c>
      <c r="E4688" s="46" cm="1">
        <f t="array" ref="E4688">sch_num_learn_vac_measle_gr12_f</f>
        <v>0</v>
      </c>
      <c r="F4688" s="46" t="b">
        <v>1</v>
      </c>
    </row>
    <row r="4689" spans="1:8">
      <c r="A4689" s="46" t="s">
        <v>11225</v>
      </c>
      <c r="B4689" s="46" t="s">
        <v>11181</v>
      </c>
      <c r="C4689" s="46" t="s">
        <v>11225</v>
      </c>
      <c r="D4689" s="46" t="s">
        <v>11250</v>
      </c>
      <c r="E4689" s="46" cm="1">
        <f t="array" ref="E4689">sch_num_learn_vac_tet_dip_gr11_m</f>
        <v>0</v>
      </c>
      <c r="F4689" s="46" t="b">
        <v>1</v>
      </c>
    </row>
    <row r="4690" spans="1:8">
      <c r="A4690" s="46" t="s">
        <v>11226</v>
      </c>
      <c r="B4690" s="46" t="s">
        <v>11181</v>
      </c>
      <c r="C4690" s="46" t="s">
        <v>11226</v>
      </c>
      <c r="D4690" s="46" t="s">
        <v>11251</v>
      </c>
      <c r="E4690" s="46" cm="1">
        <f t="array" ref="E4690">sch_num_learn_vac_tet_dip_gr11_f</f>
        <v>0</v>
      </c>
      <c r="F4690" s="46" t="b">
        <v>1</v>
      </c>
    </row>
    <row r="4691" spans="1:8">
      <c r="A4691" s="46" t="s">
        <v>11227</v>
      </c>
      <c r="B4691" s="46" t="s">
        <v>11181</v>
      </c>
      <c r="C4691" s="46" t="s">
        <v>11227</v>
      </c>
      <c r="D4691" s="46" t="s">
        <v>11252</v>
      </c>
      <c r="E4691" s="46" cm="1">
        <f t="array" ref="E4691">sch_num_learn_vac_tet_dip_gr12_m</f>
        <v>0</v>
      </c>
      <c r="F4691" s="46" t="b">
        <v>1</v>
      </c>
    </row>
    <row r="4692" spans="1:8">
      <c r="A4692" s="46" t="s">
        <v>11228</v>
      </c>
      <c r="B4692" s="46" t="s">
        <v>11181</v>
      </c>
      <c r="C4692" s="46" t="s">
        <v>11228</v>
      </c>
      <c r="D4692" s="46" t="s">
        <v>11253</v>
      </c>
      <c r="E4692" s="46" cm="1">
        <f t="array" ref="E4692">sch_num_learn_vac_tet_dip_gr12_f</f>
        <v>0</v>
      </c>
      <c r="F4692" s="46" t="b">
        <v>1</v>
      </c>
    </row>
    <row r="4693" spans="1:8">
      <c r="A4693" s="46" t="s">
        <v>11229</v>
      </c>
      <c r="B4693" s="46" t="s">
        <v>11181</v>
      </c>
      <c r="C4693" s="46" t="s">
        <v>11229</v>
      </c>
      <c r="D4693" s="46" t="s">
        <v>11254</v>
      </c>
      <c r="E4693" s="46" cm="1">
        <f t="array" ref="E4693">sch_num_learn_vac_pap_vir_gr11_m</f>
        <v>0</v>
      </c>
      <c r="F4693" s="46" t="b">
        <v>1</v>
      </c>
    </row>
    <row r="4694" spans="1:8">
      <c r="A4694" s="46" t="s">
        <v>11230</v>
      </c>
      <c r="B4694" s="46" t="s">
        <v>11181</v>
      </c>
      <c r="C4694" s="46" t="s">
        <v>11230</v>
      </c>
      <c r="D4694" s="46" t="s">
        <v>11255</v>
      </c>
      <c r="E4694" s="46" cm="1">
        <f t="array" ref="E4694">sch_num_learn_vac_pap_vir_gr11_f</f>
        <v>0</v>
      </c>
      <c r="F4694" s="46" t="b">
        <v>1</v>
      </c>
    </row>
    <row r="4695" spans="1:8">
      <c r="A4695" s="46" t="s">
        <v>11231</v>
      </c>
      <c r="B4695" s="46" t="s">
        <v>11181</v>
      </c>
      <c r="C4695" s="46" t="s">
        <v>11231</v>
      </c>
      <c r="D4695" s="46" t="s">
        <v>11256</v>
      </c>
      <c r="E4695" s="46" cm="1">
        <f t="array" ref="E4695">sch_num_learn_vac_pap_vir_gr12_m</f>
        <v>0</v>
      </c>
      <c r="F4695" s="46" t="b">
        <v>1</v>
      </c>
    </row>
    <row r="4696" spans="1:8">
      <c r="A4696" s="46" t="s">
        <v>11232</v>
      </c>
      <c r="B4696" s="46" t="s">
        <v>11181</v>
      </c>
      <c r="C4696" s="46" t="s">
        <v>11232</v>
      </c>
      <c r="D4696" s="46" t="s">
        <v>11257</v>
      </c>
      <c r="E4696" s="46" cm="1">
        <f t="array" ref="E4696">sch_num_learn_vac_pap_vir_gr12_f</f>
        <v>0</v>
      </c>
      <c r="F4696" s="46" t="b">
        <v>1</v>
      </c>
    </row>
    <row r="4697" spans="1:8">
      <c r="A4697" s="46" t="s">
        <v>11258</v>
      </c>
      <c r="B4697" s="46" t="s">
        <v>11181</v>
      </c>
      <c r="C4697" s="46" t="s">
        <v>11258</v>
      </c>
      <c r="D4697" s="46" t="s">
        <v>11259</v>
      </c>
      <c r="E4697" s="46" t="b" cm="1">
        <f t="array" ref="E4697">sch_loc_ancest_dom_armed_conf</f>
        <v>0</v>
      </c>
      <c r="F4697" s="46" t="b">
        <f t="shared" ref="F4697" si="54">OR(E4697=TRUE, E4697=FALSE)</f>
        <v>1</v>
      </c>
      <c r="G4697" s="46" t="s">
        <v>11265</v>
      </c>
    </row>
    <row r="4698" spans="1:8">
      <c r="A4698" s="46" t="s">
        <v>11193</v>
      </c>
      <c r="B4698" s="46" t="s">
        <v>11181</v>
      </c>
      <c r="C4698" s="46" t="s">
        <v>11193</v>
      </c>
      <c r="D4698" s="46" t="s">
        <v>11260</v>
      </c>
      <c r="E4698" s="46" t="str" cm="1">
        <f t="array" ref="E4698">do_iped_focal_name</f>
        <v>RONE RAY M. PORTACION / March 17, 2023</v>
      </c>
      <c r="F4698" s="46" t="b">
        <v>1</v>
      </c>
    </row>
    <row r="4699" spans="1:8" ht="16.5" thickBot="1">
      <c r="A4699" s="479" t="s">
        <v>11194</v>
      </c>
      <c r="B4699" s="479" t="s">
        <v>11181</v>
      </c>
      <c r="C4699" s="479" t="s">
        <v>11194</v>
      </c>
      <c r="D4699" s="479" t="s">
        <v>11261</v>
      </c>
      <c r="E4699" s="479" t="str" cm="1">
        <f t="array" ref="E4699">do_iped_focal_pos_title</f>
        <v>EDUCATION PROGRAM SUPERVISOR</v>
      </c>
      <c r="F4699" s="479" t="b">
        <v>1</v>
      </c>
      <c r="G4699" s="479"/>
      <c r="H4699" s="479"/>
    </row>
    <row r="4700" spans="1:8" ht="16.5" thickTop="1"/>
  </sheetData>
  <sheetProtection algorithmName="SHA-512" hashValue="CdWseenvwVveTgLmYzoWVb8L5679TyO/QN6hL32dI1cZ6Cpz/GWglGP9kB8wO0qYc1TB4g2YT5HFCQ2hcM3a1Q==" saltValue="/Xc89qxfH8a462Zd8LGaOA==" spinCount="100000" sheet="1" objects="1" scenarios="1"/>
  <autoFilter ref="A1:H4699" xr:uid="{F8D56FA2-BBBD-43F7-B780-DD48D3969422}"/>
  <customSheetViews>
    <customSheetView guid="{6EFEFCA0-BF14-457A-85A3-29CBF2A862A5}" showAutoFilter="1" state="hidden">
      <pane ySplit="1" topLeftCell="A2" activePane="bottomLeft" state="frozen"/>
      <selection pane="bottomLeft"/>
      <pageMargins left="0.7" right="0.7" top="0.75" bottom="0.75" header="0.3" footer="0.3"/>
      <pageSetup orientation="portrait" r:id="rId1"/>
      <autoFilter ref="A1:H4699" xr:uid="{00000000-0000-0000-0000-000000000000}"/>
    </customSheetView>
  </customSheetViews>
  <phoneticPr fontId="39" type="noConversion"/>
  <conditionalFormatting sqref="A1770:A1771">
    <cfRule type="duplicateValues" dxfId="84" priority="15"/>
  </conditionalFormatting>
  <conditionalFormatting sqref="C1770:C1771">
    <cfRule type="duplicateValues" dxfId="83" priority="14"/>
  </conditionalFormatting>
  <conditionalFormatting sqref="E1770:E1771">
    <cfRule type="duplicateValues" dxfId="82" priority="11"/>
  </conditionalFormatting>
  <conditionalFormatting sqref="A2290:A2291">
    <cfRule type="duplicateValues" dxfId="81" priority="6"/>
  </conditionalFormatting>
  <conditionalFormatting sqref="A2308:A2309">
    <cfRule type="duplicateValues" dxfId="80" priority="5"/>
  </conditionalFormatting>
  <conditionalFormatting sqref="C2290:C2291">
    <cfRule type="duplicateValues" dxfId="79" priority="4"/>
  </conditionalFormatting>
  <conditionalFormatting sqref="C2308:C2309">
    <cfRule type="duplicateValues" dxfId="78" priority="3"/>
  </conditionalFormatting>
  <conditionalFormatting sqref="E2290:E2291">
    <cfRule type="duplicateValues" dxfId="77" priority="2"/>
  </conditionalFormatting>
  <conditionalFormatting sqref="E2308:E2309">
    <cfRule type="duplicateValues" dxfId="76" priority="1"/>
  </conditionalFormatting>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CE905-4A21-42A6-82BC-5C2C00799D52}">
  <sheetPr codeName="Sheet4">
    <pageSetUpPr fitToPage="1"/>
  </sheetPr>
  <dimension ref="A1:U80"/>
  <sheetViews>
    <sheetView showGridLines="0" zoomScale="90" zoomScaleNormal="90" workbookViewId="0">
      <pane xSplit="1" ySplit="3" topLeftCell="B4" activePane="bottomRight" state="frozen"/>
      <selection activeCell="W14" sqref="W14"/>
      <selection pane="topRight" activeCell="W14" sqref="W14"/>
      <selection pane="bottomLeft" activeCell="W14" sqref="W14"/>
      <selection pane="bottomRight" activeCell="C4" sqref="C4"/>
    </sheetView>
  </sheetViews>
  <sheetFormatPr defaultColWidth="9" defaultRowHeight="15.75"/>
  <cols>
    <col min="1" max="1" width="8.125" style="35" customWidth="1"/>
    <col min="2" max="3" width="6.125" style="35" customWidth="1"/>
    <col min="4" max="4" width="120.625" style="36" customWidth="1"/>
    <col min="5" max="5" width="18.625" style="36" customWidth="1"/>
    <col min="6" max="7" width="9" style="36"/>
    <col min="8" max="8" width="11.875" style="36" customWidth="1"/>
    <col min="9" max="16384" width="9" style="36"/>
  </cols>
  <sheetData>
    <row r="1" spans="1:5" ht="12" customHeight="1" thickBot="1"/>
    <row r="2" spans="1:5" ht="30.6" customHeight="1" thickBot="1">
      <c r="A2" s="1796" t="s">
        <v>11443</v>
      </c>
      <c r="B2" s="1797"/>
      <c r="C2" s="1797"/>
      <c r="D2" s="1798"/>
    </row>
    <row r="3" spans="1:5" s="63" customFormat="1" ht="36" customHeight="1" thickBot="1">
      <c r="A3" s="59" t="s">
        <v>0</v>
      </c>
      <c r="B3" s="60" t="s">
        <v>1</v>
      </c>
      <c r="C3" s="61" t="s">
        <v>2</v>
      </c>
      <c r="D3" s="62" t="s">
        <v>3</v>
      </c>
      <c r="E3" s="76" t="s">
        <v>989</v>
      </c>
    </row>
    <row r="4" spans="1:5" s="82" customFormat="1" ht="16.5" thickTop="1">
      <c r="A4" s="78"/>
      <c r="B4" s="79"/>
      <c r="C4" s="80">
        <v>1</v>
      </c>
      <c r="D4" s="81" t="s">
        <v>4</v>
      </c>
      <c r="E4" s="77" t="s">
        <v>1971</v>
      </c>
    </row>
    <row r="5" spans="1:5" s="82" customFormat="1">
      <c r="A5" s="83">
        <v>1</v>
      </c>
      <c r="B5" s="84"/>
      <c r="C5" s="85">
        <v>2</v>
      </c>
      <c r="D5" s="64" t="s">
        <v>11371</v>
      </c>
      <c r="E5" s="77" t="s">
        <v>1971</v>
      </c>
    </row>
    <row r="6" spans="1:5" s="82" customFormat="1" ht="31.5">
      <c r="A6" s="83">
        <v>2</v>
      </c>
      <c r="B6" s="84"/>
      <c r="C6" s="85">
        <v>2</v>
      </c>
      <c r="D6" s="86" t="s">
        <v>11444</v>
      </c>
      <c r="E6" s="77" t="s">
        <v>1971</v>
      </c>
    </row>
    <row r="7" spans="1:5" s="82" customFormat="1" ht="31.5">
      <c r="A7" s="83" t="s">
        <v>1468</v>
      </c>
      <c r="B7" s="84"/>
      <c r="C7" s="85">
        <v>3</v>
      </c>
      <c r="D7" s="86" t="s">
        <v>11445</v>
      </c>
      <c r="E7" s="77" t="s">
        <v>1971</v>
      </c>
    </row>
    <row r="8" spans="1:5" s="82" customFormat="1" ht="31.5">
      <c r="A8" s="83" t="s">
        <v>1469</v>
      </c>
      <c r="B8" s="84"/>
      <c r="C8" s="85">
        <v>4</v>
      </c>
      <c r="D8" s="86" t="s">
        <v>11445</v>
      </c>
      <c r="E8" s="77" t="s">
        <v>1971</v>
      </c>
    </row>
    <row r="9" spans="1:5" s="91" customFormat="1">
      <c r="A9" s="87">
        <v>4</v>
      </c>
      <c r="B9" s="88"/>
      <c r="C9" s="89">
        <v>5</v>
      </c>
      <c r="D9" s="90" t="s">
        <v>11446</v>
      </c>
      <c r="E9" s="77" t="s">
        <v>1971</v>
      </c>
    </row>
    <row r="10" spans="1:5" s="91" customFormat="1">
      <c r="A10" s="87">
        <v>5</v>
      </c>
      <c r="B10" s="88"/>
      <c r="C10" s="89">
        <v>5</v>
      </c>
      <c r="D10" s="90" t="s">
        <v>11447</v>
      </c>
      <c r="E10" s="77" t="s">
        <v>1971</v>
      </c>
    </row>
    <row r="11" spans="1:5" s="82" customFormat="1">
      <c r="A11" s="83">
        <v>6</v>
      </c>
      <c r="B11" s="84"/>
      <c r="C11" s="85">
        <v>6</v>
      </c>
      <c r="D11" s="64" t="s">
        <v>11448</v>
      </c>
      <c r="E11" s="77" t="s">
        <v>1971</v>
      </c>
    </row>
    <row r="12" spans="1:5" s="82" customFormat="1">
      <c r="A12" s="65">
        <v>7</v>
      </c>
      <c r="B12" s="84"/>
      <c r="C12" s="85">
        <v>7</v>
      </c>
      <c r="D12" s="66" t="s">
        <v>11449</v>
      </c>
      <c r="E12" s="77" t="s">
        <v>1971</v>
      </c>
    </row>
    <row r="13" spans="1:5" s="82" customFormat="1">
      <c r="A13" s="65">
        <v>8</v>
      </c>
      <c r="B13" s="84"/>
      <c r="C13" s="85">
        <v>8</v>
      </c>
      <c r="D13" s="64" t="s">
        <v>11376</v>
      </c>
      <c r="E13" s="77" t="s">
        <v>1971</v>
      </c>
    </row>
    <row r="14" spans="1:5" s="82" customFormat="1">
      <c r="A14" s="83">
        <v>9</v>
      </c>
      <c r="B14" s="84"/>
      <c r="C14" s="85">
        <v>8</v>
      </c>
      <c r="D14" s="64" t="s">
        <v>11450</v>
      </c>
      <c r="E14" s="77" t="s">
        <v>1971</v>
      </c>
    </row>
    <row r="15" spans="1:5" s="91" customFormat="1">
      <c r="A15" s="87">
        <v>10</v>
      </c>
      <c r="B15" s="88"/>
      <c r="C15" s="89">
        <v>9</v>
      </c>
      <c r="D15" s="92" t="s">
        <v>11451</v>
      </c>
      <c r="E15" s="77" t="s">
        <v>1971</v>
      </c>
    </row>
    <row r="16" spans="1:5" s="91" customFormat="1" ht="31.5">
      <c r="A16" s="87">
        <v>11</v>
      </c>
      <c r="B16" s="89"/>
      <c r="C16" s="89">
        <v>9</v>
      </c>
      <c r="D16" s="92" t="s">
        <v>11452</v>
      </c>
      <c r="E16" s="77" t="s">
        <v>1971</v>
      </c>
    </row>
    <row r="17" spans="1:21" s="91" customFormat="1" ht="31.5">
      <c r="A17" s="87">
        <v>12</v>
      </c>
      <c r="B17" s="89"/>
      <c r="C17" s="89">
        <v>9</v>
      </c>
      <c r="D17" s="92" t="s">
        <v>11453</v>
      </c>
      <c r="E17" s="77" t="s">
        <v>1971</v>
      </c>
    </row>
    <row r="18" spans="1:21" s="91" customFormat="1" ht="31.5">
      <c r="A18" s="87">
        <v>13</v>
      </c>
      <c r="B18" s="88"/>
      <c r="C18" s="89">
        <v>10</v>
      </c>
      <c r="D18" s="127" t="s">
        <v>11454</v>
      </c>
      <c r="E18" s="77" t="s">
        <v>11489</v>
      </c>
      <c r="F18" s="128"/>
      <c r="G18" s="128"/>
      <c r="H18" s="128"/>
      <c r="I18" s="128"/>
      <c r="J18" s="128"/>
      <c r="K18" s="128"/>
      <c r="L18" s="128"/>
      <c r="M18" s="128"/>
      <c r="N18" s="129"/>
      <c r="O18" s="129"/>
      <c r="P18" s="129"/>
      <c r="Q18" s="129"/>
      <c r="R18" s="130"/>
      <c r="S18" s="128"/>
      <c r="T18" s="130"/>
      <c r="U18" s="128"/>
    </row>
    <row r="19" spans="1:21" s="82" customFormat="1" ht="31.5">
      <c r="A19" s="83">
        <v>14</v>
      </c>
      <c r="B19" s="84"/>
      <c r="C19" s="85">
        <v>10</v>
      </c>
      <c r="D19" s="68" t="s">
        <v>11455</v>
      </c>
      <c r="E19" s="77" t="s">
        <v>11489</v>
      </c>
      <c r="F19" s="95"/>
      <c r="G19" s="95"/>
      <c r="H19" s="95"/>
      <c r="I19" s="95"/>
      <c r="J19" s="95"/>
      <c r="K19" s="95"/>
      <c r="L19" s="95"/>
      <c r="M19" s="95"/>
      <c r="N19" s="67"/>
      <c r="O19" s="67"/>
      <c r="P19" s="67"/>
      <c r="Q19" s="67"/>
      <c r="R19" s="96"/>
      <c r="S19" s="95"/>
      <c r="T19" s="96"/>
      <c r="U19" s="95"/>
    </row>
    <row r="20" spans="1:21" s="82" customFormat="1" ht="31.5">
      <c r="A20" s="83">
        <v>15</v>
      </c>
      <c r="B20" s="84"/>
      <c r="C20" s="85">
        <v>10</v>
      </c>
      <c r="D20" s="93" t="s">
        <v>11456</v>
      </c>
      <c r="E20" s="77" t="s">
        <v>1971</v>
      </c>
    </row>
    <row r="21" spans="1:21" s="82" customFormat="1">
      <c r="A21" s="83">
        <v>16</v>
      </c>
      <c r="B21" s="84"/>
      <c r="C21" s="85">
        <v>11</v>
      </c>
      <c r="D21" s="64" t="s">
        <v>11487</v>
      </c>
      <c r="E21" s="77" t="s">
        <v>1971</v>
      </c>
    </row>
    <row r="22" spans="1:21" s="82" customFormat="1" ht="31.5">
      <c r="A22" s="83">
        <v>17</v>
      </c>
      <c r="B22" s="84"/>
      <c r="C22" s="85">
        <v>11</v>
      </c>
      <c r="D22" s="66" t="s">
        <v>11457</v>
      </c>
      <c r="E22" s="77" t="s">
        <v>1971</v>
      </c>
    </row>
    <row r="23" spans="1:21" s="82" customFormat="1" ht="31.5">
      <c r="A23" s="83">
        <v>18</v>
      </c>
      <c r="B23" s="84"/>
      <c r="C23" s="85">
        <v>11</v>
      </c>
      <c r="D23" s="66" t="s">
        <v>11458</v>
      </c>
      <c r="E23" s="77" t="s">
        <v>11490</v>
      </c>
    </row>
    <row r="24" spans="1:21" s="82" customFormat="1" ht="31.5">
      <c r="A24" s="83">
        <v>19</v>
      </c>
      <c r="B24" s="84"/>
      <c r="C24" s="85">
        <v>11</v>
      </c>
      <c r="D24" s="94" t="s">
        <v>11459</v>
      </c>
      <c r="E24" s="77" t="s">
        <v>1971</v>
      </c>
    </row>
    <row r="25" spans="1:21" s="91" customFormat="1" ht="31.5">
      <c r="A25" s="72" t="s">
        <v>1470</v>
      </c>
      <c r="B25" s="88"/>
      <c r="C25" s="89">
        <v>12</v>
      </c>
      <c r="D25" s="73" t="s">
        <v>11460</v>
      </c>
      <c r="E25" s="77" t="s">
        <v>1971</v>
      </c>
    </row>
    <row r="26" spans="1:21" s="91" customFormat="1" ht="31.5">
      <c r="A26" s="72" t="s">
        <v>1471</v>
      </c>
      <c r="B26" s="88"/>
      <c r="C26" s="89">
        <v>13</v>
      </c>
      <c r="D26" s="131" t="s">
        <v>11461</v>
      </c>
      <c r="E26" s="77" t="s">
        <v>1971</v>
      </c>
      <c r="F26" s="132"/>
      <c r="G26" s="132"/>
      <c r="H26" s="132"/>
    </row>
    <row r="27" spans="1:21" s="82" customFormat="1">
      <c r="A27" s="83"/>
      <c r="B27" s="85">
        <v>1</v>
      </c>
      <c r="C27" s="85">
        <v>14</v>
      </c>
      <c r="D27" s="94" t="s">
        <v>11387</v>
      </c>
      <c r="E27" s="77" t="s">
        <v>1971</v>
      </c>
    </row>
    <row r="28" spans="1:21" s="82" customFormat="1">
      <c r="A28" s="83"/>
      <c r="B28" s="85">
        <v>2</v>
      </c>
      <c r="C28" s="85">
        <v>14</v>
      </c>
      <c r="D28" s="93" t="s">
        <v>11388</v>
      </c>
      <c r="E28" s="77" t="s">
        <v>1971</v>
      </c>
    </row>
    <row r="29" spans="1:21" s="91" customFormat="1">
      <c r="A29" s="87"/>
      <c r="B29" s="89">
        <v>3</v>
      </c>
      <c r="C29" s="89">
        <v>15</v>
      </c>
      <c r="D29" s="90" t="s">
        <v>11389</v>
      </c>
      <c r="E29" s="77" t="s">
        <v>1971</v>
      </c>
    </row>
    <row r="30" spans="1:21" s="91" customFormat="1">
      <c r="A30" s="87"/>
      <c r="B30" s="89">
        <v>4</v>
      </c>
      <c r="C30" s="89">
        <v>15</v>
      </c>
      <c r="D30" s="97" t="s">
        <v>11390</v>
      </c>
      <c r="E30" s="77" t="s">
        <v>1971</v>
      </c>
    </row>
    <row r="31" spans="1:21" s="91" customFormat="1">
      <c r="A31" s="87"/>
      <c r="B31" s="89">
        <v>5</v>
      </c>
      <c r="C31" s="89">
        <v>15</v>
      </c>
      <c r="D31" s="98" t="s">
        <v>11391</v>
      </c>
      <c r="E31" s="77" t="s">
        <v>1971</v>
      </c>
    </row>
    <row r="32" spans="1:21" s="91" customFormat="1" ht="31.5">
      <c r="A32" s="72">
        <v>21</v>
      </c>
      <c r="B32" s="88"/>
      <c r="C32" s="89">
        <v>16</v>
      </c>
      <c r="D32" s="131" t="s">
        <v>11462</v>
      </c>
      <c r="E32" s="77" t="s">
        <v>1971</v>
      </c>
      <c r="F32" s="132"/>
      <c r="G32" s="132"/>
      <c r="H32" s="132"/>
    </row>
    <row r="33" spans="1:8" s="91" customFormat="1" ht="31.5">
      <c r="A33" s="72"/>
      <c r="B33" s="88">
        <v>6</v>
      </c>
      <c r="C33" s="89">
        <v>16</v>
      </c>
      <c r="D33" s="131" t="s">
        <v>11393</v>
      </c>
      <c r="E33" s="77" t="s">
        <v>1971</v>
      </c>
      <c r="F33" s="132"/>
      <c r="G33" s="132"/>
      <c r="H33" s="132"/>
    </row>
    <row r="34" spans="1:8" s="82" customFormat="1">
      <c r="A34" s="83">
        <v>22</v>
      </c>
      <c r="B34" s="85"/>
      <c r="C34" s="85">
        <v>17</v>
      </c>
      <c r="D34" s="68" t="s">
        <v>11463</v>
      </c>
      <c r="E34" s="77" t="s">
        <v>1971</v>
      </c>
    </row>
    <row r="35" spans="1:8" s="82" customFormat="1">
      <c r="A35" s="83">
        <v>23</v>
      </c>
      <c r="B35" s="85"/>
      <c r="C35" s="85">
        <v>18</v>
      </c>
      <c r="D35" s="68" t="s">
        <v>11394</v>
      </c>
      <c r="E35" s="77" t="s">
        <v>1971</v>
      </c>
    </row>
    <row r="36" spans="1:8" s="82" customFormat="1">
      <c r="A36" s="83"/>
      <c r="B36" s="85">
        <v>7</v>
      </c>
      <c r="C36" s="85">
        <v>19</v>
      </c>
      <c r="D36" s="69" t="s">
        <v>11488</v>
      </c>
      <c r="E36" s="77" t="s">
        <v>1971</v>
      </c>
    </row>
    <row r="37" spans="1:8" s="82" customFormat="1" ht="31.5">
      <c r="A37" s="83">
        <v>24</v>
      </c>
      <c r="B37" s="85"/>
      <c r="C37" s="85">
        <v>19</v>
      </c>
      <c r="D37" s="93" t="s">
        <v>11464</v>
      </c>
      <c r="E37" s="77" t="s">
        <v>1971</v>
      </c>
    </row>
    <row r="38" spans="1:8" s="82" customFormat="1">
      <c r="A38" s="83">
        <v>25</v>
      </c>
      <c r="B38" s="85"/>
      <c r="C38" s="85">
        <v>20</v>
      </c>
      <c r="D38" s="93" t="s">
        <v>11397</v>
      </c>
      <c r="E38" s="77" t="s">
        <v>1971</v>
      </c>
    </row>
    <row r="39" spans="1:8" s="82" customFormat="1">
      <c r="A39" s="83">
        <v>26</v>
      </c>
      <c r="B39" s="85"/>
      <c r="C39" s="85">
        <v>21</v>
      </c>
      <c r="D39" s="93" t="s">
        <v>11398</v>
      </c>
      <c r="E39" s="77" t="s">
        <v>1971</v>
      </c>
    </row>
    <row r="40" spans="1:8" s="82" customFormat="1">
      <c r="A40" s="83">
        <v>27</v>
      </c>
      <c r="B40" s="85"/>
      <c r="C40" s="85">
        <v>22</v>
      </c>
      <c r="D40" s="93" t="s">
        <v>11399</v>
      </c>
      <c r="E40" s="77" t="s">
        <v>1971</v>
      </c>
    </row>
    <row r="41" spans="1:8" s="82" customFormat="1">
      <c r="A41" s="83">
        <v>28</v>
      </c>
      <c r="B41" s="85"/>
      <c r="C41" s="85">
        <v>23</v>
      </c>
      <c r="D41" s="93" t="s">
        <v>11400</v>
      </c>
      <c r="E41" s="77" t="s">
        <v>1971</v>
      </c>
    </row>
    <row r="42" spans="1:8" s="91" customFormat="1">
      <c r="A42" s="87">
        <v>29</v>
      </c>
      <c r="B42" s="89"/>
      <c r="C42" s="89">
        <v>24</v>
      </c>
      <c r="D42" s="70" t="s">
        <v>11465</v>
      </c>
      <c r="E42" s="77" t="s">
        <v>1971</v>
      </c>
    </row>
    <row r="43" spans="1:8" s="91" customFormat="1">
      <c r="A43" s="87"/>
      <c r="B43" s="89">
        <v>8</v>
      </c>
      <c r="C43" s="89">
        <v>24</v>
      </c>
      <c r="D43" s="90" t="s">
        <v>11402</v>
      </c>
      <c r="E43" s="77" t="s">
        <v>1971</v>
      </c>
    </row>
    <row r="44" spans="1:8" s="82" customFormat="1">
      <c r="A44" s="83"/>
      <c r="B44" s="85">
        <v>9</v>
      </c>
      <c r="C44" s="71">
        <v>25</v>
      </c>
      <c r="D44" s="69" t="s">
        <v>11403</v>
      </c>
      <c r="E44" s="77" t="s">
        <v>1971</v>
      </c>
    </row>
    <row r="45" spans="1:8" s="82" customFormat="1">
      <c r="A45" s="83"/>
      <c r="B45" s="85">
        <v>10</v>
      </c>
      <c r="C45" s="85">
        <v>26</v>
      </c>
      <c r="D45" s="93" t="s">
        <v>11404</v>
      </c>
      <c r="E45" s="77" t="s">
        <v>1971</v>
      </c>
    </row>
    <row r="46" spans="1:8" s="91" customFormat="1">
      <c r="A46" s="87">
        <v>30</v>
      </c>
      <c r="B46" s="89"/>
      <c r="C46" s="89">
        <v>27</v>
      </c>
      <c r="D46" s="70" t="s">
        <v>11466</v>
      </c>
      <c r="E46" s="77" t="s">
        <v>1971</v>
      </c>
    </row>
    <row r="47" spans="1:8" s="91" customFormat="1" ht="31.5">
      <c r="A47" s="72" t="s">
        <v>1472</v>
      </c>
      <c r="B47" s="89"/>
      <c r="C47" s="89">
        <v>27</v>
      </c>
      <c r="D47" s="73" t="s">
        <v>11467</v>
      </c>
      <c r="E47" s="77" t="s">
        <v>1971</v>
      </c>
    </row>
    <row r="48" spans="1:8" s="91" customFormat="1">
      <c r="A48" s="72" t="s">
        <v>1473</v>
      </c>
      <c r="B48" s="89"/>
      <c r="C48" s="89">
        <v>27</v>
      </c>
      <c r="D48" s="73" t="s">
        <v>1032</v>
      </c>
      <c r="E48" s="77" t="s">
        <v>1971</v>
      </c>
    </row>
    <row r="49" spans="1:5" s="91" customFormat="1">
      <c r="A49" s="72" t="s">
        <v>1474</v>
      </c>
      <c r="B49" s="89"/>
      <c r="C49" s="89">
        <v>28</v>
      </c>
      <c r="D49" s="73" t="s">
        <v>1952</v>
      </c>
      <c r="E49" s="77" t="s">
        <v>1971</v>
      </c>
    </row>
    <row r="50" spans="1:5" s="91" customFormat="1">
      <c r="A50" s="72" t="s">
        <v>1475</v>
      </c>
      <c r="B50" s="89"/>
      <c r="C50" s="89">
        <v>28</v>
      </c>
      <c r="D50" s="73" t="s">
        <v>11468</v>
      </c>
      <c r="E50" s="77" t="s">
        <v>1971</v>
      </c>
    </row>
    <row r="51" spans="1:5" s="91" customFormat="1">
      <c r="A51" s="87"/>
      <c r="B51" s="89">
        <v>11</v>
      </c>
      <c r="C51" s="89">
        <v>28</v>
      </c>
      <c r="D51" s="90" t="s">
        <v>11469</v>
      </c>
      <c r="E51" s="77" t="s">
        <v>1971</v>
      </c>
    </row>
    <row r="52" spans="1:5" s="91" customFormat="1">
      <c r="A52" s="87"/>
      <c r="B52" s="89">
        <v>12</v>
      </c>
      <c r="C52" s="89">
        <v>29</v>
      </c>
      <c r="D52" s="90" t="s">
        <v>11470</v>
      </c>
      <c r="E52" s="77" t="s">
        <v>1971</v>
      </c>
    </row>
    <row r="53" spans="1:5" s="91" customFormat="1">
      <c r="A53" s="87">
        <v>31</v>
      </c>
      <c r="B53" s="89"/>
      <c r="C53" s="89">
        <v>29</v>
      </c>
      <c r="D53" s="70" t="s">
        <v>11471</v>
      </c>
      <c r="E53" s="77" t="s">
        <v>1971</v>
      </c>
    </row>
    <row r="54" spans="1:5" s="91" customFormat="1">
      <c r="A54" s="87">
        <v>32</v>
      </c>
      <c r="B54" s="89"/>
      <c r="C54" s="89">
        <v>30</v>
      </c>
      <c r="D54" s="70" t="s">
        <v>11409</v>
      </c>
      <c r="E54" s="77" t="s">
        <v>1971</v>
      </c>
    </row>
    <row r="55" spans="1:5" s="91" customFormat="1">
      <c r="A55" s="87">
        <v>33</v>
      </c>
      <c r="B55" s="89"/>
      <c r="C55" s="89">
        <v>30</v>
      </c>
      <c r="D55" s="70" t="s">
        <v>11410</v>
      </c>
      <c r="E55" s="77" t="s">
        <v>1971</v>
      </c>
    </row>
    <row r="56" spans="1:5" s="91" customFormat="1">
      <c r="A56" s="87">
        <v>34</v>
      </c>
      <c r="B56" s="89"/>
      <c r="C56" s="89">
        <v>30</v>
      </c>
      <c r="D56" s="90" t="s">
        <v>11411</v>
      </c>
      <c r="E56" s="77" t="s">
        <v>11491</v>
      </c>
    </row>
    <row r="57" spans="1:5" s="91" customFormat="1">
      <c r="A57" s="87"/>
      <c r="B57" s="89">
        <v>13</v>
      </c>
      <c r="C57" s="89">
        <v>31</v>
      </c>
      <c r="D57" s="90" t="s">
        <v>11472</v>
      </c>
      <c r="E57" s="77" t="s">
        <v>1971</v>
      </c>
    </row>
    <row r="58" spans="1:5" s="91" customFormat="1">
      <c r="A58" s="87"/>
      <c r="B58" s="89">
        <v>14</v>
      </c>
      <c r="C58" s="89">
        <v>32</v>
      </c>
      <c r="D58" s="90" t="s">
        <v>11417</v>
      </c>
      <c r="E58" s="77" t="s">
        <v>1971</v>
      </c>
    </row>
    <row r="59" spans="1:5" s="91" customFormat="1">
      <c r="A59" s="87"/>
      <c r="B59" s="89">
        <v>15</v>
      </c>
      <c r="C59" s="89">
        <v>33</v>
      </c>
      <c r="D59" s="90" t="s">
        <v>11418</v>
      </c>
      <c r="E59" s="77" t="s">
        <v>1971</v>
      </c>
    </row>
    <row r="60" spans="1:5" s="91" customFormat="1">
      <c r="A60" s="87"/>
      <c r="B60" s="89">
        <v>16</v>
      </c>
      <c r="C60" s="89">
        <v>34</v>
      </c>
      <c r="D60" s="90" t="s">
        <v>11473</v>
      </c>
      <c r="E60" s="77" t="s">
        <v>1971</v>
      </c>
    </row>
    <row r="61" spans="1:5" s="91" customFormat="1">
      <c r="A61" s="87"/>
      <c r="B61" s="89">
        <v>17</v>
      </c>
      <c r="C61" s="89">
        <v>35</v>
      </c>
      <c r="D61" s="90" t="s">
        <v>11474</v>
      </c>
      <c r="E61" s="77" t="s">
        <v>1971</v>
      </c>
    </row>
    <row r="62" spans="1:5" s="91" customFormat="1">
      <c r="A62" s="87"/>
      <c r="B62" s="89">
        <v>18</v>
      </c>
      <c r="C62" s="89">
        <v>35</v>
      </c>
      <c r="D62" s="90" t="s">
        <v>11475</v>
      </c>
      <c r="E62" s="77" t="s">
        <v>1971</v>
      </c>
    </row>
    <row r="63" spans="1:5" s="91" customFormat="1">
      <c r="A63" s="87"/>
      <c r="B63" s="89">
        <v>19</v>
      </c>
      <c r="C63" s="89">
        <v>36</v>
      </c>
      <c r="D63" s="70" t="s">
        <v>11476</v>
      </c>
      <c r="E63" s="77" t="s">
        <v>1971</v>
      </c>
    </row>
    <row r="64" spans="1:5" s="91" customFormat="1">
      <c r="A64" s="87"/>
      <c r="B64" s="89">
        <v>20</v>
      </c>
      <c r="C64" s="89">
        <v>36</v>
      </c>
      <c r="D64" s="90" t="s">
        <v>11477</v>
      </c>
      <c r="E64" s="77" t="s">
        <v>1971</v>
      </c>
    </row>
    <row r="65" spans="1:5" s="91" customFormat="1">
      <c r="A65" s="87"/>
      <c r="B65" s="89">
        <v>21</v>
      </c>
      <c r="C65" s="89">
        <v>37</v>
      </c>
      <c r="D65" s="90" t="s">
        <v>11478</v>
      </c>
      <c r="E65" s="77" t="s">
        <v>1971</v>
      </c>
    </row>
    <row r="66" spans="1:5" s="91" customFormat="1">
      <c r="A66" s="87"/>
      <c r="B66" s="89">
        <v>22</v>
      </c>
      <c r="C66" s="89">
        <v>37</v>
      </c>
      <c r="D66" s="90" t="s">
        <v>11479</v>
      </c>
      <c r="E66" s="77" t="s">
        <v>1971</v>
      </c>
    </row>
    <row r="67" spans="1:5" s="91" customFormat="1">
      <c r="A67" s="87"/>
      <c r="B67" s="89">
        <v>23</v>
      </c>
      <c r="C67" s="89">
        <v>37</v>
      </c>
      <c r="D67" s="90" t="s">
        <v>11480</v>
      </c>
      <c r="E67" s="77" t="s">
        <v>1971</v>
      </c>
    </row>
    <row r="68" spans="1:5" s="91" customFormat="1">
      <c r="A68" s="87"/>
      <c r="B68" s="89">
        <v>24</v>
      </c>
      <c r="C68" s="89">
        <v>38</v>
      </c>
      <c r="D68" s="90" t="s">
        <v>11428</v>
      </c>
      <c r="E68" s="77" t="s">
        <v>1971</v>
      </c>
    </row>
    <row r="69" spans="1:5" s="91" customFormat="1">
      <c r="A69" s="87"/>
      <c r="B69" s="89">
        <v>25</v>
      </c>
      <c r="C69" s="89">
        <v>38</v>
      </c>
      <c r="D69" s="90" t="s">
        <v>11429</v>
      </c>
      <c r="E69" s="77" t="s">
        <v>1971</v>
      </c>
    </row>
    <row r="70" spans="1:5" s="91" customFormat="1">
      <c r="A70" s="87"/>
      <c r="B70" s="89">
        <v>26</v>
      </c>
      <c r="C70" s="89">
        <v>39</v>
      </c>
      <c r="D70" s="90" t="s">
        <v>11430</v>
      </c>
      <c r="E70" s="77" t="s">
        <v>1971</v>
      </c>
    </row>
    <row r="71" spans="1:5" s="91" customFormat="1">
      <c r="A71" s="87"/>
      <c r="B71" s="89">
        <v>27</v>
      </c>
      <c r="C71" s="89">
        <v>40</v>
      </c>
      <c r="D71" s="73" t="s">
        <v>11431</v>
      </c>
      <c r="E71" s="77" t="s">
        <v>1971</v>
      </c>
    </row>
    <row r="72" spans="1:5" s="91" customFormat="1">
      <c r="A72" s="87">
        <v>35</v>
      </c>
      <c r="B72" s="89"/>
      <c r="C72" s="89">
        <v>41</v>
      </c>
      <c r="D72" s="73" t="s">
        <v>11432</v>
      </c>
      <c r="E72" s="77" t="s">
        <v>1971</v>
      </c>
    </row>
    <row r="73" spans="1:5" s="91" customFormat="1">
      <c r="A73" s="87">
        <v>36</v>
      </c>
      <c r="B73" s="89"/>
      <c r="C73" s="74" t="s">
        <v>1811</v>
      </c>
      <c r="D73" s="73" t="s">
        <v>11433</v>
      </c>
      <c r="E73" s="77" t="s">
        <v>1971</v>
      </c>
    </row>
    <row r="74" spans="1:5" s="91" customFormat="1">
      <c r="A74" s="87">
        <v>37</v>
      </c>
      <c r="B74" s="89"/>
      <c r="C74" s="118" t="s">
        <v>1812</v>
      </c>
      <c r="D74" s="73" t="s">
        <v>11481</v>
      </c>
      <c r="E74" s="77" t="s">
        <v>1971</v>
      </c>
    </row>
    <row r="75" spans="1:5" s="91" customFormat="1">
      <c r="A75" s="87">
        <v>38</v>
      </c>
      <c r="B75" s="89"/>
      <c r="C75" s="89">
        <v>45</v>
      </c>
      <c r="D75" s="73" t="s">
        <v>11435</v>
      </c>
      <c r="E75" s="77" t="s">
        <v>1971</v>
      </c>
    </row>
    <row r="76" spans="1:5" s="91" customFormat="1">
      <c r="A76" s="87"/>
      <c r="B76" s="89">
        <v>28</v>
      </c>
      <c r="C76" s="118" t="s">
        <v>1966</v>
      </c>
      <c r="D76" s="98" t="s">
        <v>11482</v>
      </c>
      <c r="E76" s="77" t="s">
        <v>1971</v>
      </c>
    </row>
    <row r="77" spans="1:5" s="91" customFormat="1">
      <c r="A77" s="87"/>
      <c r="B77" s="89">
        <v>29</v>
      </c>
      <c r="C77" s="118" t="s">
        <v>1967</v>
      </c>
      <c r="D77" s="98" t="s">
        <v>11483</v>
      </c>
      <c r="E77" s="77" t="s">
        <v>1971</v>
      </c>
    </row>
    <row r="78" spans="1:5" s="91" customFormat="1">
      <c r="A78" s="87"/>
      <c r="B78" s="89">
        <v>30</v>
      </c>
      <c r="C78" s="74" t="s">
        <v>1968</v>
      </c>
      <c r="D78" s="98" t="s">
        <v>11484</v>
      </c>
      <c r="E78" s="77" t="s">
        <v>1971</v>
      </c>
    </row>
    <row r="79" spans="1:5" s="91" customFormat="1">
      <c r="A79" s="87"/>
      <c r="B79" s="89">
        <v>31</v>
      </c>
      <c r="C79" s="118" t="s">
        <v>1969</v>
      </c>
      <c r="D79" s="98" t="s">
        <v>11485</v>
      </c>
      <c r="E79" s="77" t="s">
        <v>1971</v>
      </c>
    </row>
    <row r="80" spans="1:5" s="91" customFormat="1" ht="16.5" thickBot="1">
      <c r="A80" s="99"/>
      <c r="B80" s="100">
        <v>32</v>
      </c>
      <c r="C80" s="216" t="s">
        <v>1970</v>
      </c>
      <c r="D80" s="75" t="s">
        <v>11442</v>
      </c>
      <c r="E80" s="133" t="s">
        <v>1971</v>
      </c>
    </row>
  </sheetData>
  <sheetProtection algorithmName="SHA-512" hashValue="6NRJJB/f87uCGun13nkdk/k5fW/mee5Gm+NETWDBO17EG5juYC93A7YPMmbmJ2URhN9J4RwsTw+vYCfndgjKYA==" saltValue="6RJb+jmt3j6Rv1E0a+UOKQ==" spinCount="100000" sheet="1" objects="1" scenarios="1"/>
  <customSheetViews>
    <customSheetView guid="{6EFEFCA0-BF14-457A-85A3-29CBF2A862A5}" scale="90" showGridLines="0" fitToPage="1">
      <pane xSplit="1" ySplit="3" topLeftCell="B4" activePane="bottomRight" state="frozen"/>
      <selection pane="bottomRight" activeCell="C4" sqref="C4"/>
      <pageMargins left="0.25" right="0.25" top="0.2" bottom="0.2" header="0" footer="0.1"/>
      <printOptions horizontalCentered="1" verticalCentered="1"/>
      <pageSetup paperSize="9" scale="10" orientation="portrait" r:id="rId1"/>
    </customSheetView>
  </customSheetViews>
  <mergeCells count="1">
    <mergeCell ref="A2:D2"/>
  </mergeCells>
  <printOptions horizontalCentered="1" verticalCentered="1"/>
  <pageMargins left="0.25" right="0.25" top="0.2" bottom="0.2" header="0" footer="0.1"/>
  <pageSetup paperSize="9" scale="10"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1">
    <tabColor rgb="FFFFFF00"/>
    <pageSetUpPr fitToPage="1"/>
  </sheetPr>
  <dimension ref="A1:AV38"/>
  <sheetViews>
    <sheetView showGridLines="0" topLeftCell="A10" zoomScale="50" zoomScaleNormal="50" zoomScalePageLayoutView="70" workbookViewId="0">
      <selection activeCell="BB33" sqref="BB33"/>
    </sheetView>
  </sheetViews>
  <sheetFormatPr defaultColWidth="9" defaultRowHeight="15.75"/>
  <cols>
    <col min="1" max="1" width="2.125" style="222" customWidth="1"/>
    <col min="2" max="6" width="3.625" style="222" customWidth="1"/>
    <col min="7" max="7" width="5.125" style="222" customWidth="1"/>
    <col min="8" max="48" width="3.625" style="222" customWidth="1"/>
    <col min="49" max="49" width="2.125" style="222" customWidth="1"/>
    <col min="50" max="50" width="7" style="222" customWidth="1"/>
    <col min="51" max="16384" width="9" style="222"/>
  </cols>
  <sheetData>
    <row r="1" spans="1:48" ht="12" customHeight="1"/>
    <row r="2" spans="1:48" ht="21.75" customHeight="1">
      <c r="A2" s="334" t="s">
        <v>11370</v>
      </c>
      <c r="B2" s="305"/>
      <c r="C2" s="305"/>
      <c r="D2" s="305"/>
      <c r="E2" s="305"/>
      <c r="F2" s="305"/>
      <c r="AO2" s="306" t="s">
        <v>5</v>
      </c>
      <c r="AQ2" s="1799">
        <v>304024</v>
      </c>
      <c r="AR2" s="1800"/>
      <c r="AS2" s="1800"/>
      <c r="AT2" s="1800"/>
      <c r="AU2" s="1800"/>
      <c r="AV2" s="1801"/>
    </row>
    <row r="3" spans="1:48" ht="15.75" customHeight="1">
      <c r="B3" s="305"/>
      <c r="C3" s="305"/>
      <c r="D3" s="305"/>
      <c r="E3" s="305"/>
      <c r="F3" s="305"/>
      <c r="AL3" s="306"/>
      <c r="AM3" s="307"/>
      <c r="AN3" s="306"/>
      <c r="AO3" s="306"/>
      <c r="AQ3" s="306"/>
      <c r="AR3" s="306"/>
      <c r="AS3" s="306"/>
      <c r="AT3" s="308"/>
      <c r="AU3" s="307"/>
      <c r="AV3" s="307"/>
    </row>
    <row r="4" spans="1:48" ht="15.75" customHeight="1">
      <c r="B4" s="305"/>
      <c r="C4" s="305"/>
      <c r="D4" s="305"/>
      <c r="E4" s="305"/>
      <c r="F4" s="305"/>
    </row>
    <row r="5" spans="1:48" ht="4.7" customHeight="1"/>
    <row r="6" spans="1:48">
      <c r="B6" s="1802" t="s">
        <v>6</v>
      </c>
      <c r="C6" s="1802"/>
      <c r="D6" s="1802"/>
      <c r="E6" s="1802"/>
      <c r="F6" s="1802"/>
      <c r="G6" s="1802"/>
      <c r="H6" s="1802"/>
      <c r="I6" s="1802"/>
      <c r="J6" s="1802"/>
      <c r="K6" s="1802"/>
      <c r="L6" s="1802"/>
      <c r="M6" s="1802"/>
      <c r="N6" s="1802"/>
      <c r="O6" s="1802"/>
      <c r="P6" s="1802"/>
      <c r="Q6" s="1802"/>
      <c r="R6" s="1802"/>
      <c r="S6" s="1802"/>
      <c r="T6" s="1802"/>
      <c r="U6" s="1802"/>
      <c r="V6" s="1802"/>
      <c r="W6" s="1802"/>
      <c r="X6" s="1802"/>
      <c r="Y6" s="1802"/>
      <c r="Z6" s="1802"/>
      <c r="AA6" s="1802"/>
      <c r="AB6" s="1802"/>
      <c r="AC6" s="1802"/>
      <c r="AD6" s="1802"/>
      <c r="AE6" s="1802"/>
      <c r="AF6" s="1802"/>
      <c r="AG6" s="1802"/>
      <c r="AH6" s="1802"/>
      <c r="AI6" s="1802"/>
      <c r="AJ6" s="1802"/>
      <c r="AK6" s="1802"/>
      <c r="AL6" s="1802"/>
      <c r="AM6" s="1802"/>
      <c r="AN6" s="1802"/>
      <c r="AO6" s="1802"/>
      <c r="AP6" s="1802"/>
      <c r="AQ6" s="1802"/>
      <c r="AR6" s="1802"/>
      <c r="AS6" s="1802"/>
      <c r="AT6" s="1802"/>
      <c r="AU6" s="1802"/>
      <c r="AV6" s="1802"/>
    </row>
    <row r="7" spans="1:48" s="309" customFormat="1">
      <c r="B7" s="1803" t="s">
        <v>7</v>
      </c>
      <c r="C7" s="1803"/>
      <c r="D7" s="1803"/>
      <c r="E7" s="1803"/>
      <c r="F7" s="1803"/>
      <c r="G7" s="1803"/>
      <c r="H7" s="1803"/>
      <c r="I7" s="1803"/>
      <c r="J7" s="1803"/>
      <c r="K7" s="1803"/>
      <c r="L7" s="1803"/>
      <c r="M7" s="1803"/>
      <c r="N7" s="1803"/>
      <c r="O7" s="1803"/>
      <c r="P7" s="1803"/>
      <c r="Q7" s="1803"/>
      <c r="R7" s="1803"/>
      <c r="S7" s="1803"/>
      <c r="T7" s="1803"/>
      <c r="U7" s="1803"/>
      <c r="V7" s="1803"/>
      <c r="W7" s="1803"/>
      <c r="X7" s="1803"/>
      <c r="Y7" s="1803"/>
      <c r="Z7" s="1803"/>
      <c r="AA7" s="1803"/>
      <c r="AB7" s="1803"/>
      <c r="AC7" s="1803"/>
      <c r="AD7" s="1803"/>
      <c r="AE7" s="1803"/>
      <c r="AF7" s="1803"/>
      <c r="AG7" s="1803"/>
      <c r="AH7" s="1803"/>
      <c r="AI7" s="1803"/>
      <c r="AJ7" s="1803"/>
      <c r="AK7" s="1803"/>
      <c r="AL7" s="1803"/>
      <c r="AM7" s="1803"/>
      <c r="AN7" s="1803"/>
      <c r="AO7" s="1803"/>
      <c r="AP7" s="1803"/>
      <c r="AQ7" s="1803"/>
      <c r="AR7" s="1803"/>
      <c r="AS7" s="1803"/>
      <c r="AT7" s="1803"/>
      <c r="AU7" s="1803"/>
      <c r="AV7" s="1803"/>
    </row>
    <row r="8" spans="1:48" s="310" customFormat="1" ht="12.75">
      <c r="B8" s="1804" t="s">
        <v>8</v>
      </c>
      <c r="C8" s="1804"/>
      <c r="D8" s="1804"/>
      <c r="E8" s="1804"/>
      <c r="F8" s="1804"/>
      <c r="G8" s="1804"/>
      <c r="H8" s="1804"/>
      <c r="I8" s="1804"/>
      <c r="J8" s="1804"/>
      <c r="K8" s="1804"/>
      <c r="L8" s="1804"/>
      <c r="M8" s="1804"/>
      <c r="N8" s="1804"/>
      <c r="O8" s="1804"/>
      <c r="P8" s="1804"/>
      <c r="Q8" s="1804"/>
      <c r="R8" s="1804"/>
      <c r="S8" s="1804"/>
      <c r="T8" s="1804"/>
      <c r="U8" s="1804"/>
      <c r="V8" s="1804"/>
      <c r="W8" s="1804"/>
      <c r="X8" s="1804"/>
      <c r="Y8" s="1804"/>
      <c r="Z8" s="1804"/>
      <c r="AA8" s="1804"/>
      <c r="AB8" s="1804"/>
      <c r="AC8" s="1804"/>
      <c r="AD8" s="1804"/>
      <c r="AE8" s="1804"/>
      <c r="AF8" s="1804"/>
      <c r="AG8" s="1804"/>
      <c r="AH8" s="1804"/>
      <c r="AI8" s="1804"/>
      <c r="AJ8" s="1804"/>
      <c r="AK8" s="1804"/>
      <c r="AL8" s="1804"/>
      <c r="AM8" s="1804"/>
      <c r="AN8" s="1804"/>
      <c r="AO8" s="1804"/>
      <c r="AP8" s="1804"/>
      <c r="AQ8" s="1804"/>
      <c r="AR8" s="1804"/>
      <c r="AS8" s="1804"/>
      <c r="AT8" s="1804"/>
      <c r="AU8" s="1804"/>
      <c r="AV8" s="1804"/>
    </row>
    <row r="9" spans="1:48" s="311" customFormat="1" ht="15">
      <c r="B9" s="1805" t="s">
        <v>9</v>
      </c>
      <c r="C9" s="1805"/>
      <c r="D9" s="1805"/>
      <c r="E9" s="1805"/>
      <c r="F9" s="1805"/>
      <c r="G9" s="1805"/>
      <c r="H9" s="1805"/>
      <c r="I9" s="1805"/>
      <c r="J9" s="1805"/>
      <c r="K9" s="1805"/>
      <c r="L9" s="1805"/>
      <c r="M9" s="1805"/>
      <c r="N9" s="1805"/>
      <c r="O9" s="1805"/>
      <c r="P9" s="1805"/>
      <c r="Q9" s="1805"/>
      <c r="R9" s="1805"/>
      <c r="S9" s="1805"/>
      <c r="T9" s="1805"/>
      <c r="U9" s="1805"/>
      <c r="V9" s="1805"/>
      <c r="W9" s="1805"/>
      <c r="X9" s="1805"/>
      <c r="Y9" s="1805"/>
      <c r="Z9" s="1805"/>
      <c r="AA9" s="1805"/>
      <c r="AB9" s="1805"/>
      <c r="AC9" s="1805"/>
      <c r="AD9" s="1805"/>
      <c r="AE9" s="1805"/>
      <c r="AF9" s="1805"/>
      <c r="AG9" s="1805"/>
      <c r="AH9" s="1805"/>
      <c r="AI9" s="1805"/>
      <c r="AJ9" s="1805"/>
      <c r="AK9" s="1805"/>
      <c r="AL9" s="1805"/>
      <c r="AM9" s="1805"/>
      <c r="AN9" s="1805"/>
      <c r="AO9" s="1805"/>
      <c r="AP9" s="1805"/>
      <c r="AQ9" s="1805"/>
      <c r="AR9" s="1805"/>
      <c r="AS9" s="1805"/>
      <c r="AT9" s="1805"/>
      <c r="AU9" s="1805"/>
      <c r="AV9" s="1805"/>
    </row>
    <row r="10" spans="1:48" s="309" customFormat="1" ht="9" customHeight="1">
      <c r="C10" s="312"/>
      <c r="D10" s="312"/>
      <c r="E10" s="312"/>
      <c r="F10" s="312"/>
      <c r="G10" s="312"/>
      <c r="H10" s="312"/>
      <c r="I10" s="312"/>
      <c r="J10" s="312"/>
      <c r="K10" s="312"/>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c r="AS10" s="312"/>
      <c r="AT10" s="312"/>
      <c r="AU10" s="312"/>
      <c r="AV10" s="312"/>
    </row>
    <row r="11" spans="1:48" s="313" customFormat="1" ht="25.5">
      <c r="B11" s="1814" t="s">
        <v>10</v>
      </c>
      <c r="C11" s="1814"/>
      <c r="D11" s="1814"/>
      <c r="E11" s="1814"/>
      <c r="F11" s="1814"/>
      <c r="G11" s="1814"/>
      <c r="H11" s="1814"/>
      <c r="I11" s="1814"/>
      <c r="J11" s="1814"/>
      <c r="K11" s="1814"/>
      <c r="L11" s="1814"/>
      <c r="M11" s="1814"/>
      <c r="N11" s="1814"/>
      <c r="O11" s="1814"/>
      <c r="P11" s="1814"/>
      <c r="Q11" s="1814"/>
      <c r="R11" s="1814"/>
      <c r="S11" s="1814"/>
      <c r="T11" s="1814"/>
      <c r="U11" s="1814"/>
      <c r="V11" s="1814"/>
      <c r="W11" s="1814"/>
      <c r="X11" s="1814"/>
      <c r="Y11" s="1814"/>
      <c r="Z11" s="1814"/>
      <c r="AA11" s="1814"/>
      <c r="AB11" s="1814"/>
      <c r="AC11" s="1814"/>
      <c r="AD11" s="1814"/>
      <c r="AE11" s="1814"/>
      <c r="AF11" s="1814"/>
      <c r="AG11" s="1814"/>
      <c r="AH11" s="1814"/>
      <c r="AI11" s="1814"/>
      <c r="AJ11" s="1814"/>
      <c r="AK11" s="1814"/>
      <c r="AL11" s="1814"/>
      <c r="AM11" s="1814"/>
      <c r="AN11" s="1814"/>
      <c r="AO11" s="1814"/>
      <c r="AP11" s="1814"/>
      <c r="AQ11" s="1814"/>
      <c r="AR11" s="1814"/>
      <c r="AS11" s="1814"/>
      <c r="AT11" s="1814"/>
      <c r="AU11" s="1814"/>
      <c r="AV11" s="1814"/>
    </row>
    <row r="12" spans="1:48" ht="9" customHeight="1"/>
    <row r="13" spans="1:48" s="304" customFormat="1" ht="31.7" customHeight="1">
      <c r="B13" s="314"/>
      <c r="C13" s="1815" t="s">
        <v>11</v>
      </c>
      <c r="D13" s="1815"/>
      <c r="E13" s="1815"/>
      <c r="F13" s="1815"/>
      <c r="G13" s="1815"/>
      <c r="H13" s="1815"/>
      <c r="I13" s="1815"/>
      <c r="J13" s="1815"/>
      <c r="K13" s="1815"/>
      <c r="L13" s="1815"/>
      <c r="M13" s="1815"/>
      <c r="N13" s="1815"/>
      <c r="O13" s="1815"/>
      <c r="P13" s="1815"/>
      <c r="Q13" s="1815"/>
      <c r="R13" s="1815"/>
      <c r="S13" s="1815"/>
      <c r="T13" s="1815"/>
      <c r="U13" s="1815"/>
      <c r="V13" s="1815"/>
      <c r="W13" s="1815"/>
      <c r="X13" s="1815"/>
      <c r="Y13" s="1815"/>
      <c r="Z13" s="1815"/>
      <c r="AA13" s="1815"/>
      <c r="AB13" s="1815"/>
      <c r="AC13" s="1815"/>
      <c r="AD13" s="1815"/>
      <c r="AE13" s="1815"/>
      <c r="AF13" s="1815"/>
      <c r="AG13" s="1815"/>
      <c r="AH13" s="1815"/>
      <c r="AI13" s="1815"/>
      <c r="AJ13" s="1815"/>
      <c r="AK13" s="1815"/>
      <c r="AL13" s="1815"/>
      <c r="AM13" s="1815"/>
      <c r="AN13" s="1815"/>
      <c r="AO13" s="1815"/>
      <c r="AP13" s="1815"/>
      <c r="AQ13" s="1815"/>
      <c r="AR13" s="1815"/>
      <c r="AS13" s="1815"/>
      <c r="AT13" s="1815"/>
      <c r="AU13" s="1815"/>
      <c r="AV13" s="1816"/>
    </row>
    <row r="14" spans="1:48" s="304" customFormat="1" ht="31.7" customHeight="1">
      <c r="B14" s="315"/>
      <c r="C14" s="1817" t="s">
        <v>1033</v>
      </c>
      <c r="D14" s="1817"/>
      <c r="E14" s="1817"/>
      <c r="F14" s="1817"/>
      <c r="G14" s="1817"/>
      <c r="H14" s="1817"/>
      <c r="I14" s="1817"/>
      <c r="J14" s="1817"/>
      <c r="K14" s="1817"/>
      <c r="L14" s="1817"/>
      <c r="M14" s="1817"/>
      <c r="N14" s="1817"/>
      <c r="O14" s="1817"/>
      <c r="P14" s="1817"/>
      <c r="Q14" s="1817"/>
      <c r="R14" s="1817"/>
      <c r="S14" s="1817"/>
      <c r="T14" s="1817"/>
      <c r="U14" s="1817"/>
      <c r="V14" s="1817"/>
      <c r="W14" s="1817"/>
      <c r="X14" s="1817"/>
      <c r="Y14" s="1817"/>
      <c r="Z14" s="1817"/>
      <c r="AA14" s="1817"/>
      <c r="AB14" s="1817"/>
      <c r="AC14" s="1817"/>
      <c r="AD14" s="1817"/>
      <c r="AE14" s="1817"/>
      <c r="AF14" s="1817"/>
      <c r="AG14" s="1817"/>
      <c r="AH14" s="1817"/>
      <c r="AI14" s="1817"/>
      <c r="AJ14" s="1817"/>
      <c r="AK14" s="1817"/>
      <c r="AL14" s="1817"/>
      <c r="AM14" s="1817"/>
      <c r="AN14" s="1817"/>
      <c r="AO14" s="1817"/>
      <c r="AP14" s="1817"/>
      <c r="AQ14" s="1817"/>
      <c r="AR14" s="1817"/>
      <c r="AS14" s="1817"/>
      <c r="AT14" s="1817"/>
      <c r="AU14" s="1817"/>
      <c r="AV14" s="316"/>
    </row>
    <row r="15" spans="1:48" s="304" customFormat="1" ht="31.7" customHeight="1">
      <c r="B15" s="315"/>
      <c r="C15" s="1817" t="s">
        <v>1034</v>
      </c>
      <c r="D15" s="1817"/>
      <c r="E15" s="1817"/>
      <c r="F15" s="1817"/>
      <c r="G15" s="1817"/>
      <c r="H15" s="1817"/>
      <c r="I15" s="1817"/>
      <c r="J15" s="1817"/>
      <c r="K15" s="1817"/>
      <c r="L15" s="1817"/>
      <c r="M15" s="1817"/>
      <c r="N15" s="1817"/>
      <c r="O15" s="1817"/>
      <c r="P15" s="1817"/>
      <c r="Q15" s="1817"/>
      <c r="R15" s="1817"/>
      <c r="S15" s="1817"/>
      <c r="T15" s="1817"/>
      <c r="U15" s="1817"/>
      <c r="V15" s="1817"/>
      <c r="W15" s="1817"/>
      <c r="X15" s="1817"/>
      <c r="Y15" s="1817"/>
      <c r="Z15" s="1817"/>
      <c r="AA15" s="1817"/>
      <c r="AB15" s="1817"/>
      <c r="AC15" s="1817"/>
      <c r="AD15" s="1817"/>
      <c r="AE15" s="1817"/>
      <c r="AF15" s="1817"/>
      <c r="AG15" s="1817"/>
      <c r="AH15" s="1817"/>
      <c r="AI15" s="1817"/>
      <c r="AJ15" s="1817"/>
      <c r="AK15" s="1817"/>
      <c r="AL15" s="1817"/>
      <c r="AM15" s="1817"/>
      <c r="AN15" s="1817"/>
      <c r="AO15" s="1817"/>
      <c r="AP15" s="1817"/>
      <c r="AQ15" s="1817"/>
      <c r="AR15" s="1817"/>
      <c r="AS15" s="1817"/>
      <c r="AT15" s="1817"/>
      <c r="AU15" s="1817"/>
      <c r="AV15" s="316"/>
    </row>
    <row r="16" spans="1:48" s="304" customFormat="1" ht="41.25" customHeight="1">
      <c r="B16" s="317"/>
      <c r="C16" s="1818" t="s">
        <v>11364</v>
      </c>
      <c r="D16" s="1818"/>
      <c r="E16" s="1818"/>
      <c r="F16" s="1818"/>
      <c r="G16" s="1818"/>
      <c r="H16" s="1818"/>
      <c r="I16" s="1818"/>
      <c r="J16" s="1818"/>
      <c r="K16" s="1818"/>
      <c r="L16" s="1818"/>
      <c r="M16" s="1818"/>
      <c r="N16" s="1818"/>
      <c r="O16" s="1818"/>
      <c r="P16" s="1818"/>
      <c r="Q16" s="1818"/>
      <c r="R16" s="1818"/>
      <c r="S16" s="1818"/>
      <c r="T16" s="1818"/>
      <c r="U16" s="1818"/>
      <c r="V16" s="1818"/>
      <c r="W16" s="1818"/>
      <c r="X16" s="1818"/>
      <c r="Y16" s="1818"/>
      <c r="Z16" s="1818"/>
      <c r="AA16" s="1818"/>
      <c r="AB16" s="1818"/>
      <c r="AC16" s="1818"/>
      <c r="AD16" s="1818"/>
      <c r="AE16" s="1818"/>
      <c r="AF16" s="1818"/>
      <c r="AG16" s="1818"/>
      <c r="AH16" s="1818"/>
      <c r="AI16" s="1818"/>
      <c r="AJ16" s="1818"/>
      <c r="AK16" s="1818"/>
      <c r="AL16" s="1818"/>
      <c r="AM16" s="1818"/>
      <c r="AN16" s="1818"/>
      <c r="AO16" s="1818"/>
      <c r="AP16" s="1818"/>
      <c r="AQ16" s="1818"/>
      <c r="AR16" s="1818"/>
      <c r="AS16" s="1818"/>
      <c r="AT16" s="1818"/>
      <c r="AU16" s="1818"/>
      <c r="AV16" s="318"/>
    </row>
    <row r="17" spans="2:48" ht="7.5" customHeight="1"/>
    <row r="18" spans="2:48">
      <c r="B18" s="1813" t="s">
        <v>4</v>
      </c>
      <c r="C18" s="1813"/>
      <c r="D18" s="1813"/>
      <c r="E18" s="1813"/>
      <c r="F18" s="1813"/>
      <c r="G18" s="1813"/>
      <c r="H18" s="1813"/>
      <c r="I18" s="1813"/>
      <c r="J18" s="1813"/>
      <c r="K18" s="1813"/>
      <c r="L18" s="1813"/>
      <c r="M18" s="1813"/>
      <c r="N18" s="1813"/>
      <c r="O18" s="1813"/>
      <c r="P18" s="1813"/>
      <c r="Q18" s="1813"/>
      <c r="R18" s="1813"/>
      <c r="S18" s="1813"/>
      <c r="T18" s="1813"/>
      <c r="U18" s="1813"/>
      <c r="V18" s="1813"/>
      <c r="W18" s="1813"/>
      <c r="X18" s="1813"/>
      <c r="Y18" s="1813"/>
      <c r="Z18" s="1813"/>
      <c r="AA18" s="1813"/>
      <c r="AB18" s="1813"/>
      <c r="AC18" s="1813"/>
      <c r="AD18" s="1813"/>
      <c r="AE18" s="1813"/>
      <c r="AF18" s="1813"/>
      <c r="AG18" s="1813"/>
      <c r="AH18" s="1813"/>
      <c r="AI18" s="1813"/>
      <c r="AJ18" s="1813"/>
      <c r="AK18" s="1813"/>
      <c r="AL18" s="1813"/>
      <c r="AM18" s="1813"/>
      <c r="AN18" s="1813"/>
      <c r="AO18" s="1813"/>
      <c r="AP18" s="1813"/>
      <c r="AQ18" s="1813"/>
      <c r="AR18" s="1813"/>
      <c r="AS18" s="1813"/>
      <c r="AT18" s="1813"/>
      <c r="AU18" s="1813"/>
      <c r="AV18" s="1813"/>
    </row>
    <row r="19" spans="2:48">
      <c r="B19" s="1813" t="s">
        <v>11369</v>
      </c>
      <c r="C19" s="1813"/>
      <c r="D19" s="1813"/>
      <c r="E19" s="1813"/>
      <c r="F19" s="1813"/>
      <c r="G19" s="1813"/>
      <c r="H19" s="1813"/>
      <c r="I19" s="1813"/>
      <c r="J19" s="1813"/>
      <c r="K19" s="1813"/>
      <c r="L19" s="1813"/>
      <c r="M19" s="1813"/>
      <c r="N19" s="1813"/>
      <c r="O19" s="1813"/>
      <c r="P19" s="1813"/>
      <c r="Q19" s="1813"/>
      <c r="R19" s="1813"/>
      <c r="S19" s="1813"/>
      <c r="T19" s="1813"/>
      <c r="U19" s="1813"/>
      <c r="V19" s="1813"/>
      <c r="W19" s="1813"/>
      <c r="X19" s="1813"/>
      <c r="Y19" s="1813"/>
      <c r="Z19" s="1813"/>
      <c r="AA19" s="1813"/>
      <c r="AB19" s="1813"/>
      <c r="AC19" s="1813"/>
      <c r="AD19" s="1813"/>
      <c r="AE19" s="1813"/>
      <c r="AF19" s="1813"/>
      <c r="AG19" s="1813"/>
      <c r="AH19" s="1813"/>
      <c r="AI19" s="1813"/>
      <c r="AJ19" s="1813"/>
      <c r="AK19" s="1813"/>
      <c r="AL19" s="1813"/>
      <c r="AM19" s="1813"/>
      <c r="AN19" s="1813"/>
      <c r="AO19" s="1813"/>
      <c r="AP19" s="1813"/>
      <c r="AQ19" s="1813"/>
      <c r="AR19" s="1813"/>
      <c r="AS19" s="1813"/>
      <c r="AT19" s="1813"/>
      <c r="AU19" s="1813"/>
      <c r="AV19" s="1813"/>
    </row>
    <row r="20" spans="2:48" ht="7.5" customHeight="1"/>
    <row r="21" spans="2:48" ht="24.95" customHeight="1">
      <c r="B21" s="223" t="s">
        <v>12</v>
      </c>
      <c r="F21" s="319" t="s">
        <v>13</v>
      </c>
      <c r="G21" s="1809" t="s">
        <v>11890</v>
      </c>
      <c r="H21" s="1809"/>
      <c r="I21" s="1809"/>
      <c r="J21" s="1809"/>
      <c r="K21" s="1809"/>
      <c r="L21" s="1809"/>
      <c r="M21" s="1809"/>
      <c r="N21" s="1809"/>
      <c r="O21" s="1809"/>
      <c r="P21" s="1809"/>
      <c r="Q21" s="1809"/>
      <c r="R21" s="1809"/>
      <c r="S21" s="1809"/>
      <c r="T21" s="1809"/>
      <c r="U21" s="1809"/>
      <c r="AA21" s="223" t="s">
        <v>14</v>
      </c>
      <c r="AG21" s="223" t="s">
        <v>13</v>
      </c>
      <c r="AH21" s="1808" t="s">
        <v>1988</v>
      </c>
      <c r="AI21" s="1808"/>
      <c r="AJ21" s="1808"/>
      <c r="AK21" s="1808"/>
      <c r="AL21" s="1808"/>
      <c r="AM21" s="1808"/>
      <c r="AN21" s="1808"/>
      <c r="AO21" s="1808"/>
      <c r="AP21" s="1808"/>
      <c r="AQ21" s="1808"/>
      <c r="AR21" s="1808"/>
      <c r="AS21" s="1808"/>
      <c r="AT21" s="1808"/>
      <c r="AU21" s="1808"/>
      <c r="AV21" s="1808"/>
    </row>
    <row r="22" spans="2:48" ht="24.95" customHeight="1">
      <c r="B22" s="223"/>
      <c r="F22" s="319"/>
      <c r="G22" s="1807" t="s">
        <v>15</v>
      </c>
      <c r="H22" s="1807"/>
      <c r="I22" s="1807"/>
      <c r="J22" s="1807"/>
      <c r="K22" s="1807"/>
      <c r="L22" s="1807"/>
      <c r="M22" s="1807"/>
      <c r="N22" s="1807"/>
      <c r="O22" s="1807"/>
      <c r="P22" s="1807"/>
      <c r="Q22" s="1807"/>
      <c r="R22" s="1807"/>
      <c r="S22" s="1807"/>
      <c r="T22" s="1807"/>
      <c r="U22" s="1807"/>
      <c r="AA22" s="223" t="s">
        <v>16</v>
      </c>
      <c r="AG22" s="223" t="s">
        <v>13</v>
      </c>
      <c r="AH22" s="1808" t="s">
        <v>2138</v>
      </c>
      <c r="AI22" s="1808"/>
      <c r="AJ22" s="1808"/>
      <c r="AK22" s="1808"/>
      <c r="AL22" s="1808"/>
      <c r="AM22" s="1808"/>
      <c r="AN22" s="1808"/>
      <c r="AO22" s="1808"/>
      <c r="AP22" s="1808"/>
      <c r="AQ22" s="1808"/>
      <c r="AR22" s="1808"/>
      <c r="AS22" s="1808"/>
      <c r="AT22" s="1808"/>
      <c r="AU22" s="1808"/>
      <c r="AV22" s="1808"/>
    </row>
    <row r="23" spans="2:48" ht="24.95" customHeight="1">
      <c r="B23" s="223"/>
      <c r="F23" s="319"/>
      <c r="G23" s="1809" t="s">
        <v>11891</v>
      </c>
      <c r="H23" s="1809"/>
      <c r="I23" s="1809"/>
      <c r="J23" s="1809"/>
      <c r="K23" s="1809"/>
      <c r="L23" s="1809"/>
      <c r="M23" s="1809"/>
      <c r="N23" s="1809"/>
      <c r="O23" s="1809"/>
      <c r="P23" s="1809"/>
      <c r="Q23" s="1809"/>
      <c r="R23" s="1809"/>
      <c r="S23" s="1809"/>
      <c r="T23" s="1809"/>
      <c r="U23" s="1809"/>
      <c r="AA23" s="223" t="s">
        <v>17</v>
      </c>
      <c r="AG23" s="223" t="s">
        <v>13</v>
      </c>
      <c r="AH23" s="1808" t="s">
        <v>2232</v>
      </c>
      <c r="AI23" s="1808"/>
      <c r="AJ23" s="1808"/>
      <c r="AK23" s="1808"/>
      <c r="AL23" s="1808"/>
      <c r="AM23" s="1808"/>
      <c r="AN23" s="1808"/>
      <c r="AO23" s="1808"/>
      <c r="AP23" s="1808"/>
      <c r="AQ23" s="1808"/>
      <c r="AR23" s="1808"/>
      <c r="AS23" s="1808"/>
      <c r="AT23" s="1808"/>
      <c r="AU23" s="1808"/>
      <c r="AV23" s="1808"/>
    </row>
    <row r="24" spans="2:48" ht="24.95" customHeight="1">
      <c r="B24" s="223"/>
      <c r="F24" s="319"/>
      <c r="G24" s="1807" t="s">
        <v>18</v>
      </c>
      <c r="H24" s="1807"/>
      <c r="I24" s="1807"/>
      <c r="J24" s="1807"/>
      <c r="K24" s="1807"/>
      <c r="L24" s="1807"/>
      <c r="M24" s="1807"/>
      <c r="N24" s="1807"/>
      <c r="O24" s="1807"/>
      <c r="P24" s="1807"/>
      <c r="Q24" s="1807"/>
      <c r="R24" s="1807"/>
      <c r="S24" s="1807"/>
      <c r="T24" s="1807"/>
      <c r="U24" s="1807"/>
      <c r="AA24" s="223" t="s">
        <v>19</v>
      </c>
      <c r="AG24" s="223" t="s">
        <v>13</v>
      </c>
      <c r="AH24" s="1808" t="s">
        <v>11926</v>
      </c>
      <c r="AI24" s="1808"/>
      <c r="AJ24" s="1808"/>
      <c r="AK24" s="1808"/>
      <c r="AL24" s="1808"/>
      <c r="AM24" s="1808"/>
      <c r="AN24" s="1808"/>
      <c r="AO24" s="1808"/>
      <c r="AP24" s="1808"/>
      <c r="AQ24" s="1808"/>
      <c r="AR24" s="1808"/>
      <c r="AS24" s="1808"/>
      <c r="AT24" s="1808"/>
      <c r="AU24" s="1808"/>
      <c r="AV24" s="1808"/>
    </row>
    <row r="25" spans="2:48" ht="24.95" customHeight="1">
      <c r="B25" s="223" t="s">
        <v>20</v>
      </c>
      <c r="F25" s="319" t="s">
        <v>13</v>
      </c>
      <c r="G25" s="1780"/>
      <c r="H25" s="320"/>
      <c r="I25" s="1809" t="s">
        <v>11925</v>
      </c>
      <c r="J25" s="1809"/>
      <c r="K25" s="1809"/>
      <c r="L25" s="1809"/>
      <c r="M25" s="320"/>
      <c r="N25" s="1809" t="s">
        <v>11892</v>
      </c>
      <c r="O25" s="1809"/>
      <c r="P25" s="1809"/>
      <c r="Q25" s="1809"/>
      <c r="R25" s="1809"/>
      <c r="S25" s="1809"/>
      <c r="T25" s="1809"/>
      <c r="U25" s="1809"/>
      <c r="AA25" s="223" t="s">
        <v>21</v>
      </c>
      <c r="AG25" s="223" t="s">
        <v>13</v>
      </c>
      <c r="AH25" s="1808">
        <v>9609006095</v>
      </c>
      <c r="AI25" s="1808"/>
      <c r="AJ25" s="1808"/>
      <c r="AK25" s="1808"/>
      <c r="AL25" s="1808"/>
      <c r="AM25" s="1808"/>
      <c r="AN25" s="1808"/>
      <c r="AO25" s="1808"/>
      <c r="AP25" s="1808"/>
      <c r="AQ25" s="1808"/>
      <c r="AR25" s="1808"/>
      <c r="AS25" s="1808"/>
      <c r="AT25" s="1808"/>
      <c r="AU25" s="1808"/>
      <c r="AV25" s="1808"/>
    </row>
    <row r="26" spans="2:48" ht="24.95" customHeight="1">
      <c r="B26" s="309"/>
      <c r="F26" s="320"/>
      <c r="G26" s="321" t="s">
        <v>22</v>
      </c>
      <c r="H26" s="281"/>
      <c r="I26" s="1807" t="s">
        <v>23</v>
      </c>
      <c r="J26" s="1807"/>
      <c r="K26" s="1807"/>
      <c r="L26" s="1807"/>
      <c r="M26" s="322"/>
      <c r="N26" s="1807" t="s">
        <v>24</v>
      </c>
      <c r="O26" s="1807"/>
      <c r="P26" s="1807"/>
      <c r="Q26" s="1807"/>
      <c r="R26" s="1807"/>
      <c r="S26" s="1807"/>
      <c r="T26" s="1807"/>
      <c r="U26" s="1807"/>
      <c r="AA26" s="223" t="s">
        <v>25</v>
      </c>
      <c r="AG26" s="223" t="s">
        <v>13</v>
      </c>
      <c r="AH26" s="1808" t="s">
        <v>11895</v>
      </c>
      <c r="AI26" s="1808"/>
      <c r="AJ26" s="1808"/>
      <c r="AK26" s="1808"/>
      <c r="AL26" s="1808"/>
      <c r="AM26" s="1808"/>
      <c r="AN26" s="1808"/>
      <c r="AO26" s="1808"/>
      <c r="AP26" s="1808"/>
      <c r="AQ26" s="1808"/>
      <c r="AR26" s="1808"/>
      <c r="AS26" s="1808"/>
      <c r="AT26" s="1808"/>
      <c r="AU26" s="1808"/>
      <c r="AV26" s="1808"/>
    </row>
    <row r="27" spans="2:48" ht="24.95" customHeight="1">
      <c r="G27" s="1809" t="s">
        <v>11893</v>
      </c>
      <c r="H27" s="1809"/>
      <c r="I27" s="1809"/>
      <c r="J27" s="1809"/>
      <c r="K27" s="1809"/>
      <c r="L27" s="1809"/>
      <c r="M27" s="320"/>
      <c r="N27" s="1809" t="s">
        <v>11894</v>
      </c>
      <c r="O27" s="1809"/>
      <c r="P27" s="1809"/>
      <c r="Q27" s="1809"/>
      <c r="R27" s="1809"/>
      <c r="S27" s="320"/>
      <c r="T27" s="1809">
        <v>7206</v>
      </c>
      <c r="U27" s="1809"/>
      <c r="AA27" s="223" t="s">
        <v>26</v>
      </c>
      <c r="AG27" s="223" t="s">
        <v>13</v>
      </c>
      <c r="AH27" s="1808" t="s">
        <v>11895</v>
      </c>
      <c r="AI27" s="1808"/>
      <c r="AJ27" s="1808"/>
      <c r="AK27" s="1808"/>
      <c r="AL27" s="1808"/>
      <c r="AM27" s="1808"/>
      <c r="AN27" s="1808"/>
      <c r="AO27" s="1808"/>
      <c r="AP27" s="1808"/>
      <c r="AQ27" s="1808"/>
      <c r="AR27" s="1808"/>
      <c r="AS27" s="1808"/>
      <c r="AT27" s="1808"/>
      <c r="AU27" s="1808"/>
      <c r="AV27" s="1808"/>
    </row>
    <row r="28" spans="2:48" ht="24.95" customHeight="1">
      <c r="G28" s="1807" t="s">
        <v>27</v>
      </c>
      <c r="H28" s="1807"/>
      <c r="I28" s="1807"/>
      <c r="J28" s="1807"/>
      <c r="K28" s="1807"/>
      <c r="L28" s="1807"/>
      <c r="M28" s="322"/>
      <c r="N28" s="1807" t="s">
        <v>28</v>
      </c>
      <c r="O28" s="1807"/>
      <c r="P28" s="1807"/>
      <c r="Q28" s="1807"/>
      <c r="R28" s="1807"/>
      <c r="T28" s="1807" t="s">
        <v>29</v>
      </c>
      <c r="U28" s="1807"/>
      <c r="AA28" s="223" t="s">
        <v>30</v>
      </c>
      <c r="AG28" s="223" t="s">
        <v>13</v>
      </c>
      <c r="AH28" s="1808" t="s">
        <v>11927</v>
      </c>
      <c r="AI28" s="1808"/>
      <c r="AJ28" s="1808"/>
      <c r="AK28" s="1808"/>
      <c r="AL28" s="1808"/>
      <c r="AM28" s="1808"/>
      <c r="AN28" s="1808"/>
      <c r="AO28" s="1808"/>
      <c r="AP28" s="1808"/>
      <c r="AQ28" s="1808"/>
      <c r="AR28" s="1808"/>
      <c r="AS28" s="1808"/>
      <c r="AT28" s="1808"/>
      <c r="AU28" s="1808"/>
      <c r="AV28" s="1808"/>
    </row>
    <row r="29" spans="2:48" ht="24.95" customHeight="1">
      <c r="B29" s="323" t="s">
        <v>1976</v>
      </c>
      <c r="C29" s="324"/>
      <c r="D29" s="324"/>
      <c r="E29" s="324"/>
      <c r="F29" s="324"/>
      <c r="G29" s="324"/>
      <c r="H29" s="324"/>
      <c r="I29" s="324"/>
      <c r="J29" s="321"/>
      <c r="K29" s="321"/>
      <c r="L29" s="325"/>
      <c r="M29" s="321"/>
      <c r="N29" s="326"/>
      <c r="O29" s="321"/>
      <c r="P29" s="321"/>
      <c r="Q29" s="321"/>
      <c r="R29" s="327"/>
      <c r="S29" s="321"/>
      <c r="T29" s="321"/>
      <c r="AA29" s="223" t="s">
        <v>1241</v>
      </c>
      <c r="AG29" s="223" t="s">
        <v>13</v>
      </c>
      <c r="AH29" s="1808">
        <v>2016</v>
      </c>
      <c r="AI29" s="1808"/>
      <c r="AJ29" s="1808"/>
      <c r="AK29" s="1808"/>
      <c r="AL29" s="1808"/>
      <c r="AM29" s="1808"/>
      <c r="AN29" s="1808"/>
      <c r="AO29" s="1808"/>
      <c r="AP29" s="1808"/>
      <c r="AQ29" s="1808"/>
      <c r="AR29" s="1808"/>
      <c r="AS29" s="1808"/>
      <c r="AT29" s="1808"/>
      <c r="AU29" s="1808"/>
      <c r="AV29" s="1808"/>
    </row>
    <row r="30" spans="2:48" ht="24.95" customHeight="1">
      <c r="B30" s="224"/>
      <c r="C30" s="246" t="b">
        <v>0</v>
      </c>
      <c r="D30" s="328" t="s">
        <v>1833</v>
      </c>
      <c r="E30" s="329"/>
      <c r="J30" s="324"/>
      <c r="K30" s="324"/>
      <c r="L30" s="324"/>
      <c r="M30" s="324"/>
      <c r="N30" s="324"/>
      <c r="O30" s="324"/>
      <c r="P30" s="324"/>
      <c r="Q30" s="324"/>
      <c r="R30" s="1806"/>
      <c r="S30" s="1806"/>
      <c r="T30" s="1806"/>
      <c r="U30" s="1806"/>
      <c r="V30" s="1806"/>
      <c r="W30" s="1806"/>
      <c r="X30" s="1806"/>
      <c r="Y30" s="328" t="s">
        <v>31</v>
      </c>
      <c r="Z30" s="1699"/>
      <c r="AA30" s="324"/>
      <c r="AB30" s="324"/>
      <c r="AC30" s="324"/>
      <c r="AD30" s="324"/>
      <c r="AE30" s="324"/>
      <c r="AF30" s="324"/>
      <c r="AG30" s="324"/>
      <c r="AH30" s="324"/>
      <c r="AI30" s="324"/>
      <c r="AJ30" s="324"/>
      <c r="AK30" s="329"/>
    </row>
    <row r="31" spans="2:48" ht="24.95" customHeight="1">
      <c r="B31" s="224"/>
      <c r="C31" s="246" t="b">
        <v>0</v>
      </c>
      <c r="D31" s="328" t="s">
        <v>1834</v>
      </c>
      <c r="E31" s="329"/>
      <c r="J31" s="324"/>
      <c r="K31" s="324"/>
      <c r="L31" s="324"/>
      <c r="M31" s="324"/>
      <c r="N31" s="324"/>
      <c r="O31" s="324"/>
      <c r="P31" s="324"/>
      <c r="Q31" s="324"/>
      <c r="R31" s="1700" t="str" cm="1">
        <f t="array" ref="R31">IF(AND(sch_annex_extension_sch=TRUE,ISBLANK(sch_mother_sch_id)), "Please enter Mother School ID.", "")</f>
        <v/>
      </c>
      <c r="S31" s="330"/>
      <c r="T31" s="330"/>
      <c r="U31" s="330"/>
      <c r="V31" s="330"/>
      <c r="W31" s="330"/>
      <c r="X31" s="330"/>
      <c r="Y31" s="328"/>
      <c r="Z31" s="323"/>
      <c r="AA31" s="324"/>
      <c r="AB31" s="324"/>
      <c r="AC31" s="324"/>
      <c r="AD31" s="324"/>
      <c r="AE31" s="324"/>
      <c r="AF31" s="324"/>
      <c r="AG31" s="324"/>
      <c r="AH31" s="324"/>
      <c r="AI31" s="324"/>
      <c r="AJ31" s="324"/>
      <c r="AK31" s="329"/>
    </row>
    <row r="32" spans="2:48" s="224" customFormat="1" ht="24.95" customHeight="1">
      <c r="B32" s="329"/>
      <c r="C32" s="246" t="b">
        <v>1</v>
      </c>
      <c r="D32" s="328" t="s">
        <v>1835</v>
      </c>
      <c r="M32" s="329"/>
      <c r="N32" s="329"/>
      <c r="O32" s="329"/>
      <c r="P32" s="329"/>
      <c r="Q32" s="329"/>
      <c r="R32" s="329"/>
      <c r="S32" s="329"/>
      <c r="T32" s="329"/>
      <c r="U32" s="329"/>
      <c r="V32" s="329"/>
      <c r="W32" s="329"/>
      <c r="X32" s="329"/>
      <c r="Y32" s="329"/>
      <c r="Z32" s="329"/>
      <c r="AA32" s="329"/>
      <c r="AB32" s="329"/>
      <c r="AC32" s="329"/>
      <c r="AD32" s="329"/>
      <c r="AH32" s="329"/>
      <c r="AI32" s="329"/>
      <c r="AJ32" s="329"/>
      <c r="AK32" s="329"/>
      <c r="AL32" s="329"/>
      <c r="AM32" s="329"/>
      <c r="AN32" s="329"/>
      <c r="AO32" s="329"/>
      <c r="AP32" s="329"/>
      <c r="AQ32" s="329"/>
      <c r="AR32" s="329"/>
      <c r="AS32" s="329"/>
      <c r="AT32" s="329"/>
      <c r="AU32" s="329"/>
      <c r="AV32" s="329"/>
    </row>
    <row r="33" spans="2:48" ht="33.75" customHeight="1">
      <c r="AA33" s="331"/>
    </row>
    <row r="34" spans="2:48" s="331" customFormat="1" ht="15">
      <c r="B34" s="332" t="s">
        <v>32</v>
      </c>
      <c r="R34" s="332" t="s">
        <v>33</v>
      </c>
      <c r="AH34" s="333" t="s">
        <v>34</v>
      </c>
    </row>
    <row r="35" spans="2:48" s="331" customFormat="1" ht="21.75" customHeight="1">
      <c r="B35" s="332" t="s">
        <v>35</v>
      </c>
      <c r="E35" s="245" t="s">
        <v>13</v>
      </c>
      <c r="F35" s="1810" t="s">
        <v>11913</v>
      </c>
      <c r="G35" s="1810"/>
      <c r="H35" s="1810"/>
      <c r="I35" s="1810"/>
      <c r="J35" s="1810"/>
      <c r="K35" s="1810"/>
      <c r="L35" s="1810"/>
      <c r="M35" s="1810"/>
      <c r="N35" s="1810"/>
      <c r="O35" s="1810"/>
      <c r="R35" s="1812" t="s">
        <v>11912</v>
      </c>
      <c r="S35" s="1812"/>
      <c r="T35" s="1812"/>
      <c r="U35" s="1812"/>
      <c r="V35" s="1812"/>
      <c r="W35" s="1812"/>
      <c r="X35" s="1812"/>
      <c r="Y35" s="1812"/>
      <c r="Z35" s="1812"/>
      <c r="AA35" s="1812"/>
      <c r="AB35" s="1812"/>
      <c r="AC35" s="1812"/>
      <c r="AD35" s="1812"/>
      <c r="AE35" s="1812"/>
      <c r="AH35" s="333" t="s">
        <v>36</v>
      </c>
      <c r="AL35" s="245"/>
      <c r="AM35" s="1810" t="s">
        <v>11914</v>
      </c>
      <c r="AN35" s="1810"/>
      <c r="AO35" s="1810"/>
      <c r="AP35" s="1810"/>
      <c r="AQ35" s="1810"/>
      <c r="AR35" s="1810"/>
      <c r="AS35" s="1810"/>
      <c r="AT35" s="1810"/>
      <c r="AU35" s="1810"/>
      <c r="AV35" s="1810"/>
    </row>
    <row r="36" spans="2:48" s="334" customFormat="1" ht="15" customHeight="1">
      <c r="B36" s="225"/>
      <c r="E36" s="226"/>
      <c r="F36" s="1811" t="s">
        <v>37</v>
      </c>
      <c r="G36" s="1811"/>
      <c r="H36" s="1811"/>
      <c r="I36" s="1811"/>
      <c r="J36" s="1811"/>
      <c r="K36" s="1811"/>
      <c r="L36" s="1811"/>
      <c r="M36" s="1811"/>
      <c r="N36" s="1811"/>
      <c r="O36" s="1811"/>
      <c r="P36" s="225"/>
      <c r="Q36" s="225"/>
      <c r="R36" s="1810"/>
      <c r="S36" s="1810"/>
      <c r="T36" s="1810"/>
      <c r="U36" s="1810"/>
      <c r="V36" s="1810"/>
      <c r="W36" s="1810"/>
      <c r="X36" s="1810"/>
      <c r="Y36" s="1810"/>
      <c r="Z36" s="1810"/>
      <c r="AA36" s="1810"/>
      <c r="AB36" s="1810"/>
      <c r="AC36" s="1810"/>
      <c r="AD36" s="1810"/>
      <c r="AE36" s="1810"/>
      <c r="AF36" s="225"/>
      <c r="AG36" s="225"/>
      <c r="AH36" s="225"/>
      <c r="AL36" s="226"/>
      <c r="AM36" s="1811" t="s">
        <v>37</v>
      </c>
      <c r="AN36" s="1811"/>
      <c r="AO36" s="1811"/>
      <c r="AP36" s="1811"/>
      <c r="AQ36" s="1811"/>
      <c r="AR36" s="1811"/>
      <c r="AS36" s="1811"/>
      <c r="AT36" s="1811"/>
      <c r="AU36" s="1811"/>
      <c r="AV36" s="1811"/>
    </row>
    <row r="37" spans="2:48" s="331" customFormat="1" ht="21.75" customHeight="1">
      <c r="B37" s="332" t="s">
        <v>38</v>
      </c>
      <c r="E37" s="245" t="s">
        <v>13</v>
      </c>
      <c r="F37" s="1810" t="s">
        <v>11923</v>
      </c>
      <c r="G37" s="1810"/>
      <c r="H37" s="1810"/>
      <c r="I37" s="1810"/>
      <c r="J37" s="1810"/>
      <c r="K37" s="1810"/>
      <c r="L37" s="1810"/>
      <c r="M37" s="1810"/>
      <c r="N37" s="1810"/>
      <c r="O37" s="1810"/>
      <c r="R37" s="1811" t="s">
        <v>37</v>
      </c>
      <c r="S37" s="1811"/>
      <c r="T37" s="1811"/>
      <c r="U37" s="1811"/>
      <c r="V37" s="1811"/>
      <c r="W37" s="1811"/>
      <c r="X37" s="1811"/>
      <c r="Y37" s="1811"/>
      <c r="Z37" s="1811"/>
      <c r="AA37" s="1811"/>
      <c r="AB37" s="1811"/>
      <c r="AC37" s="1811"/>
      <c r="AD37" s="1811"/>
      <c r="AE37" s="1811"/>
      <c r="AH37" s="332" t="s">
        <v>39</v>
      </c>
      <c r="AL37" s="245"/>
      <c r="AM37" s="1810" t="s">
        <v>11896</v>
      </c>
      <c r="AN37" s="1810"/>
      <c r="AO37" s="1810"/>
      <c r="AP37" s="1810"/>
      <c r="AQ37" s="1810"/>
      <c r="AR37" s="1810"/>
      <c r="AS37" s="1810"/>
      <c r="AT37" s="1810"/>
      <c r="AU37" s="1810"/>
      <c r="AV37" s="1810"/>
    </row>
    <row r="38" spans="2:48">
      <c r="AH38" s="222" t="s">
        <v>40</v>
      </c>
    </row>
  </sheetData>
  <sheetProtection algorithmName="SHA-512" hashValue="P7OxZzrTsYvfeazPqhIrsqwER0EwziOZbi5TAWTuy4GE0CNH2oDFXWUgujVnieu6zNqFjkGc9DAW8UllseZlog==" saltValue="/89I1Ad6xgkkd1Q34OFq/w==" spinCount="100000" sheet="1" objects="1" scenarios="1"/>
  <customSheetViews>
    <customSheetView guid="{6EFEFCA0-BF14-457A-85A3-29CBF2A862A5}" scale="50" showGridLines="0" fitToPage="1" topLeftCell="A9">
      <selection activeCell="B9" sqref="B9:AV9"/>
      <pageMargins left="0.39370078740157483" right="0.39370078740157483" top="0.19685039370078741" bottom="0.19685039370078741" header="0" footer="0.11811023622047245"/>
      <printOptions horizontalCentered="1" verticalCentered="1"/>
      <pageSetup paperSize="5" scale="77" orientation="landscape" r:id="rId1"/>
      <headerFooter>
        <oddFooter>&amp;L&amp;F &amp;A&amp;RPage 1 of 61</oddFooter>
      </headerFooter>
    </customSheetView>
  </customSheetViews>
  <mergeCells count="44">
    <mergeCell ref="B11:AV11"/>
    <mergeCell ref="C13:AV13"/>
    <mergeCell ref="C14:AU14"/>
    <mergeCell ref="C15:AU15"/>
    <mergeCell ref="C16:AU16"/>
    <mergeCell ref="B18:AV18"/>
    <mergeCell ref="B19:AV19"/>
    <mergeCell ref="G21:U21"/>
    <mergeCell ref="AH21:AV21"/>
    <mergeCell ref="G22:U22"/>
    <mergeCell ref="AH22:AV22"/>
    <mergeCell ref="G23:U23"/>
    <mergeCell ref="AH23:AV23"/>
    <mergeCell ref="G24:U24"/>
    <mergeCell ref="AH24:AV24"/>
    <mergeCell ref="I25:L25"/>
    <mergeCell ref="N25:U25"/>
    <mergeCell ref="AH25:AV25"/>
    <mergeCell ref="F37:O37"/>
    <mergeCell ref="R37:AE37"/>
    <mergeCell ref="AM37:AV37"/>
    <mergeCell ref="R35:AE36"/>
    <mergeCell ref="F35:O35"/>
    <mergeCell ref="AM35:AV35"/>
    <mergeCell ref="F36:O36"/>
    <mergeCell ref="AM36:AV36"/>
    <mergeCell ref="I26:L26"/>
    <mergeCell ref="N26:U26"/>
    <mergeCell ref="AH26:AV26"/>
    <mergeCell ref="G27:L27"/>
    <mergeCell ref="N27:R27"/>
    <mergeCell ref="T27:U27"/>
    <mergeCell ref="AH27:AV27"/>
    <mergeCell ref="R30:X30"/>
    <mergeCell ref="G28:L28"/>
    <mergeCell ref="N28:R28"/>
    <mergeCell ref="T28:U28"/>
    <mergeCell ref="AH28:AV28"/>
    <mergeCell ref="AH29:AV29"/>
    <mergeCell ref="AQ2:AV2"/>
    <mergeCell ref="B6:AV6"/>
    <mergeCell ref="B7:AV7"/>
    <mergeCell ref="B8:AV8"/>
    <mergeCell ref="B9:AV9"/>
  </mergeCells>
  <dataValidations count="5">
    <dataValidation type="list" allowBlank="1" showInputMessage="1" showErrorMessage="1" sqref="AH22:AV22" xr:uid="{B830502C-CCDA-4162-B34E-0DF121634732}">
      <formula1>INDIRECT($AH$21)</formula1>
    </dataValidation>
    <dataValidation type="whole" allowBlank="1" showInputMessage="1" showErrorMessage="1" errorTitle="GSHSP SY 2022-2023" error="Please input a valid School Id number." sqref="AQ2:AV2" xr:uid="{8DFA118C-4038-4E25-B636-F1AAC0E935D7}">
      <formula1>300000</formula1>
      <formula2>599999</formula2>
    </dataValidation>
    <dataValidation type="whole" allowBlank="1" showInputMessage="1" showErrorMessage="1" errorTitle="GSHSP SY 2022-2023" error="Please enter your Zip Code." sqref="T27:U27" xr:uid="{C0D5F19C-130B-45EE-AEF3-8E1794BE14B0}">
      <formula1>999</formula1>
      <formula2>9999</formula2>
    </dataValidation>
    <dataValidation type="whole" allowBlank="1" showInputMessage="1" showErrorMessage="1" errorTitle="GSHSP SY 2022-2023" error="Please enter only the year the school was established." sqref="AH29:AV29" xr:uid="{D7986FB3-2D3C-4C9B-BA66-1E2EA113CAF4}">
      <formula1>1600</formula1>
      <formula2>2022</formula2>
    </dataValidation>
    <dataValidation type="whole" allowBlank="1" showInputMessage="1" showErrorMessage="1" errorTitle="GSHSP SY 2022-2023" error="Please enter a valid School ID" sqref="R30:X30" xr:uid="{F14C99C3-16DA-416F-A60D-18123DDC778E}">
      <formula1>100000</formula1>
      <formula2>699999</formula2>
    </dataValidation>
  </dataValidations>
  <printOptions horizontalCentered="1" verticalCentered="1"/>
  <pageMargins left="0.39370078740157483" right="0.39370078740157483" top="0.19685039370078741" bottom="0.19685039370078741" header="0" footer="0.11811023622047245"/>
  <pageSetup paperSize="5" scale="77" orientation="landscape" r:id="rId2"/>
  <headerFooter>
    <oddFooter>&amp;L&amp;F &amp;A&amp;RPage 1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030" r:id="rId5" name="Check Box 6">
              <controlPr defaultSize="0" autoFill="0" autoLine="0" autoPict="0">
                <anchor moveWithCells="1">
                  <from>
                    <xdr:col>2</xdr:col>
                    <xdr:colOff>28575</xdr:colOff>
                    <xdr:row>29</xdr:row>
                    <xdr:rowOff>104775</xdr:rowOff>
                  </from>
                  <to>
                    <xdr:col>2</xdr:col>
                    <xdr:colOff>238125</xdr:colOff>
                    <xdr:row>29</xdr:row>
                    <xdr:rowOff>257175</xdr:rowOff>
                  </to>
                </anchor>
              </controlPr>
            </control>
          </mc:Choice>
        </mc:AlternateContent>
        <mc:AlternateContent xmlns:mc="http://schemas.openxmlformats.org/markup-compatibility/2006">
          <mc:Choice Requires="x14">
            <control shapeId="1033" r:id="rId6" name="Check Box 9">
              <controlPr defaultSize="0" autoFill="0" autoLine="0" autoPict="0">
                <anchor moveWithCells="1">
                  <from>
                    <xdr:col>2</xdr:col>
                    <xdr:colOff>28575</xdr:colOff>
                    <xdr:row>30</xdr:row>
                    <xdr:rowOff>66675</xdr:rowOff>
                  </from>
                  <to>
                    <xdr:col>2</xdr:col>
                    <xdr:colOff>257175</xdr:colOff>
                    <xdr:row>30</xdr:row>
                    <xdr:rowOff>276225</xdr:rowOff>
                  </to>
                </anchor>
              </controlPr>
            </control>
          </mc:Choice>
        </mc:AlternateContent>
        <mc:AlternateContent xmlns:mc="http://schemas.openxmlformats.org/markup-compatibility/2006">
          <mc:Choice Requires="x14">
            <control shapeId="1034" r:id="rId7" name="Check Box 10">
              <controlPr defaultSize="0" autoFill="0" autoLine="0" autoPict="0">
                <anchor moveWithCells="1">
                  <from>
                    <xdr:col>2</xdr:col>
                    <xdr:colOff>28575</xdr:colOff>
                    <xdr:row>31</xdr:row>
                    <xdr:rowOff>38100</xdr:rowOff>
                  </from>
                  <to>
                    <xdr:col>2</xdr:col>
                    <xdr:colOff>238125</xdr:colOff>
                    <xdr:row>31</xdr:row>
                    <xdr:rowOff>276225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errorTitle="GSHSP SY 2022-2023" error="Please select valide region" xr:uid="{5B442F7A-7270-402D-81B2-83B418AC4C8D}">
          <x14:formula1>
            <xm:f>List!$A$1:$Q$1</xm:f>
          </x14:formula1>
          <xm:sqref>AH21:AV21</xm:sqref>
        </x14:dataValidation>
        <x14:dataValidation type="list" allowBlank="1" showInputMessage="1" showErrorMessage="1" errorTitle="GSHSP SY 2022-2023" error="Please select on the list provided." xr:uid="{8DE4BAA0-60BC-4F56-9527-92D34930CB7E}">
          <x14:formula1>
            <xm:f>Dropdown!$A$13:$A$21</xm:f>
          </x14:formula1>
          <xm:sqref>AH23:AV23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00"/>
    <pageSetUpPr fitToPage="1"/>
  </sheetPr>
  <dimension ref="B1:BD37"/>
  <sheetViews>
    <sheetView showGridLines="0" topLeftCell="A22" zoomScale="50" zoomScaleNormal="50" zoomScalePageLayoutView="98" workbookViewId="0">
      <selection activeCell="AK31" sqref="AK31:AP31"/>
    </sheetView>
  </sheetViews>
  <sheetFormatPr defaultColWidth="8.875" defaultRowHeight="15.75"/>
  <cols>
    <col min="1" max="1" width="2.125" style="222" customWidth="1"/>
    <col min="2" max="42" width="3.625" style="222" customWidth="1"/>
    <col min="43" max="43" width="2.125" style="222" customWidth="1"/>
    <col min="44" max="48" width="3.625" style="222" customWidth="1"/>
    <col min="49" max="231" width="9" style="222"/>
    <col min="232" max="232" width="1.875" style="222" customWidth="1"/>
    <col min="233" max="240" width="3.625" style="222" customWidth="1"/>
    <col min="241" max="241" width="4.625" style="222" customWidth="1"/>
    <col min="242" max="289" width="3.5" style="222" customWidth="1"/>
    <col min="290" max="487" width="9" style="222"/>
    <col min="488" max="488" width="1.875" style="222" customWidth="1"/>
    <col min="489" max="496" width="3.625" style="222" customWidth="1"/>
    <col min="497" max="497" width="4.625" style="222" customWidth="1"/>
    <col min="498" max="545" width="3.5" style="222" customWidth="1"/>
    <col min="546" max="743" width="9" style="222"/>
    <col min="744" max="744" width="1.875" style="222" customWidth="1"/>
    <col min="745" max="752" width="3.625" style="222" customWidth="1"/>
    <col min="753" max="753" width="4.625" style="222" customWidth="1"/>
    <col min="754" max="801" width="3.5" style="222" customWidth="1"/>
    <col min="802" max="999" width="9" style="222"/>
    <col min="1000" max="1000" width="1.875" style="222" customWidth="1"/>
    <col min="1001" max="1008" width="3.625" style="222" customWidth="1"/>
    <col min="1009" max="1009" width="4.625" style="222" customWidth="1"/>
    <col min="1010" max="1057" width="3.5" style="222" customWidth="1"/>
    <col min="1058" max="1255" width="9" style="222"/>
    <col min="1256" max="1256" width="1.875" style="222" customWidth="1"/>
    <col min="1257" max="1264" width="3.625" style="222" customWidth="1"/>
    <col min="1265" max="1265" width="4.625" style="222" customWidth="1"/>
    <col min="1266" max="1313" width="3.5" style="222" customWidth="1"/>
    <col min="1314" max="1511" width="9" style="222"/>
    <col min="1512" max="1512" width="1.875" style="222" customWidth="1"/>
    <col min="1513" max="1520" width="3.625" style="222" customWidth="1"/>
    <col min="1521" max="1521" width="4.625" style="222" customWidth="1"/>
    <col min="1522" max="1569" width="3.5" style="222" customWidth="1"/>
    <col min="1570" max="1767" width="9" style="222"/>
    <col min="1768" max="1768" width="1.875" style="222" customWidth="1"/>
    <col min="1769" max="1776" width="3.625" style="222" customWidth="1"/>
    <col min="1777" max="1777" width="4.625" style="222" customWidth="1"/>
    <col min="1778" max="1825" width="3.5" style="222" customWidth="1"/>
    <col min="1826" max="2023" width="9" style="222"/>
    <col min="2024" max="2024" width="1.875" style="222" customWidth="1"/>
    <col min="2025" max="2032" width="3.625" style="222" customWidth="1"/>
    <col min="2033" max="2033" width="4.625" style="222" customWidth="1"/>
    <col min="2034" max="2081" width="3.5" style="222" customWidth="1"/>
    <col min="2082" max="2279" width="9" style="222"/>
    <col min="2280" max="2280" width="1.875" style="222" customWidth="1"/>
    <col min="2281" max="2288" width="3.625" style="222" customWidth="1"/>
    <col min="2289" max="2289" width="4.625" style="222" customWidth="1"/>
    <col min="2290" max="2337" width="3.5" style="222" customWidth="1"/>
    <col min="2338" max="2535" width="9" style="222"/>
    <col min="2536" max="2536" width="1.875" style="222" customWidth="1"/>
    <col min="2537" max="2544" width="3.625" style="222" customWidth="1"/>
    <col min="2545" max="2545" width="4.625" style="222" customWidth="1"/>
    <col min="2546" max="2593" width="3.5" style="222" customWidth="1"/>
    <col min="2594" max="2791" width="9" style="222"/>
    <col min="2792" max="2792" width="1.875" style="222" customWidth="1"/>
    <col min="2793" max="2800" width="3.625" style="222" customWidth="1"/>
    <col min="2801" max="2801" width="4.625" style="222" customWidth="1"/>
    <col min="2802" max="2849" width="3.5" style="222" customWidth="1"/>
    <col min="2850" max="3047" width="9" style="222"/>
    <col min="3048" max="3048" width="1.875" style="222" customWidth="1"/>
    <col min="3049" max="3056" width="3.625" style="222" customWidth="1"/>
    <col min="3057" max="3057" width="4.625" style="222" customWidth="1"/>
    <col min="3058" max="3105" width="3.5" style="222" customWidth="1"/>
    <col min="3106" max="3303" width="9" style="222"/>
    <col min="3304" max="3304" width="1.875" style="222" customWidth="1"/>
    <col min="3305" max="3312" width="3.625" style="222" customWidth="1"/>
    <col min="3313" max="3313" width="4.625" style="222" customWidth="1"/>
    <col min="3314" max="3361" width="3.5" style="222" customWidth="1"/>
    <col min="3362" max="3559" width="9" style="222"/>
    <col min="3560" max="3560" width="1.875" style="222" customWidth="1"/>
    <col min="3561" max="3568" width="3.625" style="222" customWidth="1"/>
    <col min="3569" max="3569" width="4.625" style="222" customWidth="1"/>
    <col min="3570" max="3617" width="3.5" style="222" customWidth="1"/>
    <col min="3618" max="3815" width="9" style="222"/>
    <col min="3816" max="3816" width="1.875" style="222" customWidth="1"/>
    <col min="3817" max="3824" width="3.625" style="222" customWidth="1"/>
    <col min="3825" max="3825" width="4.625" style="222" customWidth="1"/>
    <col min="3826" max="3873" width="3.5" style="222" customWidth="1"/>
    <col min="3874" max="4071" width="9" style="222"/>
    <col min="4072" max="4072" width="1.875" style="222" customWidth="1"/>
    <col min="4073" max="4080" width="3.625" style="222" customWidth="1"/>
    <col min="4081" max="4081" width="4.625" style="222" customWidth="1"/>
    <col min="4082" max="4129" width="3.5" style="222" customWidth="1"/>
    <col min="4130" max="4327" width="9" style="222"/>
    <col min="4328" max="4328" width="1.875" style="222" customWidth="1"/>
    <col min="4329" max="4336" width="3.625" style="222" customWidth="1"/>
    <col min="4337" max="4337" width="4.625" style="222" customWidth="1"/>
    <col min="4338" max="4385" width="3.5" style="222" customWidth="1"/>
    <col min="4386" max="4583" width="9" style="222"/>
    <col min="4584" max="4584" width="1.875" style="222" customWidth="1"/>
    <col min="4585" max="4592" width="3.625" style="222" customWidth="1"/>
    <col min="4593" max="4593" width="4.625" style="222" customWidth="1"/>
    <col min="4594" max="4641" width="3.5" style="222" customWidth="1"/>
    <col min="4642" max="4839" width="9" style="222"/>
    <col min="4840" max="4840" width="1.875" style="222" customWidth="1"/>
    <col min="4841" max="4848" width="3.625" style="222" customWidth="1"/>
    <col min="4849" max="4849" width="4.625" style="222" customWidth="1"/>
    <col min="4850" max="4897" width="3.5" style="222" customWidth="1"/>
    <col min="4898" max="5095" width="9" style="222"/>
    <col min="5096" max="5096" width="1.875" style="222" customWidth="1"/>
    <col min="5097" max="5104" width="3.625" style="222" customWidth="1"/>
    <col min="5105" max="5105" width="4.625" style="222" customWidth="1"/>
    <col min="5106" max="5153" width="3.5" style="222" customWidth="1"/>
    <col min="5154" max="5351" width="9" style="222"/>
    <col min="5352" max="5352" width="1.875" style="222" customWidth="1"/>
    <col min="5353" max="5360" width="3.625" style="222" customWidth="1"/>
    <col min="5361" max="5361" width="4.625" style="222" customWidth="1"/>
    <col min="5362" max="5409" width="3.5" style="222" customWidth="1"/>
    <col min="5410" max="5607" width="9" style="222"/>
    <col min="5608" max="5608" width="1.875" style="222" customWidth="1"/>
    <col min="5609" max="5616" width="3.625" style="222" customWidth="1"/>
    <col min="5617" max="5617" width="4.625" style="222" customWidth="1"/>
    <col min="5618" max="5665" width="3.5" style="222" customWidth="1"/>
    <col min="5666" max="5863" width="9" style="222"/>
    <col min="5864" max="5864" width="1.875" style="222" customWidth="1"/>
    <col min="5865" max="5872" width="3.625" style="222" customWidth="1"/>
    <col min="5873" max="5873" width="4.625" style="222" customWidth="1"/>
    <col min="5874" max="5921" width="3.5" style="222" customWidth="1"/>
    <col min="5922" max="6119" width="9" style="222"/>
    <col min="6120" max="6120" width="1.875" style="222" customWidth="1"/>
    <col min="6121" max="6128" width="3.625" style="222" customWidth="1"/>
    <col min="6129" max="6129" width="4.625" style="222" customWidth="1"/>
    <col min="6130" max="6177" width="3.5" style="222" customWidth="1"/>
    <col min="6178" max="6375" width="9" style="222"/>
    <col min="6376" max="6376" width="1.875" style="222" customWidth="1"/>
    <col min="6377" max="6384" width="3.625" style="222" customWidth="1"/>
    <col min="6385" max="6385" width="4.625" style="222" customWidth="1"/>
    <col min="6386" max="6433" width="3.5" style="222" customWidth="1"/>
    <col min="6434" max="6631" width="9" style="222"/>
    <col min="6632" max="6632" width="1.875" style="222" customWidth="1"/>
    <col min="6633" max="6640" width="3.625" style="222" customWidth="1"/>
    <col min="6641" max="6641" width="4.625" style="222" customWidth="1"/>
    <col min="6642" max="6689" width="3.5" style="222" customWidth="1"/>
    <col min="6690" max="6887" width="9" style="222"/>
    <col min="6888" max="6888" width="1.875" style="222" customWidth="1"/>
    <col min="6889" max="6896" width="3.625" style="222" customWidth="1"/>
    <col min="6897" max="6897" width="4.625" style="222" customWidth="1"/>
    <col min="6898" max="6945" width="3.5" style="222" customWidth="1"/>
    <col min="6946" max="7143" width="9" style="222"/>
    <col min="7144" max="7144" width="1.875" style="222" customWidth="1"/>
    <col min="7145" max="7152" width="3.625" style="222" customWidth="1"/>
    <col min="7153" max="7153" width="4.625" style="222" customWidth="1"/>
    <col min="7154" max="7201" width="3.5" style="222" customWidth="1"/>
    <col min="7202" max="7399" width="9" style="222"/>
    <col min="7400" max="7400" width="1.875" style="222" customWidth="1"/>
    <col min="7401" max="7408" width="3.625" style="222" customWidth="1"/>
    <col min="7409" max="7409" width="4.625" style="222" customWidth="1"/>
    <col min="7410" max="7457" width="3.5" style="222" customWidth="1"/>
    <col min="7458" max="7655" width="9" style="222"/>
    <col min="7656" max="7656" width="1.875" style="222" customWidth="1"/>
    <col min="7657" max="7664" width="3.625" style="222" customWidth="1"/>
    <col min="7665" max="7665" width="4.625" style="222" customWidth="1"/>
    <col min="7666" max="7713" width="3.5" style="222" customWidth="1"/>
    <col min="7714" max="7911" width="9" style="222"/>
    <col min="7912" max="7912" width="1.875" style="222" customWidth="1"/>
    <col min="7913" max="7920" width="3.625" style="222" customWidth="1"/>
    <col min="7921" max="7921" width="4.625" style="222" customWidth="1"/>
    <col min="7922" max="7969" width="3.5" style="222" customWidth="1"/>
    <col min="7970" max="8167" width="9" style="222"/>
    <col min="8168" max="8168" width="1.875" style="222" customWidth="1"/>
    <col min="8169" max="8176" width="3.625" style="222" customWidth="1"/>
    <col min="8177" max="8177" width="4.625" style="222" customWidth="1"/>
    <col min="8178" max="8225" width="3.5" style="222" customWidth="1"/>
    <col min="8226" max="8423" width="9" style="222"/>
    <col min="8424" max="8424" width="1.875" style="222" customWidth="1"/>
    <col min="8425" max="8432" width="3.625" style="222" customWidth="1"/>
    <col min="8433" max="8433" width="4.625" style="222" customWidth="1"/>
    <col min="8434" max="8481" width="3.5" style="222" customWidth="1"/>
    <col min="8482" max="8679" width="9" style="222"/>
    <col min="8680" max="8680" width="1.875" style="222" customWidth="1"/>
    <col min="8681" max="8688" width="3.625" style="222" customWidth="1"/>
    <col min="8689" max="8689" width="4.625" style="222" customWidth="1"/>
    <col min="8690" max="8737" width="3.5" style="222" customWidth="1"/>
    <col min="8738" max="8935" width="9" style="222"/>
    <col min="8936" max="8936" width="1.875" style="222" customWidth="1"/>
    <col min="8937" max="8944" width="3.625" style="222" customWidth="1"/>
    <col min="8945" max="8945" width="4.625" style="222" customWidth="1"/>
    <col min="8946" max="8993" width="3.5" style="222" customWidth="1"/>
    <col min="8994" max="9191" width="9" style="222"/>
    <col min="9192" max="9192" width="1.875" style="222" customWidth="1"/>
    <col min="9193" max="9200" width="3.625" style="222" customWidth="1"/>
    <col min="9201" max="9201" width="4.625" style="222" customWidth="1"/>
    <col min="9202" max="9249" width="3.5" style="222" customWidth="1"/>
    <col min="9250" max="9447" width="9" style="222"/>
    <col min="9448" max="9448" width="1.875" style="222" customWidth="1"/>
    <col min="9449" max="9456" width="3.625" style="222" customWidth="1"/>
    <col min="9457" max="9457" width="4.625" style="222" customWidth="1"/>
    <col min="9458" max="9505" width="3.5" style="222" customWidth="1"/>
    <col min="9506" max="9703" width="9" style="222"/>
    <col min="9704" max="9704" width="1.875" style="222" customWidth="1"/>
    <col min="9705" max="9712" width="3.625" style="222" customWidth="1"/>
    <col min="9713" max="9713" width="4.625" style="222" customWidth="1"/>
    <col min="9714" max="9761" width="3.5" style="222" customWidth="1"/>
    <col min="9762" max="9959" width="9" style="222"/>
    <col min="9960" max="9960" width="1.875" style="222" customWidth="1"/>
    <col min="9961" max="9968" width="3.625" style="222" customWidth="1"/>
    <col min="9969" max="9969" width="4.625" style="222" customWidth="1"/>
    <col min="9970" max="10017" width="3.5" style="222" customWidth="1"/>
    <col min="10018" max="10215" width="9" style="222"/>
    <col min="10216" max="10216" width="1.875" style="222" customWidth="1"/>
    <col min="10217" max="10224" width="3.625" style="222" customWidth="1"/>
    <col min="10225" max="10225" width="4.625" style="222" customWidth="1"/>
    <col min="10226" max="10273" width="3.5" style="222" customWidth="1"/>
    <col min="10274" max="10471" width="9" style="222"/>
    <col min="10472" max="10472" width="1.875" style="222" customWidth="1"/>
    <col min="10473" max="10480" width="3.625" style="222" customWidth="1"/>
    <col min="10481" max="10481" width="4.625" style="222" customWidth="1"/>
    <col min="10482" max="10529" width="3.5" style="222" customWidth="1"/>
    <col min="10530" max="10727" width="9" style="222"/>
    <col min="10728" max="10728" width="1.875" style="222" customWidth="1"/>
    <col min="10729" max="10736" width="3.625" style="222" customWidth="1"/>
    <col min="10737" max="10737" width="4.625" style="222" customWidth="1"/>
    <col min="10738" max="10785" width="3.5" style="222" customWidth="1"/>
    <col min="10786" max="10983" width="9" style="222"/>
    <col min="10984" max="10984" width="1.875" style="222" customWidth="1"/>
    <col min="10985" max="10992" width="3.625" style="222" customWidth="1"/>
    <col min="10993" max="10993" width="4.625" style="222" customWidth="1"/>
    <col min="10994" max="11041" width="3.5" style="222" customWidth="1"/>
    <col min="11042" max="11239" width="9" style="222"/>
    <col min="11240" max="11240" width="1.875" style="222" customWidth="1"/>
    <col min="11241" max="11248" width="3.625" style="222" customWidth="1"/>
    <col min="11249" max="11249" width="4.625" style="222" customWidth="1"/>
    <col min="11250" max="11297" width="3.5" style="222" customWidth="1"/>
    <col min="11298" max="11495" width="9" style="222"/>
    <col min="11496" max="11496" width="1.875" style="222" customWidth="1"/>
    <col min="11497" max="11504" width="3.625" style="222" customWidth="1"/>
    <col min="11505" max="11505" width="4.625" style="222" customWidth="1"/>
    <col min="11506" max="11553" width="3.5" style="222" customWidth="1"/>
    <col min="11554" max="11751" width="9" style="222"/>
    <col min="11752" max="11752" width="1.875" style="222" customWidth="1"/>
    <col min="11753" max="11760" width="3.625" style="222" customWidth="1"/>
    <col min="11761" max="11761" width="4.625" style="222" customWidth="1"/>
    <col min="11762" max="11809" width="3.5" style="222" customWidth="1"/>
    <col min="11810" max="12007" width="9" style="222"/>
    <col min="12008" max="12008" width="1.875" style="222" customWidth="1"/>
    <col min="12009" max="12016" width="3.625" style="222" customWidth="1"/>
    <col min="12017" max="12017" width="4.625" style="222" customWidth="1"/>
    <col min="12018" max="12065" width="3.5" style="222" customWidth="1"/>
    <col min="12066" max="12263" width="9" style="222"/>
    <col min="12264" max="12264" width="1.875" style="222" customWidth="1"/>
    <col min="12265" max="12272" width="3.625" style="222" customWidth="1"/>
    <col min="12273" max="12273" width="4.625" style="222" customWidth="1"/>
    <col min="12274" max="12321" width="3.5" style="222" customWidth="1"/>
    <col min="12322" max="12519" width="9" style="222"/>
    <col min="12520" max="12520" width="1.875" style="222" customWidth="1"/>
    <col min="12521" max="12528" width="3.625" style="222" customWidth="1"/>
    <col min="12529" max="12529" width="4.625" style="222" customWidth="1"/>
    <col min="12530" max="12577" width="3.5" style="222" customWidth="1"/>
    <col min="12578" max="12775" width="9" style="222"/>
    <col min="12776" max="12776" width="1.875" style="222" customWidth="1"/>
    <col min="12777" max="12784" width="3.625" style="222" customWidth="1"/>
    <col min="12785" max="12785" width="4.625" style="222" customWidth="1"/>
    <col min="12786" max="12833" width="3.5" style="222" customWidth="1"/>
    <col min="12834" max="13031" width="9" style="222"/>
    <col min="13032" max="13032" width="1.875" style="222" customWidth="1"/>
    <col min="13033" max="13040" width="3.625" style="222" customWidth="1"/>
    <col min="13041" max="13041" width="4.625" style="222" customWidth="1"/>
    <col min="13042" max="13089" width="3.5" style="222" customWidth="1"/>
    <col min="13090" max="13287" width="9" style="222"/>
    <col min="13288" max="13288" width="1.875" style="222" customWidth="1"/>
    <col min="13289" max="13296" width="3.625" style="222" customWidth="1"/>
    <col min="13297" max="13297" width="4.625" style="222" customWidth="1"/>
    <col min="13298" max="13345" width="3.5" style="222" customWidth="1"/>
    <col min="13346" max="13543" width="9" style="222"/>
    <col min="13544" max="13544" width="1.875" style="222" customWidth="1"/>
    <col min="13545" max="13552" width="3.625" style="222" customWidth="1"/>
    <col min="13553" max="13553" width="4.625" style="222" customWidth="1"/>
    <col min="13554" max="13601" width="3.5" style="222" customWidth="1"/>
    <col min="13602" max="13799" width="9" style="222"/>
    <col min="13800" max="13800" width="1.875" style="222" customWidth="1"/>
    <col min="13801" max="13808" width="3.625" style="222" customWidth="1"/>
    <col min="13809" max="13809" width="4.625" style="222" customWidth="1"/>
    <col min="13810" max="13857" width="3.5" style="222" customWidth="1"/>
    <col min="13858" max="14055" width="9" style="222"/>
    <col min="14056" max="14056" width="1.875" style="222" customWidth="1"/>
    <col min="14057" max="14064" width="3.625" style="222" customWidth="1"/>
    <col min="14065" max="14065" width="4.625" style="222" customWidth="1"/>
    <col min="14066" max="14113" width="3.5" style="222" customWidth="1"/>
    <col min="14114" max="14311" width="9" style="222"/>
    <col min="14312" max="14312" width="1.875" style="222" customWidth="1"/>
    <col min="14313" max="14320" width="3.625" style="222" customWidth="1"/>
    <col min="14321" max="14321" width="4.625" style="222" customWidth="1"/>
    <col min="14322" max="14369" width="3.5" style="222" customWidth="1"/>
    <col min="14370" max="14567" width="9" style="222"/>
    <col min="14568" max="14568" width="1.875" style="222" customWidth="1"/>
    <col min="14569" max="14576" width="3.625" style="222" customWidth="1"/>
    <col min="14577" max="14577" width="4.625" style="222" customWidth="1"/>
    <col min="14578" max="14625" width="3.5" style="222" customWidth="1"/>
    <col min="14626" max="14823" width="9" style="222"/>
    <col min="14824" max="14824" width="1.875" style="222" customWidth="1"/>
    <col min="14825" max="14832" width="3.625" style="222" customWidth="1"/>
    <col min="14833" max="14833" width="4.625" style="222" customWidth="1"/>
    <col min="14834" max="14881" width="3.5" style="222" customWidth="1"/>
    <col min="14882" max="15079" width="9" style="222"/>
    <col min="15080" max="15080" width="1.875" style="222" customWidth="1"/>
    <col min="15081" max="15088" width="3.625" style="222" customWidth="1"/>
    <col min="15089" max="15089" width="4.625" style="222" customWidth="1"/>
    <col min="15090" max="15137" width="3.5" style="222" customWidth="1"/>
    <col min="15138" max="15335" width="9" style="222"/>
    <col min="15336" max="15336" width="1.875" style="222" customWidth="1"/>
    <col min="15337" max="15344" width="3.625" style="222" customWidth="1"/>
    <col min="15345" max="15345" width="4.625" style="222" customWidth="1"/>
    <col min="15346" max="15393" width="3.5" style="222" customWidth="1"/>
    <col min="15394" max="15591" width="9" style="222"/>
    <col min="15592" max="15592" width="1.875" style="222" customWidth="1"/>
    <col min="15593" max="15600" width="3.625" style="222" customWidth="1"/>
    <col min="15601" max="15601" width="4.625" style="222" customWidth="1"/>
    <col min="15602" max="15649" width="3.5" style="222" customWidth="1"/>
    <col min="15650" max="15847" width="9" style="222"/>
    <col min="15848" max="15848" width="1.875" style="222" customWidth="1"/>
    <col min="15849" max="15856" width="3.625" style="222" customWidth="1"/>
    <col min="15857" max="15857" width="4.625" style="222" customWidth="1"/>
    <col min="15858" max="15905" width="3.5" style="222" customWidth="1"/>
    <col min="15906" max="16103" width="9" style="222"/>
    <col min="16104" max="16104" width="1.875" style="222" customWidth="1"/>
    <col min="16105" max="16112" width="3.625" style="222" customWidth="1"/>
    <col min="16113" max="16113" width="4.625" style="222" customWidth="1"/>
    <col min="16114" max="16161" width="3.5" style="222" customWidth="1"/>
    <col min="16162" max="16384" width="9" style="222"/>
  </cols>
  <sheetData>
    <row r="1" spans="2:42" ht="12" customHeight="1"/>
    <row r="2" spans="2:42" s="336" customFormat="1" ht="17.25" thickBot="1">
      <c r="B2" s="335" t="s">
        <v>11371</v>
      </c>
    </row>
    <row r="3" spans="2:42" s="337" customFormat="1" ht="15.75" customHeight="1">
      <c r="B3" s="1871" t="s">
        <v>59</v>
      </c>
      <c r="C3" s="1872"/>
      <c r="D3" s="1872"/>
      <c r="E3" s="1872"/>
      <c r="F3" s="1872"/>
      <c r="G3" s="1872"/>
      <c r="H3" s="1872"/>
      <c r="I3" s="1872"/>
      <c r="J3" s="1872"/>
      <c r="K3" s="1872"/>
      <c r="L3" s="1872"/>
      <c r="M3" s="1872"/>
      <c r="N3" s="1872"/>
      <c r="O3" s="1872"/>
      <c r="P3" s="1872"/>
      <c r="Q3" s="1872"/>
      <c r="R3" s="1873"/>
      <c r="S3" s="1871" t="s">
        <v>43</v>
      </c>
      <c r="T3" s="1872"/>
      <c r="U3" s="1872"/>
      <c r="V3" s="1872"/>
      <c r="W3" s="1872"/>
      <c r="X3" s="1872"/>
      <c r="Y3" s="1872"/>
      <c r="Z3" s="1873"/>
      <c r="AA3" s="1871" t="s">
        <v>44</v>
      </c>
      <c r="AB3" s="1872"/>
      <c r="AC3" s="1872"/>
      <c r="AD3" s="1872"/>
      <c r="AE3" s="1872"/>
      <c r="AF3" s="1872"/>
      <c r="AG3" s="1872"/>
      <c r="AH3" s="1883"/>
      <c r="AI3" s="1892" t="s">
        <v>42</v>
      </c>
      <c r="AJ3" s="1892"/>
      <c r="AK3" s="1892"/>
      <c r="AL3" s="1892"/>
      <c r="AM3" s="1892"/>
      <c r="AN3" s="1892"/>
      <c r="AO3" s="1892"/>
      <c r="AP3" s="1893"/>
    </row>
    <row r="4" spans="2:42" s="337" customFormat="1" ht="15.75" customHeight="1">
      <c r="B4" s="1874"/>
      <c r="C4" s="1875"/>
      <c r="D4" s="1875"/>
      <c r="E4" s="1875"/>
      <c r="F4" s="1875"/>
      <c r="G4" s="1875"/>
      <c r="H4" s="1875"/>
      <c r="I4" s="1875"/>
      <c r="J4" s="1875"/>
      <c r="K4" s="1875"/>
      <c r="L4" s="1875"/>
      <c r="M4" s="1875"/>
      <c r="N4" s="1875"/>
      <c r="O4" s="1875"/>
      <c r="P4" s="1875"/>
      <c r="Q4" s="1875"/>
      <c r="R4" s="1876"/>
      <c r="S4" s="1880"/>
      <c r="T4" s="1881"/>
      <c r="U4" s="1881"/>
      <c r="V4" s="1881"/>
      <c r="W4" s="1881"/>
      <c r="X4" s="1881"/>
      <c r="Y4" s="1881"/>
      <c r="Z4" s="1882"/>
      <c r="AA4" s="1880"/>
      <c r="AB4" s="1881"/>
      <c r="AC4" s="1881"/>
      <c r="AD4" s="1881"/>
      <c r="AE4" s="1881"/>
      <c r="AF4" s="1881"/>
      <c r="AG4" s="1881"/>
      <c r="AH4" s="1884"/>
      <c r="AI4" s="1894" t="s">
        <v>1206</v>
      </c>
      <c r="AJ4" s="1894"/>
      <c r="AK4" s="1894"/>
      <c r="AL4" s="1894"/>
      <c r="AM4" s="1894"/>
      <c r="AN4" s="1894"/>
      <c r="AO4" s="1894"/>
      <c r="AP4" s="1895"/>
    </row>
    <row r="5" spans="2:42" s="337" customFormat="1" ht="17.25" thickBot="1">
      <c r="B5" s="1877"/>
      <c r="C5" s="1878"/>
      <c r="D5" s="1878"/>
      <c r="E5" s="1878"/>
      <c r="F5" s="1878"/>
      <c r="G5" s="1878"/>
      <c r="H5" s="1878"/>
      <c r="I5" s="1878"/>
      <c r="J5" s="1878"/>
      <c r="K5" s="1878"/>
      <c r="L5" s="1878"/>
      <c r="M5" s="1878"/>
      <c r="N5" s="1878"/>
      <c r="O5" s="1878"/>
      <c r="P5" s="1878"/>
      <c r="Q5" s="1878"/>
      <c r="R5" s="1879"/>
      <c r="S5" s="1896" t="s">
        <v>45</v>
      </c>
      <c r="T5" s="1897"/>
      <c r="U5" s="1897"/>
      <c r="V5" s="1898"/>
      <c r="W5" s="1878" t="s">
        <v>46</v>
      </c>
      <c r="X5" s="1878"/>
      <c r="Y5" s="1878"/>
      <c r="Z5" s="1879"/>
      <c r="AA5" s="1896" t="s">
        <v>45</v>
      </c>
      <c r="AB5" s="1897"/>
      <c r="AC5" s="1897"/>
      <c r="AD5" s="1898"/>
      <c r="AE5" s="1878" t="s">
        <v>46</v>
      </c>
      <c r="AF5" s="1878"/>
      <c r="AG5" s="1878"/>
      <c r="AH5" s="1899"/>
      <c r="AI5" s="1900" t="s">
        <v>45</v>
      </c>
      <c r="AJ5" s="1897"/>
      <c r="AK5" s="1897"/>
      <c r="AL5" s="1898"/>
      <c r="AM5" s="1878" t="s">
        <v>46</v>
      </c>
      <c r="AN5" s="1878"/>
      <c r="AO5" s="1878"/>
      <c r="AP5" s="1879"/>
    </row>
    <row r="6" spans="2:42" s="336" customFormat="1" ht="30" customHeight="1">
      <c r="B6" s="338"/>
      <c r="C6" s="339" t="s">
        <v>41</v>
      </c>
      <c r="D6" s="339"/>
      <c r="E6" s="339"/>
      <c r="F6" s="339"/>
      <c r="G6" s="339"/>
      <c r="H6" s="339"/>
      <c r="I6" s="339"/>
      <c r="J6" s="339"/>
      <c r="K6" s="339"/>
      <c r="L6" s="339"/>
      <c r="M6" s="339"/>
      <c r="N6" s="339"/>
      <c r="O6" s="339"/>
      <c r="P6" s="339"/>
      <c r="Q6" s="339"/>
      <c r="R6" s="340"/>
      <c r="S6" s="1901"/>
      <c r="T6" s="1902"/>
      <c r="U6" s="1902"/>
      <c r="V6" s="1902"/>
      <c r="W6" s="1902"/>
      <c r="X6" s="1902"/>
      <c r="Y6" s="1902"/>
      <c r="Z6" s="1902"/>
      <c r="AA6" s="1902"/>
      <c r="AB6" s="1902"/>
      <c r="AC6" s="1902"/>
      <c r="AD6" s="1902"/>
      <c r="AE6" s="1902"/>
      <c r="AF6" s="1902"/>
      <c r="AG6" s="1902"/>
      <c r="AH6" s="1902"/>
      <c r="AI6" s="1902"/>
      <c r="AJ6" s="1902"/>
      <c r="AK6" s="1902"/>
      <c r="AL6" s="1902"/>
      <c r="AM6" s="1902"/>
      <c r="AN6" s="1902"/>
      <c r="AO6" s="1902"/>
      <c r="AP6" s="1903"/>
    </row>
    <row r="7" spans="2:42" s="336" customFormat="1" ht="30" customHeight="1">
      <c r="B7" s="341"/>
      <c r="C7" s="342"/>
      <c r="D7" s="342"/>
      <c r="E7" s="343" t="s">
        <v>60</v>
      </c>
      <c r="F7" s="342"/>
      <c r="G7" s="342"/>
      <c r="H7" s="342"/>
      <c r="I7" s="342"/>
      <c r="J7" s="342"/>
      <c r="K7" s="342"/>
      <c r="L7" s="342"/>
      <c r="M7" s="342"/>
      <c r="N7" s="342"/>
      <c r="O7" s="342"/>
      <c r="P7" s="342"/>
      <c r="Q7" s="342"/>
      <c r="R7" s="344"/>
      <c r="S7" s="1859">
        <v>0</v>
      </c>
      <c r="T7" s="1860"/>
      <c r="U7" s="1860"/>
      <c r="V7" s="1861"/>
      <c r="W7" s="1860">
        <v>0</v>
      </c>
      <c r="X7" s="1860"/>
      <c r="Y7" s="1860"/>
      <c r="Z7" s="1861"/>
      <c r="AA7" s="1859">
        <v>0</v>
      </c>
      <c r="AB7" s="1860"/>
      <c r="AC7" s="1860"/>
      <c r="AD7" s="1861"/>
      <c r="AE7" s="1860">
        <v>0</v>
      </c>
      <c r="AF7" s="1860"/>
      <c r="AG7" s="1860"/>
      <c r="AH7" s="1864"/>
      <c r="AI7" s="1865">
        <f>+arts_music_m_gr11+arts_music_m_gr12</f>
        <v>0</v>
      </c>
      <c r="AJ7" s="1866"/>
      <c r="AK7" s="1866"/>
      <c r="AL7" s="1867"/>
      <c r="AM7" s="1866">
        <f>+arts_music_f_gr11+arts_music_f_gr12</f>
        <v>0</v>
      </c>
      <c r="AN7" s="1866"/>
      <c r="AO7" s="1866"/>
      <c r="AP7" s="1868"/>
    </row>
    <row r="8" spans="2:42" s="336" customFormat="1" ht="30" customHeight="1">
      <c r="B8" s="341"/>
      <c r="C8" s="342"/>
      <c r="D8" s="342"/>
      <c r="E8" s="343" t="s">
        <v>61</v>
      </c>
      <c r="F8" s="342"/>
      <c r="G8" s="342"/>
      <c r="H8" s="342"/>
      <c r="I8" s="342"/>
      <c r="J8" s="342"/>
      <c r="K8" s="342"/>
      <c r="L8" s="342"/>
      <c r="M8" s="342"/>
      <c r="N8" s="342"/>
      <c r="O8" s="342"/>
      <c r="P8" s="342"/>
      <c r="Q8" s="342"/>
      <c r="R8" s="344"/>
      <c r="S8" s="1859">
        <v>0</v>
      </c>
      <c r="T8" s="1860"/>
      <c r="U8" s="1860"/>
      <c r="V8" s="1861"/>
      <c r="W8" s="1862">
        <v>0</v>
      </c>
      <c r="X8" s="1860"/>
      <c r="Y8" s="1860"/>
      <c r="Z8" s="1863"/>
      <c r="AA8" s="1859">
        <v>0</v>
      </c>
      <c r="AB8" s="1860"/>
      <c r="AC8" s="1860"/>
      <c r="AD8" s="1861"/>
      <c r="AE8" s="1862">
        <v>0</v>
      </c>
      <c r="AF8" s="1860"/>
      <c r="AG8" s="1860"/>
      <c r="AH8" s="1864"/>
      <c r="AI8" s="1865">
        <f>+arts_dance_m_gr11+arts_dance_m_gr12</f>
        <v>0</v>
      </c>
      <c r="AJ8" s="1866"/>
      <c r="AK8" s="1866"/>
      <c r="AL8" s="1867"/>
      <c r="AM8" s="1866">
        <f>+arts_dance_f_gr11+arts_dance_f_gr12</f>
        <v>0</v>
      </c>
      <c r="AN8" s="1866"/>
      <c r="AO8" s="1866"/>
      <c r="AP8" s="1868"/>
    </row>
    <row r="9" spans="2:42" s="336" customFormat="1" ht="30" customHeight="1">
      <c r="B9" s="341"/>
      <c r="C9" s="342"/>
      <c r="D9" s="342"/>
      <c r="E9" s="343" t="s">
        <v>62</v>
      </c>
      <c r="F9" s="342"/>
      <c r="G9" s="342"/>
      <c r="H9" s="342"/>
      <c r="I9" s="342"/>
      <c r="J9" s="342"/>
      <c r="K9" s="342"/>
      <c r="L9" s="342"/>
      <c r="M9" s="342"/>
      <c r="N9" s="342"/>
      <c r="O9" s="342"/>
      <c r="P9" s="342"/>
      <c r="Q9" s="342"/>
      <c r="R9" s="344"/>
      <c r="S9" s="1859">
        <v>0</v>
      </c>
      <c r="T9" s="1860"/>
      <c r="U9" s="1860"/>
      <c r="V9" s="1861"/>
      <c r="W9" s="1860">
        <v>0</v>
      </c>
      <c r="X9" s="1860"/>
      <c r="Y9" s="1860"/>
      <c r="Z9" s="1861"/>
      <c r="AA9" s="1859">
        <v>0</v>
      </c>
      <c r="AB9" s="1860"/>
      <c r="AC9" s="1860"/>
      <c r="AD9" s="1861"/>
      <c r="AE9" s="1860">
        <v>0</v>
      </c>
      <c r="AF9" s="1860"/>
      <c r="AG9" s="1860"/>
      <c r="AH9" s="1864"/>
      <c r="AI9" s="1865">
        <f>+arts_thtr_m_gr11+arts_thtr_m_gr12</f>
        <v>0</v>
      </c>
      <c r="AJ9" s="1866"/>
      <c r="AK9" s="1866"/>
      <c r="AL9" s="1867"/>
      <c r="AM9" s="1866">
        <f>+arts_thtr_f_gr11+arts_thtr_f_gr12</f>
        <v>0</v>
      </c>
      <c r="AN9" s="1866"/>
      <c r="AO9" s="1866"/>
      <c r="AP9" s="1868"/>
    </row>
    <row r="10" spans="2:42" s="336" customFormat="1" ht="30" customHeight="1">
      <c r="B10" s="341"/>
      <c r="C10" s="342"/>
      <c r="D10" s="342"/>
      <c r="E10" s="343" t="s">
        <v>63</v>
      </c>
      <c r="F10" s="342"/>
      <c r="G10" s="342"/>
      <c r="H10" s="342"/>
      <c r="I10" s="342"/>
      <c r="J10" s="342"/>
      <c r="K10" s="342"/>
      <c r="L10" s="342"/>
      <c r="M10" s="342"/>
      <c r="N10" s="342"/>
      <c r="O10" s="342"/>
      <c r="P10" s="342"/>
      <c r="Q10" s="342"/>
      <c r="R10" s="344"/>
      <c r="S10" s="1859">
        <v>0</v>
      </c>
      <c r="T10" s="1860"/>
      <c r="U10" s="1860"/>
      <c r="V10" s="1861"/>
      <c r="W10" s="1862">
        <v>0</v>
      </c>
      <c r="X10" s="1860"/>
      <c r="Y10" s="1860"/>
      <c r="Z10" s="1863"/>
      <c r="AA10" s="1859">
        <v>0</v>
      </c>
      <c r="AB10" s="1860"/>
      <c r="AC10" s="1860"/>
      <c r="AD10" s="1861"/>
      <c r="AE10" s="1862">
        <v>0</v>
      </c>
      <c r="AF10" s="1860"/>
      <c r="AG10" s="1860"/>
      <c r="AH10" s="1864"/>
      <c r="AI10" s="1865">
        <f>+arts_cw_m_gr11+arts_cw_m_gr12</f>
        <v>0</v>
      </c>
      <c r="AJ10" s="1866"/>
      <c r="AK10" s="1866"/>
      <c r="AL10" s="1867"/>
      <c r="AM10" s="1866">
        <f>+arts_cw_f_gr11+arts_cw_f_gr12</f>
        <v>0</v>
      </c>
      <c r="AN10" s="1866"/>
      <c r="AO10" s="1866"/>
      <c r="AP10" s="1868"/>
    </row>
    <row r="11" spans="2:42" s="336" customFormat="1" ht="30" customHeight="1">
      <c r="B11" s="341"/>
      <c r="C11" s="342"/>
      <c r="D11" s="342"/>
      <c r="E11" s="343" t="s">
        <v>64</v>
      </c>
      <c r="F11" s="342"/>
      <c r="G11" s="342"/>
      <c r="H11" s="342"/>
      <c r="I11" s="342"/>
      <c r="J11" s="342"/>
      <c r="K11" s="342"/>
      <c r="L11" s="342"/>
      <c r="M11" s="342"/>
      <c r="N11" s="342"/>
      <c r="O11" s="342"/>
      <c r="P11" s="342"/>
      <c r="Q11" s="342"/>
      <c r="R11" s="344"/>
      <c r="S11" s="1859">
        <v>0</v>
      </c>
      <c r="T11" s="1860"/>
      <c r="U11" s="1860"/>
      <c r="V11" s="1861"/>
      <c r="W11" s="1860">
        <v>0</v>
      </c>
      <c r="X11" s="1860"/>
      <c r="Y11" s="1860"/>
      <c r="Z11" s="1861"/>
      <c r="AA11" s="1859">
        <v>0</v>
      </c>
      <c r="AB11" s="1860"/>
      <c r="AC11" s="1860"/>
      <c r="AD11" s="1861"/>
      <c r="AE11" s="1860">
        <v>0</v>
      </c>
      <c r="AF11" s="1860"/>
      <c r="AG11" s="1860"/>
      <c r="AH11" s="1864"/>
      <c r="AI11" s="1865">
        <f>+arts_media_m_gr11+arts_media_m_gr12</f>
        <v>0</v>
      </c>
      <c r="AJ11" s="1866"/>
      <c r="AK11" s="1866"/>
      <c r="AL11" s="1867"/>
      <c r="AM11" s="1866">
        <f>+arts_media_f_gr11+arts_media_f_gr12</f>
        <v>0</v>
      </c>
      <c r="AN11" s="1866"/>
      <c r="AO11" s="1866"/>
      <c r="AP11" s="1868"/>
    </row>
    <row r="12" spans="2:42" s="336" customFormat="1" ht="30" customHeight="1" thickBot="1">
      <c r="B12" s="341"/>
      <c r="C12" s="342"/>
      <c r="D12" s="345"/>
      <c r="E12" s="343" t="s">
        <v>65</v>
      </c>
      <c r="F12" s="342"/>
      <c r="G12" s="342"/>
      <c r="H12" s="342"/>
      <c r="I12" s="342"/>
      <c r="J12" s="342"/>
      <c r="K12" s="342"/>
      <c r="L12" s="342"/>
      <c r="M12" s="342"/>
      <c r="N12" s="342"/>
      <c r="O12" s="342"/>
      <c r="P12" s="342"/>
      <c r="Q12" s="342"/>
      <c r="R12" s="344"/>
      <c r="S12" s="1859">
        <v>0</v>
      </c>
      <c r="T12" s="1860"/>
      <c r="U12" s="1860"/>
      <c r="V12" s="1861"/>
      <c r="W12" s="1862">
        <v>0</v>
      </c>
      <c r="X12" s="1860"/>
      <c r="Y12" s="1860"/>
      <c r="Z12" s="1863"/>
      <c r="AA12" s="1859">
        <v>0</v>
      </c>
      <c r="AB12" s="1860"/>
      <c r="AC12" s="1860"/>
      <c r="AD12" s="1861"/>
      <c r="AE12" s="1862">
        <v>0</v>
      </c>
      <c r="AF12" s="1860"/>
      <c r="AG12" s="1860"/>
      <c r="AH12" s="1864"/>
      <c r="AI12" s="1865">
        <f>+arts_visual_m_gr11+arts_visual_m_gr12</f>
        <v>0</v>
      </c>
      <c r="AJ12" s="1866"/>
      <c r="AK12" s="1866"/>
      <c r="AL12" s="1867"/>
      <c r="AM12" s="1866">
        <f>+arts_visual_f_gr11+arts_visual_f_gr12</f>
        <v>0</v>
      </c>
      <c r="AN12" s="1866"/>
      <c r="AO12" s="1866"/>
      <c r="AP12" s="1868"/>
    </row>
    <row r="13" spans="2:42" s="336" customFormat="1" ht="30" customHeight="1" thickTop="1" thickBot="1">
      <c r="B13" s="1885" t="s">
        <v>42</v>
      </c>
      <c r="C13" s="1886"/>
      <c r="D13" s="1886"/>
      <c r="E13" s="1886"/>
      <c r="F13" s="1886"/>
      <c r="G13" s="1886"/>
      <c r="H13" s="1886"/>
      <c r="I13" s="1886"/>
      <c r="J13" s="1886"/>
      <c r="K13" s="1886"/>
      <c r="L13" s="1886"/>
      <c r="M13" s="1886"/>
      <c r="N13" s="1886"/>
      <c r="O13" s="1886"/>
      <c r="P13" s="1886"/>
      <c r="Q13" s="1886"/>
      <c r="R13" s="1887"/>
      <c r="S13" s="1888">
        <f>SUM(S7:V12)</f>
        <v>0</v>
      </c>
      <c r="T13" s="1857"/>
      <c r="U13" s="1857"/>
      <c r="V13" s="1870"/>
      <c r="W13" s="1857">
        <f t="shared" ref="W13" si="0">SUM(W7:Z12)</f>
        <v>0</v>
      </c>
      <c r="X13" s="1857"/>
      <c r="Y13" s="1857"/>
      <c r="Z13" s="1870"/>
      <c r="AA13" s="1888">
        <f t="shared" ref="AA13" si="1">SUM(AA7:AD12)</f>
        <v>0</v>
      </c>
      <c r="AB13" s="1857"/>
      <c r="AC13" s="1857"/>
      <c r="AD13" s="1870"/>
      <c r="AE13" s="1889">
        <f t="shared" ref="AE13" si="2">SUM(AE7:AH12)</f>
        <v>0</v>
      </c>
      <c r="AF13" s="1857"/>
      <c r="AG13" s="1857"/>
      <c r="AH13" s="1890"/>
      <c r="AI13" s="1869">
        <f t="shared" ref="AI13" si="3">SUM(AI7:AL12)</f>
        <v>0</v>
      </c>
      <c r="AJ13" s="1857"/>
      <c r="AK13" s="1857"/>
      <c r="AL13" s="1870"/>
      <c r="AM13" s="1857">
        <f t="shared" ref="AM13" si="4">SUM(AM7:AP12)</f>
        <v>0</v>
      </c>
      <c r="AN13" s="1857"/>
      <c r="AO13" s="1857"/>
      <c r="AP13" s="1858"/>
    </row>
    <row r="14" spans="2:42" ht="4.5" customHeight="1">
      <c r="B14" s="283"/>
      <c r="C14" s="346"/>
      <c r="D14" s="346"/>
      <c r="E14" s="346"/>
      <c r="F14" s="346"/>
      <c r="G14" s="346"/>
      <c r="H14" s="346"/>
      <c r="I14" s="346"/>
      <c r="J14" s="346"/>
      <c r="K14" s="346"/>
      <c r="L14" s="346"/>
      <c r="M14" s="346"/>
      <c r="N14" s="346"/>
      <c r="O14" s="346"/>
      <c r="P14" s="346"/>
      <c r="Q14" s="346"/>
      <c r="R14" s="346"/>
    </row>
    <row r="15" spans="2:42" s="347" customFormat="1" ht="44.1" customHeight="1">
      <c r="B15" s="1905" t="s">
        <v>66</v>
      </c>
      <c r="C15" s="1905"/>
      <c r="D15" s="1905"/>
      <c r="E15" s="1905"/>
      <c r="F15" s="1905"/>
      <c r="G15" s="1905"/>
      <c r="H15" s="1905"/>
      <c r="I15" s="1905"/>
      <c r="J15" s="1905"/>
      <c r="K15" s="1905"/>
      <c r="L15" s="1905"/>
      <c r="M15" s="1905"/>
      <c r="N15" s="1905"/>
      <c r="O15" s="1905"/>
      <c r="P15" s="1905"/>
      <c r="Q15" s="1905"/>
      <c r="R15" s="1905"/>
      <c r="S15" s="1905"/>
      <c r="T15" s="1905"/>
      <c r="U15" s="1905"/>
      <c r="V15" s="1905"/>
      <c r="W15" s="1905"/>
      <c r="X15" s="1905"/>
      <c r="Y15" s="1905"/>
      <c r="Z15" s="1905"/>
      <c r="AA15" s="1905"/>
      <c r="AB15" s="1905"/>
      <c r="AC15" s="1905"/>
      <c r="AD15" s="1905"/>
      <c r="AE15" s="1905"/>
      <c r="AF15" s="1905"/>
      <c r="AG15" s="1905"/>
      <c r="AH15" s="1905"/>
      <c r="AI15" s="1905"/>
      <c r="AJ15" s="1905"/>
      <c r="AK15" s="1905"/>
      <c r="AL15" s="1905"/>
      <c r="AM15" s="1905"/>
      <c r="AN15" s="1905"/>
      <c r="AO15" s="1905"/>
      <c r="AP15" s="1905"/>
    </row>
    <row r="16" spans="2:42" s="347" customFormat="1" ht="32.25" customHeight="1">
      <c r="C16" s="348" t="s">
        <v>47</v>
      </c>
      <c r="D16" s="1905" t="s">
        <v>1223</v>
      </c>
      <c r="E16" s="1905"/>
      <c r="F16" s="1905"/>
      <c r="G16" s="1905"/>
      <c r="H16" s="1905"/>
      <c r="I16" s="1905"/>
      <c r="J16" s="1905"/>
      <c r="K16" s="1905"/>
      <c r="L16" s="1905"/>
      <c r="M16" s="1905"/>
      <c r="N16" s="1905"/>
      <c r="O16" s="1905"/>
      <c r="P16" s="1905"/>
      <c r="Q16" s="1905"/>
      <c r="R16" s="1905"/>
      <c r="S16" s="1905"/>
      <c r="T16" s="1905"/>
      <c r="U16" s="1905"/>
      <c r="V16" s="1905"/>
      <c r="W16" s="1905"/>
      <c r="X16" s="1905"/>
      <c r="Y16" s="1905"/>
      <c r="Z16" s="1905"/>
      <c r="AA16" s="1905"/>
      <c r="AB16" s="1905"/>
      <c r="AC16" s="1905"/>
      <c r="AD16" s="1905"/>
      <c r="AE16" s="1905"/>
      <c r="AF16" s="1905"/>
      <c r="AG16" s="1905"/>
      <c r="AH16" s="1905"/>
      <c r="AI16" s="1905"/>
      <c r="AJ16" s="1905"/>
      <c r="AK16" s="1905"/>
      <c r="AL16" s="1905"/>
      <c r="AM16" s="1905"/>
      <c r="AN16" s="1905"/>
      <c r="AO16" s="1905"/>
      <c r="AP16" s="1905"/>
    </row>
    <row r="17" spans="2:56" s="347" customFormat="1" ht="27.95" customHeight="1">
      <c r="C17" s="348" t="s">
        <v>48</v>
      </c>
      <c r="D17" s="1905" t="s">
        <v>1035</v>
      </c>
      <c r="E17" s="1905"/>
      <c r="F17" s="1905"/>
      <c r="G17" s="1905"/>
      <c r="H17" s="1905"/>
      <c r="I17" s="1905"/>
      <c r="J17" s="1905"/>
      <c r="K17" s="1905"/>
      <c r="L17" s="1905"/>
      <c r="M17" s="1905"/>
      <c r="N17" s="1905"/>
      <c r="O17" s="1905"/>
      <c r="P17" s="1905"/>
      <c r="Q17" s="1905"/>
      <c r="R17" s="1905"/>
      <c r="S17" s="1905"/>
      <c r="T17" s="1905"/>
      <c r="U17" s="1905"/>
      <c r="V17" s="1905"/>
      <c r="W17" s="1905"/>
      <c r="X17" s="1905"/>
      <c r="Y17" s="1905"/>
      <c r="Z17" s="1905"/>
      <c r="AA17" s="1905"/>
      <c r="AB17" s="1905"/>
      <c r="AC17" s="1905"/>
      <c r="AD17" s="1905"/>
      <c r="AE17" s="1905"/>
      <c r="AF17" s="1905"/>
      <c r="AG17" s="1905"/>
      <c r="AH17" s="1905"/>
      <c r="AI17" s="1905"/>
      <c r="AJ17" s="1905"/>
      <c r="AK17" s="1905"/>
      <c r="AL17" s="1905"/>
      <c r="AM17" s="1905"/>
      <c r="AN17" s="1905"/>
      <c r="AO17" s="1905"/>
      <c r="AP17" s="1905"/>
    </row>
    <row r="18" spans="2:56" s="347" customFormat="1" ht="27.95" customHeight="1">
      <c r="C18" s="348" t="s">
        <v>49</v>
      </c>
      <c r="D18" s="1904" t="s">
        <v>1036</v>
      </c>
      <c r="E18" s="1904"/>
      <c r="F18" s="1904"/>
      <c r="G18" s="1904"/>
      <c r="H18" s="1904"/>
      <c r="I18" s="1904"/>
      <c r="J18" s="1904"/>
      <c r="K18" s="1904"/>
      <c r="L18" s="1904"/>
      <c r="M18" s="1904"/>
      <c r="N18" s="1904"/>
      <c r="O18" s="1904"/>
      <c r="P18" s="1904"/>
      <c r="Q18" s="1904"/>
      <c r="R18" s="1904"/>
      <c r="S18" s="1904"/>
      <c r="T18" s="1904"/>
      <c r="U18" s="1904"/>
      <c r="V18" s="1904"/>
      <c r="W18" s="1904"/>
      <c r="X18" s="1904"/>
      <c r="Y18" s="1904"/>
      <c r="Z18" s="1904"/>
      <c r="AA18" s="1904"/>
      <c r="AB18" s="1904"/>
      <c r="AC18" s="1904"/>
      <c r="AD18" s="1904"/>
      <c r="AE18" s="1904"/>
      <c r="AF18" s="1904"/>
      <c r="AG18" s="1904"/>
      <c r="AH18" s="1904"/>
      <c r="AI18" s="1904"/>
      <c r="AJ18" s="1904"/>
      <c r="AK18" s="1904"/>
      <c r="AL18" s="1904"/>
      <c r="AM18" s="1904"/>
      <c r="AN18" s="1904"/>
      <c r="AO18" s="1904"/>
      <c r="AP18" s="1904"/>
      <c r="AQ18" s="349"/>
    </row>
    <row r="19" spans="2:56" s="347" customFormat="1" ht="28.5" customHeight="1">
      <c r="C19" s="348" t="s">
        <v>50</v>
      </c>
      <c r="D19" s="1904" t="s">
        <v>1037</v>
      </c>
      <c r="E19" s="1904"/>
      <c r="F19" s="1904"/>
      <c r="G19" s="1904"/>
      <c r="H19" s="1904"/>
      <c r="I19" s="1904"/>
      <c r="J19" s="1904"/>
      <c r="K19" s="1904"/>
      <c r="L19" s="1904"/>
      <c r="M19" s="1904"/>
      <c r="N19" s="1904"/>
      <c r="O19" s="1904"/>
      <c r="P19" s="1904"/>
      <c r="Q19" s="1904"/>
      <c r="R19" s="1904"/>
      <c r="S19" s="1904"/>
      <c r="T19" s="1904"/>
      <c r="U19" s="1904"/>
      <c r="V19" s="1904"/>
      <c r="W19" s="1904"/>
      <c r="X19" s="1904"/>
      <c r="Y19" s="1904"/>
      <c r="Z19" s="1904"/>
      <c r="AA19" s="1904"/>
      <c r="AB19" s="1904"/>
      <c r="AC19" s="1904"/>
      <c r="AD19" s="1904"/>
      <c r="AE19" s="1904"/>
      <c r="AF19" s="1904"/>
      <c r="AG19" s="1904"/>
      <c r="AH19" s="1904"/>
      <c r="AI19" s="1904"/>
      <c r="AJ19" s="1904"/>
      <c r="AK19" s="1904"/>
      <c r="AL19" s="1904"/>
      <c r="AM19" s="1904"/>
      <c r="AN19" s="1904"/>
      <c r="AO19" s="1904"/>
      <c r="AP19" s="1904"/>
    </row>
    <row r="20" spans="2:56" s="347" customFormat="1" ht="27" customHeight="1">
      <c r="C20" s="348" t="s">
        <v>51</v>
      </c>
      <c r="D20" s="1904" t="s">
        <v>1038</v>
      </c>
      <c r="E20" s="1904"/>
      <c r="F20" s="1904"/>
      <c r="G20" s="1904"/>
      <c r="H20" s="1904"/>
      <c r="I20" s="1904"/>
      <c r="J20" s="1904"/>
      <c r="K20" s="1904"/>
      <c r="L20" s="1904"/>
      <c r="M20" s="1904"/>
      <c r="N20" s="1904"/>
      <c r="O20" s="1904"/>
      <c r="P20" s="1904"/>
      <c r="Q20" s="1904"/>
      <c r="R20" s="1904"/>
      <c r="S20" s="1904"/>
      <c r="T20" s="1904"/>
      <c r="U20" s="1904"/>
      <c r="V20" s="1904"/>
      <c r="W20" s="1904"/>
      <c r="X20" s="1904"/>
      <c r="Y20" s="1904"/>
      <c r="Z20" s="1904"/>
      <c r="AA20" s="1904"/>
      <c r="AB20" s="1904"/>
      <c r="AC20" s="1904"/>
      <c r="AD20" s="1904"/>
      <c r="AE20" s="1904"/>
      <c r="AF20" s="1904"/>
      <c r="AG20" s="1904"/>
      <c r="AH20" s="1904"/>
      <c r="AI20" s="1904"/>
      <c r="AJ20" s="1904"/>
      <c r="AK20" s="1904"/>
      <c r="AL20" s="1904"/>
      <c r="AM20" s="1904"/>
      <c r="AN20" s="1904"/>
      <c r="AO20" s="1904"/>
      <c r="AP20" s="1904"/>
    </row>
    <row r="21" spans="2:56" s="347" customFormat="1" ht="27.95" customHeight="1">
      <c r="C21" s="348" t="s">
        <v>52</v>
      </c>
      <c r="D21" s="1904" t="s">
        <v>1039</v>
      </c>
      <c r="E21" s="1904"/>
      <c r="F21" s="1904"/>
      <c r="G21" s="1904"/>
      <c r="H21" s="1904"/>
      <c r="I21" s="1904"/>
      <c r="J21" s="1904"/>
      <c r="K21" s="1904"/>
      <c r="L21" s="1904"/>
      <c r="M21" s="1904"/>
      <c r="N21" s="1904"/>
      <c r="O21" s="1904"/>
      <c r="P21" s="1904"/>
      <c r="Q21" s="1904"/>
      <c r="R21" s="1904"/>
      <c r="S21" s="1904"/>
      <c r="T21" s="1904"/>
      <c r="U21" s="1904"/>
      <c r="V21" s="1904"/>
      <c r="W21" s="1904"/>
      <c r="X21" s="1904"/>
      <c r="Y21" s="1904"/>
      <c r="Z21" s="1904"/>
      <c r="AA21" s="1904"/>
      <c r="AB21" s="1904"/>
      <c r="AC21" s="1904"/>
      <c r="AD21" s="1904"/>
      <c r="AE21" s="1904"/>
      <c r="AF21" s="1904"/>
      <c r="AG21" s="1904"/>
      <c r="AH21" s="1904"/>
      <c r="AI21" s="1904"/>
      <c r="AJ21" s="1904"/>
      <c r="AK21" s="1904"/>
      <c r="AL21" s="1904"/>
      <c r="AM21" s="1904"/>
      <c r="AN21" s="1904"/>
      <c r="AO21" s="1904"/>
      <c r="AP21" s="1904"/>
      <c r="AQ21" s="349"/>
    </row>
    <row r="22" spans="2:56" s="347" customFormat="1" ht="9.9499999999999993" customHeight="1">
      <c r="B22" s="348"/>
      <c r="C22" s="350"/>
      <c r="D22" s="350"/>
      <c r="E22" s="350"/>
      <c r="F22" s="350"/>
      <c r="G22" s="350"/>
      <c r="H22" s="350"/>
      <c r="I22" s="350"/>
      <c r="J22" s="350"/>
      <c r="K22" s="350"/>
      <c r="L22" s="350"/>
      <c r="M22" s="350"/>
      <c r="N22" s="350"/>
      <c r="O22" s="350"/>
      <c r="P22" s="350"/>
      <c r="Q22" s="350"/>
      <c r="R22" s="350"/>
      <c r="S22" s="350"/>
      <c r="T22" s="350"/>
      <c r="U22" s="350"/>
      <c r="V22" s="350"/>
      <c r="W22" s="350"/>
      <c r="X22" s="350"/>
      <c r="Y22" s="350"/>
      <c r="Z22" s="350"/>
      <c r="AA22" s="350"/>
      <c r="AB22" s="350"/>
      <c r="AC22" s="350"/>
      <c r="AD22" s="350"/>
      <c r="AE22" s="350"/>
      <c r="AF22" s="350"/>
      <c r="AG22" s="350"/>
      <c r="AH22" s="350"/>
      <c r="AI22" s="350"/>
      <c r="AJ22" s="350"/>
      <c r="AK22" s="350"/>
      <c r="AL22" s="350"/>
      <c r="AM22" s="350"/>
      <c r="AN22" s="350"/>
      <c r="AO22" s="350"/>
      <c r="AP22" s="350"/>
      <c r="AQ22" s="350"/>
    </row>
    <row r="23" spans="2:56" s="336" customFormat="1" ht="29.45" customHeight="1">
      <c r="B23" s="1829" t="s">
        <v>11372</v>
      </c>
      <c r="C23" s="1829"/>
      <c r="D23" s="1829"/>
      <c r="E23" s="1829"/>
      <c r="F23" s="1829"/>
      <c r="G23" s="1829"/>
      <c r="H23" s="1829"/>
      <c r="I23" s="1829"/>
      <c r="J23" s="1829"/>
      <c r="K23" s="1829"/>
      <c r="L23" s="1829"/>
      <c r="M23" s="1829"/>
      <c r="N23" s="1829"/>
      <c r="O23" s="1829"/>
      <c r="P23" s="1829"/>
      <c r="Q23" s="1829"/>
      <c r="R23" s="1829"/>
      <c r="S23" s="1829"/>
      <c r="T23" s="1829"/>
      <c r="U23" s="1829"/>
      <c r="V23" s="1829"/>
      <c r="W23" s="1829"/>
      <c r="X23" s="1829"/>
      <c r="Y23" s="1829"/>
      <c r="Z23" s="1829"/>
      <c r="AA23" s="1829"/>
      <c r="AB23" s="1829"/>
      <c r="AC23" s="1829"/>
      <c r="AD23" s="1829"/>
      <c r="AE23" s="1829"/>
      <c r="AF23" s="1829"/>
      <c r="AG23" s="1829"/>
      <c r="AH23" s="1829"/>
      <c r="AI23" s="1829"/>
      <c r="AJ23" s="1829"/>
      <c r="AK23" s="1829"/>
      <c r="AL23" s="1829"/>
      <c r="AM23" s="1829"/>
      <c r="AN23" s="1829"/>
      <c r="AO23" s="1829"/>
      <c r="AP23" s="1829"/>
    </row>
    <row r="24" spans="2:56" s="347" customFormat="1" ht="24.95" customHeight="1">
      <c r="B24" s="348"/>
      <c r="C24" s="351"/>
      <c r="D24" s="351"/>
      <c r="E24" s="351"/>
      <c r="F24" s="351"/>
      <c r="G24" s="351"/>
      <c r="H24" s="351"/>
      <c r="I24" s="351"/>
      <c r="J24" s="351"/>
      <c r="K24" s="351"/>
      <c r="L24" s="351"/>
      <c r="M24" s="351"/>
      <c r="N24" s="351"/>
      <c r="O24" s="351"/>
      <c r="P24" s="351"/>
      <c r="Q24" s="351"/>
      <c r="R24" s="351"/>
      <c r="S24" s="351"/>
      <c r="T24" s="351"/>
      <c r="U24" s="351"/>
      <c r="V24" s="351"/>
      <c r="W24" s="351"/>
      <c r="X24" s="351"/>
      <c r="Y24" s="351"/>
      <c r="Z24" s="351"/>
      <c r="AA24" s="351"/>
      <c r="AB24" s="351"/>
      <c r="AC24" s="351"/>
      <c r="AD24" s="351"/>
      <c r="AE24" s="351"/>
      <c r="AF24" s="351"/>
      <c r="AG24" s="351"/>
      <c r="AH24" s="351"/>
      <c r="AI24" s="351"/>
      <c r="AJ24" s="351"/>
      <c r="AK24" s="351"/>
      <c r="AL24" s="351"/>
      <c r="AM24" s="351"/>
      <c r="AN24" s="351"/>
      <c r="AO24" s="351"/>
      <c r="AP24" s="351"/>
    </row>
    <row r="25" spans="2:56" s="353" customFormat="1" ht="16.5">
      <c r="B25" s="352" t="s">
        <v>1086</v>
      </c>
      <c r="C25" s="352"/>
      <c r="D25" s="352"/>
      <c r="E25" s="352"/>
      <c r="F25" s="352"/>
      <c r="G25" s="352"/>
      <c r="H25" s="352"/>
      <c r="I25" s="352"/>
      <c r="J25" s="352"/>
      <c r="K25" s="352"/>
      <c r="L25" s="352"/>
      <c r="M25" s="352"/>
      <c r="N25" s="352"/>
      <c r="O25" s="352"/>
      <c r="P25" s="352"/>
      <c r="Q25" s="352"/>
      <c r="R25" s="352"/>
      <c r="S25" s="352"/>
      <c r="T25" s="352"/>
      <c r="U25" s="352"/>
      <c r="V25" s="352"/>
      <c r="W25" s="352"/>
    </row>
    <row r="26" spans="2:56" s="224" customFormat="1" ht="17.25" thickBot="1">
      <c r="B26" s="354" t="s">
        <v>11373</v>
      </c>
      <c r="C26" s="355"/>
      <c r="D26" s="355"/>
      <c r="E26" s="355"/>
      <c r="F26" s="355"/>
      <c r="G26" s="355"/>
      <c r="H26" s="355"/>
      <c r="I26" s="355"/>
      <c r="J26" s="355"/>
      <c r="K26" s="355"/>
      <c r="L26" s="355"/>
      <c r="M26" s="355"/>
      <c r="N26" s="355"/>
      <c r="O26" s="355"/>
      <c r="P26" s="355"/>
      <c r="Q26" s="355"/>
      <c r="R26" s="355"/>
      <c r="S26" s="355"/>
      <c r="T26" s="355"/>
      <c r="U26" s="355"/>
      <c r="V26" s="355"/>
      <c r="W26" s="355"/>
      <c r="X26" s="355"/>
    </row>
    <row r="27" spans="2:56" s="353" customFormat="1" ht="35.1" customHeight="1" thickBot="1">
      <c r="B27" s="1830" t="s">
        <v>76</v>
      </c>
      <c r="C27" s="1831"/>
      <c r="D27" s="1831"/>
      <c r="E27" s="1831"/>
      <c r="F27" s="1831"/>
      <c r="G27" s="1831"/>
      <c r="H27" s="1831"/>
      <c r="I27" s="1832"/>
      <c r="J27" s="1830" t="s">
        <v>77</v>
      </c>
      <c r="K27" s="1831"/>
      <c r="L27" s="1831"/>
      <c r="M27" s="1831"/>
      <c r="N27" s="1832"/>
      <c r="P27" s="1821" t="s">
        <v>1224</v>
      </c>
      <c r="Q27" s="1821"/>
      <c r="R27" s="1821"/>
      <c r="S27" s="1821"/>
      <c r="T27" s="1821"/>
      <c r="U27" s="1821"/>
      <c r="V27" s="1821"/>
      <c r="W27" s="1821"/>
      <c r="X27" s="1821"/>
      <c r="Y27" s="1821"/>
      <c r="Z27" s="1821"/>
      <c r="AA27" s="1821"/>
      <c r="AB27" s="1821"/>
      <c r="AC27" s="1821"/>
      <c r="AD27" s="1821"/>
      <c r="AE27" s="356"/>
      <c r="AF27" s="357"/>
      <c r="AG27" s="332" t="s">
        <v>72</v>
      </c>
      <c r="AH27" s="222"/>
      <c r="AI27" s="222"/>
      <c r="AJ27" s="222"/>
      <c r="AK27" s="222"/>
      <c r="AL27" s="222"/>
      <c r="AM27" s="222"/>
      <c r="AN27" s="222"/>
      <c r="AO27" s="222"/>
      <c r="AP27" s="222"/>
      <c r="AQ27" s="222"/>
      <c r="AR27" s="222"/>
      <c r="AS27" s="222"/>
      <c r="AT27" s="331"/>
      <c r="AU27" s="357"/>
      <c r="AV27" s="357"/>
      <c r="AW27" s="357"/>
      <c r="AX27" s="357"/>
      <c r="AY27" s="357"/>
      <c r="AZ27" s="357"/>
      <c r="BA27" s="357"/>
      <c r="BB27" s="357"/>
      <c r="BC27" s="357"/>
      <c r="BD27" s="357"/>
    </row>
    <row r="28" spans="2:56" s="353" customFormat="1" ht="30" customHeight="1">
      <c r="B28" s="1842" t="s">
        <v>1088</v>
      </c>
      <c r="C28" s="1843"/>
      <c r="D28" s="1843"/>
      <c r="E28" s="1843"/>
      <c r="F28" s="1843"/>
      <c r="G28" s="1843"/>
      <c r="H28" s="1843"/>
      <c r="I28" s="1844"/>
      <c r="J28" s="1833">
        <v>0</v>
      </c>
      <c r="K28" s="1834"/>
      <c r="L28" s="1834"/>
      <c r="M28" s="1834"/>
      <c r="N28" s="1835"/>
      <c r="O28" s="357"/>
      <c r="P28" s="1821"/>
      <c r="Q28" s="1821"/>
      <c r="R28" s="1821"/>
      <c r="S28" s="1821"/>
      <c r="T28" s="1821"/>
      <c r="U28" s="1821"/>
      <c r="V28" s="1821"/>
      <c r="W28" s="1821"/>
      <c r="X28" s="1821"/>
      <c r="Y28" s="1821"/>
      <c r="Z28" s="1821"/>
      <c r="AA28" s="1821"/>
      <c r="AB28" s="1821"/>
      <c r="AC28" s="1821"/>
      <c r="AD28" s="1821"/>
      <c r="AE28" s="356"/>
      <c r="AF28" s="357"/>
      <c r="AG28" s="1822" t="s">
        <v>11911</v>
      </c>
      <c r="AH28" s="1822"/>
      <c r="AI28" s="1822"/>
      <c r="AJ28" s="1822"/>
      <c r="AK28" s="1822"/>
      <c r="AL28" s="1822"/>
      <c r="AM28" s="1822"/>
      <c r="AN28" s="1822"/>
      <c r="AO28" s="1822"/>
      <c r="AP28" s="1822"/>
      <c r="AQ28" s="222"/>
      <c r="AR28" s="222"/>
      <c r="AS28" s="222"/>
      <c r="AT28" s="222"/>
      <c r="AU28" s="357"/>
      <c r="AV28" s="357"/>
      <c r="AW28" s="357"/>
      <c r="AX28" s="357"/>
      <c r="AY28" s="357"/>
      <c r="AZ28" s="357"/>
      <c r="BA28" s="357"/>
      <c r="BB28" s="357"/>
      <c r="BC28" s="357"/>
      <c r="BD28" s="357"/>
    </row>
    <row r="29" spans="2:56" s="353" customFormat="1" ht="15" customHeight="1">
      <c r="B29" s="1836" t="s">
        <v>1089</v>
      </c>
      <c r="C29" s="1837"/>
      <c r="D29" s="1837"/>
      <c r="E29" s="1837"/>
      <c r="F29" s="1837"/>
      <c r="G29" s="1837"/>
      <c r="H29" s="1837"/>
      <c r="I29" s="1838"/>
      <c r="J29" s="1845">
        <v>0</v>
      </c>
      <c r="K29" s="1846"/>
      <c r="L29" s="1846"/>
      <c r="M29" s="1846"/>
      <c r="N29" s="1847"/>
      <c r="O29" s="357"/>
      <c r="P29" s="1821"/>
      <c r="Q29" s="1821"/>
      <c r="R29" s="1821"/>
      <c r="S29" s="1821"/>
      <c r="T29" s="1821"/>
      <c r="U29" s="1821"/>
      <c r="V29" s="1821"/>
      <c r="W29" s="1821"/>
      <c r="X29" s="1821"/>
      <c r="Y29" s="1821"/>
      <c r="Z29" s="1821"/>
      <c r="AA29" s="1821"/>
      <c r="AB29" s="1821"/>
      <c r="AC29" s="1821"/>
      <c r="AD29" s="1821"/>
      <c r="AE29" s="356"/>
      <c r="AF29" s="357"/>
      <c r="AG29" s="1811" t="s">
        <v>37</v>
      </c>
      <c r="AH29" s="1811"/>
      <c r="AI29" s="1811"/>
      <c r="AJ29" s="1811"/>
      <c r="AK29" s="1811"/>
      <c r="AL29" s="1811"/>
      <c r="AM29" s="1811"/>
      <c r="AN29" s="1811"/>
      <c r="AO29" s="1811"/>
      <c r="AP29" s="1811"/>
      <c r="AQ29" s="222"/>
      <c r="AR29" s="222"/>
      <c r="AS29" s="222"/>
      <c r="AT29" s="222"/>
      <c r="AU29" s="357"/>
      <c r="AV29" s="357"/>
      <c r="AW29" s="357"/>
      <c r="AX29" s="357"/>
      <c r="AY29" s="357"/>
      <c r="AZ29" s="357"/>
      <c r="BA29" s="357"/>
      <c r="BB29" s="357"/>
      <c r="BC29" s="357"/>
      <c r="BD29" s="357"/>
    </row>
    <row r="30" spans="2:56" s="353" customFormat="1" ht="15" customHeight="1" thickBot="1">
      <c r="B30" s="1839"/>
      <c r="C30" s="1840"/>
      <c r="D30" s="1840"/>
      <c r="E30" s="1840"/>
      <c r="F30" s="1840"/>
      <c r="G30" s="1840"/>
      <c r="H30" s="1840"/>
      <c r="I30" s="1841"/>
      <c r="J30" s="1848"/>
      <c r="K30" s="1849"/>
      <c r="L30" s="1849"/>
      <c r="M30" s="1849"/>
      <c r="N30" s="1850"/>
      <c r="O30" s="357"/>
      <c r="P30" s="1821" t="s">
        <v>1087</v>
      </c>
      <c r="Q30" s="1821"/>
      <c r="R30" s="1821"/>
      <c r="S30" s="1821"/>
      <c r="T30" s="1821"/>
      <c r="U30" s="1821"/>
      <c r="V30" s="1821"/>
      <c r="W30" s="1821"/>
      <c r="X30" s="1821"/>
      <c r="Y30" s="1821"/>
      <c r="Z30" s="1821"/>
      <c r="AA30" s="1821"/>
      <c r="AB30" s="1821"/>
      <c r="AC30" s="1821"/>
      <c r="AD30" s="1821"/>
      <c r="AE30" s="356"/>
      <c r="AQ30" s="358"/>
      <c r="AR30" s="358"/>
      <c r="AS30" s="358"/>
      <c r="AT30" s="358"/>
    </row>
    <row r="31" spans="2:56" s="353" customFormat="1" ht="15" customHeight="1" thickTop="1">
      <c r="B31" s="1823" t="s">
        <v>80</v>
      </c>
      <c r="C31" s="1824"/>
      <c r="D31" s="1824"/>
      <c r="E31" s="1824"/>
      <c r="F31" s="1824"/>
      <c r="G31" s="1824"/>
      <c r="H31" s="1824"/>
      <c r="I31" s="1825"/>
      <c r="J31" s="1851">
        <f>SUM(J28:N30)</f>
        <v>0</v>
      </c>
      <c r="K31" s="1852"/>
      <c r="L31" s="1852"/>
      <c r="M31" s="1852"/>
      <c r="N31" s="1853"/>
      <c r="O31" s="357"/>
      <c r="P31" s="1821"/>
      <c r="Q31" s="1821"/>
      <c r="R31" s="1821"/>
      <c r="S31" s="1821"/>
      <c r="T31" s="1821"/>
      <c r="U31" s="1821"/>
      <c r="V31" s="1821"/>
      <c r="W31" s="1821"/>
      <c r="X31" s="1821"/>
      <c r="Y31" s="1821"/>
      <c r="Z31" s="1821"/>
      <c r="AA31" s="1821"/>
      <c r="AB31" s="1821"/>
      <c r="AC31" s="1821"/>
      <c r="AD31" s="1821"/>
      <c r="AE31" s="356"/>
      <c r="AG31" s="332" t="s">
        <v>58</v>
      </c>
      <c r="AH31" s="222"/>
      <c r="AI31" s="222"/>
      <c r="AJ31" s="222"/>
      <c r="AK31" s="1822" t="s">
        <v>11897</v>
      </c>
      <c r="AL31" s="1822"/>
      <c r="AM31" s="1822"/>
      <c r="AN31" s="1822"/>
      <c r="AO31" s="1822"/>
      <c r="AP31" s="1822"/>
      <c r="AQ31" s="358"/>
      <c r="AR31" s="358"/>
      <c r="AS31" s="358"/>
      <c r="AT31" s="358"/>
    </row>
    <row r="32" spans="2:56" s="353" customFormat="1" ht="15" customHeight="1" thickBot="1">
      <c r="B32" s="1826"/>
      <c r="C32" s="1827"/>
      <c r="D32" s="1827"/>
      <c r="E32" s="1827"/>
      <c r="F32" s="1827"/>
      <c r="G32" s="1827"/>
      <c r="H32" s="1827"/>
      <c r="I32" s="1828"/>
      <c r="J32" s="1854"/>
      <c r="K32" s="1855"/>
      <c r="L32" s="1855"/>
      <c r="M32" s="1855"/>
      <c r="N32" s="1856"/>
      <c r="O32" s="359"/>
      <c r="P32" s="1821"/>
      <c r="Q32" s="1821"/>
      <c r="R32" s="1821"/>
      <c r="S32" s="1821"/>
      <c r="T32" s="1821"/>
      <c r="U32" s="1821"/>
      <c r="V32" s="1821"/>
      <c r="W32" s="1821"/>
      <c r="X32" s="1821"/>
      <c r="Y32" s="1821"/>
      <c r="Z32" s="1821"/>
      <c r="AA32" s="1821"/>
      <c r="AB32" s="1821"/>
      <c r="AC32" s="1821"/>
      <c r="AD32" s="1821"/>
      <c r="AE32" s="356"/>
      <c r="AF32" s="357"/>
      <c r="AQ32" s="222"/>
      <c r="AR32" s="222"/>
      <c r="AS32" s="222"/>
      <c r="AT32" s="222"/>
      <c r="AU32" s="357"/>
      <c r="AV32" s="357"/>
      <c r="AW32" s="357"/>
      <c r="AX32" s="357"/>
      <c r="AY32" s="357"/>
      <c r="AZ32" s="357"/>
      <c r="BA32" s="357"/>
      <c r="BB32" s="357"/>
      <c r="BC32" s="357"/>
      <c r="BD32" s="357"/>
    </row>
    <row r="33" spans="2:42" ht="30.75" customHeight="1">
      <c r="C33" s="227"/>
      <c r="E33" s="227"/>
      <c r="G33" s="227"/>
      <c r="I33" s="227"/>
      <c r="K33" s="227"/>
      <c r="M33" s="227"/>
      <c r="O33" s="227"/>
      <c r="P33" s="227"/>
      <c r="Q33" s="227"/>
      <c r="R33" s="227"/>
      <c r="S33" s="227"/>
      <c r="V33" s="227"/>
      <c r="Y33" s="227"/>
      <c r="AA33" s="227"/>
      <c r="AC33" s="227"/>
      <c r="AE33" s="227"/>
      <c r="AG33" s="227"/>
      <c r="AI33" s="227"/>
      <c r="AK33" s="227"/>
    </row>
    <row r="34" spans="2:42" s="331" customFormat="1" ht="15">
      <c r="B34" s="332" t="s">
        <v>74</v>
      </c>
      <c r="AC34" s="332" t="s">
        <v>33</v>
      </c>
    </row>
    <row r="35" spans="2:42" s="331" customFormat="1" ht="21.75" customHeight="1">
      <c r="B35" s="332" t="s">
        <v>75</v>
      </c>
      <c r="F35" s="1891" t="str">
        <f>activesheet!E21</f>
        <v>MELCHESIEDICK Q. BOLANIO / March 17, 2023</v>
      </c>
      <c r="G35" s="1891"/>
      <c r="H35" s="1891"/>
      <c r="I35" s="1891"/>
      <c r="J35" s="1891"/>
      <c r="K35" s="1891"/>
      <c r="L35" s="1891"/>
      <c r="M35" s="1891"/>
      <c r="N35" s="1891"/>
      <c r="O35" s="1891"/>
      <c r="P35" s="360"/>
      <c r="Q35" s="360"/>
      <c r="R35" s="360"/>
      <c r="S35" s="360"/>
      <c r="AC35" s="1819" t="str">
        <f>activesheet!E25</f>
        <v>MICHAEL T. JAMIS / March 17, 2023</v>
      </c>
      <c r="AD35" s="1819"/>
      <c r="AE35" s="1819"/>
      <c r="AF35" s="1819"/>
      <c r="AG35" s="1819"/>
      <c r="AH35" s="1819"/>
      <c r="AI35" s="1819"/>
      <c r="AJ35" s="1819"/>
      <c r="AK35" s="1819"/>
      <c r="AL35" s="1819"/>
      <c r="AM35" s="1819"/>
      <c r="AN35" s="1819"/>
      <c r="AO35" s="1819"/>
      <c r="AP35" s="1819"/>
    </row>
    <row r="36" spans="2:42" s="325" customFormat="1" ht="13.5">
      <c r="B36" s="228"/>
      <c r="F36" s="1811" t="s">
        <v>37</v>
      </c>
      <c r="G36" s="1811"/>
      <c r="H36" s="1811"/>
      <c r="I36" s="1811"/>
      <c r="J36" s="1811"/>
      <c r="K36" s="1811"/>
      <c r="L36" s="1811"/>
      <c r="M36" s="1811"/>
      <c r="N36" s="1811"/>
      <c r="O36" s="1811"/>
      <c r="P36" s="247"/>
      <c r="Q36" s="247"/>
      <c r="R36" s="247"/>
      <c r="S36" s="247"/>
      <c r="T36" s="281"/>
      <c r="U36" s="281"/>
      <c r="V36" s="281"/>
      <c r="W36" s="281"/>
      <c r="X36" s="281"/>
      <c r="Y36" s="281"/>
      <c r="Z36" s="281"/>
      <c r="AA36" s="281"/>
      <c r="AB36" s="281"/>
      <c r="AC36" s="1820"/>
      <c r="AD36" s="1820"/>
      <c r="AE36" s="1820"/>
      <c r="AF36" s="1820"/>
      <c r="AG36" s="1820"/>
      <c r="AH36" s="1820"/>
      <c r="AI36" s="1820"/>
      <c r="AJ36" s="1820"/>
      <c r="AK36" s="1820"/>
      <c r="AL36" s="1820"/>
      <c r="AM36" s="1820"/>
      <c r="AN36" s="1820"/>
      <c r="AO36" s="1820"/>
      <c r="AP36" s="1820"/>
    </row>
    <row r="37" spans="2:42" s="331" customFormat="1" ht="21.75" customHeight="1">
      <c r="B37" s="332" t="s">
        <v>58</v>
      </c>
      <c r="F37" s="1891" t="str">
        <f>activesheet!E22</f>
        <v>SECONDARY SCHOOL PRINCIPAL IV</v>
      </c>
      <c r="G37" s="1891"/>
      <c r="H37" s="1891"/>
      <c r="I37" s="1891"/>
      <c r="J37" s="1891"/>
      <c r="K37" s="1891"/>
      <c r="L37" s="1891"/>
      <c r="M37" s="1891"/>
      <c r="N37" s="1891"/>
      <c r="O37" s="1891"/>
      <c r="P37" s="360"/>
      <c r="Q37" s="360"/>
      <c r="R37" s="360"/>
      <c r="S37" s="360"/>
      <c r="AC37" s="1811" t="s">
        <v>37</v>
      </c>
      <c r="AD37" s="1811"/>
      <c r="AE37" s="1811"/>
      <c r="AF37" s="1811"/>
      <c r="AG37" s="1811"/>
      <c r="AH37" s="1811"/>
      <c r="AI37" s="1811"/>
      <c r="AJ37" s="1811"/>
      <c r="AK37" s="1811"/>
      <c r="AL37" s="1811"/>
      <c r="AM37" s="1811"/>
      <c r="AN37" s="1811"/>
      <c r="AO37" s="1811"/>
      <c r="AP37" s="1811"/>
    </row>
  </sheetData>
  <sheetProtection algorithmName="SHA-512" hashValue="TGuj9aLjnsVA1761kEKhh1XY/FKsJ+2keOdrVaIkARhPUw06VHT6tlfvUbOUUwxudSBfvbgazgObr+oPnz4Nig==" saltValue="Uz/VxKyIhFPzDTjl4UWbmA==" spinCount="100000" sheet="1" objects="1" scenarios="1"/>
  <customSheetViews>
    <customSheetView guid="{6EFEFCA0-BF14-457A-85A3-29CBF2A862A5}" scale="50" showGridLines="0" fitToPage="1" topLeftCell="A22">
      <selection activeCell="AK31" sqref="AK31:AP31"/>
      <pageMargins left="0.39370078740157483" right="0.39370078740157483" top="0.19685039370078741" bottom="0.19685039370078741" header="0" footer="0.11811023622047245"/>
      <printOptions horizontalCentered="1" verticalCentered="1"/>
      <pageSetup paperSize="5" scale="65" orientation="landscape" r:id="rId1"/>
      <headerFooter>
        <oddFooter>&amp;L&amp;10&amp;F &amp;A&amp;R&amp;10Page 2 of 61</oddFooter>
      </headerFooter>
    </customSheetView>
  </customSheetViews>
  <mergeCells count="81">
    <mergeCell ref="D20:AP20"/>
    <mergeCell ref="D21:AP21"/>
    <mergeCell ref="B15:AP15"/>
    <mergeCell ref="D16:AP16"/>
    <mergeCell ref="D17:AP17"/>
    <mergeCell ref="D18:AP18"/>
    <mergeCell ref="D19:AP19"/>
    <mergeCell ref="F37:O37"/>
    <mergeCell ref="F35:O35"/>
    <mergeCell ref="F36:O36"/>
    <mergeCell ref="AM7:AP7"/>
    <mergeCell ref="AI3:AP3"/>
    <mergeCell ref="AI4:AP4"/>
    <mergeCell ref="S5:V5"/>
    <mergeCell ref="W5:Z5"/>
    <mergeCell ref="AA5:AD5"/>
    <mergeCell ref="AE5:AH5"/>
    <mergeCell ref="AI5:AL5"/>
    <mergeCell ref="AM5:AP5"/>
    <mergeCell ref="S6:AP6"/>
    <mergeCell ref="S7:V7"/>
    <mergeCell ref="W7:Z7"/>
    <mergeCell ref="AA7:AD7"/>
    <mergeCell ref="AI7:AL7"/>
    <mergeCell ref="AM8:AP8"/>
    <mergeCell ref="S9:V9"/>
    <mergeCell ref="W9:Z9"/>
    <mergeCell ref="AA9:AD9"/>
    <mergeCell ref="AE9:AH9"/>
    <mergeCell ref="AI9:AL9"/>
    <mergeCell ref="AM9:AP9"/>
    <mergeCell ref="S8:V8"/>
    <mergeCell ref="W8:Z8"/>
    <mergeCell ref="AA8:AD8"/>
    <mergeCell ref="AE8:AH8"/>
    <mergeCell ref="AI8:AL8"/>
    <mergeCell ref="AM10:AP10"/>
    <mergeCell ref="S11:V11"/>
    <mergeCell ref="W11:Z11"/>
    <mergeCell ref="AA11:AD11"/>
    <mergeCell ref="AE11:AH11"/>
    <mergeCell ref="AI11:AL11"/>
    <mergeCell ref="AM11:AP11"/>
    <mergeCell ref="S10:V10"/>
    <mergeCell ref="W10:Z10"/>
    <mergeCell ref="AA10:AD10"/>
    <mergeCell ref="AE10:AH10"/>
    <mergeCell ref="AI10:AL10"/>
    <mergeCell ref="B3:R5"/>
    <mergeCell ref="S3:Z4"/>
    <mergeCell ref="AA3:AH4"/>
    <mergeCell ref="B13:R13"/>
    <mergeCell ref="S13:V13"/>
    <mergeCell ref="W13:Z13"/>
    <mergeCell ref="AA13:AD13"/>
    <mergeCell ref="AE13:AH13"/>
    <mergeCell ref="AE7:AH7"/>
    <mergeCell ref="AM13:AP13"/>
    <mergeCell ref="S12:V12"/>
    <mergeCell ref="W12:Z12"/>
    <mergeCell ref="AA12:AD12"/>
    <mergeCell ref="AE12:AH12"/>
    <mergeCell ref="AI12:AL12"/>
    <mergeCell ref="AM12:AP12"/>
    <mergeCell ref="AI13:AL13"/>
    <mergeCell ref="B31:I32"/>
    <mergeCell ref="B23:AP23"/>
    <mergeCell ref="B27:I27"/>
    <mergeCell ref="J27:N27"/>
    <mergeCell ref="J28:N28"/>
    <mergeCell ref="B29:I30"/>
    <mergeCell ref="B28:I28"/>
    <mergeCell ref="J29:N30"/>
    <mergeCell ref="J31:N32"/>
    <mergeCell ref="AC35:AP36"/>
    <mergeCell ref="AC37:AP37"/>
    <mergeCell ref="P27:AD29"/>
    <mergeCell ref="P30:AD32"/>
    <mergeCell ref="AG28:AP28"/>
    <mergeCell ref="AK31:AP31"/>
    <mergeCell ref="AG29:AP29"/>
  </mergeCells>
  <dataValidations count="2">
    <dataValidation type="whole" allowBlank="1" showInputMessage="1" showErrorMessage="1" errorTitle="GSHSP SY 2022-2023" error="Please enter valid number between 0-20,000." sqref="S7:AH12" xr:uid="{5D591FEF-2F63-4068-9665-2128A007934B}">
      <formula1>0</formula1>
      <formula2>20000</formula2>
    </dataValidation>
    <dataValidation type="whole" allowBlank="1" showInputMessage="1" showErrorMessage="1" errorTitle="GSHSP SY 2022-2023" error="Please enter valid number between 0-999." sqref="J28:N30" xr:uid="{568BABD3-0597-449C-8DF1-A5C95DD6C6AC}">
      <formula1>0</formula1>
      <formula2>999</formula2>
    </dataValidation>
  </dataValidations>
  <printOptions horizontalCentered="1" verticalCentered="1"/>
  <pageMargins left="0.39370078740157483" right="0.39370078740157483" top="0.19685039370078741" bottom="0.19685039370078741" header="0" footer="0.11811023622047245"/>
  <pageSetup paperSize="5" scale="65" orientation="landscape" r:id="rId2"/>
  <headerFooter>
    <oddFooter>&amp;L&amp;10&amp;F &amp;A&amp;R&amp;10Page 2 of 61</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0633C-6950-4BE2-83FB-4A4FDC3C7317}">
  <sheetPr codeName="Sheet6">
    <tabColor rgb="FFFFFF00"/>
    <pageSetUpPr fitToPage="1"/>
  </sheetPr>
  <dimension ref="B1:AI63"/>
  <sheetViews>
    <sheetView showGridLines="0" topLeftCell="A47" zoomScaleNormal="100" workbookViewId="0">
      <selection activeCell="T66" sqref="T66"/>
    </sheetView>
  </sheetViews>
  <sheetFormatPr defaultColWidth="9" defaultRowHeight="15.75"/>
  <cols>
    <col min="1" max="1" width="1.625" style="238" customWidth="1"/>
    <col min="2" max="75" width="3.625" style="238" customWidth="1"/>
    <col min="76" max="16384" width="9" style="238"/>
  </cols>
  <sheetData>
    <row r="1" spans="2:35" s="230" customFormat="1" ht="16.5" customHeight="1">
      <c r="B1" s="229" t="s">
        <v>1452</v>
      </c>
      <c r="C1" s="229"/>
      <c r="D1" s="229"/>
      <c r="E1" s="229"/>
      <c r="F1" s="229"/>
      <c r="G1" s="229"/>
      <c r="H1" s="229"/>
      <c r="I1" s="229"/>
      <c r="J1" s="229"/>
      <c r="K1" s="229"/>
      <c r="L1" s="229"/>
      <c r="M1" s="229"/>
      <c r="N1" s="229"/>
      <c r="O1" s="229"/>
      <c r="P1" s="229"/>
      <c r="Q1" s="229"/>
      <c r="R1" s="229"/>
      <c r="S1" s="229"/>
      <c r="T1" s="229"/>
      <c r="U1" s="229"/>
    </row>
    <row r="2" spans="2:35" s="230" customFormat="1" ht="17.25" thickBot="1">
      <c r="B2" s="1921" t="s">
        <v>11492</v>
      </c>
      <c r="C2" s="1921"/>
      <c r="D2" s="1921"/>
      <c r="E2" s="1921"/>
      <c r="F2" s="1921"/>
      <c r="G2" s="1921"/>
      <c r="H2" s="1921"/>
      <c r="I2" s="1921"/>
      <c r="J2" s="1921"/>
      <c r="K2" s="1921"/>
      <c r="L2" s="1921"/>
      <c r="M2" s="1921"/>
      <c r="N2" s="1921"/>
      <c r="O2" s="1921"/>
      <c r="P2" s="1921"/>
      <c r="Q2" s="1921"/>
      <c r="R2" s="1921"/>
      <c r="S2" s="1921"/>
      <c r="T2" s="1921"/>
      <c r="U2" s="1921"/>
    </row>
    <row r="3" spans="2:35" s="230" customFormat="1" ht="17.25" thickBot="1">
      <c r="B3" s="1922" t="s">
        <v>1287</v>
      </c>
      <c r="C3" s="1923"/>
      <c r="D3" s="1923"/>
      <c r="E3" s="1923"/>
      <c r="F3" s="1923"/>
      <c r="G3" s="1923"/>
      <c r="H3" s="1923"/>
      <c r="I3" s="1923"/>
      <c r="J3" s="1923"/>
      <c r="K3" s="1923"/>
      <c r="L3" s="1923"/>
      <c r="M3" s="1923"/>
      <c r="N3" s="1923"/>
      <c r="O3" s="1923"/>
      <c r="P3" s="1923"/>
      <c r="Q3" s="1923"/>
      <c r="R3" s="1923"/>
      <c r="S3" s="1923"/>
      <c r="T3" s="1923"/>
      <c r="U3" s="1924"/>
      <c r="V3" s="1931" t="s">
        <v>1451</v>
      </c>
      <c r="W3" s="1931"/>
      <c r="X3" s="1931"/>
      <c r="Y3" s="1931"/>
      <c r="Z3" s="1931"/>
      <c r="AA3" s="1931"/>
      <c r="AB3" s="1931"/>
      <c r="AC3" s="1931"/>
      <c r="AD3" s="1931"/>
      <c r="AE3" s="1931"/>
      <c r="AF3" s="1931"/>
      <c r="AG3" s="1932"/>
    </row>
    <row r="4" spans="2:35" s="230" customFormat="1" ht="24" customHeight="1">
      <c r="B4" s="1925"/>
      <c r="C4" s="1926"/>
      <c r="D4" s="1926"/>
      <c r="E4" s="1926"/>
      <c r="F4" s="1926"/>
      <c r="G4" s="1926"/>
      <c r="H4" s="1926"/>
      <c r="I4" s="1926"/>
      <c r="J4" s="1926"/>
      <c r="K4" s="1926"/>
      <c r="L4" s="1926"/>
      <c r="M4" s="1926"/>
      <c r="N4" s="1926"/>
      <c r="O4" s="1926"/>
      <c r="P4" s="1926"/>
      <c r="Q4" s="1926"/>
      <c r="R4" s="1926"/>
      <c r="S4" s="1926"/>
      <c r="T4" s="1926"/>
      <c r="U4" s="1927"/>
      <c r="V4" s="1933" t="s">
        <v>1667</v>
      </c>
      <c r="W4" s="1934"/>
      <c r="X4" s="1934"/>
      <c r="Y4" s="1934"/>
      <c r="Z4" s="1934"/>
      <c r="AA4" s="1935"/>
      <c r="AB4" s="1933" t="s">
        <v>1668</v>
      </c>
      <c r="AC4" s="1934"/>
      <c r="AD4" s="1934"/>
      <c r="AE4" s="1934"/>
      <c r="AF4" s="1934"/>
      <c r="AG4" s="1935"/>
    </row>
    <row r="5" spans="2:35" s="230" customFormat="1" ht="24" customHeight="1">
      <c r="B5" s="1925"/>
      <c r="C5" s="1926"/>
      <c r="D5" s="1926"/>
      <c r="E5" s="1926"/>
      <c r="F5" s="1926"/>
      <c r="G5" s="1926"/>
      <c r="H5" s="1926"/>
      <c r="I5" s="1926"/>
      <c r="J5" s="1926"/>
      <c r="K5" s="1926"/>
      <c r="L5" s="1926"/>
      <c r="M5" s="1926"/>
      <c r="N5" s="1926"/>
      <c r="O5" s="1926"/>
      <c r="P5" s="1926"/>
      <c r="Q5" s="1926"/>
      <c r="R5" s="1926"/>
      <c r="S5" s="1926"/>
      <c r="T5" s="1926"/>
      <c r="U5" s="1927"/>
      <c r="V5" s="1936"/>
      <c r="W5" s="1936"/>
      <c r="X5" s="1936"/>
      <c r="Y5" s="1936"/>
      <c r="Z5" s="1936"/>
      <c r="AA5" s="1937"/>
      <c r="AB5" s="1936"/>
      <c r="AC5" s="1936"/>
      <c r="AD5" s="1936"/>
      <c r="AE5" s="1936"/>
      <c r="AF5" s="1936"/>
      <c r="AG5" s="1937"/>
    </row>
    <row r="6" spans="2:35" s="230" customFormat="1" ht="21" customHeight="1" thickBot="1">
      <c r="B6" s="1928"/>
      <c r="C6" s="1929"/>
      <c r="D6" s="1929"/>
      <c r="E6" s="1929"/>
      <c r="F6" s="1929"/>
      <c r="G6" s="1929"/>
      <c r="H6" s="1929"/>
      <c r="I6" s="1929"/>
      <c r="J6" s="1929"/>
      <c r="K6" s="1929"/>
      <c r="L6" s="1929"/>
      <c r="M6" s="1929"/>
      <c r="N6" s="1929"/>
      <c r="O6" s="1929"/>
      <c r="P6" s="1929"/>
      <c r="Q6" s="1929"/>
      <c r="R6" s="1929"/>
      <c r="S6" s="1929"/>
      <c r="T6" s="1929"/>
      <c r="U6" s="1930"/>
      <c r="V6" s="1938" t="s">
        <v>45</v>
      </c>
      <c r="W6" s="1911"/>
      <c r="X6" s="1939"/>
      <c r="Y6" s="1911" t="s">
        <v>46</v>
      </c>
      <c r="Z6" s="1911"/>
      <c r="AA6" s="1912"/>
      <c r="AB6" s="1938" t="s">
        <v>45</v>
      </c>
      <c r="AC6" s="1911"/>
      <c r="AD6" s="1939"/>
      <c r="AE6" s="1911" t="s">
        <v>46</v>
      </c>
      <c r="AF6" s="1911"/>
      <c r="AG6" s="1912"/>
    </row>
    <row r="7" spans="2:35" s="230" customFormat="1" ht="24.75" customHeight="1">
      <c r="B7" s="1914" t="s">
        <v>67</v>
      </c>
      <c r="C7" s="1915"/>
      <c r="D7" s="1915"/>
      <c r="E7" s="1915"/>
      <c r="F7" s="1915"/>
      <c r="G7" s="1915"/>
      <c r="H7" s="1915"/>
      <c r="I7" s="1915"/>
      <c r="J7" s="1915"/>
      <c r="K7" s="1915"/>
      <c r="L7" s="1915"/>
      <c r="M7" s="1915"/>
      <c r="N7" s="1915"/>
      <c r="O7" s="1915"/>
      <c r="P7" s="1915"/>
      <c r="Q7" s="1915"/>
      <c r="R7" s="1915"/>
      <c r="S7" s="1915"/>
      <c r="T7" s="1915"/>
      <c r="U7" s="1916"/>
      <c r="V7" s="1701"/>
      <c r="W7" s="1701"/>
      <c r="X7" s="1701"/>
      <c r="Y7" s="1701"/>
      <c r="Z7" s="1701"/>
      <c r="AA7" s="1701"/>
      <c r="AB7" s="1701"/>
      <c r="AC7" s="1701"/>
      <c r="AD7" s="1701"/>
      <c r="AE7" s="1701"/>
      <c r="AF7" s="1701"/>
      <c r="AG7" s="1702"/>
    </row>
    <row r="8" spans="2:35" s="230" customFormat="1" ht="24.75" customHeight="1">
      <c r="B8" s="231"/>
      <c r="C8" s="232" t="s">
        <v>1288</v>
      </c>
      <c r="D8" s="233"/>
      <c r="E8" s="232"/>
      <c r="F8" s="232"/>
      <c r="G8" s="232"/>
      <c r="H8" s="232"/>
      <c r="I8" s="232"/>
      <c r="J8" s="232"/>
      <c r="K8" s="232"/>
      <c r="L8" s="232"/>
      <c r="M8" s="232"/>
      <c r="N8" s="232"/>
      <c r="O8" s="232"/>
      <c r="P8" s="232"/>
      <c r="Q8" s="232"/>
      <c r="R8" s="232"/>
      <c r="S8" s="232"/>
      <c r="T8" s="232"/>
      <c r="U8" s="233"/>
      <c r="V8" s="1909">
        <v>0</v>
      </c>
      <c r="W8" s="1907"/>
      <c r="X8" s="1910"/>
      <c r="Y8" s="1906">
        <v>0</v>
      </c>
      <c r="Z8" s="1907"/>
      <c r="AA8" s="1908"/>
      <c r="AB8" s="1909">
        <v>0</v>
      </c>
      <c r="AC8" s="1907"/>
      <c r="AD8" s="1910"/>
      <c r="AE8" s="1906">
        <v>0</v>
      </c>
      <c r="AF8" s="1907"/>
      <c r="AG8" s="1908"/>
      <c r="AI8" s="1551" t="str">
        <f>IF(V8&lt;AB8,"Number of Passers should be less than or equal to the Number of Takers (by grade level, by sex) .",IF(Y8&lt;AE8,"Number of Passers should be less than or equal to the Number of Takers (by grade level, by sex) .",""))</f>
        <v/>
      </c>
    </row>
    <row r="9" spans="2:35" s="230" customFormat="1" ht="24.75" customHeight="1">
      <c r="B9" s="231"/>
      <c r="C9" s="232" t="s">
        <v>1289</v>
      </c>
      <c r="D9" s="233"/>
      <c r="E9" s="232"/>
      <c r="F9" s="232"/>
      <c r="G9" s="232"/>
      <c r="H9" s="232"/>
      <c r="I9" s="232"/>
      <c r="J9" s="232"/>
      <c r="K9" s="232"/>
      <c r="L9" s="232"/>
      <c r="M9" s="232"/>
      <c r="N9" s="232"/>
      <c r="O9" s="232"/>
      <c r="P9" s="232"/>
      <c r="Q9" s="232"/>
      <c r="R9" s="232"/>
      <c r="S9" s="232"/>
      <c r="T9" s="232"/>
      <c r="U9" s="233"/>
      <c r="V9" s="1909">
        <v>0</v>
      </c>
      <c r="W9" s="1907"/>
      <c r="X9" s="1910"/>
      <c r="Y9" s="1906">
        <v>0</v>
      </c>
      <c r="Z9" s="1907"/>
      <c r="AA9" s="1908"/>
      <c r="AB9" s="1909">
        <v>0</v>
      </c>
      <c r="AC9" s="1907"/>
      <c r="AD9" s="1910"/>
      <c r="AE9" s="1906">
        <v>0</v>
      </c>
      <c r="AF9" s="1907"/>
      <c r="AG9" s="1908"/>
      <c r="AI9" s="1551" t="str">
        <f t="shared" ref="AI9:AI32" si="0">IF(V9&lt;AB9,"Number of Passers should be less than or equal to the Number of Takers (by grade level, by sex) .",IF(Y9&lt;AE9,"Number of Passers should be less than or equal to the Number of Takers (by grade level, by sex) .",""))</f>
        <v/>
      </c>
    </row>
    <row r="10" spans="2:35" s="230" customFormat="1" ht="24.75" customHeight="1">
      <c r="B10" s="231"/>
      <c r="C10" s="232" t="s">
        <v>1290</v>
      </c>
      <c r="D10" s="233"/>
      <c r="E10" s="232"/>
      <c r="F10" s="232"/>
      <c r="G10" s="232"/>
      <c r="H10" s="232"/>
      <c r="I10" s="232"/>
      <c r="J10" s="232"/>
      <c r="K10" s="232"/>
      <c r="L10" s="232"/>
      <c r="M10" s="232"/>
      <c r="N10" s="232"/>
      <c r="O10" s="232"/>
      <c r="P10" s="232"/>
      <c r="Q10" s="232"/>
      <c r="R10" s="232"/>
      <c r="S10" s="232"/>
      <c r="T10" s="232"/>
      <c r="U10" s="233"/>
      <c r="V10" s="1909">
        <v>0</v>
      </c>
      <c r="W10" s="1907"/>
      <c r="X10" s="1910"/>
      <c r="Y10" s="1906">
        <v>0</v>
      </c>
      <c r="Z10" s="1907"/>
      <c r="AA10" s="1908"/>
      <c r="AB10" s="1909">
        <v>0</v>
      </c>
      <c r="AC10" s="1907"/>
      <c r="AD10" s="1910"/>
      <c r="AE10" s="1906">
        <v>0</v>
      </c>
      <c r="AF10" s="1907"/>
      <c r="AG10" s="1908"/>
      <c r="AI10" s="1551" t="str">
        <f t="shared" si="0"/>
        <v/>
      </c>
    </row>
    <row r="11" spans="2:35" s="230" customFormat="1" ht="24.75" customHeight="1">
      <c r="B11" s="231"/>
      <c r="C11" s="232" t="s">
        <v>1291</v>
      </c>
      <c r="D11" s="233"/>
      <c r="E11" s="232"/>
      <c r="F11" s="232"/>
      <c r="G11" s="232"/>
      <c r="H11" s="232"/>
      <c r="I11" s="232"/>
      <c r="J11" s="232"/>
      <c r="K11" s="232"/>
      <c r="L11" s="232"/>
      <c r="M11" s="232"/>
      <c r="N11" s="232"/>
      <c r="O11" s="232"/>
      <c r="P11" s="232"/>
      <c r="Q11" s="232"/>
      <c r="R11" s="232"/>
      <c r="S11" s="232"/>
      <c r="T11" s="232"/>
      <c r="U11" s="233"/>
      <c r="V11" s="1909">
        <v>0</v>
      </c>
      <c r="W11" s="1907"/>
      <c r="X11" s="1910"/>
      <c r="Y11" s="1906">
        <v>0</v>
      </c>
      <c r="Z11" s="1907"/>
      <c r="AA11" s="1908"/>
      <c r="AB11" s="1909">
        <v>0</v>
      </c>
      <c r="AC11" s="1907"/>
      <c r="AD11" s="1910"/>
      <c r="AE11" s="1906">
        <v>0</v>
      </c>
      <c r="AF11" s="1907"/>
      <c r="AG11" s="1908"/>
      <c r="AI11" s="1551" t="str">
        <f t="shared" si="0"/>
        <v/>
      </c>
    </row>
    <row r="12" spans="2:35" s="230" customFormat="1" ht="24.75" customHeight="1">
      <c r="B12" s="231"/>
      <c r="C12" s="232" t="s">
        <v>1292</v>
      </c>
      <c r="D12" s="233"/>
      <c r="E12" s="232"/>
      <c r="F12" s="232"/>
      <c r="G12" s="232"/>
      <c r="H12" s="232"/>
      <c r="I12" s="232"/>
      <c r="J12" s="232"/>
      <c r="K12" s="232"/>
      <c r="L12" s="232"/>
      <c r="M12" s="232"/>
      <c r="N12" s="232"/>
      <c r="O12" s="232"/>
      <c r="P12" s="232"/>
      <c r="Q12" s="232"/>
      <c r="R12" s="232"/>
      <c r="S12" s="232"/>
      <c r="T12" s="232"/>
      <c r="U12" s="233"/>
      <c r="V12" s="1909">
        <v>0</v>
      </c>
      <c r="W12" s="1907"/>
      <c r="X12" s="1910"/>
      <c r="Y12" s="1906">
        <v>0</v>
      </c>
      <c r="Z12" s="1907"/>
      <c r="AA12" s="1908"/>
      <c r="AB12" s="1909">
        <v>0</v>
      </c>
      <c r="AC12" s="1907"/>
      <c r="AD12" s="1910"/>
      <c r="AE12" s="1906">
        <v>0</v>
      </c>
      <c r="AF12" s="1907"/>
      <c r="AG12" s="1908"/>
      <c r="AI12" s="1551" t="str">
        <f t="shared" si="0"/>
        <v/>
      </c>
    </row>
    <row r="13" spans="2:35" s="230" customFormat="1" ht="24.75" customHeight="1">
      <c r="B13" s="231"/>
      <c r="C13" s="232" t="s">
        <v>1293</v>
      </c>
      <c r="D13" s="233"/>
      <c r="E13" s="232"/>
      <c r="F13" s="232"/>
      <c r="G13" s="232"/>
      <c r="H13" s="232"/>
      <c r="I13" s="232"/>
      <c r="J13" s="232"/>
      <c r="K13" s="232"/>
      <c r="L13" s="232"/>
      <c r="M13" s="232"/>
      <c r="N13" s="232"/>
      <c r="O13" s="232"/>
      <c r="P13" s="232"/>
      <c r="Q13" s="232"/>
      <c r="R13" s="232"/>
      <c r="S13" s="232"/>
      <c r="T13" s="232"/>
      <c r="U13" s="233"/>
      <c r="V13" s="1909">
        <v>0</v>
      </c>
      <c r="W13" s="1907"/>
      <c r="X13" s="1910"/>
      <c r="Y13" s="1906">
        <v>0</v>
      </c>
      <c r="Z13" s="1907"/>
      <c r="AA13" s="1908"/>
      <c r="AB13" s="1909">
        <v>0</v>
      </c>
      <c r="AC13" s="1907"/>
      <c r="AD13" s="1910"/>
      <c r="AE13" s="1906">
        <v>0</v>
      </c>
      <c r="AF13" s="1907"/>
      <c r="AG13" s="1908"/>
      <c r="AI13" s="1551" t="str">
        <f t="shared" si="0"/>
        <v/>
      </c>
    </row>
    <row r="14" spans="2:35" s="230" customFormat="1" ht="24.75" customHeight="1">
      <c r="B14" s="231"/>
      <c r="C14" s="232" t="s">
        <v>1294</v>
      </c>
      <c r="D14" s="233"/>
      <c r="E14" s="232"/>
      <c r="F14" s="232"/>
      <c r="G14" s="232"/>
      <c r="H14" s="232"/>
      <c r="I14" s="232"/>
      <c r="J14" s="232"/>
      <c r="K14" s="232"/>
      <c r="L14" s="232"/>
      <c r="M14" s="232"/>
      <c r="N14" s="232"/>
      <c r="O14" s="232"/>
      <c r="P14" s="232"/>
      <c r="Q14" s="232"/>
      <c r="R14" s="232"/>
      <c r="S14" s="232"/>
      <c r="T14" s="232"/>
      <c r="U14" s="233"/>
      <c r="V14" s="1909">
        <v>0</v>
      </c>
      <c r="W14" s="1907"/>
      <c r="X14" s="1910"/>
      <c r="Y14" s="1906">
        <v>0</v>
      </c>
      <c r="Z14" s="1907"/>
      <c r="AA14" s="1908"/>
      <c r="AB14" s="1909">
        <v>0</v>
      </c>
      <c r="AC14" s="1907"/>
      <c r="AD14" s="1910"/>
      <c r="AE14" s="1906">
        <v>0</v>
      </c>
      <c r="AF14" s="1907"/>
      <c r="AG14" s="1908"/>
      <c r="AI14" s="1551" t="str">
        <f t="shared" si="0"/>
        <v/>
      </c>
    </row>
    <row r="15" spans="2:35" s="230" customFormat="1" ht="24.75" customHeight="1">
      <c r="B15" s="231"/>
      <c r="C15" s="232" t="s">
        <v>1295</v>
      </c>
      <c r="D15" s="233"/>
      <c r="E15" s="232"/>
      <c r="F15" s="232"/>
      <c r="G15" s="232"/>
      <c r="H15" s="232"/>
      <c r="I15" s="232"/>
      <c r="J15" s="232"/>
      <c r="K15" s="232"/>
      <c r="L15" s="232"/>
      <c r="M15" s="232"/>
      <c r="N15" s="232"/>
      <c r="O15" s="232"/>
      <c r="P15" s="232"/>
      <c r="Q15" s="232"/>
      <c r="R15" s="232"/>
      <c r="S15" s="232"/>
      <c r="T15" s="232"/>
      <c r="U15" s="233"/>
      <c r="V15" s="1909">
        <v>0</v>
      </c>
      <c r="W15" s="1907"/>
      <c r="X15" s="1910"/>
      <c r="Y15" s="1906">
        <v>0</v>
      </c>
      <c r="Z15" s="1907"/>
      <c r="AA15" s="1908"/>
      <c r="AB15" s="1909">
        <v>0</v>
      </c>
      <c r="AC15" s="1907"/>
      <c r="AD15" s="1910"/>
      <c r="AE15" s="1906">
        <v>0</v>
      </c>
      <c r="AF15" s="1907"/>
      <c r="AG15" s="1908"/>
      <c r="AI15" s="1551" t="str">
        <f t="shared" si="0"/>
        <v/>
      </c>
    </row>
    <row r="16" spans="2:35" s="230" customFormat="1" ht="24.75" customHeight="1">
      <c r="B16" s="231"/>
      <c r="C16" s="232" t="s">
        <v>1296</v>
      </c>
      <c r="D16" s="233"/>
      <c r="E16" s="232"/>
      <c r="F16" s="232"/>
      <c r="G16" s="232"/>
      <c r="H16" s="232"/>
      <c r="I16" s="232"/>
      <c r="J16" s="232"/>
      <c r="K16" s="232"/>
      <c r="L16" s="232"/>
      <c r="M16" s="232"/>
      <c r="N16" s="232"/>
      <c r="O16" s="232"/>
      <c r="P16" s="232"/>
      <c r="Q16" s="232"/>
      <c r="R16" s="232"/>
      <c r="S16" s="232"/>
      <c r="T16" s="232"/>
      <c r="U16" s="233"/>
      <c r="V16" s="1909">
        <v>0</v>
      </c>
      <c r="W16" s="1907"/>
      <c r="X16" s="1910"/>
      <c r="Y16" s="1906">
        <v>0</v>
      </c>
      <c r="Z16" s="1907"/>
      <c r="AA16" s="1908"/>
      <c r="AB16" s="1909">
        <v>0</v>
      </c>
      <c r="AC16" s="1907"/>
      <c r="AD16" s="1910"/>
      <c r="AE16" s="1906">
        <v>0</v>
      </c>
      <c r="AF16" s="1907"/>
      <c r="AG16" s="1908"/>
      <c r="AI16" s="1551" t="str">
        <f t="shared" si="0"/>
        <v/>
      </c>
    </row>
    <row r="17" spans="2:35" s="230" customFormat="1" ht="24.75" customHeight="1">
      <c r="B17" s="231"/>
      <c r="C17" s="232" t="s">
        <v>1297</v>
      </c>
      <c r="D17" s="233"/>
      <c r="E17" s="232"/>
      <c r="F17" s="232"/>
      <c r="G17" s="232"/>
      <c r="H17" s="232"/>
      <c r="I17" s="232"/>
      <c r="J17" s="232"/>
      <c r="K17" s="232"/>
      <c r="L17" s="232"/>
      <c r="M17" s="232"/>
      <c r="N17" s="232"/>
      <c r="O17" s="232"/>
      <c r="P17" s="232"/>
      <c r="Q17" s="232"/>
      <c r="R17" s="232"/>
      <c r="S17" s="232"/>
      <c r="T17" s="232"/>
      <c r="U17" s="233"/>
      <c r="V17" s="1909">
        <v>0</v>
      </c>
      <c r="W17" s="1907"/>
      <c r="X17" s="1910"/>
      <c r="Y17" s="1906">
        <v>0</v>
      </c>
      <c r="Z17" s="1907"/>
      <c r="AA17" s="1908"/>
      <c r="AB17" s="1909">
        <v>0</v>
      </c>
      <c r="AC17" s="1907"/>
      <c r="AD17" s="1910"/>
      <c r="AE17" s="1906">
        <v>0</v>
      </c>
      <c r="AF17" s="1907"/>
      <c r="AG17" s="1908"/>
      <c r="AI17" s="1551" t="str">
        <f t="shared" si="0"/>
        <v/>
      </c>
    </row>
    <row r="18" spans="2:35" s="230" customFormat="1" ht="24.75" customHeight="1">
      <c r="B18" s="231"/>
      <c r="C18" s="232" t="s">
        <v>1298</v>
      </c>
      <c r="D18" s="233"/>
      <c r="E18" s="232"/>
      <c r="F18" s="232"/>
      <c r="G18" s="232"/>
      <c r="H18" s="232"/>
      <c r="I18" s="232"/>
      <c r="J18" s="232"/>
      <c r="K18" s="232"/>
      <c r="L18" s="232"/>
      <c r="M18" s="232"/>
      <c r="N18" s="232"/>
      <c r="O18" s="232"/>
      <c r="P18" s="232"/>
      <c r="Q18" s="232"/>
      <c r="R18" s="232"/>
      <c r="S18" s="232"/>
      <c r="T18" s="232"/>
      <c r="U18" s="233"/>
      <c r="V18" s="1909">
        <v>0</v>
      </c>
      <c r="W18" s="1907"/>
      <c r="X18" s="1910"/>
      <c r="Y18" s="1906">
        <v>0</v>
      </c>
      <c r="Z18" s="1907"/>
      <c r="AA18" s="1908"/>
      <c r="AB18" s="1909">
        <v>0</v>
      </c>
      <c r="AC18" s="1907"/>
      <c r="AD18" s="1910"/>
      <c r="AE18" s="1906">
        <v>0</v>
      </c>
      <c r="AF18" s="1907"/>
      <c r="AG18" s="1908"/>
      <c r="AI18" s="1551" t="str">
        <f t="shared" si="0"/>
        <v/>
      </c>
    </row>
    <row r="19" spans="2:35" s="230" customFormat="1" ht="24.75" customHeight="1">
      <c r="B19" s="231"/>
      <c r="C19" s="232" t="s">
        <v>1299</v>
      </c>
      <c r="D19" s="233"/>
      <c r="E19" s="232"/>
      <c r="F19" s="232"/>
      <c r="G19" s="232"/>
      <c r="H19" s="232"/>
      <c r="I19" s="232"/>
      <c r="J19" s="232"/>
      <c r="K19" s="232"/>
      <c r="L19" s="232"/>
      <c r="M19" s="232"/>
      <c r="N19" s="232"/>
      <c r="O19" s="232"/>
      <c r="P19" s="232"/>
      <c r="Q19" s="232"/>
      <c r="R19" s="232"/>
      <c r="S19" s="232"/>
      <c r="T19" s="232"/>
      <c r="U19" s="233"/>
      <c r="V19" s="1909">
        <v>0</v>
      </c>
      <c r="W19" s="1907"/>
      <c r="X19" s="1910"/>
      <c r="Y19" s="1906">
        <v>0</v>
      </c>
      <c r="Z19" s="1907"/>
      <c r="AA19" s="1908"/>
      <c r="AB19" s="1909">
        <v>0</v>
      </c>
      <c r="AC19" s="1907"/>
      <c r="AD19" s="1910"/>
      <c r="AE19" s="1906">
        <v>0</v>
      </c>
      <c r="AF19" s="1907"/>
      <c r="AG19" s="1908"/>
      <c r="AI19" s="1551" t="str">
        <f t="shared" si="0"/>
        <v/>
      </c>
    </row>
    <row r="20" spans="2:35" s="230" customFormat="1" ht="24.75" customHeight="1">
      <c r="B20" s="231"/>
      <c r="C20" s="232" t="s">
        <v>1300</v>
      </c>
      <c r="D20" s="233"/>
      <c r="E20" s="232"/>
      <c r="F20" s="232"/>
      <c r="G20" s="232"/>
      <c r="H20" s="232"/>
      <c r="I20" s="232"/>
      <c r="J20" s="232"/>
      <c r="K20" s="232"/>
      <c r="L20" s="232"/>
      <c r="M20" s="232"/>
      <c r="N20" s="232"/>
      <c r="O20" s="232"/>
      <c r="P20" s="232"/>
      <c r="Q20" s="232"/>
      <c r="R20" s="232"/>
      <c r="S20" s="232"/>
      <c r="T20" s="232"/>
      <c r="U20" s="233"/>
      <c r="V20" s="1909">
        <v>0</v>
      </c>
      <c r="W20" s="1907"/>
      <c r="X20" s="1910"/>
      <c r="Y20" s="1906">
        <v>0</v>
      </c>
      <c r="Z20" s="1907"/>
      <c r="AA20" s="1908"/>
      <c r="AB20" s="1909">
        <v>0</v>
      </c>
      <c r="AC20" s="1907"/>
      <c r="AD20" s="1910"/>
      <c r="AE20" s="1906">
        <v>0</v>
      </c>
      <c r="AF20" s="1907"/>
      <c r="AG20" s="1908"/>
      <c r="AI20" s="1551" t="str">
        <f t="shared" si="0"/>
        <v/>
      </c>
    </row>
    <row r="21" spans="2:35" s="230" customFormat="1" ht="24.75" customHeight="1">
      <c r="B21" s="231"/>
      <c r="C21" s="232" t="s">
        <v>1301</v>
      </c>
      <c r="D21" s="233"/>
      <c r="E21" s="232"/>
      <c r="F21" s="232"/>
      <c r="G21" s="232"/>
      <c r="H21" s="232"/>
      <c r="I21" s="232"/>
      <c r="J21" s="232"/>
      <c r="K21" s="232"/>
      <c r="L21" s="232"/>
      <c r="M21" s="232"/>
      <c r="N21" s="232"/>
      <c r="O21" s="232"/>
      <c r="P21" s="232"/>
      <c r="Q21" s="232"/>
      <c r="R21" s="232"/>
      <c r="S21" s="232"/>
      <c r="T21" s="232"/>
      <c r="U21" s="233"/>
      <c r="V21" s="1909">
        <v>0</v>
      </c>
      <c r="W21" s="1907"/>
      <c r="X21" s="1910"/>
      <c r="Y21" s="1906">
        <v>0</v>
      </c>
      <c r="Z21" s="1907"/>
      <c r="AA21" s="1908"/>
      <c r="AB21" s="1909">
        <v>0</v>
      </c>
      <c r="AC21" s="1907"/>
      <c r="AD21" s="1910"/>
      <c r="AE21" s="1906">
        <v>0</v>
      </c>
      <c r="AF21" s="1907"/>
      <c r="AG21" s="1908"/>
      <c r="AI21" s="1551" t="str">
        <f t="shared" si="0"/>
        <v/>
      </c>
    </row>
    <row r="22" spans="2:35" s="230" customFormat="1" ht="24.75" customHeight="1">
      <c r="B22" s="231"/>
      <c r="C22" s="232" t="s">
        <v>1302</v>
      </c>
      <c r="D22" s="233"/>
      <c r="E22" s="232"/>
      <c r="F22" s="232"/>
      <c r="G22" s="232"/>
      <c r="H22" s="232"/>
      <c r="I22" s="232"/>
      <c r="J22" s="232"/>
      <c r="K22" s="232"/>
      <c r="L22" s="232"/>
      <c r="M22" s="232"/>
      <c r="N22" s="232"/>
      <c r="O22" s="232"/>
      <c r="P22" s="232"/>
      <c r="Q22" s="232"/>
      <c r="R22" s="232"/>
      <c r="S22" s="232"/>
      <c r="T22" s="232"/>
      <c r="U22" s="233"/>
      <c r="V22" s="1909">
        <v>0</v>
      </c>
      <c r="W22" s="1907"/>
      <c r="X22" s="1910"/>
      <c r="Y22" s="1906">
        <v>0</v>
      </c>
      <c r="Z22" s="1907"/>
      <c r="AA22" s="1908"/>
      <c r="AB22" s="1909">
        <v>0</v>
      </c>
      <c r="AC22" s="1907"/>
      <c r="AD22" s="1910"/>
      <c r="AE22" s="1906">
        <v>0</v>
      </c>
      <c r="AF22" s="1907"/>
      <c r="AG22" s="1908"/>
      <c r="AI22" s="1551" t="str">
        <f t="shared" si="0"/>
        <v/>
      </c>
    </row>
    <row r="23" spans="2:35" s="230" customFormat="1" ht="24.75" customHeight="1">
      <c r="B23" s="231"/>
      <c r="C23" s="232" t="s">
        <v>1303</v>
      </c>
      <c r="D23" s="233"/>
      <c r="E23" s="232"/>
      <c r="F23" s="232"/>
      <c r="G23" s="232"/>
      <c r="H23" s="232"/>
      <c r="I23" s="232"/>
      <c r="J23" s="232"/>
      <c r="K23" s="232"/>
      <c r="L23" s="232"/>
      <c r="M23" s="232"/>
      <c r="N23" s="232"/>
      <c r="O23" s="232"/>
      <c r="P23" s="232"/>
      <c r="Q23" s="232"/>
      <c r="R23" s="232"/>
      <c r="S23" s="232"/>
      <c r="T23" s="232"/>
      <c r="U23" s="233"/>
      <c r="V23" s="1909">
        <v>0</v>
      </c>
      <c r="W23" s="1907"/>
      <c r="X23" s="1910"/>
      <c r="Y23" s="1906">
        <v>0</v>
      </c>
      <c r="Z23" s="1907"/>
      <c r="AA23" s="1908"/>
      <c r="AB23" s="1909">
        <v>0</v>
      </c>
      <c r="AC23" s="1907"/>
      <c r="AD23" s="1910"/>
      <c r="AE23" s="1906">
        <v>0</v>
      </c>
      <c r="AF23" s="1907"/>
      <c r="AG23" s="1908"/>
      <c r="AI23" s="1551" t="str">
        <f t="shared" si="0"/>
        <v/>
      </c>
    </row>
    <row r="24" spans="2:35" s="230" customFormat="1" ht="24.75" customHeight="1">
      <c r="B24" s="231"/>
      <c r="C24" s="232" t="s">
        <v>1304</v>
      </c>
      <c r="D24" s="233"/>
      <c r="E24" s="232"/>
      <c r="F24" s="232"/>
      <c r="G24" s="232"/>
      <c r="H24" s="232"/>
      <c r="I24" s="232"/>
      <c r="J24" s="232"/>
      <c r="K24" s="232"/>
      <c r="L24" s="232"/>
      <c r="M24" s="232"/>
      <c r="N24" s="232"/>
      <c r="O24" s="232"/>
      <c r="P24" s="232"/>
      <c r="Q24" s="232"/>
      <c r="R24" s="232"/>
      <c r="S24" s="232"/>
      <c r="T24" s="232"/>
      <c r="U24" s="233"/>
      <c r="V24" s="1909">
        <v>0</v>
      </c>
      <c r="W24" s="1907"/>
      <c r="X24" s="1910"/>
      <c r="Y24" s="1906">
        <v>0</v>
      </c>
      <c r="Z24" s="1907"/>
      <c r="AA24" s="1908"/>
      <c r="AB24" s="1909">
        <v>0</v>
      </c>
      <c r="AC24" s="1907"/>
      <c r="AD24" s="1910"/>
      <c r="AE24" s="1906">
        <v>0</v>
      </c>
      <c r="AF24" s="1907"/>
      <c r="AG24" s="1908"/>
      <c r="AI24" s="1551" t="str">
        <f t="shared" si="0"/>
        <v/>
      </c>
    </row>
    <row r="25" spans="2:35" s="230" customFormat="1" ht="24.75" customHeight="1">
      <c r="B25" s="231"/>
      <c r="C25" s="232" t="s">
        <v>1305</v>
      </c>
      <c r="D25" s="233"/>
      <c r="E25" s="232"/>
      <c r="F25" s="232"/>
      <c r="G25" s="232"/>
      <c r="H25" s="232"/>
      <c r="I25" s="232"/>
      <c r="J25" s="232"/>
      <c r="K25" s="232"/>
      <c r="L25" s="232"/>
      <c r="M25" s="232"/>
      <c r="N25" s="232"/>
      <c r="O25" s="232"/>
      <c r="P25" s="232"/>
      <c r="Q25" s="232"/>
      <c r="R25" s="232"/>
      <c r="S25" s="232"/>
      <c r="T25" s="232"/>
      <c r="U25" s="233"/>
      <c r="V25" s="1909">
        <v>0</v>
      </c>
      <c r="W25" s="1907"/>
      <c r="X25" s="1910"/>
      <c r="Y25" s="1906">
        <v>0</v>
      </c>
      <c r="Z25" s="1907"/>
      <c r="AA25" s="1908"/>
      <c r="AB25" s="1909">
        <v>0</v>
      </c>
      <c r="AC25" s="1907"/>
      <c r="AD25" s="1910"/>
      <c r="AE25" s="1906">
        <v>0</v>
      </c>
      <c r="AF25" s="1907"/>
      <c r="AG25" s="1908"/>
      <c r="AI25" s="1551" t="str">
        <f t="shared" si="0"/>
        <v/>
      </c>
    </row>
    <row r="26" spans="2:35" s="230" customFormat="1" ht="24.75" customHeight="1">
      <c r="B26" s="231"/>
      <c r="C26" s="232" t="s">
        <v>1306</v>
      </c>
      <c r="D26" s="233"/>
      <c r="E26" s="232"/>
      <c r="F26" s="232"/>
      <c r="G26" s="232"/>
      <c r="H26" s="232"/>
      <c r="I26" s="232"/>
      <c r="J26" s="232"/>
      <c r="K26" s="232"/>
      <c r="L26" s="232"/>
      <c r="M26" s="232"/>
      <c r="N26" s="232"/>
      <c r="O26" s="232"/>
      <c r="P26" s="232"/>
      <c r="Q26" s="232"/>
      <c r="R26" s="232"/>
      <c r="S26" s="232"/>
      <c r="T26" s="232"/>
      <c r="U26" s="233"/>
      <c r="V26" s="1909">
        <v>0</v>
      </c>
      <c r="W26" s="1907"/>
      <c r="X26" s="1910"/>
      <c r="Y26" s="1906">
        <v>0</v>
      </c>
      <c r="Z26" s="1907"/>
      <c r="AA26" s="1908"/>
      <c r="AB26" s="1909">
        <v>0</v>
      </c>
      <c r="AC26" s="1907"/>
      <c r="AD26" s="1910"/>
      <c r="AE26" s="1906">
        <v>0</v>
      </c>
      <c r="AF26" s="1907"/>
      <c r="AG26" s="1908"/>
      <c r="AI26" s="1551" t="str">
        <f t="shared" si="0"/>
        <v/>
      </c>
    </row>
    <row r="27" spans="2:35" s="230" customFormat="1" ht="24.75" customHeight="1">
      <c r="B27" s="231"/>
      <c r="C27" s="232" t="s">
        <v>1307</v>
      </c>
      <c r="D27" s="233"/>
      <c r="E27" s="232"/>
      <c r="F27" s="232"/>
      <c r="G27" s="232"/>
      <c r="H27" s="232"/>
      <c r="I27" s="232"/>
      <c r="J27" s="232"/>
      <c r="K27" s="232"/>
      <c r="L27" s="232"/>
      <c r="M27" s="232"/>
      <c r="N27" s="232"/>
      <c r="O27" s="232"/>
      <c r="P27" s="232"/>
      <c r="Q27" s="232"/>
      <c r="R27" s="232"/>
      <c r="S27" s="232"/>
      <c r="T27" s="232"/>
      <c r="U27" s="233"/>
      <c r="V27" s="1909">
        <v>0</v>
      </c>
      <c r="W27" s="1907"/>
      <c r="X27" s="1910"/>
      <c r="Y27" s="1906">
        <v>0</v>
      </c>
      <c r="Z27" s="1907"/>
      <c r="AA27" s="1908"/>
      <c r="AB27" s="1909">
        <v>0</v>
      </c>
      <c r="AC27" s="1907"/>
      <c r="AD27" s="1910"/>
      <c r="AE27" s="1906">
        <v>0</v>
      </c>
      <c r="AF27" s="1907"/>
      <c r="AG27" s="1908"/>
      <c r="AI27" s="1551" t="str">
        <f t="shared" si="0"/>
        <v/>
      </c>
    </row>
    <row r="28" spans="2:35" s="230" customFormat="1" ht="24.75" customHeight="1">
      <c r="B28" s="231"/>
      <c r="C28" s="232" t="s">
        <v>1308</v>
      </c>
      <c r="D28" s="233"/>
      <c r="E28" s="232"/>
      <c r="F28" s="232"/>
      <c r="G28" s="232"/>
      <c r="H28" s="232"/>
      <c r="I28" s="232"/>
      <c r="J28" s="232"/>
      <c r="K28" s="232"/>
      <c r="L28" s="232"/>
      <c r="M28" s="232"/>
      <c r="N28" s="232"/>
      <c r="O28" s="232"/>
      <c r="P28" s="232"/>
      <c r="Q28" s="232"/>
      <c r="R28" s="232"/>
      <c r="S28" s="232"/>
      <c r="T28" s="232"/>
      <c r="U28" s="233"/>
      <c r="V28" s="1909">
        <v>0</v>
      </c>
      <c r="W28" s="1907"/>
      <c r="X28" s="1910"/>
      <c r="Y28" s="1906">
        <v>0</v>
      </c>
      <c r="Z28" s="1907"/>
      <c r="AA28" s="1908"/>
      <c r="AB28" s="1909">
        <v>0</v>
      </c>
      <c r="AC28" s="1907"/>
      <c r="AD28" s="1910"/>
      <c r="AE28" s="1906">
        <v>0</v>
      </c>
      <c r="AF28" s="1907"/>
      <c r="AG28" s="1908"/>
      <c r="AI28" s="1551" t="str">
        <f t="shared" si="0"/>
        <v/>
      </c>
    </row>
    <row r="29" spans="2:35" s="230" customFormat="1" ht="24.75" customHeight="1">
      <c r="B29" s="231"/>
      <c r="C29" s="232" t="s">
        <v>1309</v>
      </c>
      <c r="D29" s="233"/>
      <c r="E29" s="232"/>
      <c r="F29" s="232"/>
      <c r="G29" s="232"/>
      <c r="H29" s="232"/>
      <c r="I29" s="232"/>
      <c r="J29" s="232"/>
      <c r="K29" s="232"/>
      <c r="L29" s="232"/>
      <c r="M29" s="232"/>
      <c r="N29" s="232"/>
      <c r="O29" s="232"/>
      <c r="P29" s="232"/>
      <c r="Q29" s="232"/>
      <c r="R29" s="232"/>
      <c r="S29" s="232"/>
      <c r="T29" s="232"/>
      <c r="U29" s="233"/>
      <c r="V29" s="1909">
        <v>0</v>
      </c>
      <c r="W29" s="1907"/>
      <c r="X29" s="1910"/>
      <c r="Y29" s="1906">
        <v>0</v>
      </c>
      <c r="Z29" s="1907"/>
      <c r="AA29" s="1908"/>
      <c r="AB29" s="1909">
        <v>0</v>
      </c>
      <c r="AC29" s="1907"/>
      <c r="AD29" s="1910"/>
      <c r="AE29" s="1906">
        <v>0</v>
      </c>
      <c r="AF29" s="1907"/>
      <c r="AG29" s="1908"/>
      <c r="AI29" s="1551" t="str">
        <f t="shared" si="0"/>
        <v/>
      </c>
    </row>
    <row r="30" spans="2:35" s="230" customFormat="1" ht="24.75" customHeight="1">
      <c r="B30" s="231"/>
      <c r="C30" s="232" t="s">
        <v>1310</v>
      </c>
      <c r="D30" s="233"/>
      <c r="E30" s="232"/>
      <c r="F30" s="232"/>
      <c r="G30" s="232"/>
      <c r="H30" s="232"/>
      <c r="I30" s="232"/>
      <c r="J30" s="232"/>
      <c r="K30" s="232"/>
      <c r="L30" s="232"/>
      <c r="M30" s="232"/>
      <c r="N30" s="232"/>
      <c r="O30" s="232"/>
      <c r="P30" s="232"/>
      <c r="Q30" s="232"/>
      <c r="R30" s="232"/>
      <c r="S30" s="232"/>
      <c r="T30" s="232"/>
      <c r="U30" s="233"/>
      <c r="V30" s="1909">
        <v>0</v>
      </c>
      <c r="W30" s="1907"/>
      <c r="X30" s="1910"/>
      <c r="Y30" s="1906">
        <v>0</v>
      </c>
      <c r="Z30" s="1907"/>
      <c r="AA30" s="1908"/>
      <c r="AB30" s="1909">
        <v>0</v>
      </c>
      <c r="AC30" s="1907"/>
      <c r="AD30" s="1910"/>
      <c r="AE30" s="1906">
        <v>0</v>
      </c>
      <c r="AF30" s="1907"/>
      <c r="AG30" s="1908"/>
      <c r="AI30" s="1551" t="str">
        <f t="shared" si="0"/>
        <v/>
      </c>
    </row>
    <row r="31" spans="2:35" s="230" customFormat="1" ht="24.75" customHeight="1">
      <c r="B31" s="231"/>
      <c r="C31" s="232" t="s">
        <v>1311</v>
      </c>
      <c r="D31" s="233"/>
      <c r="E31" s="232"/>
      <c r="F31" s="232"/>
      <c r="G31" s="232"/>
      <c r="H31" s="232"/>
      <c r="I31" s="232"/>
      <c r="J31" s="232"/>
      <c r="K31" s="232"/>
      <c r="L31" s="232"/>
      <c r="M31" s="232"/>
      <c r="N31" s="232"/>
      <c r="O31" s="232"/>
      <c r="P31" s="232"/>
      <c r="Q31" s="232"/>
      <c r="R31" s="232"/>
      <c r="S31" s="232"/>
      <c r="T31" s="232"/>
      <c r="U31" s="233"/>
      <c r="V31" s="1909">
        <v>0</v>
      </c>
      <c r="W31" s="1907"/>
      <c r="X31" s="1910"/>
      <c r="Y31" s="1906">
        <v>0</v>
      </c>
      <c r="Z31" s="1907"/>
      <c r="AA31" s="1908"/>
      <c r="AB31" s="1909">
        <v>0</v>
      </c>
      <c r="AC31" s="1907"/>
      <c r="AD31" s="1910"/>
      <c r="AE31" s="1906">
        <v>0</v>
      </c>
      <c r="AF31" s="1907"/>
      <c r="AG31" s="1908"/>
      <c r="AI31" s="1551" t="str">
        <f t="shared" si="0"/>
        <v/>
      </c>
    </row>
    <row r="32" spans="2:35" s="230" customFormat="1" ht="24.75" customHeight="1">
      <c r="B32" s="231"/>
      <c r="C32" s="232" t="s">
        <v>1312</v>
      </c>
      <c r="D32" s="233"/>
      <c r="E32" s="232"/>
      <c r="F32" s="232"/>
      <c r="G32" s="232"/>
      <c r="H32" s="232"/>
      <c r="I32" s="232"/>
      <c r="J32" s="232"/>
      <c r="K32" s="232"/>
      <c r="L32" s="232"/>
      <c r="M32" s="232"/>
      <c r="N32" s="232"/>
      <c r="O32" s="232"/>
      <c r="P32" s="232"/>
      <c r="Q32" s="232"/>
      <c r="R32" s="232"/>
      <c r="S32" s="232"/>
      <c r="T32" s="232"/>
      <c r="U32" s="233"/>
      <c r="V32" s="1909">
        <v>0</v>
      </c>
      <c r="W32" s="1907"/>
      <c r="X32" s="1910"/>
      <c r="Y32" s="1906">
        <v>0</v>
      </c>
      <c r="Z32" s="1907"/>
      <c r="AA32" s="1908"/>
      <c r="AB32" s="1909">
        <v>0</v>
      </c>
      <c r="AC32" s="1907"/>
      <c r="AD32" s="1910"/>
      <c r="AE32" s="1906">
        <v>0</v>
      </c>
      <c r="AF32" s="1907"/>
      <c r="AG32" s="1908"/>
      <c r="AI32" s="1551" t="str">
        <f t="shared" si="0"/>
        <v/>
      </c>
    </row>
    <row r="33" spans="2:35" s="230" customFormat="1" ht="24.75" customHeight="1">
      <c r="B33" s="1917" t="s">
        <v>68</v>
      </c>
      <c r="C33" s="1918"/>
      <c r="D33" s="1918"/>
      <c r="E33" s="1918"/>
      <c r="F33" s="1918"/>
      <c r="G33" s="1918"/>
      <c r="H33" s="1918"/>
      <c r="I33" s="1918"/>
      <c r="J33" s="1918"/>
      <c r="K33" s="1918"/>
      <c r="L33" s="1918"/>
      <c r="M33" s="1918"/>
      <c r="N33" s="1918"/>
      <c r="O33" s="1918"/>
      <c r="P33" s="1918"/>
      <c r="Q33" s="1918"/>
      <c r="R33" s="1918"/>
      <c r="S33" s="1918"/>
      <c r="T33" s="1918"/>
      <c r="U33" s="1919"/>
      <c r="V33" s="1703"/>
      <c r="W33" s="1703"/>
      <c r="X33" s="1703"/>
      <c r="Y33" s="1703"/>
      <c r="Z33" s="1703"/>
      <c r="AA33" s="1703"/>
      <c r="AB33" s="1703"/>
      <c r="AC33" s="1703"/>
      <c r="AD33" s="1703"/>
      <c r="AE33" s="1703"/>
      <c r="AF33" s="1703"/>
      <c r="AG33" s="1704"/>
    </row>
    <row r="34" spans="2:35" s="230" customFormat="1" ht="24.75" customHeight="1">
      <c r="B34" s="231"/>
      <c r="C34" s="232" t="s">
        <v>1313</v>
      </c>
      <c r="D34" s="233"/>
      <c r="E34" s="232"/>
      <c r="F34" s="232"/>
      <c r="G34" s="232"/>
      <c r="H34" s="232"/>
      <c r="I34" s="232"/>
      <c r="J34" s="232"/>
      <c r="K34" s="232"/>
      <c r="L34" s="232"/>
      <c r="M34" s="232"/>
      <c r="N34" s="232"/>
      <c r="O34" s="232"/>
      <c r="P34" s="232"/>
      <c r="Q34" s="232"/>
      <c r="R34" s="232"/>
      <c r="S34" s="232"/>
      <c r="T34" s="232"/>
      <c r="U34" s="233"/>
      <c r="V34" s="1909">
        <v>0</v>
      </c>
      <c r="W34" s="1907"/>
      <c r="X34" s="1910"/>
      <c r="Y34" s="1906">
        <v>0</v>
      </c>
      <c r="Z34" s="1907"/>
      <c r="AA34" s="1908"/>
      <c r="AB34" s="1909">
        <v>0</v>
      </c>
      <c r="AC34" s="1907"/>
      <c r="AD34" s="1910"/>
      <c r="AE34" s="1906">
        <v>0</v>
      </c>
      <c r="AF34" s="1907"/>
      <c r="AG34" s="1908"/>
      <c r="AI34" s="1551" t="str">
        <f>IF(V34&lt;AB34,"Number of Passers should be less than or equal to the Number of Takers (by grade level, by sex) .",IF(Y34&lt;AE34,"Number of Passers should be less than or equal to the Number of Takers (by grade level, by sex) .",""))</f>
        <v/>
      </c>
    </row>
    <row r="35" spans="2:35" s="230" customFormat="1" ht="24.75" customHeight="1">
      <c r="B35" s="231"/>
      <c r="C35" s="232" t="s">
        <v>1314</v>
      </c>
      <c r="D35" s="233"/>
      <c r="E35" s="232"/>
      <c r="F35" s="232"/>
      <c r="G35" s="232"/>
      <c r="H35" s="232"/>
      <c r="I35" s="232"/>
      <c r="J35" s="232"/>
      <c r="K35" s="232"/>
      <c r="L35" s="232"/>
      <c r="M35" s="232"/>
      <c r="N35" s="232"/>
      <c r="O35" s="232"/>
      <c r="P35" s="232"/>
      <c r="Q35" s="232"/>
      <c r="R35" s="232"/>
      <c r="S35" s="232"/>
      <c r="T35" s="232"/>
      <c r="U35" s="233"/>
      <c r="V35" s="1909">
        <v>0</v>
      </c>
      <c r="W35" s="1907"/>
      <c r="X35" s="1910"/>
      <c r="Y35" s="1906">
        <v>0</v>
      </c>
      <c r="Z35" s="1907"/>
      <c r="AA35" s="1908"/>
      <c r="AB35" s="1909">
        <v>0</v>
      </c>
      <c r="AC35" s="1907"/>
      <c r="AD35" s="1910"/>
      <c r="AE35" s="1906">
        <v>0</v>
      </c>
      <c r="AF35" s="1907"/>
      <c r="AG35" s="1908"/>
      <c r="AI35" s="1551" t="str">
        <f t="shared" ref="AI35:AI56" si="1">IF(V35&lt;AB35,"Number of Passers should be less than or equal to the Number of Takers (by grade level, by sex) .",IF(Y35&lt;AE35,"Number of Passers should be less than or equal to the Number of Takers (by grade level, by sex) .",""))</f>
        <v/>
      </c>
    </row>
    <row r="36" spans="2:35" s="230" customFormat="1" ht="24.75" customHeight="1">
      <c r="B36" s="231"/>
      <c r="C36" s="232" t="s">
        <v>1315</v>
      </c>
      <c r="D36" s="233"/>
      <c r="E36" s="232"/>
      <c r="F36" s="232"/>
      <c r="G36" s="232"/>
      <c r="H36" s="232"/>
      <c r="I36" s="232"/>
      <c r="J36" s="232"/>
      <c r="K36" s="232"/>
      <c r="L36" s="232"/>
      <c r="M36" s="232"/>
      <c r="N36" s="232"/>
      <c r="O36" s="232"/>
      <c r="P36" s="232"/>
      <c r="Q36" s="232"/>
      <c r="R36" s="232"/>
      <c r="S36" s="232"/>
      <c r="T36" s="232"/>
      <c r="U36" s="233"/>
      <c r="V36" s="1909">
        <v>0</v>
      </c>
      <c r="W36" s="1907"/>
      <c r="X36" s="1910"/>
      <c r="Y36" s="1906">
        <v>0</v>
      </c>
      <c r="Z36" s="1907"/>
      <c r="AA36" s="1908"/>
      <c r="AB36" s="1909">
        <v>0</v>
      </c>
      <c r="AC36" s="1907"/>
      <c r="AD36" s="1910"/>
      <c r="AE36" s="1906">
        <v>0</v>
      </c>
      <c r="AF36" s="1907"/>
      <c r="AG36" s="1908"/>
      <c r="AI36" s="1551" t="str">
        <f t="shared" si="1"/>
        <v/>
      </c>
    </row>
    <row r="37" spans="2:35" s="230" customFormat="1" ht="24.75" customHeight="1">
      <c r="B37" s="231"/>
      <c r="C37" s="232" t="s">
        <v>1316</v>
      </c>
      <c r="D37" s="233"/>
      <c r="E37" s="232"/>
      <c r="F37" s="232"/>
      <c r="G37" s="232"/>
      <c r="H37" s="232"/>
      <c r="I37" s="232"/>
      <c r="J37" s="232"/>
      <c r="K37" s="232"/>
      <c r="L37" s="232"/>
      <c r="M37" s="232"/>
      <c r="N37" s="232"/>
      <c r="O37" s="232"/>
      <c r="P37" s="232"/>
      <c r="Q37" s="232"/>
      <c r="R37" s="232"/>
      <c r="S37" s="232"/>
      <c r="T37" s="232"/>
      <c r="U37" s="233"/>
      <c r="V37" s="1909">
        <v>0</v>
      </c>
      <c r="W37" s="1907"/>
      <c r="X37" s="1910"/>
      <c r="Y37" s="1906">
        <v>0</v>
      </c>
      <c r="Z37" s="1907"/>
      <c r="AA37" s="1908"/>
      <c r="AB37" s="1909">
        <v>0</v>
      </c>
      <c r="AC37" s="1907"/>
      <c r="AD37" s="1910"/>
      <c r="AE37" s="1906">
        <v>0</v>
      </c>
      <c r="AF37" s="1907"/>
      <c r="AG37" s="1908"/>
      <c r="AI37" s="1551" t="str">
        <f t="shared" si="1"/>
        <v/>
      </c>
    </row>
    <row r="38" spans="2:35" s="230" customFormat="1" ht="24.75" customHeight="1">
      <c r="B38" s="231"/>
      <c r="C38" s="232" t="s">
        <v>1317</v>
      </c>
      <c r="D38" s="233"/>
      <c r="E38" s="232"/>
      <c r="F38" s="232"/>
      <c r="G38" s="232"/>
      <c r="H38" s="232"/>
      <c r="I38" s="232"/>
      <c r="J38" s="232"/>
      <c r="K38" s="232"/>
      <c r="L38" s="232"/>
      <c r="M38" s="232"/>
      <c r="N38" s="232"/>
      <c r="O38" s="232"/>
      <c r="P38" s="232"/>
      <c r="Q38" s="232"/>
      <c r="R38" s="232"/>
      <c r="S38" s="232"/>
      <c r="T38" s="232"/>
      <c r="U38" s="233"/>
      <c r="V38" s="1909">
        <v>0</v>
      </c>
      <c r="W38" s="1907"/>
      <c r="X38" s="1910"/>
      <c r="Y38" s="1906">
        <v>0</v>
      </c>
      <c r="Z38" s="1907"/>
      <c r="AA38" s="1908"/>
      <c r="AB38" s="1909">
        <v>0</v>
      </c>
      <c r="AC38" s="1907"/>
      <c r="AD38" s="1910"/>
      <c r="AE38" s="1906">
        <v>0</v>
      </c>
      <c r="AF38" s="1907"/>
      <c r="AG38" s="1908"/>
      <c r="AI38" s="1551" t="str">
        <f t="shared" si="1"/>
        <v/>
      </c>
    </row>
    <row r="39" spans="2:35" s="230" customFormat="1" ht="24.75" customHeight="1">
      <c r="B39" s="231"/>
      <c r="C39" s="232" t="s">
        <v>1318</v>
      </c>
      <c r="D39" s="233"/>
      <c r="E39" s="232"/>
      <c r="F39" s="232"/>
      <c r="G39" s="232"/>
      <c r="H39" s="232"/>
      <c r="I39" s="232"/>
      <c r="J39" s="232"/>
      <c r="K39" s="232"/>
      <c r="L39" s="232"/>
      <c r="M39" s="232"/>
      <c r="N39" s="232"/>
      <c r="O39" s="232"/>
      <c r="P39" s="232"/>
      <c r="Q39" s="232"/>
      <c r="R39" s="232"/>
      <c r="S39" s="232"/>
      <c r="T39" s="232"/>
      <c r="U39" s="233"/>
      <c r="V39" s="1909">
        <v>0</v>
      </c>
      <c r="W39" s="1907"/>
      <c r="X39" s="1910"/>
      <c r="Y39" s="1906">
        <v>0</v>
      </c>
      <c r="Z39" s="1907"/>
      <c r="AA39" s="1908"/>
      <c r="AB39" s="1909">
        <v>0</v>
      </c>
      <c r="AC39" s="1907"/>
      <c r="AD39" s="1910"/>
      <c r="AE39" s="1906">
        <v>0</v>
      </c>
      <c r="AF39" s="1907"/>
      <c r="AG39" s="1908"/>
      <c r="AI39" s="1551" t="str">
        <f t="shared" si="1"/>
        <v/>
      </c>
    </row>
    <row r="40" spans="2:35" s="230" customFormat="1" ht="24.75" customHeight="1">
      <c r="B40" s="231"/>
      <c r="C40" s="232" t="s">
        <v>1319</v>
      </c>
      <c r="D40" s="233"/>
      <c r="E40" s="232"/>
      <c r="F40" s="232"/>
      <c r="G40" s="232"/>
      <c r="H40" s="232"/>
      <c r="I40" s="232"/>
      <c r="J40" s="232"/>
      <c r="K40" s="232"/>
      <c r="L40" s="232"/>
      <c r="M40" s="232"/>
      <c r="N40" s="232"/>
      <c r="O40" s="232"/>
      <c r="P40" s="232"/>
      <c r="Q40" s="232"/>
      <c r="R40" s="232"/>
      <c r="S40" s="232"/>
      <c r="T40" s="232"/>
      <c r="U40" s="233"/>
      <c r="V40" s="1909">
        <v>0</v>
      </c>
      <c r="W40" s="1907"/>
      <c r="X40" s="1910"/>
      <c r="Y40" s="1906">
        <v>0</v>
      </c>
      <c r="Z40" s="1907"/>
      <c r="AA40" s="1908"/>
      <c r="AB40" s="1909">
        <v>0</v>
      </c>
      <c r="AC40" s="1907"/>
      <c r="AD40" s="1910"/>
      <c r="AE40" s="1906">
        <v>0</v>
      </c>
      <c r="AF40" s="1907"/>
      <c r="AG40" s="1908"/>
      <c r="AI40" s="1551" t="str">
        <f t="shared" si="1"/>
        <v/>
      </c>
    </row>
    <row r="41" spans="2:35" s="230" customFormat="1" ht="24.75" customHeight="1">
      <c r="B41" s="231"/>
      <c r="C41" s="232" t="s">
        <v>1320</v>
      </c>
      <c r="D41" s="233"/>
      <c r="E41" s="232"/>
      <c r="F41" s="232"/>
      <c r="G41" s="232"/>
      <c r="H41" s="232"/>
      <c r="I41" s="232"/>
      <c r="J41" s="232"/>
      <c r="K41" s="232"/>
      <c r="L41" s="232"/>
      <c r="M41" s="232"/>
      <c r="N41" s="232"/>
      <c r="O41" s="232"/>
      <c r="P41" s="232"/>
      <c r="Q41" s="232"/>
      <c r="R41" s="232"/>
      <c r="S41" s="232"/>
      <c r="T41" s="232"/>
      <c r="U41" s="233"/>
      <c r="V41" s="1909">
        <v>0</v>
      </c>
      <c r="W41" s="1907"/>
      <c r="X41" s="1910"/>
      <c r="Y41" s="1906">
        <v>0</v>
      </c>
      <c r="Z41" s="1907"/>
      <c r="AA41" s="1908"/>
      <c r="AB41" s="1909">
        <v>0</v>
      </c>
      <c r="AC41" s="1907"/>
      <c r="AD41" s="1910"/>
      <c r="AE41" s="1906">
        <v>0</v>
      </c>
      <c r="AF41" s="1907"/>
      <c r="AG41" s="1908"/>
      <c r="AI41" s="1551" t="str">
        <f t="shared" si="1"/>
        <v/>
      </c>
    </row>
    <row r="42" spans="2:35" s="230" customFormat="1" ht="24.75" customHeight="1">
      <c r="B42" s="231"/>
      <c r="C42" s="232" t="s">
        <v>1321</v>
      </c>
      <c r="D42" s="233"/>
      <c r="E42" s="232"/>
      <c r="F42" s="232"/>
      <c r="G42" s="232"/>
      <c r="H42" s="232"/>
      <c r="I42" s="232"/>
      <c r="J42" s="232"/>
      <c r="K42" s="232"/>
      <c r="L42" s="232"/>
      <c r="M42" s="232"/>
      <c r="N42" s="232"/>
      <c r="O42" s="232"/>
      <c r="P42" s="232"/>
      <c r="Q42" s="232"/>
      <c r="R42" s="232"/>
      <c r="S42" s="232"/>
      <c r="T42" s="232"/>
      <c r="U42" s="233"/>
      <c r="V42" s="1909">
        <v>0</v>
      </c>
      <c r="W42" s="1907"/>
      <c r="X42" s="1910"/>
      <c r="Y42" s="1906">
        <v>0</v>
      </c>
      <c r="Z42" s="1907"/>
      <c r="AA42" s="1908"/>
      <c r="AB42" s="1909">
        <v>0</v>
      </c>
      <c r="AC42" s="1907"/>
      <c r="AD42" s="1910"/>
      <c r="AE42" s="1906">
        <v>0</v>
      </c>
      <c r="AF42" s="1907"/>
      <c r="AG42" s="1908"/>
      <c r="AI42" s="1551" t="str">
        <f t="shared" si="1"/>
        <v/>
      </c>
    </row>
    <row r="43" spans="2:35" s="230" customFormat="1" ht="24.75" customHeight="1">
      <c r="B43" s="231"/>
      <c r="C43" s="232" t="s">
        <v>1322</v>
      </c>
      <c r="D43" s="233"/>
      <c r="E43" s="232"/>
      <c r="F43" s="232"/>
      <c r="G43" s="232"/>
      <c r="H43" s="232"/>
      <c r="I43" s="232"/>
      <c r="J43" s="232"/>
      <c r="K43" s="232"/>
      <c r="L43" s="232"/>
      <c r="M43" s="232"/>
      <c r="N43" s="232"/>
      <c r="O43" s="232"/>
      <c r="P43" s="232"/>
      <c r="Q43" s="232"/>
      <c r="R43" s="232"/>
      <c r="S43" s="232"/>
      <c r="T43" s="232"/>
      <c r="U43" s="233"/>
      <c r="V43" s="1909">
        <v>0</v>
      </c>
      <c r="W43" s="1907"/>
      <c r="X43" s="1910"/>
      <c r="Y43" s="1906">
        <v>0</v>
      </c>
      <c r="Z43" s="1907"/>
      <c r="AA43" s="1908"/>
      <c r="AB43" s="1909">
        <v>0</v>
      </c>
      <c r="AC43" s="1907"/>
      <c r="AD43" s="1910"/>
      <c r="AE43" s="1906">
        <v>0</v>
      </c>
      <c r="AF43" s="1907"/>
      <c r="AG43" s="1908"/>
      <c r="AI43" s="1551" t="str">
        <f t="shared" si="1"/>
        <v/>
      </c>
    </row>
    <row r="44" spans="2:35" s="230" customFormat="1" ht="24.75" customHeight="1">
      <c r="B44" s="231"/>
      <c r="C44" s="232" t="s">
        <v>1323</v>
      </c>
      <c r="D44" s="233"/>
      <c r="E44" s="232"/>
      <c r="F44" s="232"/>
      <c r="G44" s="232"/>
      <c r="H44" s="232"/>
      <c r="I44" s="232"/>
      <c r="J44" s="232"/>
      <c r="K44" s="232"/>
      <c r="L44" s="232"/>
      <c r="M44" s="232"/>
      <c r="N44" s="232"/>
      <c r="O44" s="232"/>
      <c r="P44" s="232"/>
      <c r="Q44" s="232"/>
      <c r="R44" s="232"/>
      <c r="S44" s="232"/>
      <c r="T44" s="232"/>
      <c r="U44" s="233"/>
      <c r="V44" s="1909">
        <v>0</v>
      </c>
      <c r="W44" s="1907"/>
      <c r="X44" s="1910"/>
      <c r="Y44" s="1906">
        <v>0</v>
      </c>
      <c r="Z44" s="1907"/>
      <c r="AA44" s="1908"/>
      <c r="AB44" s="1909">
        <v>0</v>
      </c>
      <c r="AC44" s="1907"/>
      <c r="AD44" s="1910"/>
      <c r="AE44" s="1906">
        <v>0</v>
      </c>
      <c r="AF44" s="1907"/>
      <c r="AG44" s="1908"/>
      <c r="AI44" s="1551" t="str">
        <f t="shared" si="1"/>
        <v/>
      </c>
    </row>
    <row r="45" spans="2:35" s="230" customFormat="1" ht="24.75" customHeight="1">
      <c r="B45" s="231"/>
      <c r="C45" s="232" t="s">
        <v>1324</v>
      </c>
      <c r="D45" s="233"/>
      <c r="E45" s="232"/>
      <c r="F45" s="232"/>
      <c r="G45" s="232"/>
      <c r="H45" s="232"/>
      <c r="I45" s="232"/>
      <c r="J45" s="232"/>
      <c r="K45" s="232"/>
      <c r="L45" s="232"/>
      <c r="M45" s="232"/>
      <c r="N45" s="232"/>
      <c r="O45" s="232"/>
      <c r="P45" s="232"/>
      <c r="Q45" s="232"/>
      <c r="R45" s="232"/>
      <c r="S45" s="232"/>
      <c r="T45" s="232"/>
      <c r="U45" s="233"/>
      <c r="V45" s="1909">
        <v>0</v>
      </c>
      <c r="W45" s="1907"/>
      <c r="X45" s="1910"/>
      <c r="Y45" s="1906">
        <v>0</v>
      </c>
      <c r="Z45" s="1907"/>
      <c r="AA45" s="1908"/>
      <c r="AB45" s="1909">
        <v>0</v>
      </c>
      <c r="AC45" s="1907"/>
      <c r="AD45" s="1910"/>
      <c r="AE45" s="1906">
        <v>0</v>
      </c>
      <c r="AF45" s="1907"/>
      <c r="AG45" s="1908"/>
      <c r="AI45" s="1551" t="str">
        <f t="shared" si="1"/>
        <v/>
      </c>
    </row>
    <row r="46" spans="2:35" s="230" customFormat="1" ht="24.75" customHeight="1">
      <c r="B46" s="231"/>
      <c r="C46" s="232" t="s">
        <v>1325</v>
      </c>
      <c r="D46" s="233"/>
      <c r="E46" s="232"/>
      <c r="F46" s="232"/>
      <c r="G46" s="232"/>
      <c r="H46" s="232"/>
      <c r="I46" s="232"/>
      <c r="J46" s="232"/>
      <c r="K46" s="232"/>
      <c r="L46" s="232"/>
      <c r="M46" s="232"/>
      <c r="N46" s="232"/>
      <c r="O46" s="232"/>
      <c r="P46" s="232"/>
      <c r="Q46" s="232"/>
      <c r="R46" s="232"/>
      <c r="S46" s="232"/>
      <c r="T46" s="232"/>
      <c r="U46" s="233"/>
      <c r="V46" s="1909">
        <v>0</v>
      </c>
      <c r="W46" s="1907"/>
      <c r="X46" s="1910"/>
      <c r="Y46" s="1906">
        <v>0</v>
      </c>
      <c r="Z46" s="1907"/>
      <c r="AA46" s="1908"/>
      <c r="AB46" s="1909">
        <v>0</v>
      </c>
      <c r="AC46" s="1907"/>
      <c r="AD46" s="1910"/>
      <c r="AE46" s="1906">
        <v>0</v>
      </c>
      <c r="AF46" s="1907"/>
      <c r="AG46" s="1908"/>
      <c r="AI46" s="1551" t="str">
        <f t="shared" si="1"/>
        <v/>
      </c>
    </row>
    <row r="47" spans="2:35" s="230" customFormat="1" ht="24.75" customHeight="1">
      <c r="B47" s="231"/>
      <c r="C47" s="232" t="s">
        <v>1326</v>
      </c>
      <c r="D47" s="233"/>
      <c r="E47" s="232"/>
      <c r="F47" s="232"/>
      <c r="G47" s="232"/>
      <c r="H47" s="232"/>
      <c r="I47" s="232"/>
      <c r="J47" s="232"/>
      <c r="K47" s="232"/>
      <c r="L47" s="232"/>
      <c r="M47" s="232"/>
      <c r="N47" s="232"/>
      <c r="O47" s="232"/>
      <c r="P47" s="232"/>
      <c r="Q47" s="232"/>
      <c r="R47" s="232"/>
      <c r="S47" s="232"/>
      <c r="T47" s="232"/>
      <c r="U47" s="233"/>
      <c r="V47" s="1909">
        <v>0</v>
      </c>
      <c r="W47" s="1907"/>
      <c r="X47" s="1910"/>
      <c r="Y47" s="1906">
        <v>0</v>
      </c>
      <c r="Z47" s="1907"/>
      <c r="AA47" s="1908"/>
      <c r="AB47" s="1909">
        <v>0</v>
      </c>
      <c r="AC47" s="1907"/>
      <c r="AD47" s="1910"/>
      <c r="AE47" s="1906">
        <v>0</v>
      </c>
      <c r="AF47" s="1907"/>
      <c r="AG47" s="1908"/>
      <c r="AI47" s="1551" t="str">
        <f t="shared" si="1"/>
        <v/>
      </c>
    </row>
    <row r="48" spans="2:35" s="230" customFormat="1" ht="24.75" customHeight="1">
      <c r="B48" s="231"/>
      <c r="C48" s="232" t="s">
        <v>1327</v>
      </c>
      <c r="D48" s="233"/>
      <c r="E48" s="232"/>
      <c r="F48" s="232"/>
      <c r="G48" s="232"/>
      <c r="H48" s="232"/>
      <c r="I48" s="232"/>
      <c r="J48" s="232"/>
      <c r="K48" s="232"/>
      <c r="L48" s="232"/>
      <c r="M48" s="232"/>
      <c r="N48" s="232"/>
      <c r="O48" s="232"/>
      <c r="P48" s="232"/>
      <c r="Q48" s="232"/>
      <c r="R48" s="232"/>
      <c r="S48" s="232"/>
      <c r="T48" s="232"/>
      <c r="U48" s="233"/>
      <c r="V48" s="1909">
        <v>0</v>
      </c>
      <c r="W48" s="1907"/>
      <c r="X48" s="1910"/>
      <c r="Y48" s="1906">
        <v>0</v>
      </c>
      <c r="Z48" s="1907"/>
      <c r="AA48" s="1908"/>
      <c r="AB48" s="1909">
        <v>0</v>
      </c>
      <c r="AC48" s="1907"/>
      <c r="AD48" s="1910"/>
      <c r="AE48" s="1906">
        <v>0</v>
      </c>
      <c r="AF48" s="1907"/>
      <c r="AG48" s="1908"/>
      <c r="AI48" s="1551" t="str">
        <f t="shared" si="1"/>
        <v/>
      </c>
    </row>
    <row r="49" spans="2:35" s="230" customFormat="1" ht="24.75" customHeight="1">
      <c r="B49" s="231"/>
      <c r="C49" s="232" t="s">
        <v>1328</v>
      </c>
      <c r="D49" s="233"/>
      <c r="E49" s="232"/>
      <c r="F49" s="232"/>
      <c r="G49" s="232"/>
      <c r="H49" s="232"/>
      <c r="I49" s="232"/>
      <c r="J49" s="232"/>
      <c r="K49" s="232"/>
      <c r="L49" s="232"/>
      <c r="M49" s="232"/>
      <c r="N49" s="232"/>
      <c r="O49" s="232"/>
      <c r="P49" s="232"/>
      <c r="Q49" s="232"/>
      <c r="R49" s="232"/>
      <c r="S49" s="232"/>
      <c r="T49" s="232"/>
      <c r="U49" s="233"/>
      <c r="V49" s="1909">
        <v>0</v>
      </c>
      <c r="W49" s="1907"/>
      <c r="X49" s="1910"/>
      <c r="Y49" s="1906">
        <v>0</v>
      </c>
      <c r="Z49" s="1907"/>
      <c r="AA49" s="1908"/>
      <c r="AB49" s="1909">
        <v>0</v>
      </c>
      <c r="AC49" s="1907"/>
      <c r="AD49" s="1910"/>
      <c r="AE49" s="1906">
        <v>0</v>
      </c>
      <c r="AF49" s="1907"/>
      <c r="AG49" s="1908"/>
      <c r="AI49" s="1551" t="str">
        <f t="shared" si="1"/>
        <v/>
      </c>
    </row>
    <row r="50" spans="2:35" s="230" customFormat="1" ht="24.75" customHeight="1">
      <c r="B50" s="231"/>
      <c r="C50" s="232" t="s">
        <v>1329</v>
      </c>
      <c r="D50" s="233"/>
      <c r="E50" s="232"/>
      <c r="F50" s="232"/>
      <c r="G50" s="232"/>
      <c r="H50" s="232"/>
      <c r="I50" s="232"/>
      <c r="J50" s="232"/>
      <c r="K50" s="232"/>
      <c r="L50" s="232"/>
      <c r="M50" s="232"/>
      <c r="N50" s="232"/>
      <c r="O50" s="232"/>
      <c r="P50" s="232"/>
      <c r="Q50" s="232"/>
      <c r="R50" s="232"/>
      <c r="S50" s="232"/>
      <c r="T50" s="232"/>
      <c r="U50" s="233"/>
      <c r="V50" s="1909">
        <v>0</v>
      </c>
      <c r="W50" s="1907"/>
      <c r="X50" s="1910"/>
      <c r="Y50" s="1906">
        <v>0</v>
      </c>
      <c r="Z50" s="1907"/>
      <c r="AA50" s="1908"/>
      <c r="AB50" s="1909">
        <v>0</v>
      </c>
      <c r="AC50" s="1907"/>
      <c r="AD50" s="1910"/>
      <c r="AE50" s="1906">
        <v>0</v>
      </c>
      <c r="AF50" s="1907"/>
      <c r="AG50" s="1908"/>
      <c r="AI50" s="1551" t="str">
        <f t="shared" si="1"/>
        <v/>
      </c>
    </row>
    <row r="51" spans="2:35" s="230" customFormat="1" ht="24.75" customHeight="1">
      <c r="B51" s="231"/>
      <c r="C51" s="232" t="s">
        <v>1330</v>
      </c>
      <c r="D51" s="233"/>
      <c r="E51" s="232"/>
      <c r="F51" s="232"/>
      <c r="G51" s="232"/>
      <c r="H51" s="232"/>
      <c r="I51" s="232"/>
      <c r="J51" s="232"/>
      <c r="K51" s="232"/>
      <c r="L51" s="232"/>
      <c r="M51" s="232"/>
      <c r="N51" s="232"/>
      <c r="O51" s="232"/>
      <c r="P51" s="232"/>
      <c r="Q51" s="232"/>
      <c r="R51" s="232"/>
      <c r="S51" s="232"/>
      <c r="T51" s="232"/>
      <c r="U51" s="233"/>
      <c r="V51" s="1909">
        <v>0</v>
      </c>
      <c r="W51" s="1907"/>
      <c r="X51" s="1910"/>
      <c r="Y51" s="1906">
        <v>0</v>
      </c>
      <c r="Z51" s="1907"/>
      <c r="AA51" s="1908"/>
      <c r="AB51" s="1909">
        <v>0</v>
      </c>
      <c r="AC51" s="1907"/>
      <c r="AD51" s="1910"/>
      <c r="AE51" s="1906">
        <v>0</v>
      </c>
      <c r="AF51" s="1907"/>
      <c r="AG51" s="1908"/>
      <c r="AI51" s="1551" t="str">
        <f t="shared" si="1"/>
        <v/>
      </c>
    </row>
    <row r="52" spans="2:35" s="230" customFormat="1" ht="24.75" customHeight="1">
      <c r="B52" s="231"/>
      <c r="C52" s="232" t="s">
        <v>1331</v>
      </c>
      <c r="D52" s="233"/>
      <c r="E52" s="232"/>
      <c r="F52" s="232"/>
      <c r="G52" s="232"/>
      <c r="H52" s="232"/>
      <c r="I52" s="232"/>
      <c r="J52" s="232"/>
      <c r="K52" s="232"/>
      <c r="L52" s="232"/>
      <c r="M52" s="232"/>
      <c r="N52" s="232"/>
      <c r="O52" s="232"/>
      <c r="P52" s="232"/>
      <c r="Q52" s="232"/>
      <c r="R52" s="232"/>
      <c r="S52" s="232"/>
      <c r="T52" s="232"/>
      <c r="U52" s="233"/>
      <c r="V52" s="1909">
        <v>0</v>
      </c>
      <c r="W52" s="1907"/>
      <c r="X52" s="1910"/>
      <c r="Y52" s="1906">
        <v>0</v>
      </c>
      <c r="Z52" s="1907"/>
      <c r="AA52" s="1908"/>
      <c r="AB52" s="1909">
        <v>0</v>
      </c>
      <c r="AC52" s="1907"/>
      <c r="AD52" s="1910"/>
      <c r="AE52" s="1906">
        <v>0</v>
      </c>
      <c r="AF52" s="1907"/>
      <c r="AG52" s="1908"/>
      <c r="AI52" s="1551" t="str">
        <f t="shared" si="1"/>
        <v/>
      </c>
    </row>
    <row r="53" spans="2:35" s="230" customFormat="1" ht="24.75" customHeight="1">
      <c r="B53" s="231"/>
      <c r="C53" s="232" t="s">
        <v>1332</v>
      </c>
      <c r="D53" s="233"/>
      <c r="E53" s="232"/>
      <c r="F53" s="232"/>
      <c r="G53" s="232"/>
      <c r="H53" s="232"/>
      <c r="I53" s="232"/>
      <c r="J53" s="232"/>
      <c r="K53" s="232"/>
      <c r="L53" s="232"/>
      <c r="M53" s="232"/>
      <c r="N53" s="232"/>
      <c r="O53" s="232"/>
      <c r="P53" s="232"/>
      <c r="Q53" s="232"/>
      <c r="R53" s="232"/>
      <c r="S53" s="232"/>
      <c r="T53" s="232"/>
      <c r="U53" s="233"/>
      <c r="V53" s="1909">
        <v>0</v>
      </c>
      <c r="W53" s="1907"/>
      <c r="X53" s="1910"/>
      <c r="Y53" s="1906">
        <v>0</v>
      </c>
      <c r="Z53" s="1907"/>
      <c r="AA53" s="1908"/>
      <c r="AB53" s="1909">
        <v>0</v>
      </c>
      <c r="AC53" s="1907"/>
      <c r="AD53" s="1910"/>
      <c r="AE53" s="1906">
        <v>0</v>
      </c>
      <c r="AF53" s="1907"/>
      <c r="AG53" s="1908"/>
      <c r="AI53" s="1551" t="str">
        <f t="shared" si="1"/>
        <v/>
      </c>
    </row>
    <row r="54" spans="2:35" s="230" customFormat="1" ht="24.75" customHeight="1">
      <c r="B54" s="231"/>
      <c r="C54" s="232" t="s">
        <v>1333</v>
      </c>
      <c r="D54" s="233"/>
      <c r="E54" s="232"/>
      <c r="F54" s="232"/>
      <c r="G54" s="232"/>
      <c r="H54" s="232"/>
      <c r="I54" s="232"/>
      <c r="J54" s="232"/>
      <c r="K54" s="232"/>
      <c r="L54" s="232"/>
      <c r="M54" s="232"/>
      <c r="N54" s="232"/>
      <c r="O54" s="232"/>
      <c r="P54" s="232"/>
      <c r="Q54" s="232"/>
      <c r="R54" s="232"/>
      <c r="S54" s="232"/>
      <c r="T54" s="232"/>
      <c r="U54" s="233"/>
      <c r="V54" s="1909">
        <v>0</v>
      </c>
      <c r="W54" s="1907"/>
      <c r="X54" s="1910"/>
      <c r="Y54" s="1906">
        <v>0</v>
      </c>
      <c r="Z54" s="1907"/>
      <c r="AA54" s="1908"/>
      <c r="AB54" s="1909">
        <v>0</v>
      </c>
      <c r="AC54" s="1907"/>
      <c r="AD54" s="1910"/>
      <c r="AE54" s="1906">
        <v>0</v>
      </c>
      <c r="AF54" s="1907"/>
      <c r="AG54" s="1908"/>
      <c r="AI54" s="1551" t="str">
        <f t="shared" si="1"/>
        <v/>
      </c>
    </row>
    <row r="55" spans="2:35" s="230" customFormat="1" ht="24.75" customHeight="1">
      <c r="B55" s="231"/>
      <c r="C55" s="232" t="s">
        <v>1334</v>
      </c>
      <c r="D55" s="233"/>
      <c r="E55" s="232"/>
      <c r="F55" s="232"/>
      <c r="G55" s="232"/>
      <c r="H55" s="232"/>
      <c r="I55" s="232"/>
      <c r="J55" s="232"/>
      <c r="K55" s="232"/>
      <c r="L55" s="232"/>
      <c r="M55" s="232"/>
      <c r="N55" s="232"/>
      <c r="O55" s="232"/>
      <c r="P55" s="232"/>
      <c r="Q55" s="232"/>
      <c r="R55" s="232"/>
      <c r="S55" s="232"/>
      <c r="T55" s="232"/>
      <c r="U55" s="233"/>
      <c r="V55" s="1909">
        <v>0</v>
      </c>
      <c r="W55" s="1907"/>
      <c r="X55" s="1910"/>
      <c r="Y55" s="1906">
        <v>0</v>
      </c>
      <c r="Z55" s="1907"/>
      <c r="AA55" s="1908"/>
      <c r="AB55" s="1909">
        <v>0</v>
      </c>
      <c r="AC55" s="1907"/>
      <c r="AD55" s="1910"/>
      <c r="AE55" s="1906">
        <v>0</v>
      </c>
      <c r="AF55" s="1907"/>
      <c r="AG55" s="1908"/>
      <c r="AI55" s="1551" t="str">
        <f t="shared" si="1"/>
        <v/>
      </c>
    </row>
    <row r="56" spans="2:35" s="230" customFormat="1" ht="24.75" customHeight="1" thickBot="1">
      <c r="B56" s="234"/>
      <c r="C56" s="235" t="s">
        <v>1335</v>
      </c>
      <c r="D56" s="236"/>
      <c r="E56" s="235"/>
      <c r="F56" s="235"/>
      <c r="G56" s="235"/>
      <c r="H56" s="235"/>
      <c r="I56" s="235"/>
      <c r="J56" s="235"/>
      <c r="K56" s="235"/>
      <c r="L56" s="235"/>
      <c r="M56" s="235"/>
      <c r="N56" s="235"/>
      <c r="O56" s="235"/>
      <c r="P56" s="235"/>
      <c r="Q56" s="235"/>
      <c r="R56" s="235"/>
      <c r="S56" s="235"/>
      <c r="T56" s="235"/>
      <c r="U56" s="236"/>
      <c r="V56" s="1942">
        <v>0</v>
      </c>
      <c r="W56" s="1943"/>
      <c r="X56" s="1944"/>
      <c r="Y56" s="1945">
        <v>0</v>
      </c>
      <c r="Z56" s="1943"/>
      <c r="AA56" s="1946"/>
      <c r="AB56" s="1942">
        <v>0</v>
      </c>
      <c r="AC56" s="1943"/>
      <c r="AD56" s="1944"/>
      <c r="AE56" s="1945">
        <v>0</v>
      </c>
      <c r="AF56" s="1943"/>
      <c r="AG56" s="1946"/>
      <c r="AI56" s="1551" t="str">
        <f t="shared" si="1"/>
        <v/>
      </c>
    </row>
    <row r="57" spans="2:35" ht="9.75" customHeight="1">
      <c r="B57" s="237"/>
    </row>
    <row r="58" spans="2:35" s="240" customFormat="1" ht="12" customHeight="1">
      <c r="B58" s="239" t="s">
        <v>1336</v>
      </c>
    </row>
    <row r="59" spans="2:35" s="240" customFormat="1" ht="30.75" customHeight="1">
      <c r="B59" s="239"/>
    </row>
    <row r="60" spans="2:35" s="241" customFormat="1">
      <c r="B60" s="223" t="s">
        <v>32</v>
      </c>
      <c r="V60" s="242" t="s">
        <v>33</v>
      </c>
      <c r="W60" s="242"/>
      <c r="X60" s="242"/>
      <c r="Y60" s="242"/>
      <c r="Z60" s="242"/>
      <c r="AA60" s="242"/>
      <c r="AB60" s="242"/>
      <c r="AC60" s="242"/>
      <c r="AD60" s="242"/>
      <c r="AE60" s="242"/>
      <c r="AF60" s="242"/>
      <c r="AG60" s="242"/>
    </row>
    <row r="61" spans="2:35" s="241" customFormat="1" ht="21.75" customHeight="1">
      <c r="B61" s="223" t="s">
        <v>1337</v>
      </c>
      <c r="E61" s="245"/>
      <c r="F61" s="1913" t="str">
        <f>activesheet!E21</f>
        <v>MELCHESIEDICK Q. BOLANIO / March 17, 2023</v>
      </c>
      <c r="G61" s="1913"/>
      <c r="H61" s="1913"/>
      <c r="I61" s="1913"/>
      <c r="J61" s="1913"/>
      <c r="K61" s="1913"/>
      <c r="L61" s="1913"/>
      <c r="M61" s="1913"/>
      <c r="N61" s="1913"/>
      <c r="O61" s="1913"/>
      <c r="P61" s="1913"/>
      <c r="Q61" s="1913"/>
      <c r="R61" s="243"/>
      <c r="S61" s="243"/>
      <c r="V61" s="1940" t="str">
        <f>activesheet!E25</f>
        <v>MICHAEL T. JAMIS / March 17, 2023</v>
      </c>
      <c r="W61" s="1940"/>
      <c r="X61" s="1940"/>
      <c r="Y61" s="1940"/>
      <c r="Z61" s="1940"/>
      <c r="AA61" s="1940"/>
      <c r="AB61" s="1940"/>
      <c r="AC61" s="1940"/>
      <c r="AD61" s="1940"/>
      <c r="AE61" s="1940"/>
      <c r="AF61" s="1940"/>
      <c r="AG61" s="1940"/>
    </row>
    <row r="62" spans="2:35" s="244" customFormat="1" ht="12.2" customHeight="1">
      <c r="B62" s="225"/>
      <c r="E62" s="226"/>
      <c r="F62" s="1920" t="s">
        <v>37</v>
      </c>
      <c r="G62" s="1920"/>
      <c r="H62" s="1920"/>
      <c r="I62" s="1920"/>
      <c r="J62" s="1920"/>
      <c r="K62" s="1920"/>
      <c r="L62" s="1920"/>
      <c r="M62" s="1920"/>
      <c r="N62" s="1920"/>
      <c r="O62" s="1920"/>
      <c r="P62" s="1920"/>
      <c r="Q62" s="1920"/>
      <c r="R62" s="226"/>
      <c r="S62" s="226"/>
      <c r="T62" s="225"/>
      <c r="U62" s="225"/>
      <c r="V62" s="1941"/>
      <c r="W62" s="1941"/>
      <c r="X62" s="1941"/>
      <c r="Y62" s="1941"/>
      <c r="Z62" s="1941"/>
      <c r="AA62" s="1941"/>
      <c r="AB62" s="1941"/>
      <c r="AC62" s="1941"/>
      <c r="AD62" s="1941"/>
      <c r="AE62" s="1941"/>
      <c r="AF62" s="1941"/>
      <c r="AG62" s="1941"/>
    </row>
    <row r="63" spans="2:35" s="241" customFormat="1" ht="21.75" customHeight="1">
      <c r="B63" s="223" t="s">
        <v>58</v>
      </c>
      <c r="E63" s="245"/>
      <c r="F63" s="1913" t="str">
        <f>activesheet!E22</f>
        <v>SECONDARY SCHOOL PRINCIPAL IV</v>
      </c>
      <c r="G63" s="1913"/>
      <c r="H63" s="1913"/>
      <c r="I63" s="1913"/>
      <c r="J63" s="1913"/>
      <c r="K63" s="1913"/>
      <c r="L63" s="1913"/>
      <c r="M63" s="1913"/>
      <c r="N63" s="1913"/>
      <c r="O63" s="1913"/>
      <c r="P63" s="1913"/>
      <c r="Q63" s="1913"/>
      <c r="R63" s="243"/>
      <c r="S63" s="243"/>
      <c r="V63" s="1811" t="s">
        <v>37</v>
      </c>
      <c r="W63" s="1811"/>
      <c r="X63" s="1811"/>
      <c r="Y63" s="1811"/>
      <c r="Z63" s="1811"/>
      <c r="AA63" s="1811"/>
      <c r="AB63" s="1811"/>
      <c r="AC63" s="1811"/>
      <c r="AD63" s="1811"/>
      <c r="AE63" s="1811"/>
      <c r="AF63" s="1811"/>
      <c r="AG63" s="1811"/>
    </row>
  </sheetData>
  <sheetProtection algorithmName="SHA-512" hashValue="1XXXy/lQo8kar4GJ3rNmcrNQD0un2OmgBRwfJPBy9GVNoNPpYzzERhPUtXZOAnf/XFkBTllDZmsFugkz9dLQNA==" saltValue="gXxik5FGanenYJkDr9naRA==" spinCount="100000" sheet="1" objects="1" scenarios="1"/>
  <customSheetViews>
    <customSheetView guid="{6EFEFCA0-BF14-457A-85A3-29CBF2A862A5}" showGridLines="0" fitToPage="1" topLeftCell="A38">
      <selection activeCell="T66" sqref="T66"/>
      <pageMargins left="0.39370078740157483" right="0.39370078740157483" top="0.19685039370078741" bottom="1.3779527559055118" header="0" footer="0.11811023622047245"/>
      <printOptions horizontalCentered="1" verticalCentered="1"/>
      <pageSetup paperSize="5" scale="61" orientation="portrait" r:id="rId1"/>
      <headerFooter>
        <oddFooter>&amp;L&amp;10&amp;F &amp;A&amp;R&amp;10Page 3 of 61</oddFooter>
      </headerFooter>
    </customSheetView>
  </customSheetViews>
  <mergeCells count="208">
    <mergeCell ref="V55:X55"/>
    <mergeCell ref="Y55:AA55"/>
    <mergeCell ref="AB55:AD55"/>
    <mergeCell ref="AE55:AG55"/>
    <mergeCell ref="V56:X56"/>
    <mergeCell ref="Y56:AA56"/>
    <mergeCell ref="AB56:AD56"/>
    <mergeCell ref="AE56:AG56"/>
    <mergeCell ref="V53:X53"/>
    <mergeCell ref="Y53:AA53"/>
    <mergeCell ref="AB53:AD53"/>
    <mergeCell ref="AE53:AG53"/>
    <mergeCell ref="V54:X54"/>
    <mergeCell ref="Y54:AA54"/>
    <mergeCell ref="AB54:AD54"/>
    <mergeCell ref="AE54:AG54"/>
    <mergeCell ref="V51:X51"/>
    <mergeCell ref="Y51:AA51"/>
    <mergeCell ref="AB51:AD51"/>
    <mergeCell ref="AE51:AG51"/>
    <mergeCell ref="V52:X52"/>
    <mergeCell ref="Y52:AA52"/>
    <mergeCell ref="AB52:AD52"/>
    <mergeCell ref="AE52:AG52"/>
    <mergeCell ref="V49:X49"/>
    <mergeCell ref="Y49:AA49"/>
    <mergeCell ref="AB49:AD49"/>
    <mergeCell ref="AE49:AG49"/>
    <mergeCell ref="V50:X50"/>
    <mergeCell ref="Y50:AA50"/>
    <mergeCell ref="AB50:AD50"/>
    <mergeCell ref="AE50:AG50"/>
    <mergeCell ref="V47:X47"/>
    <mergeCell ref="Y47:AA47"/>
    <mergeCell ref="AB47:AD47"/>
    <mergeCell ref="AE47:AG47"/>
    <mergeCell ref="V48:X48"/>
    <mergeCell ref="Y48:AA48"/>
    <mergeCell ref="AB48:AD48"/>
    <mergeCell ref="AE48:AG48"/>
    <mergeCell ref="V45:X45"/>
    <mergeCell ref="Y45:AA45"/>
    <mergeCell ref="AB45:AD45"/>
    <mergeCell ref="AE45:AG45"/>
    <mergeCell ref="V46:X46"/>
    <mergeCell ref="Y46:AA46"/>
    <mergeCell ref="AB46:AD46"/>
    <mergeCell ref="AE46:AG46"/>
    <mergeCell ref="V43:X43"/>
    <mergeCell ref="Y43:AA43"/>
    <mergeCell ref="AB43:AD43"/>
    <mergeCell ref="AE43:AG43"/>
    <mergeCell ref="V44:X44"/>
    <mergeCell ref="Y44:AA44"/>
    <mergeCell ref="AB44:AD44"/>
    <mergeCell ref="AE44:AG44"/>
    <mergeCell ref="V41:X41"/>
    <mergeCell ref="Y41:AA41"/>
    <mergeCell ref="AB41:AD41"/>
    <mergeCell ref="AE41:AG41"/>
    <mergeCell ref="V42:X42"/>
    <mergeCell ref="Y42:AA42"/>
    <mergeCell ref="AB42:AD42"/>
    <mergeCell ref="AE42:AG42"/>
    <mergeCell ref="V39:X39"/>
    <mergeCell ref="Y39:AA39"/>
    <mergeCell ref="AB39:AD39"/>
    <mergeCell ref="AE39:AG39"/>
    <mergeCell ref="V40:X40"/>
    <mergeCell ref="Y40:AA40"/>
    <mergeCell ref="AB40:AD40"/>
    <mergeCell ref="AE40:AG40"/>
    <mergeCell ref="V37:X37"/>
    <mergeCell ref="Y37:AA37"/>
    <mergeCell ref="AB37:AD37"/>
    <mergeCell ref="AE37:AG37"/>
    <mergeCell ref="V38:X38"/>
    <mergeCell ref="Y38:AA38"/>
    <mergeCell ref="AB38:AD38"/>
    <mergeCell ref="AE38:AG38"/>
    <mergeCell ref="V35:X35"/>
    <mergeCell ref="Y35:AA35"/>
    <mergeCell ref="AB35:AD35"/>
    <mergeCell ref="AE35:AG35"/>
    <mergeCell ref="V36:X36"/>
    <mergeCell ref="Y36:AA36"/>
    <mergeCell ref="AB36:AD36"/>
    <mergeCell ref="AE36:AG36"/>
    <mergeCell ref="V32:X32"/>
    <mergeCell ref="Y32:AA32"/>
    <mergeCell ref="AB32:AD32"/>
    <mergeCell ref="AE32:AG32"/>
    <mergeCell ref="V34:X34"/>
    <mergeCell ref="Y34:AA34"/>
    <mergeCell ref="AB34:AD34"/>
    <mergeCell ref="AE34:AG34"/>
    <mergeCell ref="V30:X30"/>
    <mergeCell ref="Y30:AA30"/>
    <mergeCell ref="AB30:AD30"/>
    <mergeCell ref="AE30:AG30"/>
    <mergeCell ref="V31:X31"/>
    <mergeCell ref="Y31:AA31"/>
    <mergeCell ref="AB31:AD31"/>
    <mergeCell ref="AE31:AG31"/>
    <mergeCell ref="V28:X28"/>
    <mergeCell ref="Y28:AA28"/>
    <mergeCell ref="AB28:AD28"/>
    <mergeCell ref="AE28:AG28"/>
    <mergeCell ref="V29:X29"/>
    <mergeCell ref="Y29:AA29"/>
    <mergeCell ref="AB29:AD29"/>
    <mergeCell ref="AE29:AG29"/>
    <mergeCell ref="V26:X26"/>
    <mergeCell ref="Y26:AA26"/>
    <mergeCell ref="AB26:AD26"/>
    <mergeCell ref="AE26:AG26"/>
    <mergeCell ref="V27:X27"/>
    <mergeCell ref="Y27:AA27"/>
    <mergeCell ref="AB27:AD27"/>
    <mergeCell ref="AE27:AG27"/>
    <mergeCell ref="V24:X24"/>
    <mergeCell ref="Y24:AA24"/>
    <mergeCell ref="AB24:AD24"/>
    <mergeCell ref="AE24:AG24"/>
    <mergeCell ref="V25:X25"/>
    <mergeCell ref="Y25:AA25"/>
    <mergeCell ref="AB25:AD25"/>
    <mergeCell ref="AE25:AG25"/>
    <mergeCell ref="B2:U2"/>
    <mergeCell ref="B3:U6"/>
    <mergeCell ref="V3:AG3"/>
    <mergeCell ref="V4:AA5"/>
    <mergeCell ref="AB4:AG5"/>
    <mergeCell ref="V6:X6"/>
    <mergeCell ref="Y6:AA6"/>
    <mergeCell ref="AB6:AD6"/>
    <mergeCell ref="V61:AG62"/>
    <mergeCell ref="AB11:AD11"/>
    <mergeCell ref="AE11:AG11"/>
    <mergeCell ref="V10:X10"/>
    <mergeCell ref="Y12:AA12"/>
    <mergeCell ref="AB12:AD12"/>
    <mergeCell ref="AE12:AG12"/>
    <mergeCell ref="V13:X13"/>
    <mergeCell ref="Y13:AA13"/>
    <mergeCell ref="AB13:AD13"/>
    <mergeCell ref="AE13:AG13"/>
    <mergeCell ref="V12:X12"/>
    <mergeCell ref="Y14:AA14"/>
    <mergeCell ref="AB14:AD14"/>
    <mergeCell ref="AE14:AG14"/>
    <mergeCell ref="V15:X15"/>
    <mergeCell ref="V63:AG63"/>
    <mergeCell ref="AE6:AG6"/>
    <mergeCell ref="F63:Q63"/>
    <mergeCell ref="B7:U7"/>
    <mergeCell ref="B33:U33"/>
    <mergeCell ref="F61:Q61"/>
    <mergeCell ref="F62:Q62"/>
    <mergeCell ref="V8:X8"/>
    <mergeCell ref="V23:X23"/>
    <mergeCell ref="Y23:AA23"/>
    <mergeCell ref="AB23:AD23"/>
    <mergeCell ref="AE23:AG23"/>
    <mergeCell ref="Y8:AA8"/>
    <mergeCell ref="AB8:AD8"/>
    <mergeCell ref="AE8:AG8"/>
    <mergeCell ref="V9:X9"/>
    <mergeCell ref="Y9:AA9"/>
    <mergeCell ref="AB9:AD9"/>
    <mergeCell ref="AE9:AG9"/>
    <mergeCell ref="Y10:AA10"/>
    <mergeCell ref="AB10:AD10"/>
    <mergeCell ref="AE10:AG10"/>
    <mergeCell ref="V11:X11"/>
    <mergeCell ref="Y11:AA11"/>
    <mergeCell ref="Y15:AA15"/>
    <mergeCell ref="AB15:AD15"/>
    <mergeCell ref="AE15:AG15"/>
    <mergeCell ref="V14:X14"/>
    <mergeCell ref="Y16:AA16"/>
    <mergeCell ref="AB16:AD16"/>
    <mergeCell ref="AE16:AG16"/>
    <mergeCell ref="V17:X17"/>
    <mergeCell ref="Y17:AA17"/>
    <mergeCell ref="AB17:AD17"/>
    <mergeCell ref="AE17:AG17"/>
    <mergeCell ref="V16:X16"/>
    <mergeCell ref="Y18:AA18"/>
    <mergeCell ref="AB18:AD18"/>
    <mergeCell ref="AE18:AG18"/>
    <mergeCell ref="V19:X19"/>
    <mergeCell ref="Y19:AA19"/>
    <mergeCell ref="AB19:AD19"/>
    <mergeCell ref="AE19:AG19"/>
    <mergeCell ref="V18:X18"/>
    <mergeCell ref="Y22:AA22"/>
    <mergeCell ref="AB22:AD22"/>
    <mergeCell ref="AE22:AG22"/>
    <mergeCell ref="V22:X22"/>
    <mergeCell ref="Y20:AA20"/>
    <mergeCell ref="AB20:AD20"/>
    <mergeCell ref="AE20:AG20"/>
    <mergeCell ref="V21:X21"/>
    <mergeCell ref="Y21:AA21"/>
    <mergeCell ref="AB21:AD21"/>
    <mergeCell ref="AE21:AG21"/>
    <mergeCell ref="V20:X20"/>
  </mergeCells>
  <dataValidations count="1">
    <dataValidation type="whole" allowBlank="1" showInputMessage="1" showErrorMessage="1" errorTitle="GSHSP SY 2022-2023" error="Please enter valid number between 0-20,000." sqref="V8:AG32 V34:AG56" xr:uid="{996DD900-2F65-4452-864A-0A3148C556B1}">
      <formula1>0</formula1>
      <formula2>20000</formula2>
    </dataValidation>
  </dataValidations>
  <printOptions horizontalCentered="1" verticalCentered="1"/>
  <pageMargins left="0.39370078740157483" right="0.39370078740157483" top="0.19685039370078741" bottom="1.3779527559055118" header="0" footer="0.11811023622047245"/>
  <pageSetup paperSize="5" scale="61" orientation="portrait" r:id="rId2"/>
  <headerFooter>
    <oddFooter>&amp;L&amp;10&amp;F &amp;A&amp;R&amp;10Page 3 of 61</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E74F0-E959-4239-A329-ACD3DB863850}">
  <sheetPr codeName="Sheet7">
    <tabColor rgb="FFFFFF00"/>
    <pageSetUpPr fitToPage="1"/>
  </sheetPr>
  <dimension ref="A1:BJ64"/>
  <sheetViews>
    <sheetView showGridLines="0" zoomScale="50" zoomScaleNormal="50" workbookViewId="0">
      <selection sqref="A1:AK64"/>
    </sheetView>
  </sheetViews>
  <sheetFormatPr defaultColWidth="9" defaultRowHeight="15.75"/>
  <cols>
    <col min="1" max="1" width="1.625" style="51" customWidth="1"/>
    <col min="2" max="46" width="3.625" style="51" customWidth="1"/>
    <col min="47" max="60" width="4.625" style="51" customWidth="1"/>
    <col min="61" max="16384" width="9" style="51"/>
  </cols>
  <sheetData>
    <row r="1" spans="1:62" s="34" customFormat="1" ht="16.5" customHeight="1">
      <c r="A1" s="230"/>
      <c r="B1" s="229" t="s">
        <v>1453</v>
      </c>
      <c r="C1" s="229"/>
      <c r="D1" s="229"/>
      <c r="E1" s="229"/>
      <c r="F1" s="229"/>
      <c r="G1" s="229"/>
      <c r="H1" s="229"/>
      <c r="I1" s="229"/>
      <c r="J1" s="229"/>
      <c r="K1" s="229"/>
      <c r="L1" s="229"/>
      <c r="M1" s="229"/>
      <c r="N1" s="229"/>
      <c r="O1" s="229"/>
      <c r="P1" s="229"/>
      <c r="Q1" s="229"/>
      <c r="R1" s="229"/>
      <c r="S1" s="229"/>
      <c r="T1" s="229"/>
      <c r="U1" s="229"/>
      <c r="V1" s="230"/>
      <c r="W1" s="230"/>
      <c r="X1" s="230"/>
      <c r="Y1" s="230"/>
      <c r="Z1" s="230"/>
      <c r="AA1" s="230"/>
      <c r="AB1" s="230"/>
      <c r="AC1" s="230"/>
      <c r="AD1" s="230"/>
      <c r="AE1" s="230"/>
      <c r="AF1" s="230"/>
      <c r="AG1" s="230"/>
      <c r="AH1" s="230"/>
      <c r="AI1" s="230"/>
      <c r="AJ1" s="230"/>
      <c r="AK1" s="230"/>
      <c r="AL1" s="230"/>
      <c r="AM1" s="230"/>
      <c r="AN1" s="230"/>
      <c r="AO1" s="230"/>
      <c r="AP1" s="230"/>
      <c r="AQ1" s="230"/>
      <c r="AR1" s="230"/>
      <c r="AS1" s="230"/>
      <c r="AT1" s="230"/>
      <c r="AU1" s="230"/>
      <c r="AV1" s="230"/>
      <c r="AW1" s="230"/>
      <c r="AX1" s="230"/>
      <c r="AY1" s="230"/>
      <c r="AZ1" s="230"/>
      <c r="BA1" s="230"/>
      <c r="BB1" s="230"/>
      <c r="BC1" s="230"/>
      <c r="BD1" s="230"/>
      <c r="BE1" s="230"/>
      <c r="BF1" s="230"/>
      <c r="BG1" s="230"/>
      <c r="BH1" s="230"/>
      <c r="BI1" s="230"/>
      <c r="BJ1" s="230"/>
    </row>
    <row r="2" spans="1:62" s="34" customFormat="1" ht="17.25" thickBot="1">
      <c r="A2" s="230"/>
      <c r="B2" s="1921" t="s">
        <v>11492</v>
      </c>
      <c r="C2" s="1921"/>
      <c r="D2" s="1921"/>
      <c r="E2" s="1921"/>
      <c r="F2" s="1921"/>
      <c r="G2" s="1921"/>
      <c r="H2" s="1921"/>
      <c r="I2" s="1921"/>
      <c r="J2" s="1921"/>
      <c r="K2" s="1921"/>
      <c r="L2" s="1921"/>
      <c r="M2" s="1921"/>
      <c r="N2" s="1921"/>
      <c r="O2" s="1921"/>
      <c r="P2" s="1921"/>
      <c r="Q2" s="1921"/>
      <c r="R2" s="1921"/>
      <c r="S2" s="1921"/>
      <c r="T2" s="1921"/>
      <c r="U2" s="1921"/>
      <c r="V2" s="230"/>
      <c r="W2" s="230"/>
      <c r="X2" s="230"/>
      <c r="Y2" s="230"/>
      <c r="Z2" s="230"/>
      <c r="AA2" s="230"/>
      <c r="AB2" s="230"/>
      <c r="AC2" s="230"/>
      <c r="AD2" s="230"/>
      <c r="AE2" s="230"/>
      <c r="AF2" s="230"/>
      <c r="AG2" s="230"/>
      <c r="AH2" s="230"/>
      <c r="AI2" s="230"/>
      <c r="AJ2" s="230"/>
      <c r="AK2" s="230"/>
      <c r="AL2" s="230"/>
      <c r="AM2" s="230"/>
      <c r="AN2" s="230"/>
      <c r="AO2" s="230"/>
      <c r="AP2" s="230"/>
      <c r="AQ2" s="230"/>
      <c r="AR2" s="230"/>
      <c r="AS2" s="230"/>
      <c r="AT2" s="230"/>
      <c r="AU2" s="230"/>
      <c r="AV2" s="230"/>
      <c r="AW2" s="230"/>
      <c r="AX2" s="230"/>
      <c r="AY2" s="230"/>
      <c r="AZ2" s="230"/>
      <c r="BA2" s="230"/>
      <c r="BB2" s="230"/>
      <c r="BC2" s="230"/>
      <c r="BD2" s="230"/>
      <c r="BE2" s="230"/>
      <c r="BF2" s="230"/>
      <c r="BG2" s="230"/>
      <c r="BH2" s="230"/>
      <c r="BI2" s="230"/>
      <c r="BJ2" s="230"/>
    </row>
    <row r="3" spans="1:62" s="34" customFormat="1" ht="17.45" customHeight="1" thickBot="1">
      <c r="A3" s="230"/>
      <c r="B3" s="1922" t="s">
        <v>1287</v>
      </c>
      <c r="C3" s="1923"/>
      <c r="D3" s="1923"/>
      <c r="E3" s="1923"/>
      <c r="F3" s="1923"/>
      <c r="G3" s="1923"/>
      <c r="H3" s="1923"/>
      <c r="I3" s="1923"/>
      <c r="J3" s="1923"/>
      <c r="K3" s="1923"/>
      <c r="L3" s="1923"/>
      <c r="M3" s="1923"/>
      <c r="N3" s="1923"/>
      <c r="O3" s="1923"/>
      <c r="P3" s="1923"/>
      <c r="Q3" s="1923"/>
      <c r="R3" s="1923"/>
      <c r="S3" s="1923"/>
      <c r="T3" s="1923"/>
      <c r="U3" s="1924"/>
      <c r="V3" s="1931" t="s">
        <v>1451</v>
      </c>
      <c r="W3" s="1931"/>
      <c r="X3" s="1931"/>
      <c r="Y3" s="1931"/>
      <c r="Z3" s="1931"/>
      <c r="AA3" s="1931"/>
      <c r="AB3" s="1931"/>
      <c r="AC3" s="1931"/>
      <c r="AD3" s="1931"/>
      <c r="AE3" s="1931"/>
      <c r="AF3" s="1931"/>
      <c r="AG3" s="1932"/>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row>
    <row r="4" spans="1:62" s="34" customFormat="1" ht="24" customHeight="1">
      <c r="A4" s="230"/>
      <c r="B4" s="1925"/>
      <c r="C4" s="1926"/>
      <c r="D4" s="1926"/>
      <c r="E4" s="1926"/>
      <c r="F4" s="1926"/>
      <c r="G4" s="1926"/>
      <c r="H4" s="1926"/>
      <c r="I4" s="1926"/>
      <c r="J4" s="1926"/>
      <c r="K4" s="1926"/>
      <c r="L4" s="1926"/>
      <c r="M4" s="1926"/>
      <c r="N4" s="1926"/>
      <c r="O4" s="1926"/>
      <c r="P4" s="1926"/>
      <c r="Q4" s="1926"/>
      <c r="R4" s="1926"/>
      <c r="S4" s="1926"/>
      <c r="T4" s="1926"/>
      <c r="U4" s="1927"/>
      <c r="V4" s="1933" t="s">
        <v>1667</v>
      </c>
      <c r="W4" s="1934"/>
      <c r="X4" s="1934"/>
      <c r="Y4" s="1934"/>
      <c r="Z4" s="1934"/>
      <c r="AA4" s="1935"/>
      <c r="AB4" s="1933" t="s">
        <v>1668</v>
      </c>
      <c r="AC4" s="1934"/>
      <c r="AD4" s="1934"/>
      <c r="AE4" s="1934"/>
      <c r="AF4" s="1934"/>
      <c r="AG4" s="1935"/>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row>
    <row r="5" spans="1:62" s="34" customFormat="1" ht="24" customHeight="1">
      <c r="A5" s="230"/>
      <c r="B5" s="1925"/>
      <c r="C5" s="1926"/>
      <c r="D5" s="1926"/>
      <c r="E5" s="1926"/>
      <c r="F5" s="1926"/>
      <c r="G5" s="1926"/>
      <c r="H5" s="1926"/>
      <c r="I5" s="1926"/>
      <c r="J5" s="1926"/>
      <c r="K5" s="1926"/>
      <c r="L5" s="1926"/>
      <c r="M5" s="1926"/>
      <c r="N5" s="1926"/>
      <c r="O5" s="1926"/>
      <c r="P5" s="1926"/>
      <c r="Q5" s="1926"/>
      <c r="R5" s="1926"/>
      <c r="S5" s="1926"/>
      <c r="T5" s="1926"/>
      <c r="U5" s="1927"/>
      <c r="V5" s="1936"/>
      <c r="W5" s="1936"/>
      <c r="X5" s="1936"/>
      <c r="Y5" s="1936"/>
      <c r="Z5" s="1936"/>
      <c r="AA5" s="1937"/>
      <c r="AB5" s="1936"/>
      <c r="AC5" s="1936"/>
      <c r="AD5" s="1936"/>
      <c r="AE5" s="1936"/>
      <c r="AF5" s="1936"/>
      <c r="AG5" s="1937"/>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row>
    <row r="6" spans="1:62" s="34" customFormat="1" ht="21" customHeight="1" thickBot="1">
      <c r="A6" s="230"/>
      <c r="B6" s="1928"/>
      <c r="C6" s="1929"/>
      <c r="D6" s="1929"/>
      <c r="E6" s="1929"/>
      <c r="F6" s="1929"/>
      <c r="G6" s="1929"/>
      <c r="H6" s="1929"/>
      <c r="I6" s="1929"/>
      <c r="J6" s="1929"/>
      <c r="K6" s="1929"/>
      <c r="L6" s="1929"/>
      <c r="M6" s="1929"/>
      <c r="N6" s="1929"/>
      <c r="O6" s="1929"/>
      <c r="P6" s="1929"/>
      <c r="Q6" s="1929"/>
      <c r="R6" s="1929"/>
      <c r="S6" s="1929"/>
      <c r="T6" s="1929"/>
      <c r="U6" s="1930"/>
      <c r="V6" s="1938" t="s">
        <v>45</v>
      </c>
      <c r="W6" s="1911"/>
      <c r="X6" s="1939"/>
      <c r="Y6" s="1911" t="s">
        <v>46</v>
      </c>
      <c r="Z6" s="1911"/>
      <c r="AA6" s="1912"/>
      <c r="AB6" s="1938" t="s">
        <v>45</v>
      </c>
      <c r="AC6" s="1911"/>
      <c r="AD6" s="1939"/>
      <c r="AE6" s="1911" t="s">
        <v>46</v>
      </c>
      <c r="AF6" s="1911"/>
      <c r="AG6" s="1912"/>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row>
    <row r="7" spans="1:62" s="34" customFormat="1" ht="24.75" customHeight="1">
      <c r="A7" s="230"/>
      <c r="B7" s="1914" t="s">
        <v>1338</v>
      </c>
      <c r="C7" s="1915"/>
      <c r="D7" s="1915"/>
      <c r="E7" s="1915"/>
      <c r="F7" s="1915"/>
      <c r="G7" s="1915"/>
      <c r="H7" s="1915"/>
      <c r="I7" s="1915"/>
      <c r="J7" s="1915"/>
      <c r="K7" s="1915"/>
      <c r="L7" s="1915"/>
      <c r="M7" s="1915"/>
      <c r="N7" s="1915"/>
      <c r="O7" s="1915"/>
      <c r="P7" s="1915"/>
      <c r="Q7" s="1915"/>
      <c r="R7" s="1915"/>
      <c r="S7" s="1915"/>
      <c r="T7" s="1915"/>
      <c r="U7" s="1916"/>
      <c r="V7" s="1701"/>
      <c r="W7" s="1701"/>
      <c r="X7" s="1701"/>
      <c r="Y7" s="1701"/>
      <c r="Z7" s="1701"/>
      <c r="AA7" s="1701"/>
      <c r="AB7" s="1701"/>
      <c r="AC7" s="1701"/>
      <c r="AD7" s="1701"/>
      <c r="AE7" s="1701"/>
      <c r="AF7" s="1701"/>
      <c r="AG7" s="1702"/>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row>
    <row r="8" spans="1:62" s="34" customFormat="1" ht="24.75" customHeight="1">
      <c r="A8" s="230"/>
      <c r="B8" s="231"/>
      <c r="C8" s="232" t="s">
        <v>1339</v>
      </c>
      <c r="D8" s="233"/>
      <c r="E8" s="232"/>
      <c r="F8" s="232"/>
      <c r="G8" s="232"/>
      <c r="H8" s="232"/>
      <c r="I8" s="232"/>
      <c r="J8" s="232"/>
      <c r="K8" s="233"/>
      <c r="L8" s="233"/>
      <c r="M8" s="233"/>
      <c r="N8" s="233"/>
      <c r="O8" s="233"/>
      <c r="P8" s="233"/>
      <c r="Q8" s="233"/>
      <c r="R8" s="233"/>
      <c r="S8" s="233"/>
      <c r="T8" s="232"/>
      <c r="U8" s="248"/>
      <c r="V8" s="1909">
        <v>0</v>
      </c>
      <c r="W8" s="1907"/>
      <c r="X8" s="1910"/>
      <c r="Y8" s="1906">
        <v>0</v>
      </c>
      <c r="Z8" s="1907"/>
      <c r="AA8" s="1908"/>
      <c r="AB8" s="1909">
        <v>0</v>
      </c>
      <c r="AC8" s="1907"/>
      <c r="AD8" s="1910"/>
      <c r="AE8" s="1906">
        <v>0</v>
      </c>
      <c r="AF8" s="1907"/>
      <c r="AG8" s="1908"/>
      <c r="AH8" s="230"/>
      <c r="AI8" s="1781" t="str">
        <f>IF(V8&lt;AB8,"Number of Passers should be less than or equal to the Number of Takers (by grade level, by sex) .",IF(Y8&lt;AE8,"Number of Passers should be less than or equal to the Number of Takers (by grade level, by sex) .",""))</f>
        <v/>
      </c>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row>
    <row r="9" spans="1:62" s="34" customFormat="1" ht="24.75" customHeight="1">
      <c r="A9" s="230"/>
      <c r="B9" s="231"/>
      <c r="C9" s="232" t="s">
        <v>1340</v>
      </c>
      <c r="D9" s="233"/>
      <c r="E9" s="232"/>
      <c r="F9" s="232"/>
      <c r="G9" s="232"/>
      <c r="H9" s="232"/>
      <c r="I9" s="232"/>
      <c r="J9" s="232"/>
      <c r="K9" s="233"/>
      <c r="L9" s="233"/>
      <c r="M9" s="233"/>
      <c r="N9" s="233"/>
      <c r="O9" s="233"/>
      <c r="P9" s="233"/>
      <c r="Q9" s="233"/>
      <c r="R9" s="233"/>
      <c r="S9" s="233"/>
      <c r="T9" s="232"/>
      <c r="U9" s="248"/>
      <c r="V9" s="1909">
        <v>0</v>
      </c>
      <c r="W9" s="1907"/>
      <c r="X9" s="1910"/>
      <c r="Y9" s="1906">
        <v>0</v>
      </c>
      <c r="Z9" s="1907"/>
      <c r="AA9" s="1908"/>
      <c r="AB9" s="1909">
        <v>0</v>
      </c>
      <c r="AC9" s="1907"/>
      <c r="AD9" s="1910"/>
      <c r="AE9" s="1906">
        <v>0</v>
      </c>
      <c r="AF9" s="1907"/>
      <c r="AG9" s="1908"/>
      <c r="AH9" s="230"/>
      <c r="AI9" s="1781" t="str">
        <f t="shared" ref="AI9:AI33" si="0">IF(V9&lt;AB9,"Number of Passers should be less than or equal to the Number of Takers (by grade level, by sex) .",IF(Y9&lt;AE9,"Number of Passers should be less than or equal to the Number of Takers (by grade level, by sex) .",""))</f>
        <v/>
      </c>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row>
    <row r="10" spans="1:62" s="34" customFormat="1" ht="24.75" customHeight="1">
      <c r="A10" s="230"/>
      <c r="B10" s="231"/>
      <c r="C10" s="232" t="s">
        <v>1341</v>
      </c>
      <c r="D10" s="233"/>
      <c r="E10" s="232"/>
      <c r="F10" s="232"/>
      <c r="G10" s="232"/>
      <c r="H10" s="232"/>
      <c r="I10" s="232"/>
      <c r="J10" s="232"/>
      <c r="K10" s="233"/>
      <c r="L10" s="233"/>
      <c r="M10" s="233"/>
      <c r="N10" s="233"/>
      <c r="O10" s="233"/>
      <c r="P10" s="233"/>
      <c r="Q10" s="233"/>
      <c r="R10" s="233"/>
      <c r="S10" s="233"/>
      <c r="T10" s="233"/>
      <c r="U10" s="248"/>
      <c r="V10" s="1909">
        <v>0</v>
      </c>
      <c r="W10" s="1907"/>
      <c r="X10" s="1910"/>
      <c r="Y10" s="1906">
        <v>0</v>
      </c>
      <c r="Z10" s="1907"/>
      <c r="AA10" s="1908"/>
      <c r="AB10" s="1909">
        <v>0</v>
      </c>
      <c r="AC10" s="1907"/>
      <c r="AD10" s="1910"/>
      <c r="AE10" s="1906">
        <v>0</v>
      </c>
      <c r="AF10" s="1907"/>
      <c r="AG10" s="1908"/>
      <c r="AH10" s="230"/>
      <c r="AI10" s="1781" t="str">
        <f t="shared" si="0"/>
        <v/>
      </c>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row>
    <row r="11" spans="1:62" s="34" customFormat="1" ht="24.75" customHeight="1">
      <c r="A11" s="230"/>
      <c r="B11" s="231"/>
      <c r="C11" s="232" t="s">
        <v>1342</v>
      </c>
      <c r="D11" s="233"/>
      <c r="E11" s="232"/>
      <c r="F11" s="232"/>
      <c r="G11" s="232"/>
      <c r="H11" s="232"/>
      <c r="I11" s="232"/>
      <c r="J11" s="232"/>
      <c r="K11" s="233"/>
      <c r="L11" s="233"/>
      <c r="M11" s="233"/>
      <c r="N11" s="233"/>
      <c r="O11" s="233"/>
      <c r="P11" s="233"/>
      <c r="Q11" s="233"/>
      <c r="R11" s="233"/>
      <c r="S11" s="233"/>
      <c r="T11" s="232"/>
      <c r="U11" s="248"/>
      <c r="V11" s="1909">
        <v>0</v>
      </c>
      <c r="W11" s="1907"/>
      <c r="X11" s="1910"/>
      <c r="Y11" s="1906">
        <v>0</v>
      </c>
      <c r="Z11" s="1907"/>
      <c r="AA11" s="1908"/>
      <c r="AB11" s="1909">
        <v>0</v>
      </c>
      <c r="AC11" s="1907"/>
      <c r="AD11" s="1910"/>
      <c r="AE11" s="1906">
        <v>0</v>
      </c>
      <c r="AF11" s="1907"/>
      <c r="AG11" s="1908"/>
      <c r="AH11" s="230"/>
      <c r="AI11" s="1781" t="str">
        <f t="shared" si="0"/>
        <v/>
      </c>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row>
    <row r="12" spans="1:62" s="34" customFormat="1" ht="24.75" customHeight="1">
      <c r="A12" s="230"/>
      <c r="B12" s="231"/>
      <c r="C12" s="232" t="s">
        <v>1343</v>
      </c>
      <c r="D12" s="233"/>
      <c r="E12" s="232"/>
      <c r="F12" s="232"/>
      <c r="G12" s="232"/>
      <c r="H12" s="232"/>
      <c r="I12" s="232"/>
      <c r="J12" s="232"/>
      <c r="K12" s="233"/>
      <c r="L12" s="233"/>
      <c r="M12" s="233"/>
      <c r="N12" s="233"/>
      <c r="O12" s="233"/>
      <c r="P12" s="233"/>
      <c r="Q12" s="233"/>
      <c r="R12" s="233"/>
      <c r="S12" s="233"/>
      <c r="T12" s="232"/>
      <c r="U12" s="248"/>
      <c r="V12" s="1909">
        <v>0</v>
      </c>
      <c r="W12" s="1907"/>
      <c r="X12" s="1910"/>
      <c r="Y12" s="1906">
        <v>0</v>
      </c>
      <c r="Z12" s="1907"/>
      <c r="AA12" s="1908"/>
      <c r="AB12" s="1909">
        <v>0</v>
      </c>
      <c r="AC12" s="1907"/>
      <c r="AD12" s="1910"/>
      <c r="AE12" s="1906">
        <v>0</v>
      </c>
      <c r="AF12" s="1907"/>
      <c r="AG12" s="1908"/>
      <c r="AH12" s="230"/>
      <c r="AI12" s="1781" t="str">
        <f t="shared" si="0"/>
        <v/>
      </c>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row>
    <row r="13" spans="1:62" s="34" customFormat="1" ht="39.950000000000003" customHeight="1">
      <c r="A13" s="230"/>
      <c r="B13" s="231"/>
      <c r="C13" s="1949" t="s">
        <v>1344</v>
      </c>
      <c r="D13" s="1949"/>
      <c r="E13" s="1949"/>
      <c r="F13" s="1949"/>
      <c r="G13" s="1949"/>
      <c r="H13" s="1949"/>
      <c r="I13" s="1949"/>
      <c r="J13" s="1949"/>
      <c r="K13" s="1949"/>
      <c r="L13" s="1949"/>
      <c r="M13" s="1949"/>
      <c r="N13" s="1949"/>
      <c r="O13" s="1949"/>
      <c r="P13" s="1949"/>
      <c r="Q13" s="1949"/>
      <c r="R13" s="1949"/>
      <c r="S13" s="1949"/>
      <c r="T13" s="1949"/>
      <c r="U13" s="1950"/>
      <c r="V13" s="1909">
        <v>0</v>
      </c>
      <c r="W13" s="1907"/>
      <c r="X13" s="1910"/>
      <c r="Y13" s="1906">
        <v>0</v>
      </c>
      <c r="Z13" s="1907"/>
      <c r="AA13" s="1908"/>
      <c r="AB13" s="1909">
        <v>0</v>
      </c>
      <c r="AC13" s="1907"/>
      <c r="AD13" s="1910"/>
      <c r="AE13" s="1906">
        <v>0</v>
      </c>
      <c r="AF13" s="1907"/>
      <c r="AG13" s="1908"/>
      <c r="AH13" s="230"/>
      <c r="AI13" s="1781" t="str">
        <f t="shared" si="0"/>
        <v/>
      </c>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row>
    <row r="14" spans="1:62" s="34" customFormat="1" ht="24.75" customHeight="1">
      <c r="A14" s="230"/>
      <c r="B14" s="231"/>
      <c r="C14" s="232" t="s">
        <v>1345</v>
      </c>
      <c r="D14" s="249"/>
      <c r="E14" s="249"/>
      <c r="F14" s="249"/>
      <c r="G14" s="249"/>
      <c r="H14" s="249"/>
      <c r="I14" s="249"/>
      <c r="J14" s="249"/>
      <c r="K14" s="249"/>
      <c r="L14" s="249"/>
      <c r="M14" s="249"/>
      <c r="N14" s="249"/>
      <c r="O14" s="249"/>
      <c r="P14" s="249"/>
      <c r="Q14" s="249"/>
      <c r="R14" s="249"/>
      <c r="S14" s="249"/>
      <c r="T14" s="249"/>
      <c r="U14" s="248"/>
      <c r="V14" s="1909">
        <v>0</v>
      </c>
      <c r="W14" s="1907"/>
      <c r="X14" s="1910"/>
      <c r="Y14" s="1906">
        <v>0</v>
      </c>
      <c r="Z14" s="1907"/>
      <c r="AA14" s="1908"/>
      <c r="AB14" s="1909">
        <v>0</v>
      </c>
      <c r="AC14" s="1907"/>
      <c r="AD14" s="1910"/>
      <c r="AE14" s="1906">
        <v>0</v>
      </c>
      <c r="AF14" s="1907"/>
      <c r="AG14" s="1908"/>
      <c r="AH14" s="230"/>
      <c r="AI14" s="1781" t="str">
        <f t="shared" si="0"/>
        <v/>
      </c>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row>
    <row r="15" spans="1:62" s="34" customFormat="1" ht="24.75" customHeight="1">
      <c r="A15" s="230"/>
      <c r="B15" s="231"/>
      <c r="C15" s="232" t="s">
        <v>1346</v>
      </c>
      <c r="D15" s="233"/>
      <c r="E15" s="232"/>
      <c r="F15" s="232"/>
      <c r="G15" s="232"/>
      <c r="H15" s="232"/>
      <c r="I15" s="232"/>
      <c r="J15" s="232"/>
      <c r="K15" s="233"/>
      <c r="L15" s="233"/>
      <c r="M15" s="233"/>
      <c r="N15" s="233"/>
      <c r="O15" s="233"/>
      <c r="P15" s="233"/>
      <c r="Q15" s="233"/>
      <c r="R15" s="233"/>
      <c r="S15" s="233"/>
      <c r="T15" s="232"/>
      <c r="U15" s="248"/>
      <c r="V15" s="1909">
        <v>0</v>
      </c>
      <c r="W15" s="1907"/>
      <c r="X15" s="1910"/>
      <c r="Y15" s="1906">
        <v>0</v>
      </c>
      <c r="Z15" s="1907"/>
      <c r="AA15" s="1908"/>
      <c r="AB15" s="1909">
        <v>0</v>
      </c>
      <c r="AC15" s="1907"/>
      <c r="AD15" s="1910"/>
      <c r="AE15" s="1906">
        <v>0</v>
      </c>
      <c r="AF15" s="1907"/>
      <c r="AG15" s="1908"/>
      <c r="AH15" s="230"/>
      <c r="AI15" s="1781" t="str">
        <f t="shared" si="0"/>
        <v/>
      </c>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row>
    <row r="16" spans="1:62" s="34" customFormat="1" ht="24.75" customHeight="1">
      <c r="A16" s="230"/>
      <c r="B16" s="231"/>
      <c r="C16" s="232" t="s">
        <v>1347</v>
      </c>
      <c r="D16" s="233"/>
      <c r="E16" s="232"/>
      <c r="F16" s="232"/>
      <c r="G16" s="232"/>
      <c r="H16" s="232"/>
      <c r="I16" s="232"/>
      <c r="J16" s="232"/>
      <c r="K16" s="233"/>
      <c r="L16" s="233"/>
      <c r="M16" s="233"/>
      <c r="N16" s="233"/>
      <c r="O16" s="233"/>
      <c r="P16" s="233"/>
      <c r="Q16" s="233"/>
      <c r="R16" s="233"/>
      <c r="S16" s="233"/>
      <c r="T16" s="232"/>
      <c r="U16" s="248"/>
      <c r="V16" s="1909">
        <v>0</v>
      </c>
      <c r="W16" s="1907"/>
      <c r="X16" s="1910"/>
      <c r="Y16" s="1906">
        <v>0</v>
      </c>
      <c r="Z16" s="1907"/>
      <c r="AA16" s="1908"/>
      <c r="AB16" s="1909">
        <v>0</v>
      </c>
      <c r="AC16" s="1907"/>
      <c r="AD16" s="1910"/>
      <c r="AE16" s="1906">
        <v>0</v>
      </c>
      <c r="AF16" s="1907"/>
      <c r="AG16" s="1908"/>
      <c r="AH16" s="230"/>
      <c r="AI16" s="1781" t="str">
        <f t="shared" si="0"/>
        <v/>
      </c>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row>
    <row r="17" spans="1:62" s="34" customFormat="1" ht="24.75" customHeight="1">
      <c r="A17" s="230"/>
      <c r="B17" s="231"/>
      <c r="C17" s="232" t="s">
        <v>1348</v>
      </c>
      <c r="D17" s="233"/>
      <c r="E17" s="232"/>
      <c r="F17" s="232"/>
      <c r="G17" s="232"/>
      <c r="H17" s="232"/>
      <c r="I17" s="232"/>
      <c r="J17" s="232"/>
      <c r="K17" s="233"/>
      <c r="L17" s="233"/>
      <c r="M17" s="233"/>
      <c r="N17" s="233"/>
      <c r="O17" s="233"/>
      <c r="P17" s="233"/>
      <c r="Q17" s="233"/>
      <c r="R17" s="233"/>
      <c r="S17" s="233"/>
      <c r="T17" s="232"/>
      <c r="U17" s="248"/>
      <c r="V17" s="1909">
        <v>0</v>
      </c>
      <c r="W17" s="1907"/>
      <c r="X17" s="1910"/>
      <c r="Y17" s="1906">
        <v>0</v>
      </c>
      <c r="Z17" s="1907"/>
      <c r="AA17" s="1908"/>
      <c r="AB17" s="1909">
        <v>0</v>
      </c>
      <c r="AC17" s="1907"/>
      <c r="AD17" s="1910"/>
      <c r="AE17" s="1906">
        <v>0</v>
      </c>
      <c r="AF17" s="1907"/>
      <c r="AG17" s="1908"/>
      <c r="AH17" s="230"/>
      <c r="AI17" s="1781" t="str">
        <f t="shared" si="0"/>
        <v/>
      </c>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row>
    <row r="18" spans="1:62" s="34" customFormat="1" ht="24.75" customHeight="1">
      <c r="A18" s="230"/>
      <c r="B18" s="231"/>
      <c r="C18" s="232" t="s">
        <v>1349</v>
      </c>
      <c r="D18" s="233"/>
      <c r="E18" s="232"/>
      <c r="F18" s="232"/>
      <c r="G18" s="232"/>
      <c r="H18" s="232"/>
      <c r="I18" s="232"/>
      <c r="J18" s="232"/>
      <c r="K18" s="233"/>
      <c r="L18" s="233"/>
      <c r="M18" s="233"/>
      <c r="N18" s="233"/>
      <c r="O18" s="233"/>
      <c r="P18" s="233"/>
      <c r="Q18" s="233"/>
      <c r="R18" s="233"/>
      <c r="S18" s="233"/>
      <c r="T18" s="232"/>
      <c r="U18" s="248"/>
      <c r="V18" s="1909">
        <v>0</v>
      </c>
      <c r="W18" s="1907"/>
      <c r="X18" s="1910"/>
      <c r="Y18" s="1906">
        <v>0</v>
      </c>
      <c r="Z18" s="1907"/>
      <c r="AA18" s="1908"/>
      <c r="AB18" s="1909">
        <v>0</v>
      </c>
      <c r="AC18" s="1907"/>
      <c r="AD18" s="1910"/>
      <c r="AE18" s="1906">
        <v>0</v>
      </c>
      <c r="AF18" s="1907"/>
      <c r="AG18" s="1908"/>
      <c r="AH18" s="230"/>
      <c r="AI18" s="1781" t="str">
        <f t="shared" si="0"/>
        <v/>
      </c>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row>
    <row r="19" spans="1:62" s="34" customFormat="1" ht="24.75" customHeight="1">
      <c r="A19" s="230"/>
      <c r="B19" s="231"/>
      <c r="C19" s="232" t="s">
        <v>1350</v>
      </c>
      <c r="D19" s="233"/>
      <c r="E19" s="232"/>
      <c r="F19" s="232"/>
      <c r="G19" s="232"/>
      <c r="H19" s="232"/>
      <c r="I19" s="232"/>
      <c r="J19" s="232"/>
      <c r="K19" s="233"/>
      <c r="L19" s="233"/>
      <c r="M19" s="233"/>
      <c r="N19" s="233"/>
      <c r="O19" s="233"/>
      <c r="P19" s="233"/>
      <c r="Q19" s="233"/>
      <c r="R19" s="233"/>
      <c r="S19" s="233"/>
      <c r="T19" s="249"/>
      <c r="U19" s="250"/>
      <c r="V19" s="1909">
        <v>0</v>
      </c>
      <c r="W19" s="1907"/>
      <c r="X19" s="1910"/>
      <c r="Y19" s="1906">
        <v>0</v>
      </c>
      <c r="Z19" s="1907"/>
      <c r="AA19" s="1908"/>
      <c r="AB19" s="1909">
        <v>0</v>
      </c>
      <c r="AC19" s="1907"/>
      <c r="AD19" s="1910"/>
      <c r="AE19" s="1906">
        <v>0</v>
      </c>
      <c r="AF19" s="1907"/>
      <c r="AG19" s="1908"/>
      <c r="AH19" s="230"/>
      <c r="AI19" s="1781" t="str">
        <f t="shared" si="0"/>
        <v/>
      </c>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row>
    <row r="20" spans="1:62" s="34" customFormat="1" ht="24.75" customHeight="1">
      <c r="A20" s="230"/>
      <c r="B20" s="231"/>
      <c r="C20" s="232" t="s">
        <v>1351</v>
      </c>
      <c r="D20" s="233"/>
      <c r="E20" s="232"/>
      <c r="F20" s="232"/>
      <c r="G20" s="232"/>
      <c r="H20" s="232"/>
      <c r="I20" s="232"/>
      <c r="J20" s="232"/>
      <c r="K20" s="233"/>
      <c r="L20" s="251"/>
      <c r="M20" s="251"/>
      <c r="N20" s="251"/>
      <c r="O20" s="251"/>
      <c r="P20" s="251"/>
      <c r="Q20" s="251"/>
      <c r="R20" s="251"/>
      <c r="S20" s="251"/>
      <c r="T20" s="252"/>
      <c r="U20" s="253"/>
      <c r="V20" s="1909">
        <v>0</v>
      </c>
      <c r="W20" s="1907"/>
      <c r="X20" s="1910"/>
      <c r="Y20" s="1906">
        <v>0</v>
      </c>
      <c r="Z20" s="1907"/>
      <c r="AA20" s="1908"/>
      <c r="AB20" s="1909">
        <v>0</v>
      </c>
      <c r="AC20" s="1907"/>
      <c r="AD20" s="1910"/>
      <c r="AE20" s="1906">
        <v>0</v>
      </c>
      <c r="AF20" s="1907"/>
      <c r="AG20" s="1908"/>
      <c r="AH20" s="230"/>
      <c r="AI20" s="1781" t="str">
        <f t="shared" si="0"/>
        <v/>
      </c>
      <c r="AJ20" s="230"/>
      <c r="AK20" s="230"/>
      <c r="AL20" s="230"/>
      <c r="AM20" s="230"/>
      <c r="AN20" s="230"/>
      <c r="AO20" s="230"/>
      <c r="AP20" s="230"/>
      <c r="AQ20" s="230"/>
      <c r="AR20" s="230"/>
      <c r="AS20" s="230"/>
      <c r="AT20" s="230"/>
      <c r="AU20" s="230"/>
      <c r="AV20" s="230"/>
      <c r="AW20" s="230"/>
      <c r="AX20" s="230"/>
      <c r="AY20" s="230"/>
      <c r="AZ20" s="230"/>
      <c r="BA20" s="230"/>
      <c r="BB20" s="230"/>
      <c r="BC20" s="230"/>
      <c r="BD20" s="230"/>
      <c r="BE20" s="230"/>
      <c r="BF20" s="230"/>
      <c r="BG20" s="230"/>
      <c r="BH20" s="230"/>
      <c r="BI20" s="230"/>
      <c r="BJ20" s="230"/>
    </row>
    <row r="21" spans="1:62" s="34" customFormat="1" ht="24.75" customHeight="1">
      <c r="A21" s="230"/>
      <c r="B21" s="231"/>
      <c r="C21" s="232" t="s">
        <v>1352</v>
      </c>
      <c r="D21" s="233"/>
      <c r="E21" s="232"/>
      <c r="F21" s="232"/>
      <c r="G21" s="232"/>
      <c r="H21" s="232"/>
      <c r="I21" s="232"/>
      <c r="J21" s="232"/>
      <c r="K21" s="233"/>
      <c r="L21" s="251"/>
      <c r="M21" s="251"/>
      <c r="N21" s="251"/>
      <c r="O21" s="251"/>
      <c r="P21" s="251"/>
      <c r="Q21" s="251"/>
      <c r="R21" s="251"/>
      <c r="S21" s="251"/>
      <c r="T21" s="252"/>
      <c r="U21" s="253"/>
      <c r="V21" s="1909">
        <v>0</v>
      </c>
      <c r="W21" s="1907"/>
      <c r="X21" s="1910"/>
      <c r="Y21" s="1906">
        <v>0</v>
      </c>
      <c r="Z21" s="1907"/>
      <c r="AA21" s="1908"/>
      <c r="AB21" s="1909">
        <v>0</v>
      </c>
      <c r="AC21" s="1907"/>
      <c r="AD21" s="1910"/>
      <c r="AE21" s="1906">
        <v>0</v>
      </c>
      <c r="AF21" s="1907"/>
      <c r="AG21" s="1908"/>
      <c r="AH21" s="230"/>
      <c r="AI21" s="1781" t="str">
        <f t="shared" si="0"/>
        <v/>
      </c>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row>
    <row r="22" spans="1:62" s="34" customFormat="1" ht="24.75" customHeight="1">
      <c r="A22" s="230"/>
      <c r="B22" s="231"/>
      <c r="C22" s="232" t="s">
        <v>1353</v>
      </c>
      <c r="D22" s="233"/>
      <c r="E22" s="232"/>
      <c r="F22" s="232"/>
      <c r="G22" s="232"/>
      <c r="H22" s="232"/>
      <c r="I22" s="232"/>
      <c r="J22" s="232"/>
      <c r="K22" s="233"/>
      <c r="L22" s="251"/>
      <c r="M22" s="251"/>
      <c r="N22" s="251"/>
      <c r="O22" s="251"/>
      <c r="P22" s="251"/>
      <c r="Q22" s="251"/>
      <c r="R22" s="251"/>
      <c r="S22" s="251"/>
      <c r="T22" s="252"/>
      <c r="U22" s="253"/>
      <c r="V22" s="1909">
        <v>0</v>
      </c>
      <c r="W22" s="1907"/>
      <c r="X22" s="1910"/>
      <c r="Y22" s="1906">
        <v>0</v>
      </c>
      <c r="Z22" s="1907"/>
      <c r="AA22" s="1908"/>
      <c r="AB22" s="1909">
        <v>0</v>
      </c>
      <c r="AC22" s="1907"/>
      <c r="AD22" s="1910"/>
      <c r="AE22" s="1906">
        <v>0</v>
      </c>
      <c r="AF22" s="1907"/>
      <c r="AG22" s="1908"/>
      <c r="AH22" s="230"/>
      <c r="AI22" s="1781" t="str">
        <f t="shared" si="0"/>
        <v/>
      </c>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row>
    <row r="23" spans="1:62" s="34" customFormat="1" ht="24.75" customHeight="1">
      <c r="A23" s="230"/>
      <c r="B23" s="231"/>
      <c r="C23" s="232" t="s">
        <v>1354</v>
      </c>
      <c r="D23" s="233"/>
      <c r="E23" s="232"/>
      <c r="F23" s="232"/>
      <c r="G23" s="232"/>
      <c r="H23" s="232"/>
      <c r="I23" s="232"/>
      <c r="J23" s="232"/>
      <c r="K23" s="233"/>
      <c r="L23" s="251"/>
      <c r="M23" s="251"/>
      <c r="N23" s="251"/>
      <c r="O23" s="251"/>
      <c r="P23" s="251"/>
      <c r="Q23" s="251"/>
      <c r="R23" s="251"/>
      <c r="S23" s="251"/>
      <c r="T23" s="252"/>
      <c r="U23" s="253"/>
      <c r="V23" s="1909">
        <v>0</v>
      </c>
      <c r="W23" s="1907"/>
      <c r="X23" s="1910"/>
      <c r="Y23" s="1906">
        <v>0</v>
      </c>
      <c r="Z23" s="1907"/>
      <c r="AA23" s="1908"/>
      <c r="AB23" s="1909">
        <v>0</v>
      </c>
      <c r="AC23" s="1907"/>
      <c r="AD23" s="1910"/>
      <c r="AE23" s="1906">
        <v>0</v>
      </c>
      <c r="AF23" s="1907"/>
      <c r="AG23" s="1908"/>
      <c r="AH23" s="230"/>
      <c r="AI23" s="1781" t="str">
        <f t="shared" si="0"/>
        <v/>
      </c>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row>
    <row r="24" spans="1:62" s="34" customFormat="1" ht="24.75" customHeight="1">
      <c r="A24" s="230"/>
      <c r="B24" s="231"/>
      <c r="C24" s="232" t="s">
        <v>1355</v>
      </c>
      <c r="D24" s="233"/>
      <c r="E24" s="232"/>
      <c r="F24" s="232"/>
      <c r="G24" s="232"/>
      <c r="H24" s="232"/>
      <c r="I24" s="232"/>
      <c r="J24" s="232"/>
      <c r="K24" s="233"/>
      <c r="L24" s="251"/>
      <c r="M24" s="251"/>
      <c r="N24" s="251"/>
      <c r="O24" s="251"/>
      <c r="P24" s="251"/>
      <c r="Q24" s="251"/>
      <c r="R24" s="251"/>
      <c r="S24" s="251"/>
      <c r="T24" s="252"/>
      <c r="U24" s="253"/>
      <c r="V24" s="1909">
        <v>0</v>
      </c>
      <c r="W24" s="1907"/>
      <c r="X24" s="1910"/>
      <c r="Y24" s="1906">
        <v>0</v>
      </c>
      <c r="Z24" s="1907"/>
      <c r="AA24" s="1908"/>
      <c r="AB24" s="1909">
        <v>0</v>
      </c>
      <c r="AC24" s="1907"/>
      <c r="AD24" s="1910"/>
      <c r="AE24" s="1906">
        <v>0</v>
      </c>
      <c r="AF24" s="1907"/>
      <c r="AG24" s="1908"/>
      <c r="AH24" s="230"/>
      <c r="AI24" s="1781" t="str">
        <f t="shared" si="0"/>
        <v/>
      </c>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row>
    <row r="25" spans="1:62" s="34" customFormat="1" ht="24.75" customHeight="1">
      <c r="A25" s="230"/>
      <c r="B25" s="231"/>
      <c r="C25" s="232" t="s">
        <v>1356</v>
      </c>
      <c r="D25" s="233"/>
      <c r="E25" s="232"/>
      <c r="F25" s="232"/>
      <c r="G25" s="232"/>
      <c r="H25" s="232"/>
      <c r="I25" s="232"/>
      <c r="J25" s="232"/>
      <c r="K25" s="233"/>
      <c r="L25" s="251"/>
      <c r="M25" s="251"/>
      <c r="N25" s="251"/>
      <c r="O25" s="251"/>
      <c r="P25" s="251"/>
      <c r="Q25" s="251"/>
      <c r="R25" s="251"/>
      <c r="S25" s="251"/>
      <c r="T25" s="252"/>
      <c r="U25" s="253"/>
      <c r="V25" s="1909">
        <v>0</v>
      </c>
      <c r="W25" s="1907"/>
      <c r="X25" s="1910"/>
      <c r="Y25" s="1906">
        <v>0</v>
      </c>
      <c r="Z25" s="1907"/>
      <c r="AA25" s="1908"/>
      <c r="AB25" s="1909">
        <v>0</v>
      </c>
      <c r="AC25" s="1907"/>
      <c r="AD25" s="1910"/>
      <c r="AE25" s="1906">
        <v>0</v>
      </c>
      <c r="AF25" s="1907"/>
      <c r="AG25" s="1908"/>
      <c r="AH25" s="230"/>
      <c r="AI25" s="1781" t="str">
        <f t="shared" si="0"/>
        <v/>
      </c>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row>
    <row r="26" spans="1:62" s="34" customFormat="1" ht="24.75" customHeight="1">
      <c r="A26" s="230"/>
      <c r="B26" s="231"/>
      <c r="C26" s="232" t="s">
        <v>1357</v>
      </c>
      <c r="D26" s="233"/>
      <c r="E26" s="232"/>
      <c r="F26" s="232"/>
      <c r="G26" s="232"/>
      <c r="H26" s="232"/>
      <c r="I26" s="232"/>
      <c r="J26" s="232"/>
      <c r="K26" s="233"/>
      <c r="L26" s="251"/>
      <c r="M26" s="251"/>
      <c r="N26" s="251"/>
      <c r="O26" s="251"/>
      <c r="P26" s="251"/>
      <c r="Q26" s="251"/>
      <c r="R26" s="251"/>
      <c r="S26" s="251"/>
      <c r="T26" s="252"/>
      <c r="U26" s="253"/>
      <c r="V26" s="1909">
        <v>0</v>
      </c>
      <c r="W26" s="1907"/>
      <c r="X26" s="1910"/>
      <c r="Y26" s="1906">
        <v>0</v>
      </c>
      <c r="Z26" s="1907"/>
      <c r="AA26" s="1908"/>
      <c r="AB26" s="1909">
        <v>0</v>
      </c>
      <c r="AC26" s="1907"/>
      <c r="AD26" s="1910"/>
      <c r="AE26" s="1906">
        <v>0</v>
      </c>
      <c r="AF26" s="1907"/>
      <c r="AG26" s="1908"/>
      <c r="AH26" s="230"/>
      <c r="AI26" s="1781" t="str">
        <f t="shared" si="0"/>
        <v/>
      </c>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row>
    <row r="27" spans="1:62" s="34" customFormat="1" ht="24.75" customHeight="1">
      <c r="A27" s="230"/>
      <c r="B27" s="231"/>
      <c r="C27" s="232" t="s">
        <v>1358</v>
      </c>
      <c r="D27" s="233"/>
      <c r="E27" s="232"/>
      <c r="F27" s="232"/>
      <c r="G27" s="232"/>
      <c r="H27" s="232"/>
      <c r="I27" s="232"/>
      <c r="J27" s="232"/>
      <c r="K27" s="233"/>
      <c r="L27" s="251"/>
      <c r="M27" s="251"/>
      <c r="N27" s="251"/>
      <c r="O27" s="251"/>
      <c r="P27" s="251"/>
      <c r="Q27" s="251"/>
      <c r="R27" s="251"/>
      <c r="S27" s="251"/>
      <c r="T27" s="252"/>
      <c r="U27" s="253"/>
      <c r="V27" s="1909">
        <v>0</v>
      </c>
      <c r="W27" s="1907"/>
      <c r="X27" s="1910"/>
      <c r="Y27" s="1906">
        <v>0</v>
      </c>
      <c r="Z27" s="1907"/>
      <c r="AA27" s="1908"/>
      <c r="AB27" s="1909">
        <v>0</v>
      </c>
      <c r="AC27" s="1907"/>
      <c r="AD27" s="1910"/>
      <c r="AE27" s="1906">
        <v>0</v>
      </c>
      <c r="AF27" s="1907"/>
      <c r="AG27" s="1908"/>
      <c r="AH27" s="230"/>
      <c r="AI27" s="1781" t="str">
        <f t="shared" si="0"/>
        <v/>
      </c>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row>
    <row r="28" spans="1:62" s="34" customFormat="1" ht="24.75" customHeight="1">
      <c r="A28" s="230"/>
      <c r="B28" s="231"/>
      <c r="C28" s="232" t="s">
        <v>1359</v>
      </c>
      <c r="D28" s="233"/>
      <c r="E28" s="232"/>
      <c r="F28" s="232"/>
      <c r="G28" s="232"/>
      <c r="H28" s="232"/>
      <c r="I28" s="232"/>
      <c r="J28" s="232"/>
      <c r="K28" s="233"/>
      <c r="L28" s="251"/>
      <c r="M28" s="251"/>
      <c r="N28" s="251"/>
      <c r="O28" s="251"/>
      <c r="P28" s="251"/>
      <c r="Q28" s="251"/>
      <c r="R28" s="251"/>
      <c r="S28" s="251"/>
      <c r="T28" s="252"/>
      <c r="U28" s="253"/>
      <c r="V28" s="1909">
        <v>0</v>
      </c>
      <c r="W28" s="1907"/>
      <c r="X28" s="1910"/>
      <c r="Y28" s="1906">
        <v>0</v>
      </c>
      <c r="Z28" s="1907"/>
      <c r="AA28" s="1908"/>
      <c r="AB28" s="1909">
        <v>0</v>
      </c>
      <c r="AC28" s="1907"/>
      <c r="AD28" s="1910"/>
      <c r="AE28" s="1906">
        <v>0</v>
      </c>
      <c r="AF28" s="1907"/>
      <c r="AG28" s="1908"/>
      <c r="AH28" s="230"/>
      <c r="AI28" s="1781" t="str">
        <f t="shared" si="0"/>
        <v/>
      </c>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row>
    <row r="29" spans="1:62" s="34" customFormat="1" ht="39.950000000000003" customHeight="1">
      <c r="A29" s="230"/>
      <c r="B29" s="231"/>
      <c r="C29" s="1947" t="s">
        <v>1360</v>
      </c>
      <c r="D29" s="1947"/>
      <c r="E29" s="1947"/>
      <c r="F29" s="1947"/>
      <c r="G29" s="1947"/>
      <c r="H29" s="1947"/>
      <c r="I29" s="1947"/>
      <c r="J29" s="1947"/>
      <c r="K29" s="1947"/>
      <c r="L29" s="1947"/>
      <c r="M29" s="1947"/>
      <c r="N29" s="1947"/>
      <c r="O29" s="1947"/>
      <c r="P29" s="1947"/>
      <c r="Q29" s="1947"/>
      <c r="R29" s="1947"/>
      <c r="S29" s="1947"/>
      <c r="T29" s="1947"/>
      <c r="U29" s="1948"/>
      <c r="V29" s="1909">
        <v>0</v>
      </c>
      <c r="W29" s="1907"/>
      <c r="X29" s="1910"/>
      <c r="Y29" s="1906">
        <v>0</v>
      </c>
      <c r="Z29" s="1907"/>
      <c r="AA29" s="1908"/>
      <c r="AB29" s="1909">
        <v>0</v>
      </c>
      <c r="AC29" s="1907"/>
      <c r="AD29" s="1910"/>
      <c r="AE29" s="1906">
        <v>0</v>
      </c>
      <c r="AF29" s="1907"/>
      <c r="AG29" s="1908"/>
      <c r="AH29" s="230"/>
      <c r="AI29" s="1781" t="str">
        <f t="shared" si="0"/>
        <v/>
      </c>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row>
    <row r="30" spans="1:62" s="34" customFormat="1" ht="24.75" customHeight="1">
      <c r="A30" s="230"/>
      <c r="B30" s="231"/>
      <c r="C30" s="232" t="s">
        <v>1361</v>
      </c>
      <c r="D30" s="249"/>
      <c r="E30" s="249"/>
      <c r="F30" s="249"/>
      <c r="G30" s="249"/>
      <c r="H30" s="249"/>
      <c r="I30" s="249"/>
      <c r="J30" s="249"/>
      <c r="K30" s="249"/>
      <c r="L30" s="254"/>
      <c r="M30" s="254"/>
      <c r="N30" s="254"/>
      <c r="O30" s="254"/>
      <c r="P30" s="254"/>
      <c r="Q30" s="254"/>
      <c r="R30" s="254"/>
      <c r="S30" s="254"/>
      <c r="T30" s="252"/>
      <c r="U30" s="253"/>
      <c r="V30" s="1909">
        <v>0</v>
      </c>
      <c r="W30" s="1907"/>
      <c r="X30" s="1910"/>
      <c r="Y30" s="1906">
        <v>0</v>
      </c>
      <c r="Z30" s="1907"/>
      <c r="AA30" s="1908"/>
      <c r="AB30" s="1909">
        <v>0</v>
      </c>
      <c r="AC30" s="1907"/>
      <c r="AD30" s="1910"/>
      <c r="AE30" s="1906">
        <v>0</v>
      </c>
      <c r="AF30" s="1907"/>
      <c r="AG30" s="1908"/>
      <c r="AH30" s="230"/>
      <c r="AI30" s="1781" t="str">
        <f t="shared" si="0"/>
        <v/>
      </c>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row>
    <row r="31" spans="1:62" s="34" customFormat="1" ht="24.75" customHeight="1">
      <c r="A31" s="230"/>
      <c r="B31" s="231"/>
      <c r="C31" s="232" t="s">
        <v>1362</v>
      </c>
      <c r="D31" s="233"/>
      <c r="E31" s="232"/>
      <c r="F31" s="232"/>
      <c r="G31" s="232"/>
      <c r="H31" s="232"/>
      <c r="I31" s="232"/>
      <c r="J31" s="232"/>
      <c r="K31" s="233"/>
      <c r="L31" s="251"/>
      <c r="M31" s="251"/>
      <c r="N31" s="251"/>
      <c r="O31" s="251"/>
      <c r="P31" s="251"/>
      <c r="Q31" s="251"/>
      <c r="R31" s="251"/>
      <c r="S31" s="251"/>
      <c r="T31" s="252"/>
      <c r="U31" s="253"/>
      <c r="V31" s="1909">
        <v>0</v>
      </c>
      <c r="W31" s="1907"/>
      <c r="X31" s="1910"/>
      <c r="Y31" s="1906">
        <v>0</v>
      </c>
      <c r="Z31" s="1907"/>
      <c r="AA31" s="1908"/>
      <c r="AB31" s="1909">
        <v>0</v>
      </c>
      <c r="AC31" s="1907"/>
      <c r="AD31" s="1910"/>
      <c r="AE31" s="1906">
        <v>0</v>
      </c>
      <c r="AF31" s="1907"/>
      <c r="AG31" s="1908"/>
      <c r="AH31" s="230"/>
      <c r="AI31" s="1781" t="str">
        <f t="shared" si="0"/>
        <v/>
      </c>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row>
    <row r="32" spans="1:62" s="34" customFormat="1" ht="24.75" customHeight="1">
      <c r="A32" s="230"/>
      <c r="B32" s="231"/>
      <c r="C32" s="232" t="s">
        <v>1363</v>
      </c>
      <c r="D32" s="233"/>
      <c r="E32" s="232"/>
      <c r="F32" s="232"/>
      <c r="G32" s="232"/>
      <c r="H32" s="232"/>
      <c r="I32" s="232"/>
      <c r="J32" s="232"/>
      <c r="K32" s="233"/>
      <c r="L32" s="251"/>
      <c r="M32" s="251"/>
      <c r="N32" s="251"/>
      <c r="O32" s="251"/>
      <c r="P32" s="251"/>
      <c r="Q32" s="251"/>
      <c r="R32" s="251"/>
      <c r="S32" s="251"/>
      <c r="T32" s="252"/>
      <c r="U32" s="253"/>
      <c r="V32" s="1909">
        <v>0</v>
      </c>
      <c r="W32" s="1907"/>
      <c r="X32" s="1910"/>
      <c r="Y32" s="1906">
        <v>0</v>
      </c>
      <c r="Z32" s="1907"/>
      <c r="AA32" s="1908"/>
      <c r="AB32" s="1909">
        <v>0</v>
      </c>
      <c r="AC32" s="1907"/>
      <c r="AD32" s="1910"/>
      <c r="AE32" s="1906">
        <v>0</v>
      </c>
      <c r="AF32" s="1907"/>
      <c r="AG32" s="1908"/>
      <c r="AH32" s="230"/>
      <c r="AI32" s="1781" t="str">
        <f t="shared" si="0"/>
        <v/>
      </c>
      <c r="AJ32" s="230"/>
      <c r="AK32" s="230"/>
      <c r="AL32" s="230"/>
      <c r="AM32" s="230"/>
      <c r="AN32" s="230"/>
      <c r="AO32" s="230"/>
      <c r="AP32" s="230"/>
      <c r="AQ32" s="230"/>
      <c r="AR32" s="230"/>
      <c r="AS32" s="230"/>
      <c r="AT32" s="230"/>
      <c r="AU32" s="230"/>
      <c r="AV32" s="230"/>
      <c r="AW32" s="230"/>
      <c r="AX32" s="230"/>
      <c r="AY32" s="230"/>
      <c r="AZ32" s="230"/>
      <c r="BA32" s="230"/>
      <c r="BB32" s="230"/>
      <c r="BC32" s="230"/>
      <c r="BD32" s="230"/>
      <c r="BE32" s="230"/>
      <c r="BF32" s="230"/>
      <c r="BG32" s="230"/>
      <c r="BH32" s="230"/>
      <c r="BI32" s="230"/>
      <c r="BJ32" s="230"/>
    </row>
    <row r="33" spans="1:62" s="34" customFormat="1" ht="24.75" customHeight="1">
      <c r="A33" s="230"/>
      <c r="B33" s="231"/>
      <c r="C33" s="255" t="s">
        <v>1364</v>
      </c>
      <c r="D33" s="233"/>
      <c r="E33" s="232"/>
      <c r="F33" s="232"/>
      <c r="G33" s="232"/>
      <c r="H33" s="232"/>
      <c r="I33" s="232"/>
      <c r="J33" s="232"/>
      <c r="K33" s="233"/>
      <c r="L33" s="251"/>
      <c r="M33" s="251"/>
      <c r="N33" s="251"/>
      <c r="O33" s="251"/>
      <c r="P33" s="251"/>
      <c r="Q33" s="251"/>
      <c r="R33" s="251"/>
      <c r="S33" s="251"/>
      <c r="T33" s="252"/>
      <c r="U33" s="253"/>
      <c r="V33" s="1909">
        <v>0</v>
      </c>
      <c r="W33" s="1907"/>
      <c r="X33" s="1910"/>
      <c r="Y33" s="1906">
        <v>0</v>
      </c>
      <c r="Z33" s="1907"/>
      <c r="AA33" s="1908"/>
      <c r="AB33" s="1909">
        <v>0</v>
      </c>
      <c r="AC33" s="1907"/>
      <c r="AD33" s="1910"/>
      <c r="AE33" s="1906">
        <v>0</v>
      </c>
      <c r="AF33" s="1907"/>
      <c r="AG33" s="1908"/>
      <c r="AH33" s="230"/>
      <c r="AI33" s="1781" t="str">
        <f t="shared" si="0"/>
        <v/>
      </c>
      <c r="AJ33" s="230"/>
      <c r="AK33" s="230"/>
      <c r="AL33" s="230"/>
      <c r="AM33" s="230"/>
      <c r="AN33" s="230"/>
      <c r="AO33" s="230"/>
      <c r="AP33" s="230"/>
      <c r="AQ33" s="230"/>
      <c r="AR33" s="230"/>
      <c r="AS33" s="230"/>
      <c r="AT33" s="230"/>
      <c r="AU33" s="230"/>
      <c r="AV33" s="230"/>
      <c r="AW33" s="230"/>
      <c r="AX33" s="230"/>
      <c r="AY33" s="230"/>
      <c r="AZ33" s="230"/>
      <c r="BA33" s="230"/>
      <c r="BB33" s="230"/>
      <c r="BC33" s="230"/>
      <c r="BD33" s="230"/>
      <c r="BE33" s="230"/>
      <c r="BF33" s="230"/>
      <c r="BG33" s="230"/>
      <c r="BH33" s="230"/>
      <c r="BI33" s="230"/>
      <c r="BJ33" s="230"/>
    </row>
    <row r="34" spans="1:62" s="34" customFormat="1" ht="24.75" customHeight="1">
      <c r="A34" s="230"/>
      <c r="B34" s="1917" t="s">
        <v>69</v>
      </c>
      <c r="C34" s="1918"/>
      <c r="D34" s="1918"/>
      <c r="E34" s="1918"/>
      <c r="F34" s="1918"/>
      <c r="G34" s="1918"/>
      <c r="H34" s="1918"/>
      <c r="I34" s="1918"/>
      <c r="J34" s="1918"/>
      <c r="K34" s="1918"/>
      <c r="L34" s="1918"/>
      <c r="M34" s="1918"/>
      <c r="N34" s="1918"/>
      <c r="O34" s="1918"/>
      <c r="P34" s="1918"/>
      <c r="Q34" s="1918"/>
      <c r="R34" s="1918"/>
      <c r="S34" s="1918"/>
      <c r="T34" s="1918"/>
      <c r="U34" s="1919"/>
      <c r="V34" s="1705"/>
      <c r="W34" s="1703"/>
      <c r="X34" s="1706"/>
      <c r="Y34" s="1703"/>
      <c r="Z34" s="1703"/>
      <c r="AA34" s="1707"/>
      <c r="AB34" s="1705"/>
      <c r="AC34" s="1703"/>
      <c r="AD34" s="1706"/>
      <c r="AE34" s="1703"/>
      <c r="AF34" s="1703"/>
      <c r="AG34" s="1707"/>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c r="BH34" s="230"/>
      <c r="BI34" s="230"/>
      <c r="BJ34" s="230"/>
    </row>
    <row r="35" spans="1:62" s="34" customFormat="1" ht="24.75" customHeight="1">
      <c r="A35" s="230"/>
      <c r="B35" s="231"/>
      <c r="C35" s="232" t="s">
        <v>1365</v>
      </c>
      <c r="D35" s="233"/>
      <c r="E35" s="232"/>
      <c r="F35" s="232"/>
      <c r="G35" s="232"/>
      <c r="H35" s="232"/>
      <c r="I35" s="232"/>
      <c r="J35" s="232"/>
      <c r="K35" s="232"/>
      <c r="L35" s="232"/>
      <c r="M35" s="232"/>
      <c r="N35" s="232"/>
      <c r="O35" s="232"/>
      <c r="P35" s="232"/>
      <c r="Q35" s="232"/>
      <c r="R35" s="232"/>
      <c r="S35" s="232"/>
      <c r="T35" s="232"/>
      <c r="U35" s="248"/>
      <c r="V35" s="1909">
        <v>0</v>
      </c>
      <c r="W35" s="1907"/>
      <c r="X35" s="1910"/>
      <c r="Y35" s="1906">
        <v>0</v>
      </c>
      <c r="Z35" s="1907"/>
      <c r="AA35" s="1908"/>
      <c r="AB35" s="1909">
        <v>0</v>
      </c>
      <c r="AC35" s="1907"/>
      <c r="AD35" s="1910"/>
      <c r="AE35" s="1906">
        <v>0</v>
      </c>
      <c r="AF35" s="1907"/>
      <c r="AG35" s="1908"/>
      <c r="AH35" s="230"/>
      <c r="AI35" s="1781" t="str">
        <f>IF(V35&lt;AB35,"Number of Passers should be less than or equal to the Number of Takers (by grade level, by sex) .",IF(Y35&lt;AE35,"Number of Passers should be less than or equal to the Number of Takers (by grade level, by sex) .",""))</f>
        <v/>
      </c>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c r="BH35" s="230"/>
      <c r="BI35" s="230"/>
      <c r="BJ35" s="230"/>
    </row>
    <row r="36" spans="1:62" s="34" customFormat="1" ht="24.75" customHeight="1">
      <c r="A36" s="230"/>
      <c r="B36" s="231"/>
      <c r="C36" s="232" t="s">
        <v>1366</v>
      </c>
      <c r="D36" s="233"/>
      <c r="E36" s="232"/>
      <c r="F36" s="232"/>
      <c r="G36" s="232"/>
      <c r="H36" s="232"/>
      <c r="I36" s="232"/>
      <c r="J36" s="232"/>
      <c r="K36" s="232"/>
      <c r="L36" s="232"/>
      <c r="M36" s="232"/>
      <c r="N36" s="232"/>
      <c r="O36" s="232"/>
      <c r="P36" s="232"/>
      <c r="Q36" s="232"/>
      <c r="R36" s="232"/>
      <c r="S36" s="232"/>
      <c r="T36" s="232"/>
      <c r="U36" s="248"/>
      <c r="V36" s="1909">
        <v>0</v>
      </c>
      <c r="W36" s="1907"/>
      <c r="X36" s="1910"/>
      <c r="Y36" s="1906">
        <v>0</v>
      </c>
      <c r="Z36" s="1907"/>
      <c r="AA36" s="1908"/>
      <c r="AB36" s="1909">
        <v>0</v>
      </c>
      <c r="AC36" s="1907"/>
      <c r="AD36" s="1910"/>
      <c r="AE36" s="1906">
        <v>0</v>
      </c>
      <c r="AF36" s="1907"/>
      <c r="AG36" s="1908"/>
      <c r="AH36" s="230"/>
      <c r="AI36" s="1781" t="str">
        <f t="shared" ref="AI36:AI46" si="1">IF(V36&lt;AB36,"Number of Passers should be less than or equal to the Number of Takers (by grade level, by sex) .",IF(Y36&lt;AE36,"Number of Passers should be less than or equal to the Number of Takers (by grade level, by sex) .",""))</f>
        <v/>
      </c>
      <c r="AJ36" s="230"/>
      <c r="AK36" s="230"/>
      <c r="AL36" s="230"/>
      <c r="AM36" s="230"/>
      <c r="AN36" s="230"/>
      <c r="AO36" s="230"/>
      <c r="AP36" s="230"/>
      <c r="AQ36" s="230"/>
      <c r="AR36" s="230"/>
      <c r="AS36" s="230"/>
      <c r="AT36" s="230"/>
      <c r="AU36" s="230"/>
      <c r="AV36" s="230"/>
      <c r="AW36" s="230"/>
      <c r="AX36" s="230"/>
      <c r="AY36" s="230"/>
      <c r="AZ36" s="230"/>
      <c r="BA36" s="230"/>
      <c r="BB36" s="230"/>
      <c r="BC36" s="230"/>
      <c r="BD36" s="230"/>
      <c r="BE36" s="230"/>
      <c r="BF36" s="230"/>
      <c r="BG36" s="230"/>
      <c r="BH36" s="230"/>
      <c r="BI36" s="230"/>
      <c r="BJ36" s="230"/>
    </row>
    <row r="37" spans="1:62" s="34" customFormat="1" ht="24.75" customHeight="1">
      <c r="A37" s="230"/>
      <c r="B37" s="231"/>
      <c r="C37" s="232" t="s">
        <v>1367</v>
      </c>
      <c r="D37" s="233"/>
      <c r="E37" s="232"/>
      <c r="F37" s="232"/>
      <c r="G37" s="232"/>
      <c r="H37" s="232"/>
      <c r="I37" s="232"/>
      <c r="J37" s="232"/>
      <c r="K37" s="232"/>
      <c r="L37" s="232"/>
      <c r="M37" s="232"/>
      <c r="N37" s="232"/>
      <c r="O37" s="232"/>
      <c r="P37" s="232"/>
      <c r="Q37" s="232"/>
      <c r="R37" s="232"/>
      <c r="S37" s="232"/>
      <c r="T37" s="232"/>
      <c r="U37" s="248"/>
      <c r="V37" s="1909">
        <v>0</v>
      </c>
      <c r="W37" s="1907"/>
      <c r="X37" s="1910"/>
      <c r="Y37" s="1906">
        <v>0</v>
      </c>
      <c r="Z37" s="1907"/>
      <c r="AA37" s="1908"/>
      <c r="AB37" s="1909">
        <v>0</v>
      </c>
      <c r="AC37" s="1907"/>
      <c r="AD37" s="1910"/>
      <c r="AE37" s="1906">
        <v>0</v>
      </c>
      <c r="AF37" s="1907"/>
      <c r="AG37" s="1908"/>
      <c r="AH37" s="230"/>
      <c r="AI37" s="1781" t="str">
        <f t="shared" si="1"/>
        <v/>
      </c>
      <c r="AJ37" s="230"/>
      <c r="AK37" s="230"/>
      <c r="AL37" s="230"/>
      <c r="AM37" s="230"/>
      <c r="AN37" s="230"/>
      <c r="AO37" s="230"/>
      <c r="AP37" s="230"/>
      <c r="AQ37" s="230"/>
      <c r="AR37" s="230"/>
      <c r="AS37" s="230"/>
      <c r="AT37" s="230"/>
      <c r="AU37" s="230"/>
      <c r="AV37" s="230"/>
      <c r="AW37" s="230"/>
      <c r="AX37" s="230"/>
      <c r="AY37" s="230"/>
      <c r="AZ37" s="230"/>
      <c r="BA37" s="230"/>
      <c r="BB37" s="230"/>
      <c r="BC37" s="230"/>
      <c r="BD37" s="230"/>
      <c r="BE37" s="230"/>
      <c r="BF37" s="230"/>
      <c r="BG37" s="230"/>
      <c r="BH37" s="230"/>
      <c r="BI37" s="230"/>
      <c r="BJ37" s="230"/>
    </row>
    <row r="38" spans="1:62" s="34" customFormat="1" ht="24.75" customHeight="1">
      <c r="A38" s="230"/>
      <c r="B38" s="231"/>
      <c r="C38" s="232" t="s">
        <v>1368</v>
      </c>
      <c r="D38" s="233"/>
      <c r="E38" s="232"/>
      <c r="F38" s="232"/>
      <c r="G38" s="232"/>
      <c r="H38" s="232"/>
      <c r="I38" s="232"/>
      <c r="J38" s="232"/>
      <c r="K38" s="232"/>
      <c r="L38" s="232"/>
      <c r="M38" s="232"/>
      <c r="N38" s="232"/>
      <c r="O38" s="232"/>
      <c r="P38" s="232"/>
      <c r="Q38" s="232"/>
      <c r="R38" s="232"/>
      <c r="S38" s="232"/>
      <c r="T38" s="232"/>
      <c r="U38" s="248"/>
      <c r="V38" s="1909">
        <v>0</v>
      </c>
      <c r="W38" s="1907"/>
      <c r="X38" s="1910"/>
      <c r="Y38" s="1906">
        <v>0</v>
      </c>
      <c r="Z38" s="1907"/>
      <c r="AA38" s="1908"/>
      <c r="AB38" s="1909">
        <v>0</v>
      </c>
      <c r="AC38" s="1907"/>
      <c r="AD38" s="1910"/>
      <c r="AE38" s="1906">
        <v>0</v>
      </c>
      <c r="AF38" s="1907"/>
      <c r="AG38" s="1908"/>
      <c r="AH38" s="230"/>
      <c r="AI38" s="1781" t="str">
        <f t="shared" si="1"/>
        <v/>
      </c>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row>
    <row r="39" spans="1:62" s="34" customFormat="1" ht="24.75" customHeight="1">
      <c r="A39" s="230"/>
      <c r="B39" s="231"/>
      <c r="C39" s="232" t="s">
        <v>1369</v>
      </c>
      <c r="D39" s="233"/>
      <c r="E39" s="232"/>
      <c r="F39" s="232"/>
      <c r="G39" s="232"/>
      <c r="H39" s="232"/>
      <c r="I39" s="232"/>
      <c r="J39" s="232"/>
      <c r="K39" s="232"/>
      <c r="L39" s="232"/>
      <c r="M39" s="232"/>
      <c r="N39" s="232"/>
      <c r="O39" s="232"/>
      <c r="P39" s="232"/>
      <c r="Q39" s="232"/>
      <c r="R39" s="232"/>
      <c r="S39" s="232"/>
      <c r="T39" s="232"/>
      <c r="U39" s="248"/>
      <c r="V39" s="1909">
        <v>0</v>
      </c>
      <c r="W39" s="1907"/>
      <c r="X39" s="1910"/>
      <c r="Y39" s="1906">
        <v>0</v>
      </c>
      <c r="Z39" s="1907"/>
      <c r="AA39" s="1908"/>
      <c r="AB39" s="1909">
        <v>0</v>
      </c>
      <c r="AC39" s="1907"/>
      <c r="AD39" s="1910"/>
      <c r="AE39" s="1906">
        <v>0</v>
      </c>
      <c r="AF39" s="1907"/>
      <c r="AG39" s="1908"/>
      <c r="AH39" s="230"/>
      <c r="AI39" s="1781" t="str">
        <f t="shared" si="1"/>
        <v/>
      </c>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row>
    <row r="40" spans="1:62" s="34" customFormat="1" ht="24.75" customHeight="1">
      <c r="A40" s="230"/>
      <c r="B40" s="231"/>
      <c r="C40" s="232" t="s">
        <v>1370</v>
      </c>
      <c r="D40" s="233"/>
      <c r="E40" s="232"/>
      <c r="F40" s="232"/>
      <c r="G40" s="232"/>
      <c r="H40" s="232"/>
      <c r="I40" s="232"/>
      <c r="J40" s="232"/>
      <c r="K40" s="232"/>
      <c r="L40" s="232"/>
      <c r="M40" s="232"/>
      <c r="N40" s="232"/>
      <c r="O40" s="232"/>
      <c r="P40" s="232"/>
      <c r="Q40" s="232"/>
      <c r="R40" s="232"/>
      <c r="S40" s="232"/>
      <c r="T40" s="232"/>
      <c r="U40" s="248"/>
      <c r="V40" s="1909">
        <v>0</v>
      </c>
      <c r="W40" s="1907"/>
      <c r="X40" s="1910"/>
      <c r="Y40" s="1906">
        <v>0</v>
      </c>
      <c r="Z40" s="1907"/>
      <c r="AA40" s="1908"/>
      <c r="AB40" s="1909">
        <v>0</v>
      </c>
      <c r="AC40" s="1907"/>
      <c r="AD40" s="1910"/>
      <c r="AE40" s="1906">
        <v>0</v>
      </c>
      <c r="AF40" s="1907"/>
      <c r="AG40" s="1908"/>
      <c r="AH40" s="230"/>
      <c r="AI40" s="1781" t="str">
        <f t="shared" si="1"/>
        <v/>
      </c>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row>
    <row r="41" spans="1:62" s="34" customFormat="1" ht="24.75" customHeight="1">
      <c r="A41" s="230"/>
      <c r="B41" s="231"/>
      <c r="C41" s="232" t="s">
        <v>1371</v>
      </c>
      <c r="D41" s="233"/>
      <c r="E41" s="232"/>
      <c r="F41" s="232"/>
      <c r="G41" s="232"/>
      <c r="H41" s="232"/>
      <c r="I41" s="232"/>
      <c r="J41" s="232"/>
      <c r="K41" s="232"/>
      <c r="L41" s="232"/>
      <c r="M41" s="232"/>
      <c r="N41" s="232"/>
      <c r="O41" s="232"/>
      <c r="P41" s="232"/>
      <c r="Q41" s="232"/>
      <c r="R41" s="232"/>
      <c r="S41" s="232"/>
      <c r="T41" s="232"/>
      <c r="U41" s="248"/>
      <c r="V41" s="1909">
        <v>0</v>
      </c>
      <c r="W41" s="1907"/>
      <c r="X41" s="1910"/>
      <c r="Y41" s="1906">
        <v>0</v>
      </c>
      <c r="Z41" s="1907"/>
      <c r="AA41" s="1908"/>
      <c r="AB41" s="1909">
        <v>0</v>
      </c>
      <c r="AC41" s="1907"/>
      <c r="AD41" s="1910"/>
      <c r="AE41" s="1906">
        <v>0</v>
      </c>
      <c r="AF41" s="1907"/>
      <c r="AG41" s="1908"/>
      <c r="AH41" s="230"/>
      <c r="AI41" s="1781" t="str">
        <f t="shared" si="1"/>
        <v/>
      </c>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row>
    <row r="42" spans="1:62" s="34" customFormat="1" ht="24.75" customHeight="1">
      <c r="A42" s="230"/>
      <c r="B42" s="231"/>
      <c r="C42" s="232" t="s">
        <v>1372</v>
      </c>
      <c r="D42" s="233"/>
      <c r="E42" s="232"/>
      <c r="F42" s="232"/>
      <c r="G42" s="232"/>
      <c r="H42" s="232"/>
      <c r="I42" s="232"/>
      <c r="J42" s="232"/>
      <c r="K42" s="232"/>
      <c r="L42" s="232"/>
      <c r="M42" s="232"/>
      <c r="N42" s="232"/>
      <c r="O42" s="232"/>
      <c r="P42" s="232"/>
      <c r="Q42" s="232"/>
      <c r="R42" s="232"/>
      <c r="S42" s="232"/>
      <c r="T42" s="232"/>
      <c r="U42" s="248"/>
      <c r="V42" s="1909">
        <v>0</v>
      </c>
      <c r="W42" s="1907"/>
      <c r="X42" s="1910"/>
      <c r="Y42" s="1906">
        <v>0</v>
      </c>
      <c r="Z42" s="1907"/>
      <c r="AA42" s="1908"/>
      <c r="AB42" s="1909">
        <v>0</v>
      </c>
      <c r="AC42" s="1907"/>
      <c r="AD42" s="1910"/>
      <c r="AE42" s="1906">
        <v>0</v>
      </c>
      <c r="AF42" s="1907"/>
      <c r="AG42" s="1908"/>
      <c r="AH42" s="230"/>
      <c r="AI42" s="1781" t="str">
        <f t="shared" si="1"/>
        <v/>
      </c>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row>
    <row r="43" spans="1:62" s="34" customFormat="1" ht="24.75" customHeight="1">
      <c r="A43" s="230"/>
      <c r="B43" s="231"/>
      <c r="C43" s="232" t="s">
        <v>1373</v>
      </c>
      <c r="D43" s="233"/>
      <c r="E43" s="232"/>
      <c r="F43" s="232"/>
      <c r="G43" s="232"/>
      <c r="H43" s="232"/>
      <c r="I43" s="232"/>
      <c r="J43" s="232"/>
      <c r="K43" s="232"/>
      <c r="L43" s="232"/>
      <c r="M43" s="232"/>
      <c r="N43" s="232"/>
      <c r="O43" s="232"/>
      <c r="P43" s="232"/>
      <c r="Q43" s="232"/>
      <c r="R43" s="232"/>
      <c r="S43" s="232"/>
      <c r="T43" s="232"/>
      <c r="U43" s="248"/>
      <c r="V43" s="1909">
        <v>0</v>
      </c>
      <c r="W43" s="1907"/>
      <c r="X43" s="1910"/>
      <c r="Y43" s="1906">
        <v>0</v>
      </c>
      <c r="Z43" s="1907"/>
      <c r="AA43" s="1908"/>
      <c r="AB43" s="1909">
        <v>0</v>
      </c>
      <c r="AC43" s="1907"/>
      <c r="AD43" s="1910"/>
      <c r="AE43" s="1906">
        <v>0</v>
      </c>
      <c r="AF43" s="1907"/>
      <c r="AG43" s="1908"/>
      <c r="AH43" s="230"/>
      <c r="AI43" s="1781" t="str">
        <f t="shared" si="1"/>
        <v/>
      </c>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row>
    <row r="44" spans="1:62" s="34" customFormat="1" ht="24.75" customHeight="1">
      <c r="A44" s="230"/>
      <c r="B44" s="231"/>
      <c r="C44" s="232" t="s">
        <v>1374</v>
      </c>
      <c r="D44" s="233"/>
      <c r="E44" s="232"/>
      <c r="F44" s="232"/>
      <c r="G44" s="232"/>
      <c r="H44" s="232"/>
      <c r="I44" s="232"/>
      <c r="J44" s="232"/>
      <c r="K44" s="232"/>
      <c r="L44" s="232"/>
      <c r="M44" s="232"/>
      <c r="N44" s="232"/>
      <c r="O44" s="232"/>
      <c r="P44" s="232"/>
      <c r="Q44" s="232"/>
      <c r="R44" s="232"/>
      <c r="S44" s="232"/>
      <c r="T44" s="232"/>
      <c r="U44" s="248"/>
      <c r="V44" s="1909">
        <v>0</v>
      </c>
      <c r="W44" s="1907"/>
      <c r="X44" s="1910"/>
      <c r="Y44" s="1906">
        <v>0</v>
      </c>
      <c r="Z44" s="1907"/>
      <c r="AA44" s="1908"/>
      <c r="AB44" s="1909">
        <v>0</v>
      </c>
      <c r="AC44" s="1907"/>
      <c r="AD44" s="1910"/>
      <c r="AE44" s="1906">
        <v>0</v>
      </c>
      <c r="AF44" s="1907"/>
      <c r="AG44" s="1908"/>
      <c r="AH44" s="230"/>
      <c r="AI44" s="1781" t="str">
        <f t="shared" si="1"/>
        <v/>
      </c>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row>
    <row r="45" spans="1:62" s="34" customFormat="1" ht="39.950000000000003" customHeight="1">
      <c r="A45" s="230"/>
      <c r="B45" s="231"/>
      <c r="C45" s="1947" t="s">
        <v>1375</v>
      </c>
      <c r="D45" s="1947"/>
      <c r="E45" s="1947"/>
      <c r="F45" s="1947"/>
      <c r="G45" s="1947"/>
      <c r="H45" s="1947"/>
      <c r="I45" s="1947"/>
      <c r="J45" s="1947"/>
      <c r="K45" s="1947"/>
      <c r="L45" s="1947"/>
      <c r="M45" s="1947"/>
      <c r="N45" s="1947"/>
      <c r="O45" s="1947"/>
      <c r="P45" s="1947"/>
      <c r="Q45" s="1947"/>
      <c r="R45" s="1947"/>
      <c r="S45" s="1947"/>
      <c r="T45" s="1947"/>
      <c r="U45" s="1948"/>
      <c r="V45" s="1909">
        <v>0</v>
      </c>
      <c r="W45" s="1907"/>
      <c r="X45" s="1910"/>
      <c r="Y45" s="1906">
        <v>0</v>
      </c>
      <c r="Z45" s="1907"/>
      <c r="AA45" s="1908"/>
      <c r="AB45" s="1909">
        <v>0</v>
      </c>
      <c r="AC45" s="1907"/>
      <c r="AD45" s="1910"/>
      <c r="AE45" s="1906">
        <v>0</v>
      </c>
      <c r="AF45" s="1907"/>
      <c r="AG45" s="1908"/>
      <c r="AH45" s="230"/>
      <c r="AI45" s="1781" t="str">
        <f t="shared" si="1"/>
        <v/>
      </c>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row>
    <row r="46" spans="1:62" s="34" customFormat="1" ht="24.75" customHeight="1">
      <c r="A46" s="230"/>
      <c r="B46" s="231"/>
      <c r="C46" s="1947" t="s">
        <v>1376</v>
      </c>
      <c r="D46" s="1947"/>
      <c r="E46" s="1947"/>
      <c r="F46" s="1947"/>
      <c r="G46" s="1947"/>
      <c r="H46" s="1947"/>
      <c r="I46" s="1947"/>
      <c r="J46" s="1947"/>
      <c r="K46" s="1947"/>
      <c r="L46" s="1947"/>
      <c r="M46" s="1947"/>
      <c r="N46" s="1947"/>
      <c r="O46" s="1947"/>
      <c r="P46" s="1947"/>
      <c r="Q46" s="1947"/>
      <c r="R46" s="1947"/>
      <c r="S46" s="1947"/>
      <c r="T46" s="1947"/>
      <c r="U46" s="1948"/>
      <c r="V46" s="1909">
        <v>0</v>
      </c>
      <c r="W46" s="1907"/>
      <c r="X46" s="1910"/>
      <c r="Y46" s="1906">
        <v>0</v>
      </c>
      <c r="Z46" s="1907"/>
      <c r="AA46" s="1908"/>
      <c r="AB46" s="1909">
        <v>0</v>
      </c>
      <c r="AC46" s="1907"/>
      <c r="AD46" s="1910"/>
      <c r="AE46" s="1906">
        <v>0</v>
      </c>
      <c r="AF46" s="1907"/>
      <c r="AG46" s="1908"/>
      <c r="AH46" s="230"/>
      <c r="AI46" s="1781" t="str">
        <f t="shared" si="1"/>
        <v/>
      </c>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row>
    <row r="47" spans="1:62" s="34" customFormat="1" ht="24.75" customHeight="1">
      <c r="A47" s="230"/>
      <c r="B47" s="1917" t="s">
        <v>70</v>
      </c>
      <c r="C47" s="1918"/>
      <c r="D47" s="1918"/>
      <c r="E47" s="1918"/>
      <c r="F47" s="1918"/>
      <c r="G47" s="1918"/>
      <c r="H47" s="1918"/>
      <c r="I47" s="1918"/>
      <c r="J47" s="1918"/>
      <c r="K47" s="1918"/>
      <c r="L47" s="1918"/>
      <c r="M47" s="1918"/>
      <c r="N47" s="1918"/>
      <c r="O47" s="1918"/>
      <c r="P47" s="1918"/>
      <c r="Q47" s="1918"/>
      <c r="R47" s="1918"/>
      <c r="S47" s="1918"/>
      <c r="T47" s="1918"/>
      <c r="U47" s="1919"/>
      <c r="V47" s="1705"/>
      <c r="W47" s="1703"/>
      <c r="X47" s="1706"/>
      <c r="Y47" s="1703"/>
      <c r="Z47" s="1703"/>
      <c r="AA47" s="1707"/>
      <c r="AB47" s="1705"/>
      <c r="AC47" s="1703"/>
      <c r="AD47" s="1706"/>
      <c r="AE47" s="1703"/>
      <c r="AF47" s="1703"/>
      <c r="AG47" s="1707"/>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row>
    <row r="48" spans="1:62" s="34" customFormat="1" ht="24.75" customHeight="1">
      <c r="A48" s="230"/>
      <c r="B48" s="231"/>
      <c r="C48" s="232" t="s">
        <v>1377</v>
      </c>
      <c r="D48" s="233"/>
      <c r="E48" s="252"/>
      <c r="F48" s="252"/>
      <c r="G48" s="252"/>
      <c r="H48" s="252"/>
      <c r="I48" s="252"/>
      <c r="J48" s="252"/>
      <c r="K48" s="252"/>
      <c r="L48" s="252"/>
      <c r="M48" s="252"/>
      <c r="N48" s="252"/>
      <c r="O48" s="252"/>
      <c r="P48" s="252"/>
      <c r="Q48" s="252"/>
      <c r="R48" s="252"/>
      <c r="S48" s="252"/>
      <c r="T48" s="252"/>
      <c r="U48" s="253"/>
      <c r="V48" s="1909">
        <v>0</v>
      </c>
      <c r="W48" s="1907"/>
      <c r="X48" s="1910"/>
      <c r="Y48" s="1906">
        <v>0</v>
      </c>
      <c r="Z48" s="1907"/>
      <c r="AA48" s="1908"/>
      <c r="AB48" s="1909">
        <v>0</v>
      </c>
      <c r="AC48" s="1907"/>
      <c r="AD48" s="1910"/>
      <c r="AE48" s="1906">
        <v>0</v>
      </c>
      <c r="AF48" s="1907"/>
      <c r="AG48" s="1908"/>
      <c r="AH48" s="230"/>
      <c r="AI48" s="1781" t="str">
        <f>IF(V48&lt;AB48,"Number of Passers should be less than or equal to the Number of Takers (by grade level, by sex) .",IF(Y48&lt;AE48,"Number of Passers should be less than or equal to the Number of Takers (by grade level, by sex) .",""))</f>
        <v/>
      </c>
      <c r="AJ48" s="230"/>
      <c r="AK48" s="230"/>
      <c r="AL48" s="230"/>
      <c r="AM48" s="230"/>
      <c r="AN48" s="230"/>
      <c r="AO48" s="230"/>
      <c r="AP48" s="230"/>
      <c r="AQ48" s="230"/>
      <c r="AR48" s="230"/>
      <c r="AS48" s="230"/>
      <c r="AT48" s="230"/>
      <c r="AU48" s="230"/>
      <c r="AV48" s="230"/>
      <c r="AW48" s="230"/>
      <c r="AX48" s="230"/>
      <c r="AY48" s="230"/>
      <c r="AZ48" s="230"/>
      <c r="BA48" s="230"/>
      <c r="BB48" s="230"/>
      <c r="BC48" s="230"/>
      <c r="BD48" s="230"/>
      <c r="BE48" s="230"/>
      <c r="BF48" s="230"/>
      <c r="BG48" s="230"/>
      <c r="BH48" s="230"/>
      <c r="BI48" s="230"/>
      <c r="BJ48" s="230"/>
    </row>
    <row r="49" spans="1:62" s="34" customFormat="1" ht="24.75" customHeight="1">
      <c r="A49" s="230"/>
      <c r="B49" s="257"/>
      <c r="C49" s="232" t="s">
        <v>1378</v>
      </c>
      <c r="D49" s="252"/>
      <c r="E49" s="252"/>
      <c r="F49" s="252"/>
      <c r="G49" s="252"/>
      <c r="H49" s="252"/>
      <c r="I49" s="252"/>
      <c r="J49" s="252"/>
      <c r="K49" s="252"/>
      <c r="L49" s="252"/>
      <c r="M49" s="252"/>
      <c r="N49" s="252"/>
      <c r="O49" s="252"/>
      <c r="P49" s="252"/>
      <c r="Q49" s="252"/>
      <c r="R49" s="252"/>
      <c r="S49" s="252"/>
      <c r="T49" s="252"/>
      <c r="U49" s="253"/>
      <c r="V49" s="1909">
        <v>0</v>
      </c>
      <c r="W49" s="1907"/>
      <c r="X49" s="1910"/>
      <c r="Y49" s="1906">
        <v>0</v>
      </c>
      <c r="Z49" s="1907"/>
      <c r="AA49" s="1908"/>
      <c r="AB49" s="1909">
        <v>0</v>
      </c>
      <c r="AC49" s="1907"/>
      <c r="AD49" s="1910"/>
      <c r="AE49" s="1906">
        <v>0</v>
      </c>
      <c r="AF49" s="1907"/>
      <c r="AG49" s="1908"/>
      <c r="AH49" s="230"/>
      <c r="AI49" s="1781" t="str">
        <f t="shared" ref="AI49:AI55" si="2">IF(V49&lt;AB49,"Number of Passers should be less than or equal to the Number of Takers (by grade level, by sex) .",IF(Y49&lt;AE49,"Number of Passers should be less than or equal to the Number of Takers (by grade level, by sex) .",""))</f>
        <v/>
      </c>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row>
    <row r="50" spans="1:62" s="34" customFormat="1" ht="24.75" customHeight="1">
      <c r="A50" s="230"/>
      <c r="B50" s="257"/>
      <c r="C50" s="232" t="s">
        <v>1379</v>
      </c>
      <c r="D50" s="252"/>
      <c r="E50" s="252"/>
      <c r="F50" s="252"/>
      <c r="G50" s="252"/>
      <c r="H50" s="252"/>
      <c r="I50" s="252"/>
      <c r="J50" s="252"/>
      <c r="K50" s="252"/>
      <c r="L50" s="252"/>
      <c r="M50" s="252"/>
      <c r="N50" s="252"/>
      <c r="O50" s="252"/>
      <c r="P50" s="252"/>
      <c r="Q50" s="252"/>
      <c r="R50" s="252"/>
      <c r="S50" s="252"/>
      <c r="T50" s="252"/>
      <c r="U50" s="253"/>
      <c r="V50" s="1909">
        <v>0</v>
      </c>
      <c r="W50" s="1907"/>
      <c r="X50" s="1910"/>
      <c r="Y50" s="1906">
        <v>0</v>
      </c>
      <c r="Z50" s="1907"/>
      <c r="AA50" s="1908"/>
      <c r="AB50" s="1909">
        <v>0</v>
      </c>
      <c r="AC50" s="1907"/>
      <c r="AD50" s="1910"/>
      <c r="AE50" s="1906">
        <v>0</v>
      </c>
      <c r="AF50" s="1907"/>
      <c r="AG50" s="1908"/>
      <c r="AH50" s="230"/>
      <c r="AI50" s="1781" t="str">
        <f t="shared" si="2"/>
        <v/>
      </c>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row>
    <row r="51" spans="1:62" s="34" customFormat="1" ht="24.75" customHeight="1">
      <c r="A51" s="230"/>
      <c r="B51" s="257"/>
      <c r="C51" s="232" t="s">
        <v>1380</v>
      </c>
      <c r="D51" s="252"/>
      <c r="E51" s="252"/>
      <c r="F51" s="252"/>
      <c r="G51" s="252"/>
      <c r="H51" s="252"/>
      <c r="I51" s="252"/>
      <c r="J51" s="252"/>
      <c r="K51" s="252"/>
      <c r="L51" s="252"/>
      <c r="M51" s="252"/>
      <c r="N51" s="252"/>
      <c r="O51" s="252"/>
      <c r="P51" s="252"/>
      <c r="Q51" s="252"/>
      <c r="R51" s="252"/>
      <c r="S51" s="252"/>
      <c r="T51" s="252"/>
      <c r="U51" s="253"/>
      <c r="V51" s="1909">
        <v>0</v>
      </c>
      <c r="W51" s="1907"/>
      <c r="X51" s="1910"/>
      <c r="Y51" s="1906">
        <v>0</v>
      </c>
      <c r="Z51" s="1907"/>
      <c r="AA51" s="1908"/>
      <c r="AB51" s="1909">
        <v>0</v>
      </c>
      <c r="AC51" s="1907"/>
      <c r="AD51" s="1910"/>
      <c r="AE51" s="1906">
        <v>0</v>
      </c>
      <c r="AF51" s="1907"/>
      <c r="AG51" s="1908"/>
      <c r="AH51" s="230"/>
      <c r="AI51" s="1781" t="str">
        <f t="shared" si="2"/>
        <v/>
      </c>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row>
    <row r="52" spans="1:62" s="34" customFormat="1" ht="24.75" customHeight="1">
      <c r="A52" s="230"/>
      <c r="B52" s="257"/>
      <c r="C52" s="232" t="s">
        <v>1381</v>
      </c>
      <c r="D52" s="252"/>
      <c r="E52" s="252"/>
      <c r="F52" s="252"/>
      <c r="G52" s="252"/>
      <c r="H52" s="252"/>
      <c r="I52" s="252"/>
      <c r="J52" s="252"/>
      <c r="K52" s="252"/>
      <c r="L52" s="252"/>
      <c r="M52" s="252"/>
      <c r="N52" s="252"/>
      <c r="O52" s="252"/>
      <c r="P52" s="252"/>
      <c r="Q52" s="252"/>
      <c r="R52" s="252"/>
      <c r="S52" s="252"/>
      <c r="T52" s="252"/>
      <c r="U52" s="253"/>
      <c r="V52" s="1909">
        <v>0</v>
      </c>
      <c r="W52" s="1907"/>
      <c r="X52" s="1910"/>
      <c r="Y52" s="1906">
        <v>0</v>
      </c>
      <c r="Z52" s="1907"/>
      <c r="AA52" s="1908"/>
      <c r="AB52" s="1909">
        <v>0</v>
      </c>
      <c r="AC52" s="1907"/>
      <c r="AD52" s="1910"/>
      <c r="AE52" s="1906">
        <v>0</v>
      </c>
      <c r="AF52" s="1907"/>
      <c r="AG52" s="1908"/>
      <c r="AH52" s="230"/>
      <c r="AI52" s="1781" t="str">
        <f t="shared" si="2"/>
        <v/>
      </c>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row>
    <row r="53" spans="1:62" s="34" customFormat="1" ht="24.75" customHeight="1">
      <c r="A53" s="230"/>
      <c r="B53" s="257"/>
      <c r="C53" s="232" t="s">
        <v>1382</v>
      </c>
      <c r="D53" s="252"/>
      <c r="E53" s="252"/>
      <c r="F53" s="252"/>
      <c r="G53" s="252"/>
      <c r="H53" s="252"/>
      <c r="I53" s="252"/>
      <c r="J53" s="252"/>
      <c r="K53" s="252"/>
      <c r="L53" s="252"/>
      <c r="M53" s="252"/>
      <c r="N53" s="252"/>
      <c r="O53" s="252"/>
      <c r="P53" s="252"/>
      <c r="Q53" s="252"/>
      <c r="R53" s="252"/>
      <c r="S53" s="252"/>
      <c r="T53" s="252"/>
      <c r="U53" s="253"/>
      <c r="V53" s="1909">
        <v>0</v>
      </c>
      <c r="W53" s="1907"/>
      <c r="X53" s="1910"/>
      <c r="Y53" s="1906">
        <v>0</v>
      </c>
      <c r="Z53" s="1907"/>
      <c r="AA53" s="1908"/>
      <c r="AB53" s="1909">
        <v>0</v>
      </c>
      <c r="AC53" s="1907"/>
      <c r="AD53" s="1910"/>
      <c r="AE53" s="1906">
        <v>0</v>
      </c>
      <c r="AF53" s="1907"/>
      <c r="AG53" s="1908"/>
      <c r="AH53" s="230"/>
      <c r="AI53" s="1781" t="str">
        <f t="shared" si="2"/>
        <v/>
      </c>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row>
    <row r="54" spans="1:62" s="34" customFormat="1" ht="24.75" customHeight="1">
      <c r="A54" s="230"/>
      <c r="B54" s="257"/>
      <c r="C54" s="232" t="s">
        <v>1383</v>
      </c>
      <c r="D54" s="252"/>
      <c r="E54" s="252"/>
      <c r="F54" s="252"/>
      <c r="G54" s="252"/>
      <c r="H54" s="252"/>
      <c r="I54" s="252"/>
      <c r="J54" s="252"/>
      <c r="K54" s="252"/>
      <c r="L54" s="252"/>
      <c r="M54" s="252"/>
      <c r="N54" s="252"/>
      <c r="O54" s="252"/>
      <c r="P54" s="252"/>
      <c r="Q54" s="252"/>
      <c r="R54" s="252"/>
      <c r="S54" s="252"/>
      <c r="T54" s="252"/>
      <c r="U54" s="253"/>
      <c r="V54" s="1909">
        <v>0</v>
      </c>
      <c r="W54" s="1907"/>
      <c r="X54" s="1910"/>
      <c r="Y54" s="1906">
        <v>0</v>
      </c>
      <c r="Z54" s="1907"/>
      <c r="AA54" s="1908"/>
      <c r="AB54" s="1909">
        <v>0</v>
      </c>
      <c r="AC54" s="1907"/>
      <c r="AD54" s="1910"/>
      <c r="AE54" s="1906">
        <v>0</v>
      </c>
      <c r="AF54" s="1907"/>
      <c r="AG54" s="1908"/>
      <c r="AH54" s="230"/>
      <c r="AI54" s="1781" t="str">
        <f t="shared" si="2"/>
        <v/>
      </c>
      <c r="AJ54" s="230"/>
      <c r="AK54" s="230"/>
      <c r="AL54" s="230"/>
      <c r="AM54" s="230"/>
      <c r="AN54" s="230"/>
      <c r="AO54" s="230"/>
      <c r="AP54" s="230"/>
      <c r="AQ54" s="230"/>
      <c r="AR54" s="230"/>
      <c r="AS54" s="230"/>
      <c r="AT54" s="230"/>
      <c r="AU54" s="230"/>
      <c r="AV54" s="230"/>
      <c r="AW54" s="230"/>
      <c r="AX54" s="230"/>
      <c r="AY54" s="230"/>
      <c r="AZ54" s="230"/>
      <c r="BA54" s="230"/>
      <c r="BB54" s="230"/>
      <c r="BC54" s="230"/>
      <c r="BD54" s="230"/>
      <c r="BE54" s="230"/>
      <c r="BF54" s="230"/>
      <c r="BG54" s="230"/>
      <c r="BH54" s="230"/>
      <c r="BI54" s="230"/>
      <c r="BJ54" s="230"/>
    </row>
    <row r="55" spans="1:62" s="34" customFormat="1" ht="24.75" customHeight="1" thickBot="1">
      <c r="A55" s="230"/>
      <c r="B55" s="234"/>
      <c r="C55" s="235" t="s">
        <v>1384</v>
      </c>
      <c r="D55" s="236"/>
      <c r="E55" s="235"/>
      <c r="F55" s="235"/>
      <c r="G55" s="235"/>
      <c r="H55" s="235"/>
      <c r="I55" s="235"/>
      <c r="J55" s="235"/>
      <c r="K55" s="235"/>
      <c r="L55" s="235"/>
      <c r="M55" s="235"/>
      <c r="N55" s="235"/>
      <c r="O55" s="235"/>
      <c r="P55" s="235"/>
      <c r="Q55" s="235"/>
      <c r="R55" s="235"/>
      <c r="S55" s="235"/>
      <c r="T55" s="235"/>
      <c r="U55" s="258"/>
      <c r="V55" s="1942">
        <v>0</v>
      </c>
      <c r="W55" s="1943"/>
      <c r="X55" s="1944"/>
      <c r="Y55" s="1945">
        <v>0</v>
      </c>
      <c r="Z55" s="1943"/>
      <c r="AA55" s="1946"/>
      <c r="AB55" s="1942">
        <v>0</v>
      </c>
      <c r="AC55" s="1943"/>
      <c r="AD55" s="1944"/>
      <c r="AE55" s="1945">
        <v>0</v>
      </c>
      <c r="AF55" s="1943"/>
      <c r="AG55" s="1946"/>
      <c r="AH55" s="230"/>
      <c r="AI55" s="1781" t="str">
        <f t="shared" si="2"/>
        <v/>
      </c>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row>
    <row r="56" spans="1:62" s="3" customFormat="1" ht="12" customHeight="1">
      <c r="A56" s="240"/>
      <c r="B56" s="239" t="s">
        <v>1336</v>
      </c>
      <c r="C56" s="240"/>
      <c r="D56" s="240"/>
      <c r="E56" s="240"/>
      <c r="F56" s="240"/>
      <c r="G56" s="240"/>
      <c r="H56" s="240"/>
      <c r="I56" s="240"/>
      <c r="J56" s="240"/>
      <c r="K56" s="240"/>
      <c r="L56" s="240"/>
      <c r="M56" s="240"/>
      <c r="N56" s="240"/>
      <c r="O56" s="240"/>
      <c r="P56" s="240"/>
      <c r="Q56" s="240"/>
      <c r="R56" s="240"/>
      <c r="S56" s="240"/>
      <c r="T56" s="240"/>
      <c r="U56" s="240"/>
      <c r="V56" s="238"/>
      <c r="W56" s="238"/>
      <c r="X56" s="238"/>
      <c r="Y56" s="238"/>
      <c r="Z56" s="238"/>
      <c r="AA56" s="238"/>
      <c r="AB56" s="238"/>
      <c r="AC56" s="238"/>
      <c r="AD56" s="238"/>
      <c r="AE56" s="238"/>
      <c r="AF56" s="238"/>
      <c r="AG56" s="238"/>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row>
    <row r="57" spans="1:62" s="3" customFormat="1" ht="30.75" customHeight="1">
      <c r="A57" s="240"/>
      <c r="B57" s="239"/>
      <c r="C57" s="240"/>
      <c r="D57" s="240"/>
      <c r="E57" s="240"/>
      <c r="F57" s="240"/>
      <c r="G57" s="240"/>
      <c r="H57" s="240"/>
      <c r="I57" s="240"/>
      <c r="J57" s="240"/>
      <c r="K57" s="240"/>
      <c r="L57" s="240"/>
      <c r="M57" s="240"/>
      <c r="N57" s="240"/>
      <c r="O57" s="240"/>
      <c r="P57" s="240"/>
      <c r="Q57" s="240"/>
      <c r="R57" s="240"/>
      <c r="S57" s="240"/>
      <c r="T57" s="240"/>
      <c r="U57" s="240"/>
      <c r="V57" s="240"/>
      <c r="W57" s="240"/>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row>
    <row r="58" spans="1:62" s="57" customFormat="1">
      <c r="A58" s="241"/>
      <c r="B58" s="223" t="s">
        <v>32</v>
      </c>
      <c r="C58" s="241"/>
      <c r="D58" s="241"/>
      <c r="E58" s="241"/>
      <c r="F58" s="241"/>
      <c r="G58" s="241"/>
      <c r="H58" s="241"/>
      <c r="I58" s="241"/>
      <c r="J58" s="241"/>
      <c r="K58" s="241"/>
      <c r="L58" s="241"/>
      <c r="M58" s="241"/>
      <c r="N58" s="241"/>
      <c r="O58" s="241"/>
      <c r="P58" s="241"/>
      <c r="Q58" s="241"/>
      <c r="R58" s="241"/>
      <c r="S58" s="241"/>
      <c r="T58" s="241"/>
      <c r="U58" s="241"/>
      <c r="V58" s="223" t="s">
        <v>33</v>
      </c>
      <c r="W58" s="241"/>
      <c r="X58" s="241"/>
      <c r="Y58" s="241"/>
      <c r="Z58" s="241"/>
      <c r="AA58" s="241"/>
      <c r="AB58" s="241"/>
      <c r="AC58" s="241"/>
      <c r="AD58" s="241"/>
      <c r="AE58" s="241"/>
      <c r="AF58" s="241"/>
      <c r="AG58" s="241"/>
      <c r="AH58" s="241"/>
      <c r="AI58" s="241"/>
      <c r="AJ58" s="241"/>
      <c r="AK58" s="241"/>
      <c r="AL58" s="241"/>
      <c r="AM58" s="241"/>
      <c r="AN58" s="241"/>
      <c r="AO58" s="241"/>
      <c r="AP58" s="241"/>
      <c r="AQ58" s="241"/>
      <c r="AR58" s="241"/>
      <c r="AS58" s="241"/>
      <c r="AT58" s="241"/>
      <c r="AU58" s="241"/>
      <c r="AV58" s="241"/>
      <c r="AW58" s="241"/>
      <c r="AX58" s="241"/>
      <c r="AY58" s="241"/>
      <c r="AZ58" s="241"/>
      <c r="BA58" s="241"/>
      <c r="BB58" s="241"/>
      <c r="BC58" s="241"/>
      <c r="BD58" s="241"/>
      <c r="BE58" s="241"/>
      <c r="BF58" s="241"/>
      <c r="BG58" s="241"/>
      <c r="BH58" s="241"/>
      <c r="BI58" s="241"/>
      <c r="BJ58" s="241"/>
    </row>
    <row r="59" spans="1:62" s="57" customFormat="1" ht="21.75" customHeight="1">
      <c r="A59" s="241"/>
      <c r="B59" s="223" t="s">
        <v>1337</v>
      </c>
      <c r="C59" s="241"/>
      <c r="D59" s="241"/>
      <c r="E59" s="245"/>
      <c r="F59" s="1913" t="str">
        <f>activesheet!E21</f>
        <v>MELCHESIEDICK Q. BOLANIO / March 17, 2023</v>
      </c>
      <c r="G59" s="1913"/>
      <c r="H59" s="1913"/>
      <c r="I59" s="1913"/>
      <c r="J59" s="1913"/>
      <c r="K59" s="1913"/>
      <c r="L59" s="1913"/>
      <c r="M59" s="1913"/>
      <c r="N59" s="1913"/>
      <c r="O59" s="1913"/>
      <c r="P59" s="1913"/>
      <c r="Q59" s="1913"/>
      <c r="R59" s="243"/>
      <c r="S59" s="243"/>
      <c r="T59" s="241"/>
      <c r="U59" s="241"/>
      <c r="V59" s="1940" t="str">
        <f>activesheet!E25</f>
        <v>MICHAEL T. JAMIS / March 17, 2023</v>
      </c>
      <c r="W59" s="1940"/>
      <c r="X59" s="1940"/>
      <c r="Y59" s="1940"/>
      <c r="Z59" s="1940"/>
      <c r="AA59" s="1940"/>
      <c r="AB59" s="1940"/>
      <c r="AC59" s="1940"/>
      <c r="AD59" s="1940"/>
      <c r="AE59" s="1940"/>
      <c r="AF59" s="1940"/>
      <c r="AG59" s="1940"/>
      <c r="AH59" s="241"/>
      <c r="AI59" s="241"/>
      <c r="AJ59" s="241"/>
      <c r="AK59" s="241"/>
      <c r="AL59" s="241"/>
      <c r="AM59" s="241"/>
      <c r="AN59" s="241"/>
      <c r="AO59" s="241"/>
      <c r="AP59" s="241"/>
      <c r="AQ59" s="241"/>
      <c r="AR59" s="241"/>
      <c r="AS59" s="241"/>
      <c r="AT59" s="241"/>
      <c r="AU59" s="241"/>
      <c r="AV59" s="241"/>
      <c r="AW59" s="241"/>
      <c r="AX59" s="241"/>
      <c r="AY59" s="241"/>
      <c r="AZ59" s="241"/>
      <c r="BA59" s="241"/>
      <c r="BB59" s="241"/>
      <c r="BC59" s="241"/>
      <c r="BD59" s="241"/>
      <c r="BE59" s="241"/>
      <c r="BF59" s="241"/>
      <c r="BG59" s="241"/>
      <c r="BH59" s="241"/>
      <c r="BI59" s="241"/>
      <c r="BJ59" s="241"/>
    </row>
    <row r="60" spans="1:62" s="123" customFormat="1" ht="12.2" customHeight="1">
      <c r="A60" s="244"/>
      <c r="B60" s="225"/>
      <c r="C60" s="244"/>
      <c r="D60" s="244"/>
      <c r="E60" s="226"/>
      <c r="F60" s="1920" t="s">
        <v>37</v>
      </c>
      <c r="G60" s="1920"/>
      <c r="H60" s="1920"/>
      <c r="I60" s="1920"/>
      <c r="J60" s="1920"/>
      <c r="K60" s="1920"/>
      <c r="L60" s="1920"/>
      <c r="M60" s="1920"/>
      <c r="N60" s="1920"/>
      <c r="O60" s="1920"/>
      <c r="P60" s="1920"/>
      <c r="Q60" s="1920"/>
      <c r="R60" s="226"/>
      <c r="S60" s="226"/>
      <c r="T60" s="225"/>
      <c r="U60" s="225"/>
      <c r="V60" s="1941"/>
      <c r="W60" s="1941"/>
      <c r="X60" s="1941"/>
      <c r="Y60" s="1941"/>
      <c r="Z60" s="1941"/>
      <c r="AA60" s="1941"/>
      <c r="AB60" s="1941"/>
      <c r="AC60" s="1941"/>
      <c r="AD60" s="1941"/>
      <c r="AE60" s="1941"/>
      <c r="AF60" s="1941"/>
      <c r="AG60" s="1941"/>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row>
    <row r="61" spans="1:62" s="57" customFormat="1" ht="21.75" customHeight="1">
      <c r="A61" s="241"/>
      <c r="B61" s="223" t="s">
        <v>58</v>
      </c>
      <c r="C61" s="241"/>
      <c r="D61" s="241"/>
      <c r="E61" s="245"/>
      <c r="F61" s="1913" t="str">
        <f>activesheet!E22</f>
        <v>SECONDARY SCHOOL PRINCIPAL IV</v>
      </c>
      <c r="G61" s="1913"/>
      <c r="H61" s="1913"/>
      <c r="I61" s="1913"/>
      <c r="J61" s="1913"/>
      <c r="K61" s="1913"/>
      <c r="L61" s="1913"/>
      <c r="M61" s="1913"/>
      <c r="N61" s="1913"/>
      <c r="O61" s="1913"/>
      <c r="P61" s="1913"/>
      <c r="Q61" s="1913"/>
      <c r="R61" s="243"/>
      <c r="S61" s="243"/>
      <c r="T61" s="241"/>
      <c r="U61" s="241"/>
      <c r="V61" s="1811" t="s">
        <v>37</v>
      </c>
      <c r="W61" s="1811"/>
      <c r="X61" s="1811"/>
      <c r="Y61" s="1811"/>
      <c r="Z61" s="1811"/>
      <c r="AA61" s="1811"/>
      <c r="AB61" s="1811"/>
      <c r="AC61" s="1811"/>
      <c r="AD61" s="1811"/>
      <c r="AE61" s="1811"/>
      <c r="AF61" s="1811"/>
      <c r="AG61" s="1811"/>
      <c r="AH61" s="241"/>
      <c r="AI61" s="241"/>
      <c r="AJ61" s="241"/>
      <c r="AK61" s="241"/>
      <c r="AL61" s="241"/>
      <c r="AM61" s="241"/>
      <c r="AN61" s="241"/>
      <c r="AO61" s="241"/>
      <c r="AP61" s="241"/>
      <c r="AQ61" s="241"/>
      <c r="AR61" s="241"/>
      <c r="AS61" s="241"/>
      <c r="AT61" s="241"/>
      <c r="AU61" s="241"/>
      <c r="AV61" s="241"/>
      <c r="AW61" s="241"/>
      <c r="AX61" s="241"/>
      <c r="AY61" s="241"/>
      <c r="AZ61" s="241"/>
      <c r="BA61" s="241"/>
      <c r="BB61" s="241"/>
      <c r="BC61" s="241"/>
      <c r="BD61" s="241"/>
      <c r="BE61" s="241"/>
      <c r="BF61" s="241"/>
      <c r="BG61" s="241"/>
      <c r="BH61" s="241"/>
      <c r="BI61" s="241"/>
      <c r="BJ61" s="241"/>
    </row>
    <row r="62" spans="1:62">
      <c r="A62" s="238"/>
      <c r="B62" s="238"/>
      <c r="C62" s="238"/>
      <c r="D62" s="238"/>
      <c r="E62" s="238"/>
      <c r="F62" s="238"/>
      <c r="G62" s="238"/>
      <c r="H62" s="238"/>
      <c r="I62" s="238"/>
      <c r="J62" s="238"/>
      <c r="K62" s="238"/>
      <c r="L62" s="238"/>
      <c r="M62" s="238"/>
      <c r="N62" s="238"/>
      <c r="O62" s="238"/>
      <c r="P62" s="238"/>
      <c r="Q62" s="238"/>
      <c r="R62" s="238"/>
      <c r="S62" s="238"/>
      <c r="T62" s="238"/>
      <c r="U62" s="238"/>
      <c r="V62" s="241"/>
      <c r="W62" s="241"/>
      <c r="X62" s="241"/>
      <c r="Y62" s="241"/>
      <c r="Z62" s="241"/>
      <c r="AA62" s="241"/>
      <c r="AB62" s="241"/>
      <c r="AC62" s="241"/>
      <c r="AD62" s="241"/>
      <c r="AE62" s="241"/>
      <c r="AF62" s="241"/>
      <c r="AG62" s="241"/>
      <c r="AH62" s="238"/>
      <c r="AI62" s="238"/>
      <c r="AJ62" s="238"/>
      <c r="AK62" s="238"/>
      <c r="AL62" s="238"/>
      <c r="AM62" s="238"/>
      <c r="AN62" s="238"/>
      <c r="AO62" s="238"/>
      <c r="AP62" s="238"/>
      <c r="AQ62" s="238"/>
      <c r="AR62" s="238"/>
      <c r="AS62" s="238"/>
      <c r="AT62" s="238"/>
      <c r="AU62" s="238"/>
      <c r="AV62" s="238"/>
      <c r="AW62" s="238"/>
      <c r="AX62" s="238"/>
      <c r="AY62" s="238"/>
      <c r="AZ62" s="238"/>
      <c r="BA62" s="238"/>
      <c r="BB62" s="238"/>
      <c r="BC62" s="238"/>
      <c r="BD62" s="238"/>
      <c r="BE62" s="238"/>
      <c r="BF62" s="238"/>
      <c r="BG62" s="238"/>
      <c r="BH62" s="238"/>
      <c r="BI62" s="238"/>
      <c r="BJ62" s="238"/>
    </row>
    <row r="63" spans="1:62">
      <c r="A63" s="238"/>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38"/>
      <c r="AW63" s="238"/>
      <c r="AX63" s="238"/>
      <c r="AY63" s="238"/>
      <c r="AZ63" s="238"/>
      <c r="BA63" s="238"/>
      <c r="BB63" s="238"/>
      <c r="BC63" s="238"/>
      <c r="BD63" s="238"/>
      <c r="BE63" s="238"/>
      <c r="BF63" s="238"/>
      <c r="BG63" s="238"/>
      <c r="BH63" s="238"/>
      <c r="BI63" s="238"/>
      <c r="BJ63" s="238"/>
    </row>
    <row r="64" spans="1:62">
      <c r="A64" s="238"/>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238"/>
      <c r="AO64" s="238"/>
      <c r="AP64" s="238"/>
      <c r="AQ64" s="238"/>
      <c r="AR64" s="238"/>
      <c r="AS64" s="238"/>
      <c r="AT64" s="238"/>
      <c r="AU64" s="238"/>
      <c r="AV64" s="238"/>
      <c r="AW64" s="238"/>
      <c r="AX64" s="238"/>
      <c r="AY64" s="238"/>
      <c r="AZ64" s="238"/>
      <c r="BA64" s="238"/>
      <c r="BB64" s="238"/>
      <c r="BC64" s="238"/>
      <c r="BD64" s="238"/>
      <c r="BE64" s="238"/>
      <c r="BF64" s="238"/>
      <c r="BG64" s="238"/>
      <c r="BH64" s="238"/>
      <c r="BI64" s="238"/>
      <c r="BJ64" s="238"/>
    </row>
  </sheetData>
  <sheetProtection algorithmName="SHA-512" hashValue="Ei7ACElELdzLDBtwDqJM4RWfPipIKSHIikH1kQXnRCLvJe9jNFYvR6XakDHmiX88SQvS/G5OsAdLo5wnn6hN4g==" saltValue="6UFL7yh1ejuWo8k68feEEQ==" spinCount="100000" sheet="1" objects="1" scenarios="1"/>
  <customSheetViews>
    <customSheetView guid="{6EFEFCA0-BF14-457A-85A3-29CBF2A862A5}" scale="50" showGridLines="0" fitToPage="1">
      <selection sqref="A1:AK64"/>
      <pageMargins left="0.39370078740157483" right="0.39370078740157483" top="0.59055118110236227" bottom="1.1811023622047245" header="0" footer="0.11811023622047245"/>
      <printOptions horizontalCentered="1" verticalCentered="1"/>
      <pageSetup paperSize="5" scale="37" orientation="portrait" r:id="rId1"/>
      <headerFooter>
        <oddFooter>&amp;L&amp;10&amp;F &amp;A&amp;R&amp;10Page 4 of 61</oddFooter>
      </headerFooter>
    </customSheetView>
  </customSheetViews>
  <mergeCells count="205">
    <mergeCell ref="AB20:AD20"/>
    <mergeCell ref="AE20:AG20"/>
    <mergeCell ref="V19:X19"/>
    <mergeCell ref="Y17:AA17"/>
    <mergeCell ref="AB17:AD17"/>
    <mergeCell ref="AE17:AG17"/>
    <mergeCell ref="V18:X18"/>
    <mergeCell ref="Y18:AA18"/>
    <mergeCell ref="AB18:AD18"/>
    <mergeCell ref="AE18:AG18"/>
    <mergeCell ref="V17:X17"/>
    <mergeCell ref="V59:AG60"/>
    <mergeCell ref="V61:AG61"/>
    <mergeCell ref="AB21:AD21"/>
    <mergeCell ref="AE21:AG21"/>
    <mergeCell ref="AB24:AD24"/>
    <mergeCell ref="AE24:AG24"/>
    <mergeCell ref="V25:X25"/>
    <mergeCell ref="Y25:AA25"/>
    <mergeCell ref="AB25:AD25"/>
    <mergeCell ref="AE25:AG25"/>
    <mergeCell ref="V26:X26"/>
    <mergeCell ref="Y26:AA26"/>
    <mergeCell ref="AB26:AD26"/>
    <mergeCell ref="AE26:AG26"/>
    <mergeCell ref="V27:X27"/>
    <mergeCell ref="Y27:AA27"/>
    <mergeCell ref="AB27:AD27"/>
    <mergeCell ref="AE27:AG27"/>
    <mergeCell ref="V28:X28"/>
    <mergeCell ref="Y28:AA28"/>
    <mergeCell ref="AB28:AD28"/>
    <mergeCell ref="AE28:AG28"/>
    <mergeCell ref="V29:X29"/>
    <mergeCell ref="Y29:AA29"/>
    <mergeCell ref="AB6:AD6"/>
    <mergeCell ref="AE6:AG6"/>
    <mergeCell ref="B2:U2"/>
    <mergeCell ref="B3:U6"/>
    <mergeCell ref="V3:AG3"/>
    <mergeCell ref="V4:AA5"/>
    <mergeCell ref="AB4:AG5"/>
    <mergeCell ref="C45:U45"/>
    <mergeCell ref="V6:X6"/>
    <mergeCell ref="Y6:AA6"/>
    <mergeCell ref="B7:U7"/>
    <mergeCell ref="C13:U13"/>
    <mergeCell ref="C29:U29"/>
    <mergeCell ref="Y10:AA10"/>
    <mergeCell ref="Y12:AA12"/>
    <mergeCell ref="V22:X22"/>
    <mergeCell ref="Y22:AA22"/>
    <mergeCell ref="V24:X24"/>
    <mergeCell ref="Y24:AA24"/>
    <mergeCell ref="Y13:AA13"/>
    <mergeCell ref="V14:X14"/>
    <mergeCell ref="Y14:AA14"/>
    <mergeCell ref="B34:U34"/>
    <mergeCell ref="Y21:AA21"/>
    <mergeCell ref="F61:Q61"/>
    <mergeCell ref="C46:U46"/>
    <mergeCell ref="B47:U47"/>
    <mergeCell ref="F59:Q59"/>
    <mergeCell ref="F60:Q60"/>
    <mergeCell ref="AB8:AD8"/>
    <mergeCell ref="AE8:AG8"/>
    <mergeCell ref="V9:X9"/>
    <mergeCell ref="Y9:AA9"/>
    <mergeCell ref="AB9:AD9"/>
    <mergeCell ref="AE9:AG9"/>
    <mergeCell ref="V8:X8"/>
    <mergeCell ref="Y8:AA8"/>
    <mergeCell ref="AB10:AD10"/>
    <mergeCell ref="AE10:AG10"/>
    <mergeCell ref="V11:X11"/>
    <mergeCell ref="Y11:AA11"/>
    <mergeCell ref="AB11:AD11"/>
    <mergeCell ref="AE11:AG11"/>
    <mergeCell ref="V10:X10"/>
    <mergeCell ref="AB12:AD12"/>
    <mergeCell ref="AE12:AG12"/>
    <mergeCell ref="V12:X12"/>
    <mergeCell ref="V21:X21"/>
    <mergeCell ref="AB13:AD13"/>
    <mergeCell ref="AE13:AG13"/>
    <mergeCell ref="AB14:AD14"/>
    <mergeCell ref="AE14:AG14"/>
    <mergeCell ref="V13:X13"/>
    <mergeCell ref="Y15:AA15"/>
    <mergeCell ref="AB22:AD22"/>
    <mergeCell ref="AE22:AG22"/>
    <mergeCell ref="V23:X23"/>
    <mergeCell ref="Y23:AA23"/>
    <mergeCell ref="AB23:AD23"/>
    <mergeCell ref="AE23:AG23"/>
    <mergeCell ref="AB15:AD15"/>
    <mergeCell ref="AE15:AG15"/>
    <mergeCell ref="V16:X16"/>
    <mergeCell ref="Y16:AA16"/>
    <mergeCell ref="AB16:AD16"/>
    <mergeCell ref="AE16:AG16"/>
    <mergeCell ref="V15:X15"/>
    <mergeCell ref="Y19:AA19"/>
    <mergeCell ref="AB19:AD19"/>
    <mergeCell ref="AE19:AG19"/>
    <mergeCell ref="V20:X20"/>
    <mergeCell ref="Y20:AA20"/>
    <mergeCell ref="AB29:AD29"/>
    <mergeCell ref="AE29:AG29"/>
    <mergeCell ref="V30:X30"/>
    <mergeCell ref="Y30:AA30"/>
    <mergeCell ref="AB30:AD30"/>
    <mergeCell ref="AE30:AG30"/>
    <mergeCell ref="V31:X31"/>
    <mergeCell ref="Y31:AA31"/>
    <mergeCell ref="AB31:AD31"/>
    <mergeCell ref="AE31:AG31"/>
    <mergeCell ref="V32:X32"/>
    <mergeCell ref="Y32:AA32"/>
    <mergeCell ref="AB32:AD32"/>
    <mergeCell ref="AE32:AG32"/>
    <mergeCell ref="V33:X33"/>
    <mergeCell ref="Y33:AA33"/>
    <mergeCell ref="AB33:AD33"/>
    <mergeCell ref="AE33:AG33"/>
    <mergeCell ref="V35:X35"/>
    <mergeCell ref="Y35:AA35"/>
    <mergeCell ref="AB35:AD35"/>
    <mergeCell ref="AE35:AG35"/>
    <mergeCell ref="V36:X36"/>
    <mergeCell ref="Y36:AA36"/>
    <mergeCell ref="AB36:AD36"/>
    <mergeCell ref="AE36:AG36"/>
    <mergeCell ref="V37:X37"/>
    <mergeCell ref="Y37:AA37"/>
    <mergeCell ref="AB37:AD37"/>
    <mergeCell ref="AE37:AG37"/>
    <mergeCell ref="V38:X38"/>
    <mergeCell ref="Y38:AA38"/>
    <mergeCell ref="AB38:AD38"/>
    <mergeCell ref="AE38:AG38"/>
    <mergeCell ref="V39:X39"/>
    <mergeCell ref="Y39:AA39"/>
    <mergeCell ref="AB39:AD39"/>
    <mergeCell ref="AE39:AG39"/>
    <mergeCell ref="V40:X40"/>
    <mergeCell ref="Y40:AA40"/>
    <mergeCell ref="AB40:AD40"/>
    <mergeCell ref="AE40:AG40"/>
    <mergeCell ref="V41:X41"/>
    <mergeCell ref="Y41:AA41"/>
    <mergeCell ref="AB41:AD41"/>
    <mergeCell ref="AE41:AG41"/>
    <mergeCell ref="V42:X42"/>
    <mergeCell ref="Y42:AA42"/>
    <mergeCell ref="AB42:AD42"/>
    <mergeCell ref="AE42:AG42"/>
    <mergeCell ref="V43:X43"/>
    <mergeCell ref="Y43:AA43"/>
    <mergeCell ref="AB43:AD43"/>
    <mergeCell ref="AE43:AG43"/>
    <mergeCell ref="V44:X44"/>
    <mergeCell ref="Y44:AA44"/>
    <mergeCell ref="AB44:AD44"/>
    <mergeCell ref="AE44:AG44"/>
    <mergeCell ref="V45:X45"/>
    <mergeCell ref="Y45:AA45"/>
    <mergeCell ref="AB45:AD45"/>
    <mergeCell ref="AE45:AG45"/>
    <mergeCell ref="V46:X46"/>
    <mergeCell ref="Y46:AA46"/>
    <mergeCell ref="AB46:AD46"/>
    <mergeCell ref="AE46:AG46"/>
    <mergeCell ref="V48:X48"/>
    <mergeCell ref="Y48:AA48"/>
    <mergeCell ref="AB48:AD48"/>
    <mergeCell ref="AE48:AG48"/>
    <mergeCell ref="V49:X49"/>
    <mergeCell ref="Y49:AA49"/>
    <mergeCell ref="AB49:AD49"/>
    <mergeCell ref="AE49:AG49"/>
    <mergeCell ref="V50:X50"/>
    <mergeCell ref="Y50:AA50"/>
    <mergeCell ref="AB50:AD50"/>
    <mergeCell ref="AE50:AG50"/>
    <mergeCell ref="V51:X51"/>
    <mergeCell ref="Y51:AA51"/>
    <mergeCell ref="AB51:AD51"/>
    <mergeCell ref="AE51:AG51"/>
    <mergeCell ref="V55:X55"/>
    <mergeCell ref="Y55:AA55"/>
    <mergeCell ref="AB55:AD55"/>
    <mergeCell ref="AE55:AG55"/>
    <mergeCell ref="V52:X52"/>
    <mergeCell ref="Y52:AA52"/>
    <mergeCell ref="AB52:AD52"/>
    <mergeCell ref="AE52:AG52"/>
    <mergeCell ref="V53:X53"/>
    <mergeCell ref="Y53:AA53"/>
    <mergeCell ref="AB53:AD53"/>
    <mergeCell ref="AE53:AG53"/>
    <mergeCell ref="V54:X54"/>
    <mergeCell ref="Y54:AA54"/>
    <mergeCell ref="AB54:AD54"/>
    <mergeCell ref="AE54:AG54"/>
  </mergeCells>
  <dataValidations count="1">
    <dataValidation type="whole" allowBlank="1" showInputMessage="1" showErrorMessage="1" errorTitle="GSHSP SY 2022-2023" error="Please enter valid number between 0-20,000." sqref="V8:AG33 V35:AG46 V48:AG55" xr:uid="{2632C029-554C-40AE-A525-955F0078D89E}">
      <formula1>0</formula1>
      <formula2>20000</formula2>
    </dataValidation>
  </dataValidations>
  <printOptions horizontalCentered="1" verticalCentered="1"/>
  <pageMargins left="0.39370078740157483" right="0.39370078740157483" top="0.59055118110236227" bottom="1.1811023622047245" header="0" footer="0.11811023622047245"/>
  <pageSetup paperSize="5" scale="37" orientation="portrait" r:id="rId2"/>
  <headerFooter>
    <oddFooter>&amp;L&amp;10&amp;F &amp;A&amp;R&amp;10Page 4 of 61</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46235-4598-410D-A9C1-18A7321B1D4C}">
  <sheetPr codeName="Sheet13">
    <tabColor rgb="FFFFFF00"/>
    <pageSetUpPr fitToPage="1"/>
  </sheetPr>
  <dimension ref="A1:CE51"/>
  <sheetViews>
    <sheetView topLeftCell="A19" zoomScale="90" zoomScaleNormal="90" workbookViewId="0">
      <selection activeCell="AA25" sqref="AA25:AE26"/>
    </sheetView>
  </sheetViews>
  <sheetFormatPr defaultColWidth="8.625" defaultRowHeight="15.75"/>
  <cols>
    <col min="1" max="1" width="2.125" style="48" customWidth="1"/>
    <col min="2" max="48" width="3.625" style="48" customWidth="1"/>
    <col min="49" max="49" width="2.125" style="48" customWidth="1"/>
    <col min="50" max="16384" width="8.625" style="48"/>
  </cols>
  <sheetData>
    <row r="1" spans="1:50"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row>
    <row r="2" spans="1:50">
      <c r="A2" s="222"/>
      <c r="B2" s="259" t="s">
        <v>1454</v>
      </c>
      <c r="C2" s="260"/>
      <c r="D2" s="260"/>
      <c r="E2" s="260"/>
      <c r="F2" s="260"/>
      <c r="G2" s="260"/>
      <c r="H2" s="260"/>
      <c r="I2" s="260"/>
      <c r="J2" s="260"/>
      <c r="K2" s="260"/>
      <c r="L2" s="260"/>
      <c r="M2" s="260"/>
      <c r="N2" s="260"/>
      <c r="O2" s="260"/>
      <c r="P2" s="260"/>
      <c r="Q2" s="260"/>
      <c r="R2" s="260"/>
      <c r="S2" s="260"/>
      <c r="T2" s="260"/>
      <c r="U2" s="260"/>
      <c r="V2" s="260"/>
      <c r="W2" s="260"/>
      <c r="X2" s="261"/>
      <c r="Y2" s="260"/>
      <c r="Z2" s="260"/>
      <c r="AA2" s="260"/>
      <c r="AB2" s="260"/>
      <c r="AC2" s="260"/>
      <c r="AD2" s="260"/>
      <c r="AE2" s="260"/>
      <c r="AF2" s="260"/>
      <c r="AG2" s="260"/>
      <c r="AH2" s="260"/>
      <c r="AI2" s="260"/>
      <c r="AJ2" s="260"/>
      <c r="AK2" s="260"/>
      <c r="AL2" s="260"/>
      <c r="AM2" s="260"/>
      <c r="AN2" s="260"/>
      <c r="AO2" s="260"/>
      <c r="AP2" s="260"/>
      <c r="AQ2" s="260"/>
      <c r="AR2" s="260"/>
      <c r="AS2" s="260"/>
      <c r="AT2" s="260"/>
      <c r="AU2" s="260"/>
      <c r="AV2" s="260"/>
      <c r="AW2" s="260"/>
      <c r="AX2" s="222"/>
    </row>
    <row r="3" spans="1:50" ht="16.5" thickBot="1">
      <c r="A3" s="222"/>
      <c r="B3" s="259" t="s">
        <v>11373</v>
      </c>
      <c r="C3" s="260"/>
      <c r="D3" s="260"/>
      <c r="E3" s="260"/>
      <c r="F3" s="260"/>
      <c r="G3" s="260"/>
      <c r="H3" s="260"/>
      <c r="I3" s="260"/>
      <c r="J3" s="260"/>
      <c r="K3" s="260"/>
      <c r="L3" s="260"/>
      <c r="M3" s="260"/>
      <c r="N3" s="260"/>
      <c r="O3" s="260"/>
      <c r="P3" s="260"/>
      <c r="Q3" s="260"/>
      <c r="R3" s="260"/>
      <c r="S3" s="260"/>
      <c r="T3" s="260"/>
      <c r="U3" s="260"/>
      <c r="V3" s="260"/>
      <c r="W3" s="260"/>
      <c r="X3" s="261"/>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22"/>
    </row>
    <row r="4" spans="1:50" ht="17.25" thickBot="1">
      <c r="A4" s="222"/>
      <c r="B4" s="1952" t="s">
        <v>269</v>
      </c>
      <c r="C4" s="1953"/>
      <c r="D4" s="1953"/>
      <c r="E4" s="1953"/>
      <c r="F4" s="1953"/>
      <c r="G4" s="1953"/>
      <c r="H4" s="1953"/>
      <c r="I4" s="1953"/>
      <c r="J4" s="1953"/>
      <c r="K4" s="1953"/>
      <c r="L4" s="1953"/>
      <c r="M4" s="1953"/>
      <c r="N4" s="1953"/>
      <c r="O4" s="1953"/>
      <c r="P4" s="1953"/>
      <c r="Q4" s="1953"/>
      <c r="R4" s="1953"/>
      <c r="S4" s="1953"/>
      <c r="T4" s="1953"/>
      <c r="U4" s="1953"/>
      <c r="V4" s="1953"/>
      <c r="W4" s="1953"/>
      <c r="X4" s="1953"/>
      <c r="Y4" s="1953"/>
      <c r="Z4" s="1953"/>
      <c r="AA4" s="1953"/>
      <c r="AB4" s="1953"/>
      <c r="AC4" s="1953"/>
      <c r="AD4" s="1953"/>
      <c r="AE4" s="1954"/>
      <c r="AF4" s="262"/>
      <c r="AG4" s="262"/>
      <c r="AH4" s="262"/>
      <c r="AI4" s="223" t="s">
        <v>134</v>
      </c>
      <c r="AJ4" s="263"/>
      <c r="AK4" s="263"/>
      <c r="AL4" s="263"/>
      <c r="AM4" s="263"/>
      <c r="AN4" s="263"/>
      <c r="AO4" s="263"/>
      <c r="AP4" s="263"/>
      <c r="AQ4" s="263"/>
      <c r="AR4" s="263"/>
      <c r="AS4" s="263"/>
      <c r="AT4" s="263"/>
      <c r="AU4" s="263"/>
      <c r="AV4" s="263"/>
      <c r="AW4" s="264"/>
      <c r="AX4" s="222"/>
    </row>
    <row r="5" spans="1:50" ht="16.5">
      <c r="A5" s="222"/>
      <c r="B5" s="1955" t="s">
        <v>270</v>
      </c>
      <c r="C5" s="1956"/>
      <c r="D5" s="1956"/>
      <c r="E5" s="1956"/>
      <c r="F5" s="1956"/>
      <c r="G5" s="1956"/>
      <c r="H5" s="1956"/>
      <c r="I5" s="1956"/>
      <c r="J5" s="1956"/>
      <c r="K5" s="1956"/>
      <c r="L5" s="1956"/>
      <c r="M5" s="1957"/>
      <c r="N5" s="1958" t="s">
        <v>271</v>
      </c>
      <c r="O5" s="1959"/>
      <c r="P5" s="1959"/>
      <c r="Q5" s="1959"/>
      <c r="R5" s="1959"/>
      <c r="S5" s="1960"/>
      <c r="T5" s="1958" t="s">
        <v>272</v>
      </c>
      <c r="U5" s="1959"/>
      <c r="V5" s="1959"/>
      <c r="W5" s="1959"/>
      <c r="X5" s="1959"/>
      <c r="Y5" s="1964"/>
      <c r="Z5" s="1966" t="s">
        <v>995</v>
      </c>
      <c r="AA5" s="1959"/>
      <c r="AB5" s="1959"/>
      <c r="AC5" s="1959"/>
      <c r="AD5" s="1959"/>
      <c r="AE5" s="1967"/>
      <c r="AF5" s="262"/>
      <c r="AG5" s="262"/>
      <c r="AH5" s="264"/>
      <c r="AI5" s="1970" t="s">
        <v>11915</v>
      </c>
      <c r="AJ5" s="1970"/>
      <c r="AK5" s="1970"/>
      <c r="AL5" s="1970"/>
      <c r="AM5" s="1970"/>
      <c r="AN5" s="1970"/>
      <c r="AO5" s="1970"/>
      <c r="AP5" s="1970"/>
      <c r="AQ5" s="1970"/>
      <c r="AR5" s="1970"/>
      <c r="AS5" s="1970"/>
      <c r="AT5" s="1970"/>
      <c r="AU5" s="1970"/>
      <c r="AV5" s="1970"/>
      <c r="AW5" s="264"/>
      <c r="AX5" s="222"/>
    </row>
    <row r="6" spans="1:50" ht="17.25" thickBot="1">
      <c r="A6" s="222"/>
      <c r="B6" s="1971" t="s">
        <v>273</v>
      </c>
      <c r="C6" s="1972"/>
      <c r="D6" s="1972"/>
      <c r="E6" s="1972"/>
      <c r="F6" s="1972"/>
      <c r="G6" s="1973"/>
      <c r="H6" s="1972" t="s">
        <v>274</v>
      </c>
      <c r="I6" s="1972"/>
      <c r="J6" s="1972"/>
      <c r="K6" s="1972"/>
      <c r="L6" s="1972"/>
      <c r="M6" s="1973"/>
      <c r="N6" s="1961"/>
      <c r="O6" s="1962"/>
      <c r="P6" s="1962"/>
      <c r="Q6" s="1962"/>
      <c r="R6" s="1962"/>
      <c r="S6" s="1963"/>
      <c r="T6" s="1961"/>
      <c r="U6" s="1962"/>
      <c r="V6" s="1962"/>
      <c r="W6" s="1962"/>
      <c r="X6" s="1962"/>
      <c r="Y6" s="1965"/>
      <c r="Z6" s="1968"/>
      <c r="AA6" s="1962"/>
      <c r="AB6" s="1962"/>
      <c r="AC6" s="1962"/>
      <c r="AD6" s="1962"/>
      <c r="AE6" s="1969"/>
      <c r="AF6" s="264"/>
      <c r="AG6" s="264"/>
      <c r="AH6" s="264"/>
      <c r="AI6" s="1811" t="s">
        <v>37</v>
      </c>
      <c r="AJ6" s="1811"/>
      <c r="AK6" s="1811"/>
      <c r="AL6" s="1811"/>
      <c r="AM6" s="1811"/>
      <c r="AN6" s="1811"/>
      <c r="AO6" s="1811"/>
      <c r="AP6" s="1811"/>
      <c r="AQ6" s="1811"/>
      <c r="AR6" s="1811"/>
      <c r="AS6" s="1811"/>
      <c r="AT6" s="1811"/>
      <c r="AU6" s="1811"/>
      <c r="AV6" s="1811"/>
      <c r="AW6" s="264"/>
      <c r="AX6" s="222"/>
    </row>
    <row r="7" spans="1:50" ht="16.5">
      <c r="A7" s="222"/>
      <c r="B7" s="1974">
        <v>0</v>
      </c>
      <c r="C7" s="1975"/>
      <c r="D7" s="1975"/>
      <c r="E7" s="1975"/>
      <c r="F7" s="1975"/>
      <c r="G7" s="1976"/>
      <c r="H7" s="1975">
        <v>0</v>
      </c>
      <c r="I7" s="1975"/>
      <c r="J7" s="1975"/>
      <c r="K7" s="1975"/>
      <c r="L7" s="1975"/>
      <c r="M7" s="1976"/>
      <c r="N7" s="1980">
        <v>0</v>
      </c>
      <c r="O7" s="1981"/>
      <c r="P7" s="1981"/>
      <c r="Q7" s="1981"/>
      <c r="R7" s="1981"/>
      <c r="S7" s="1982"/>
      <c r="T7" s="1980">
        <v>0</v>
      </c>
      <c r="U7" s="1981"/>
      <c r="V7" s="1981"/>
      <c r="W7" s="1981"/>
      <c r="X7" s="1981"/>
      <c r="Y7" s="1986"/>
      <c r="Z7" s="1988">
        <f>+teach_local_fund_others+teach_local_fund_lgu+teach_local_fund_city+teach_local_fund_provincial</f>
        <v>0</v>
      </c>
      <c r="AA7" s="1989"/>
      <c r="AB7" s="1989"/>
      <c r="AC7" s="1989"/>
      <c r="AD7" s="1989"/>
      <c r="AE7" s="1990"/>
      <c r="AF7" s="264"/>
      <c r="AG7" s="264"/>
      <c r="AH7" s="264"/>
      <c r="AI7" s="223" t="s">
        <v>240</v>
      </c>
      <c r="AJ7" s="260"/>
      <c r="AK7" s="260"/>
      <c r="AL7" s="260"/>
      <c r="AM7" s="1970" t="s">
        <v>11898</v>
      </c>
      <c r="AN7" s="1970"/>
      <c r="AO7" s="1970"/>
      <c r="AP7" s="1970"/>
      <c r="AQ7" s="1970"/>
      <c r="AR7" s="1970"/>
      <c r="AS7" s="1970"/>
      <c r="AT7" s="1970"/>
      <c r="AU7" s="1970"/>
      <c r="AV7" s="1970"/>
      <c r="AW7" s="264"/>
      <c r="AX7" s="222"/>
    </row>
    <row r="8" spans="1:50" ht="17.25" thickBot="1">
      <c r="A8" s="222"/>
      <c r="B8" s="1977"/>
      <c r="C8" s="1978"/>
      <c r="D8" s="1978"/>
      <c r="E8" s="1978"/>
      <c r="F8" s="1978"/>
      <c r="G8" s="1979"/>
      <c r="H8" s="1978"/>
      <c r="I8" s="1978"/>
      <c r="J8" s="1978"/>
      <c r="K8" s="1978"/>
      <c r="L8" s="1978"/>
      <c r="M8" s="1979"/>
      <c r="N8" s="1983"/>
      <c r="O8" s="1984"/>
      <c r="P8" s="1984"/>
      <c r="Q8" s="1984"/>
      <c r="R8" s="1984"/>
      <c r="S8" s="1985"/>
      <c r="T8" s="1983"/>
      <c r="U8" s="1984"/>
      <c r="V8" s="1984"/>
      <c r="W8" s="1984"/>
      <c r="X8" s="1984"/>
      <c r="Y8" s="1987"/>
      <c r="Z8" s="1991"/>
      <c r="AA8" s="1992"/>
      <c r="AB8" s="1992"/>
      <c r="AC8" s="1992"/>
      <c r="AD8" s="1992"/>
      <c r="AE8" s="1993"/>
      <c r="AF8" s="264"/>
      <c r="AG8" s="264"/>
      <c r="AH8" s="265"/>
      <c r="AI8" s="265"/>
      <c r="AJ8" s="265"/>
      <c r="AK8" s="265"/>
      <c r="AL8" s="265"/>
      <c r="AM8" s="264"/>
      <c r="AN8" s="264"/>
      <c r="AO8" s="264"/>
      <c r="AP8" s="264"/>
      <c r="AQ8" s="264"/>
      <c r="AR8" s="264"/>
      <c r="AS8" s="264"/>
      <c r="AT8" s="264"/>
      <c r="AU8" s="264"/>
      <c r="AV8" s="264"/>
      <c r="AW8" s="264"/>
      <c r="AX8" s="222"/>
    </row>
    <row r="9" spans="1:50" ht="16.7" customHeight="1">
      <c r="A9" s="222"/>
      <c r="B9" s="1708" t="str">
        <f>IF(OR(Z7&lt;L25,Z7&lt;AA25),"Total of Locally-funded Teachers shall be greater than or equal to the Total of Qualified / Trained Teachers in Table 5.","")</f>
        <v/>
      </c>
      <c r="C9" s="266"/>
      <c r="D9" s="266"/>
      <c r="E9" s="266"/>
      <c r="F9" s="266"/>
      <c r="G9" s="266"/>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5"/>
      <c r="AG9" s="265"/>
      <c r="AH9" s="265"/>
      <c r="AI9" s="267"/>
      <c r="AJ9" s="267"/>
      <c r="AK9" s="267"/>
      <c r="AL9" s="267"/>
      <c r="AM9" s="267"/>
      <c r="AN9" s="267"/>
      <c r="AO9" s="267"/>
      <c r="AP9" s="267"/>
      <c r="AQ9" s="267"/>
      <c r="AR9" s="267"/>
      <c r="AS9" s="267"/>
      <c r="AT9" s="267"/>
      <c r="AU9" s="267"/>
      <c r="AV9" s="267"/>
      <c r="AW9" s="267"/>
      <c r="AX9" s="222"/>
    </row>
    <row r="10" spans="1:50" ht="15" customHeight="1">
      <c r="A10" s="222"/>
      <c r="B10" s="1951" t="s">
        <v>1015</v>
      </c>
      <c r="C10" s="1951"/>
      <c r="D10" s="1951"/>
      <c r="E10" s="1951"/>
      <c r="F10" s="1951"/>
      <c r="G10" s="1951"/>
      <c r="H10" s="1951"/>
      <c r="I10" s="1951"/>
      <c r="J10" s="1951"/>
      <c r="K10" s="1951"/>
      <c r="L10" s="1951"/>
      <c r="M10" s="1951"/>
      <c r="N10" s="1951"/>
      <c r="O10" s="1951"/>
      <c r="P10" s="1951"/>
      <c r="Q10" s="1951"/>
      <c r="R10" s="1951"/>
      <c r="S10" s="1951"/>
      <c r="T10" s="1951"/>
      <c r="U10" s="1951"/>
      <c r="V10" s="1951"/>
      <c r="W10" s="1951"/>
      <c r="X10" s="1951"/>
      <c r="Y10" s="1951"/>
      <c r="Z10" s="1951"/>
      <c r="AA10" s="1951"/>
      <c r="AB10" s="1951"/>
      <c r="AC10" s="1951"/>
      <c r="AD10" s="1951"/>
      <c r="AE10" s="1951"/>
      <c r="AF10" s="267"/>
      <c r="AG10" s="267"/>
      <c r="AH10" s="267"/>
      <c r="AI10" s="267"/>
      <c r="AJ10" s="267"/>
      <c r="AK10" s="267"/>
      <c r="AL10" s="267"/>
      <c r="AM10" s="267"/>
      <c r="AN10" s="267"/>
      <c r="AO10" s="267"/>
      <c r="AP10" s="267"/>
      <c r="AQ10" s="267"/>
      <c r="AR10" s="267"/>
      <c r="AS10" s="267"/>
      <c r="AT10" s="267"/>
      <c r="AU10" s="267"/>
      <c r="AV10" s="267"/>
      <c r="AW10" s="222"/>
      <c r="AX10" s="222"/>
    </row>
    <row r="11" spans="1:50" ht="3" customHeight="1">
      <c r="A11" s="222"/>
      <c r="B11" s="1951"/>
      <c r="C11" s="1951"/>
      <c r="D11" s="1951"/>
      <c r="E11" s="1951"/>
      <c r="F11" s="1951"/>
      <c r="G11" s="1951"/>
      <c r="H11" s="1951"/>
      <c r="I11" s="1951"/>
      <c r="J11" s="1951"/>
      <c r="K11" s="1951"/>
      <c r="L11" s="1951"/>
      <c r="M11" s="1951"/>
      <c r="N11" s="1951"/>
      <c r="O11" s="1951"/>
      <c r="P11" s="1951"/>
      <c r="Q11" s="1951"/>
      <c r="R11" s="1951"/>
      <c r="S11" s="1951"/>
      <c r="T11" s="1951"/>
      <c r="U11" s="1951"/>
      <c r="V11" s="1951"/>
      <c r="W11" s="1951"/>
      <c r="X11" s="1951"/>
      <c r="Y11" s="1951"/>
      <c r="Z11" s="1951"/>
      <c r="AA11" s="1951"/>
      <c r="AB11" s="1951"/>
      <c r="AC11" s="1951"/>
      <c r="AD11" s="1951"/>
      <c r="AE11" s="1951"/>
      <c r="AF11" s="267"/>
      <c r="AG11" s="267"/>
      <c r="AH11" s="267"/>
      <c r="AI11" s="267"/>
      <c r="AJ11" s="267"/>
      <c r="AK11" s="267"/>
      <c r="AL11" s="267"/>
      <c r="AM11" s="267"/>
      <c r="AN11" s="267"/>
      <c r="AO11" s="267"/>
      <c r="AP11" s="267"/>
      <c r="AQ11" s="267"/>
      <c r="AR11" s="267"/>
      <c r="AS11" s="267"/>
      <c r="AT11" s="267"/>
      <c r="AU11" s="267"/>
      <c r="AV11" s="267"/>
      <c r="AW11" s="222"/>
      <c r="AX11" s="222"/>
    </row>
    <row r="12" spans="1:50">
      <c r="A12" s="222"/>
      <c r="B12" s="222"/>
      <c r="C12" s="268" t="s">
        <v>275</v>
      </c>
      <c r="D12" s="267"/>
      <c r="E12" s="227"/>
      <c r="F12" s="227"/>
      <c r="G12" s="227"/>
      <c r="H12" s="227"/>
      <c r="I12" s="227"/>
      <c r="J12" s="227"/>
      <c r="K12" s="267"/>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22"/>
    </row>
    <row r="13" spans="1:50">
      <c r="A13" s="222"/>
      <c r="B13" s="269"/>
      <c r="C13" s="270" t="s">
        <v>276</v>
      </c>
      <c r="D13" s="1994" t="s">
        <v>996</v>
      </c>
      <c r="E13" s="1994"/>
      <c r="F13" s="1994"/>
      <c r="G13" s="1994"/>
      <c r="H13" s="1994"/>
      <c r="I13" s="1994"/>
      <c r="J13" s="1994"/>
      <c r="K13" s="1994"/>
      <c r="L13" s="1994"/>
      <c r="M13" s="1994"/>
      <c r="N13" s="1994"/>
      <c r="O13" s="1994"/>
      <c r="P13" s="1994"/>
      <c r="Q13" s="1994"/>
      <c r="R13" s="1994"/>
      <c r="S13" s="1994"/>
      <c r="T13" s="1994"/>
      <c r="U13" s="1994"/>
      <c r="V13" s="1994"/>
      <c r="W13" s="1994"/>
      <c r="X13" s="1994"/>
      <c r="Y13" s="1994"/>
      <c r="Z13" s="1994"/>
      <c r="AA13" s="1994"/>
      <c r="AB13" s="1994"/>
      <c r="AC13" s="1994"/>
      <c r="AD13" s="1994"/>
      <c r="AE13" s="1994"/>
      <c r="AF13" s="267"/>
      <c r="AG13" s="267"/>
      <c r="AH13" s="267"/>
      <c r="AI13" s="267"/>
      <c r="AJ13" s="267"/>
      <c r="AK13" s="267"/>
      <c r="AL13" s="267"/>
      <c r="AM13" s="267"/>
      <c r="AN13" s="267"/>
      <c r="AO13" s="267"/>
      <c r="AP13" s="267"/>
      <c r="AQ13" s="267"/>
      <c r="AR13" s="267"/>
      <c r="AS13" s="267"/>
      <c r="AT13" s="267"/>
      <c r="AU13" s="267"/>
      <c r="AV13" s="267"/>
      <c r="AW13" s="267"/>
      <c r="AX13" s="222"/>
    </row>
    <row r="14" spans="1:50">
      <c r="A14" s="222"/>
      <c r="B14" s="269"/>
      <c r="C14" s="270"/>
      <c r="D14" s="1994"/>
      <c r="E14" s="1994"/>
      <c r="F14" s="1994"/>
      <c r="G14" s="1994"/>
      <c r="H14" s="1994"/>
      <c r="I14" s="1994"/>
      <c r="J14" s="1994"/>
      <c r="K14" s="1994"/>
      <c r="L14" s="1994"/>
      <c r="M14" s="1994"/>
      <c r="N14" s="1994"/>
      <c r="O14" s="1994"/>
      <c r="P14" s="1994"/>
      <c r="Q14" s="1994"/>
      <c r="R14" s="1994"/>
      <c r="S14" s="1994"/>
      <c r="T14" s="1994"/>
      <c r="U14" s="1994"/>
      <c r="V14" s="1994"/>
      <c r="W14" s="1994"/>
      <c r="X14" s="1994"/>
      <c r="Y14" s="1994"/>
      <c r="Z14" s="1994"/>
      <c r="AA14" s="1994"/>
      <c r="AB14" s="1994"/>
      <c r="AC14" s="1994"/>
      <c r="AD14" s="1994"/>
      <c r="AE14" s="1994"/>
      <c r="AF14" s="267"/>
      <c r="AG14" s="267"/>
      <c r="AH14" s="267"/>
      <c r="AI14" s="260"/>
      <c r="AJ14" s="260"/>
      <c r="AK14" s="260"/>
      <c r="AL14" s="260"/>
      <c r="AM14" s="260"/>
      <c r="AN14" s="260"/>
      <c r="AO14" s="260"/>
      <c r="AP14" s="260"/>
      <c r="AQ14" s="260"/>
      <c r="AR14" s="260"/>
      <c r="AS14" s="260"/>
      <c r="AT14" s="260"/>
      <c r="AU14" s="260"/>
      <c r="AV14" s="260"/>
      <c r="AW14" s="267"/>
      <c r="AX14" s="222"/>
    </row>
    <row r="15" spans="1:50">
      <c r="A15" s="222"/>
      <c r="B15" s="269"/>
      <c r="C15" s="270" t="s">
        <v>277</v>
      </c>
      <c r="D15" s="227" t="s">
        <v>997</v>
      </c>
      <c r="E15" s="227"/>
      <c r="F15" s="227"/>
      <c r="G15" s="227"/>
      <c r="H15" s="227"/>
      <c r="I15" s="227"/>
      <c r="J15" s="227"/>
      <c r="K15" s="227"/>
      <c r="L15" s="227"/>
      <c r="M15" s="227"/>
      <c r="N15" s="227"/>
      <c r="O15" s="227"/>
      <c r="P15" s="227"/>
      <c r="Q15" s="227"/>
      <c r="R15" s="227"/>
      <c r="S15" s="227"/>
      <c r="T15" s="227"/>
      <c r="U15" s="227"/>
      <c r="V15" s="227"/>
      <c r="W15" s="227"/>
      <c r="X15" s="227"/>
      <c r="Y15" s="227"/>
      <c r="Z15" s="227"/>
      <c r="AA15" s="227"/>
      <c r="AB15" s="227"/>
      <c r="AC15" s="267"/>
      <c r="AD15" s="267"/>
      <c r="AE15" s="267"/>
      <c r="AF15" s="267"/>
      <c r="AG15" s="267"/>
      <c r="AH15" s="267"/>
      <c r="AI15" s="267"/>
      <c r="AJ15" s="267"/>
      <c r="AK15" s="267"/>
      <c r="AL15" s="267"/>
      <c r="AM15" s="267"/>
      <c r="AN15" s="267"/>
      <c r="AO15" s="267"/>
      <c r="AP15" s="267"/>
      <c r="AQ15" s="267"/>
      <c r="AR15" s="267"/>
      <c r="AS15" s="267"/>
      <c r="AT15" s="267"/>
      <c r="AU15" s="267"/>
      <c r="AV15" s="267"/>
      <c r="AW15" s="267"/>
      <c r="AX15" s="222"/>
    </row>
    <row r="16" spans="1:50">
      <c r="A16" s="222"/>
      <c r="B16" s="269"/>
      <c r="C16" s="270" t="s">
        <v>278</v>
      </c>
      <c r="D16" s="227" t="s">
        <v>998</v>
      </c>
      <c r="E16" s="227"/>
      <c r="F16" s="227"/>
      <c r="G16" s="227"/>
      <c r="H16" s="227"/>
      <c r="I16" s="227"/>
      <c r="J16" s="227"/>
      <c r="K16" s="227"/>
      <c r="L16" s="227"/>
      <c r="M16" s="227"/>
      <c r="N16" s="227"/>
      <c r="O16" s="227"/>
      <c r="P16" s="227"/>
      <c r="Q16" s="227"/>
      <c r="R16" s="227"/>
      <c r="S16" s="227"/>
      <c r="T16" s="227"/>
      <c r="U16" s="227"/>
      <c r="V16" s="227"/>
      <c r="W16" s="227"/>
      <c r="X16" s="227"/>
      <c r="Y16" s="227"/>
      <c r="Z16" s="227"/>
      <c r="AA16" s="227"/>
      <c r="AB16" s="227"/>
      <c r="AC16" s="267"/>
      <c r="AD16" s="267"/>
      <c r="AE16" s="267"/>
      <c r="AF16" s="267"/>
      <c r="AG16" s="267"/>
      <c r="AH16" s="267"/>
      <c r="AI16" s="267"/>
      <c r="AJ16" s="267"/>
      <c r="AK16" s="267"/>
      <c r="AL16" s="267"/>
      <c r="AM16" s="267"/>
      <c r="AN16" s="267"/>
      <c r="AO16" s="267"/>
      <c r="AP16" s="267"/>
      <c r="AQ16" s="267"/>
      <c r="AR16" s="267"/>
      <c r="AS16" s="267"/>
      <c r="AT16" s="267"/>
      <c r="AU16" s="267"/>
      <c r="AV16" s="267"/>
      <c r="AW16" s="267"/>
      <c r="AX16" s="222"/>
    </row>
    <row r="17" spans="1:83" ht="12.95" customHeight="1">
      <c r="A17" s="222"/>
      <c r="B17" s="269"/>
      <c r="C17" s="270"/>
      <c r="D17" s="227"/>
      <c r="E17" s="227"/>
      <c r="F17" s="227"/>
      <c r="G17" s="227"/>
      <c r="H17" s="227"/>
      <c r="I17" s="227"/>
      <c r="J17" s="227"/>
      <c r="K17" s="227"/>
      <c r="L17" s="227"/>
      <c r="M17" s="227"/>
      <c r="N17" s="227"/>
      <c r="O17" s="227"/>
      <c r="P17" s="227"/>
      <c r="Q17" s="227"/>
      <c r="R17" s="227"/>
      <c r="S17" s="227"/>
      <c r="T17" s="227"/>
      <c r="U17" s="227"/>
      <c r="V17" s="227"/>
      <c r="W17" s="227"/>
      <c r="X17" s="227"/>
      <c r="Y17" s="227"/>
      <c r="Z17" s="227"/>
      <c r="AA17" s="227"/>
      <c r="AB17" s="227"/>
      <c r="AC17" s="267"/>
      <c r="AD17" s="267"/>
      <c r="AE17" s="267"/>
      <c r="AF17" s="267"/>
      <c r="AG17" s="267"/>
      <c r="AH17" s="267"/>
      <c r="AI17" s="267"/>
      <c r="AJ17" s="267"/>
      <c r="AK17" s="267"/>
      <c r="AL17" s="267"/>
      <c r="AM17" s="267"/>
      <c r="AN17" s="267"/>
      <c r="AO17" s="267"/>
      <c r="AP17" s="267"/>
      <c r="AQ17" s="267"/>
      <c r="AR17" s="267"/>
      <c r="AS17" s="267"/>
      <c r="AT17" s="267"/>
      <c r="AU17" s="267"/>
      <c r="AV17" s="267"/>
      <c r="AW17" s="267"/>
      <c r="AX17" s="222"/>
    </row>
    <row r="18" spans="1:83">
      <c r="A18" s="222"/>
      <c r="B18" s="271" t="s">
        <v>268</v>
      </c>
      <c r="C18" s="222"/>
      <c r="D18" s="272"/>
      <c r="E18" s="271" t="s">
        <v>1476</v>
      </c>
      <c r="F18" s="222"/>
      <c r="G18" s="272"/>
      <c r="H18" s="272"/>
      <c r="I18" s="272"/>
      <c r="J18" s="272"/>
      <c r="K18" s="272"/>
      <c r="L18" s="272"/>
      <c r="M18" s="272"/>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73"/>
      <c r="AR18" s="273"/>
      <c r="AS18" s="273"/>
      <c r="AT18" s="273"/>
      <c r="AU18" s="273"/>
      <c r="AV18" s="273"/>
      <c r="AW18" s="273"/>
      <c r="AX18" s="27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row>
    <row r="19" spans="1:83" ht="17.25">
      <c r="A19" s="222"/>
      <c r="B19" s="269"/>
      <c r="C19" s="271"/>
      <c r="D19" s="274"/>
      <c r="E19" s="222"/>
      <c r="F19" s="222"/>
      <c r="G19" s="273"/>
      <c r="H19" s="272"/>
      <c r="I19" s="272"/>
      <c r="J19" s="272"/>
      <c r="K19" s="272"/>
      <c r="L19" s="272"/>
      <c r="M19" s="272"/>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row>
    <row r="20" spans="1:83" ht="17.25">
      <c r="A20" s="222"/>
      <c r="B20" s="269"/>
      <c r="C20" s="271"/>
      <c r="D20" s="274"/>
      <c r="E20" s="222"/>
      <c r="F20" s="222"/>
      <c r="G20" s="273"/>
      <c r="H20" s="272"/>
      <c r="I20" s="272"/>
      <c r="J20" s="272"/>
      <c r="K20" s="272"/>
      <c r="L20" s="272"/>
      <c r="M20" s="272"/>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row>
    <row r="21" spans="1:83">
      <c r="A21" s="222"/>
      <c r="B21" s="259" t="s">
        <v>1455</v>
      </c>
      <c r="C21" s="260"/>
      <c r="D21" s="260"/>
      <c r="E21" s="260"/>
      <c r="F21" s="260"/>
      <c r="G21" s="260"/>
      <c r="H21" s="260"/>
      <c r="I21" s="260"/>
      <c r="J21" s="260"/>
      <c r="K21" s="260"/>
      <c r="L21" s="260"/>
      <c r="M21" s="260"/>
      <c r="N21" s="260"/>
      <c r="O21" s="260"/>
      <c r="P21" s="260"/>
      <c r="Q21" s="260"/>
      <c r="R21" s="260"/>
      <c r="S21" s="260"/>
      <c r="T21" s="260"/>
      <c r="U21" s="260"/>
      <c r="V21" s="261"/>
      <c r="W21" s="261"/>
      <c r="X21" s="260"/>
      <c r="Y21" s="260"/>
      <c r="Z21" s="260"/>
      <c r="AA21" s="260"/>
      <c r="AB21" s="260"/>
      <c r="AC21" s="260"/>
      <c r="AD21" s="260"/>
      <c r="AE21" s="260"/>
      <c r="AF21" s="260"/>
      <c r="AG21" s="260"/>
      <c r="AH21" s="260"/>
      <c r="AI21" s="260"/>
      <c r="AJ21" s="260"/>
      <c r="AK21" s="260"/>
      <c r="AL21" s="260"/>
      <c r="AM21" s="260"/>
      <c r="AN21" s="260"/>
      <c r="AO21" s="260"/>
      <c r="AP21" s="260"/>
      <c r="AQ21" s="260"/>
      <c r="AR21" s="260"/>
      <c r="AS21" s="260"/>
      <c r="AT21" s="260"/>
      <c r="AU21" s="260"/>
      <c r="AV21" s="260"/>
      <c r="AW21" s="260"/>
      <c r="AX21" s="222"/>
    </row>
    <row r="22" spans="1:83" ht="16.5" thickBot="1">
      <c r="A22" s="222"/>
      <c r="B22" s="275" t="s">
        <v>11373</v>
      </c>
      <c r="C22" s="260"/>
      <c r="D22" s="260"/>
      <c r="E22" s="260"/>
      <c r="F22" s="260"/>
      <c r="G22" s="260"/>
      <c r="H22" s="260"/>
      <c r="I22" s="260"/>
      <c r="J22" s="260"/>
      <c r="K22" s="260"/>
      <c r="L22" s="260"/>
      <c r="M22" s="260"/>
      <c r="N22" s="260"/>
      <c r="O22" s="260"/>
      <c r="P22" s="260"/>
      <c r="Q22" s="260"/>
      <c r="R22" s="260"/>
      <c r="S22" s="260"/>
      <c r="T22" s="260"/>
      <c r="U22" s="260"/>
      <c r="V22" s="261"/>
      <c r="W22" s="261"/>
      <c r="X22" s="260"/>
      <c r="Y22" s="260"/>
      <c r="Z22" s="260"/>
      <c r="AA22" s="260"/>
      <c r="AB22" s="260"/>
      <c r="AC22" s="260"/>
      <c r="AD22" s="260"/>
      <c r="AE22" s="260"/>
      <c r="AF22" s="260"/>
      <c r="AG22" s="260"/>
      <c r="AH22" s="260"/>
      <c r="AI22" s="260"/>
      <c r="AJ22" s="260"/>
      <c r="AK22" s="260"/>
      <c r="AL22" s="260"/>
      <c r="AM22" s="260"/>
      <c r="AN22" s="260"/>
      <c r="AO22" s="260"/>
      <c r="AP22" s="260"/>
      <c r="AQ22" s="260"/>
      <c r="AR22" s="260"/>
      <c r="AS22" s="260"/>
      <c r="AT22" s="260"/>
      <c r="AU22" s="260"/>
      <c r="AV22" s="260"/>
      <c r="AW22" s="260"/>
      <c r="AX22" s="222"/>
    </row>
    <row r="23" spans="1:83" ht="16.5">
      <c r="A23" s="222"/>
      <c r="B23" s="1955" t="s">
        <v>279</v>
      </c>
      <c r="C23" s="1956"/>
      <c r="D23" s="1956"/>
      <c r="E23" s="1956"/>
      <c r="F23" s="1956"/>
      <c r="G23" s="1956"/>
      <c r="H23" s="1956"/>
      <c r="I23" s="1956"/>
      <c r="J23" s="1956"/>
      <c r="K23" s="1956"/>
      <c r="L23" s="1956"/>
      <c r="M23" s="1956"/>
      <c r="N23" s="1956"/>
      <c r="O23" s="1956"/>
      <c r="P23" s="1995"/>
      <c r="Q23" s="1955" t="s">
        <v>280</v>
      </c>
      <c r="R23" s="1956"/>
      <c r="S23" s="1956"/>
      <c r="T23" s="1956"/>
      <c r="U23" s="1956"/>
      <c r="V23" s="1956"/>
      <c r="W23" s="1956"/>
      <c r="X23" s="1956"/>
      <c r="Y23" s="1956"/>
      <c r="Z23" s="1956"/>
      <c r="AA23" s="1956"/>
      <c r="AB23" s="1956"/>
      <c r="AC23" s="1956"/>
      <c r="AD23" s="1956"/>
      <c r="AE23" s="1995"/>
      <c r="AF23" s="262"/>
      <c r="AG23" s="262"/>
      <c r="AH23" s="262"/>
      <c r="AI23" s="223" t="s">
        <v>389</v>
      </c>
      <c r="AJ23" s="264"/>
      <c r="AK23" s="264"/>
      <c r="AL23" s="264"/>
      <c r="AM23" s="264"/>
      <c r="AN23" s="264"/>
      <c r="AO23" s="264"/>
      <c r="AP23" s="264"/>
      <c r="AQ23" s="264"/>
      <c r="AR23" s="264"/>
      <c r="AS23" s="264"/>
      <c r="AT23" s="264"/>
      <c r="AU23" s="264"/>
      <c r="AV23" s="264"/>
      <c r="AW23" s="264"/>
      <c r="AX23" s="222"/>
    </row>
    <row r="24" spans="1:83" ht="18" thickBot="1">
      <c r="A24" s="222"/>
      <c r="B24" s="1971" t="s">
        <v>45</v>
      </c>
      <c r="C24" s="1972"/>
      <c r="D24" s="1972"/>
      <c r="E24" s="1972"/>
      <c r="F24" s="1973"/>
      <c r="G24" s="1996" t="s">
        <v>46</v>
      </c>
      <c r="H24" s="1972"/>
      <c r="I24" s="1972"/>
      <c r="J24" s="1972"/>
      <c r="K24" s="1997"/>
      <c r="L24" s="1998" t="s">
        <v>42</v>
      </c>
      <c r="M24" s="1972"/>
      <c r="N24" s="1972"/>
      <c r="O24" s="1972"/>
      <c r="P24" s="1999"/>
      <c r="Q24" s="1971" t="s">
        <v>45</v>
      </c>
      <c r="R24" s="1972"/>
      <c r="S24" s="1972"/>
      <c r="T24" s="1972"/>
      <c r="U24" s="1973"/>
      <c r="V24" s="1996" t="s">
        <v>46</v>
      </c>
      <c r="W24" s="1972"/>
      <c r="X24" s="1972"/>
      <c r="Y24" s="1972"/>
      <c r="Z24" s="1997"/>
      <c r="AA24" s="1998" t="s">
        <v>42</v>
      </c>
      <c r="AB24" s="1972"/>
      <c r="AC24" s="1972"/>
      <c r="AD24" s="1972"/>
      <c r="AE24" s="1999"/>
      <c r="AF24" s="264"/>
      <c r="AG24" s="262"/>
      <c r="AH24" s="264"/>
      <c r="AI24" s="276"/>
      <c r="AJ24" s="276"/>
      <c r="AK24" s="276"/>
      <c r="AL24" s="276"/>
      <c r="AM24" s="276"/>
      <c r="AN24" s="276"/>
      <c r="AO24" s="276"/>
      <c r="AP24" s="276"/>
      <c r="AQ24" s="276"/>
      <c r="AR24" s="276"/>
      <c r="AS24" s="276"/>
      <c r="AT24" s="276"/>
      <c r="AU24" s="276"/>
      <c r="AV24" s="276"/>
      <c r="AW24" s="264"/>
      <c r="AX24" s="222"/>
    </row>
    <row r="25" spans="1:83" ht="16.5">
      <c r="A25" s="222"/>
      <c r="B25" s="1974">
        <v>0</v>
      </c>
      <c r="C25" s="1975"/>
      <c r="D25" s="1975"/>
      <c r="E25" s="1975"/>
      <c r="F25" s="1976"/>
      <c r="G25" s="2002">
        <v>0</v>
      </c>
      <c r="H25" s="1975"/>
      <c r="I25" s="1975"/>
      <c r="J25" s="1975"/>
      <c r="K25" s="2003"/>
      <c r="L25" s="2006">
        <f>+teach_qualified_f+teach_qualified_m</f>
        <v>0</v>
      </c>
      <c r="M25" s="2007"/>
      <c r="N25" s="2007"/>
      <c r="O25" s="2007"/>
      <c r="P25" s="2008"/>
      <c r="Q25" s="1974">
        <v>0</v>
      </c>
      <c r="R25" s="1975"/>
      <c r="S25" s="1975"/>
      <c r="T25" s="1975"/>
      <c r="U25" s="1976"/>
      <c r="V25" s="2002">
        <v>0</v>
      </c>
      <c r="W25" s="1975"/>
      <c r="X25" s="1975"/>
      <c r="Y25" s="1975"/>
      <c r="Z25" s="2003"/>
      <c r="AA25" s="2006">
        <f>+teach_trained_f+teach_trained_m</f>
        <v>0</v>
      </c>
      <c r="AB25" s="2007"/>
      <c r="AC25" s="2007"/>
      <c r="AD25" s="2007"/>
      <c r="AE25" s="2008"/>
      <c r="AF25" s="264"/>
      <c r="AG25" s="264"/>
      <c r="AH25" s="264"/>
      <c r="AI25" s="1808" t="s">
        <v>11915</v>
      </c>
      <c r="AJ25" s="1808"/>
      <c r="AK25" s="1808"/>
      <c r="AL25" s="1808"/>
      <c r="AM25" s="1808"/>
      <c r="AN25" s="1808"/>
      <c r="AO25" s="1808"/>
      <c r="AP25" s="1808"/>
      <c r="AQ25" s="1808"/>
      <c r="AR25" s="1808"/>
      <c r="AS25" s="1808"/>
      <c r="AT25" s="1808"/>
      <c r="AU25" s="1808"/>
      <c r="AV25" s="1808"/>
      <c r="AW25" s="264"/>
      <c r="AX25" s="222"/>
    </row>
    <row r="26" spans="1:83" ht="17.25" thickBot="1">
      <c r="A26" s="222"/>
      <c r="B26" s="1977"/>
      <c r="C26" s="1978"/>
      <c r="D26" s="1978"/>
      <c r="E26" s="1978"/>
      <c r="F26" s="1979"/>
      <c r="G26" s="2004"/>
      <c r="H26" s="1978"/>
      <c r="I26" s="1978"/>
      <c r="J26" s="1978"/>
      <c r="K26" s="2005"/>
      <c r="L26" s="2009"/>
      <c r="M26" s="2010"/>
      <c r="N26" s="2010"/>
      <c r="O26" s="2010"/>
      <c r="P26" s="2011"/>
      <c r="Q26" s="1977"/>
      <c r="R26" s="1978"/>
      <c r="S26" s="1978"/>
      <c r="T26" s="1978"/>
      <c r="U26" s="1979"/>
      <c r="V26" s="2004"/>
      <c r="W26" s="1978"/>
      <c r="X26" s="1978"/>
      <c r="Y26" s="1978"/>
      <c r="Z26" s="2005"/>
      <c r="AA26" s="2009"/>
      <c r="AB26" s="2010"/>
      <c r="AC26" s="2010"/>
      <c r="AD26" s="2010"/>
      <c r="AE26" s="2011"/>
      <c r="AF26" s="264"/>
      <c r="AG26" s="264"/>
      <c r="AH26" s="264"/>
      <c r="AI26" s="1811" t="s">
        <v>37</v>
      </c>
      <c r="AJ26" s="1811"/>
      <c r="AK26" s="1811"/>
      <c r="AL26" s="1811"/>
      <c r="AM26" s="1811"/>
      <c r="AN26" s="1811"/>
      <c r="AO26" s="1811"/>
      <c r="AP26" s="1811"/>
      <c r="AQ26" s="1811"/>
      <c r="AR26" s="1811"/>
      <c r="AS26" s="1811"/>
      <c r="AT26" s="1811"/>
      <c r="AU26" s="1811"/>
      <c r="AV26" s="1811"/>
      <c r="AW26" s="264"/>
      <c r="AX26" s="222"/>
    </row>
    <row r="27" spans="1:83" ht="16.7" customHeight="1">
      <c r="A27" s="222"/>
      <c r="B27" s="1709" t="str">
        <f>IF(OR(L25&gt;Z7,AA25&gt;Z7),"Total of Qualified / Trained Teachers shall be less than or equal to the Total of Locally-funded Teachers in Table 4.","")</f>
        <v/>
      </c>
      <c r="C27" s="277"/>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c r="AC27" s="277"/>
      <c r="AD27" s="277"/>
      <c r="AE27" s="277"/>
      <c r="AF27" s="264"/>
      <c r="AG27" s="264"/>
      <c r="AH27" s="264"/>
      <c r="AI27" s="247"/>
      <c r="AJ27" s="247"/>
      <c r="AK27" s="247"/>
      <c r="AL27" s="247"/>
      <c r="AM27" s="247"/>
      <c r="AN27" s="247"/>
      <c r="AO27" s="247"/>
      <c r="AP27" s="247"/>
      <c r="AQ27" s="247"/>
      <c r="AR27" s="247"/>
      <c r="AS27" s="247"/>
      <c r="AT27" s="247"/>
      <c r="AU27" s="247"/>
      <c r="AV27" s="247"/>
      <c r="AW27" s="264"/>
      <c r="AX27" s="222"/>
    </row>
    <row r="28" spans="1:83" ht="68.45" customHeight="1">
      <c r="A28" s="222"/>
      <c r="B28" s="2000" t="s">
        <v>1040</v>
      </c>
      <c r="C28" s="2000"/>
      <c r="D28" s="2000"/>
      <c r="E28" s="2000"/>
      <c r="F28" s="2000"/>
      <c r="G28" s="2000"/>
      <c r="H28" s="2000"/>
      <c r="I28" s="2000"/>
      <c r="J28" s="2000"/>
      <c r="K28" s="2000"/>
      <c r="L28" s="2000"/>
      <c r="M28" s="2000"/>
      <c r="N28" s="2000"/>
      <c r="O28" s="2000"/>
      <c r="P28" s="2000"/>
      <c r="Q28" s="2000"/>
      <c r="R28" s="2000"/>
      <c r="S28" s="2000"/>
      <c r="T28" s="2000"/>
      <c r="U28" s="2000"/>
      <c r="V28" s="2000"/>
      <c r="W28" s="2000"/>
      <c r="X28" s="2000"/>
      <c r="Y28" s="2000"/>
      <c r="Z28" s="2000"/>
      <c r="AA28" s="2000"/>
      <c r="AB28" s="2000"/>
      <c r="AC28" s="2000"/>
      <c r="AD28" s="2000"/>
      <c r="AE28" s="2000"/>
      <c r="AF28" s="278"/>
      <c r="AG28" s="278"/>
      <c r="AH28" s="278"/>
      <c r="AI28" s="278"/>
      <c r="AJ28" s="278"/>
      <c r="AK28" s="278"/>
      <c r="AL28" s="278"/>
      <c r="AM28" s="278"/>
      <c r="AN28" s="278"/>
      <c r="AO28" s="278"/>
      <c r="AP28" s="278"/>
      <c r="AQ28" s="278"/>
      <c r="AR28" s="278"/>
      <c r="AS28" s="278"/>
      <c r="AT28" s="278"/>
      <c r="AU28" s="278"/>
      <c r="AV28" s="278"/>
      <c r="AW28" s="264"/>
      <c r="AX28" s="222"/>
    </row>
    <row r="29" spans="1:83" ht="32.1" customHeight="1">
      <c r="A29" s="222"/>
      <c r="B29" s="2000" t="s">
        <v>1041</v>
      </c>
      <c r="C29" s="2000"/>
      <c r="D29" s="2000"/>
      <c r="E29" s="2000"/>
      <c r="F29" s="2000"/>
      <c r="G29" s="2000"/>
      <c r="H29" s="2000"/>
      <c r="I29" s="2000"/>
      <c r="J29" s="2000"/>
      <c r="K29" s="2000"/>
      <c r="L29" s="2000"/>
      <c r="M29" s="2000"/>
      <c r="N29" s="2000"/>
      <c r="O29" s="2000"/>
      <c r="P29" s="2000"/>
      <c r="Q29" s="2000"/>
      <c r="R29" s="2000"/>
      <c r="S29" s="2000"/>
      <c r="T29" s="2000"/>
      <c r="U29" s="2000"/>
      <c r="V29" s="2000"/>
      <c r="W29" s="2000"/>
      <c r="X29" s="2000"/>
      <c r="Y29" s="2000"/>
      <c r="Z29" s="2000"/>
      <c r="AA29" s="2000"/>
      <c r="AB29" s="2000"/>
      <c r="AC29" s="2000"/>
      <c r="AD29" s="2000"/>
      <c r="AE29" s="2000"/>
      <c r="AF29" s="278"/>
      <c r="AG29" s="278"/>
      <c r="AH29" s="278"/>
      <c r="AI29" s="278"/>
      <c r="AJ29" s="278"/>
      <c r="AK29" s="278"/>
      <c r="AL29" s="278"/>
      <c r="AM29" s="278"/>
      <c r="AN29" s="278"/>
      <c r="AO29" s="278"/>
      <c r="AP29" s="278"/>
      <c r="AQ29" s="278"/>
      <c r="AR29" s="278"/>
      <c r="AS29" s="278"/>
      <c r="AT29" s="278"/>
      <c r="AU29" s="278"/>
      <c r="AV29" s="278"/>
      <c r="AW29" s="267"/>
      <c r="AX29" s="222"/>
    </row>
    <row r="30" spans="1:83" ht="6.95" customHeight="1">
      <c r="A30" s="222"/>
      <c r="B30" s="279"/>
      <c r="C30" s="265"/>
      <c r="D30" s="265"/>
      <c r="E30" s="265"/>
      <c r="F30" s="265"/>
      <c r="G30" s="265"/>
      <c r="H30" s="265"/>
      <c r="I30" s="265"/>
      <c r="J30" s="265"/>
      <c r="K30" s="265"/>
      <c r="L30" s="265"/>
      <c r="M30" s="265"/>
      <c r="N30" s="265"/>
      <c r="O30" s="265"/>
      <c r="P30" s="265"/>
      <c r="Q30" s="265"/>
      <c r="R30" s="265"/>
      <c r="S30" s="265"/>
      <c r="T30" s="265"/>
      <c r="U30" s="265"/>
      <c r="V30" s="265"/>
      <c r="W30" s="265"/>
      <c r="X30" s="265"/>
      <c r="Y30" s="265"/>
      <c r="Z30" s="265"/>
      <c r="AA30" s="265"/>
      <c r="AB30" s="265"/>
      <c r="AC30" s="265"/>
      <c r="AD30" s="265"/>
      <c r="AE30" s="265"/>
      <c r="AF30" s="267"/>
      <c r="AG30" s="267"/>
      <c r="AH30" s="267"/>
      <c r="AI30" s="267"/>
      <c r="AJ30" s="267"/>
      <c r="AK30" s="267"/>
      <c r="AL30" s="267"/>
      <c r="AM30" s="267"/>
      <c r="AN30" s="267"/>
      <c r="AO30" s="267"/>
      <c r="AP30" s="267"/>
      <c r="AQ30" s="267"/>
      <c r="AR30" s="267"/>
      <c r="AS30" s="267"/>
      <c r="AT30" s="267"/>
      <c r="AU30" s="267"/>
      <c r="AV30" s="267"/>
      <c r="AW30" s="267"/>
      <c r="AX30" s="222"/>
    </row>
    <row r="31" spans="1:83">
      <c r="A31" s="222"/>
      <c r="B31" s="271" t="s">
        <v>268</v>
      </c>
      <c r="C31" s="222"/>
      <c r="D31" s="272"/>
      <c r="E31" s="271" t="s">
        <v>1477</v>
      </c>
      <c r="F31" s="222"/>
      <c r="G31" s="272"/>
      <c r="H31" s="272"/>
      <c r="I31" s="272"/>
      <c r="J31" s="272"/>
      <c r="K31" s="272"/>
      <c r="L31" s="272"/>
      <c r="M31" s="272"/>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row>
    <row r="32" spans="1:83">
      <c r="A32" s="222"/>
      <c r="B32" s="271"/>
      <c r="C32" s="222"/>
      <c r="D32" s="272"/>
      <c r="E32" s="271"/>
      <c r="F32" s="222"/>
      <c r="G32" s="272"/>
      <c r="H32" s="272"/>
      <c r="I32" s="272"/>
      <c r="J32" s="272"/>
      <c r="K32" s="272"/>
      <c r="L32" s="272"/>
      <c r="M32" s="272"/>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row>
    <row r="33" spans="1:83" ht="17.25">
      <c r="A33" s="222"/>
      <c r="B33" s="260"/>
      <c r="C33" s="271"/>
      <c r="D33" s="274"/>
      <c r="E33" s="222"/>
      <c r="F33" s="222"/>
      <c r="G33" s="273"/>
      <c r="H33" s="272"/>
      <c r="I33" s="272"/>
      <c r="J33" s="272"/>
      <c r="K33" s="272"/>
      <c r="L33" s="272"/>
      <c r="M33" s="272"/>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273"/>
      <c r="AT33" s="273"/>
      <c r="AU33" s="273"/>
      <c r="AV33" s="273"/>
      <c r="AW33" s="273"/>
      <c r="AX33" s="27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row>
    <row r="34" spans="1:83">
      <c r="A34" s="222"/>
      <c r="B34" s="260"/>
      <c r="C34" s="239"/>
      <c r="D34" s="260"/>
      <c r="E34" s="260"/>
      <c r="F34" s="260"/>
      <c r="G34" s="260"/>
      <c r="H34" s="260"/>
      <c r="I34" s="260"/>
      <c r="J34" s="260"/>
      <c r="K34" s="260"/>
      <c r="L34" s="260"/>
      <c r="M34" s="260"/>
      <c r="N34" s="260"/>
      <c r="O34" s="260"/>
      <c r="P34" s="260"/>
      <c r="Q34" s="260"/>
      <c r="R34" s="260"/>
      <c r="S34" s="260"/>
      <c r="T34" s="260"/>
      <c r="U34" s="260"/>
      <c r="V34" s="260"/>
      <c r="W34" s="260"/>
      <c r="X34" s="260"/>
      <c r="Y34" s="260"/>
      <c r="Z34" s="260"/>
      <c r="AA34" s="260"/>
      <c r="AB34" s="260"/>
      <c r="AC34" s="260"/>
      <c r="AD34" s="260"/>
      <c r="AE34" s="260"/>
      <c r="AF34" s="260"/>
      <c r="AG34" s="260"/>
      <c r="AH34" s="260"/>
      <c r="AI34" s="260"/>
      <c r="AJ34" s="260"/>
      <c r="AK34" s="260"/>
      <c r="AL34" s="260"/>
      <c r="AM34" s="260"/>
      <c r="AN34" s="260"/>
      <c r="AO34" s="260"/>
      <c r="AP34" s="260"/>
      <c r="AQ34" s="260"/>
      <c r="AR34" s="260"/>
      <c r="AS34" s="260"/>
      <c r="AT34" s="260"/>
      <c r="AU34" s="260"/>
      <c r="AV34" s="260"/>
      <c r="AW34" s="260"/>
      <c r="AX34" s="222"/>
    </row>
    <row r="35" spans="1:83">
      <c r="A35" s="222"/>
      <c r="B35" s="223" t="s">
        <v>32</v>
      </c>
      <c r="C35" s="260"/>
      <c r="D35" s="260"/>
      <c r="E35" s="260"/>
      <c r="F35" s="260"/>
      <c r="G35" s="260"/>
      <c r="H35" s="260"/>
      <c r="I35" s="260"/>
      <c r="J35" s="260"/>
      <c r="K35" s="260"/>
      <c r="L35" s="260"/>
      <c r="M35" s="260"/>
      <c r="N35" s="260"/>
      <c r="O35" s="260"/>
      <c r="P35" s="260"/>
      <c r="Q35" s="260"/>
      <c r="R35" s="260"/>
      <c r="S35" s="260"/>
      <c r="T35" s="260"/>
      <c r="U35" s="260"/>
      <c r="V35" s="260"/>
      <c r="W35" s="260"/>
      <c r="X35" s="260"/>
      <c r="Y35" s="260"/>
      <c r="Z35" s="260"/>
      <c r="AA35" s="260"/>
      <c r="AB35" s="260"/>
      <c r="AC35" s="260"/>
      <c r="AD35" s="260"/>
      <c r="AE35" s="260"/>
      <c r="AF35" s="260"/>
      <c r="AG35" s="260"/>
      <c r="AH35" s="260"/>
      <c r="AI35" s="223" t="s">
        <v>33</v>
      </c>
      <c r="AJ35" s="260"/>
      <c r="AK35" s="260"/>
      <c r="AL35" s="260"/>
      <c r="AM35" s="260"/>
      <c r="AN35" s="260"/>
      <c r="AO35" s="260"/>
      <c r="AP35" s="260"/>
      <c r="AQ35" s="260"/>
      <c r="AR35" s="260"/>
      <c r="AS35" s="260"/>
      <c r="AT35" s="260"/>
      <c r="AU35" s="260"/>
      <c r="AV35" s="260"/>
      <c r="AW35" s="260"/>
      <c r="AX35" s="222"/>
    </row>
    <row r="36" spans="1:83">
      <c r="A36" s="222"/>
      <c r="B36" s="223" t="s">
        <v>73</v>
      </c>
      <c r="C36" s="260"/>
      <c r="D36" s="260"/>
      <c r="E36" s="260"/>
      <c r="F36" s="2001" t="str">
        <f>activesheet!E21</f>
        <v>MELCHESIEDICK Q. BOLANIO / March 17, 2023</v>
      </c>
      <c r="G36" s="2001"/>
      <c r="H36" s="2001"/>
      <c r="I36" s="2001"/>
      <c r="J36" s="2001"/>
      <c r="K36" s="2001"/>
      <c r="L36" s="2001"/>
      <c r="M36" s="2001"/>
      <c r="N36" s="2001"/>
      <c r="O36" s="2001"/>
      <c r="P36" s="260"/>
      <c r="Q36" s="260"/>
      <c r="R36" s="260"/>
      <c r="S36" s="260"/>
      <c r="T36" s="260"/>
      <c r="U36" s="260"/>
      <c r="V36" s="260"/>
      <c r="W36" s="260"/>
      <c r="X36" s="260"/>
      <c r="Y36" s="260"/>
      <c r="Z36" s="260"/>
      <c r="AA36" s="260"/>
      <c r="AB36" s="260"/>
      <c r="AC36" s="260"/>
      <c r="AD36" s="260"/>
      <c r="AE36" s="260"/>
      <c r="AF36" s="260"/>
      <c r="AG36" s="260"/>
      <c r="AH36" s="260"/>
      <c r="AI36" s="1940" t="str">
        <f>activesheet!E25</f>
        <v>MICHAEL T. JAMIS / March 17, 2023</v>
      </c>
      <c r="AJ36" s="1940"/>
      <c r="AK36" s="1940"/>
      <c r="AL36" s="1940"/>
      <c r="AM36" s="1940"/>
      <c r="AN36" s="1940"/>
      <c r="AO36" s="1940"/>
      <c r="AP36" s="1940"/>
      <c r="AQ36" s="1940"/>
      <c r="AR36" s="1940"/>
      <c r="AS36" s="1940"/>
      <c r="AT36" s="1940"/>
      <c r="AU36" s="1940"/>
      <c r="AV36" s="1940"/>
      <c r="AW36" s="260"/>
      <c r="AX36" s="222"/>
    </row>
    <row r="37" spans="1:83">
      <c r="A37" s="222"/>
      <c r="B37" s="228"/>
      <c r="C37" s="280"/>
      <c r="D37" s="280"/>
      <c r="E37" s="280"/>
      <c r="F37" s="1811" t="s">
        <v>37</v>
      </c>
      <c r="G37" s="1811"/>
      <c r="H37" s="1811"/>
      <c r="I37" s="1811"/>
      <c r="J37" s="1811"/>
      <c r="K37" s="1811"/>
      <c r="L37" s="1811"/>
      <c r="M37" s="1811"/>
      <c r="N37" s="1811"/>
      <c r="O37" s="1811"/>
      <c r="P37" s="281"/>
      <c r="Q37" s="281"/>
      <c r="R37" s="281"/>
      <c r="S37" s="281"/>
      <c r="T37" s="280"/>
      <c r="U37" s="280"/>
      <c r="V37" s="280"/>
      <c r="W37" s="280"/>
      <c r="X37" s="280"/>
      <c r="Y37" s="280"/>
      <c r="Z37" s="280"/>
      <c r="AA37" s="280"/>
      <c r="AB37" s="280"/>
      <c r="AC37" s="280"/>
      <c r="AD37" s="280"/>
      <c r="AE37" s="280"/>
      <c r="AF37" s="280"/>
      <c r="AG37" s="280"/>
      <c r="AH37" s="281"/>
      <c r="AI37" s="1941"/>
      <c r="AJ37" s="1941"/>
      <c r="AK37" s="1941"/>
      <c r="AL37" s="1941"/>
      <c r="AM37" s="1941"/>
      <c r="AN37" s="1941"/>
      <c r="AO37" s="1941"/>
      <c r="AP37" s="1941"/>
      <c r="AQ37" s="1941"/>
      <c r="AR37" s="1941"/>
      <c r="AS37" s="1941"/>
      <c r="AT37" s="1941"/>
      <c r="AU37" s="1941"/>
      <c r="AV37" s="1941"/>
      <c r="AW37" s="282"/>
      <c r="AX37" s="222"/>
    </row>
    <row r="38" spans="1:83">
      <c r="A38" s="222"/>
      <c r="B38" s="223" t="s">
        <v>240</v>
      </c>
      <c r="C38" s="260"/>
      <c r="D38" s="260"/>
      <c r="E38" s="260"/>
      <c r="F38" s="2001" t="str">
        <f>activesheet!E22</f>
        <v>SECONDARY SCHOOL PRINCIPAL IV</v>
      </c>
      <c r="G38" s="2001"/>
      <c r="H38" s="2001"/>
      <c r="I38" s="2001"/>
      <c r="J38" s="2001"/>
      <c r="K38" s="2001"/>
      <c r="L38" s="2001"/>
      <c r="M38" s="2001"/>
      <c r="N38" s="2001"/>
      <c r="O38" s="2001"/>
      <c r="P38" s="260"/>
      <c r="Q38" s="260"/>
      <c r="R38" s="260"/>
      <c r="S38" s="260"/>
      <c r="T38" s="260"/>
      <c r="U38" s="260"/>
      <c r="V38" s="260"/>
      <c r="W38" s="260"/>
      <c r="X38" s="260"/>
      <c r="Y38" s="260"/>
      <c r="Z38" s="260"/>
      <c r="AA38" s="260"/>
      <c r="AB38" s="260"/>
      <c r="AC38" s="260"/>
      <c r="AD38" s="260"/>
      <c r="AE38" s="260"/>
      <c r="AF38" s="260"/>
      <c r="AG38" s="260"/>
      <c r="AH38" s="260"/>
      <c r="AI38" s="1811" t="s">
        <v>37</v>
      </c>
      <c r="AJ38" s="1811"/>
      <c r="AK38" s="1811"/>
      <c r="AL38" s="1811"/>
      <c r="AM38" s="1811"/>
      <c r="AN38" s="1811"/>
      <c r="AO38" s="1811"/>
      <c r="AP38" s="1811"/>
      <c r="AQ38" s="1811"/>
      <c r="AR38" s="1811"/>
      <c r="AS38" s="1811"/>
      <c r="AT38" s="1811"/>
      <c r="AU38" s="1811"/>
      <c r="AV38" s="1811"/>
      <c r="AW38" s="260"/>
      <c r="AX38" s="222"/>
    </row>
    <row r="39" spans="1:83">
      <c r="A39" s="222"/>
      <c r="B39" s="260"/>
      <c r="C39" s="260"/>
      <c r="D39" s="260"/>
      <c r="E39" s="260"/>
      <c r="F39" s="260"/>
      <c r="G39" s="260"/>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22"/>
    </row>
    <row r="40" spans="1:83">
      <c r="A40" s="222"/>
      <c r="B40" s="222"/>
      <c r="C40" s="222"/>
      <c r="D40" s="222"/>
      <c r="E40" s="222"/>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c r="AK40" s="222"/>
      <c r="AL40" s="222"/>
      <c r="AM40" s="222"/>
      <c r="AN40" s="222"/>
      <c r="AO40" s="222"/>
      <c r="AP40" s="222"/>
      <c r="AQ40" s="222"/>
      <c r="AR40" s="222"/>
      <c r="AS40" s="222"/>
      <c r="AT40" s="222"/>
      <c r="AU40" s="222"/>
      <c r="AV40" s="222"/>
      <c r="AW40" s="222"/>
      <c r="AX40" s="222"/>
    </row>
    <row r="41" spans="1:83">
      <c r="A41" s="222"/>
      <c r="B41" s="222"/>
      <c r="C41" s="222"/>
      <c r="D41" s="222"/>
      <c r="E41" s="222"/>
      <c r="F41" s="222"/>
      <c r="G41" s="222"/>
      <c r="H41" s="222"/>
      <c r="I41" s="222"/>
      <c r="J41" s="222"/>
      <c r="K41" s="222"/>
      <c r="L41" s="222"/>
      <c r="M41" s="222"/>
      <c r="N41" s="222"/>
      <c r="O41" s="222"/>
      <c r="P41" s="222"/>
      <c r="Q41" s="222"/>
      <c r="R41" s="222"/>
      <c r="S41" s="222"/>
      <c r="T41" s="222"/>
      <c r="U41" s="222"/>
      <c r="V41" s="222"/>
      <c r="W41" s="222"/>
      <c r="X41" s="222"/>
      <c r="Y41" s="222"/>
      <c r="Z41" s="222"/>
      <c r="AA41" s="222"/>
      <c r="AB41" s="222"/>
      <c r="AC41" s="222"/>
      <c r="AD41" s="222"/>
      <c r="AE41" s="222"/>
      <c r="AF41" s="222"/>
      <c r="AG41" s="222"/>
      <c r="AH41" s="222"/>
      <c r="AI41" s="222"/>
      <c r="AJ41" s="222"/>
      <c r="AK41" s="222"/>
      <c r="AL41" s="222"/>
      <c r="AM41" s="222"/>
      <c r="AN41" s="222"/>
      <c r="AO41" s="222"/>
      <c r="AP41" s="222"/>
      <c r="AQ41" s="222"/>
      <c r="AR41" s="222"/>
      <c r="AS41" s="222"/>
      <c r="AT41" s="222"/>
      <c r="AU41" s="222"/>
      <c r="AV41" s="222"/>
      <c r="AW41" s="222"/>
      <c r="AX41" s="222"/>
    </row>
    <row r="42" spans="1:83">
      <c r="A42" s="222"/>
      <c r="B42" s="222"/>
      <c r="C42" s="222"/>
      <c r="D42" s="222"/>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c r="AE42" s="222"/>
      <c r="AF42" s="222"/>
      <c r="AG42" s="222"/>
      <c r="AH42" s="222"/>
      <c r="AI42" s="222"/>
      <c r="AJ42" s="222"/>
      <c r="AK42" s="222"/>
      <c r="AL42" s="222"/>
      <c r="AM42" s="222"/>
      <c r="AN42" s="222"/>
      <c r="AO42" s="222"/>
      <c r="AP42" s="222"/>
      <c r="AQ42" s="222"/>
      <c r="AR42" s="222"/>
      <c r="AS42" s="222"/>
      <c r="AT42" s="222"/>
      <c r="AU42" s="222"/>
      <c r="AV42" s="222"/>
      <c r="AW42" s="222"/>
      <c r="AX42" s="222"/>
    </row>
    <row r="43" spans="1:83">
      <c r="A43" s="222"/>
      <c r="B43" s="222"/>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c r="AF43" s="222"/>
      <c r="AG43" s="222"/>
      <c r="AH43" s="222"/>
      <c r="AI43" s="222"/>
      <c r="AJ43" s="222"/>
      <c r="AK43" s="222"/>
      <c r="AL43" s="222"/>
      <c r="AM43" s="222"/>
      <c r="AN43" s="222"/>
      <c r="AO43" s="222"/>
      <c r="AP43" s="222"/>
      <c r="AQ43" s="222"/>
      <c r="AR43" s="222"/>
      <c r="AS43" s="222"/>
      <c r="AT43" s="222"/>
      <c r="AU43" s="222"/>
      <c r="AV43" s="222"/>
      <c r="AW43" s="222"/>
      <c r="AX43" s="222"/>
    </row>
    <row r="44" spans="1:83">
      <c r="A44" s="222"/>
      <c r="B44" s="222"/>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c r="AK44" s="222"/>
      <c r="AL44" s="222"/>
      <c r="AM44" s="222"/>
      <c r="AN44" s="222"/>
      <c r="AO44" s="222"/>
      <c r="AP44" s="222"/>
      <c r="AQ44" s="222"/>
      <c r="AR44" s="222"/>
      <c r="AS44" s="222"/>
      <c r="AT44" s="222"/>
      <c r="AU44" s="222"/>
      <c r="AV44" s="222"/>
      <c r="AW44" s="222"/>
      <c r="AX44" s="222"/>
    </row>
    <row r="45" spans="1:83">
      <c r="A45" s="222"/>
      <c r="B45" s="222"/>
      <c r="C45" s="222"/>
      <c r="D45" s="222"/>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c r="AE45" s="222"/>
      <c r="AF45" s="222"/>
      <c r="AG45" s="222"/>
      <c r="AH45" s="222"/>
      <c r="AI45" s="222"/>
      <c r="AJ45" s="222"/>
      <c r="AK45" s="222"/>
      <c r="AL45" s="222"/>
      <c r="AM45" s="222"/>
      <c r="AN45" s="222"/>
      <c r="AO45" s="222"/>
      <c r="AP45" s="222"/>
      <c r="AQ45" s="222"/>
      <c r="AR45" s="222"/>
      <c r="AS45" s="222"/>
      <c r="AT45" s="222"/>
      <c r="AU45" s="222"/>
      <c r="AV45" s="222"/>
      <c r="AW45" s="222"/>
      <c r="AX45" s="222"/>
    </row>
    <row r="46" spans="1:83">
      <c r="A46" s="222"/>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c r="AK46" s="222"/>
      <c r="AL46" s="222"/>
      <c r="AM46" s="222"/>
      <c r="AN46" s="222"/>
      <c r="AO46" s="222"/>
      <c r="AP46" s="222"/>
      <c r="AQ46" s="222"/>
      <c r="AR46" s="222"/>
      <c r="AS46" s="222"/>
      <c r="AT46" s="222"/>
      <c r="AU46" s="222"/>
      <c r="AV46" s="222"/>
      <c r="AW46" s="222"/>
      <c r="AX46" s="222"/>
    </row>
    <row r="47" spans="1:83">
      <c r="A47" s="222"/>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c r="AF47" s="222"/>
      <c r="AG47" s="222"/>
      <c r="AH47" s="222"/>
      <c r="AI47" s="222"/>
      <c r="AJ47" s="222"/>
      <c r="AK47" s="222"/>
      <c r="AL47" s="222"/>
      <c r="AM47" s="222"/>
      <c r="AN47" s="222"/>
      <c r="AO47" s="222"/>
      <c r="AP47" s="222"/>
      <c r="AQ47" s="222"/>
      <c r="AR47" s="222"/>
      <c r="AS47" s="222"/>
      <c r="AT47" s="222"/>
      <c r="AU47" s="222"/>
      <c r="AV47" s="222"/>
      <c r="AW47" s="222"/>
      <c r="AX47" s="222"/>
    </row>
    <row r="48" spans="1:83">
      <c r="A48" s="222"/>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c r="AE48" s="222"/>
      <c r="AF48" s="222"/>
      <c r="AG48" s="222"/>
      <c r="AH48" s="222"/>
      <c r="AI48" s="222"/>
      <c r="AJ48" s="222"/>
      <c r="AK48" s="222"/>
      <c r="AL48" s="222"/>
      <c r="AM48" s="222"/>
      <c r="AN48" s="222"/>
      <c r="AO48" s="222"/>
      <c r="AP48" s="222"/>
      <c r="AQ48" s="222"/>
      <c r="AR48" s="222"/>
      <c r="AS48" s="222"/>
      <c r="AT48" s="222"/>
      <c r="AU48" s="222"/>
      <c r="AV48" s="222"/>
      <c r="AW48" s="222"/>
      <c r="AX48" s="222"/>
    </row>
    <row r="49" spans="1:50">
      <c r="A49" s="222"/>
      <c r="B49" s="222"/>
      <c r="C49" s="222"/>
      <c r="D49" s="222"/>
      <c r="E49" s="222"/>
      <c r="F49" s="222"/>
      <c r="G49" s="222"/>
      <c r="H49" s="222"/>
      <c r="I49" s="222"/>
      <c r="J49" s="222"/>
      <c r="K49" s="222"/>
      <c r="L49" s="222"/>
      <c r="M49" s="222"/>
      <c r="N49" s="222"/>
      <c r="O49" s="222"/>
      <c r="P49" s="222"/>
      <c r="Q49" s="222"/>
      <c r="R49" s="222"/>
      <c r="S49" s="222"/>
      <c r="T49" s="222"/>
      <c r="U49" s="222"/>
      <c r="V49" s="222"/>
      <c r="W49" s="222"/>
      <c r="X49" s="222"/>
      <c r="Y49" s="222"/>
      <c r="Z49" s="222"/>
      <c r="AA49" s="222"/>
      <c r="AB49" s="222"/>
      <c r="AC49" s="222"/>
      <c r="AD49" s="222"/>
      <c r="AE49" s="222"/>
      <c r="AF49" s="222"/>
      <c r="AG49" s="222"/>
      <c r="AH49" s="222"/>
      <c r="AI49" s="222"/>
      <c r="AJ49" s="222"/>
      <c r="AK49" s="222"/>
      <c r="AL49" s="222"/>
      <c r="AM49" s="222"/>
      <c r="AN49" s="222"/>
      <c r="AO49" s="222"/>
      <c r="AP49" s="222"/>
      <c r="AQ49" s="222"/>
      <c r="AR49" s="222"/>
      <c r="AS49" s="222"/>
      <c r="AT49" s="222"/>
      <c r="AU49" s="222"/>
      <c r="AV49" s="222"/>
      <c r="AW49" s="222"/>
      <c r="AX49" s="222"/>
    </row>
    <row r="50" spans="1:50">
      <c r="A50" s="222"/>
      <c r="B50" s="222"/>
      <c r="C50" s="222"/>
      <c r="D50" s="222"/>
      <c r="E50" s="222"/>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c r="AK50" s="222"/>
      <c r="AL50" s="222"/>
      <c r="AM50" s="222"/>
      <c r="AN50" s="222"/>
      <c r="AO50" s="222"/>
      <c r="AP50" s="222"/>
      <c r="AQ50" s="222"/>
      <c r="AR50" s="222"/>
      <c r="AS50" s="222"/>
      <c r="AT50" s="222"/>
      <c r="AU50" s="222"/>
      <c r="AV50" s="222"/>
      <c r="AW50" s="222"/>
      <c r="AX50" s="222"/>
    </row>
    <row r="51" spans="1:50">
      <c r="A51" s="222"/>
      <c r="B51" s="222"/>
      <c r="C51" s="222"/>
      <c r="D51" s="222"/>
      <c r="E51" s="222"/>
      <c r="F51" s="222"/>
      <c r="G51" s="222"/>
      <c r="H51" s="222"/>
      <c r="I51" s="222"/>
      <c r="J51" s="222"/>
      <c r="K51" s="222"/>
      <c r="L51" s="222"/>
      <c r="M51" s="222"/>
      <c r="N51" s="222"/>
      <c r="O51" s="222"/>
      <c r="P51" s="222"/>
      <c r="Q51" s="222"/>
      <c r="R51" s="222"/>
      <c r="S51" s="222"/>
      <c r="T51" s="222"/>
      <c r="U51" s="222"/>
      <c r="V51" s="222"/>
      <c r="W51" s="222"/>
      <c r="X51" s="222"/>
      <c r="Y51" s="222"/>
      <c r="Z51" s="222"/>
      <c r="AA51" s="222"/>
      <c r="AB51" s="222"/>
      <c r="AC51" s="222"/>
      <c r="AD51" s="222"/>
      <c r="AE51" s="222"/>
      <c r="AF51" s="222"/>
      <c r="AG51" s="222"/>
      <c r="AH51" s="222"/>
      <c r="AI51" s="222"/>
      <c r="AJ51" s="222"/>
      <c r="AK51" s="222"/>
      <c r="AL51" s="222"/>
      <c r="AM51" s="222"/>
      <c r="AN51" s="222"/>
      <c r="AO51" s="222"/>
      <c r="AP51" s="222"/>
      <c r="AQ51" s="222"/>
      <c r="AR51" s="222"/>
      <c r="AS51" s="222"/>
      <c r="AT51" s="222"/>
      <c r="AU51" s="222"/>
      <c r="AV51" s="222"/>
      <c r="AW51" s="222"/>
      <c r="AX51" s="222"/>
    </row>
  </sheetData>
  <sheetProtection algorithmName="SHA-512" hashValue="kYUW9wBqzN9aWJy1q38ASvMhosbzc/GcXgVDWEI2us2emuBfvxTLNGKgSpitpIKKSybmU5ftnXUD+8GyfZ4cLQ==" saltValue="58nzgFb4qw6XvB68x+NRCw==" spinCount="100000" sheet="1" objects="1" scenarios="1"/>
  <customSheetViews>
    <customSheetView guid="{6EFEFCA0-BF14-457A-85A3-29CBF2A862A5}" scale="90" fitToPage="1" topLeftCell="A19">
      <selection activeCell="AA25" sqref="AA25:AE26"/>
      <pageMargins left="0.23622047244094491" right="0.23622047244094491" top="0.19685039370078741" bottom="0.19685039370078741" header="0" footer="0.11811023622047245"/>
      <printOptions horizontalCentered="1" verticalCentered="1"/>
      <pageSetup paperSize="9" scale="28" orientation="landscape" r:id="rId1"/>
      <headerFooter>
        <oddFooter>&amp;L&amp;F&amp;A&amp;RPage 5 of 61</oddFooter>
      </headerFooter>
    </customSheetView>
  </customSheetViews>
  <mergeCells count="40">
    <mergeCell ref="B28:AE28"/>
    <mergeCell ref="B29:AE29"/>
    <mergeCell ref="F38:O38"/>
    <mergeCell ref="AI38:AV38"/>
    <mergeCell ref="AI26:AV26"/>
    <mergeCell ref="F36:O36"/>
    <mergeCell ref="AI36:AV37"/>
    <mergeCell ref="F37:O37"/>
    <mergeCell ref="B25:F26"/>
    <mergeCell ref="G25:K26"/>
    <mergeCell ref="Q25:U26"/>
    <mergeCell ref="V25:Z26"/>
    <mergeCell ref="L25:P26"/>
    <mergeCell ref="AA25:AE26"/>
    <mergeCell ref="AI25:AV25"/>
    <mergeCell ref="D13:AE14"/>
    <mergeCell ref="B23:P23"/>
    <mergeCell ref="Q23:AE23"/>
    <mergeCell ref="B24:F24"/>
    <mergeCell ref="G24:K24"/>
    <mergeCell ref="L24:P24"/>
    <mergeCell ref="Q24:U24"/>
    <mergeCell ref="V24:Z24"/>
    <mergeCell ref="AA24:AE24"/>
    <mergeCell ref="AI5:AV5"/>
    <mergeCell ref="B6:G6"/>
    <mergeCell ref="H6:M6"/>
    <mergeCell ref="AI6:AV6"/>
    <mergeCell ref="AM7:AV7"/>
    <mergeCell ref="B7:G8"/>
    <mergeCell ref="H7:M8"/>
    <mergeCell ref="N7:S8"/>
    <mergeCell ref="T7:Y8"/>
    <mergeCell ref="Z7:AE8"/>
    <mergeCell ref="B10:AE11"/>
    <mergeCell ref="B4:AE4"/>
    <mergeCell ref="B5:M5"/>
    <mergeCell ref="N5:S6"/>
    <mergeCell ref="T5:Y6"/>
    <mergeCell ref="Z5:AE6"/>
  </mergeCells>
  <dataValidations count="1">
    <dataValidation type="whole" allowBlank="1" showInputMessage="1" showErrorMessage="1" errorTitle="GSHSP SY 2022-2023" error="Please enter valid number between 0-999." sqref="B7:Y8 B25:K26 Q25:Z26" xr:uid="{F9D3D276-4A78-4B79-9443-40B3651EE7CB}">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28" orientation="landscape" r:id="rId2"/>
  <headerFooter>
    <oddFooter>&amp;L&amp;F&amp;A&amp;RPage 5 of 61</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rgb="FFFFFF00"/>
    <pageSetUpPr fitToPage="1"/>
  </sheetPr>
  <dimension ref="A1:CE59"/>
  <sheetViews>
    <sheetView showGridLines="0" topLeftCell="A37" zoomScaleNormal="100" workbookViewId="0">
      <selection activeCell="Y59" sqref="Y59"/>
    </sheetView>
  </sheetViews>
  <sheetFormatPr defaultColWidth="9" defaultRowHeight="15.75"/>
  <cols>
    <col min="1" max="1" width="2.125" style="46" customWidth="1"/>
    <col min="2" max="64" width="3.625" style="46" customWidth="1"/>
    <col min="65" max="65" width="2.125" style="46" customWidth="1"/>
    <col min="66" max="89" width="3.125" style="46" customWidth="1"/>
    <col min="90" max="16384" width="9" style="46"/>
  </cols>
  <sheetData>
    <row r="1" spans="1:83"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2"/>
      <c r="BM1" s="222"/>
      <c r="BN1" s="222"/>
      <c r="BO1" s="222"/>
      <c r="BP1" s="222"/>
      <c r="BQ1" s="222"/>
      <c r="BR1" s="222"/>
      <c r="BS1" s="222"/>
      <c r="BT1" s="222"/>
      <c r="BU1" s="222"/>
      <c r="BV1" s="222"/>
      <c r="BW1" s="222"/>
      <c r="BX1" s="222"/>
      <c r="BY1" s="222"/>
      <c r="BZ1" s="222"/>
      <c r="CA1" s="222"/>
      <c r="CB1" s="222"/>
      <c r="CC1" s="222"/>
      <c r="CD1" s="222"/>
      <c r="CE1" s="222"/>
    </row>
    <row r="2" spans="1:83" s="49" customFormat="1" ht="17.25" customHeight="1" thickBot="1">
      <c r="A2" s="224"/>
      <c r="B2" s="275" t="s">
        <v>11374</v>
      </c>
      <c r="C2" s="283"/>
      <c r="D2" s="283"/>
      <c r="E2" s="283"/>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c r="BY2" s="224"/>
      <c r="BZ2" s="224"/>
      <c r="CA2" s="224"/>
      <c r="CB2" s="224"/>
      <c r="CC2" s="224"/>
      <c r="CD2" s="224"/>
      <c r="CE2" s="224"/>
    </row>
    <row r="3" spans="1:83" ht="13.7" customHeight="1" thickBot="1">
      <c r="A3" s="222"/>
      <c r="B3" s="2120" t="s">
        <v>38</v>
      </c>
      <c r="C3" s="2121"/>
      <c r="D3" s="2121"/>
      <c r="E3" s="2121"/>
      <c r="F3" s="2121"/>
      <c r="G3" s="2121"/>
      <c r="H3" s="2121"/>
      <c r="I3" s="2121"/>
      <c r="J3" s="2121"/>
      <c r="K3" s="2121"/>
      <c r="L3" s="2122"/>
      <c r="M3" s="2126" t="s">
        <v>172</v>
      </c>
      <c r="N3" s="2127"/>
      <c r="O3" s="2127"/>
      <c r="P3" s="2127"/>
      <c r="Q3" s="2127"/>
      <c r="R3" s="2127"/>
      <c r="S3" s="2127"/>
      <c r="T3" s="2127"/>
      <c r="U3" s="2127"/>
      <c r="V3" s="2127"/>
      <c r="W3" s="2127"/>
      <c r="X3" s="2127"/>
      <c r="Y3" s="2127"/>
      <c r="Z3" s="2127"/>
      <c r="AA3" s="2127"/>
      <c r="AB3" s="2127"/>
      <c r="AC3" s="2127"/>
      <c r="AD3" s="2127"/>
      <c r="AE3" s="2127"/>
      <c r="AF3" s="2127"/>
      <c r="AG3" s="2127"/>
      <c r="AH3" s="2127"/>
      <c r="AI3" s="2127"/>
      <c r="AJ3" s="2127"/>
      <c r="AK3" s="2127"/>
      <c r="AL3" s="2127"/>
      <c r="AM3" s="2127"/>
      <c r="AN3" s="2127"/>
      <c r="AO3" s="2127"/>
      <c r="AP3" s="2127"/>
      <c r="AQ3" s="2127"/>
      <c r="AR3" s="2127"/>
      <c r="AS3" s="2127"/>
      <c r="AT3" s="2127"/>
      <c r="AU3" s="2127"/>
      <c r="AV3" s="2127"/>
      <c r="AW3" s="2127"/>
      <c r="AX3" s="2127"/>
      <c r="AY3" s="2127"/>
      <c r="AZ3" s="2127"/>
      <c r="BA3" s="2127"/>
      <c r="BB3" s="2127"/>
      <c r="BC3" s="2127"/>
      <c r="BD3" s="2127"/>
      <c r="BE3" s="2127"/>
      <c r="BF3" s="2127"/>
      <c r="BG3" s="2127"/>
      <c r="BH3" s="2127"/>
      <c r="BI3" s="2127"/>
      <c r="BJ3" s="2127"/>
      <c r="BK3" s="2127"/>
      <c r="BL3" s="2128"/>
      <c r="BM3" s="222"/>
      <c r="BN3" s="222"/>
      <c r="BO3" s="222"/>
      <c r="BP3" s="222"/>
      <c r="BQ3" s="222"/>
      <c r="BR3" s="222"/>
      <c r="BS3" s="222"/>
      <c r="BT3" s="222"/>
      <c r="BU3" s="222"/>
      <c r="BV3" s="222"/>
      <c r="BW3" s="222"/>
      <c r="BX3" s="222"/>
      <c r="BY3" s="222"/>
      <c r="BZ3" s="222"/>
      <c r="CA3" s="222"/>
      <c r="CB3" s="222"/>
      <c r="CC3" s="222"/>
      <c r="CD3" s="222"/>
      <c r="CE3" s="222"/>
    </row>
    <row r="4" spans="1:83" ht="16.5" thickBot="1">
      <c r="A4" s="222"/>
      <c r="B4" s="2123"/>
      <c r="C4" s="2124"/>
      <c r="D4" s="2124"/>
      <c r="E4" s="2124"/>
      <c r="F4" s="2124"/>
      <c r="G4" s="2124"/>
      <c r="H4" s="2124"/>
      <c r="I4" s="2124"/>
      <c r="J4" s="2124"/>
      <c r="K4" s="2124"/>
      <c r="L4" s="2125"/>
      <c r="M4" s="2129" t="s">
        <v>173</v>
      </c>
      <c r="N4" s="2130"/>
      <c r="O4" s="2131"/>
      <c r="P4" s="2135" t="s">
        <v>174</v>
      </c>
      <c r="Q4" s="2136"/>
      <c r="R4" s="2136"/>
      <c r="S4" s="2136"/>
      <c r="T4" s="2136"/>
      <c r="U4" s="2136"/>
      <c r="V4" s="2136"/>
      <c r="W4" s="2136"/>
      <c r="X4" s="2136"/>
      <c r="Y4" s="2136"/>
      <c r="Z4" s="2136"/>
      <c r="AA4" s="2136"/>
      <c r="AB4" s="2136"/>
      <c r="AC4" s="2136"/>
      <c r="AD4" s="2136"/>
      <c r="AE4" s="2136"/>
      <c r="AF4" s="2136"/>
      <c r="AG4" s="2136"/>
      <c r="AH4" s="2136"/>
      <c r="AI4" s="2136"/>
      <c r="AJ4" s="2136"/>
      <c r="AK4" s="2136"/>
      <c r="AL4" s="2136"/>
      <c r="AM4" s="2136"/>
      <c r="AN4" s="2136"/>
      <c r="AO4" s="2136"/>
      <c r="AP4" s="2136"/>
      <c r="AQ4" s="2136"/>
      <c r="AR4" s="2136"/>
      <c r="AS4" s="2136"/>
      <c r="AT4" s="2137"/>
      <c r="AU4" s="2138" t="s">
        <v>175</v>
      </c>
      <c r="AV4" s="2138"/>
      <c r="AW4" s="2138"/>
      <c r="AX4" s="2138"/>
      <c r="AY4" s="2138"/>
      <c r="AZ4" s="2138"/>
      <c r="BA4" s="2138"/>
      <c r="BB4" s="2138"/>
      <c r="BC4" s="2139"/>
      <c r="BD4" s="2138" t="s">
        <v>1096</v>
      </c>
      <c r="BE4" s="2138"/>
      <c r="BF4" s="2138"/>
      <c r="BG4" s="2138"/>
      <c r="BH4" s="2138"/>
      <c r="BI4" s="2138"/>
      <c r="BJ4" s="2138"/>
      <c r="BK4" s="2138"/>
      <c r="BL4" s="2139"/>
      <c r="BM4" s="222"/>
      <c r="BN4" s="222"/>
      <c r="BO4" s="222"/>
      <c r="BP4" s="222"/>
      <c r="BQ4" s="222"/>
      <c r="BR4" s="222"/>
      <c r="BS4" s="222"/>
      <c r="BT4" s="222"/>
      <c r="BU4" s="222"/>
      <c r="BV4" s="222"/>
      <c r="BW4" s="222"/>
      <c r="BX4" s="222"/>
      <c r="BY4" s="222"/>
      <c r="BZ4" s="222"/>
      <c r="CA4" s="222"/>
      <c r="CB4" s="222"/>
      <c r="CC4" s="222"/>
      <c r="CD4" s="222"/>
      <c r="CE4" s="222"/>
    </row>
    <row r="5" spans="1:83">
      <c r="A5" s="222"/>
      <c r="B5" s="2123"/>
      <c r="C5" s="2124"/>
      <c r="D5" s="2124"/>
      <c r="E5" s="2124"/>
      <c r="F5" s="2124"/>
      <c r="G5" s="2124"/>
      <c r="H5" s="2124"/>
      <c r="I5" s="2124"/>
      <c r="J5" s="2124"/>
      <c r="K5" s="2124"/>
      <c r="L5" s="2125"/>
      <c r="M5" s="2132"/>
      <c r="N5" s="2133"/>
      <c r="O5" s="2134"/>
      <c r="P5" s="2138" t="s">
        <v>1090</v>
      </c>
      <c r="Q5" s="2138"/>
      <c r="R5" s="2138"/>
      <c r="S5" s="2138"/>
      <c r="T5" s="2138"/>
      <c r="U5" s="2138"/>
      <c r="V5" s="2138"/>
      <c r="W5" s="2138"/>
      <c r="X5" s="2144"/>
      <c r="Y5" s="2138" t="s">
        <v>176</v>
      </c>
      <c r="Z5" s="2138"/>
      <c r="AA5" s="2146"/>
      <c r="AB5" s="2149" t="s">
        <v>1091</v>
      </c>
      <c r="AC5" s="2138"/>
      <c r="AD5" s="2144"/>
      <c r="AE5" s="2149" t="s">
        <v>177</v>
      </c>
      <c r="AF5" s="2138"/>
      <c r="AG5" s="2138"/>
      <c r="AH5" s="2138"/>
      <c r="AI5" s="2138"/>
      <c r="AJ5" s="2138"/>
      <c r="AK5" s="2138"/>
      <c r="AL5" s="2138"/>
      <c r="AM5" s="2138"/>
      <c r="AN5" s="2138"/>
      <c r="AO5" s="2138"/>
      <c r="AP5" s="2138"/>
      <c r="AQ5" s="2152"/>
      <c r="AR5" s="2130" t="s">
        <v>1092</v>
      </c>
      <c r="AS5" s="2130"/>
      <c r="AT5" s="2131"/>
      <c r="AU5" s="2140"/>
      <c r="AV5" s="2140"/>
      <c r="AW5" s="2140"/>
      <c r="AX5" s="2140"/>
      <c r="AY5" s="2140"/>
      <c r="AZ5" s="2140"/>
      <c r="BA5" s="2140"/>
      <c r="BB5" s="2140"/>
      <c r="BC5" s="2141"/>
      <c r="BD5" s="2140"/>
      <c r="BE5" s="2140"/>
      <c r="BF5" s="2140"/>
      <c r="BG5" s="2140"/>
      <c r="BH5" s="2140"/>
      <c r="BI5" s="2140"/>
      <c r="BJ5" s="2140"/>
      <c r="BK5" s="2140"/>
      <c r="BL5" s="2141"/>
      <c r="BM5" s="222"/>
      <c r="BN5" s="222"/>
      <c r="BO5" s="222"/>
      <c r="BP5" s="222"/>
      <c r="BQ5" s="222"/>
      <c r="BR5" s="222"/>
      <c r="BS5" s="222"/>
      <c r="BT5" s="222"/>
      <c r="BU5" s="222"/>
      <c r="BV5" s="222"/>
      <c r="BW5" s="222"/>
      <c r="BX5" s="222"/>
      <c r="BY5" s="222"/>
      <c r="BZ5" s="222"/>
      <c r="CA5" s="222"/>
      <c r="CB5" s="222"/>
      <c r="CC5" s="222"/>
      <c r="CD5" s="222"/>
      <c r="CE5" s="222"/>
    </row>
    <row r="6" spans="1:83" ht="19.5" customHeight="1">
      <c r="A6" s="222"/>
      <c r="B6" s="2123"/>
      <c r="C6" s="2124"/>
      <c r="D6" s="2124"/>
      <c r="E6" s="2124"/>
      <c r="F6" s="2124"/>
      <c r="G6" s="2124"/>
      <c r="H6" s="2124"/>
      <c r="I6" s="2124"/>
      <c r="J6" s="2124"/>
      <c r="K6" s="2124"/>
      <c r="L6" s="2125"/>
      <c r="M6" s="2132"/>
      <c r="N6" s="2133"/>
      <c r="O6" s="2134"/>
      <c r="P6" s="2142"/>
      <c r="Q6" s="2142"/>
      <c r="R6" s="2142"/>
      <c r="S6" s="2142"/>
      <c r="T6" s="2142"/>
      <c r="U6" s="2142"/>
      <c r="V6" s="2142"/>
      <c r="W6" s="2142"/>
      <c r="X6" s="2145"/>
      <c r="Y6" s="2147"/>
      <c r="Z6" s="2147"/>
      <c r="AA6" s="2148"/>
      <c r="AB6" s="2150"/>
      <c r="AC6" s="2140"/>
      <c r="AD6" s="2151"/>
      <c r="AE6" s="2153" t="s">
        <v>178</v>
      </c>
      <c r="AF6" s="2153"/>
      <c r="AG6" s="2153"/>
      <c r="AH6" s="2155" t="s">
        <v>179</v>
      </c>
      <c r="AI6" s="2156"/>
      <c r="AJ6" s="2157"/>
      <c r="AK6" s="2155" t="s">
        <v>180</v>
      </c>
      <c r="AL6" s="2156"/>
      <c r="AM6" s="2156"/>
      <c r="AN6" s="2160"/>
      <c r="AO6" s="2162" t="s">
        <v>42</v>
      </c>
      <c r="AP6" s="2163"/>
      <c r="AQ6" s="2164"/>
      <c r="AR6" s="2133"/>
      <c r="AS6" s="2133"/>
      <c r="AT6" s="2134"/>
      <c r="AU6" s="2142"/>
      <c r="AV6" s="2142"/>
      <c r="AW6" s="2142"/>
      <c r="AX6" s="2142"/>
      <c r="AY6" s="2142"/>
      <c r="AZ6" s="2142"/>
      <c r="BA6" s="2142"/>
      <c r="BB6" s="2142"/>
      <c r="BC6" s="2143"/>
      <c r="BD6" s="2142"/>
      <c r="BE6" s="2142"/>
      <c r="BF6" s="2142"/>
      <c r="BG6" s="2142"/>
      <c r="BH6" s="2142"/>
      <c r="BI6" s="2142"/>
      <c r="BJ6" s="2142"/>
      <c r="BK6" s="2142"/>
      <c r="BL6" s="2143"/>
      <c r="BM6" s="222"/>
      <c r="BN6" s="222"/>
      <c r="BO6" s="222"/>
      <c r="BP6" s="222"/>
      <c r="BQ6" s="222"/>
      <c r="BR6" s="222"/>
      <c r="BS6" s="222"/>
      <c r="BT6" s="222"/>
      <c r="BU6" s="222"/>
      <c r="BV6" s="222"/>
      <c r="BW6" s="222"/>
      <c r="BX6" s="222"/>
      <c r="BY6" s="222"/>
      <c r="BZ6" s="222"/>
      <c r="CA6" s="222"/>
      <c r="CB6" s="222"/>
      <c r="CC6" s="222"/>
      <c r="CD6" s="222"/>
      <c r="CE6" s="222"/>
    </row>
    <row r="7" spans="1:83" ht="21" customHeight="1">
      <c r="A7" s="222"/>
      <c r="B7" s="2123"/>
      <c r="C7" s="2124"/>
      <c r="D7" s="2124"/>
      <c r="E7" s="2124"/>
      <c r="F7" s="2124"/>
      <c r="G7" s="2124"/>
      <c r="H7" s="2124"/>
      <c r="I7" s="2124"/>
      <c r="J7" s="2124"/>
      <c r="K7" s="2124"/>
      <c r="L7" s="2125"/>
      <c r="M7" s="2132"/>
      <c r="N7" s="2133"/>
      <c r="O7" s="2134"/>
      <c r="P7" s="2165" t="s">
        <v>45</v>
      </c>
      <c r="Q7" s="2166"/>
      <c r="R7" s="2167"/>
      <c r="S7" s="2169" t="s">
        <v>46</v>
      </c>
      <c r="T7" s="2166"/>
      <c r="U7" s="2170"/>
      <c r="V7" s="2102" t="s">
        <v>42</v>
      </c>
      <c r="W7" s="2103"/>
      <c r="X7" s="2172"/>
      <c r="Y7" s="2147"/>
      <c r="Z7" s="2147"/>
      <c r="AA7" s="2148"/>
      <c r="AB7" s="2150"/>
      <c r="AC7" s="2140"/>
      <c r="AD7" s="2151"/>
      <c r="AE7" s="2154"/>
      <c r="AF7" s="2154"/>
      <c r="AG7" s="2154"/>
      <c r="AH7" s="2158"/>
      <c r="AI7" s="2133"/>
      <c r="AJ7" s="2159"/>
      <c r="AK7" s="2158"/>
      <c r="AL7" s="2133"/>
      <c r="AM7" s="2133"/>
      <c r="AN7" s="2161"/>
      <c r="AO7" s="2105" t="s">
        <v>1093</v>
      </c>
      <c r="AP7" s="2106"/>
      <c r="AQ7" s="2110"/>
      <c r="AR7" s="2133"/>
      <c r="AS7" s="2133"/>
      <c r="AT7" s="2134"/>
      <c r="AU7" s="2165" t="s">
        <v>45</v>
      </c>
      <c r="AV7" s="2166"/>
      <c r="AW7" s="2167"/>
      <c r="AX7" s="2169" t="s">
        <v>46</v>
      </c>
      <c r="AY7" s="2166"/>
      <c r="AZ7" s="2170"/>
      <c r="BA7" s="2102" t="s">
        <v>42</v>
      </c>
      <c r="BB7" s="2103"/>
      <c r="BC7" s="2104"/>
      <c r="BD7" s="2173" t="s">
        <v>45</v>
      </c>
      <c r="BE7" s="2103"/>
      <c r="BF7" s="2172"/>
      <c r="BG7" s="2174" t="s">
        <v>46</v>
      </c>
      <c r="BH7" s="2103"/>
      <c r="BI7" s="2175"/>
      <c r="BJ7" s="2102" t="s">
        <v>42</v>
      </c>
      <c r="BK7" s="2103"/>
      <c r="BL7" s="2104"/>
      <c r="BM7" s="222"/>
      <c r="BN7" s="222"/>
      <c r="BO7" s="222"/>
      <c r="BP7" s="222"/>
      <c r="BQ7" s="222"/>
      <c r="BR7" s="222"/>
      <c r="BS7" s="222"/>
      <c r="BT7" s="222"/>
      <c r="BU7" s="222"/>
      <c r="BV7" s="222"/>
      <c r="BW7" s="222"/>
      <c r="BX7" s="222"/>
      <c r="BY7" s="222"/>
      <c r="BZ7" s="222"/>
      <c r="CA7" s="222"/>
      <c r="CB7" s="222"/>
      <c r="CC7" s="222"/>
      <c r="CD7" s="222"/>
      <c r="CE7" s="222"/>
    </row>
    <row r="8" spans="1:83" ht="24" customHeight="1">
      <c r="A8" s="222"/>
      <c r="B8" s="2123"/>
      <c r="C8" s="2124"/>
      <c r="D8" s="2124"/>
      <c r="E8" s="2124"/>
      <c r="F8" s="2124"/>
      <c r="G8" s="2124"/>
      <c r="H8" s="2124"/>
      <c r="I8" s="2124"/>
      <c r="J8" s="2124"/>
      <c r="K8" s="2124"/>
      <c r="L8" s="2125"/>
      <c r="M8" s="2132"/>
      <c r="N8" s="2133"/>
      <c r="O8" s="2134"/>
      <c r="P8" s="2168"/>
      <c r="Q8" s="2140"/>
      <c r="R8" s="2151"/>
      <c r="S8" s="2150"/>
      <c r="T8" s="2140"/>
      <c r="U8" s="2171"/>
      <c r="V8" s="2105" t="s">
        <v>1094</v>
      </c>
      <c r="W8" s="2106"/>
      <c r="X8" s="2107"/>
      <c r="Y8" s="2147"/>
      <c r="Z8" s="2147"/>
      <c r="AA8" s="2148"/>
      <c r="AB8" s="2150"/>
      <c r="AC8" s="2140"/>
      <c r="AD8" s="2151"/>
      <c r="AE8" s="2154"/>
      <c r="AF8" s="2154"/>
      <c r="AG8" s="2154"/>
      <c r="AH8" s="2158"/>
      <c r="AI8" s="2133"/>
      <c r="AJ8" s="2159"/>
      <c r="AK8" s="2158"/>
      <c r="AL8" s="2133"/>
      <c r="AM8" s="2133"/>
      <c r="AN8" s="2161"/>
      <c r="AO8" s="2105"/>
      <c r="AP8" s="2106"/>
      <c r="AQ8" s="2110"/>
      <c r="AR8" s="2133"/>
      <c r="AS8" s="2133"/>
      <c r="AT8" s="2134"/>
      <c r="AU8" s="2168"/>
      <c r="AV8" s="2140"/>
      <c r="AW8" s="2151"/>
      <c r="AX8" s="2150"/>
      <c r="AY8" s="2140"/>
      <c r="AZ8" s="2171"/>
      <c r="BA8" s="2105" t="s">
        <v>1095</v>
      </c>
      <c r="BB8" s="2106"/>
      <c r="BC8" s="2108"/>
      <c r="BD8" s="2109" t="s">
        <v>181</v>
      </c>
      <c r="BE8" s="2106"/>
      <c r="BF8" s="2107"/>
      <c r="BG8" s="2106" t="s">
        <v>182</v>
      </c>
      <c r="BH8" s="2106"/>
      <c r="BI8" s="2110"/>
      <c r="BJ8" s="2105" t="s">
        <v>183</v>
      </c>
      <c r="BK8" s="2106"/>
      <c r="BL8" s="2108"/>
      <c r="BM8" s="222"/>
      <c r="BN8" s="222"/>
      <c r="BO8" s="222"/>
      <c r="BP8" s="222"/>
      <c r="BQ8" s="222"/>
      <c r="BR8" s="222"/>
      <c r="BS8" s="222"/>
      <c r="BT8" s="222"/>
      <c r="BU8" s="222"/>
      <c r="BV8" s="222"/>
      <c r="BW8" s="222"/>
      <c r="BX8" s="222"/>
      <c r="BY8" s="222"/>
      <c r="BZ8" s="222"/>
      <c r="CA8" s="222"/>
      <c r="CB8" s="222"/>
      <c r="CC8" s="222"/>
      <c r="CD8" s="222"/>
      <c r="CE8" s="222"/>
    </row>
    <row r="9" spans="1:83" s="30" customFormat="1" ht="12" customHeight="1" thickBot="1">
      <c r="A9" s="284"/>
      <c r="B9" s="2111" t="s">
        <v>184</v>
      </c>
      <c r="C9" s="2112"/>
      <c r="D9" s="2112"/>
      <c r="E9" s="2112"/>
      <c r="F9" s="2112"/>
      <c r="G9" s="2112"/>
      <c r="H9" s="2112"/>
      <c r="I9" s="2112"/>
      <c r="J9" s="2112"/>
      <c r="K9" s="2112"/>
      <c r="L9" s="2113"/>
      <c r="M9" s="2111" t="s">
        <v>185</v>
      </c>
      <c r="N9" s="2112"/>
      <c r="O9" s="2113"/>
      <c r="P9" s="2111" t="s">
        <v>186</v>
      </c>
      <c r="Q9" s="2112"/>
      <c r="R9" s="2112"/>
      <c r="S9" s="2114" t="s">
        <v>187</v>
      </c>
      <c r="T9" s="2112"/>
      <c r="U9" s="2115"/>
      <c r="V9" s="2112" t="s">
        <v>188</v>
      </c>
      <c r="W9" s="2112"/>
      <c r="X9" s="2116"/>
      <c r="Y9" s="2112" t="s">
        <v>189</v>
      </c>
      <c r="Z9" s="2112"/>
      <c r="AA9" s="2116"/>
      <c r="AB9" s="2114" t="s">
        <v>190</v>
      </c>
      <c r="AC9" s="2112"/>
      <c r="AD9" s="2116"/>
      <c r="AE9" s="2114" t="s">
        <v>191</v>
      </c>
      <c r="AF9" s="2112"/>
      <c r="AG9" s="2112"/>
      <c r="AH9" s="2114" t="s">
        <v>192</v>
      </c>
      <c r="AI9" s="2112"/>
      <c r="AJ9" s="2116"/>
      <c r="AK9" s="2114" t="s">
        <v>193</v>
      </c>
      <c r="AL9" s="2112"/>
      <c r="AM9" s="2112"/>
      <c r="AN9" s="2115"/>
      <c r="AO9" s="2117" t="s">
        <v>194</v>
      </c>
      <c r="AP9" s="2112"/>
      <c r="AQ9" s="2115"/>
      <c r="AR9" s="2118" t="s">
        <v>195</v>
      </c>
      <c r="AS9" s="2119"/>
      <c r="AT9" s="2113"/>
      <c r="AU9" s="2111" t="s">
        <v>196</v>
      </c>
      <c r="AV9" s="2112"/>
      <c r="AW9" s="2116"/>
      <c r="AX9" s="2114" t="s">
        <v>197</v>
      </c>
      <c r="AY9" s="2112"/>
      <c r="AZ9" s="2115"/>
      <c r="BA9" s="2112" t="s">
        <v>198</v>
      </c>
      <c r="BB9" s="2112"/>
      <c r="BC9" s="2113"/>
      <c r="BD9" s="2111" t="s">
        <v>199</v>
      </c>
      <c r="BE9" s="2112"/>
      <c r="BF9" s="2116"/>
      <c r="BG9" s="2112" t="s">
        <v>200</v>
      </c>
      <c r="BH9" s="2112"/>
      <c r="BI9" s="2115"/>
      <c r="BJ9" s="2112" t="s">
        <v>201</v>
      </c>
      <c r="BK9" s="2112"/>
      <c r="BL9" s="2113"/>
      <c r="BM9" s="284"/>
      <c r="BN9" s="284"/>
      <c r="BO9" s="284"/>
      <c r="BP9" s="284"/>
      <c r="BQ9" s="284"/>
      <c r="BR9" s="284"/>
      <c r="BS9" s="284"/>
      <c r="BT9" s="284"/>
      <c r="BU9" s="284"/>
      <c r="BV9" s="284"/>
      <c r="BW9" s="284"/>
      <c r="BX9" s="284"/>
      <c r="BY9" s="284"/>
      <c r="BZ9" s="284"/>
      <c r="CA9" s="284"/>
      <c r="CB9" s="284"/>
      <c r="CC9" s="284"/>
      <c r="CD9" s="284"/>
      <c r="CE9" s="284"/>
    </row>
    <row r="10" spans="1:83" s="49" customFormat="1" ht="21" customHeight="1">
      <c r="A10" s="224"/>
      <c r="B10" s="285"/>
      <c r="C10" s="286" t="s">
        <v>202</v>
      </c>
      <c r="D10" s="286"/>
      <c r="E10" s="286"/>
      <c r="F10" s="286"/>
      <c r="G10" s="286"/>
      <c r="H10" s="286"/>
      <c r="I10" s="286"/>
      <c r="J10" s="286"/>
      <c r="K10" s="286"/>
      <c r="L10" s="287"/>
      <c r="M10" s="2091">
        <v>0</v>
      </c>
      <c r="N10" s="2092"/>
      <c r="O10" s="2093"/>
      <c r="P10" s="2091">
        <v>0</v>
      </c>
      <c r="Q10" s="2092"/>
      <c r="R10" s="2094"/>
      <c r="S10" s="2095">
        <v>0</v>
      </c>
      <c r="T10" s="2092"/>
      <c r="U10" s="2096"/>
      <c r="V10" s="2097">
        <f>SUM(P10:U10)</f>
        <v>0</v>
      </c>
      <c r="W10" s="2098"/>
      <c r="X10" s="2099"/>
      <c r="Y10" s="2095">
        <v>0</v>
      </c>
      <c r="Z10" s="2092"/>
      <c r="AA10" s="2094"/>
      <c r="AB10" s="2095">
        <v>0</v>
      </c>
      <c r="AC10" s="2092"/>
      <c r="AD10" s="2094"/>
      <c r="AE10" s="2095">
        <v>0</v>
      </c>
      <c r="AF10" s="2092"/>
      <c r="AG10" s="2094"/>
      <c r="AH10" s="2095">
        <v>0</v>
      </c>
      <c r="AI10" s="2092"/>
      <c r="AJ10" s="2094"/>
      <c r="AK10" s="2095">
        <v>0</v>
      </c>
      <c r="AL10" s="2092"/>
      <c r="AM10" s="2092"/>
      <c r="AN10" s="2096"/>
      <c r="AO10" s="2097">
        <f>SUM(AE10:AN10)</f>
        <v>0</v>
      </c>
      <c r="AP10" s="2098"/>
      <c r="AQ10" s="2100"/>
      <c r="AR10" s="2097">
        <f>SUM(V10:AD10)+AO10</f>
        <v>0</v>
      </c>
      <c r="AS10" s="2098"/>
      <c r="AT10" s="2101"/>
      <c r="AU10" s="2091">
        <v>0</v>
      </c>
      <c r="AV10" s="2092"/>
      <c r="AW10" s="2094"/>
      <c r="AX10" s="2095">
        <v>0</v>
      </c>
      <c r="AY10" s="2092"/>
      <c r="AZ10" s="2096"/>
      <c r="BA10" s="2098">
        <f>SUM(AU10:AZ10)</f>
        <v>0</v>
      </c>
      <c r="BB10" s="2098"/>
      <c r="BC10" s="2101"/>
      <c r="BD10" s="2188">
        <f>+personnel_nonteach_sp4_actual_m+personnel_nonteach_sp4_borrowed_m</f>
        <v>0</v>
      </c>
      <c r="BE10" s="2098"/>
      <c r="BF10" s="2099"/>
      <c r="BG10" s="2098">
        <f>+personnel_nonteach_sp4_actual_f+personnel_nonteach_sp4_borrowed_f</f>
        <v>0</v>
      </c>
      <c r="BH10" s="2098"/>
      <c r="BI10" s="2100"/>
      <c r="BJ10" s="2097">
        <f>SUM(BD10:BI10)</f>
        <v>0</v>
      </c>
      <c r="BK10" s="2098"/>
      <c r="BL10" s="2101"/>
      <c r="BM10" s="224"/>
      <c r="BN10" s="1710" t="str">
        <f>IF(AR10&lt;&gt;personnel_nonteach_sp4_psipop, "Column 12 shall tally with entries in Column 2.","")</f>
        <v/>
      </c>
      <c r="BO10" s="224"/>
      <c r="BP10" s="224"/>
      <c r="BQ10" s="224"/>
      <c r="BR10" s="224"/>
      <c r="BS10" s="224"/>
      <c r="BT10" s="224"/>
      <c r="BU10" s="224"/>
      <c r="BV10" s="224"/>
      <c r="BW10" s="224"/>
      <c r="BX10" s="224"/>
      <c r="BY10" s="224"/>
      <c r="BZ10" s="224"/>
      <c r="CA10" s="224"/>
      <c r="CB10" s="224"/>
      <c r="CC10" s="224"/>
      <c r="CD10" s="224"/>
      <c r="CE10" s="224"/>
    </row>
    <row r="11" spans="1:83" s="49" customFormat="1" ht="21" customHeight="1">
      <c r="A11" s="224"/>
      <c r="B11" s="288"/>
      <c r="C11" s="289" t="s">
        <v>203</v>
      </c>
      <c r="D11" s="289"/>
      <c r="E11" s="289"/>
      <c r="F11" s="289"/>
      <c r="G11" s="289"/>
      <c r="H11" s="289"/>
      <c r="I11" s="289"/>
      <c r="J11" s="289"/>
      <c r="K11" s="289"/>
      <c r="L11" s="290"/>
      <c r="M11" s="2055">
        <v>0</v>
      </c>
      <c r="N11" s="2056"/>
      <c r="O11" s="2073"/>
      <c r="P11" s="2055">
        <v>0</v>
      </c>
      <c r="Q11" s="2056"/>
      <c r="R11" s="2057"/>
      <c r="S11" s="2058">
        <v>0</v>
      </c>
      <c r="T11" s="2056"/>
      <c r="U11" s="2059"/>
      <c r="V11" s="2051">
        <f>SUM(P11:U11)</f>
        <v>0</v>
      </c>
      <c r="W11" s="2052"/>
      <c r="X11" s="2061"/>
      <c r="Y11" s="2058">
        <v>0</v>
      </c>
      <c r="Z11" s="2056"/>
      <c r="AA11" s="2057"/>
      <c r="AB11" s="2058">
        <v>0</v>
      </c>
      <c r="AC11" s="2056"/>
      <c r="AD11" s="2057"/>
      <c r="AE11" s="2058">
        <v>0</v>
      </c>
      <c r="AF11" s="2056"/>
      <c r="AG11" s="2057"/>
      <c r="AH11" s="2058">
        <v>0</v>
      </c>
      <c r="AI11" s="2056"/>
      <c r="AJ11" s="2057"/>
      <c r="AK11" s="2058">
        <v>0</v>
      </c>
      <c r="AL11" s="2056"/>
      <c r="AM11" s="2056"/>
      <c r="AN11" s="2059"/>
      <c r="AO11" s="2051">
        <f>SUM(AE11:AN11)</f>
        <v>0</v>
      </c>
      <c r="AP11" s="2052"/>
      <c r="AQ11" s="2053"/>
      <c r="AR11" s="2051">
        <f>SUM(V11:AD11)+AO11</f>
        <v>0</v>
      </c>
      <c r="AS11" s="2052"/>
      <c r="AT11" s="2054"/>
      <c r="AU11" s="2055">
        <v>0</v>
      </c>
      <c r="AV11" s="2056"/>
      <c r="AW11" s="2057"/>
      <c r="AX11" s="2058">
        <v>0</v>
      </c>
      <c r="AY11" s="2056"/>
      <c r="AZ11" s="2059"/>
      <c r="BA11" s="2052">
        <f t="shared" ref="BA11:BA46" si="0">SUM(AU11:AZ11)</f>
        <v>0</v>
      </c>
      <c r="BB11" s="2052"/>
      <c r="BC11" s="2054"/>
      <c r="BD11" s="2060">
        <f>+personnel_nonteach_sp3_borrowed_m+personnel_nonteach_sp3_actual_m</f>
        <v>0</v>
      </c>
      <c r="BE11" s="2052"/>
      <c r="BF11" s="2061"/>
      <c r="BG11" s="2052">
        <f>+personnel_nonteach_sp3_actual_f+personnel_nonteach_sp3_borrowed_f</f>
        <v>0</v>
      </c>
      <c r="BH11" s="2052"/>
      <c r="BI11" s="2053"/>
      <c r="BJ11" s="2051">
        <f t="shared" ref="BJ11:BJ46" si="1">SUM(BD11:BI11)</f>
        <v>0</v>
      </c>
      <c r="BK11" s="2052"/>
      <c r="BL11" s="2054"/>
      <c r="BM11" s="224"/>
      <c r="BN11" s="1710" t="str">
        <f>IF(AR11&lt;&gt;personnel_nonteach_sp3_psipop, "Column 12 shall tally with entries in Column 2.","")</f>
        <v/>
      </c>
      <c r="BO11" s="224"/>
      <c r="BP11" s="224"/>
      <c r="BQ11" s="224"/>
      <c r="BR11" s="224"/>
      <c r="BS11" s="224"/>
      <c r="BT11" s="224"/>
      <c r="BU11" s="224"/>
      <c r="BV11" s="224"/>
      <c r="BW11" s="224"/>
      <c r="BX11" s="224"/>
      <c r="BY11" s="224"/>
      <c r="BZ11" s="224"/>
      <c r="CA11" s="224"/>
      <c r="CB11" s="224"/>
      <c r="CC11" s="224"/>
      <c r="CD11" s="224"/>
      <c r="CE11" s="224"/>
    </row>
    <row r="12" spans="1:83" s="49" customFormat="1" ht="21" customHeight="1">
      <c r="A12" s="224"/>
      <c r="B12" s="288"/>
      <c r="C12" s="289" t="s">
        <v>204</v>
      </c>
      <c r="D12" s="289"/>
      <c r="E12" s="289"/>
      <c r="F12" s="289"/>
      <c r="G12" s="289"/>
      <c r="H12" s="289"/>
      <c r="I12" s="289"/>
      <c r="J12" s="289"/>
      <c r="K12" s="289"/>
      <c r="L12" s="290"/>
      <c r="M12" s="2055">
        <v>0</v>
      </c>
      <c r="N12" s="2056"/>
      <c r="O12" s="2073"/>
      <c r="P12" s="2055">
        <v>0</v>
      </c>
      <c r="Q12" s="2056"/>
      <c r="R12" s="2057"/>
      <c r="S12" s="2058">
        <v>0</v>
      </c>
      <c r="T12" s="2056"/>
      <c r="U12" s="2059"/>
      <c r="V12" s="2051">
        <f t="shared" ref="V12:V46" si="2">SUM(P12:U12)</f>
        <v>0</v>
      </c>
      <c r="W12" s="2052"/>
      <c r="X12" s="2061"/>
      <c r="Y12" s="2058">
        <v>0</v>
      </c>
      <c r="Z12" s="2056"/>
      <c r="AA12" s="2057"/>
      <c r="AB12" s="2058">
        <v>0</v>
      </c>
      <c r="AC12" s="2056"/>
      <c r="AD12" s="2057"/>
      <c r="AE12" s="2058">
        <v>0</v>
      </c>
      <c r="AF12" s="2056"/>
      <c r="AG12" s="2057"/>
      <c r="AH12" s="2058">
        <v>0</v>
      </c>
      <c r="AI12" s="2056"/>
      <c r="AJ12" s="2057"/>
      <c r="AK12" s="2058">
        <v>0</v>
      </c>
      <c r="AL12" s="2056"/>
      <c r="AM12" s="2056"/>
      <c r="AN12" s="2059"/>
      <c r="AO12" s="2051">
        <f>SUM(AE12:AN12)</f>
        <v>0</v>
      </c>
      <c r="AP12" s="2052"/>
      <c r="AQ12" s="2053"/>
      <c r="AR12" s="2051">
        <f>SUM(V12:AD12)+AO12</f>
        <v>0</v>
      </c>
      <c r="AS12" s="2052"/>
      <c r="AT12" s="2054"/>
      <c r="AU12" s="2055">
        <v>0</v>
      </c>
      <c r="AV12" s="2056"/>
      <c r="AW12" s="2057"/>
      <c r="AX12" s="2058">
        <v>0</v>
      </c>
      <c r="AY12" s="2056"/>
      <c r="AZ12" s="2059"/>
      <c r="BA12" s="2052">
        <f t="shared" si="0"/>
        <v>0</v>
      </c>
      <c r="BB12" s="2052"/>
      <c r="BC12" s="2054"/>
      <c r="BD12" s="2060">
        <f>+personnel_nonteach_sp2_actual_m+personnel_nonteach_sp2_borrowed_m</f>
        <v>0</v>
      </c>
      <c r="BE12" s="2052"/>
      <c r="BF12" s="2061"/>
      <c r="BG12" s="2052">
        <f>+personnel_nonteach_sp2_actual_f+personnel_nonteach_sp2_borrowed_f</f>
        <v>0</v>
      </c>
      <c r="BH12" s="2052"/>
      <c r="BI12" s="2053"/>
      <c r="BJ12" s="2051">
        <f t="shared" si="1"/>
        <v>0</v>
      </c>
      <c r="BK12" s="2052"/>
      <c r="BL12" s="2054"/>
      <c r="BM12" s="224"/>
      <c r="BN12" s="1710" t="str">
        <f>IF(AR12&lt;&gt;personnel_nonteach_sp2_psipop, "Column 12 shall tally with entries in Column 2.","")</f>
        <v/>
      </c>
      <c r="BO12" s="224"/>
      <c r="BP12" s="224"/>
      <c r="BQ12" s="224"/>
      <c r="BR12" s="224"/>
      <c r="BS12" s="224"/>
      <c r="BT12" s="224"/>
      <c r="BU12" s="224"/>
      <c r="BV12" s="224"/>
      <c r="BW12" s="224"/>
      <c r="BX12" s="224"/>
      <c r="BY12" s="224"/>
      <c r="BZ12" s="224"/>
      <c r="CA12" s="224"/>
      <c r="CB12" s="224"/>
      <c r="CC12" s="224"/>
      <c r="CD12" s="224"/>
      <c r="CE12" s="224"/>
    </row>
    <row r="13" spans="1:83" s="49" customFormat="1" ht="21" customHeight="1">
      <c r="A13" s="224"/>
      <c r="B13" s="291"/>
      <c r="C13" s="292" t="s">
        <v>205</v>
      </c>
      <c r="D13" s="292"/>
      <c r="E13" s="292"/>
      <c r="F13" s="292"/>
      <c r="G13" s="292"/>
      <c r="H13" s="292"/>
      <c r="I13" s="292"/>
      <c r="J13" s="292"/>
      <c r="K13" s="292"/>
      <c r="L13" s="293"/>
      <c r="M13" s="2077">
        <v>0</v>
      </c>
      <c r="N13" s="2078"/>
      <c r="O13" s="2079"/>
      <c r="P13" s="2077">
        <v>0</v>
      </c>
      <c r="Q13" s="2078"/>
      <c r="R13" s="2080"/>
      <c r="S13" s="2081">
        <v>0</v>
      </c>
      <c r="T13" s="2078"/>
      <c r="U13" s="2082"/>
      <c r="V13" s="2083">
        <f t="shared" si="2"/>
        <v>0</v>
      </c>
      <c r="W13" s="2084"/>
      <c r="X13" s="2085"/>
      <c r="Y13" s="2081">
        <v>0</v>
      </c>
      <c r="Z13" s="2078"/>
      <c r="AA13" s="2080"/>
      <c r="AB13" s="2081">
        <v>0</v>
      </c>
      <c r="AC13" s="2078"/>
      <c r="AD13" s="2080"/>
      <c r="AE13" s="2081">
        <v>0</v>
      </c>
      <c r="AF13" s="2078"/>
      <c r="AG13" s="2080"/>
      <c r="AH13" s="2081">
        <v>0</v>
      </c>
      <c r="AI13" s="2078"/>
      <c r="AJ13" s="2080"/>
      <c r="AK13" s="2081">
        <v>0</v>
      </c>
      <c r="AL13" s="2078"/>
      <c r="AM13" s="2078"/>
      <c r="AN13" s="2082"/>
      <c r="AO13" s="2083">
        <f t="shared" ref="AO13:AO46" si="3">SUM(AE13:AN13)</f>
        <v>0</v>
      </c>
      <c r="AP13" s="2084"/>
      <c r="AQ13" s="2086"/>
      <c r="AR13" s="2083">
        <f t="shared" ref="AR13:AR46" si="4">SUM(V13:AD13)+AO13</f>
        <v>0</v>
      </c>
      <c r="AS13" s="2084"/>
      <c r="AT13" s="2087"/>
      <c r="AU13" s="2077">
        <v>0</v>
      </c>
      <c r="AV13" s="2078"/>
      <c r="AW13" s="2080"/>
      <c r="AX13" s="2081">
        <v>0</v>
      </c>
      <c r="AY13" s="2078"/>
      <c r="AZ13" s="2082"/>
      <c r="BA13" s="2084">
        <f t="shared" si="0"/>
        <v>0</v>
      </c>
      <c r="BB13" s="2084"/>
      <c r="BC13" s="2087"/>
      <c r="BD13" s="2088">
        <f>+personnel_nonteach_sp1_actual_m+personnel_nonteach_sp1_borrowed_m</f>
        <v>0</v>
      </c>
      <c r="BE13" s="2084"/>
      <c r="BF13" s="2085"/>
      <c r="BG13" s="2084">
        <f>+personnel_nonteach_sp1_actual_f+personnel_nonteach_sp1_borrowed_f</f>
        <v>0</v>
      </c>
      <c r="BH13" s="2084"/>
      <c r="BI13" s="2086"/>
      <c r="BJ13" s="2083">
        <f t="shared" si="1"/>
        <v>0</v>
      </c>
      <c r="BK13" s="2084"/>
      <c r="BL13" s="2087"/>
      <c r="BM13" s="224"/>
      <c r="BN13" s="1710" t="str">
        <f>IF(AR13&lt;&gt;personnel_nonteach_sp1_psipop, "Column 12 shall tally with entries in Column 2.","")</f>
        <v/>
      </c>
      <c r="BO13" s="224"/>
      <c r="BP13" s="224"/>
      <c r="BQ13" s="224"/>
      <c r="BR13" s="224"/>
      <c r="BS13" s="224"/>
      <c r="BT13" s="224"/>
      <c r="BU13" s="224"/>
      <c r="BV13" s="224"/>
      <c r="BW13" s="224"/>
      <c r="BX13" s="224"/>
      <c r="BY13" s="224"/>
      <c r="BZ13" s="224"/>
      <c r="CA13" s="224"/>
      <c r="CB13" s="224"/>
      <c r="CC13" s="224"/>
      <c r="CD13" s="224"/>
      <c r="CE13" s="224"/>
    </row>
    <row r="14" spans="1:83" s="49" customFormat="1" ht="21" customHeight="1">
      <c r="A14" s="224"/>
      <c r="B14" s="285"/>
      <c r="C14" s="286" t="s">
        <v>206</v>
      </c>
      <c r="D14" s="286"/>
      <c r="E14" s="286"/>
      <c r="F14" s="286"/>
      <c r="G14" s="286"/>
      <c r="H14" s="286"/>
      <c r="I14" s="286"/>
      <c r="J14" s="286"/>
      <c r="K14" s="286"/>
      <c r="L14" s="287"/>
      <c r="M14" s="2047">
        <v>0</v>
      </c>
      <c r="N14" s="2041"/>
      <c r="O14" s="2048"/>
      <c r="P14" s="2047">
        <v>0</v>
      </c>
      <c r="Q14" s="2041"/>
      <c r="R14" s="2049"/>
      <c r="S14" s="2040">
        <v>0</v>
      </c>
      <c r="T14" s="2041"/>
      <c r="U14" s="2042"/>
      <c r="V14" s="2075">
        <f t="shared" si="2"/>
        <v>0</v>
      </c>
      <c r="W14" s="2044"/>
      <c r="X14" s="2045"/>
      <c r="Y14" s="2040">
        <v>0</v>
      </c>
      <c r="Z14" s="2041"/>
      <c r="AA14" s="2049"/>
      <c r="AB14" s="2040">
        <v>0</v>
      </c>
      <c r="AC14" s="2041"/>
      <c r="AD14" s="2049"/>
      <c r="AE14" s="2040">
        <v>0</v>
      </c>
      <c r="AF14" s="2041"/>
      <c r="AG14" s="2049"/>
      <c r="AH14" s="2040">
        <v>0</v>
      </c>
      <c r="AI14" s="2041"/>
      <c r="AJ14" s="2049"/>
      <c r="AK14" s="2040">
        <v>0</v>
      </c>
      <c r="AL14" s="2041"/>
      <c r="AM14" s="2041"/>
      <c r="AN14" s="2042"/>
      <c r="AO14" s="2075">
        <f t="shared" si="3"/>
        <v>0</v>
      </c>
      <c r="AP14" s="2044"/>
      <c r="AQ14" s="2046"/>
      <c r="AR14" s="2075">
        <f t="shared" si="4"/>
        <v>0</v>
      </c>
      <c r="AS14" s="2044"/>
      <c r="AT14" s="2076"/>
      <c r="AU14" s="2047">
        <v>0</v>
      </c>
      <c r="AV14" s="2041"/>
      <c r="AW14" s="2049"/>
      <c r="AX14" s="2040">
        <v>0</v>
      </c>
      <c r="AY14" s="2041"/>
      <c r="AZ14" s="2042"/>
      <c r="BA14" s="2044">
        <f t="shared" si="0"/>
        <v>0</v>
      </c>
      <c r="BB14" s="2044"/>
      <c r="BC14" s="2076"/>
      <c r="BD14" s="2043">
        <f>+personnel_nonteach_sap3_actual_m+personnel_nonteach_sap3_borrowed_m</f>
        <v>0</v>
      </c>
      <c r="BE14" s="2044"/>
      <c r="BF14" s="2045"/>
      <c r="BG14" s="2044">
        <f>+personnel_nonteach_sap3_actual_f+personnel_nonteach_sap3_borrowed_f</f>
        <v>0</v>
      </c>
      <c r="BH14" s="2044"/>
      <c r="BI14" s="2046"/>
      <c r="BJ14" s="2075">
        <f t="shared" si="1"/>
        <v>0</v>
      </c>
      <c r="BK14" s="2044"/>
      <c r="BL14" s="2076"/>
      <c r="BM14" s="224"/>
      <c r="BN14" s="1710" t="str">
        <f>IF(AR14&lt;&gt;personnel_nonteach_sap3_psipop, "Column 12 shall tally with entries in Column 2.","")</f>
        <v/>
      </c>
      <c r="BO14" s="224"/>
      <c r="BP14" s="224"/>
      <c r="BQ14" s="224"/>
      <c r="BR14" s="224"/>
      <c r="BS14" s="224"/>
      <c r="BT14" s="224"/>
      <c r="BU14" s="224"/>
      <c r="BV14" s="224"/>
      <c r="BW14" s="224"/>
      <c r="BX14" s="224"/>
      <c r="BY14" s="224"/>
      <c r="BZ14" s="224"/>
      <c r="CA14" s="224"/>
      <c r="CB14" s="224"/>
      <c r="CC14" s="224"/>
      <c r="CD14" s="224"/>
      <c r="CE14" s="224"/>
    </row>
    <row r="15" spans="1:83" s="49" customFormat="1" ht="21" customHeight="1">
      <c r="A15" s="224"/>
      <c r="B15" s="288"/>
      <c r="C15" s="289" t="s">
        <v>207</v>
      </c>
      <c r="D15" s="289"/>
      <c r="E15" s="289"/>
      <c r="F15" s="289"/>
      <c r="G15" s="289"/>
      <c r="H15" s="289"/>
      <c r="I15" s="289"/>
      <c r="J15" s="289"/>
      <c r="K15" s="289"/>
      <c r="L15" s="290"/>
      <c r="M15" s="2055">
        <v>0</v>
      </c>
      <c r="N15" s="2056"/>
      <c r="O15" s="2073"/>
      <c r="P15" s="2055">
        <v>0</v>
      </c>
      <c r="Q15" s="2056"/>
      <c r="R15" s="2057"/>
      <c r="S15" s="2058">
        <v>0</v>
      </c>
      <c r="T15" s="2056"/>
      <c r="U15" s="2059"/>
      <c r="V15" s="2051">
        <f t="shared" si="2"/>
        <v>0</v>
      </c>
      <c r="W15" s="2052"/>
      <c r="X15" s="2061"/>
      <c r="Y15" s="2058">
        <v>0</v>
      </c>
      <c r="Z15" s="2056"/>
      <c r="AA15" s="2057"/>
      <c r="AB15" s="2058">
        <v>0</v>
      </c>
      <c r="AC15" s="2056"/>
      <c r="AD15" s="2057"/>
      <c r="AE15" s="2058">
        <v>0</v>
      </c>
      <c r="AF15" s="2056"/>
      <c r="AG15" s="2057"/>
      <c r="AH15" s="2058">
        <v>0</v>
      </c>
      <c r="AI15" s="2056"/>
      <c r="AJ15" s="2057"/>
      <c r="AK15" s="2058">
        <v>0</v>
      </c>
      <c r="AL15" s="2056"/>
      <c r="AM15" s="2056"/>
      <c r="AN15" s="2059"/>
      <c r="AO15" s="2051">
        <f t="shared" si="3"/>
        <v>0</v>
      </c>
      <c r="AP15" s="2052"/>
      <c r="AQ15" s="2053"/>
      <c r="AR15" s="2051">
        <f t="shared" si="4"/>
        <v>0</v>
      </c>
      <c r="AS15" s="2052"/>
      <c r="AT15" s="2054"/>
      <c r="AU15" s="2055">
        <v>0</v>
      </c>
      <c r="AV15" s="2056"/>
      <c r="AW15" s="2057"/>
      <c r="AX15" s="2058">
        <v>0</v>
      </c>
      <c r="AY15" s="2056"/>
      <c r="AZ15" s="2059"/>
      <c r="BA15" s="2052">
        <f t="shared" si="0"/>
        <v>0</v>
      </c>
      <c r="BB15" s="2052"/>
      <c r="BC15" s="2054"/>
      <c r="BD15" s="2060">
        <f>+personnel_nonteach_sap2_actual_m+personnel_nonteach_sap2_borrowed_m</f>
        <v>0</v>
      </c>
      <c r="BE15" s="2052"/>
      <c r="BF15" s="2061"/>
      <c r="BG15" s="2052">
        <f>+personnel_nonteach_sap2_actual_f+personnel_nonteach_sap2_borrowed_f</f>
        <v>0</v>
      </c>
      <c r="BH15" s="2052"/>
      <c r="BI15" s="2053"/>
      <c r="BJ15" s="2051">
        <f t="shared" si="1"/>
        <v>0</v>
      </c>
      <c r="BK15" s="2052"/>
      <c r="BL15" s="2054"/>
      <c r="BM15" s="224"/>
      <c r="BN15" s="1710" t="str">
        <f>IF(AR15&lt;&gt;personnel_nonteach_sap2_psipop, "Column 12 shall tally with entries in Column 2.","")</f>
        <v/>
      </c>
      <c r="BO15" s="224"/>
      <c r="BP15" s="224"/>
      <c r="BQ15" s="224"/>
      <c r="BR15" s="224"/>
      <c r="BS15" s="224"/>
      <c r="BT15" s="224"/>
      <c r="BU15" s="224"/>
      <c r="BV15" s="224"/>
      <c r="BW15" s="224"/>
      <c r="BX15" s="224"/>
      <c r="BY15" s="224"/>
      <c r="BZ15" s="224"/>
      <c r="CA15" s="224"/>
      <c r="CB15" s="224"/>
      <c r="CC15" s="224"/>
      <c r="CD15" s="224"/>
      <c r="CE15" s="224"/>
    </row>
    <row r="16" spans="1:83" s="49" customFormat="1" ht="21" customHeight="1">
      <c r="A16" s="224"/>
      <c r="B16" s="291"/>
      <c r="C16" s="292" t="s">
        <v>208</v>
      </c>
      <c r="D16" s="292"/>
      <c r="E16" s="292"/>
      <c r="F16" s="292"/>
      <c r="G16" s="292"/>
      <c r="H16" s="292"/>
      <c r="I16" s="292"/>
      <c r="J16" s="292"/>
      <c r="K16" s="292"/>
      <c r="L16" s="293"/>
      <c r="M16" s="2066">
        <v>0</v>
      </c>
      <c r="N16" s="2067"/>
      <c r="O16" s="2074"/>
      <c r="P16" s="2066">
        <v>0</v>
      </c>
      <c r="Q16" s="2067"/>
      <c r="R16" s="2068"/>
      <c r="S16" s="2069">
        <v>0</v>
      </c>
      <c r="T16" s="2067"/>
      <c r="U16" s="2070"/>
      <c r="V16" s="2064">
        <f t="shared" si="2"/>
        <v>0</v>
      </c>
      <c r="W16" s="2062"/>
      <c r="X16" s="2072"/>
      <c r="Y16" s="2069">
        <v>0</v>
      </c>
      <c r="Z16" s="2067"/>
      <c r="AA16" s="2068"/>
      <c r="AB16" s="2069">
        <v>0</v>
      </c>
      <c r="AC16" s="2067"/>
      <c r="AD16" s="2068"/>
      <c r="AE16" s="2069">
        <v>0</v>
      </c>
      <c r="AF16" s="2067"/>
      <c r="AG16" s="2068"/>
      <c r="AH16" s="2069">
        <v>0</v>
      </c>
      <c r="AI16" s="2067"/>
      <c r="AJ16" s="2068"/>
      <c r="AK16" s="2069">
        <v>0</v>
      </c>
      <c r="AL16" s="2067"/>
      <c r="AM16" s="2067"/>
      <c r="AN16" s="2070"/>
      <c r="AO16" s="2064">
        <f t="shared" si="3"/>
        <v>0</v>
      </c>
      <c r="AP16" s="2062"/>
      <c r="AQ16" s="2063"/>
      <c r="AR16" s="2064">
        <f t="shared" si="4"/>
        <v>0</v>
      </c>
      <c r="AS16" s="2062"/>
      <c r="AT16" s="2065"/>
      <c r="AU16" s="2066">
        <v>0</v>
      </c>
      <c r="AV16" s="2067"/>
      <c r="AW16" s="2068"/>
      <c r="AX16" s="2069">
        <v>0</v>
      </c>
      <c r="AY16" s="2067"/>
      <c r="AZ16" s="2070"/>
      <c r="BA16" s="2062">
        <f t="shared" si="0"/>
        <v>0</v>
      </c>
      <c r="BB16" s="2062"/>
      <c r="BC16" s="2065"/>
      <c r="BD16" s="2071">
        <f>+personnel_nonteach_sap1_actual_m+personnel_nonteach_sap1_borrowed_m</f>
        <v>0</v>
      </c>
      <c r="BE16" s="2062"/>
      <c r="BF16" s="2072"/>
      <c r="BG16" s="2062">
        <f>+personnel_nonteach_sap1_actual_f+personnel_nonteach_sap1_borrowed_f</f>
        <v>0</v>
      </c>
      <c r="BH16" s="2062"/>
      <c r="BI16" s="2063"/>
      <c r="BJ16" s="2064">
        <f t="shared" si="1"/>
        <v>0</v>
      </c>
      <c r="BK16" s="2062"/>
      <c r="BL16" s="2065"/>
      <c r="BM16" s="224"/>
      <c r="BN16" s="1710" t="str">
        <f>IF(AR16&lt;&gt;personnel_nonteach_sap1_psipop, "Column 12 shall tally with entries in Column 2.","")</f>
        <v/>
      </c>
      <c r="BO16" s="224"/>
      <c r="BP16" s="224"/>
      <c r="BQ16" s="224"/>
      <c r="BR16" s="224"/>
      <c r="BS16" s="224"/>
      <c r="BT16" s="224"/>
      <c r="BU16" s="224"/>
      <c r="BV16" s="224"/>
      <c r="BW16" s="224"/>
      <c r="BX16" s="224"/>
      <c r="BY16" s="224"/>
      <c r="BZ16" s="224"/>
      <c r="CA16" s="224"/>
      <c r="CB16" s="224"/>
      <c r="CC16" s="224"/>
      <c r="CD16" s="224"/>
      <c r="CE16" s="224"/>
    </row>
    <row r="17" spans="1:83" s="49" customFormat="1" ht="21" customHeight="1">
      <c r="A17" s="224"/>
      <c r="B17" s="285"/>
      <c r="C17" s="286" t="s">
        <v>209</v>
      </c>
      <c r="D17" s="286"/>
      <c r="E17" s="286"/>
      <c r="F17" s="286"/>
      <c r="G17" s="286"/>
      <c r="H17" s="286"/>
      <c r="I17" s="286"/>
      <c r="J17" s="286"/>
      <c r="K17" s="286"/>
      <c r="L17" s="287"/>
      <c r="M17" s="2047">
        <v>0</v>
      </c>
      <c r="N17" s="2041"/>
      <c r="O17" s="2048"/>
      <c r="P17" s="2047">
        <v>0</v>
      </c>
      <c r="Q17" s="2041"/>
      <c r="R17" s="2049"/>
      <c r="S17" s="2040">
        <v>0</v>
      </c>
      <c r="T17" s="2041"/>
      <c r="U17" s="2042"/>
      <c r="V17" s="2075">
        <f t="shared" si="2"/>
        <v>0</v>
      </c>
      <c r="W17" s="2044"/>
      <c r="X17" s="2045"/>
      <c r="Y17" s="2040">
        <v>0</v>
      </c>
      <c r="Z17" s="2041"/>
      <c r="AA17" s="2049"/>
      <c r="AB17" s="2040">
        <v>0</v>
      </c>
      <c r="AC17" s="2041"/>
      <c r="AD17" s="2049"/>
      <c r="AE17" s="2040">
        <v>0</v>
      </c>
      <c r="AF17" s="2041"/>
      <c r="AG17" s="2049"/>
      <c r="AH17" s="2040">
        <v>0</v>
      </c>
      <c r="AI17" s="2041"/>
      <c r="AJ17" s="2049"/>
      <c r="AK17" s="2040">
        <v>0</v>
      </c>
      <c r="AL17" s="2041"/>
      <c r="AM17" s="2041"/>
      <c r="AN17" s="2042"/>
      <c r="AO17" s="2075">
        <f t="shared" si="3"/>
        <v>0</v>
      </c>
      <c r="AP17" s="2044"/>
      <c r="AQ17" s="2046"/>
      <c r="AR17" s="2075">
        <f t="shared" si="4"/>
        <v>0</v>
      </c>
      <c r="AS17" s="2044"/>
      <c r="AT17" s="2076"/>
      <c r="AU17" s="2047">
        <v>0</v>
      </c>
      <c r="AV17" s="2041"/>
      <c r="AW17" s="2049"/>
      <c r="AX17" s="2040">
        <v>0</v>
      </c>
      <c r="AY17" s="2041"/>
      <c r="AZ17" s="2042"/>
      <c r="BA17" s="2044">
        <f t="shared" si="0"/>
        <v>0</v>
      </c>
      <c r="BB17" s="2044"/>
      <c r="BC17" s="2076"/>
      <c r="BD17" s="2043">
        <f>+personnel_nonteach_ht6_actual_m+personnel_nonteach_ht6_borrowed_m</f>
        <v>0</v>
      </c>
      <c r="BE17" s="2044"/>
      <c r="BF17" s="2045"/>
      <c r="BG17" s="2044">
        <f>+personnel_nonteach_ht6_actual_f+personnel_nonteach_ht6_borrowed_f</f>
        <v>0</v>
      </c>
      <c r="BH17" s="2044"/>
      <c r="BI17" s="2046"/>
      <c r="BJ17" s="2075">
        <f t="shared" si="1"/>
        <v>0</v>
      </c>
      <c r="BK17" s="2044"/>
      <c r="BL17" s="2076"/>
      <c r="BM17" s="224"/>
      <c r="BN17" s="1710" t="str">
        <f>IF(AR17&lt;&gt;personnel_nonteach_ht6_psipop, "Column 12 shall tally with entries in Column 2.","")</f>
        <v/>
      </c>
      <c r="BO17" s="224"/>
      <c r="BP17" s="224"/>
      <c r="BQ17" s="224"/>
      <c r="BR17" s="224"/>
      <c r="BS17" s="224"/>
      <c r="BT17" s="224"/>
      <c r="BU17" s="224"/>
      <c r="BV17" s="224"/>
      <c r="BW17" s="224"/>
      <c r="BX17" s="224"/>
      <c r="BY17" s="224"/>
      <c r="BZ17" s="224"/>
      <c r="CA17" s="224"/>
      <c r="CB17" s="224"/>
      <c r="CC17" s="224"/>
      <c r="CD17" s="224"/>
      <c r="CE17" s="224"/>
    </row>
    <row r="18" spans="1:83" s="49" customFormat="1" ht="21" customHeight="1">
      <c r="A18" s="224"/>
      <c r="B18" s="288"/>
      <c r="C18" s="289" t="s">
        <v>210</v>
      </c>
      <c r="D18" s="289"/>
      <c r="E18" s="289"/>
      <c r="F18" s="289"/>
      <c r="G18" s="289"/>
      <c r="H18" s="289"/>
      <c r="I18" s="289"/>
      <c r="J18" s="289"/>
      <c r="K18" s="289"/>
      <c r="L18" s="290"/>
      <c r="M18" s="2055">
        <v>0</v>
      </c>
      <c r="N18" s="2056"/>
      <c r="O18" s="2073"/>
      <c r="P18" s="2055">
        <v>0</v>
      </c>
      <c r="Q18" s="2056"/>
      <c r="R18" s="2057"/>
      <c r="S18" s="2058">
        <v>0</v>
      </c>
      <c r="T18" s="2056"/>
      <c r="U18" s="2059"/>
      <c r="V18" s="2051">
        <f t="shared" si="2"/>
        <v>0</v>
      </c>
      <c r="W18" s="2052"/>
      <c r="X18" s="2061"/>
      <c r="Y18" s="2058">
        <v>0</v>
      </c>
      <c r="Z18" s="2056"/>
      <c r="AA18" s="2057"/>
      <c r="AB18" s="2058">
        <v>0</v>
      </c>
      <c r="AC18" s="2056"/>
      <c r="AD18" s="2057"/>
      <c r="AE18" s="2058">
        <v>0</v>
      </c>
      <c r="AF18" s="2056"/>
      <c r="AG18" s="2057"/>
      <c r="AH18" s="2058">
        <v>0</v>
      </c>
      <c r="AI18" s="2056"/>
      <c r="AJ18" s="2057"/>
      <c r="AK18" s="2058">
        <v>0</v>
      </c>
      <c r="AL18" s="2056"/>
      <c r="AM18" s="2056"/>
      <c r="AN18" s="2059"/>
      <c r="AO18" s="2051">
        <f t="shared" si="3"/>
        <v>0</v>
      </c>
      <c r="AP18" s="2052"/>
      <c r="AQ18" s="2053"/>
      <c r="AR18" s="2051">
        <f t="shared" si="4"/>
        <v>0</v>
      </c>
      <c r="AS18" s="2052"/>
      <c r="AT18" s="2054"/>
      <c r="AU18" s="2055">
        <v>0</v>
      </c>
      <c r="AV18" s="2056"/>
      <c r="AW18" s="2057"/>
      <c r="AX18" s="2058">
        <v>0</v>
      </c>
      <c r="AY18" s="2056"/>
      <c r="AZ18" s="2059"/>
      <c r="BA18" s="2052">
        <f t="shared" si="0"/>
        <v>0</v>
      </c>
      <c r="BB18" s="2052"/>
      <c r="BC18" s="2054"/>
      <c r="BD18" s="2060">
        <f>+personnel_nonteach_ht5_actual_m+personnel_nonteach_ht5_borrowed_m</f>
        <v>0</v>
      </c>
      <c r="BE18" s="2052"/>
      <c r="BF18" s="2061"/>
      <c r="BG18" s="2052">
        <f>+personnel_nonteach_ht5_actual_f+personnel_nonteach_ht5_borrowed_f</f>
        <v>0</v>
      </c>
      <c r="BH18" s="2052"/>
      <c r="BI18" s="2053"/>
      <c r="BJ18" s="2051">
        <f t="shared" si="1"/>
        <v>0</v>
      </c>
      <c r="BK18" s="2052"/>
      <c r="BL18" s="2054"/>
      <c r="BM18" s="224"/>
      <c r="BN18" s="1710" t="str">
        <f>IF(AR18&lt;&gt;personnel_nonteach_ht5_psipop, "Column 12 shall tally with entries in Column 2.","")</f>
        <v/>
      </c>
      <c r="BO18" s="224"/>
      <c r="BP18" s="224"/>
      <c r="BQ18" s="224"/>
      <c r="BR18" s="224"/>
      <c r="BS18" s="224"/>
      <c r="BT18" s="224"/>
      <c r="BU18" s="224"/>
      <c r="BV18" s="224"/>
      <c r="BW18" s="224"/>
      <c r="BX18" s="224"/>
      <c r="BY18" s="224"/>
      <c r="BZ18" s="224"/>
      <c r="CA18" s="224"/>
      <c r="CB18" s="224"/>
      <c r="CC18" s="224"/>
      <c r="CD18" s="224"/>
      <c r="CE18" s="224"/>
    </row>
    <row r="19" spans="1:83" s="49" customFormat="1" ht="21.6" customHeight="1">
      <c r="A19" s="224"/>
      <c r="B19" s="288"/>
      <c r="C19" s="289" t="s">
        <v>211</v>
      </c>
      <c r="D19" s="289"/>
      <c r="E19" s="289"/>
      <c r="F19" s="289"/>
      <c r="G19" s="289"/>
      <c r="H19" s="289"/>
      <c r="I19" s="289"/>
      <c r="J19" s="289"/>
      <c r="K19" s="289"/>
      <c r="L19" s="290"/>
      <c r="M19" s="2055">
        <v>0</v>
      </c>
      <c r="N19" s="2056"/>
      <c r="O19" s="2073"/>
      <c r="P19" s="2055">
        <v>0</v>
      </c>
      <c r="Q19" s="2056"/>
      <c r="R19" s="2057"/>
      <c r="S19" s="2058">
        <v>0</v>
      </c>
      <c r="T19" s="2056"/>
      <c r="U19" s="2059"/>
      <c r="V19" s="2051">
        <f t="shared" si="2"/>
        <v>0</v>
      </c>
      <c r="W19" s="2052"/>
      <c r="X19" s="2061"/>
      <c r="Y19" s="2058">
        <v>0</v>
      </c>
      <c r="Z19" s="2056"/>
      <c r="AA19" s="2057"/>
      <c r="AB19" s="2058">
        <v>0</v>
      </c>
      <c r="AC19" s="2056"/>
      <c r="AD19" s="2057"/>
      <c r="AE19" s="2058">
        <v>0</v>
      </c>
      <c r="AF19" s="2056"/>
      <c r="AG19" s="2057"/>
      <c r="AH19" s="2058">
        <v>0</v>
      </c>
      <c r="AI19" s="2056"/>
      <c r="AJ19" s="2057"/>
      <c r="AK19" s="2058">
        <v>0</v>
      </c>
      <c r="AL19" s="2056"/>
      <c r="AM19" s="2056"/>
      <c r="AN19" s="2059"/>
      <c r="AO19" s="2051">
        <f t="shared" si="3"/>
        <v>0</v>
      </c>
      <c r="AP19" s="2052"/>
      <c r="AQ19" s="2053"/>
      <c r="AR19" s="2051">
        <f t="shared" si="4"/>
        <v>0</v>
      </c>
      <c r="AS19" s="2052"/>
      <c r="AT19" s="2054"/>
      <c r="AU19" s="2055">
        <v>0</v>
      </c>
      <c r="AV19" s="2056"/>
      <c r="AW19" s="2057"/>
      <c r="AX19" s="2058">
        <v>0</v>
      </c>
      <c r="AY19" s="2056"/>
      <c r="AZ19" s="2059"/>
      <c r="BA19" s="2052">
        <f t="shared" si="0"/>
        <v>0</v>
      </c>
      <c r="BB19" s="2052"/>
      <c r="BC19" s="2054"/>
      <c r="BD19" s="2060">
        <f>+personnel_nonteach_ht4_actual_m+personnel_nonteach_ht4_borrowed_m</f>
        <v>0</v>
      </c>
      <c r="BE19" s="2052"/>
      <c r="BF19" s="2061"/>
      <c r="BG19" s="2052">
        <f>+personnel_nonteach_ht4_actual_f+personnel_nonteach_ht4_borrowed_f</f>
        <v>0</v>
      </c>
      <c r="BH19" s="2052"/>
      <c r="BI19" s="2053"/>
      <c r="BJ19" s="2051">
        <f t="shared" si="1"/>
        <v>0</v>
      </c>
      <c r="BK19" s="2052"/>
      <c r="BL19" s="2054"/>
      <c r="BM19" s="224"/>
      <c r="BN19" s="1710" t="str">
        <f>IF(AR19&lt;&gt;personnel_nonteach_ht4_psipop, "Column 12 shall tally with entries in Column 2.","")</f>
        <v/>
      </c>
      <c r="BO19" s="224"/>
      <c r="BP19" s="224"/>
      <c r="BQ19" s="224"/>
      <c r="BR19" s="224"/>
      <c r="BS19" s="224"/>
      <c r="BT19" s="224"/>
      <c r="BU19" s="224"/>
      <c r="BV19" s="224"/>
      <c r="BW19" s="224"/>
      <c r="BX19" s="224"/>
      <c r="BY19" s="224"/>
      <c r="BZ19" s="224"/>
      <c r="CA19" s="224"/>
      <c r="CB19" s="224"/>
      <c r="CC19" s="224"/>
      <c r="CD19" s="224"/>
      <c r="CE19" s="224"/>
    </row>
    <row r="20" spans="1:83" s="49" customFormat="1" ht="21.6" customHeight="1">
      <c r="A20" s="224"/>
      <c r="B20" s="288"/>
      <c r="C20" s="289" t="s">
        <v>212</v>
      </c>
      <c r="D20" s="289"/>
      <c r="E20" s="289"/>
      <c r="F20" s="289"/>
      <c r="G20" s="289"/>
      <c r="H20" s="289"/>
      <c r="I20" s="289"/>
      <c r="J20" s="289"/>
      <c r="K20" s="289"/>
      <c r="L20" s="290"/>
      <c r="M20" s="2055">
        <v>0</v>
      </c>
      <c r="N20" s="2056"/>
      <c r="O20" s="2073"/>
      <c r="P20" s="2055">
        <v>0</v>
      </c>
      <c r="Q20" s="2056"/>
      <c r="R20" s="2057"/>
      <c r="S20" s="2058">
        <v>0</v>
      </c>
      <c r="T20" s="2056"/>
      <c r="U20" s="2059"/>
      <c r="V20" s="2051">
        <f t="shared" si="2"/>
        <v>0</v>
      </c>
      <c r="W20" s="2052"/>
      <c r="X20" s="2061"/>
      <c r="Y20" s="2058">
        <v>0</v>
      </c>
      <c r="Z20" s="2056"/>
      <c r="AA20" s="2057"/>
      <c r="AB20" s="2058">
        <v>0</v>
      </c>
      <c r="AC20" s="2056"/>
      <c r="AD20" s="2057"/>
      <c r="AE20" s="2058">
        <v>0</v>
      </c>
      <c r="AF20" s="2056"/>
      <c r="AG20" s="2057"/>
      <c r="AH20" s="2058">
        <v>0</v>
      </c>
      <c r="AI20" s="2056"/>
      <c r="AJ20" s="2057"/>
      <c r="AK20" s="2058">
        <v>0</v>
      </c>
      <c r="AL20" s="2056"/>
      <c r="AM20" s="2056"/>
      <c r="AN20" s="2059"/>
      <c r="AO20" s="2051">
        <f t="shared" si="3"/>
        <v>0</v>
      </c>
      <c r="AP20" s="2052"/>
      <c r="AQ20" s="2053"/>
      <c r="AR20" s="2051">
        <f t="shared" si="4"/>
        <v>0</v>
      </c>
      <c r="AS20" s="2052"/>
      <c r="AT20" s="2054"/>
      <c r="AU20" s="2055">
        <v>0</v>
      </c>
      <c r="AV20" s="2056"/>
      <c r="AW20" s="2057"/>
      <c r="AX20" s="2058">
        <v>0</v>
      </c>
      <c r="AY20" s="2056"/>
      <c r="AZ20" s="2059"/>
      <c r="BA20" s="2052">
        <f t="shared" si="0"/>
        <v>0</v>
      </c>
      <c r="BB20" s="2052"/>
      <c r="BC20" s="2054"/>
      <c r="BD20" s="2060">
        <f>+personnel_nonteach_ht3_actual_m+w</f>
        <v>0</v>
      </c>
      <c r="BE20" s="2052"/>
      <c r="BF20" s="2061"/>
      <c r="BG20" s="2052">
        <f>+personnel_nonteach_ht3_actual_f+personnel_nonteach_ht3_borrowed_f</f>
        <v>0</v>
      </c>
      <c r="BH20" s="2052"/>
      <c r="BI20" s="2053"/>
      <c r="BJ20" s="2051">
        <f t="shared" si="1"/>
        <v>0</v>
      </c>
      <c r="BK20" s="2052"/>
      <c r="BL20" s="2054"/>
      <c r="BM20" s="224"/>
      <c r="BN20" s="1710" t="str">
        <f>IF(AR20&lt;&gt;personnel_nonteach_ht3_psipop, "Column 12 shall tally with entries in Column 2.","")</f>
        <v/>
      </c>
      <c r="BO20" s="224"/>
      <c r="BP20" s="224"/>
      <c r="BQ20" s="224"/>
      <c r="BR20" s="224"/>
      <c r="BS20" s="224"/>
      <c r="BT20" s="224"/>
      <c r="BU20" s="224"/>
      <c r="BV20" s="224"/>
      <c r="BW20" s="224"/>
      <c r="BX20" s="224"/>
      <c r="BY20" s="224"/>
      <c r="BZ20" s="224"/>
      <c r="CA20" s="224"/>
      <c r="CB20" s="224"/>
      <c r="CC20" s="224"/>
      <c r="CD20" s="224"/>
      <c r="CE20" s="224"/>
    </row>
    <row r="21" spans="1:83" s="49" customFormat="1" ht="21.6" customHeight="1">
      <c r="A21" s="224"/>
      <c r="B21" s="288"/>
      <c r="C21" s="289" t="s">
        <v>213</v>
      </c>
      <c r="D21" s="289"/>
      <c r="E21" s="289"/>
      <c r="F21" s="289"/>
      <c r="G21" s="289"/>
      <c r="H21" s="289"/>
      <c r="I21" s="289"/>
      <c r="J21" s="289"/>
      <c r="K21" s="289"/>
      <c r="L21" s="290"/>
      <c r="M21" s="2055">
        <v>0</v>
      </c>
      <c r="N21" s="2056"/>
      <c r="O21" s="2073"/>
      <c r="P21" s="2055">
        <v>0</v>
      </c>
      <c r="Q21" s="2056"/>
      <c r="R21" s="2057"/>
      <c r="S21" s="2058">
        <v>0</v>
      </c>
      <c r="T21" s="2056"/>
      <c r="U21" s="2059"/>
      <c r="V21" s="2051">
        <f t="shared" si="2"/>
        <v>0</v>
      </c>
      <c r="W21" s="2052"/>
      <c r="X21" s="2061"/>
      <c r="Y21" s="2058">
        <v>0</v>
      </c>
      <c r="Z21" s="2056"/>
      <c r="AA21" s="2057"/>
      <c r="AB21" s="2058">
        <v>0</v>
      </c>
      <c r="AC21" s="2056"/>
      <c r="AD21" s="2057"/>
      <c r="AE21" s="2058">
        <v>0</v>
      </c>
      <c r="AF21" s="2056"/>
      <c r="AG21" s="2057"/>
      <c r="AH21" s="2058">
        <v>0</v>
      </c>
      <c r="AI21" s="2056"/>
      <c r="AJ21" s="2057"/>
      <c r="AK21" s="2058">
        <v>0</v>
      </c>
      <c r="AL21" s="2056"/>
      <c r="AM21" s="2056"/>
      <c r="AN21" s="2059"/>
      <c r="AO21" s="2051">
        <f t="shared" si="3"/>
        <v>0</v>
      </c>
      <c r="AP21" s="2052"/>
      <c r="AQ21" s="2053"/>
      <c r="AR21" s="2051">
        <f t="shared" si="4"/>
        <v>0</v>
      </c>
      <c r="AS21" s="2052"/>
      <c r="AT21" s="2054"/>
      <c r="AU21" s="2055">
        <v>0</v>
      </c>
      <c r="AV21" s="2056"/>
      <c r="AW21" s="2057"/>
      <c r="AX21" s="2058">
        <v>0</v>
      </c>
      <c r="AY21" s="2056"/>
      <c r="AZ21" s="2059"/>
      <c r="BA21" s="2052">
        <f t="shared" si="0"/>
        <v>0</v>
      </c>
      <c r="BB21" s="2052"/>
      <c r="BC21" s="2054"/>
      <c r="BD21" s="2060">
        <f>+personnel_nonteach_ht2_actual_m+personnel_nonteach_ht2_borrowed_m</f>
        <v>0</v>
      </c>
      <c r="BE21" s="2052"/>
      <c r="BF21" s="2061"/>
      <c r="BG21" s="2052">
        <f>+personnel_nonteach_ht2_actual_f+personnel_nonteach_ht2_borrowed_f</f>
        <v>0</v>
      </c>
      <c r="BH21" s="2052"/>
      <c r="BI21" s="2053"/>
      <c r="BJ21" s="2051">
        <f t="shared" si="1"/>
        <v>0</v>
      </c>
      <c r="BK21" s="2052"/>
      <c r="BL21" s="2054"/>
      <c r="BM21" s="224"/>
      <c r="BN21" s="1710" t="str">
        <f>IF(AR21&lt;&gt;personnel_nonteach_ht2_psipop, "Column 12 shall tally with entries in Column 2.","")</f>
        <v/>
      </c>
      <c r="BO21" s="224"/>
      <c r="BP21" s="224"/>
      <c r="BQ21" s="224"/>
      <c r="BR21" s="224"/>
      <c r="BS21" s="224"/>
      <c r="BT21" s="224"/>
      <c r="BU21" s="224"/>
      <c r="BV21" s="224"/>
      <c r="BW21" s="224"/>
      <c r="BX21" s="224"/>
      <c r="BY21" s="224"/>
      <c r="BZ21" s="224"/>
      <c r="CA21" s="224"/>
      <c r="CB21" s="224"/>
      <c r="CC21" s="224"/>
      <c r="CD21" s="224"/>
      <c r="CE21" s="224"/>
    </row>
    <row r="22" spans="1:83" s="49" customFormat="1" ht="21.6" customHeight="1">
      <c r="A22" s="224"/>
      <c r="B22" s="291"/>
      <c r="C22" s="292" t="s">
        <v>214</v>
      </c>
      <c r="D22" s="292"/>
      <c r="E22" s="292"/>
      <c r="F22" s="292"/>
      <c r="G22" s="292"/>
      <c r="H22" s="292"/>
      <c r="I22" s="292"/>
      <c r="J22" s="292"/>
      <c r="K22" s="292"/>
      <c r="L22" s="293"/>
      <c r="M22" s="2066">
        <v>0</v>
      </c>
      <c r="N22" s="2067"/>
      <c r="O22" s="2074"/>
      <c r="P22" s="2066">
        <v>0</v>
      </c>
      <c r="Q22" s="2067"/>
      <c r="R22" s="2068"/>
      <c r="S22" s="2069">
        <v>0</v>
      </c>
      <c r="T22" s="2067"/>
      <c r="U22" s="2070"/>
      <c r="V22" s="2064">
        <f t="shared" si="2"/>
        <v>0</v>
      </c>
      <c r="W22" s="2062"/>
      <c r="X22" s="2072"/>
      <c r="Y22" s="2069">
        <v>0</v>
      </c>
      <c r="Z22" s="2067"/>
      <c r="AA22" s="2068"/>
      <c r="AB22" s="2069">
        <v>0</v>
      </c>
      <c r="AC22" s="2067"/>
      <c r="AD22" s="2068"/>
      <c r="AE22" s="2069">
        <v>0</v>
      </c>
      <c r="AF22" s="2067"/>
      <c r="AG22" s="2068"/>
      <c r="AH22" s="2069">
        <v>0</v>
      </c>
      <c r="AI22" s="2067"/>
      <c r="AJ22" s="2068"/>
      <c r="AK22" s="2069">
        <v>0</v>
      </c>
      <c r="AL22" s="2067"/>
      <c r="AM22" s="2067"/>
      <c r="AN22" s="2070"/>
      <c r="AO22" s="2064">
        <f t="shared" si="3"/>
        <v>0</v>
      </c>
      <c r="AP22" s="2062"/>
      <c r="AQ22" s="2063"/>
      <c r="AR22" s="2064">
        <f t="shared" si="4"/>
        <v>0</v>
      </c>
      <c r="AS22" s="2062"/>
      <c r="AT22" s="2065"/>
      <c r="AU22" s="2066">
        <v>0</v>
      </c>
      <c r="AV22" s="2067"/>
      <c r="AW22" s="2068"/>
      <c r="AX22" s="2069">
        <v>0</v>
      </c>
      <c r="AY22" s="2067"/>
      <c r="AZ22" s="2070"/>
      <c r="BA22" s="2062">
        <f t="shared" si="0"/>
        <v>0</v>
      </c>
      <c r="BB22" s="2062"/>
      <c r="BC22" s="2065"/>
      <c r="BD22" s="2071">
        <f>+personnel_nonteach_ht1_actual_m+personnel_nonteach_ht1_borrowed_m</f>
        <v>0</v>
      </c>
      <c r="BE22" s="2062"/>
      <c r="BF22" s="2072"/>
      <c r="BG22" s="2062">
        <f>+personnel_nonteach_ht1_actual_f+personnel_nonteach_ht1_borrowed_f</f>
        <v>0</v>
      </c>
      <c r="BH22" s="2062"/>
      <c r="BI22" s="2063"/>
      <c r="BJ22" s="2064">
        <f t="shared" si="1"/>
        <v>0</v>
      </c>
      <c r="BK22" s="2062"/>
      <c r="BL22" s="2065"/>
      <c r="BM22" s="224"/>
      <c r="BN22" s="1710" t="str">
        <f>IF(AR22&lt;&gt;personnel_nonteach_ht1_psipop, "Column 12 shall tally with entries in Column 2.","")</f>
        <v/>
      </c>
      <c r="BO22" s="224"/>
      <c r="BP22" s="224"/>
      <c r="BQ22" s="224"/>
      <c r="BR22" s="224"/>
      <c r="BS22" s="224"/>
      <c r="BT22" s="224"/>
      <c r="BU22" s="224"/>
      <c r="BV22" s="224"/>
      <c r="BW22" s="224"/>
      <c r="BX22" s="224"/>
      <c r="BY22" s="224"/>
      <c r="BZ22" s="224"/>
      <c r="CA22" s="224"/>
      <c r="CB22" s="224"/>
      <c r="CC22" s="224"/>
      <c r="CD22" s="224"/>
      <c r="CE22" s="224"/>
    </row>
    <row r="23" spans="1:83" s="49" customFormat="1" ht="21.6" customHeight="1">
      <c r="A23" s="224"/>
      <c r="B23" s="294"/>
      <c r="C23" s="295" t="s">
        <v>215</v>
      </c>
      <c r="D23" s="295"/>
      <c r="E23" s="295"/>
      <c r="F23" s="295"/>
      <c r="G23" s="295"/>
      <c r="H23" s="295"/>
      <c r="I23" s="295"/>
      <c r="J23" s="295"/>
      <c r="K23" s="295"/>
      <c r="L23" s="296"/>
      <c r="M23" s="2016">
        <v>0</v>
      </c>
      <c r="N23" s="2017"/>
      <c r="O23" s="2018"/>
      <c r="P23" s="2016">
        <v>0</v>
      </c>
      <c r="Q23" s="2017"/>
      <c r="R23" s="2019"/>
      <c r="S23" s="2020">
        <v>0</v>
      </c>
      <c r="T23" s="2017"/>
      <c r="U23" s="2021"/>
      <c r="V23" s="2022">
        <f t="shared" si="2"/>
        <v>0</v>
      </c>
      <c r="W23" s="2023"/>
      <c r="X23" s="2024"/>
      <c r="Y23" s="2020">
        <v>0</v>
      </c>
      <c r="Z23" s="2017"/>
      <c r="AA23" s="2019"/>
      <c r="AB23" s="2020">
        <v>0</v>
      </c>
      <c r="AC23" s="2017"/>
      <c r="AD23" s="2019"/>
      <c r="AE23" s="2020">
        <v>0</v>
      </c>
      <c r="AF23" s="2017"/>
      <c r="AG23" s="2019"/>
      <c r="AH23" s="2020">
        <v>0</v>
      </c>
      <c r="AI23" s="2017"/>
      <c r="AJ23" s="2019"/>
      <c r="AK23" s="2020">
        <v>0</v>
      </c>
      <c r="AL23" s="2017"/>
      <c r="AM23" s="2017"/>
      <c r="AN23" s="2021"/>
      <c r="AO23" s="2022">
        <f t="shared" si="3"/>
        <v>0</v>
      </c>
      <c r="AP23" s="2023"/>
      <c r="AQ23" s="2025"/>
      <c r="AR23" s="2022">
        <f t="shared" si="4"/>
        <v>0</v>
      </c>
      <c r="AS23" s="2023"/>
      <c r="AT23" s="2026"/>
      <c r="AU23" s="2016">
        <v>0</v>
      </c>
      <c r="AV23" s="2017"/>
      <c r="AW23" s="2019"/>
      <c r="AX23" s="2020">
        <v>0</v>
      </c>
      <c r="AY23" s="2017"/>
      <c r="AZ23" s="2021"/>
      <c r="BA23" s="2023">
        <f t="shared" si="0"/>
        <v>0</v>
      </c>
      <c r="BB23" s="2023"/>
      <c r="BC23" s="2026"/>
      <c r="BD23" s="2050">
        <f>+personnel_nonteach_schnurse_actual_m+personnel_nonteach_schnurse_borrowed_m</f>
        <v>0</v>
      </c>
      <c r="BE23" s="2023"/>
      <c r="BF23" s="2024"/>
      <c r="BG23" s="2023">
        <f>+personnel_nonteach_schnurse_actual_f+personnel_nonteach_schnurse_borrowed_f</f>
        <v>0</v>
      </c>
      <c r="BH23" s="2023"/>
      <c r="BI23" s="2025"/>
      <c r="BJ23" s="2022">
        <f t="shared" si="1"/>
        <v>0</v>
      </c>
      <c r="BK23" s="2023"/>
      <c r="BL23" s="2026"/>
      <c r="BM23" s="224"/>
      <c r="BN23" s="1710" t="str">
        <f>IF(AR23&lt;&gt;personnel_nonteach_schnurse_psipop, "Column 12 shall tally with entries in Column 2.","")</f>
        <v/>
      </c>
      <c r="BO23" s="224"/>
      <c r="BP23" s="224"/>
      <c r="BQ23" s="224"/>
      <c r="BR23" s="224"/>
      <c r="BS23" s="224"/>
      <c r="BT23" s="224"/>
      <c r="BU23" s="224"/>
      <c r="BV23" s="224"/>
      <c r="BW23" s="224"/>
      <c r="BX23" s="224"/>
      <c r="BY23" s="224"/>
      <c r="BZ23" s="224"/>
      <c r="CA23" s="224"/>
      <c r="CB23" s="224"/>
      <c r="CC23" s="224"/>
      <c r="CD23" s="224"/>
      <c r="CE23" s="224"/>
    </row>
    <row r="24" spans="1:83" s="49" customFormat="1" ht="21.6" customHeight="1">
      <c r="A24" s="224"/>
      <c r="B24" s="285"/>
      <c r="C24" s="286" t="s">
        <v>216</v>
      </c>
      <c r="D24" s="286"/>
      <c r="E24" s="286"/>
      <c r="F24" s="286"/>
      <c r="G24" s="286"/>
      <c r="H24" s="286"/>
      <c r="I24" s="286"/>
      <c r="J24" s="286"/>
      <c r="K24" s="286"/>
      <c r="L24" s="287"/>
      <c r="M24" s="2047">
        <v>0</v>
      </c>
      <c r="N24" s="2041"/>
      <c r="O24" s="2048"/>
      <c r="P24" s="2047">
        <v>0</v>
      </c>
      <c r="Q24" s="2041"/>
      <c r="R24" s="2049"/>
      <c r="S24" s="2040">
        <v>0</v>
      </c>
      <c r="T24" s="2041"/>
      <c r="U24" s="2042"/>
      <c r="V24" s="2075">
        <f t="shared" si="2"/>
        <v>0</v>
      </c>
      <c r="W24" s="2044"/>
      <c r="X24" s="2045"/>
      <c r="Y24" s="2040">
        <v>0</v>
      </c>
      <c r="Z24" s="2041"/>
      <c r="AA24" s="2049"/>
      <c r="AB24" s="2040">
        <v>0</v>
      </c>
      <c r="AC24" s="2041"/>
      <c r="AD24" s="2049"/>
      <c r="AE24" s="2040">
        <v>0</v>
      </c>
      <c r="AF24" s="2041"/>
      <c r="AG24" s="2049"/>
      <c r="AH24" s="2040">
        <v>0</v>
      </c>
      <c r="AI24" s="2041"/>
      <c r="AJ24" s="2049"/>
      <c r="AK24" s="2040">
        <v>0</v>
      </c>
      <c r="AL24" s="2041"/>
      <c r="AM24" s="2041"/>
      <c r="AN24" s="2042"/>
      <c r="AO24" s="2075">
        <f t="shared" si="3"/>
        <v>0</v>
      </c>
      <c r="AP24" s="2044"/>
      <c r="AQ24" s="2046"/>
      <c r="AR24" s="2075">
        <f t="shared" si="4"/>
        <v>0</v>
      </c>
      <c r="AS24" s="2044"/>
      <c r="AT24" s="2076"/>
      <c r="AU24" s="2047">
        <v>0</v>
      </c>
      <c r="AV24" s="2041"/>
      <c r="AW24" s="2049"/>
      <c r="AX24" s="2040">
        <v>0</v>
      </c>
      <c r="AY24" s="2041"/>
      <c r="AZ24" s="2042"/>
      <c r="BA24" s="2044">
        <f t="shared" si="0"/>
        <v>0</v>
      </c>
      <c r="BB24" s="2044"/>
      <c r="BC24" s="2076"/>
      <c r="BD24" s="2043">
        <f>+personnel_nonteach_adminofcr4_actual_m+personnel_nonteach_adminofcr4_borrowed_m</f>
        <v>0</v>
      </c>
      <c r="BE24" s="2044"/>
      <c r="BF24" s="2045"/>
      <c r="BG24" s="2044">
        <f>+personnel_nonteach_adminofcr4_actual_f+personnel_nonteach_adminofcr4_borrowed_f</f>
        <v>0</v>
      </c>
      <c r="BH24" s="2044"/>
      <c r="BI24" s="2046"/>
      <c r="BJ24" s="2075">
        <f t="shared" si="1"/>
        <v>0</v>
      </c>
      <c r="BK24" s="2044"/>
      <c r="BL24" s="2076"/>
      <c r="BM24" s="224"/>
      <c r="BN24" s="1710" t="str">
        <f>IF(AR24&lt;&gt;personnel_nonteach_adminofcr4_psipop, "Column 12 shall tally with entries in Column 2.","")</f>
        <v/>
      </c>
      <c r="BO24" s="224"/>
      <c r="BP24" s="224"/>
      <c r="BQ24" s="224"/>
      <c r="BR24" s="224"/>
      <c r="BS24" s="224"/>
      <c r="BT24" s="224"/>
      <c r="BU24" s="224"/>
      <c r="BV24" s="224"/>
      <c r="BW24" s="224"/>
      <c r="BX24" s="224"/>
      <c r="BY24" s="224"/>
      <c r="BZ24" s="224"/>
      <c r="CA24" s="224"/>
      <c r="CB24" s="224"/>
      <c r="CC24" s="224"/>
      <c r="CD24" s="224"/>
      <c r="CE24" s="224"/>
    </row>
    <row r="25" spans="1:83" s="49" customFormat="1" ht="21.6" customHeight="1">
      <c r="A25" s="224"/>
      <c r="B25" s="291"/>
      <c r="C25" s="292" t="s">
        <v>217</v>
      </c>
      <c r="D25" s="292"/>
      <c r="E25" s="292"/>
      <c r="F25" s="292"/>
      <c r="G25" s="292"/>
      <c r="H25" s="292"/>
      <c r="I25" s="292"/>
      <c r="J25" s="292"/>
      <c r="K25" s="292"/>
      <c r="L25" s="293"/>
      <c r="M25" s="2066">
        <v>1</v>
      </c>
      <c r="N25" s="2067"/>
      <c r="O25" s="2074"/>
      <c r="P25" s="2066">
        <v>0</v>
      </c>
      <c r="Q25" s="2067"/>
      <c r="R25" s="2068"/>
      <c r="S25" s="2069">
        <v>1</v>
      </c>
      <c r="T25" s="2067"/>
      <c r="U25" s="2070"/>
      <c r="V25" s="2064">
        <f t="shared" si="2"/>
        <v>1</v>
      </c>
      <c r="W25" s="2062"/>
      <c r="X25" s="2072"/>
      <c r="Y25" s="2069">
        <v>0</v>
      </c>
      <c r="Z25" s="2067"/>
      <c r="AA25" s="2068"/>
      <c r="AB25" s="2069">
        <v>0</v>
      </c>
      <c r="AC25" s="2067"/>
      <c r="AD25" s="2068"/>
      <c r="AE25" s="2069">
        <v>0</v>
      </c>
      <c r="AF25" s="2067"/>
      <c r="AG25" s="2068"/>
      <c r="AH25" s="2069">
        <v>0</v>
      </c>
      <c r="AI25" s="2067"/>
      <c r="AJ25" s="2068"/>
      <c r="AK25" s="2069">
        <v>0</v>
      </c>
      <c r="AL25" s="2067"/>
      <c r="AM25" s="2067"/>
      <c r="AN25" s="2070"/>
      <c r="AO25" s="2064">
        <f t="shared" si="3"/>
        <v>0</v>
      </c>
      <c r="AP25" s="2062"/>
      <c r="AQ25" s="2063"/>
      <c r="AR25" s="2064">
        <f t="shared" si="4"/>
        <v>1</v>
      </c>
      <c r="AS25" s="2062"/>
      <c r="AT25" s="2065"/>
      <c r="AU25" s="2066">
        <v>0</v>
      </c>
      <c r="AV25" s="2067"/>
      <c r="AW25" s="2068"/>
      <c r="AX25" s="2069">
        <v>0</v>
      </c>
      <c r="AY25" s="2067"/>
      <c r="AZ25" s="2070"/>
      <c r="BA25" s="2064">
        <f t="shared" si="0"/>
        <v>0</v>
      </c>
      <c r="BB25" s="2062"/>
      <c r="BC25" s="2065"/>
      <c r="BD25" s="2071">
        <f>+personnel_nonteach_adminofcr2_actual_m+personnel_nonteach_adminofcr2_borrowed_m</f>
        <v>0</v>
      </c>
      <c r="BE25" s="2062"/>
      <c r="BF25" s="2072"/>
      <c r="BG25" s="2090">
        <f>+personnel_nonteach_adminofcr2_actual_f+personnel_nonteach_adminofcr2_borrowed_f</f>
        <v>1</v>
      </c>
      <c r="BH25" s="2062"/>
      <c r="BI25" s="2063"/>
      <c r="BJ25" s="2064">
        <f t="shared" si="1"/>
        <v>1</v>
      </c>
      <c r="BK25" s="2062"/>
      <c r="BL25" s="2065"/>
      <c r="BM25" s="224"/>
      <c r="BN25" s="1710" t="str">
        <f>IF(AR25&lt;&gt;personnel_nonteach_adminofcr2_psipop, "Column 12 shall tally with entries in Column 2.","")</f>
        <v/>
      </c>
      <c r="BO25" s="224"/>
      <c r="BP25" s="224"/>
      <c r="BQ25" s="224"/>
      <c r="BR25" s="224"/>
      <c r="BS25" s="224"/>
      <c r="BT25" s="224"/>
      <c r="BU25" s="224"/>
      <c r="BV25" s="224"/>
      <c r="BW25" s="224"/>
      <c r="BX25" s="224"/>
      <c r="BY25" s="224"/>
      <c r="BZ25" s="224"/>
      <c r="CA25" s="224"/>
      <c r="CB25" s="224"/>
      <c r="CC25" s="224"/>
      <c r="CD25" s="224"/>
      <c r="CE25" s="224"/>
    </row>
    <row r="26" spans="1:83" s="49" customFormat="1" ht="21.6" customHeight="1">
      <c r="A26" s="224"/>
      <c r="B26" s="285"/>
      <c r="C26" s="286" t="s">
        <v>218</v>
      </c>
      <c r="D26" s="286"/>
      <c r="E26" s="286"/>
      <c r="F26" s="286"/>
      <c r="G26" s="286"/>
      <c r="H26" s="286"/>
      <c r="I26" s="286"/>
      <c r="J26" s="286"/>
      <c r="K26" s="286"/>
      <c r="L26" s="287"/>
      <c r="M26" s="2047">
        <v>0</v>
      </c>
      <c r="N26" s="2041"/>
      <c r="O26" s="2048"/>
      <c r="P26" s="2047">
        <v>0</v>
      </c>
      <c r="Q26" s="2041"/>
      <c r="R26" s="2049"/>
      <c r="S26" s="2040">
        <v>0</v>
      </c>
      <c r="T26" s="2041"/>
      <c r="U26" s="2042"/>
      <c r="V26" s="2075">
        <f t="shared" si="2"/>
        <v>0</v>
      </c>
      <c r="W26" s="2044"/>
      <c r="X26" s="2045"/>
      <c r="Y26" s="2040">
        <v>0</v>
      </c>
      <c r="Z26" s="2041"/>
      <c r="AA26" s="2049"/>
      <c r="AB26" s="2040">
        <v>0</v>
      </c>
      <c r="AC26" s="2041"/>
      <c r="AD26" s="2049"/>
      <c r="AE26" s="2040">
        <v>0</v>
      </c>
      <c r="AF26" s="2041"/>
      <c r="AG26" s="2049"/>
      <c r="AH26" s="2040">
        <v>0</v>
      </c>
      <c r="AI26" s="2041"/>
      <c r="AJ26" s="2049"/>
      <c r="AK26" s="2040">
        <v>0</v>
      </c>
      <c r="AL26" s="2041"/>
      <c r="AM26" s="2041"/>
      <c r="AN26" s="2042"/>
      <c r="AO26" s="2075">
        <f t="shared" si="3"/>
        <v>0</v>
      </c>
      <c r="AP26" s="2044"/>
      <c r="AQ26" s="2046"/>
      <c r="AR26" s="2075">
        <f t="shared" si="4"/>
        <v>0</v>
      </c>
      <c r="AS26" s="2044"/>
      <c r="AT26" s="2076"/>
      <c r="AU26" s="2047">
        <v>0</v>
      </c>
      <c r="AV26" s="2041"/>
      <c r="AW26" s="2049"/>
      <c r="AX26" s="2040">
        <v>0</v>
      </c>
      <c r="AY26" s="2041"/>
      <c r="AZ26" s="2042"/>
      <c r="BA26" s="2075">
        <f t="shared" si="0"/>
        <v>0</v>
      </c>
      <c r="BB26" s="2044"/>
      <c r="BC26" s="2076"/>
      <c r="BD26" s="2043">
        <f>+personnel_nonteach_schlibr3_actual_m+personnel_nonteach_schlibr3_borrowed_m</f>
        <v>0</v>
      </c>
      <c r="BE26" s="2044"/>
      <c r="BF26" s="2045"/>
      <c r="BG26" s="2089">
        <f>+personnel_nonteach_schlibr3_actual_f+personnel_nonteach_schlibr3_borrowed_f</f>
        <v>0</v>
      </c>
      <c r="BH26" s="2044"/>
      <c r="BI26" s="2046"/>
      <c r="BJ26" s="2075">
        <f t="shared" si="1"/>
        <v>0</v>
      </c>
      <c r="BK26" s="2044"/>
      <c r="BL26" s="2076"/>
      <c r="BM26" s="224"/>
      <c r="BN26" s="1710" t="str">
        <f>IF(AR26&lt;&gt;personnel_nonteach_schlibr3_psipop, "Column 12 shall tally with entries in Column 2.","")</f>
        <v/>
      </c>
      <c r="BO26" s="224"/>
      <c r="BP26" s="224"/>
      <c r="BQ26" s="224"/>
      <c r="BR26" s="224"/>
      <c r="BS26" s="224"/>
      <c r="BT26" s="224"/>
      <c r="BU26" s="224"/>
      <c r="BV26" s="224"/>
      <c r="BW26" s="224"/>
      <c r="BX26" s="224"/>
      <c r="BY26" s="224"/>
      <c r="BZ26" s="224"/>
      <c r="CA26" s="224"/>
      <c r="CB26" s="224"/>
      <c r="CC26" s="224"/>
      <c r="CD26" s="224"/>
      <c r="CE26" s="224"/>
    </row>
    <row r="27" spans="1:83" s="49" customFormat="1" ht="21.6" customHeight="1">
      <c r="A27" s="224"/>
      <c r="B27" s="288"/>
      <c r="C27" s="289" t="s">
        <v>219</v>
      </c>
      <c r="D27" s="289"/>
      <c r="E27" s="289"/>
      <c r="F27" s="289"/>
      <c r="G27" s="289"/>
      <c r="H27" s="289"/>
      <c r="I27" s="289"/>
      <c r="J27" s="289"/>
      <c r="K27" s="289"/>
      <c r="L27" s="290"/>
      <c r="M27" s="2055">
        <v>0</v>
      </c>
      <c r="N27" s="2056"/>
      <c r="O27" s="2073"/>
      <c r="P27" s="2055">
        <v>0</v>
      </c>
      <c r="Q27" s="2056"/>
      <c r="R27" s="2057"/>
      <c r="S27" s="2058">
        <v>0</v>
      </c>
      <c r="T27" s="2056"/>
      <c r="U27" s="2059"/>
      <c r="V27" s="2051">
        <f t="shared" si="2"/>
        <v>0</v>
      </c>
      <c r="W27" s="2052"/>
      <c r="X27" s="2061"/>
      <c r="Y27" s="2058">
        <v>0</v>
      </c>
      <c r="Z27" s="2056"/>
      <c r="AA27" s="2057"/>
      <c r="AB27" s="2058">
        <v>0</v>
      </c>
      <c r="AC27" s="2056"/>
      <c r="AD27" s="2057"/>
      <c r="AE27" s="2058">
        <v>0</v>
      </c>
      <c r="AF27" s="2056"/>
      <c r="AG27" s="2057"/>
      <c r="AH27" s="2058">
        <v>0</v>
      </c>
      <c r="AI27" s="2056"/>
      <c r="AJ27" s="2057"/>
      <c r="AK27" s="2058">
        <v>0</v>
      </c>
      <c r="AL27" s="2056"/>
      <c r="AM27" s="2056"/>
      <c r="AN27" s="2059"/>
      <c r="AO27" s="2051">
        <f t="shared" si="3"/>
        <v>0</v>
      </c>
      <c r="AP27" s="2052"/>
      <c r="AQ27" s="2053"/>
      <c r="AR27" s="2051">
        <f t="shared" si="4"/>
        <v>0</v>
      </c>
      <c r="AS27" s="2052"/>
      <c r="AT27" s="2054"/>
      <c r="AU27" s="2055">
        <v>0</v>
      </c>
      <c r="AV27" s="2056"/>
      <c r="AW27" s="2057"/>
      <c r="AX27" s="2058">
        <v>0</v>
      </c>
      <c r="AY27" s="2056"/>
      <c r="AZ27" s="2059"/>
      <c r="BA27" s="2052">
        <f t="shared" si="0"/>
        <v>0</v>
      </c>
      <c r="BB27" s="2052"/>
      <c r="BC27" s="2054"/>
      <c r="BD27" s="2060">
        <f>+personnel_nonteach_schlibr2_actual_m+personnel_nonteach_schlibr2_borrowed_m</f>
        <v>0</v>
      </c>
      <c r="BE27" s="2052"/>
      <c r="BF27" s="2061"/>
      <c r="BG27" s="2052">
        <f>+personnel_nonteach_schlibr2_actual_f+personnel_nonteach_schlibr2_borrowed_f</f>
        <v>0</v>
      </c>
      <c r="BH27" s="2052"/>
      <c r="BI27" s="2053"/>
      <c r="BJ27" s="2051">
        <f t="shared" si="1"/>
        <v>0</v>
      </c>
      <c r="BK27" s="2052"/>
      <c r="BL27" s="2054"/>
      <c r="BM27" s="224"/>
      <c r="BN27" s="1710" t="str">
        <f>IF(AR27&lt;&gt;personnel_nonteach_schlibr2_psipop, "Column 12 shall tally with entries in Column 2.","")</f>
        <v/>
      </c>
      <c r="BO27" s="224"/>
      <c r="BP27" s="224"/>
      <c r="BQ27" s="224"/>
      <c r="BR27" s="224"/>
      <c r="BS27" s="224"/>
      <c r="BT27" s="224"/>
      <c r="BU27" s="224"/>
      <c r="BV27" s="224"/>
      <c r="BW27" s="224"/>
      <c r="BX27" s="224"/>
      <c r="BY27" s="224"/>
      <c r="BZ27" s="224"/>
      <c r="CA27" s="224"/>
      <c r="CB27" s="224"/>
      <c r="CC27" s="224"/>
      <c r="CD27" s="224"/>
      <c r="CE27" s="224"/>
    </row>
    <row r="28" spans="1:83" s="49" customFormat="1" ht="21.6" customHeight="1">
      <c r="A28" s="224"/>
      <c r="B28" s="291"/>
      <c r="C28" s="292" t="s">
        <v>220</v>
      </c>
      <c r="D28" s="292"/>
      <c r="E28" s="292"/>
      <c r="F28" s="292"/>
      <c r="G28" s="292"/>
      <c r="H28" s="292"/>
      <c r="I28" s="292"/>
      <c r="J28" s="292"/>
      <c r="K28" s="292"/>
      <c r="L28" s="293"/>
      <c r="M28" s="2077">
        <v>0</v>
      </c>
      <c r="N28" s="2078"/>
      <c r="O28" s="2079"/>
      <c r="P28" s="2077">
        <v>0</v>
      </c>
      <c r="Q28" s="2078"/>
      <c r="R28" s="2080"/>
      <c r="S28" s="2081">
        <v>0</v>
      </c>
      <c r="T28" s="2078"/>
      <c r="U28" s="2082"/>
      <c r="V28" s="2083">
        <f t="shared" si="2"/>
        <v>0</v>
      </c>
      <c r="W28" s="2084"/>
      <c r="X28" s="2085"/>
      <c r="Y28" s="2081">
        <v>0</v>
      </c>
      <c r="Z28" s="2078"/>
      <c r="AA28" s="2080"/>
      <c r="AB28" s="2081">
        <v>0</v>
      </c>
      <c r="AC28" s="2078"/>
      <c r="AD28" s="2080"/>
      <c r="AE28" s="2081">
        <v>0</v>
      </c>
      <c r="AF28" s="2078"/>
      <c r="AG28" s="2080"/>
      <c r="AH28" s="2081">
        <v>0</v>
      </c>
      <c r="AI28" s="2078"/>
      <c r="AJ28" s="2080"/>
      <c r="AK28" s="2081">
        <v>0</v>
      </c>
      <c r="AL28" s="2078"/>
      <c r="AM28" s="2078"/>
      <c r="AN28" s="2082"/>
      <c r="AO28" s="2083">
        <f t="shared" si="3"/>
        <v>0</v>
      </c>
      <c r="AP28" s="2084"/>
      <c r="AQ28" s="2086"/>
      <c r="AR28" s="2083">
        <f t="shared" si="4"/>
        <v>0</v>
      </c>
      <c r="AS28" s="2084"/>
      <c r="AT28" s="2087"/>
      <c r="AU28" s="2077">
        <v>0</v>
      </c>
      <c r="AV28" s="2078"/>
      <c r="AW28" s="2080"/>
      <c r="AX28" s="2081">
        <v>0</v>
      </c>
      <c r="AY28" s="2078"/>
      <c r="AZ28" s="2082"/>
      <c r="BA28" s="2084">
        <f t="shared" si="0"/>
        <v>0</v>
      </c>
      <c r="BB28" s="2084"/>
      <c r="BC28" s="2087"/>
      <c r="BD28" s="2088">
        <f>+personnel_nonteach_schlibr1_actual_m+personnel_nonteach_schlibr1_borrowed_m</f>
        <v>0</v>
      </c>
      <c r="BE28" s="2084"/>
      <c r="BF28" s="2085"/>
      <c r="BG28" s="2084">
        <f>+personnel_nonteach_schlibr1_actual_f+personnel_nonteach_schlibr1_borrowed_f</f>
        <v>0</v>
      </c>
      <c r="BH28" s="2084"/>
      <c r="BI28" s="2086"/>
      <c r="BJ28" s="2083">
        <f t="shared" si="1"/>
        <v>0</v>
      </c>
      <c r="BK28" s="2084"/>
      <c r="BL28" s="2087"/>
      <c r="BM28" s="224"/>
      <c r="BN28" s="1710" t="str">
        <f>IF(AR28&lt;&gt;personnel_nonteach_schlibr1_psipop, "Column 12 shall tally with entries in Column 2.","")</f>
        <v/>
      </c>
      <c r="BO28" s="224"/>
      <c r="BP28" s="224"/>
      <c r="BQ28" s="224"/>
      <c r="BR28" s="224"/>
      <c r="BS28" s="224"/>
      <c r="BT28" s="224"/>
      <c r="BU28" s="224"/>
      <c r="BV28" s="224"/>
      <c r="BW28" s="224"/>
      <c r="BX28" s="224"/>
      <c r="BY28" s="224"/>
      <c r="BZ28" s="224"/>
      <c r="CA28" s="224"/>
      <c r="CB28" s="224"/>
      <c r="CC28" s="224"/>
      <c r="CD28" s="224"/>
      <c r="CE28" s="224"/>
    </row>
    <row r="29" spans="1:83" s="49" customFormat="1" ht="21" customHeight="1">
      <c r="A29" s="224"/>
      <c r="B29" s="285"/>
      <c r="C29" s="286" t="s">
        <v>221</v>
      </c>
      <c r="D29" s="286"/>
      <c r="E29" s="286"/>
      <c r="F29" s="286"/>
      <c r="G29" s="286"/>
      <c r="H29" s="286"/>
      <c r="I29" s="286"/>
      <c r="J29" s="286"/>
      <c r="K29" s="286"/>
      <c r="L29" s="287"/>
      <c r="M29" s="2047">
        <v>0</v>
      </c>
      <c r="N29" s="2041"/>
      <c r="O29" s="2048"/>
      <c r="P29" s="2047">
        <v>0</v>
      </c>
      <c r="Q29" s="2041"/>
      <c r="R29" s="2049"/>
      <c r="S29" s="2040">
        <v>0</v>
      </c>
      <c r="T29" s="2041"/>
      <c r="U29" s="2042"/>
      <c r="V29" s="2075">
        <f t="shared" si="2"/>
        <v>0</v>
      </c>
      <c r="W29" s="2044"/>
      <c r="X29" s="2045"/>
      <c r="Y29" s="2040">
        <v>0</v>
      </c>
      <c r="Z29" s="2041"/>
      <c r="AA29" s="2049"/>
      <c r="AB29" s="2040">
        <v>0</v>
      </c>
      <c r="AC29" s="2041"/>
      <c r="AD29" s="2049"/>
      <c r="AE29" s="2040">
        <v>0</v>
      </c>
      <c r="AF29" s="2041"/>
      <c r="AG29" s="2049"/>
      <c r="AH29" s="2040">
        <v>0</v>
      </c>
      <c r="AI29" s="2041"/>
      <c r="AJ29" s="2049"/>
      <c r="AK29" s="2040">
        <v>0</v>
      </c>
      <c r="AL29" s="2041"/>
      <c r="AM29" s="2041"/>
      <c r="AN29" s="2042"/>
      <c r="AO29" s="2075">
        <f t="shared" si="3"/>
        <v>0</v>
      </c>
      <c r="AP29" s="2044"/>
      <c r="AQ29" s="2046"/>
      <c r="AR29" s="2075">
        <f t="shared" si="4"/>
        <v>0</v>
      </c>
      <c r="AS29" s="2044"/>
      <c r="AT29" s="2076"/>
      <c r="AU29" s="2047">
        <v>0</v>
      </c>
      <c r="AV29" s="2041"/>
      <c r="AW29" s="2049"/>
      <c r="AX29" s="2040">
        <v>0</v>
      </c>
      <c r="AY29" s="2041"/>
      <c r="AZ29" s="2042"/>
      <c r="BA29" s="2044">
        <f t="shared" si="0"/>
        <v>0</v>
      </c>
      <c r="BB29" s="2044"/>
      <c r="BC29" s="2076"/>
      <c r="BD29" s="2043">
        <f>+personnel_nonteach_guidancesrvspcl2_actual_m+personnel_nonteach_guidancespcl2_borrowed_m</f>
        <v>0</v>
      </c>
      <c r="BE29" s="2044"/>
      <c r="BF29" s="2045"/>
      <c r="BG29" s="2044">
        <f>+personnel_nonteach_guidancesrvspcl2_actual_f+personnel_nonteach_guidancespcl2_borrowed_f</f>
        <v>0</v>
      </c>
      <c r="BH29" s="2044"/>
      <c r="BI29" s="2046"/>
      <c r="BJ29" s="2075">
        <f t="shared" si="1"/>
        <v>0</v>
      </c>
      <c r="BK29" s="2044"/>
      <c r="BL29" s="2076"/>
      <c r="BM29" s="224"/>
      <c r="BN29" s="1710" t="str">
        <f>IF(AR29&lt;&gt;personnel_nonteach_guidancesrvspcl2_psipop, "Column 12 shall tally with entries in Column 2.","")</f>
        <v/>
      </c>
      <c r="BO29" s="224"/>
      <c r="BP29" s="224"/>
      <c r="BQ29" s="224"/>
      <c r="BR29" s="224"/>
      <c r="BS29" s="224"/>
      <c r="BT29" s="224"/>
      <c r="BU29" s="224"/>
      <c r="BV29" s="224"/>
      <c r="BW29" s="224"/>
      <c r="BX29" s="224"/>
      <c r="BY29" s="224"/>
      <c r="BZ29" s="224"/>
      <c r="CA29" s="224"/>
      <c r="CB29" s="224"/>
      <c r="CC29" s="224"/>
      <c r="CD29" s="224"/>
      <c r="CE29" s="224"/>
    </row>
    <row r="30" spans="1:83" s="49" customFormat="1" ht="21" customHeight="1">
      <c r="A30" s="224"/>
      <c r="B30" s="291"/>
      <c r="C30" s="292" t="s">
        <v>222</v>
      </c>
      <c r="D30" s="292"/>
      <c r="E30" s="292"/>
      <c r="F30" s="292"/>
      <c r="G30" s="292"/>
      <c r="H30" s="292"/>
      <c r="I30" s="292"/>
      <c r="J30" s="292"/>
      <c r="K30" s="292"/>
      <c r="L30" s="293"/>
      <c r="M30" s="2066">
        <v>0</v>
      </c>
      <c r="N30" s="2067"/>
      <c r="O30" s="2074"/>
      <c r="P30" s="2066">
        <v>0</v>
      </c>
      <c r="Q30" s="2067"/>
      <c r="R30" s="2068"/>
      <c r="S30" s="2069">
        <v>0</v>
      </c>
      <c r="T30" s="2067"/>
      <c r="U30" s="2070"/>
      <c r="V30" s="2064">
        <f t="shared" si="2"/>
        <v>0</v>
      </c>
      <c r="W30" s="2062"/>
      <c r="X30" s="2072"/>
      <c r="Y30" s="2069">
        <v>0</v>
      </c>
      <c r="Z30" s="2067"/>
      <c r="AA30" s="2068"/>
      <c r="AB30" s="2069">
        <v>0</v>
      </c>
      <c r="AC30" s="2067"/>
      <c r="AD30" s="2068"/>
      <c r="AE30" s="2069">
        <v>0</v>
      </c>
      <c r="AF30" s="2067"/>
      <c r="AG30" s="2068"/>
      <c r="AH30" s="2069">
        <v>0</v>
      </c>
      <c r="AI30" s="2067"/>
      <c r="AJ30" s="2068"/>
      <c r="AK30" s="2069">
        <v>0</v>
      </c>
      <c r="AL30" s="2067"/>
      <c r="AM30" s="2067"/>
      <c r="AN30" s="2070"/>
      <c r="AO30" s="2064">
        <f t="shared" si="3"/>
        <v>0</v>
      </c>
      <c r="AP30" s="2062"/>
      <c r="AQ30" s="2063"/>
      <c r="AR30" s="2064">
        <f t="shared" si="4"/>
        <v>0</v>
      </c>
      <c r="AS30" s="2062"/>
      <c r="AT30" s="2065"/>
      <c r="AU30" s="2066">
        <v>0</v>
      </c>
      <c r="AV30" s="2067"/>
      <c r="AW30" s="2068"/>
      <c r="AX30" s="2069">
        <v>0</v>
      </c>
      <c r="AY30" s="2067"/>
      <c r="AZ30" s="2070"/>
      <c r="BA30" s="2062">
        <f t="shared" si="0"/>
        <v>0</v>
      </c>
      <c r="BB30" s="2062"/>
      <c r="BC30" s="2065"/>
      <c r="BD30" s="2071">
        <f>+personnel_nonteach_guidancesrvspcl1_actual_m+personnel_nonteach_guidancesrvspcl1_borrowed_m</f>
        <v>0</v>
      </c>
      <c r="BE30" s="2062"/>
      <c r="BF30" s="2072"/>
      <c r="BG30" s="2062">
        <f>+personnel_nonteach_guidancesrvspcl1_actual_f+personnel_nonteach_guidancesrvspcl1_borrowed_f</f>
        <v>0</v>
      </c>
      <c r="BH30" s="2062"/>
      <c r="BI30" s="2063"/>
      <c r="BJ30" s="2064">
        <f t="shared" si="1"/>
        <v>0</v>
      </c>
      <c r="BK30" s="2062"/>
      <c r="BL30" s="2065"/>
      <c r="BM30" s="224"/>
      <c r="BN30" s="1710" t="str">
        <f>IF(AR30&lt;&gt;personnel_nonteach_guidancesrvspcl1_psipop, "Column 12 shall tally with entries in Column 2.","")</f>
        <v/>
      </c>
      <c r="BO30" s="224"/>
      <c r="BP30" s="224"/>
      <c r="BQ30" s="224"/>
      <c r="BR30" s="224"/>
      <c r="BS30" s="224"/>
      <c r="BT30" s="224"/>
      <c r="BU30" s="224"/>
      <c r="BV30" s="224"/>
      <c r="BW30" s="224"/>
      <c r="BX30" s="224"/>
      <c r="BY30" s="224"/>
      <c r="BZ30" s="224"/>
      <c r="CA30" s="224"/>
      <c r="CB30" s="224"/>
      <c r="CC30" s="224"/>
      <c r="CD30" s="224"/>
      <c r="CE30" s="224"/>
    </row>
    <row r="31" spans="1:83" s="49" customFormat="1" ht="21" customHeight="1">
      <c r="A31" s="224"/>
      <c r="B31" s="285"/>
      <c r="C31" s="286" t="s">
        <v>223</v>
      </c>
      <c r="D31" s="286"/>
      <c r="E31" s="286"/>
      <c r="F31" s="286"/>
      <c r="G31" s="286"/>
      <c r="H31" s="286"/>
      <c r="I31" s="286"/>
      <c r="J31" s="286"/>
      <c r="K31" s="286"/>
      <c r="L31" s="287"/>
      <c r="M31" s="2047">
        <v>0</v>
      </c>
      <c r="N31" s="2041"/>
      <c r="O31" s="2048"/>
      <c r="P31" s="2047">
        <v>0</v>
      </c>
      <c r="Q31" s="2041"/>
      <c r="R31" s="2049"/>
      <c r="S31" s="2040">
        <v>0</v>
      </c>
      <c r="T31" s="2041"/>
      <c r="U31" s="2042"/>
      <c r="V31" s="2075">
        <f t="shared" si="2"/>
        <v>0</v>
      </c>
      <c r="W31" s="2044"/>
      <c r="X31" s="2045"/>
      <c r="Y31" s="2040">
        <v>0</v>
      </c>
      <c r="Z31" s="2041"/>
      <c r="AA31" s="2049"/>
      <c r="AB31" s="2040">
        <v>0</v>
      </c>
      <c r="AC31" s="2041"/>
      <c r="AD31" s="2049"/>
      <c r="AE31" s="2040">
        <v>0</v>
      </c>
      <c r="AF31" s="2041"/>
      <c r="AG31" s="2049"/>
      <c r="AH31" s="2040">
        <v>0</v>
      </c>
      <c r="AI31" s="2041"/>
      <c r="AJ31" s="2049"/>
      <c r="AK31" s="2040">
        <v>0</v>
      </c>
      <c r="AL31" s="2041"/>
      <c r="AM31" s="2041"/>
      <c r="AN31" s="2042"/>
      <c r="AO31" s="2075">
        <f t="shared" si="3"/>
        <v>0</v>
      </c>
      <c r="AP31" s="2044"/>
      <c r="AQ31" s="2046"/>
      <c r="AR31" s="2075">
        <f t="shared" si="4"/>
        <v>0</v>
      </c>
      <c r="AS31" s="2044"/>
      <c r="AT31" s="2076"/>
      <c r="AU31" s="2047">
        <v>0</v>
      </c>
      <c r="AV31" s="2041"/>
      <c r="AW31" s="2049"/>
      <c r="AX31" s="2040">
        <v>0</v>
      </c>
      <c r="AY31" s="2041"/>
      <c r="AZ31" s="2042"/>
      <c r="BA31" s="2044">
        <f t="shared" si="0"/>
        <v>0</v>
      </c>
      <c r="BB31" s="2044"/>
      <c r="BC31" s="2076"/>
      <c r="BD31" s="2043">
        <f>+personnel_nonteach_guidancecounsel3_actual_m+personnel_nonteach_guidancecounsel3_borrowed_m</f>
        <v>0</v>
      </c>
      <c r="BE31" s="2044"/>
      <c r="BF31" s="2045"/>
      <c r="BG31" s="2044">
        <f>+personnel_nonteach_guidancecounsel3_actual_f+personnel_nonteach_guidancecounsel3_borrowed_f</f>
        <v>0</v>
      </c>
      <c r="BH31" s="2044"/>
      <c r="BI31" s="2046"/>
      <c r="BJ31" s="2075">
        <f t="shared" si="1"/>
        <v>0</v>
      </c>
      <c r="BK31" s="2044"/>
      <c r="BL31" s="2076"/>
      <c r="BM31" s="224"/>
      <c r="BN31" s="1710" t="str">
        <f>IF(AR31&lt;&gt;personnel_nonteach_guidancecounsel3_psipop, "Column 12 shall tally with entries in Column 2.","")</f>
        <v/>
      </c>
      <c r="BO31" s="224"/>
      <c r="BP31" s="224"/>
      <c r="BQ31" s="224"/>
      <c r="BR31" s="224"/>
      <c r="BS31" s="224"/>
      <c r="BT31" s="224"/>
      <c r="BU31" s="224"/>
      <c r="BV31" s="224"/>
      <c r="BW31" s="224"/>
      <c r="BX31" s="224"/>
      <c r="BY31" s="224"/>
      <c r="BZ31" s="224"/>
      <c r="CA31" s="224"/>
      <c r="CB31" s="224"/>
      <c r="CC31" s="224"/>
      <c r="CD31" s="224"/>
      <c r="CE31" s="224"/>
    </row>
    <row r="32" spans="1:83" s="49" customFormat="1" ht="21" customHeight="1">
      <c r="A32" s="224"/>
      <c r="B32" s="288"/>
      <c r="C32" s="289" t="s">
        <v>224</v>
      </c>
      <c r="D32" s="289"/>
      <c r="E32" s="289"/>
      <c r="F32" s="289"/>
      <c r="G32" s="289"/>
      <c r="H32" s="289"/>
      <c r="I32" s="289"/>
      <c r="J32" s="289"/>
      <c r="K32" s="289"/>
      <c r="L32" s="290"/>
      <c r="M32" s="2055">
        <v>0</v>
      </c>
      <c r="N32" s="2056"/>
      <c r="O32" s="2073"/>
      <c r="P32" s="2055">
        <v>0</v>
      </c>
      <c r="Q32" s="2056"/>
      <c r="R32" s="2057"/>
      <c r="S32" s="2058">
        <v>0</v>
      </c>
      <c r="T32" s="2056"/>
      <c r="U32" s="2059"/>
      <c r="V32" s="2051">
        <f t="shared" si="2"/>
        <v>0</v>
      </c>
      <c r="W32" s="2052"/>
      <c r="X32" s="2061"/>
      <c r="Y32" s="2058">
        <v>0</v>
      </c>
      <c r="Z32" s="2056"/>
      <c r="AA32" s="2057"/>
      <c r="AB32" s="2058">
        <v>0</v>
      </c>
      <c r="AC32" s="2056"/>
      <c r="AD32" s="2057"/>
      <c r="AE32" s="2058">
        <v>0</v>
      </c>
      <c r="AF32" s="2056"/>
      <c r="AG32" s="2057"/>
      <c r="AH32" s="2058">
        <v>0</v>
      </c>
      <c r="AI32" s="2056"/>
      <c r="AJ32" s="2057"/>
      <c r="AK32" s="2058">
        <v>0</v>
      </c>
      <c r="AL32" s="2056"/>
      <c r="AM32" s="2056"/>
      <c r="AN32" s="2059"/>
      <c r="AO32" s="2051">
        <f t="shared" si="3"/>
        <v>0</v>
      </c>
      <c r="AP32" s="2052"/>
      <c r="AQ32" s="2053"/>
      <c r="AR32" s="2051">
        <f t="shared" si="4"/>
        <v>0</v>
      </c>
      <c r="AS32" s="2052"/>
      <c r="AT32" s="2054"/>
      <c r="AU32" s="2055">
        <v>0</v>
      </c>
      <c r="AV32" s="2056"/>
      <c r="AW32" s="2057"/>
      <c r="AX32" s="2058">
        <v>0</v>
      </c>
      <c r="AY32" s="2056"/>
      <c r="AZ32" s="2059"/>
      <c r="BA32" s="2052">
        <f t="shared" si="0"/>
        <v>0</v>
      </c>
      <c r="BB32" s="2052"/>
      <c r="BC32" s="2054"/>
      <c r="BD32" s="2060">
        <f>+personnel_nonteach_guidancecounsel2_actual_m+personnel_nonteach_guidancecounsel2_borrowed_m</f>
        <v>0</v>
      </c>
      <c r="BE32" s="2052"/>
      <c r="BF32" s="2061"/>
      <c r="BG32" s="2052">
        <f>+personnel_nonteach_guidancecounsel2_actual_f+personnel_nonteach_guidancecounsel2_borrowed_f</f>
        <v>0</v>
      </c>
      <c r="BH32" s="2052"/>
      <c r="BI32" s="2053"/>
      <c r="BJ32" s="2051">
        <f t="shared" si="1"/>
        <v>0</v>
      </c>
      <c r="BK32" s="2052"/>
      <c r="BL32" s="2054"/>
      <c r="BM32" s="224"/>
      <c r="BN32" s="1710" t="str">
        <f>IF(AR32&lt;&gt;personnel_nonteach_guidancecounsel2_psipop, "Column 12 shall tally with entries in Column 2.","")</f>
        <v/>
      </c>
      <c r="BO32" s="224"/>
      <c r="BP32" s="224"/>
      <c r="BQ32" s="224"/>
      <c r="BR32" s="224"/>
      <c r="BS32" s="224"/>
      <c r="BT32" s="224"/>
      <c r="BU32" s="224"/>
      <c r="BV32" s="224"/>
      <c r="BW32" s="224"/>
      <c r="BX32" s="224"/>
      <c r="BY32" s="224"/>
      <c r="BZ32" s="224"/>
      <c r="CA32" s="224"/>
      <c r="CB32" s="224"/>
      <c r="CC32" s="224"/>
      <c r="CD32" s="224"/>
      <c r="CE32" s="224"/>
    </row>
    <row r="33" spans="1:83" s="49" customFormat="1" ht="21" customHeight="1">
      <c r="A33" s="224"/>
      <c r="B33" s="291"/>
      <c r="C33" s="292" t="s">
        <v>225</v>
      </c>
      <c r="D33" s="292"/>
      <c r="E33" s="292"/>
      <c r="F33" s="292"/>
      <c r="G33" s="292"/>
      <c r="H33" s="292"/>
      <c r="I33" s="292"/>
      <c r="J33" s="292"/>
      <c r="K33" s="292"/>
      <c r="L33" s="293"/>
      <c r="M33" s="2066">
        <v>0</v>
      </c>
      <c r="N33" s="2067"/>
      <c r="O33" s="2074"/>
      <c r="P33" s="2066">
        <v>0</v>
      </c>
      <c r="Q33" s="2067"/>
      <c r="R33" s="2068"/>
      <c r="S33" s="2069">
        <v>0</v>
      </c>
      <c r="T33" s="2067"/>
      <c r="U33" s="2070"/>
      <c r="V33" s="2064">
        <f t="shared" si="2"/>
        <v>0</v>
      </c>
      <c r="W33" s="2062"/>
      <c r="X33" s="2072"/>
      <c r="Y33" s="2069">
        <v>0</v>
      </c>
      <c r="Z33" s="2067"/>
      <c r="AA33" s="2068"/>
      <c r="AB33" s="2069">
        <v>0</v>
      </c>
      <c r="AC33" s="2067"/>
      <c r="AD33" s="2068"/>
      <c r="AE33" s="2069">
        <v>0</v>
      </c>
      <c r="AF33" s="2067"/>
      <c r="AG33" s="2068"/>
      <c r="AH33" s="2069">
        <v>0</v>
      </c>
      <c r="AI33" s="2067"/>
      <c r="AJ33" s="2068"/>
      <c r="AK33" s="2069">
        <v>0</v>
      </c>
      <c r="AL33" s="2067"/>
      <c r="AM33" s="2067"/>
      <c r="AN33" s="2070"/>
      <c r="AO33" s="2064">
        <f t="shared" si="3"/>
        <v>0</v>
      </c>
      <c r="AP33" s="2062"/>
      <c r="AQ33" s="2063"/>
      <c r="AR33" s="2064">
        <f t="shared" si="4"/>
        <v>0</v>
      </c>
      <c r="AS33" s="2062"/>
      <c r="AT33" s="2065"/>
      <c r="AU33" s="2066">
        <v>0</v>
      </c>
      <c r="AV33" s="2067"/>
      <c r="AW33" s="2068"/>
      <c r="AX33" s="2069">
        <v>0</v>
      </c>
      <c r="AY33" s="2067"/>
      <c r="AZ33" s="2070"/>
      <c r="BA33" s="2062">
        <f t="shared" si="0"/>
        <v>0</v>
      </c>
      <c r="BB33" s="2062"/>
      <c r="BC33" s="2065"/>
      <c r="BD33" s="2071">
        <f>+personnel_nonteach_guidancecounsel1_actual_m+personnel_nonteach_guidancecounsel1_borrowed_m</f>
        <v>0</v>
      </c>
      <c r="BE33" s="2062"/>
      <c r="BF33" s="2072"/>
      <c r="BG33" s="2062">
        <f>+personnel_nonteach_guidancecounsel1_actual_f+personnel_nonteach_guidancecounsel1_borrowed_f</f>
        <v>0</v>
      </c>
      <c r="BH33" s="2062"/>
      <c r="BI33" s="2063"/>
      <c r="BJ33" s="2064">
        <f t="shared" si="1"/>
        <v>0</v>
      </c>
      <c r="BK33" s="2062"/>
      <c r="BL33" s="2065"/>
      <c r="BM33" s="224"/>
      <c r="BN33" s="1710" t="str">
        <f>IF(AR33&lt;&gt;personnel_nonteach_guidancecounsel1_psipop, "Column 12 shall tally with entries in Column 2.","")</f>
        <v/>
      </c>
      <c r="BO33" s="224"/>
      <c r="BP33" s="224"/>
      <c r="BQ33" s="224"/>
      <c r="BR33" s="224"/>
      <c r="BS33" s="224"/>
      <c r="BT33" s="224"/>
      <c r="BU33" s="224"/>
      <c r="BV33" s="224"/>
      <c r="BW33" s="224"/>
      <c r="BX33" s="224"/>
      <c r="BY33" s="224"/>
      <c r="BZ33" s="224"/>
      <c r="CA33" s="224"/>
      <c r="CB33" s="224"/>
      <c r="CC33" s="224"/>
      <c r="CD33" s="224"/>
      <c r="CE33" s="224"/>
    </row>
    <row r="34" spans="1:83" s="49" customFormat="1" ht="21" customHeight="1">
      <c r="A34" s="224"/>
      <c r="B34" s="297"/>
      <c r="C34" s="224" t="s">
        <v>227</v>
      </c>
      <c r="D34" s="224"/>
      <c r="E34" s="224"/>
      <c r="F34" s="224"/>
      <c r="G34" s="224"/>
      <c r="H34" s="224"/>
      <c r="I34" s="224"/>
      <c r="J34" s="224"/>
      <c r="K34" s="224"/>
      <c r="L34" s="298"/>
      <c r="M34" s="2037">
        <v>0</v>
      </c>
      <c r="N34" s="2032"/>
      <c r="O34" s="2038"/>
      <c r="P34" s="2037">
        <v>0</v>
      </c>
      <c r="Q34" s="2032"/>
      <c r="R34" s="2039"/>
      <c r="S34" s="2031">
        <v>0</v>
      </c>
      <c r="T34" s="2032"/>
      <c r="U34" s="2033"/>
      <c r="V34" s="2013">
        <f t="shared" si="2"/>
        <v>0</v>
      </c>
      <c r="W34" s="2014"/>
      <c r="X34" s="2035"/>
      <c r="Y34" s="2031">
        <v>0</v>
      </c>
      <c r="Z34" s="2032"/>
      <c r="AA34" s="2039"/>
      <c r="AB34" s="2031">
        <v>0</v>
      </c>
      <c r="AC34" s="2032"/>
      <c r="AD34" s="2039"/>
      <c r="AE34" s="2031">
        <v>0</v>
      </c>
      <c r="AF34" s="2032"/>
      <c r="AG34" s="2039"/>
      <c r="AH34" s="2031">
        <v>0</v>
      </c>
      <c r="AI34" s="2032"/>
      <c r="AJ34" s="2039"/>
      <c r="AK34" s="2031">
        <v>0</v>
      </c>
      <c r="AL34" s="2032"/>
      <c r="AM34" s="2032"/>
      <c r="AN34" s="2033"/>
      <c r="AO34" s="2013">
        <f t="shared" si="3"/>
        <v>0</v>
      </c>
      <c r="AP34" s="2014"/>
      <c r="AQ34" s="2036"/>
      <c r="AR34" s="2013">
        <f t="shared" si="4"/>
        <v>0</v>
      </c>
      <c r="AS34" s="2014"/>
      <c r="AT34" s="2015"/>
      <c r="AU34" s="2037">
        <v>0</v>
      </c>
      <c r="AV34" s="2032"/>
      <c r="AW34" s="2039"/>
      <c r="AX34" s="2031">
        <v>0</v>
      </c>
      <c r="AY34" s="2032"/>
      <c r="AZ34" s="2033"/>
      <c r="BA34" s="2014">
        <f t="shared" si="0"/>
        <v>0</v>
      </c>
      <c r="BB34" s="2014"/>
      <c r="BC34" s="2015"/>
      <c r="BD34" s="2034">
        <f>+personnel_nonteach_acct1_actual_m+personnel_nonteach_acct1_borrowed_m</f>
        <v>0</v>
      </c>
      <c r="BE34" s="2014"/>
      <c r="BF34" s="2035"/>
      <c r="BG34" s="2014">
        <f>+personnel_nonteach_acct1_actual_f+personnel_nonteach_acct1_borrowed_f</f>
        <v>0</v>
      </c>
      <c r="BH34" s="2014"/>
      <c r="BI34" s="2036"/>
      <c r="BJ34" s="2013">
        <f t="shared" si="1"/>
        <v>0</v>
      </c>
      <c r="BK34" s="2014"/>
      <c r="BL34" s="2015"/>
      <c r="BM34" s="224"/>
      <c r="BN34" s="1710" t="str">
        <f>IF(AR34&lt;&gt;personnel_nonteach_acct1_psipop, "Column 12 shall tally with entries in Column 2.","")</f>
        <v/>
      </c>
      <c r="BO34" s="224"/>
      <c r="BP34" s="224"/>
      <c r="BQ34" s="224"/>
      <c r="BR34" s="224"/>
      <c r="BS34" s="224"/>
      <c r="BT34" s="224"/>
      <c r="BU34" s="224"/>
      <c r="BV34" s="224"/>
      <c r="BW34" s="224"/>
      <c r="BX34" s="224"/>
      <c r="BY34" s="224"/>
      <c r="BZ34" s="224"/>
      <c r="CA34" s="224"/>
      <c r="CB34" s="224"/>
      <c r="CC34" s="224"/>
      <c r="CD34" s="224"/>
      <c r="CE34" s="224"/>
    </row>
    <row r="35" spans="1:83" s="49" customFormat="1" ht="21" customHeight="1">
      <c r="A35" s="224"/>
      <c r="B35" s="294"/>
      <c r="C35" s="295" t="s">
        <v>228</v>
      </c>
      <c r="D35" s="295"/>
      <c r="E35" s="295"/>
      <c r="F35" s="295"/>
      <c r="G35" s="295"/>
      <c r="H35" s="295"/>
      <c r="I35" s="295"/>
      <c r="J35" s="295"/>
      <c r="K35" s="295"/>
      <c r="L35" s="296"/>
      <c r="M35" s="2016">
        <v>0</v>
      </c>
      <c r="N35" s="2017"/>
      <c r="O35" s="2018"/>
      <c r="P35" s="2016">
        <v>0</v>
      </c>
      <c r="Q35" s="2017"/>
      <c r="R35" s="2019"/>
      <c r="S35" s="2020">
        <v>0</v>
      </c>
      <c r="T35" s="2017"/>
      <c r="U35" s="2021"/>
      <c r="V35" s="2022">
        <f t="shared" si="2"/>
        <v>0</v>
      </c>
      <c r="W35" s="2023"/>
      <c r="X35" s="2024"/>
      <c r="Y35" s="2020">
        <v>0</v>
      </c>
      <c r="Z35" s="2017"/>
      <c r="AA35" s="2019"/>
      <c r="AB35" s="2020">
        <v>0</v>
      </c>
      <c r="AC35" s="2017"/>
      <c r="AD35" s="2019"/>
      <c r="AE35" s="2020">
        <v>0</v>
      </c>
      <c r="AF35" s="2017"/>
      <c r="AG35" s="2019"/>
      <c r="AH35" s="2020">
        <v>0</v>
      </c>
      <c r="AI35" s="2017"/>
      <c r="AJ35" s="2019"/>
      <c r="AK35" s="2020">
        <v>0</v>
      </c>
      <c r="AL35" s="2017"/>
      <c r="AM35" s="2017"/>
      <c r="AN35" s="2021"/>
      <c r="AO35" s="2022">
        <f t="shared" si="3"/>
        <v>0</v>
      </c>
      <c r="AP35" s="2023"/>
      <c r="AQ35" s="2025"/>
      <c r="AR35" s="2022">
        <f t="shared" si="4"/>
        <v>0</v>
      </c>
      <c r="AS35" s="2023"/>
      <c r="AT35" s="2026"/>
      <c r="AU35" s="2016">
        <v>0</v>
      </c>
      <c r="AV35" s="2017"/>
      <c r="AW35" s="2019"/>
      <c r="AX35" s="2020">
        <v>0</v>
      </c>
      <c r="AY35" s="2017"/>
      <c r="AZ35" s="2021"/>
      <c r="BA35" s="2023">
        <f t="shared" si="0"/>
        <v>0</v>
      </c>
      <c r="BB35" s="2023"/>
      <c r="BC35" s="2026"/>
      <c r="BD35" s="2050">
        <f>+personnel_nonteach_pdo1_actual_m+personnel_nonteach_pdo1_borrowed_m</f>
        <v>0</v>
      </c>
      <c r="BE35" s="2023"/>
      <c r="BF35" s="2024"/>
      <c r="BG35" s="2023">
        <f>+personnel_nonteach_pdo1_actual_f+personnel_nonteach_pdo1_borrowed_f</f>
        <v>0</v>
      </c>
      <c r="BH35" s="2023"/>
      <c r="BI35" s="2025"/>
      <c r="BJ35" s="2022">
        <f t="shared" si="1"/>
        <v>0</v>
      </c>
      <c r="BK35" s="2023"/>
      <c r="BL35" s="2026"/>
      <c r="BM35" s="224"/>
      <c r="BN35" s="1710" t="str">
        <f>IF(AR35&lt;&gt;personnel_nonteach_pdo1_psipop, "Column 12 shall tally with entries in Column 2.","")</f>
        <v/>
      </c>
      <c r="BO35" s="224"/>
      <c r="BP35" s="224"/>
      <c r="BQ35" s="224"/>
      <c r="BR35" s="224"/>
      <c r="BS35" s="224"/>
      <c r="BT35" s="224"/>
      <c r="BU35" s="224"/>
      <c r="BV35" s="224"/>
      <c r="BW35" s="224"/>
      <c r="BX35" s="224"/>
      <c r="BY35" s="224"/>
      <c r="BZ35" s="224"/>
      <c r="CA35" s="224"/>
      <c r="CB35" s="224"/>
      <c r="CC35" s="224"/>
      <c r="CD35" s="224"/>
      <c r="CE35" s="224"/>
    </row>
    <row r="36" spans="1:83" s="49" customFormat="1" ht="21" customHeight="1">
      <c r="A36" s="224"/>
      <c r="B36" s="294"/>
      <c r="C36" s="295" t="s">
        <v>229</v>
      </c>
      <c r="D36" s="295"/>
      <c r="E36" s="295"/>
      <c r="F36" s="295"/>
      <c r="G36" s="295"/>
      <c r="H36" s="295"/>
      <c r="I36" s="295"/>
      <c r="J36" s="295"/>
      <c r="K36" s="295"/>
      <c r="L36" s="296"/>
      <c r="M36" s="2037">
        <v>0</v>
      </c>
      <c r="N36" s="2032"/>
      <c r="O36" s="2038"/>
      <c r="P36" s="2037">
        <v>0</v>
      </c>
      <c r="Q36" s="2032"/>
      <c r="R36" s="2039"/>
      <c r="S36" s="2031">
        <v>0</v>
      </c>
      <c r="T36" s="2032"/>
      <c r="U36" s="2033"/>
      <c r="V36" s="2013">
        <f t="shared" si="2"/>
        <v>0</v>
      </c>
      <c r="W36" s="2014"/>
      <c r="X36" s="2035"/>
      <c r="Y36" s="2031">
        <v>0</v>
      </c>
      <c r="Z36" s="2032"/>
      <c r="AA36" s="2039"/>
      <c r="AB36" s="2031">
        <v>0</v>
      </c>
      <c r="AC36" s="2032"/>
      <c r="AD36" s="2039"/>
      <c r="AE36" s="2031">
        <v>0</v>
      </c>
      <c r="AF36" s="2032"/>
      <c r="AG36" s="2039"/>
      <c r="AH36" s="2031">
        <v>0</v>
      </c>
      <c r="AI36" s="2032"/>
      <c r="AJ36" s="2039"/>
      <c r="AK36" s="2031">
        <v>0</v>
      </c>
      <c r="AL36" s="2032"/>
      <c r="AM36" s="2032"/>
      <c r="AN36" s="2033"/>
      <c r="AO36" s="2013">
        <f t="shared" si="3"/>
        <v>0</v>
      </c>
      <c r="AP36" s="2014"/>
      <c r="AQ36" s="2036"/>
      <c r="AR36" s="2013">
        <f t="shared" si="4"/>
        <v>0</v>
      </c>
      <c r="AS36" s="2014"/>
      <c r="AT36" s="2015"/>
      <c r="AU36" s="2037">
        <v>0</v>
      </c>
      <c r="AV36" s="2032"/>
      <c r="AW36" s="2039"/>
      <c r="AX36" s="2031">
        <v>0</v>
      </c>
      <c r="AY36" s="2032"/>
      <c r="AZ36" s="2033"/>
      <c r="BA36" s="2014">
        <f t="shared" si="0"/>
        <v>0</v>
      </c>
      <c r="BB36" s="2014"/>
      <c r="BC36" s="2015"/>
      <c r="BD36" s="2034">
        <f>+personnel_nonteach_registrar1_actual_m+personnel_nonteach_registrar1_borrowed_m</f>
        <v>0</v>
      </c>
      <c r="BE36" s="2014"/>
      <c r="BF36" s="2035"/>
      <c r="BG36" s="2014">
        <f>+personnel_nonteach_registrar1_actual_f+personnel_nonteach_registrar1_borrowed_f</f>
        <v>0</v>
      </c>
      <c r="BH36" s="2014"/>
      <c r="BI36" s="2036"/>
      <c r="BJ36" s="2013">
        <f t="shared" si="1"/>
        <v>0</v>
      </c>
      <c r="BK36" s="2014"/>
      <c r="BL36" s="2015"/>
      <c r="BM36" s="224"/>
      <c r="BN36" s="1710" t="str">
        <f>IF(AR36&lt;&gt;personnel_nonteach_registrar1_psipop, "Column 12 shall tally with entries in Column 2.","")</f>
        <v/>
      </c>
      <c r="BO36" s="224"/>
      <c r="BP36" s="224"/>
      <c r="BQ36" s="224"/>
      <c r="BR36" s="224"/>
      <c r="BS36" s="224"/>
      <c r="BT36" s="224"/>
      <c r="BU36" s="224"/>
      <c r="BV36" s="224"/>
      <c r="BW36" s="224"/>
      <c r="BX36" s="224"/>
      <c r="BY36" s="224"/>
      <c r="BZ36" s="224"/>
      <c r="CA36" s="224"/>
      <c r="CB36" s="224"/>
      <c r="CC36" s="224"/>
      <c r="CD36" s="224"/>
      <c r="CE36" s="224"/>
    </row>
    <row r="37" spans="1:83" s="49" customFormat="1" ht="21" customHeight="1">
      <c r="A37" s="224"/>
      <c r="B37" s="294"/>
      <c r="C37" s="295" t="s">
        <v>230</v>
      </c>
      <c r="D37" s="295"/>
      <c r="E37" s="295"/>
      <c r="F37" s="295"/>
      <c r="G37" s="295"/>
      <c r="H37" s="295"/>
      <c r="I37" s="295"/>
      <c r="J37" s="295"/>
      <c r="K37" s="295"/>
      <c r="L37" s="296"/>
      <c r="M37" s="2037">
        <v>0</v>
      </c>
      <c r="N37" s="2032"/>
      <c r="O37" s="2038"/>
      <c r="P37" s="2037">
        <v>0</v>
      </c>
      <c r="Q37" s="2032"/>
      <c r="R37" s="2039"/>
      <c r="S37" s="2031">
        <v>0</v>
      </c>
      <c r="T37" s="2032"/>
      <c r="U37" s="2033"/>
      <c r="V37" s="2013">
        <f t="shared" si="2"/>
        <v>0</v>
      </c>
      <c r="W37" s="2014"/>
      <c r="X37" s="2035"/>
      <c r="Y37" s="2031">
        <v>0</v>
      </c>
      <c r="Z37" s="2032"/>
      <c r="AA37" s="2039"/>
      <c r="AB37" s="2031">
        <v>0</v>
      </c>
      <c r="AC37" s="2032"/>
      <c r="AD37" s="2039"/>
      <c r="AE37" s="2031">
        <v>0</v>
      </c>
      <c r="AF37" s="2032"/>
      <c r="AG37" s="2039"/>
      <c r="AH37" s="2031">
        <v>0</v>
      </c>
      <c r="AI37" s="2032"/>
      <c r="AJ37" s="2039"/>
      <c r="AK37" s="2031">
        <v>0</v>
      </c>
      <c r="AL37" s="2032"/>
      <c r="AM37" s="2032"/>
      <c r="AN37" s="2033"/>
      <c r="AO37" s="2013">
        <f t="shared" si="3"/>
        <v>0</v>
      </c>
      <c r="AP37" s="2014"/>
      <c r="AQ37" s="2036"/>
      <c r="AR37" s="2013">
        <f t="shared" si="4"/>
        <v>0</v>
      </c>
      <c r="AS37" s="2014"/>
      <c r="AT37" s="2015"/>
      <c r="AU37" s="2037">
        <v>0</v>
      </c>
      <c r="AV37" s="2032"/>
      <c r="AW37" s="2039"/>
      <c r="AX37" s="2031">
        <v>0</v>
      </c>
      <c r="AY37" s="2032"/>
      <c r="AZ37" s="2033"/>
      <c r="BA37" s="2014">
        <f t="shared" si="0"/>
        <v>0</v>
      </c>
      <c r="BB37" s="2014"/>
      <c r="BC37" s="2015"/>
      <c r="BD37" s="2034">
        <f>+personnel_nonteach_chsr1_actual_m+personnel_nonteach_chsr1_borrowed_m</f>
        <v>0</v>
      </c>
      <c r="BE37" s="2014"/>
      <c r="BF37" s="2035"/>
      <c r="BG37" s="2014">
        <f>+personnel_nonteach_chsr1_actual_f+personnel_nonteach_chsr1_borrowed_f</f>
        <v>0</v>
      </c>
      <c r="BH37" s="2014"/>
      <c r="BI37" s="2036"/>
      <c r="BJ37" s="2013">
        <f t="shared" si="1"/>
        <v>0</v>
      </c>
      <c r="BK37" s="2014"/>
      <c r="BL37" s="2015"/>
      <c r="BM37" s="224"/>
      <c r="BN37" s="1710" t="str">
        <f>IF(AR37&lt;&gt;personnel_nonteach_chsr1_psipop, "Column 12 shall tally with entries in Column 2.","")</f>
        <v/>
      </c>
      <c r="BO37" s="224"/>
      <c r="BP37" s="224"/>
      <c r="BQ37" s="224"/>
      <c r="BR37" s="224"/>
      <c r="BS37" s="224"/>
      <c r="BT37" s="224"/>
      <c r="BU37" s="224"/>
      <c r="BV37" s="224"/>
      <c r="BW37" s="224"/>
      <c r="BX37" s="224"/>
      <c r="BY37" s="224"/>
      <c r="BZ37" s="224"/>
      <c r="CA37" s="224"/>
      <c r="CB37" s="224"/>
      <c r="CC37" s="224"/>
      <c r="CD37" s="224"/>
      <c r="CE37" s="224"/>
    </row>
    <row r="38" spans="1:83" s="49" customFormat="1" ht="21" customHeight="1">
      <c r="A38" s="224"/>
      <c r="B38" s="294"/>
      <c r="C38" s="295" t="s">
        <v>231</v>
      </c>
      <c r="D38" s="295"/>
      <c r="E38" s="295"/>
      <c r="F38" s="295"/>
      <c r="G38" s="295"/>
      <c r="H38" s="295"/>
      <c r="I38" s="295"/>
      <c r="J38" s="295"/>
      <c r="K38" s="295"/>
      <c r="L38" s="296"/>
      <c r="M38" s="2037">
        <v>0</v>
      </c>
      <c r="N38" s="2032"/>
      <c r="O38" s="2038"/>
      <c r="P38" s="2037">
        <v>0</v>
      </c>
      <c r="Q38" s="2032"/>
      <c r="R38" s="2039"/>
      <c r="S38" s="2031">
        <v>0</v>
      </c>
      <c r="T38" s="2032"/>
      <c r="U38" s="2033"/>
      <c r="V38" s="2013">
        <f t="shared" si="2"/>
        <v>0</v>
      </c>
      <c r="W38" s="2014"/>
      <c r="X38" s="2035"/>
      <c r="Y38" s="2031">
        <v>0</v>
      </c>
      <c r="Z38" s="2032"/>
      <c r="AA38" s="2039"/>
      <c r="AB38" s="2031">
        <v>0</v>
      </c>
      <c r="AC38" s="2032"/>
      <c r="AD38" s="2039"/>
      <c r="AE38" s="2031">
        <v>0</v>
      </c>
      <c r="AF38" s="2032"/>
      <c r="AG38" s="2039"/>
      <c r="AH38" s="2031">
        <v>0</v>
      </c>
      <c r="AI38" s="2032"/>
      <c r="AJ38" s="2039"/>
      <c r="AK38" s="2031">
        <v>0</v>
      </c>
      <c r="AL38" s="2032"/>
      <c r="AM38" s="2032"/>
      <c r="AN38" s="2033"/>
      <c r="AO38" s="2013">
        <f t="shared" si="3"/>
        <v>0</v>
      </c>
      <c r="AP38" s="2014"/>
      <c r="AQ38" s="2036"/>
      <c r="AR38" s="2013">
        <f t="shared" si="4"/>
        <v>0</v>
      </c>
      <c r="AS38" s="2014"/>
      <c r="AT38" s="2015"/>
      <c r="AU38" s="2037">
        <v>0</v>
      </c>
      <c r="AV38" s="2032"/>
      <c r="AW38" s="2039"/>
      <c r="AX38" s="2031">
        <v>0</v>
      </c>
      <c r="AY38" s="2032"/>
      <c r="AZ38" s="2033"/>
      <c r="BA38" s="2014">
        <f t="shared" si="0"/>
        <v>0</v>
      </c>
      <c r="BB38" s="2014"/>
      <c r="BC38" s="2015"/>
      <c r="BD38" s="2034">
        <f>+personnel_nonteach_supplofcr1_actual_m+personnel_nonteach_supplofcr1_borrowed_m</f>
        <v>0</v>
      </c>
      <c r="BE38" s="2014"/>
      <c r="BF38" s="2035"/>
      <c r="BG38" s="2014">
        <f>+personnel_nonteach_supplofcr1_actual_f+personnel_nonteach_supplofcr1_borrowed_f</f>
        <v>0</v>
      </c>
      <c r="BH38" s="2014"/>
      <c r="BI38" s="2036"/>
      <c r="BJ38" s="2013">
        <f t="shared" si="1"/>
        <v>0</v>
      </c>
      <c r="BK38" s="2014"/>
      <c r="BL38" s="2015"/>
      <c r="BM38" s="224"/>
      <c r="BN38" s="1710" t="str">
        <f>IF(AR38&lt;&gt;personnel_nonteach_supplofcr1_psipop, "Column 12 shall tally with entries in Column 2.","")</f>
        <v/>
      </c>
      <c r="BO38" s="224"/>
      <c r="BP38" s="224"/>
      <c r="BQ38" s="224"/>
      <c r="BR38" s="224"/>
      <c r="BS38" s="224"/>
      <c r="BT38" s="224"/>
      <c r="BU38" s="224"/>
      <c r="BV38" s="224"/>
      <c r="BW38" s="224"/>
      <c r="BX38" s="224"/>
      <c r="BY38" s="224"/>
      <c r="BZ38" s="224"/>
      <c r="CA38" s="224"/>
      <c r="CB38" s="224"/>
      <c r="CC38" s="224"/>
      <c r="CD38" s="224"/>
      <c r="CE38" s="224"/>
    </row>
    <row r="39" spans="1:83" s="49" customFormat="1" ht="33" customHeight="1">
      <c r="A39" s="224"/>
      <c r="B39" s="299"/>
      <c r="C39" s="2186" t="s">
        <v>232</v>
      </c>
      <c r="D39" s="2186"/>
      <c r="E39" s="2186"/>
      <c r="F39" s="2186"/>
      <c r="G39" s="2186"/>
      <c r="H39" s="2186"/>
      <c r="I39" s="2186"/>
      <c r="J39" s="2186"/>
      <c r="K39" s="2186"/>
      <c r="L39" s="287"/>
      <c r="M39" s="2047">
        <v>0</v>
      </c>
      <c r="N39" s="2041"/>
      <c r="O39" s="2048"/>
      <c r="P39" s="2047">
        <v>0</v>
      </c>
      <c r="Q39" s="2041"/>
      <c r="R39" s="2049"/>
      <c r="S39" s="2040">
        <v>0</v>
      </c>
      <c r="T39" s="2041"/>
      <c r="U39" s="2042"/>
      <c r="V39" s="2075">
        <f t="shared" si="2"/>
        <v>0</v>
      </c>
      <c r="W39" s="2044"/>
      <c r="X39" s="2045"/>
      <c r="Y39" s="2040">
        <v>0</v>
      </c>
      <c r="Z39" s="2041"/>
      <c r="AA39" s="2049"/>
      <c r="AB39" s="2040">
        <v>0</v>
      </c>
      <c r="AC39" s="2041"/>
      <c r="AD39" s="2049"/>
      <c r="AE39" s="2040">
        <v>0</v>
      </c>
      <c r="AF39" s="2041"/>
      <c r="AG39" s="2049"/>
      <c r="AH39" s="2040">
        <v>0</v>
      </c>
      <c r="AI39" s="2041"/>
      <c r="AJ39" s="2049"/>
      <c r="AK39" s="2040">
        <v>0</v>
      </c>
      <c r="AL39" s="2041"/>
      <c r="AM39" s="2041"/>
      <c r="AN39" s="2042"/>
      <c r="AO39" s="2075">
        <f t="shared" si="3"/>
        <v>0</v>
      </c>
      <c r="AP39" s="2044"/>
      <c r="AQ39" s="2046"/>
      <c r="AR39" s="2075">
        <f t="shared" si="4"/>
        <v>0</v>
      </c>
      <c r="AS39" s="2044"/>
      <c r="AT39" s="2076"/>
      <c r="AU39" s="2047">
        <v>0</v>
      </c>
      <c r="AV39" s="2041"/>
      <c r="AW39" s="2049"/>
      <c r="AX39" s="2040">
        <v>0</v>
      </c>
      <c r="AY39" s="2041"/>
      <c r="AZ39" s="2042"/>
      <c r="BA39" s="2044">
        <f t="shared" si="0"/>
        <v>0</v>
      </c>
      <c r="BB39" s="2044"/>
      <c r="BC39" s="2076"/>
      <c r="BD39" s="2043">
        <f>+personnel_nonteach_seniorbk_actual_m+personnel_nonteach_seniorbk_borrowed_m</f>
        <v>0</v>
      </c>
      <c r="BE39" s="2044"/>
      <c r="BF39" s="2045"/>
      <c r="BG39" s="2044">
        <f>+personnel_nonteach_seniorbk_actual_f+personnel_nonteach_seniorbk_borrowed_f</f>
        <v>0</v>
      </c>
      <c r="BH39" s="2044"/>
      <c r="BI39" s="2046"/>
      <c r="BJ39" s="2075">
        <f t="shared" si="1"/>
        <v>0</v>
      </c>
      <c r="BK39" s="2044"/>
      <c r="BL39" s="2076"/>
      <c r="BM39" s="224"/>
      <c r="BN39" s="1710" t="str">
        <f>IF(AR39&lt;&gt;personnel_nonteach_seniorbk_psipop, "Column 12 shall tally with entries in Column 2.","")</f>
        <v/>
      </c>
      <c r="BO39" s="224"/>
      <c r="BP39" s="224"/>
      <c r="BQ39" s="224"/>
      <c r="BR39" s="224"/>
      <c r="BS39" s="224"/>
      <c r="BT39" s="224"/>
      <c r="BU39" s="224"/>
      <c r="BV39" s="224"/>
      <c r="BW39" s="224"/>
      <c r="BX39" s="224"/>
      <c r="BY39" s="224"/>
      <c r="BZ39" s="224"/>
      <c r="CA39" s="224"/>
      <c r="CB39" s="224"/>
      <c r="CC39" s="224"/>
      <c r="CD39" s="224"/>
      <c r="CE39" s="224"/>
    </row>
    <row r="40" spans="1:83" s="49" customFormat="1" ht="33" customHeight="1">
      <c r="A40" s="224"/>
      <c r="B40" s="300"/>
      <c r="C40" s="2187" t="s">
        <v>233</v>
      </c>
      <c r="D40" s="2187"/>
      <c r="E40" s="2187"/>
      <c r="F40" s="2187"/>
      <c r="G40" s="2187"/>
      <c r="H40" s="2187"/>
      <c r="I40" s="2187"/>
      <c r="J40" s="2187"/>
      <c r="K40" s="2187"/>
      <c r="L40" s="301"/>
      <c r="M40" s="2066">
        <v>1</v>
      </c>
      <c r="N40" s="2067"/>
      <c r="O40" s="2074"/>
      <c r="P40" s="2066">
        <v>1</v>
      </c>
      <c r="Q40" s="2067"/>
      <c r="R40" s="2068"/>
      <c r="S40" s="2069">
        <v>0</v>
      </c>
      <c r="T40" s="2067"/>
      <c r="U40" s="2070"/>
      <c r="V40" s="2064">
        <f t="shared" si="2"/>
        <v>1</v>
      </c>
      <c r="W40" s="2062"/>
      <c r="X40" s="2072"/>
      <c r="Y40" s="2069">
        <v>0</v>
      </c>
      <c r="Z40" s="2067"/>
      <c r="AA40" s="2068"/>
      <c r="AB40" s="2069">
        <v>0</v>
      </c>
      <c r="AC40" s="2067"/>
      <c r="AD40" s="2068"/>
      <c r="AE40" s="2069">
        <v>0</v>
      </c>
      <c r="AF40" s="2067"/>
      <c r="AG40" s="2068"/>
      <c r="AH40" s="2069">
        <v>0</v>
      </c>
      <c r="AI40" s="2067"/>
      <c r="AJ40" s="2068"/>
      <c r="AK40" s="2069">
        <v>0</v>
      </c>
      <c r="AL40" s="2067"/>
      <c r="AM40" s="2067"/>
      <c r="AN40" s="2070"/>
      <c r="AO40" s="2064">
        <f t="shared" si="3"/>
        <v>0</v>
      </c>
      <c r="AP40" s="2062"/>
      <c r="AQ40" s="2063"/>
      <c r="AR40" s="2064">
        <f t="shared" si="4"/>
        <v>1</v>
      </c>
      <c r="AS40" s="2062"/>
      <c r="AT40" s="2065"/>
      <c r="AU40" s="2066">
        <v>0</v>
      </c>
      <c r="AV40" s="2067"/>
      <c r="AW40" s="2068"/>
      <c r="AX40" s="2069">
        <v>0</v>
      </c>
      <c r="AY40" s="2067"/>
      <c r="AZ40" s="2070"/>
      <c r="BA40" s="2062">
        <f t="shared" si="0"/>
        <v>0</v>
      </c>
      <c r="BB40" s="2062"/>
      <c r="BC40" s="2065"/>
      <c r="BD40" s="2071">
        <f>+personnel_nonteach_adminasst2_actual_m+personnel_nonteach_adminasst2_borrowed_m</f>
        <v>1</v>
      </c>
      <c r="BE40" s="2062"/>
      <c r="BF40" s="2072"/>
      <c r="BG40" s="2062">
        <f>+personnel_nonteach_adminasst2_actual_f+personnel_nonteach_adminasst2_borrowed_f</f>
        <v>0</v>
      </c>
      <c r="BH40" s="2062"/>
      <c r="BI40" s="2063"/>
      <c r="BJ40" s="2064">
        <f t="shared" si="1"/>
        <v>1</v>
      </c>
      <c r="BK40" s="2062"/>
      <c r="BL40" s="2065"/>
      <c r="BM40" s="224"/>
      <c r="BN40" s="1710" t="str">
        <f>IF(AR40&lt;&gt;personnel_nonteach_adminasst2_psipop, "Column 12 shall tally with entries in Column 2.","")</f>
        <v/>
      </c>
      <c r="BO40" s="224"/>
      <c r="BP40" s="224"/>
      <c r="BQ40" s="224"/>
      <c r="BR40" s="224"/>
      <c r="BS40" s="224"/>
      <c r="BT40" s="224"/>
      <c r="BU40" s="224"/>
      <c r="BV40" s="224"/>
      <c r="BW40" s="224"/>
      <c r="BX40" s="224"/>
      <c r="BY40" s="224"/>
      <c r="BZ40" s="224"/>
      <c r="CA40" s="224"/>
      <c r="CB40" s="224"/>
      <c r="CC40" s="224"/>
      <c r="CD40" s="224"/>
      <c r="CE40" s="224"/>
    </row>
    <row r="41" spans="1:83" s="49" customFormat="1" ht="21" customHeight="1">
      <c r="A41" s="224"/>
      <c r="B41" s="294"/>
      <c r="C41" s="295" t="s">
        <v>234</v>
      </c>
      <c r="D41" s="295"/>
      <c r="E41" s="295"/>
      <c r="F41" s="295"/>
      <c r="G41" s="295"/>
      <c r="H41" s="295"/>
      <c r="I41" s="295"/>
      <c r="J41" s="295"/>
      <c r="K41" s="295"/>
      <c r="L41" s="296"/>
      <c r="M41" s="2037">
        <v>0</v>
      </c>
      <c r="N41" s="2032"/>
      <c r="O41" s="2038"/>
      <c r="P41" s="2037">
        <v>0</v>
      </c>
      <c r="Q41" s="2032"/>
      <c r="R41" s="2039"/>
      <c r="S41" s="2031">
        <v>0</v>
      </c>
      <c r="T41" s="2032"/>
      <c r="U41" s="2033"/>
      <c r="V41" s="2013">
        <f t="shared" si="2"/>
        <v>0</v>
      </c>
      <c r="W41" s="2014"/>
      <c r="X41" s="2035"/>
      <c r="Y41" s="2031">
        <v>0</v>
      </c>
      <c r="Z41" s="2032"/>
      <c r="AA41" s="2039"/>
      <c r="AB41" s="2031">
        <v>0</v>
      </c>
      <c r="AC41" s="2032"/>
      <c r="AD41" s="2039"/>
      <c r="AE41" s="2031">
        <v>0</v>
      </c>
      <c r="AF41" s="2032"/>
      <c r="AG41" s="2039"/>
      <c r="AH41" s="2031">
        <v>0</v>
      </c>
      <c r="AI41" s="2032"/>
      <c r="AJ41" s="2039"/>
      <c r="AK41" s="2031">
        <v>0</v>
      </c>
      <c r="AL41" s="2032"/>
      <c r="AM41" s="2032"/>
      <c r="AN41" s="2033"/>
      <c r="AO41" s="2013">
        <f t="shared" si="3"/>
        <v>0</v>
      </c>
      <c r="AP41" s="2014"/>
      <c r="AQ41" s="2036"/>
      <c r="AR41" s="2013">
        <f t="shared" si="4"/>
        <v>0</v>
      </c>
      <c r="AS41" s="2014"/>
      <c r="AT41" s="2015"/>
      <c r="AU41" s="2037">
        <v>0</v>
      </c>
      <c r="AV41" s="2032"/>
      <c r="AW41" s="2039"/>
      <c r="AX41" s="2031">
        <v>0</v>
      </c>
      <c r="AY41" s="2032"/>
      <c r="AZ41" s="2033"/>
      <c r="BA41" s="2014">
        <f t="shared" si="0"/>
        <v>0</v>
      </c>
      <c r="BB41" s="2014"/>
      <c r="BC41" s="2015"/>
      <c r="BD41" s="2034">
        <f>+personnel_nonteach_adminasst1_actual_m+personnel_nonteach_adminasst1_borrowed_m</f>
        <v>0</v>
      </c>
      <c r="BE41" s="2014"/>
      <c r="BF41" s="2035"/>
      <c r="BG41" s="2014">
        <f>+personnel_nonteach_adminasst1_actual_f+personnel_nonteach_adminasst1_borrowed_f</f>
        <v>0</v>
      </c>
      <c r="BH41" s="2014"/>
      <c r="BI41" s="2036"/>
      <c r="BJ41" s="2013">
        <f t="shared" si="1"/>
        <v>0</v>
      </c>
      <c r="BK41" s="2014"/>
      <c r="BL41" s="2015"/>
      <c r="BM41" s="224"/>
      <c r="BN41" s="1710" t="str">
        <f>IF(AR41&lt;&gt;personnel_nonteach_adminasst1_psipop, "Column 12 shall tally with entries in Column 2.","")</f>
        <v/>
      </c>
      <c r="BO41" s="224"/>
      <c r="BP41" s="224"/>
      <c r="BQ41" s="224"/>
      <c r="BR41" s="224"/>
      <c r="BS41" s="224"/>
      <c r="BT41" s="224"/>
      <c r="BU41" s="224"/>
      <c r="BV41" s="224"/>
      <c r="BW41" s="224"/>
      <c r="BX41" s="224"/>
      <c r="BY41" s="224"/>
      <c r="BZ41" s="224"/>
      <c r="CA41" s="224"/>
      <c r="CB41" s="224"/>
      <c r="CC41" s="224"/>
      <c r="CD41" s="224"/>
      <c r="CE41" s="224"/>
    </row>
    <row r="42" spans="1:83" s="49" customFormat="1" ht="21" customHeight="1">
      <c r="A42" s="224"/>
      <c r="B42" s="294"/>
      <c r="C42" s="295" t="s">
        <v>235</v>
      </c>
      <c r="D42" s="295"/>
      <c r="E42" s="295"/>
      <c r="F42" s="295"/>
      <c r="G42" s="295"/>
      <c r="H42" s="295"/>
      <c r="I42" s="295"/>
      <c r="J42" s="295"/>
      <c r="K42" s="295"/>
      <c r="L42" s="296"/>
      <c r="M42" s="2037">
        <v>0</v>
      </c>
      <c r="N42" s="2032"/>
      <c r="O42" s="2038"/>
      <c r="P42" s="2037">
        <v>0</v>
      </c>
      <c r="Q42" s="2032"/>
      <c r="R42" s="2039"/>
      <c r="S42" s="2031">
        <v>0</v>
      </c>
      <c r="T42" s="2032"/>
      <c r="U42" s="2033"/>
      <c r="V42" s="2013">
        <f t="shared" si="2"/>
        <v>0</v>
      </c>
      <c r="W42" s="2014"/>
      <c r="X42" s="2035"/>
      <c r="Y42" s="2031">
        <v>0</v>
      </c>
      <c r="Z42" s="2032"/>
      <c r="AA42" s="2039"/>
      <c r="AB42" s="2031">
        <v>0</v>
      </c>
      <c r="AC42" s="2032"/>
      <c r="AD42" s="2039"/>
      <c r="AE42" s="2031">
        <v>0</v>
      </c>
      <c r="AF42" s="2032"/>
      <c r="AG42" s="2039"/>
      <c r="AH42" s="2031">
        <v>0</v>
      </c>
      <c r="AI42" s="2032"/>
      <c r="AJ42" s="2039"/>
      <c r="AK42" s="2031">
        <v>0</v>
      </c>
      <c r="AL42" s="2032"/>
      <c r="AM42" s="2032"/>
      <c r="AN42" s="2033"/>
      <c r="AO42" s="2013">
        <f t="shared" si="3"/>
        <v>0</v>
      </c>
      <c r="AP42" s="2014"/>
      <c r="AQ42" s="2036"/>
      <c r="AR42" s="2013">
        <f t="shared" si="4"/>
        <v>0</v>
      </c>
      <c r="AS42" s="2014"/>
      <c r="AT42" s="2015"/>
      <c r="AU42" s="2037">
        <v>0</v>
      </c>
      <c r="AV42" s="2032"/>
      <c r="AW42" s="2039"/>
      <c r="AX42" s="2031">
        <v>0</v>
      </c>
      <c r="AY42" s="2032"/>
      <c r="AZ42" s="2033"/>
      <c r="BA42" s="2014">
        <f t="shared" si="0"/>
        <v>0</v>
      </c>
      <c r="BB42" s="2014"/>
      <c r="BC42" s="2015"/>
      <c r="BD42" s="2034">
        <f>+personnel_nonteach_adminaide6_actual_m+personnel_nonteach_adminaide6_borrowed_m</f>
        <v>0</v>
      </c>
      <c r="BE42" s="2014"/>
      <c r="BF42" s="2035"/>
      <c r="BG42" s="2014">
        <f>+personnel_nonteach_adminaide6_actual_f+personnel_nonteach_adminaide6_borrowed_f</f>
        <v>0</v>
      </c>
      <c r="BH42" s="2014"/>
      <c r="BI42" s="2036"/>
      <c r="BJ42" s="2013">
        <f t="shared" si="1"/>
        <v>0</v>
      </c>
      <c r="BK42" s="2014"/>
      <c r="BL42" s="2015"/>
      <c r="BM42" s="224"/>
      <c r="BN42" s="1710" t="str">
        <f>IF(AR42&lt;&gt;personnel_nonteach_adminaide6_psipop, "Column 12 shall tally with entries in Column 2.","")</f>
        <v/>
      </c>
      <c r="BO42" s="224"/>
      <c r="BP42" s="224"/>
      <c r="BQ42" s="224"/>
      <c r="BR42" s="224"/>
      <c r="BS42" s="224"/>
      <c r="BT42" s="224"/>
      <c r="BU42" s="224"/>
      <c r="BV42" s="224"/>
      <c r="BW42" s="224"/>
      <c r="BX42" s="224"/>
      <c r="BY42" s="224"/>
      <c r="BZ42" s="224"/>
      <c r="CA42" s="224"/>
      <c r="CB42" s="224"/>
      <c r="CC42" s="224"/>
      <c r="CD42" s="224"/>
      <c r="CE42" s="224"/>
    </row>
    <row r="43" spans="1:83" s="49" customFormat="1" ht="21" customHeight="1">
      <c r="A43" s="224"/>
      <c r="B43" s="294"/>
      <c r="C43" s="295" t="s">
        <v>236</v>
      </c>
      <c r="D43" s="295"/>
      <c r="E43" s="295"/>
      <c r="F43" s="295"/>
      <c r="G43" s="295"/>
      <c r="H43" s="295"/>
      <c r="I43" s="295"/>
      <c r="J43" s="295"/>
      <c r="K43" s="295"/>
      <c r="L43" s="296"/>
      <c r="M43" s="2037">
        <v>0</v>
      </c>
      <c r="N43" s="2032"/>
      <c r="O43" s="2038"/>
      <c r="P43" s="2037">
        <v>0</v>
      </c>
      <c r="Q43" s="2032"/>
      <c r="R43" s="2039"/>
      <c r="S43" s="2031">
        <v>0</v>
      </c>
      <c r="T43" s="2032"/>
      <c r="U43" s="2033"/>
      <c r="V43" s="2013">
        <f t="shared" si="2"/>
        <v>0</v>
      </c>
      <c r="W43" s="2014"/>
      <c r="X43" s="2035"/>
      <c r="Y43" s="2031">
        <v>0</v>
      </c>
      <c r="Z43" s="2032"/>
      <c r="AA43" s="2039"/>
      <c r="AB43" s="2031">
        <v>0</v>
      </c>
      <c r="AC43" s="2032"/>
      <c r="AD43" s="2039"/>
      <c r="AE43" s="2031">
        <v>0</v>
      </c>
      <c r="AF43" s="2032"/>
      <c r="AG43" s="2039"/>
      <c r="AH43" s="2031">
        <v>0</v>
      </c>
      <c r="AI43" s="2032"/>
      <c r="AJ43" s="2039"/>
      <c r="AK43" s="2031">
        <v>0</v>
      </c>
      <c r="AL43" s="2032"/>
      <c r="AM43" s="2032"/>
      <c r="AN43" s="2033"/>
      <c r="AO43" s="2013">
        <f t="shared" si="3"/>
        <v>0</v>
      </c>
      <c r="AP43" s="2014"/>
      <c r="AQ43" s="2036"/>
      <c r="AR43" s="2013">
        <f t="shared" si="4"/>
        <v>0</v>
      </c>
      <c r="AS43" s="2014"/>
      <c r="AT43" s="2015"/>
      <c r="AU43" s="2037">
        <v>0</v>
      </c>
      <c r="AV43" s="2032"/>
      <c r="AW43" s="2039"/>
      <c r="AX43" s="2031">
        <v>0</v>
      </c>
      <c r="AY43" s="2032"/>
      <c r="AZ43" s="2033"/>
      <c r="BA43" s="2014">
        <f t="shared" si="0"/>
        <v>0</v>
      </c>
      <c r="BB43" s="2014"/>
      <c r="BC43" s="2015"/>
      <c r="BD43" s="2034">
        <f>+personnel_nonteach_heo1_actual_m+personnel_nonteach_heo1_borrowed_m</f>
        <v>0</v>
      </c>
      <c r="BE43" s="2014"/>
      <c r="BF43" s="2035"/>
      <c r="BG43" s="2014">
        <f>+personnel_nonteach_heo1_actual_f+personnel_nonteach_heo1_borrowed_f</f>
        <v>0</v>
      </c>
      <c r="BH43" s="2014"/>
      <c r="BI43" s="2036"/>
      <c r="BJ43" s="2013">
        <f t="shared" si="1"/>
        <v>0</v>
      </c>
      <c r="BK43" s="2014"/>
      <c r="BL43" s="2015"/>
      <c r="BM43" s="224"/>
      <c r="BN43" s="1710" t="str">
        <f>IF(AR43&lt;&gt;personnel_nonteach_heo1_psipop, "Column 12 shall tally with entries in Column 2.","")</f>
        <v/>
      </c>
      <c r="BO43" s="224"/>
      <c r="BP43" s="224"/>
      <c r="BQ43" s="224"/>
      <c r="BR43" s="224"/>
      <c r="BS43" s="224"/>
      <c r="BT43" s="224"/>
      <c r="BU43" s="224"/>
      <c r="BV43" s="224"/>
      <c r="BW43" s="224"/>
      <c r="BX43" s="224"/>
      <c r="BY43" s="224"/>
      <c r="BZ43" s="224"/>
      <c r="CA43" s="224"/>
      <c r="CB43" s="224"/>
      <c r="CC43" s="224"/>
      <c r="CD43" s="224"/>
      <c r="CE43" s="224"/>
    </row>
    <row r="44" spans="1:83" s="49" customFormat="1" ht="21" customHeight="1">
      <c r="A44" s="224"/>
      <c r="B44" s="294"/>
      <c r="C44" s="295" t="s">
        <v>237</v>
      </c>
      <c r="D44" s="295"/>
      <c r="E44" s="295"/>
      <c r="F44" s="295"/>
      <c r="G44" s="295"/>
      <c r="H44" s="295"/>
      <c r="I44" s="295"/>
      <c r="J44" s="295"/>
      <c r="K44" s="295"/>
      <c r="L44" s="296"/>
      <c r="M44" s="2037">
        <v>0</v>
      </c>
      <c r="N44" s="2032"/>
      <c r="O44" s="2038"/>
      <c r="P44" s="2037">
        <v>0</v>
      </c>
      <c r="Q44" s="2032"/>
      <c r="R44" s="2039"/>
      <c r="S44" s="2031">
        <v>0</v>
      </c>
      <c r="T44" s="2032"/>
      <c r="U44" s="2033"/>
      <c r="V44" s="2013">
        <f t="shared" si="2"/>
        <v>0</v>
      </c>
      <c r="W44" s="2014"/>
      <c r="X44" s="2035"/>
      <c r="Y44" s="2031">
        <v>0</v>
      </c>
      <c r="Z44" s="2032"/>
      <c r="AA44" s="2039"/>
      <c r="AB44" s="2031">
        <v>0</v>
      </c>
      <c r="AC44" s="2032"/>
      <c r="AD44" s="2039"/>
      <c r="AE44" s="2031">
        <v>0</v>
      </c>
      <c r="AF44" s="2032"/>
      <c r="AG44" s="2039"/>
      <c r="AH44" s="2031">
        <v>0</v>
      </c>
      <c r="AI44" s="2032"/>
      <c r="AJ44" s="2039"/>
      <c r="AK44" s="2031">
        <v>0</v>
      </c>
      <c r="AL44" s="2032"/>
      <c r="AM44" s="2032"/>
      <c r="AN44" s="2033"/>
      <c r="AO44" s="2013">
        <f t="shared" si="3"/>
        <v>0</v>
      </c>
      <c r="AP44" s="2014"/>
      <c r="AQ44" s="2036"/>
      <c r="AR44" s="2013">
        <f t="shared" si="4"/>
        <v>0</v>
      </c>
      <c r="AS44" s="2014"/>
      <c r="AT44" s="2015"/>
      <c r="AU44" s="2037">
        <v>0</v>
      </c>
      <c r="AV44" s="2032"/>
      <c r="AW44" s="2039"/>
      <c r="AX44" s="2031">
        <v>0</v>
      </c>
      <c r="AY44" s="2032"/>
      <c r="AZ44" s="2033"/>
      <c r="BA44" s="2014">
        <f t="shared" si="0"/>
        <v>0</v>
      </c>
      <c r="BB44" s="2014"/>
      <c r="BC44" s="2015"/>
      <c r="BD44" s="2034">
        <f>+personnel_nonteach_sg1_actual_m+personnel_nonteach_sg1_borrowed_m</f>
        <v>0</v>
      </c>
      <c r="BE44" s="2014"/>
      <c r="BF44" s="2035"/>
      <c r="BG44" s="2014">
        <f>+personnel_nonteach_sg1_actual_f+personnel_nonteach_sg1_borrowed_f</f>
        <v>0</v>
      </c>
      <c r="BH44" s="2014"/>
      <c r="BI44" s="2036"/>
      <c r="BJ44" s="2013">
        <f t="shared" si="1"/>
        <v>0</v>
      </c>
      <c r="BK44" s="2014"/>
      <c r="BL44" s="2015"/>
      <c r="BM44" s="224"/>
      <c r="BN44" s="1710" t="str">
        <f>IF(AR44&lt;&gt;personnel_nonteach_sg1_psipop, "Column 12 shall tally with entries in Column 2.","")</f>
        <v/>
      </c>
      <c r="BO44" s="224"/>
      <c r="BP44" s="224"/>
      <c r="BQ44" s="224"/>
      <c r="BR44" s="224"/>
      <c r="BS44" s="224"/>
      <c r="BT44" s="224"/>
      <c r="BU44" s="224"/>
      <c r="BV44" s="224"/>
      <c r="BW44" s="224"/>
      <c r="BX44" s="224"/>
      <c r="BY44" s="224"/>
      <c r="BZ44" s="224"/>
      <c r="CA44" s="224"/>
      <c r="CB44" s="224"/>
      <c r="CC44" s="224"/>
      <c r="CD44" s="224"/>
      <c r="CE44" s="224"/>
    </row>
    <row r="45" spans="1:83" s="49" customFormat="1" ht="21" customHeight="1">
      <c r="A45" s="224"/>
      <c r="B45" s="294"/>
      <c r="C45" s="295" t="s">
        <v>238</v>
      </c>
      <c r="D45" s="295"/>
      <c r="E45" s="295"/>
      <c r="F45" s="295"/>
      <c r="G45" s="295"/>
      <c r="H45" s="295"/>
      <c r="I45" s="295"/>
      <c r="J45" s="295"/>
      <c r="K45" s="295"/>
      <c r="L45" s="296"/>
      <c r="M45" s="2037">
        <v>0</v>
      </c>
      <c r="N45" s="2032"/>
      <c r="O45" s="2038"/>
      <c r="P45" s="2037">
        <v>0</v>
      </c>
      <c r="Q45" s="2032"/>
      <c r="R45" s="2039"/>
      <c r="S45" s="2031">
        <v>0</v>
      </c>
      <c r="T45" s="2032"/>
      <c r="U45" s="2033"/>
      <c r="V45" s="2013">
        <f t="shared" si="2"/>
        <v>0</v>
      </c>
      <c r="W45" s="2014"/>
      <c r="X45" s="2035"/>
      <c r="Y45" s="2031">
        <v>0</v>
      </c>
      <c r="Z45" s="2032"/>
      <c r="AA45" s="2039"/>
      <c r="AB45" s="2031">
        <v>0</v>
      </c>
      <c r="AC45" s="2032"/>
      <c r="AD45" s="2039"/>
      <c r="AE45" s="2031">
        <v>0</v>
      </c>
      <c r="AF45" s="2032"/>
      <c r="AG45" s="2039"/>
      <c r="AH45" s="2031">
        <v>0</v>
      </c>
      <c r="AI45" s="2032"/>
      <c r="AJ45" s="2039"/>
      <c r="AK45" s="2031">
        <v>0</v>
      </c>
      <c r="AL45" s="2032"/>
      <c r="AM45" s="2032"/>
      <c r="AN45" s="2033"/>
      <c r="AO45" s="2013">
        <f t="shared" si="3"/>
        <v>0</v>
      </c>
      <c r="AP45" s="2014"/>
      <c r="AQ45" s="2036"/>
      <c r="AR45" s="2013">
        <f t="shared" si="4"/>
        <v>0</v>
      </c>
      <c r="AS45" s="2014"/>
      <c r="AT45" s="2015"/>
      <c r="AU45" s="2037">
        <v>0</v>
      </c>
      <c r="AV45" s="2032"/>
      <c r="AW45" s="2039"/>
      <c r="AX45" s="2031">
        <v>0</v>
      </c>
      <c r="AY45" s="2032"/>
      <c r="AZ45" s="2033"/>
      <c r="BA45" s="2014">
        <f t="shared" si="0"/>
        <v>0</v>
      </c>
      <c r="BB45" s="2014"/>
      <c r="BC45" s="2015"/>
      <c r="BD45" s="2034">
        <f>+personnel_nonteach_leo1_actual_m+personnel_nonteach_leo1_borrowed_m</f>
        <v>0</v>
      </c>
      <c r="BE45" s="2014"/>
      <c r="BF45" s="2035"/>
      <c r="BG45" s="2014">
        <f>+personnel_nonteach_leo1_actual_f+personnel_nonteach_leo1_borrowed_f</f>
        <v>0</v>
      </c>
      <c r="BH45" s="2014"/>
      <c r="BI45" s="2036"/>
      <c r="BJ45" s="2013">
        <f t="shared" si="1"/>
        <v>0</v>
      </c>
      <c r="BK45" s="2014"/>
      <c r="BL45" s="2015"/>
      <c r="BM45" s="224"/>
      <c r="BN45" s="1710" t="str">
        <f>IF(AR45&lt;&gt;personnel_nonteach_leo1_psipop, "Column 12 shall tally with entries in Column 2.","")</f>
        <v/>
      </c>
      <c r="BO45" s="224"/>
      <c r="BP45" s="224"/>
      <c r="BQ45" s="224"/>
      <c r="BR45" s="224"/>
      <c r="BS45" s="224"/>
      <c r="BT45" s="224"/>
      <c r="BU45" s="224"/>
      <c r="BV45" s="224"/>
      <c r="BW45" s="224"/>
      <c r="BX45" s="224"/>
      <c r="BY45" s="224"/>
      <c r="BZ45" s="224"/>
      <c r="CA45" s="224"/>
      <c r="CB45" s="224"/>
      <c r="CC45" s="224"/>
      <c r="CD45" s="224"/>
      <c r="CE45" s="224"/>
    </row>
    <row r="46" spans="1:83" s="49" customFormat="1" ht="21" customHeight="1" thickBot="1">
      <c r="A46" s="224"/>
      <c r="B46" s="285"/>
      <c r="C46" s="286" t="s">
        <v>239</v>
      </c>
      <c r="D46" s="286"/>
      <c r="E46" s="286"/>
      <c r="F46" s="286"/>
      <c r="G46" s="286"/>
      <c r="H46" s="286"/>
      <c r="I46" s="286"/>
      <c r="J46" s="286"/>
      <c r="K46" s="286"/>
      <c r="L46" s="287"/>
      <c r="M46" s="2016">
        <v>0</v>
      </c>
      <c r="N46" s="2017"/>
      <c r="O46" s="2018"/>
      <c r="P46" s="2016">
        <v>0</v>
      </c>
      <c r="Q46" s="2017"/>
      <c r="R46" s="2019"/>
      <c r="S46" s="2020">
        <v>0</v>
      </c>
      <c r="T46" s="2017"/>
      <c r="U46" s="2021"/>
      <c r="V46" s="2022">
        <f t="shared" si="2"/>
        <v>0</v>
      </c>
      <c r="W46" s="2023"/>
      <c r="X46" s="2024"/>
      <c r="Y46" s="2020">
        <v>0</v>
      </c>
      <c r="Z46" s="2017"/>
      <c r="AA46" s="2019"/>
      <c r="AB46" s="2020">
        <v>0</v>
      </c>
      <c r="AC46" s="2017"/>
      <c r="AD46" s="2019"/>
      <c r="AE46" s="2020">
        <v>0</v>
      </c>
      <c r="AF46" s="2017"/>
      <c r="AG46" s="2019"/>
      <c r="AH46" s="2020">
        <v>0</v>
      </c>
      <c r="AI46" s="2017"/>
      <c r="AJ46" s="2019"/>
      <c r="AK46" s="2020">
        <v>0</v>
      </c>
      <c r="AL46" s="2017"/>
      <c r="AM46" s="2017"/>
      <c r="AN46" s="2021"/>
      <c r="AO46" s="2022">
        <f t="shared" si="3"/>
        <v>0</v>
      </c>
      <c r="AP46" s="2023"/>
      <c r="AQ46" s="2025"/>
      <c r="AR46" s="2022">
        <f t="shared" si="4"/>
        <v>0</v>
      </c>
      <c r="AS46" s="2023"/>
      <c r="AT46" s="2026"/>
      <c r="AU46" s="2016">
        <v>0</v>
      </c>
      <c r="AV46" s="2017"/>
      <c r="AW46" s="2019"/>
      <c r="AX46" s="2020">
        <v>0</v>
      </c>
      <c r="AY46" s="2017"/>
      <c r="AZ46" s="2021"/>
      <c r="BA46" s="2023">
        <f t="shared" si="0"/>
        <v>0</v>
      </c>
      <c r="BB46" s="2023"/>
      <c r="BC46" s="2026"/>
      <c r="BD46" s="2027">
        <f>+personnel_nonteach_uw1_actual_m+personnel_nonteach_uw1_borrowed_m</f>
        <v>0</v>
      </c>
      <c r="BE46" s="2028"/>
      <c r="BF46" s="2029"/>
      <c r="BG46" s="2028">
        <f>+personnel_nonteach_uw1_actual_f+personnel_nonteach_uw1_borrowed_f</f>
        <v>0</v>
      </c>
      <c r="BH46" s="2028"/>
      <c r="BI46" s="2030"/>
      <c r="BJ46" s="2022">
        <f t="shared" si="1"/>
        <v>0</v>
      </c>
      <c r="BK46" s="2023"/>
      <c r="BL46" s="2026"/>
      <c r="BM46" s="224"/>
      <c r="BN46" s="1710" t="str">
        <f>IF(AR46&lt;&gt;personnel_nonteach_uw1_psipop, "Column 12 shall tally with entries in Column 2.","")</f>
        <v/>
      </c>
      <c r="BO46" s="224"/>
      <c r="BP46" s="224"/>
      <c r="BQ46" s="224"/>
      <c r="BR46" s="224"/>
      <c r="BS46" s="224"/>
      <c r="BT46" s="224"/>
      <c r="BU46" s="224"/>
      <c r="BV46" s="224"/>
      <c r="BW46" s="224"/>
      <c r="BX46" s="224"/>
      <c r="BY46" s="224"/>
      <c r="BZ46" s="224"/>
      <c r="CA46" s="224"/>
      <c r="CB46" s="224"/>
      <c r="CC46" s="224"/>
      <c r="CD46" s="224"/>
      <c r="CE46" s="224"/>
    </row>
    <row r="47" spans="1:83" s="49" customFormat="1" ht="24" customHeight="1" thickTop="1" thickBot="1">
      <c r="A47" s="224"/>
      <c r="B47" s="2182" t="s">
        <v>42</v>
      </c>
      <c r="C47" s="2183"/>
      <c r="D47" s="2183"/>
      <c r="E47" s="2183"/>
      <c r="F47" s="2183"/>
      <c r="G47" s="2183"/>
      <c r="H47" s="2183"/>
      <c r="I47" s="2183"/>
      <c r="J47" s="2183"/>
      <c r="K47" s="2183"/>
      <c r="L47" s="2184"/>
      <c r="M47" s="2176">
        <f>SUM(M10:O46)</f>
        <v>2</v>
      </c>
      <c r="N47" s="2177"/>
      <c r="O47" s="2181"/>
      <c r="P47" s="2176">
        <f>SUM(P10:R46)</f>
        <v>1</v>
      </c>
      <c r="Q47" s="2177"/>
      <c r="R47" s="2178"/>
      <c r="S47" s="2179">
        <f>SUM(S10:U46)</f>
        <v>1</v>
      </c>
      <c r="T47" s="2177"/>
      <c r="U47" s="2180"/>
      <c r="V47" s="2177">
        <f>SUM(V10:X46)</f>
        <v>2</v>
      </c>
      <c r="W47" s="2177"/>
      <c r="X47" s="2181"/>
      <c r="Y47" s="2176">
        <f>SUM(Y10:AA46)</f>
        <v>0</v>
      </c>
      <c r="Z47" s="2177"/>
      <c r="AA47" s="2178"/>
      <c r="AB47" s="2179">
        <f>SUM(AB10:AD46)</f>
        <v>0</v>
      </c>
      <c r="AC47" s="2177"/>
      <c r="AD47" s="2178"/>
      <c r="AE47" s="2179">
        <f>SUM(AE10:AG46)</f>
        <v>0</v>
      </c>
      <c r="AF47" s="2177"/>
      <c r="AG47" s="2178"/>
      <c r="AH47" s="2179">
        <f>SUM(AH10:AJ46)</f>
        <v>0</v>
      </c>
      <c r="AI47" s="2177"/>
      <c r="AJ47" s="2178"/>
      <c r="AK47" s="2177">
        <f>SUM(AK10:AN46)</f>
        <v>0</v>
      </c>
      <c r="AL47" s="2177"/>
      <c r="AM47" s="2177"/>
      <c r="AN47" s="2177"/>
      <c r="AO47" s="2185">
        <f>SUM(AO10:AQ46)</f>
        <v>0</v>
      </c>
      <c r="AP47" s="2177"/>
      <c r="AQ47" s="2180"/>
      <c r="AR47" s="2177">
        <f>SUM(AR10:AT46)</f>
        <v>2</v>
      </c>
      <c r="AS47" s="2177"/>
      <c r="AT47" s="2181"/>
      <c r="AU47" s="2176">
        <f>SUM(AU10:AW46)</f>
        <v>0</v>
      </c>
      <c r="AV47" s="2177"/>
      <c r="AW47" s="2178"/>
      <c r="AX47" s="2177">
        <f>SUM(AX10:AZ46)</f>
        <v>0</v>
      </c>
      <c r="AY47" s="2177"/>
      <c r="AZ47" s="2177"/>
      <c r="BA47" s="2185">
        <f>SUM(BA10:BC46)</f>
        <v>0</v>
      </c>
      <c r="BB47" s="2177"/>
      <c r="BC47" s="2181"/>
      <c r="BD47" s="2176">
        <f>SUM(BD10:BF46)</f>
        <v>1</v>
      </c>
      <c r="BE47" s="2177"/>
      <c r="BF47" s="2178"/>
      <c r="BG47" s="2179">
        <f>SUM(BG10:BI46)</f>
        <v>1</v>
      </c>
      <c r="BH47" s="2177"/>
      <c r="BI47" s="2180"/>
      <c r="BJ47" s="2177">
        <f>SUM(BJ10:BL46)</f>
        <v>2</v>
      </c>
      <c r="BK47" s="2177"/>
      <c r="BL47" s="2181"/>
      <c r="BM47" s="224"/>
      <c r="BN47" s="224"/>
      <c r="BO47" s="224"/>
      <c r="BP47" s="224"/>
      <c r="BQ47" s="224"/>
      <c r="BR47" s="224"/>
      <c r="BS47" s="224"/>
      <c r="BT47" s="224"/>
      <c r="BU47" s="224"/>
      <c r="BV47" s="224"/>
      <c r="BW47" s="224"/>
      <c r="BX47" s="224"/>
      <c r="BY47" s="224"/>
      <c r="BZ47" s="224"/>
      <c r="CA47" s="224"/>
      <c r="CB47" s="224"/>
      <c r="CC47" s="224"/>
      <c r="CD47" s="224"/>
      <c r="CE47" s="224"/>
    </row>
    <row r="48" spans="1:83" s="51" customFormat="1" ht="17.25" customHeight="1">
      <c r="A48" s="238"/>
      <c r="B48" s="302" t="s">
        <v>1235</v>
      </c>
      <c r="C48" s="238"/>
      <c r="D48" s="238"/>
      <c r="E48" s="238"/>
      <c r="F48" s="227"/>
      <c r="G48" s="238"/>
      <c r="H48" s="238"/>
      <c r="I48" s="238"/>
      <c r="J48" s="238"/>
      <c r="K48" s="238"/>
      <c r="L48" s="238"/>
      <c r="M48" s="238"/>
      <c r="N48" s="238"/>
      <c r="O48" s="238"/>
      <c r="P48" s="238"/>
      <c r="Q48" s="238"/>
      <c r="R48" s="238"/>
      <c r="S48" s="238"/>
      <c r="T48" s="238"/>
      <c r="U48" s="238"/>
      <c r="V48" s="238"/>
      <c r="W48" s="238"/>
      <c r="X48" s="238"/>
      <c r="Y48" s="238"/>
      <c r="Z48" s="238"/>
      <c r="AA48" s="238"/>
      <c r="AB48" s="238"/>
      <c r="AC48" s="238"/>
      <c r="AD48" s="238"/>
      <c r="AE48" s="238"/>
      <c r="AF48" s="238"/>
      <c r="AG48" s="238"/>
      <c r="AH48" s="238"/>
      <c r="AI48" s="238"/>
      <c r="AJ48" s="238"/>
      <c r="AK48" s="238"/>
      <c r="AL48" s="238"/>
      <c r="AM48" s="238"/>
      <c r="AN48" s="238"/>
      <c r="AO48" s="238"/>
      <c r="AP48" s="238"/>
      <c r="AQ48" s="238"/>
      <c r="AR48" s="238"/>
      <c r="AS48" s="238"/>
      <c r="AT48" s="238"/>
      <c r="AU48" s="238"/>
      <c r="AV48" s="238"/>
      <c r="AW48" s="238"/>
      <c r="AX48" s="238"/>
      <c r="AY48" s="238"/>
      <c r="AZ48" s="238"/>
      <c r="BA48" s="238"/>
      <c r="BB48" s="238"/>
      <c r="BC48" s="238"/>
      <c r="BD48" s="238"/>
      <c r="BE48" s="238"/>
      <c r="BF48" s="238"/>
      <c r="BG48" s="238"/>
      <c r="BH48" s="238"/>
      <c r="BI48" s="238"/>
      <c r="BJ48" s="238"/>
      <c r="BK48" s="238"/>
      <c r="BL48" s="238"/>
      <c r="BM48" s="238"/>
      <c r="BN48" s="238"/>
      <c r="BO48" s="238"/>
      <c r="BP48" s="238"/>
      <c r="BQ48" s="238"/>
      <c r="BR48" s="238"/>
      <c r="BS48" s="238"/>
      <c r="BT48" s="238"/>
      <c r="BU48" s="238"/>
      <c r="BV48" s="238"/>
      <c r="BW48" s="238"/>
      <c r="BX48" s="238"/>
      <c r="BY48" s="238"/>
      <c r="BZ48" s="238"/>
      <c r="CA48" s="238"/>
      <c r="CB48" s="238"/>
      <c r="CC48" s="238"/>
      <c r="CD48" s="238"/>
      <c r="CE48" s="238"/>
    </row>
    <row r="49" spans="1:83" s="19" customFormat="1" ht="17.25" customHeight="1">
      <c r="A49" s="303"/>
      <c r="B49" s="302"/>
      <c r="C49" s="303"/>
      <c r="D49" s="303"/>
      <c r="E49" s="302" t="s">
        <v>1478</v>
      </c>
      <c r="F49" s="303"/>
      <c r="G49" s="303"/>
      <c r="H49" s="303"/>
      <c r="I49" s="303"/>
      <c r="J49" s="303"/>
      <c r="K49" s="303"/>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c r="AS49" s="303"/>
      <c r="AT49" s="303"/>
      <c r="AU49" s="303"/>
      <c r="AV49" s="303"/>
      <c r="AW49" s="303"/>
      <c r="AX49" s="303"/>
      <c r="AY49" s="303"/>
      <c r="AZ49" s="303"/>
      <c r="BA49" s="303"/>
      <c r="BB49" s="303"/>
      <c r="BC49" s="303"/>
      <c r="BD49" s="303"/>
      <c r="BE49" s="303"/>
      <c r="BF49" s="303"/>
      <c r="BG49" s="303"/>
      <c r="BH49" s="303"/>
      <c r="BI49" s="303"/>
      <c r="BJ49" s="303"/>
      <c r="BK49" s="303"/>
      <c r="BL49" s="303"/>
      <c r="BM49" s="303"/>
      <c r="BN49" s="303"/>
      <c r="BO49" s="303"/>
      <c r="BP49" s="303"/>
      <c r="BQ49" s="303"/>
      <c r="BR49" s="303"/>
      <c r="BS49" s="303"/>
      <c r="BT49" s="303"/>
      <c r="BU49" s="303"/>
      <c r="BV49" s="303"/>
      <c r="BW49" s="303"/>
      <c r="BX49" s="303"/>
      <c r="BY49" s="303"/>
      <c r="BZ49" s="303"/>
      <c r="CA49" s="303"/>
      <c r="CB49" s="303"/>
      <c r="CC49" s="303"/>
      <c r="CD49" s="303"/>
      <c r="CE49" s="303"/>
    </row>
    <row r="50" spans="1:83" s="51" customFormat="1" ht="5.0999999999999996" customHeight="1">
      <c r="A50" s="238"/>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c r="AB50" s="238"/>
      <c r="AC50" s="238"/>
      <c r="AD50" s="238"/>
      <c r="AE50" s="238"/>
      <c r="AF50" s="238"/>
      <c r="AG50" s="238"/>
      <c r="AH50" s="238"/>
      <c r="AI50" s="238"/>
      <c r="AJ50" s="238"/>
      <c r="AK50" s="238"/>
      <c r="AL50" s="238"/>
      <c r="AM50" s="238"/>
      <c r="AN50" s="238"/>
      <c r="AO50" s="238"/>
      <c r="AP50" s="238"/>
      <c r="AQ50" s="238"/>
      <c r="AR50" s="238"/>
      <c r="AS50" s="238"/>
      <c r="AT50" s="238"/>
      <c r="AU50" s="238"/>
      <c r="AV50" s="238"/>
      <c r="AW50" s="238"/>
      <c r="AX50" s="238"/>
      <c r="AY50" s="238"/>
      <c r="AZ50" s="238"/>
      <c r="BA50" s="238"/>
      <c r="BB50" s="238"/>
      <c r="BC50" s="238"/>
      <c r="BD50" s="238"/>
      <c r="BE50" s="238"/>
      <c r="BF50" s="238"/>
      <c r="BG50" s="238"/>
      <c r="BH50" s="238"/>
      <c r="BI50" s="238"/>
      <c r="BJ50" s="238"/>
      <c r="BK50" s="238"/>
      <c r="BL50" s="238"/>
      <c r="BM50" s="238"/>
      <c r="BN50" s="238"/>
      <c r="BO50" s="238"/>
      <c r="BP50" s="238"/>
      <c r="BQ50" s="238"/>
      <c r="BR50" s="238"/>
      <c r="BS50" s="238"/>
      <c r="BT50" s="238"/>
      <c r="BU50" s="238"/>
      <c r="BV50" s="238"/>
      <c r="BW50" s="238"/>
      <c r="BX50" s="238"/>
      <c r="BY50" s="238"/>
      <c r="BZ50" s="238"/>
      <c r="CA50" s="238"/>
      <c r="CB50" s="238"/>
      <c r="CC50" s="238"/>
      <c r="CD50" s="238"/>
      <c r="CE50" s="238"/>
    </row>
    <row r="51" spans="1:83">
      <c r="A51" s="222"/>
      <c r="B51" s="223" t="s">
        <v>32</v>
      </c>
      <c r="C51" s="222"/>
      <c r="D51" s="222"/>
      <c r="E51" s="222"/>
      <c r="F51" s="222"/>
      <c r="G51" s="222"/>
      <c r="H51" s="222"/>
      <c r="I51" s="222"/>
      <c r="J51" s="222"/>
      <c r="K51" s="222"/>
      <c r="L51" s="222"/>
      <c r="M51" s="222"/>
      <c r="N51" s="222"/>
      <c r="O51" s="222"/>
      <c r="P51" s="222"/>
      <c r="Q51" s="222"/>
      <c r="R51" s="222"/>
      <c r="S51" s="222"/>
      <c r="T51" s="222"/>
      <c r="U51" s="222"/>
      <c r="V51" s="222"/>
      <c r="W51" s="222"/>
      <c r="X51" s="223" t="s">
        <v>134</v>
      </c>
      <c r="Y51" s="222"/>
      <c r="Z51" s="222"/>
      <c r="AA51" s="222"/>
      <c r="AB51" s="222"/>
      <c r="AC51" s="222"/>
      <c r="AD51" s="222"/>
      <c r="AE51" s="222"/>
      <c r="AF51" s="222"/>
      <c r="AG51" s="222"/>
      <c r="AH51" s="222"/>
      <c r="AI51" s="222"/>
      <c r="AJ51" s="222"/>
      <c r="AK51" s="222"/>
      <c r="AL51" s="222"/>
      <c r="AM51" s="222"/>
      <c r="AN51" s="222"/>
      <c r="AO51" s="222"/>
      <c r="AP51" s="222"/>
      <c r="AQ51" s="222"/>
      <c r="AR51" s="222"/>
      <c r="AS51" s="222"/>
      <c r="AT51" s="223" t="s">
        <v>33</v>
      </c>
      <c r="AU51" s="222"/>
      <c r="AV51" s="222"/>
      <c r="AW51" s="222"/>
      <c r="AX51" s="222"/>
      <c r="AY51" s="222"/>
      <c r="AZ51" s="222"/>
      <c r="BA51" s="222"/>
      <c r="BB51" s="222"/>
      <c r="BC51" s="222"/>
      <c r="BD51" s="222"/>
      <c r="BE51" s="222"/>
      <c r="BF51" s="222"/>
      <c r="BG51" s="222"/>
      <c r="BH51" s="222"/>
      <c r="BI51" s="222"/>
      <c r="BJ51" s="222"/>
      <c r="BK51" s="222"/>
      <c r="BL51" s="222"/>
      <c r="BM51" s="222"/>
      <c r="BN51" s="222"/>
      <c r="BO51" s="222"/>
      <c r="BP51" s="222"/>
      <c r="BQ51" s="222"/>
      <c r="BR51" s="222"/>
      <c r="BS51" s="222"/>
      <c r="BT51" s="222"/>
      <c r="BU51" s="222"/>
      <c r="BV51" s="222"/>
      <c r="BW51" s="222"/>
      <c r="BX51" s="222"/>
      <c r="BY51" s="222"/>
      <c r="BZ51" s="222"/>
      <c r="CA51" s="222"/>
      <c r="CB51" s="222"/>
      <c r="CC51" s="222"/>
      <c r="CD51" s="222"/>
      <c r="CE51" s="222"/>
    </row>
    <row r="52" spans="1:83" ht="21.75" customHeight="1">
      <c r="A52" s="222"/>
      <c r="B52" s="223" t="s">
        <v>73</v>
      </c>
      <c r="C52" s="222"/>
      <c r="D52" s="222"/>
      <c r="E52" s="222"/>
      <c r="F52" s="2012" t="str">
        <f>activesheet!E21</f>
        <v>MELCHESIEDICK Q. BOLANIO / March 17, 2023</v>
      </c>
      <c r="G52" s="2012"/>
      <c r="H52" s="2012"/>
      <c r="I52" s="2012"/>
      <c r="J52" s="2012"/>
      <c r="K52" s="2012"/>
      <c r="L52" s="2012"/>
      <c r="M52" s="2012"/>
      <c r="N52" s="2012"/>
      <c r="O52" s="2012"/>
      <c r="P52" s="2012"/>
      <c r="Q52" s="2012"/>
      <c r="R52" s="2012"/>
      <c r="S52" s="2012"/>
      <c r="T52" s="222"/>
      <c r="U52" s="222"/>
      <c r="V52" s="222"/>
      <c r="W52" s="222"/>
      <c r="X52" s="2012" t="str">
        <f>activesheet!E438</f>
        <v>ELMA CEZARIE Y. ROMERO / March 17, 2023</v>
      </c>
      <c r="Y52" s="2012"/>
      <c r="Z52" s="2012"/>
      <c r="AA52" s="2012"/>
      <c r="AB52" s="2012"/>
      <c r="AC52" s="2012"/>
      <c r="AD52" s="2012"/>
      <c r="AE52" s="2012"/>
      <c r="AF52" s="2012"/>
      <c r="AG52" s="2012"/>
      <c r="AH52" s="2012"/>
      <c r="AI52" s="2012"/>
      <c r="AJ52" s="2012"/>
      <c r="AK52" s="2012"/>
      <c r="AL52" s="2012"/>
      <c r="AM52" s="2012"/>
      <c r="AN52" s="2012"/>
      <c r="AO52" s="2012"/>
      <c r="AP52" s="222"/>
      <c r="AQ52" s="222"/>
      <c r="AR52" s="222"/>
      <c r="AS52" s="222"/>
      <c r="AT52" s="1940" t="str">
        <f>activesheet!E25</f>
        <v>MICHAEL T. JAMIS / March 17, 2023</v>
      </c>
      <c r="AU52" s="1940"/>
      <c r="AV52" s="1940"/>
      <c r="AW52" s="1940"/>
      <c r="AX52" s="1940"/>
      <c r="AY52" s="1940"/>
      <c r="AZ52" s="1940"/>
      <c r="BA52" s="1940"/>
      <c r="BB52" s="1940"/>
      <c r="BC52" s="1940"/>
      <c r="BD52" s="1940"/>
      <c r="BE52" s="1940"/>
      <c r="BF52" s="1940"/>
      <c r="BG52" s="1940"/>
      <c r="BH52" s="1940"/>
      <c r="BI52" s="1940"/>
      <c r="BJ52" s="1940"/>
      <c r="BK52" s="1940"/>
      <c r="BL52" s="222"/>
      <c r="BM52" s="222"/>
      <c r="BN52" s="222"/>
      <c r="BO52" s="222"/>
      <c r="BP52" s="222"/>
      <c r="BQ52" s="222"/>
      <c r="BR52" s="222"/>
      <c r="BS52" s="222"/>
      <c r="BT52" s="222"/>
      <c r="BU52" s="222"/>
      <c r="BV52" s="222"/>
      <c r="BW52" s="222"/>
      <c r="BX52" s="222"/>
      <c r="BY52" s="222"/>
      <c r="BZ52" s="222"/>
      <c r="CA52" s="222"/>
      <c r="CB52" s="222"/>
      <c r="CC52" s="222"/>
      <c r="CD52" s="222"/>
      <c r="CE52" s="222"/>
    </row>
    <row r="53" spans="1:83" s="7" customFormat="1" ht="15.75" customHeight="1">
      <c r="A53" s="334"/>
      <c r="B53" s="225"/>
      <c r="C53" s="334"/>
      <c r="D53" s="334"/>
      <c r="E53" s="334"/>
      <c r="F53" s="1811" t="s">
        <v>37</v>
      </c>
      <c r="G53" s="1811"/>
      <c r="H53" s="1811"/>
      <c r="I53" s="1811"/>
      <c r="J53" s="1811"/>
      <c r="K53" s="1811"/>
      <c r="L53" s="1811"/>
      <c r="M53" s="1811"/>
      <c r="N53" s="1811"/>
      <c r="O53" s="1811"/>
      <c r="P53" s="1811"/>
      <c r="Q53" s="1811"/>
      <c r="R53" s="1811"/>
      <c r="S53" s="1811"/>
      <c r="T53" s="226"/>
      <c r="U53" s="226"/>
      <c r="V53" s="226"/>
      <c r="W53" s="226"/>
      <c r="X53" s="1811" t="s">
        <v>37</v>
      </c>
      <c r="Y53" s="1811"/>
      <c r="Z53" s="1811"/>
      <c r="AA53" s="1811"/>
      <c r="AB53" s="1811"/>
      <c r="AC53" s="1811"/>
      <c r="AD53" s="1811"/>
      <c r="AE53" s="1811"/>
      <c r="AF53" s="1811"/>
      <c r="AG53" s="1811"/>
      <c r="AH53" s="1811"/>
      <c r="AI53" s="1811"/>
      <c r="AJ53" s="1811"/>
      <c r="AK53" s="1811"/>
      <c r="AL53" s="1811"/>
      <c r="AM53" s="1811"/>
      <c r="AN53" s="1811"/>
      <c r="AO53" s="1811"/>
      <c r="AP53" s="226"/>
      <c r="AQ53" s="226"/>
      <c r="AR53" s="226"/>
      <c r="AS53" s="226"/>
      <c r="AT53" s="1941"/>
      <c r="AU53" s="1941"/>
      <c r="AV53" s="1941"/>
      <c r="AW53" s="1941"/>
      <c r="AX53" s="1941"/>
      <c r="AY53" s="1941"/>
      <c r="AZ53" s="1941"/>
      <c r="BA53" s="1941"/>
      <c r="BB53" s="1941"/>
      <c r="BC53" s="1941"/>
      <c r="BD53" s="1941"/>
      <c r="BE53" s="1941"/>
      <c r="BF53" s="1941"/>
      <c r="BG53" s="1941"/>
      <c r="BH53" s="1941"/>
      <c r="BI53" s="1941"/>
      <c r="BJ53" s="1941"/>
      <c r="BK53" s="1941"/>
      <c r="BL53" s="361"/>
      <c r="BM53" s="361"/>
      <c r="BN53" s="361"/>
      <c r="BO53" s="361"/>
      <c r="BP53" s="361"/>
      <c r="BQ53" s="361"/>
      <c r="BR53" s="361"/>
      <c r="BS53" s="361"/>
      <c r="BT53" s="361"/>
      <c r="BU53" s="361"/>
      <c r="BV53" s="361"/>
      <c r="BW53" s="361"/>
      <c r="BX53" s="361"/>
      <c r="BY53" s="361"/>
      <c r="BZ53" s="361"/>
      <c r="CA53" s="334"/>
      <c r="CB53" s="334"/>
      <c r="CC53" s="334"/>
      <c r="CD53" s="334"/>
      <c r="CE53" s="334"/>
    </row>
    <row r="54" spans="1:83" ht="21.75" customHeight="1">
      <c r="A54" s="222"/>
      <c r="B54" s="223" t="s">
        <v>240</v>
      </c>
      <c r="C54" s="222"/>
      <c r="D54" s="222"/>
      <c r="E54" s="222"/>
      <c r="F54" s="2012" t="str">
        <f>activesheet!E22</f>
        <v>SECONDARY SCHOOL PRINCIPAL IV</v>
      </c>
      <c r="G54" s="2012"/>
      <c r="H54" s="2012"/>
      <c r="I54" s="2012"/>
      <c r="J54" s="2012"/>
      <c r="K54" s="2012"/>
      <c r="L54" s="2012"/>
      <c r="M54" s="2012"/>
      <c r="N54" s="2012"/>
      <c r="O54" s="2012"/>
      <c r="P54" s="2012"/>
      <c r="Q54" s="2012"/>
      <c r="R54" s="2012"/>
      <c r="S54" s="2012"/>
      <c r="T54" s="222"/>
      <c r="U54" s="222"/>
      <c r="V54" s="222"/>
      <c r="W54" s="222"/>
      <c r="X54" s="223" t="s">
        <v>240</v>
      </c>
      <c r="Y54" s="222"/>
      <c r="Z54" s="222"/>
      <c r="AA54" s="222"/>
      <c r="AB54" s="2012" t="str">
        <f>activesheet!E439</f>
        <v>ADMINISTRATIVE OFFICER IV</v>
      </c>
      <c r="AC54" s="2012"/>
      <c r="AD54" s="2012"/>
      <c r="AE54" s="2012"/>
      <c r="AF54" s="2012"/>
      <c r="AG54" s="2012"/>
      <c r="AH54" s="2012"/>
      <c r="AI54" s="2012"/>
      <c r="AJ54" s="2012"/>
      <c r="AK54" s="2012"/>
      <c r="AL54" s="2012"/>
      <c r="AM54" s="2012"/>
      <c r="AN54" s="2012"/>
      <c r="AO54" s="2012"/>
      <c r="AP54" s="222"/>
      <c r="AQ54" s="222"/>
      <c r="AR54" s="222"/>
      <c r="AS54" s="222"/>
      <c r="AT54" s="1811" t="s">
        <v>37</v>
      </c>
      <c r="AU54" s="1811"/>
      <c r="AV54" s="1811"/>
      <c r="AW54" s="1811"/>
      <c r="AX54" s="1811"/>
      <c r="AY54" s="1811"/>
      <c r="AZ54" s="1811"/>
      <c r="BA54" s="1811"/>
      <c r="BB54" s="1811"/>
      <c r="BC54" s="1811"/>
      <c r="BD54" s="1811"/>
      <c r="BE54" s="1811"/>
      <c r="BF54" s="1811"/>
      <c r="BG54" s="1811"/>
      <c r="BH54" s="1811"/>
      <c r="BI54" s="1811"/>
      <c r="BJ54" s="1811"/>
      <c r="BK54" s="1811"/>
      <c r="BL54" s="222"/>
      <c r="BM54" s="222"/>
      <c r="BN54" s="222"/>
      <c r="BO54" s="222"/>
      <c r="BP54" s="222"/>
      <c r="BQ54" s="222"/>
      <c r="BR54" s="222"/>
      <c r="BS54" s="222"/>
      <c r="BT54" s="222"/>
      <c r="BU54" s="222"/>
      <c r="BV54" s="222"/>
      <c r="BW54" s="222"/>
      <c r="BX54" s="222"/>
      <c r="BY54" s="222"/>
      <c r="BZ54" s="222"/>
      <c r="CA54" s="222"/>
      <c r="CB54" s="222"/>
      <c r="CC54" s="222"/>
      <c r="CD54" s="222"/>
      <c r="CE54" s="222"/>
    </row>
    <row r="55" spans="1:83">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c r="BI55" s="222"/>
      <c r="BJ55" s="222"/>
      <c r="BK55" s="222"/>
      <c r="BL55" s="222"/>
      <c r="BM55" s="222"/>
      <c r="BN55" s="222"/>
      <c r="BO55" s="222"/>
      <c r="BP55" s="222"/>
      <c r="BQ55" s="222"/>
      <c r="BR55" s="222"/>
      <c r="BS55" s="222"/>
      <c r="BT55" s="222"/>
      <c r="BU55" s="222"/>
      <c r="BV55" s="222"/>
      <c r="BW55" s="222"/>
      <c r="BX55" s="222"/>
      <c r="BY55" s="222"/>
      <c r="BZ55" s="222"/>
      <c r="CA55" s="222"/>
      <c r="CB55" s="222"/>
      <c r="CC55" s="222"/>
      <c r="CD55" s="222"/>
      <c r="CE55" s="222"/>
    </row>
    <row r="56" spans="1:83">
      <c r="A56" s="222"/>
      <c r="B56" s="222"/>
      <c r="C56" s="222"/>
      <c r="D56" s="222"/>
      <c r="E56" s="222"/>
      <c r="F56" s="222"/>
      <c r="G56" s="222"/>
      <c r="H56" s="222"/>
      <c r="I56" s="222"/>
      <c r="J56" s="222"/>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c r="BE56" s="222"/>
      <c r="BF56" s="222"/>
      <c r="BG56" s="222"/>
      <c r="BH56" s="222"/>
      <c r="BI56" s="222"/>
      <c r="BJ56" s="222"/>
      <c r="BK56" s="222"/>
      <c r="BL56" s="222"/>
      <c r="BM56" s="222"/>
      <c r="BN56" s="222"/>
      <c r="BO56" s="222"/>
      <c r="BP56" s="222"/>
      <c r="BQ56" s="222"/>
      <c r="BR56" s="222"/>
      <c r="BS56" s="222"/>
      <c r="BT56" s="222"/>
      <c r="BU56" s="222"/>
      <c r="BV56" s="222"/>
      <c r="BW56" s="222"/>
      <c r="BX56" s="222"/>
      <c r="BY56" s="222"/>
      <c r="BZ56" s="222"/>
      <c r="CA56" s="222"/>
      <c r="CB56" s="222"/>
      <c r="CC56" s="222"/>
      <c r="CD56" s="222"/>
      <c r="CE56" s="222"/>
    </row>
    <row r="57" spans="1:83">
      <c r="A57" s="222"/>
      <c r="B57" s="222"/>
      <c r="C57" s="222"/>
      <c r="D57" s="222"/>
      <c r="E57" s="222"/>
      <c r="F57" s="222"/>
      <c r="G57" s="222"/>
      <c r="H57" s="222"/>
      <c r="I57" s="222"/>
      <c r="J57" s="222"/>
      <c r="K57" s="222"/>
      <c r="L57" s="222"/>
      <c r="M57" s="222"/>
      <c r="N57" s="222"/>
      <c r="O57" s="222"/>
      <c r="P57" s="222"/>
      <c r="Q57" s="222"/>
      <c r="R57" s="222"/>
      <c r="S57" s="222"/>
      <c r="T57" s="222"/>
      <c r="U57" s="222"/>
      <c r="V57" s="222"/>
      <c r="W57" s="222"/>
      <c r="X57" s="222"/>
      <c r="Y57" s="222"/>
      <c r="Z57" s="222"/>
      <c r="AA57" s="222"/>
      <c r="AB57" s="222"/>
      <c r="AC57" s="222"/>
      <c r="AD57" s="222"/>
      <c r="AE57" s="222"/>
      <c r="AF57" s="222"/>
      <c r="AG57" s="222"/>
      <c r="AH57" s="222"/>
      <c r="AI57" s="222"/>
      <c r="AJ57" s="222"/>
      <c r="AK57" s="222"/>
      <c r="AL57" s="222"/>
      <c r="AM57" s="222"/>
      <c r="AN57" s="222"/>
      <c r="AO57" s="222"/>
      <c r="AP57" s="222"/>
      <c r="AQ57" s="222"/>
      <c r="AR57" s="222"/>
      <c r="AS57" s="222"/>
      <c r="AT57" s="222"/>
      <c r="AU57" s="222"/>
      <c r="AV57" s="222"/>
      <c r="AW57" s="222"/>
      <c r="AX57" s="222"/>
      <c r="AY57" s="222"/>
      <c r="AZ57" s="222"/>
      <c r="BA57" s="222"/>
      <c r="BB57" s="222"/>
      <c r="BC57" s="222"/>
      <c r="BD57" s="222"/>
      <c r="BE57" s="222"/>
      <c r="BF57" s="222"/>
      <c r="BG57" s="222"/>
      <c r="BH57" s="222"/>
      <c r="BI57" s="222"/>
      <c r="BJ57" s="222"/>
      <c r="BK57" s="222"/>
      <c r="BL57" s="222"/>
      <c r="BM57" s="222"/>
      <c r="BN57" s="222"/>
      <c r="BO57" s="222"/>
      <c r="BP57" s="222"/>
      <c r="BQ57" s="222"/>
      <c r="BR57" s="222"/>
      <c r="BS57" s="222"/>
      <c r="BT57" s="222"/>
      <c r="BU57" s="222"/>
      <c r="BV57" s="222"/>
      <c r="BW57" s="222"/>
      <c r="BX57" s="222"/>
      <c r="BY57" s="222"/>
      <c r="BZ57" s="222"/>
      <c r="CA57" s="222"/>
      <c r="CB57" s="222"/>
      <c r="CC57" s="222"/>
      <c r="CD57" s="222"/>
      <c r="CE57" s="222"/>
    </row>
    <row r="58" spans="1:83">
      <c r="A58" s="222"/>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C58" s="222"/>
      <c r="AD58" s="222"/>
      <c r="AE58" s="222"/>
      <c r="AF58" s="222"/>
      <c r="AG58" s="222"/>
      <c r="AH58" s="222"/>
      <c r="AI58" s="222"/>
      <c r="AJ58" s="222"/>
      <c r="AK58" s="222"/>
      <c r="AL58" s="222"/>
      <c r="AM58" s="222"/>
      <c r="AN58" s="222"/>
      <c r="AO58" s="222"/>
      <c r="AP58" s="222"/>
      <c r="AQ58" s="222"/>
      <c r="AR58" s="222"/>
      <c r="AS58" s="222"/>
      <c r="AT58" s="222"/>
      <c r="AU58" s="222"/>
      <c r="AV58" s="222"/>
      <c r="AW58" s="222"/>
      <c r="AX58" s="222"/>
      <c r="AY58" s="222"/>
      <c r="AZ58" s="222"/>
      <c r="BA58" s="222"/>
      <c r="BB58" s="222"/>
      <c r="BC58" s="222"/>
      <c r="BD58" s="222"/>
      <c r="BE58" s="222"/>
      <c r="BF58" s="222"/>
      <c r="BG58" s="222"/>
      <c r="BH58" s="222"/>
      <c r="BI58" s="222"/>
      <c r="BJ58" s="222"/>
      <c r="BK58" s="222"/>
      <c r="BL58" s="222"/>
      <c r="BM58" s="222"/>
      <c r="BN58" s="222"/>
      <c r="BO58" s="222"/>
      <c r="BP58" s="222"/>
      <c r="BQ58" s="222"/>
      <c r="BR58" s="222"/>
      <c r="BS58" s="222"/>
      <c r="BT58" s="222"/>
      <c r="BU58" s="222"/>
      <c r="BV58" s="222"/>
      <c r="BW58" s="222"/>
      <c r="BX58" s="222"/>
      <c r="BY58" s="222"/>
      <c r="BZ58" s="222"/>
      <c r="CA58" s="222"/>
      <c r="CB58" s="222"/>
      <c r="CC58" s="222"/>
      <c r="CD58" s="222"/>
      <c r="CE58" s="222"/>
    </row>
    <row r="59" spans="1:83">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c r="AA59" s="222"/>
      <c r="AB59" s="222"/>
      <c r="AC59" s="222"/>
      <c r="AD59" s="222"/>
      <c r="AE59" s="222"/>
      <c r="AF59" s="222"/>
      <c r="AG59" s="222"/>
      <c r="AH59" s="222"/>
      <c r="AI59" s="222"/>
      <c r="AJ59" s="222"/>
      <c r="AK59" s="222"/>
      <c r="AL59" s="222"/>
      <c r="AM59" s="222"/>
      <c r="AN59" s="222"/>
      <c r="AO59" s="222"/>
      <c r="AP59" s="222"/>
      <c r="AQ59" s="222"/>
      <c r="AR59" s="222"/>
      <c r="AS59" s="222"/>
      <c r="AT59" s="222"/>
      <c r="AU59" s="222"/>
      <c r="AV59" s="222"/>
      <c r="AW59" s="222"/>
      <c r="AX59" s="222"/>
      <c r="AY59" s="222"/>
      <c r="AZ59" s="222"/>
      <c r="BA59" s="222"/>
      <c r="BB59" s="222"/>
      <c r="BC59" s="222"/>
      <c r="BD59" s="222"/>
      <c r="BE59" s="222"/>
      <c r="BF59" s="222"/>
      <c r="BG59" s="222"/>
      <c r="BH59" s="222"/>
      <c r="BI59" s="222"/>
      <c r="BJ59" s="222"/>
      <c r="BK59" s="222"/>
      <c r="BL59" s="222"/>
      <c r="BM59" s="222"/>
      <c r="BN59" s="222"/>
      <c r="BO59" s="222"/>
      <c r="BP59" s="222"/>
      <c r="BQ59" s="222"/>
      <c r="BR59" s="222"/>
      <c r="BS59" s="222"/>
      <c r="BT59" s="222"/>
      <c r="BU59" s="222"/>
      <c r="BV59" s="222"/>
      <c r="BW59" s="222"/>
      <c r="BX59" s="222"/>
      <c r="BY59" s="222"/>
      <c r="BZ59" s="222"/>
      <c r="CA59" s="222"/>
      <c r="CB59" s="222"/>
      <c r="CC59" s="222"/>
      <c r="CD59" s="222"/>
      <c r="CE59" s="222"/>
    </row>
  </sheetData>
  <sheetProtection algorithmName="SHA-512" hashValue="A0hncV5Yj2VOf0BBFxpBMxjFk36L7rH8FQo8rHZ3eluf/1A6QjtvG24ZpugMsoDPGOElgAAtK2eKxiukbcvlCA==" saltValue="K2VFqioUTcWVdPolYfC3pQ==" spinCount="100000" sheet="1" objects="1" scenarios="1"/>
  <customSheetViews>
    <customSheetView guid="{6EFEFCA0-BF14-457A-85A3-29CBF2A862A5}" showGridLines="0" fitToPage="1" topLeftCell="A7">
      <selection activeCell="AU47" sqref="AU47:AW47"/>
      <pageMargins left="0.39370078740157483" right="0.39370078740157483" top="0.19685039370078741" bottom="0.19685039370078741" header="0" footer="0.11811023622047245"/>
      <printOptions horizontalCentered="1" verticalCentered="1"/>
      <pageSetup paperSize="5" scale="50" orientation="landscape" r:id="rId1"/>
      <headerFooter>
        <oddFooter>&amp;L&amp;10&amp;F &amp;A&amp;R&amp;10Page 6 of 61</oddFooter>
      </headerFooter>
    </customSheetView>
  </customSheetViews>
  <mergeCells count="705">
    <mergeCell ref="M17:O17"/>
    <mergeCell ref="P17:R17"/>
    <mergeCell ref="S17:U17"/>
    <mergeCell ref="Y17:AA17"/>
    <mergeCell ref="AB17:AD17"/>
    <mergeCell ref="AE17:AG17"/>
    <mergeCell ref="AH17:AJ17"/>
    <mergeCell ref="AK17:AN17"/>
    <mergeCell ref="AU17:AW17"/>
    <mergeCell ref="BA10:BC10"/>
    <mergeCell ref="BJ10:BL10"/>
    <mergeCell ref="V11:X11"/>
    <mergeCell ref="AO11:AQ11"/>
    <mergeCell ref="AR11:AT11"/>
    <mergeCell ref="BA11:BC11"/>
    <mergeCell ref="BJ11:BL11"/>
    <mergeCell ref="AX10:AZ10"/>
    <mergeCell ref="BD10:BF10"/>
    <mergeCell ref="BG10:BI10"/>
    <mergeCell ref="BD11:BF11"/>
    <mergeCell ref="BG11:BI11"/>
    <mergeCell ref="AX11:AZ11"/>
    <mergeCell ref="BA12:BC12"/>
    <mergeCell ref="BJ12:BL12"/>
    <mergeCell ref="V13:X13"/>
    <mergeCell ref="AO13:AQ13"/>
    <mergeCell ref="AR13:AT13"/>
    <mergeCell ref="BA13:BC13"/>
    <mergeCell ref="BJ13:BL13"/>
    <mergeCell ref="BD12:BF12"/>
    <mergeCell ref="BG12:BI12"/>
    <mergeCell ref="BD13:BF13"/>
    <mergeCell ref="BG13:BI13"/>
    <mergeCell ref="AX12:AZ12"/>
    <mergeCell ref="AX13:AZ13"/>
    <mergeCell ref="BA14:BC14"/>
    <mergeCell ref="BJ14:BL14"/>
    <mergeCell ref="V17:X17"/>
    <mergeCell ref="AO17:AQ17"/>
    <mergeCell ref="AR17:AT17"/>
    <mergeCell ref="BA17:BC17"/>
    <mergeCell ref="BJ17:BL17"/>
    <mergeCell ref="BD14:BF14"/>
    <mergeCell ref="BG14:BI14"/>
    <mergeCell ref="BG17:BI17"/>
    <mergeCell ref="BD15:BF15"/>
    <mergeCell ref="BG15:BI15"/>
    <mergeCell ref="BJ15:BL15"/>
    <mergeCell ref="BD16:BF16"/>
    <mergeCell ref="BG16:BI16"/>
    <mergeCell ref="BJ16:BL16"/>
    <mergeCell ref="AX17:AZ17"/>
    <mergeCell ref="BD17:BF17"/>
    <mergeCell ref="AX14:AZ14"/>
    <mergeCell ref="AO15:AQ15"/>
    <mergeCell ref="AR15:AT15"/>
    <mergeCell ref="AU15:AW15"/>
    <mergeCell ref="AX15:AZ15"/>
    <mergeCell ref="BA15:BC15"/>
    <mergeCell ref="BA18:BC18"/>
    <mergeCell ref="BJ18:BL18"/>
    <mergeCell ref="V19:X19"/>
    <mergeCell ref="AO19:AQ19"/>
    <mergeCell ref="AR19:AT19"/>
    <mergeCell ref="BA19:BC19"/>
    <mergeCell ref="BJ19:BL19"/>
    <mergeCell ref="BD18:BF18"/>
    <mergeCell ref="BG18:BI18"/>
    <mergeCell ref="AX19:AZ19"/>
    <mergeCell ref="BD19:BF19"/>
    <mergeCell ref="BG19:BI19"/>
    <mergeCell ref="AU19:AW19"/>
    <mergeCell ref="C39:K39"/>
    <mergeCell ref="V39:X39"/>
    <mergeCell ref="AO39:AQ39"/>
    <mergeCell ref="AR39:AT39"/>
    <mergeCell ref="BA39:BC39"/>
    <mergeCell ref="BJ39:BL39"/>
    <mergeCell ref="C40:K40"/>
    <mergeCell ref="V40:X40"/>
    <mergeCell ref="AO40:AQ40"/>
    <mergeCell ref="AR40:AT40"/>
    <mergeCell ref="BA40:BC40"/>
    <mergeCell ref="BJ40:BL40"/>
    <mergeCell ref="M40:O40"/>
    <mergeCell ref="P40:R40"/>
    <mergeCell ref="S40:U40"/>
    <mergeCell ref="Y40:AA40"/>
    <mergeCell ref="AB40:AD40"/>
    <mergeCell ref="AE40:AG40"/>
    <mergeCell ref="AH40:AJ40"/>
    <mergeCell ref="AK40:AN40"/>
    <mergeCell ref="AU40:AW40"/>
    <mergeCell ref="AX40:AZ40"/>
    <mergeCell ref="BD40:BF40"/>
    <mergeCell ref="BG40:BI40"/>
    <mergeCell ref="BJ41:BL41"/>
    <mergeCell ref="V44:X44"/>
    <mergeCell ref="AO44:AQ44"/>
    <mergeCell ref="AR44:AT44"/>
    <mergeCell ref="BA44:BC44"/>
    <mergeCell ref="BJ44:BL44"/>
    <mergeCell ref="AX41:AZ41"/>
    <mergeCell ref="BD41:BF41"/>
    <mergeCell ref="BG41:BI41"/>
    <mergeCell ref="AO42:AQ42"/>
    <mergeCell ref="AR42:AT42"/>
    <mergeCell ref="AU42:AW42"/>
    <mergeCell ref="AX42:AZ42"/>
    <mergeCell ref="BA42:BC42"/>
    <mergeCell ref="BD42:BF42"/>
    <mergeCell ref="BG42:BI42"/>
    <mergeCell ref="BJ42:BL42"/>
    <mergeCell ref="AX43:AZ43"/>
    <mergeCell ref="BA43:BC43"/>
    <mergeCell ref="BD43:BF43"/>
    <mergeCell ref="BG43:BI43"/>
    <mergeCell ref="BJ43:BL43"/>
    <mergeCell ref="Y44:AA44"/>
    <mergeCell ref="AB44:AD44"/>
    <mergeCell ref="BD47:BF47"/>
    <mergeCell ref="BG47:BI47"/>
    <mergeCell ref="BJ47:BL47"/>
    <mergeCell ref="B47:L47"/>
    <mergeCell ref="M47:O47"/>
    <mergeCell ref="P47:R47"/>
    <mergeCell ref="S47:U47"/>
    <mergeCell ref="V47:X47"/>
    <mergeCell ref="Y47:AA47"/>
    <mergeCell ref="AB47:AD47"/>
    <mergeCell ref="AE47:AG47"/>
    <mergeCell ref="AH47:AJ47"/>
    <mergeCell ref="AK47:AN47"/>
    <mergeCell ref="AO47:AQ47"/>
    <mergeCell ref="AR47:AT47"/>
    <mergeCell ref="AU47:AW47"/>
    <mergeCell ref="AX47:AZ47"/>
    <mergeCell ref="BA47:BC47"/>
    <mergeCell ref="AO16:AQ16"/>
    <mergeCell ref="AR16:AT16"/>
    <mergeCell ref="AU16:AW16"/>
    <mergeCell ref="AX16:AZ16"/>
    <mergeCell ref="BA16:BC16"/>
    <mergeCell ref="AX18:AZ18"/>
    <mergeCell ref="AO41:AQ41"/>
    <mergeCell ref="AR41:AT41"/>
    <mergeCell ref="BA41:BC41"/>
    <mergeCell ref="AO20:AQ20"/>
    <mergeCell ref="AR20:AT20"/>
    <mergeCell ref="AU20:AW20"/>
    <mergeCell ref="AX20:AZ20"/>
    <mergeCell ref="BA20:BC20"/>
    <mergeCell ref="AO22:AQ22"/>
    <mergeCell ref="AR22:AT22"/>
    <mergeCell ref="AU22:AW22"/>
    <mergeCell ref="AX22:AZ22"/>
    <mergeCell ref="BA22:BC22"/>
    <mergeCell ref="AO24:AQ24"/>
    <mergeCell ref="AR24:AT24"/>
    <mergeCell ref="AU24:AW24"/>
    <mergeCell ref="AX24:AZ24"/>
    <mergeCell ref="BA24:BC24"/>
    <mergeCell ref="B3:L8"/>
    <mergeCell ref="M3:BL3"/>
    <mergeCell ref="M4:O8"/>
    <mergeCell ref="P4:AT4"/>
    <mergeCell ref="AU4:BC6"/>
    <mergeCell ref="BD4:BL6"/>
    <mergeCell ref="P5:X6"/>
    <mergeCell ref="Y5:AA8"/>
    <mergeCell ref="AB5:AD8"/>
    <mergeCell ref="AE5:AQ5"/>
    <mergeCell ref="AR5:AT8"/>
    <mergeCell ref="AE6:AG8"/>
    <mergeCell ref="AH6:AJ8"/>
    <mergeCell ref="AK6:AN8"/>
    <mergeCell ref="AO6:AQ6"/>
    <mergeCell ref="P7:R8"/>
    <mergeCell ref="S7:U8"/>
    <mergeCell ref="V7:X7"/>
    <mergeCell ref="AO7:AQ8"/>
    <mergeCell ref="AU7:AW8"/>
    <mergeCell ref="AX7:AZ8"/>
    <mergeCell ref="BA7:BC7"/>
    <mergeCell ref="BD7:BF7"/>
    <mergeCell ref="BG7:BI7"/>
    <mergeCell ref="BJ7:BL7"/>
    <mergeCell ref="V8:X8"/>
    <mergeCell ref="BA8:BC8"/>
    <mergeCell ref="BD8:BF8"/>
    <mergeCell ref="BG8:BI8"/>
    <mergeCell ref="BJ8:BL8"/>
    <mergeCell ref="B9:L9"/>
    <mergeCell ref="M9:O9"/>
    <mergeCell ref="P9:R9"/>
    <mergeCell ref="S9:U9"/>
    <mergeCell ref="V9:X9"/>
    <mergeCell ref="Y9:AA9"/>
    <mergeCell ref="AB9:AD9"/>
    <mergeCell ref="AE9:AG9"/>
    <mergeCell ref="AH9:AJ9"/>
    <mergeCell ref="AK9:AN9"/>
    <mergeCell ref="AO9:AQ9"/>
    <mergeCell ref="AR9:AT9"/>
    <mergeCell ref="AU9:AW9"/>
    <mergeCell ref="AX9:AZ9"/>
    <mergeCell ref="BA9:BC9"/>
    <mergeCell ref="BD9:BF9"/>
    <mergeCell ref="BG9:BI9"/>
    <mergeCell ref="BJ9:BL9"/>
    <mergeCell ref="M10:O10"/>
    <mergeCell ref="P10:R10"/>
    <mergeCell ref="S10:U10"/>
    <mergeCell ref="Y10:AA10"/>
    <mergeCell ref="AB10:AD10"/>
    <mergeCell ref="AE10:AG10"/>
    <mergeCell ref="AH10:AJ10"/>
    <mergeCell ref="AK10:AN10"/>
    <mergeCell ref="AU10:AW10"/>
    <mergeCell ref="V10:X10"/>
    <mergeCell ref="AO10:AQ10"/>
    <mergeCell ref="AR10:AT10"/>
    <mergeCell ref="M11:O11"/>
    <mergeCell ref="P11:R11"/>
    <mergeCell ref="S11:U11"/>
    <mergeCell ref="Y11:AA11"/>
    <mergeCell ref="AB11:AD11"/>
    <mergeCell ref="AE11:AG11"/>
    <mergeCell ref="AH11:AJ11"/>
    <mergeCell ref="AK11:AN11"/>
    <mergeCell ref="AU11:AW11"/>
    <mergeCell ref="M12:O12"/>
    <mergeCell ref="P12:R12"/>
    <mergeCell ref="S12:U12"/>
    <mergeCell ref="Y12:AA12"/>
    <mergeCell ref="AB12:AD12"/>
    <mergeCell ref="AE12:AG12"/>
    <mergeCell ref="AH12:AJ12"/>
    <mergeCell ref="AK12:AN12"/>
    <mergeCell ref="AU12:AW12"/>
    <mergeCell ref="V12:X12"/>
    <mergeCell ref="AO12:AQ12"/>
    <mergeCell ref="AR12:AT12"/>
    <mergeCell ref="M13:O13"/>
    <mergeCell ref="P13:R13"/>
    <mergeCell ref="S13:U13"/>
    <mergeCell ref="Y13:AA13"/>
    <mergeCell ref="AB13:AD13"/>
    <mergeCell ref="AE13:AG13"/>
    <mergeCell ref="AH13:AJ13"/>
    <mergeCell ref="AK13:AN13"/>
    <mergeCell ref="AU13:AW13"/>
    <mergeCell ref="M14:O14"/>
    <mergeCell ref="P14:R14"/>
    <mergeCell ref="S14:U14"/>
    <mergeCell ref="Y14:AA14"/>
    <mergeCell ref="AB14:AD14"/>
    <mergeCell ref="AE14:AG14"/>
    <mergeCell ref="AH14:AJ14"/>
    <mergeCell ref="AK14:AN14"/>
    <mergeCell ref="AU14:AW14"/>
    <mergeCell ref="V14:X14"/>
    <mergeCell ref="AO14:AQ14"/>
    <mergeCell ref="AR14:AT14"/>
    <mergeCell ref="M15:O15"/>
    <mergeCell ref="P15:R15"/>
    <mergeCell ref="S15:U15"/>
    <mergeCell ref="V15:X15"/>
    <mergeCell ref="Y15:AA15"/>
    <mergeCell ref="AB15:AD15"/>
    <mergeCell ref="AE15:AG15"/>
    <mergeCell ref="AH15:AJ15"/>
    <mergeCell ref="AK15:AN15"/>
    <mergeCell ref="M16:O16"/>
    <mergeCell ref="P16:R16"/>
    <mergeCell ref="S16:U16"/>
    <mergeCell ref="V16:X16"/>
    <mergeCell ref="Y16:AA16"/>
    <mergeCell ref="AB16:AD16"/>
    <mergeCell ref="AE16:AG16"/>
    <mergeCell ref="AH16:AJ16"/>
    <mergeCell ref="AK16:AN16"/>
    <mergeCell ref="M18:O18"/>
    <mergeCell ref="P18:R18"/>
    <mergeCell ref="S18:U18"/>
    <mergeCell ref="Y18:AA18"/>
    <mergeCell ref="AB18:AD18"/>
    <mergeCell ref="AE18:AG18"/>
    <mergeCell ref="AH18:AJ18"/>
    <mergeCell ref="AK18:AN18"/>
    <mergeCell ref="AU18:AW18"/>
    <mergeCell ref="V18:X18"/>
    <mergeCell ref="AO18:AQ18"/>
    <mergeCell ref="AR18:AT18"/>
    <mergeCell ref="Y20:AA20"/>
    <mergeCell ref="AB20:AD20"/>
    <mergeCell ref="AE20:AG20"/>
    <mergeCell ref="AH20:AJ20"/>
    <mergeCell ref="AK20:AN20"/>
    <mergeCell ref="M19:O19"/>
    <mergeCell ref="P19:R19"/>
    <mergeCell ref="S19:U19"/>
    <mergeCell ref="Y19:AA19"/>
    <mergeCell ref="AB19:AD19"/>
    <mergeCell ref="AE19:AG19"/>
    <mergeCell ref="AH19:AJ19"/>
    <mergeCell ref="AK19:AN19"/>
    <mergeCell ref="BD20:BF20"/>
    <mergeCell ref="BG20:BI20"/>
    <mergeCell ref="BJ20:BL20"/>
    <mergeCell ref="M21:O21"/>
    <mergeCell ref="P21:R21"/>
    <mergeCell ref="S21:U21"/>
    <mergeCell ref="V21:X21"/>
    <mergeCell ref="Y21:AA21"/>
    <mergeCell ref="AB21:AD21"/>
    <mergeCell ref="AE21:AG21"/>
    <mergeCell ref="AH21:AJ21"/>
    <mergeCell ref="AK21:AN21"/>
    <mergeCell ref="AO21:AQ21"/>
    <mergeCell ref="AR21:AT21"/>
    <mergeCell ref="AU21:AW21"/>
    <mergeCell ref="AX21:AZ21"/>
    <mergeCell ref="BA21:BC21"/>
    <mergeCell ref="BD21:BF21"/>
    <mergeCell ref="BG21:BI21"/>
    <mergeCell ref="BJ21:BL21"/>
    <mergeCell ref="M20:O20"/>
    <mergeCell ref="P20:R20"/>
    <mergeCell ref="S20:U20"/>
    <mergeCell ref="V20:X20"/>
    <mergeCell ref="BJ23:BL23"/>
    <mergeCell ref="M22:O22"/>
    <mergeCell ref="P22:R22"/>
    <mergeCell ref="S22:U22"/>
    <mergeCell ref="V22:X22"/>
    <mergeCell ref="Y22:AA22"/>
    <mergeCell ref="AB22:AD22"/>
    <mergeCell ref="AE22:AG22"/>
    <mergeCell ref="AH22:AJ22"/>
    <mergeCell ref="AK22:AN22"/>
    <mergeCell ref="Y24:AA24"/>
    <mergeCell ref="AB24:AD24"/>
    <mergeCell ref="AE24:AG24"/>
    <mergeCell ref="AH24:AJ24"/>
    <mergeCell ref="AK24:AN24"/>
    <mergeCell ref="BD22:BF22"/>
    <mergeCell ref="BG22:BI22"/>
    <mergeCell ref="BJ22:BL22"/>
    <mergeCell ref="M23:O23"/>
    <mergeCell ref="P23:R23"/>
    <mergeCell ref="S23:U23"/>
    <mergeCell ref="V23:X23"/>
    <mergeCell ref="Y23:AA23"/>
    <mergeCell ref="AB23:AD23"/>
    <mergeCell ref="AE23:AG23"/>
    <mergeCell ref="AH23:AJ23"/>
    <mergeCell ref="AK23:AN23"/>
    <mergeCell ref="AO23:AQ23"/>
    <mergeCell ref="AR23:AT23"/>
    <mergeCell ref="AU23:AW23"/>
    <mergeCell ref="AX23:AZ23"/>
    <mergeCell ref="BA23:BC23"/>
    <mergeCell ref="BD23:BF23"/>
    <mergeCell ref="BG23:BI23"/>
    <mergeCell ref="BD24:BF24"/>
    <mergeCell ref="BG24:BI24"/>
    <mergeCell ref="BJ24:BL24"/>
    <mergeCell ref="M25:O25"/>
    <mergeCell ref="P25:R25"/>
    <mergeCell ref="S25:U25"/>
    <mergeCell ref="V25:X25"/>
    <mergeCell ref="Y25:AA25"/>
    <mergeCell ref="AB25:AD25"/>
    <mergeCell ref="AE25:AG25"/>
    <mergeCell ref="AH25:AJ25"/>
    <mergeCell ref="AK25:AN25"/>
    <mergeCell ref="AO25:AQ25"/>
    <mergeCell ref="AR25:AT25"/>
    <mergeCell ref="AU25:AW25"/>
    <mergeCell ref="AX25:AZ25"/>
    <mergeCell ref="BA25:BC25"/>
    <mergeCell ref="BD25:BF25"/>
    <mergeCell ref="BG25:BI25"/>
    <mergeCell ref="BJ25:BL25"/>
    <mergeCell ref="M24:O24"/>
    <mergeCell ref="P24:R24"/>
    <mergeCell ref="S24:U24"/>
    <mergeCell ref="V24:X24"/>
    <mergeCell ref="M26:O26"/>
    <mergeCell ref="P26:R26"/>
    <mergeCell ref="S26:U26"/>
    <mergeCell ref="V26:X26"/>
    <mergeCell ref="Y26:AA26"/>
    <mergeCell ref="AB26:AD26"/>
    <mergeCell ref="AE26:AG26"/>
    <mergeCell ref="AH26:AJ26"/>
    <mergeCell ref="AK26:AN26"/>
    <mergeCell ref="AO26:AQ26"/>
    <mergeCell ref="AR26:AT26"/>
    <mergeCell ref="AU26:AW26"/>
    <mergeCell ref="AX26:AZ26"/>
    <mergeCell ref="BA26:BC26"/>
    <mergeCell ref="BD26:BF26"/>
    <mergeCell ref="BG26:BI26"/>
    <mergeCell ref="BJ26:BL26"/>
    <mergeCell ref="M27:O27"/>
    <mergeCell ref="P27:R27"/>
    <mergeCell ref="S27:U27"/>
    <mergeCell ref="V27:X27"/>
    <mergeCell ref="Y27:AA27"/>
    <mergeCell ref="AB27:AD27"/>
    <mergeCell ref="AE27:AG27"/>
    <mergeCell ref="AH27:AJ27"/>
    <mergeCell ref="AK27:AN27"/>
    <mergeCell ref="AO27:AQ27"/>
    <mergeCell ref="AR27:AT27"/>
    <mergeCell ref="AU27:AW27"/>
    <mergeCell ref="AX27:AZ27"/>
    <mergeCell ref="BA27:BC27"/>
    <mergeCell ref="BD27:BF27"/>
    <mergeCell ref="BG27:BI27"/>
    <mergeCell ref="BJ27:BL27"/>
    <mergeCell ref="M28:O28"/>
    <mergeCell ref="P28:R28"/>
    <mergeCell ref="S28:U28"/>
    <mergeCell ref="V28:X28"/>
    <mergeCell ref="Y28:AA28"/>
    <mergeCell ref="AB28:AD28"/>
    <mergeCell ref="AE28:AG28"/>
    <mergeCell ref="AH28:AJ28"/>
    <mergeCell ref="AK28:AN28"/>
    <mergeCell ref="AO28:AQ28"/>
    <mergeCell ref="AR28:AT28"/>
    <mergeCell ref="AU28:AW28"/>
    <mergeCell ref="AX28:AZ28"/>
    <mergeCell ref="BA28:BC28"/>
    <mergeCell ref="BD28:BF28"/>
    <mergeCell ref="BG28:BI28"/>
    <mergeCell ref="BJ28:BL28"/>
    <mergeCell ref="M29:O29"/>
    <mergeCell ref="P29:R29"/>
    <mergeCell ref="S29:U29"/>
    <mergeCell ref="V29:X29"/>
    <mergeCell ref="Y29:AA29"/>
    <mergeCell ref="AB29:AD29"/>
    <mergeCell ref="AE29:AG29"/>
    <mergeCell ref="AH29:AJ29"/>
    <mergeCell ref="AK29:AN29"/>
    <mergeCell ref="AO29:AQ29"/>
    <mergeCell ref="AR29:AT29"/>
    <mergeCell ref="AU29:AW29"/>
    <mergeCell ref="AX29:AZ29"/>
    <mergeCell ref="BA29:BC29"/>
    <mergeCell ref="BD29:BF29"/>
    <mergeCell ref="BG29:BI29"/>
    <mergeCell ref="BJ29:BL29"/>
    <mergeCell ref="M30:O30"/>
    <mergeCell ref="P30:R30"/>
    <mergeCell ref="S30:U30"/>
    <mergeCell ref="V30:X30"/>
    <mergeCell ref="Y30:AA30"/>
    <mergeCell ref="AB30:AD30"/>
    <mergeCell ref="AE30:AG30"/>
    <mergeCell ref="AH30:AJ30"/>
    <mergeCell ref="AK30:AN30"/>
    <mergeCell ref="AO30:AQ30"/>
    <mergeCell ref="AR30:AT30"/>
    <mergeCell ref="AU30:AW30"/>
    <mergeCell ref="AX30:AZ30"/>
    <mergeCell ref="BA30:BC30"/>
    <mergeCell ref="BD30:BF30"/>
    <mergeCell ref="BG30:BI30"/>
    <mergeCell ref="BJ30:BL30"/>
    <mergeCell ref="M31:O31"/>
    <mergeCell ref="P31:R31"/>
    <mergeCell ref="S31:U31"/>
    <mergeCell ref="V31:X31"/>
    <mergeCell ref="Y31:AA31"/>
    <mergeCell ref="AB31:AD31"/>
    <mergeCell ref="AE31:AG31"/>
    <mergeCell ref="AH31:AJ31"/>
    <mergeCell ref="AK31:AN31"/>
    <mergeCell ref="AO31:AQ31"/>
    <mergeCell ref="AR31:AT31"/>
    <mergeCell ref="AU31:AW31"/>
    <mergeCell ref="AX31:AZ31"/>
    <mergeCell ref="BA31:BC31"/>
    <mergeCell ref="BD31:BF31"/>
    <mergeCell ref="BG31:BI31"/>
    <mergeCell ref="BJ31:BL31"/>
    <mergeCell ref="BD33:BF33"/>
    <mergeCell ref="M32:O32"/>
    <mergeCell ref="P32:R32"/>
    <mergeCell ref="S32:U32"/>
    <mergeCell ref="V32:X32"/>
    <mergeCell ref="Y32:AA32"/>
    <mergeCell ref="AB32:AD32"/>
    <mergeCell ref="AE32:AG32"/>
    <mergeCell ref="AH32:AJ32"/>
    <mergeCell ref="AK32:AN32"/>
    <mergeCell ref="M33:O33"/>
    <mergeCell ref="P33:R33"/>
    <mergeCell ref="S33:U33"/>
    <mergeCell ref="V33:X33"/>
    <mergeCell ref="Y33:AA33"/>
    <mergeCell ref="AB33:AD33"/>
    <mergeCell ref="AE33:AG33"/>
    <mergeCell ref="AH33:AJ33"/>
    <mergeCell ref="AK33:AN33"/>
    <mergeCell ref="BJ35:BL35"/>
    <mergeCell ref="AO32:AQ32"/>
    <mergeCell ref="AR32:AT32"/>
    <mergeCell ref="AU32:AW32"/>
    <mergeCell ref="AX32:AZ32"/>
    <mergeCell ref="BA32:BC32"/>
    <mergeCell ref="BD32:BF32"/>
    <mergeCell ref="BG32:BI32"/>
    <mergeCell ref="BJ32:BL32"/>
    <mergeCell ref="BG33:BI33"/>
    <mergeCell ref="BJ33:BL33"/>
    <mergeCell ref="AO34:AQ34"/>
    <mergeCell ref="AR34:AT34"/>
    <mergeCell ref="AU34:AW34"/>
    <mergeCell ref="AX34:AZ34"/>
    <mergeCell ref="BA34:BC34"/>
    <mergeCell ref="BD34:BF34"/>
    <mergeCell ref="BG34:BI34"/>
    <mergeCell ref="BJ34:BL34"/>
    <mergeCell ref="AO33:AQ33"/>
    <mergeCell ref="AR33:AT33"/>
    <mergeCell ref="AU33:AW33"/>
    <mergeCell ref="AX33:AZ33"/>
    <mergeCell ref="BA33:BC33"/>
    <mergeCell ref="AX36:AZ36"/>
    <mergeCell ref="M34:O34"/>
    <mergeCell ref="P34:R34"/>
    <mergeCell ref="S34:U34"/>
    <mergeCell ref="V34:X34"/>
    <mergeCell ref="Y34:AA34"/>
    <mergeCell ref="AB34:AD34"/>
    <mergeCell ref="AE34:AG34"/>
    <mergeCell ref="AH34:AJ34"/>
    <mergeCell ref="AK34:AN34"/>
    <mergeCell ref="BA36:BC36"/>
    <mergeCell ref="BD36:BF36"/>
    <mergeCell ref="BG36:BI36"/>
    <mergeCell ref="M35:O35"/>
    <mergeCell ref="P35:R35"/>
    <mergeCell ref="S35:U35"/>
    <mergeCell ref="V35:X35"/>
    <mergeCell ref="Y35:AA35"/>
    <mergeCell ref="M36:O36"/>
    <mergeCell ref="P36:R36"/>
    <mergeCell ref="S36:U36"/>
    <mergeCell ref="V36:X36"/>
    <mergeCell ref="Y36:AA36"/>
    <mergeCell ref="AB36:AD36"/>
    <mergeCell ref="AE36:AG36"/>
    <mergeCell ref="AH36:AJ36"/>
    <mergeCell ref="AK36:AN36"/>
    <mergeCell ref="AE35:AG35"/>
    <mergeCell ref="AH35:AJ35"/>
    <mergeCell ref="AK35:AN35"/>
    <mergeCell ref="BD35:BF35"/>
    <mergeCell ref="BG35:BI35"/>
    <mergeCell ref="AR36:AT36"/>
    <mergeCell ref="AU36:AW36"/>
    <mergeCell ref="BJ36:BL36"/>
    <mergeCell ref="AB35:AD35"/>
    <mergeCell ref="AO38:AQ38"/>
    <mergeCell ref="AR38:AT38"/>
    <mergeCell ref="AU38:AW38"/>
    <mergeCell ref="AX38:AZ38"/>
    <mergeCell ref="BA38:BC38"/>
    <mergeCell ref="AO35:AQ35"/>
    <mergeCell ref="AR35:AT35"/>
    <mergeCell ref="AU35:AW35"/>
    <mergeCell ref="AX35:AZ35"/>
    <mergeCell ref="BA35:BC35"/>
    <mergeCell ref="AO37:AQ37"/>
    <mergeCell ref="AR37:AT37"/>
    <mergeCell ref="AU37:AW37"/>
    <mergeCell ref="AX37:AZ37"/>
    <mergeCell ref="BA37:BC37"/>
    <mergeCell ref="BD37:BF37"/>
    <mergeCell ref="BG37:BI37"/>
    <mergeCell ref="BJ37:BL37"/>
    <mergeCell ref="BD38:BF38"/>
    <mergeCell ref="BG38:BI38"/>
    <mergeCell ref="BJ38:BL38"/>
    <mergeCell ref="AO36:AQ36"/>
    <mergeCell ref="M37:O37"/>
    <mergeCell ref="P37:R37"/>
    <mergeCell ref="S37:U37"/>
    <mergeCell ref="V37:X37"/>
    <mergeCell ref="Y37:AA37"/>
    <mergeCell ref="AB37:AD37"/>
    <mergeCell ref="AE37:AG37"/>
    <mergeCell ref="AH37:AJ37"/>
    <mergeCell ref="AK37:AN37"/>
    <mergeCell ref="AX39:AZ39"/>
    <mergeCell ref="BD39:BF39"/>
    <mergeCell ref="BG39:BI39"/>
    <mergeCell ref="M38:O38"/>
    <mergeCell ref="P38:R38"/>
    <mergeCell ref="S38:U38"/>
    <mergeCell ref="V38:X38"/>
    <mergeCell ref="Y38:AA38"/>
    <mergeCell ref="AB38:AD38"/>
    <mergeCell ref="AE38:AG38"/>
    <mergeCell ref="AH38:AJ38"/>
    <mergeCell ref="AK38:AN38"/>
    <mergeCell ref="M39:O39"/>
    <mergeCell ref="P39:R39"/>
    <mergeCell ref="S39:U39"/>
    <mergeCell ref="Y39:AA39"/>
    <mergeCell ref="AB39:AD39"/>
    <mergeCell ref="AE39:AG39"/>
    <mergeCell ref="AH39:AJ39"/>
    <mergeCell ref="AK39:AN39"/>
    <mergeCell ref="AU39:AW39"/>
    <mergeCell ref="M41:O41"/>
    <mergeCell ref="P41:R41"/>
    <mergeCell ref="S41:U41"/>
    <mergeCell ref="Y41:AA41"/>
    <mergeCell ref="AB41:AD41"/>
    <mergeCell ref="AE41:AG41"/>
    <mergeCell ref="AH41:AJ41"/>
    <mergeCell ref="AK41:AN41"/>
    <mergeCell ref="AU41:AW41"/>
    <mergeCell ref="V41:X41"/>
    <mergeCell ref="M42:O42"/>
    <mergeCell ref="P42:R42"/>
    <mergeCell ref="S42:U42"/>
    <mergeCell ref="V42:X42"/>
    <mergeCell ref="Y42:AA42"/>
    <mergeCell ref="AB42:AD42"/>
    <mergeCell ref="AE42:AG42"/>
    <mergeCell ref="AH42:AJ42"/>
    <mergeCell ref="AK42:AN42"/>
    <mergeCell ref="AE44:AG44"/>
    <mergeCell ref="AH44:AJ44"/>
    <mergeCell ref="AK44:AN44"/>
    <mergeCell ref="AU44:AW44"/>
    <mergeCell ref="M43:O43"/>
    <mergeCell ref="P43:R43"/>
    <mergeCell ref="S43:U43"/>
    <mergeCell ref="V43:X43"/>
    <mergeCell ref="Y43:AA43"/>
    <mergeCell ref="AB43:AD43"/>
    <mergeCell ref="AE43:AG43"/>
    <mergeCell ref="AH43:AJ43"/>
    <mergeCell ref="AK43:AN43"/>
    <mergeCell ref="AO43:AQ43"/>
    <mergeCell ref="AR43:AT43"/>
    <mergeCell ref="AU43:AW43"/>
    <mergeCell ref="BG46:BI46"/>
    <mergeCell ref="BJ46:BL46"/>
    <mergeCell ref="AX44:AZ44"/>
    <mergeCell ref="BD44:BF44"/>
    <mergeCell ref="BG44:BI44"/>
    <mergeCell ref="M45:O45"/>
    <mergeCell ref="P45:R45"/>
    <mergeCell ref="S45:U45"/>
    <mergeCell ref="V45:X45"/>
    <mergeCell ref="Y45:AA45"/>
    <mergeCell ref="AB45:AD45"/>
    <mergeCell ref="AE45:AG45"/>
    <mergeCell ref="AH45:AJ45"/>
    <mergeCell ref="AK45:AN45"/>
    <mergeCell ref="AO45:AQ45"/>
    <mergeCell ref="AR45:AT45"/>
    <mergeCell ref="AU45:AW45"/>
    <mergeCell ref="AX45:AZ45"/>
    <mergeCell ref="BA45:BC45"/>
    <mergeCell ref="BD45:BF45"/>
    <mergeCell ref="BG45:BI45"/>
    <mergeCell ref="M44:O44"/>
    <mergeCell ref="P44:R44"/>
    <mergeCell ref="S44:U44"/>
    <mergeCell ref="F52:S52"/>
    <mergeCell ref="X52:AO52"/>
    <mergeCell ref="AT52:BK53"/>
    <mergeCell ref="F53:S53"/>
    <mergeCell ref="X53:AO53"/>
    <mergeCell ref="F54:S54"/>
    <mergeCell ref="AB54:AO54"/>
    <mergeCell ref="AT54:BK54"/>
    <mergeCell ref="BJ45:BL45"/>
    <mergeCell ref="M46:O46"/>
    <mergeCell ref="P46:R46"/>
    <mergeCell ref="S46:U46"/>
    <mergeCell ref="V46:X46"/>
    <mergeCell ref="Y46:AA46"/>
    <mergeCell ref="AB46:AD46"/>
    <mergeCell ref="AE46:AG46"/>
    <mergeCell ref="AH46:AJ46"/>
    <mergeCell ref="AK46:AN46"/>
    <mergeCell ref="AO46:AQ46"/>
    <mergeCell ref="AR46:AT46"/>
    <mergeCell ref="AU46:AW46"/>
    <mergeCell ref="AX46:AZ46"/>
    <mergeCell ref="BA46:BC46"/>
    <mergeCell ref="BD46:BF46"/>
  </mergeCells>
  <dataValidations count="2">
    <dataValidation type="whole" allowBlank="1" showInputMessage="1" showErrorMessage="1" errorTitle="GSHSP SY 2021-2022" error="Please enter valid number between 0-999." sqref="AN10:AN46" xr:uid="{43FB6E1C-BC35-4C83-952B-04C28A05DAE4}">
      <formula1>0</formula1>
      <formula2>999</formula2>
    </dataValidation>
    <dataValidation type="whole" allowBlank="1" showInputMessage="1" showErrorMessage="1" errorTitle="GSHSP SY 2022-2023" error="Please enter valid number between 0-999." sqref="AU10:AZ46 M10:U46 Y10:AM46" xr:uid="{B81096BD-503D-46AA-A0E3-79EF322B3BA7}">
      <formula1>0</formula1>
      <formula2>999</formula2>
    </dataValidation>
  </dataValidations>
  <printOptions horizontalCentered="1" verticalCentered="1"/>
  <pageMargins left="0.39370078740157483" right="0.39370078740157483" top="0.19685039370078741" bottom="0.19685039370078741" header="0" footer="0.11811023622047245"/>
  <pageSetup paperSize="5" scale="50" orientation="landscape" r:id="rId2"/>
  <headerFooter>
    <oddFooter>&amp;L&amp;10&amp;F &amp;A&amp;R&amp;10Page 6 of 61</oddFooter>
  </headerFooter>
  <ignoredErrors>
    <ignoredError sqref="AO10:AQ46 V10:X46"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rgb="FFFFFF00"/>
    <pageSetUpPr fitToPage="1"/>
  </sheetPr>
  <dimension ref="A1:CL54"/>
  <sheetViews>
    <sheetView showGridLines="0" tabSelected="1" topLeftCell="A7" zoomScaleNormal="100" zoomScalePageLayoutView="70" workbookViewId="0">
      <selection activeCell="AX18" sqref="AX18:AZ18"/>
    </sheetView>
  </sheetViews>
  <sheetFormatPr defaultColWidth="9" defaultRowHeight="15.75"/>
  <cols>
    <col min="1" max="1" width="2.125" style="46" customWidth="1"/>
    <col min="2" max="64" width="3.625" style="46" customWidth="1"/>
    <col min="65" max="65" width="2.125" style="46" customWidth="1"/>
    <col min="66" max="89" width="3.125" style="46" customWidth="1"/>
    <col min="90" max="16384" width="9" style="46"/>
  </cols>
  <sheetData>
    <row r="1" spans="1:90"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2"/>
      <c r="BM1" s="222"/>
      <c r="BN1" s="222"/>
      <c r="BO1" s="222"/>
      <c r="BP1" s="222"/>
      <c r="BQ1" s="222"/>
      <c r="BR1" s="222"/>
      <c r="BS1" s="222"/>
      <c r="BT1" s="222"/>
      <c r="BU1" s="222"/>
      <c r="BV1" s="222"/>
      <c r="BW1" s="222"/>
      <c r="BX1" s="222"/>
      <c r="BY1" s="222"/>
      <c r="BZ1" s="222"/>
      <c r="CA1" s="222"/>
      <c r="CB1" s="222"/>
      <c r="CC1" s="222"/>
      <c r="CD1" s="222"/>
      <c r="CE1" s="222"/>
      <c r="CF1" s="222"/>
      <c r="CG1" s="222"/>
      <c r="CH1" s="222"/>
      <c r="CI1" s="222"/>
      <c r="CJ1" s="222"/>
      <c r="CK1" s="222"/>
      <c r="CL1" s="222"/>
    </row>
    <row r="2" spans="1:90" s="49" customFormat="1" ht="16.5" thickBot="1">
      <c r="A2" s="224"/>
      <c r="B2" s="283" t="s">
        <v>11375</v>
      </c>
      <c r="C2" s="283"/>
      <c r="D2" s="283"/>
      <c r="E2" s="283"/>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c r="BY2" s="224"/>
      <c r="BZ2" s="224"/>
      <c r="CA2" s="224"/>
      <c r="CB2" s="224"/>
      <c r="CC2" s="224"/>
      <c r="CD2" s="224"/>
      <c r="CE2" s="224"/>
      <c r="CF2" s="224"/>
      <c r="CG2" s="224"/>
      <c r="CH2" s="224"/>
      <c r="CI2" s="224"/>
      <c r="CJ2" s="224"/>
      <c r="CK2" s="224"/>
      <c r="CL2" s="224"/>
    </row>
    <row r="3" spans="1:90" ht="13.7" customHeight="1" thickBot="1">
      <c r="A3" s="222"/>
      <c r="B3" s="2214" t="s">
        <v>38</v>
      </c>
      <c r="C3" s="1892"/>
      <c r="D3" s="1892"/>
      <c r="E3" s="1892"/>
      <c r="F3" s="1892"/>
      <c r="G3" s="1892"/>
      <c r="H3" s="1892"/>
      <c r="I3" s="1892"/>
      <c r="J3" s="1892"/>
      <c r="K3" s="1892"/>
      <c r="L3" s="1893"/>
      <c r="M3" s="2218" t="s">
        <v>172</v>
      </c>
      <c r="N3" s="2219"/>
      <c r="O3" s="2219"/>
      <c r="P3" s="2219"/>
      <c r="Q3" s="2219"/>
      <c r="R3" s="2219"/>
      <c r="S3" s="2219"/>
      <c r="T3" s="2219"/>
      <c r="U3" s="2219"/>
      <c r="V3" s="2219"/>
      <c r="W3" s="2219"/>
      <c r="X3" s="2219"/>
      <c r="Y3" s="2219"/>
      <c r="Z3" s="2219"/>
      <c r="AA3" s="2219"/>
      <c r="AB3" s="2219"/>
      <c r="AC3" s="2219"/>
      <c r="AD3" s="2219"/>
      <c r="AE3" s="2219"/>
      <c r="AF3" s="2219"/>
      <c r="AG3" s="2219"/>
      <c r="AH3" s="2219"/>
      <c r="AI3" s="2219"/>
      <c r="AJ3" s="2219"/>
      <c r="AK3" s="2219"/>
      <c r="AL3" s="2219"/>
      <c r="AM3" s="2219"/>
      <c r="AN3" s="2219"/>
      <c r="AO3" s="2219"/>
      <c r="AP3" s="2219"/>
      <c r="AQ3" s="2219"/>
      <c r="AR3" s="2219"/>
      <c r="AS3" s="2219"/>
      <c r="AT3" s="2219"/>
      <c r="AU3" s="2219"/>
      <c r="AV3" s="2219"/>
      <c r="AW3" s="2219"/>
      <c r="AX3" s="2219"/>
      <c r="AY3" s="2219"/>
      <c r="AZ3" s="2219"/>
      <c r="BA3" s="2219"/>
      <c r="BB3" s="2219"/>
      <c r="BC3" s="2219"/>
      <c r="BD3" s="2219"/>
      <c r="BE3" s="2219"/>
      <c r="BF3" s="2219"/>
      <c r="BG3" s="2219"/>
      <c r="BH3" s="2219"/>
      <c r="BI3" s="2219"/>
      <c r="BJ3" s="2219"/>
      <c r="BK3" s="2219"/>
      <c r="BL3" s="2220"/>
      <c r="BM3" s="222"/>
      <c r="BN3" s="222"/>
      <c r="BO3" s="222"/>
      <c r="BP3" s="222"/>
      <c r="BQ3" s="222"/>
      <c r="BR3" s="222"/>
      <c r="BS3" s="222"/>
      <c r="BT3" s="222"/>
      <c r="BU3" s="222"/>
      <c r="BV3" s="222"/>
      <c r="BW3" s="222"/>
      <c r="BX3" s="222"/>
      <c r="BY3" s="222"/>
      <c r="BZ3" s="222"/>
      <c r="CA3" s="222"/>
      <c r="CB3" s="222"/>
      <c r="CC3" s="222"/>
      <c r="CD3" s="222"/>
      <c r="CE3" s="222"/>
      <c r="CF3" s="222"/>
      <c r="CG3" s="222"/>
      <c r="CH3" s="222"/>
      <c r="CI3" s="222"/>
      <c r="CJ3" s="222"/>
      <c r="CK3" s="222"/>
      <c r="CL3" s="222"/>
    </row>
    <row r="4" spans="1:90" ht="16.5" customHeight="1" thickBot="1">
      <c r="A4" s="222"/>
      <c r="B4" s="2215"/>
      <c r="C4" s="2216"/>
      <c r="D4" s="2216"/>
      <c r="E4" s="2216"/>
      <c r="F4" s="2216"/>
      <c r="G4" s="2216"/>
      <c r="H4" s="2216"/>
      <c r="I4" s="2216"/>
      <c r="J4" s="2216"/>
      <c r="K4" s="2216"/>
      <c r="L4" s="2217"/>
      <c r="M4" s="2129" t="s">
        <v>173</v>
      </c>
      <c r="N4" s="2130"/>
      <c r="O4" s="2131"/>
      <c r="P4" s="2136" t="s">
        <v>174</v>
      </c>
      <c r="Q4" s="2136"/>
      <c r="R4" s="2136"/>
      <c r="S4" s="2136"/>
      <c r="T4" s="2136"/>
      <c r="U4" s="2136"/>
      <c r="V4" s="2136"/>
      <c r="W4" s="2136"/>
      <c r="X4" s="2136"/>
      <c r="Y4" s="2136"/>
      <c r="Z4" s="2136"/>
      <c r="AA4" s="2136"/>
      <c r="AB4" s="2136"/>
      <c r="AC4" s="2136"/>
      <c r="AD4" s="2136"/>
      <c r="AE4" s="2136"/>
      <c r="AF4" s="2136"/>
      <c r="AG4" s="2136"/>
      <c r="AH4" s="2136"/>
      <c r="AI4" s="2136"/>
      <c r="AJ4" s="2136"/>
      <c r="AK4" s="2136"/>
      <c r="AL4" s="2136"/>
      <c r="AM4" s="2136"/>
      <c r="AN4" s="2136"/>
      <c r="AO4" s="2136"/>
      <c r="AP4" s="2136"/>
      <c r="AQ4" s="2136"/>
      <c r="AR4" s="2136"/>
      <c r="AS4" s="2136"/>
      <c r="AT4" s="2137"/>
      <c r="AU4" s="2138" t="s">
        <v>1100</v>
      </c>
      <c r="AV4" s="2138"/>
      <c r="AW4" s="2138"/>
      <c r="AX4" s="2138"/>
      <c r="AY4" s="2138"/>
      <c r="AZ4" s="2138"/>
      <c r="BA4" s="2138"/>
      <c r="BB4" s="2138"/>
      <c r="BC4" s="2139"/>
      <c r="BD4" s="2138" t="s">
        <v>1097</v>
      </c>
      <c r="BE4" s="2138"/>
      <c r="BF4" s="2138"/>
      <c r="BG4" s="2138"/>
      <c r="BH4" s="2138"/>
      <c r="BI4" s="2138"/>
      <c r="BJ4" s="2138"/>
      <c r="BK4" s="2138"/>
      <c r="BL4" s="2139"/>
      <c r="BM4" s="222"/>
      <c r="BN4" s="222"/>
      <c r="BO4" s="222"/>
      <c r="BP4" s="222"/>
      <c r="BQ4" s="222"/>
      <c r="BR4" s="222"/>
      <c r="BS4" s="222"/>
      <c r="BT4" s="222"/>
      <c r="BU4" s="222"/>
      <c r="BV4" s="222"/>
      <c r="BW4" s="222"/>
      <c r="BX4" s="222"/>
      <c r="BY4" s="222"/>
      <c r="BZ4" s="222"/>
      <c r="CA4" s="222"/>
      <c r="CB4" s="222"/>
      <c r="CC4" s="222"/>
      <c r="CD4" s="222"/>
      <c r="CE4" s="222"/>
      <c r="CF4" s="222"/>
      <c r="CG4" s="222"/>
      <c r="CH4" s="222"/>
      <c r="CI4" s="222"/>
      <c r="CJ4" s="222"/>
      <c r="CK4" s="222"/>
      <c r="CL4" s="222"/>
    </row>
    <row r="5" spans="1:90" ht="15.75" customHeight="1">
      <c r="A5" s="222"/>
      <c r="B5" s="2215"/>
      <c r="C5" s="2216"/>
      <c r="D5" s="2216"/>
      <c r="E5" s="2216"/>
      <c r="F5" s="2216"/>
      <c r="G5" s="2216"/>
      <c r="H5" s="2216"/>
      <c r="I5" s="2216"/>
      <c r="J5" s="2216"/>
      <c r="K5" s="2216"/>
      <c r="L5" s="2217"/>
      <c r="M5" s="2132"/>
      <c r="N5" s="2133"/>
      <c r="O5" s="2134"/>
      <c r="P5" s="2138" t="s">
        <v>1099</v>
      </c>
      <c r="Q5" s="2138"/>
      <c r="R5" s="2138"/>
      <c r="S5" s="2138"/>
      <c r="T5" s="2138"/>
      <c r="U5" s="2138"/>
      <c r="V5" s="2138"/>
      <c r="W5" s="2138"/>
      <c r="X5" s="2144"/>
      <c r="Y5" s="2138" t="s">
        <v>176</v>
      </c>
      <c r="Z5" s="2138"/>
      <c r="AA5" s="2146"/>
      <c r="AB5" s="2149" t="s">
        <v>1091</v>
      </c>
      <c r="AC5" s="2138"/>
      <c r="AD5" s="2144"/>
      <c r="AE5" s="2149" t="s">
        <v>177</v>
      </c>
      <c r="AF5" s="2138"/>
      <c r="AG5" s="2138"/>
      <c r="AH5" s="2138"/>
      <c r="AI5" s="2138"/>
      <c r="AJ5" s="2138"/>
      <c r="AK5" s="2138"/>
      <c r="AL5" s="2138"/>
      <c r="AM5" s="2138"/>
      <c r="AN5" s="2138"/>
      <c r="AO5" s="2138"/>
      <c r="AP5" s="2138"/>
      <c r="AQ5" s="2152"/>
      <c r="AR5" s="2130" t="s">
        <v>1098</v>
      </c>
      <c r="AS5" s="2130"/>
      <c r="AT5" s="2131"/>
      <c r="AU5" s="2140"/>
      <c r="AV5" s="2140"/>
      <c r="AW5" s="2140"/>
      <c r="AX5" s="2140"/>
      <c r="AY5" s="2140"/>
      <c r="AZ5" s="2140"/>
      <c r="BA5" s="2140"/>
      <c r="BB5" s="2140"/>
      <c r="BC5" s="2141"/>
      <c r="BD5" s="2140"/>
      <c r="BE5" s="2140"/>
      <c r="BF5" s="2140"/>
      <c r="BG5" s="2140"/>
      <c r="BH5" s="2140"/>
      <c r="BI5" s="2140"/>
      <c r="BJ5" s="2140"/>
      <c r="BK5" s="2140"/>
      <c r="BL5" s="2141"/>
      <c r="BM5" s="222"/>
      <c r="BN5" s="222"/>
      <c r="BO5" s="222"/>
      <c r="BP5" s="222"/>
      <c r="BQ5" s="222"/>
      <c r="BR5" s="222"/>
      <c r="BS5" s="222"/>
      <c r="BT5" s="222"/>
      <c r="BU5" s="222"/>
      <c r="BV5" s="222"/>
      <c r="BW5" s="222"/>
      <c r="BX5" s="222"/>
      <c r="BY5" s="222"/>
      <c r="BZ5" s="222"/>
      <c r="CA5" s="222"/>
      <c r="CB5" s="222"/>
      <c r="CC5" s="222"/>
      <c r="CD5" s="222"/>
      <c r="CE5" s="222"/>
      <c r="CF5" s="222"/>
      <c r="CG5" s="222"/>
      <c r="CH5" s="222"/>
      <c r="CI5" s="222"/>
      <c r="CJ5" s="222"/>
      <c r="CK5" s="222"/>
      <c r="CL5" s="222"/>
    </row>
    <row r="6" spans="1:90" ht="19.5" customHeight="1">
      <c r="A6" s="222"/>
      <c r="B6" s="2215"/>
      <c r="C6" s="2216"/>
      <c r="D6" s="2216"/>
      <c r="E6" s="2216"/>
      <c r="F6" s="2216"/>
      <c r="G6" s="2216"/>
      <c r="H6" s="2216"/>
      <c r="I6" s="2216"/>
      <c r="J6" s="2216"/>
      <c r="K6" s="2216"/>
      <c r="L6" s="2217"/>
      <c r="M6" s="2132"/>
      <c r="N6" s="2133"/>
      <c r="O6" s="2134"/>
      <c r="P6" s="2142"/>
      <c r="Q6" s="2142"/>
      <c r="R6" s="2142"/>
      <c r="S6" s="2142"/>
      <c r="T6" s="2142"/>
      <c r="U6" s="2142"/>
      <c r="V6" s="2142"/>
      <c r="W6" s="2142"/>
      <c r="X6" s="2145"/>
      <c r="Y6" s="2147"/>
      <c r="Z6" s="2147"/>
      <c r="AA6" s="2148"/>
      <c r="AB6" s="2150"/>
      <c r="AC6" s="2140"/>
      <c r="AD6" s="2151"/>
      <c r="AE6" s="2153" t="s">
        <v>178</v>
      </c>
      <c r="AF6" s="2153"/>
      <c r="AG6" s="2153"/>
      <c r="AH6" s="2221" t="s">
        <v>179</v>
      </c>
      <c r="AI6" s="2221"/>
      <c r="AJ6" s="2221"/>
      <c r="AK6" s="2155" t="s">
        <v>180</v>
      </c>
      <c r="AL6" s="2156"/>
      <c r="AM6" s="2156"/>
      <c r="AN6" s="2156"/>
      <c r="AO6" s="2162" t="s">
        <v>42</v>
      </c>
      <c r="AP6" s="2163"/>
      <c r="AQ6" s="2164"/>
      <c r="AR6" s="2133"/>
      <c r="AS6" s="2133"/>
      <c r="AT6" s="2134"/>
      <c r="AU6" s="2142"/>
      <c r="AV6" s="2142"/>
      <c r="AW6" s="2142"/>
      <c r="AX6" s="2142"/>
      <c r="AY6" s="2142"/>
      <c r="AZ6" s="2142"/>
      <c r="BA6" s="2142"/>
      <c r="BB6" s="2142"/>
      <c r="BC6" s="2143"/>
      <c r="BD6" s="2142"/>
      <c r="BE6" s="2142"/>
      <c r="BF6" s="2142"/>
      <c r="BG6" s="2142"/>
      <c r="BH6" s="2142"/>
      <c r="BI6" s="2142"/>
      <c r="BJ6" s="2142"/>
      <c r="BK6" s="2142"/>
      <c r="BL6" s="2143"/>
      <c r="BM6" s="222"/>
      <c r="BN6" s="222"/>
      <c r="BO6" s="222"/>
      <c r="BP6" s="222"/>
      <c r="BQ6" s="222"/>
      <c r="BR6" s="222"/>
      <c r="BS6" s="222"/>
      <c r="BT6" s="222"/>
      <c r="BU6" s="222"/>
      <c r="BV6" s="222"/>
      <c r="BW6" s="222"/>
      <c r="BX6" s="222"/>
      <c r="BY6" s="222"/>
      <c r="BZ6" s="222"/>
      <c r="CA6" s="222"/>
      <c r="CB6" s="222"/>
      <c r="CC6" s="222"/>
      <c r="CD6" s="222"/>
      <c r="CE6" s="222"/>
      <c r="CF6" s="222"/>
      <c r="CG6" s="222"/>
      <c r="CH6" s="222"/>
      <c r="CI6" s="222"/>
      <c r="CJ6" s="222"/>
      <c r="CK6" s="222"/>
      <c r="CL6" s="222"/>
    </row>
    <row r="7" spans="1:90" ht="29.25" customHeight="1">
      <c r="A7" s="222"/>
      <c r="B7" s="2215"/>
      <c r="C7" s="2216"/>
      <c r="D7" s="2216"/>
      <c r="E7" s="2216"/>
      <c r="F7" s="2216"/>
      <c r="G7" s="2216"/>
      <c r="H7" s="2216"/>
      <c r="I7" s="2216"/>
      <c r="J7" s="2216"/>
      <c r="K7" s="2216"/>
      <c r="L7" s="2217"/>
      <c r="M7" s="2132"/>
      <c r="N7" s="2133"/>
      <c r="O7" s="2134"/>
      <c r="P7" s="2165" t="s">
        <v>45</v>
      </c>
      <c r="Q7" s="2166"/>
      <c r="R7" s="2167"/>
      <c r="S7" s="2169" t="s">
        <v>46</v>
      </c>
      <c r="T7" s="2166"/>
      <c r="U7" s="2170"/>
      <c r="V7" s="2174" t="s">
        <v>42</v>
      </c>
      <c r="W7" s="2103"/>
      <c r="X7" s="2172"/>
      <c r="Y7" s="2147"/>
      <c r="Z7" s="2147"/>
      <c r="AA7" s="2148"/>
      <c r="AB7" s="2150"/>
      <c r="AC7" s="2140"/>
      <c r="AD7" s="2151"/>
      <c r="AE7" s="2154"/>
      <c r="AF7" s="2154"/>
      <c r="AG7" s="2154"/>
      <c r="AH7" s="2222"/>
      <c r="AI7" s="2222"/>
      <c r="AJ7" s="2222"/>
      <c r="AK7" s="2158"/>
      <c r="AL7" s="2133"/>
      <c r="AM7" s="2133"/>
      <c r="AN7" s="2133"/>
      <c r="AO7" s="2105" t="s">
        <v>1093</v>
      </c>
      <c r="AP7" s="2106"/>
      <c r="AQ7" s="2110"/>
      <c r="AR7" s="2133"/>
      <c r="AS7" s="2133"/>
      <c r="AT7" s="2134"/>
      <c r="AU7" s="2165" t="s">
        <v>45</v>
      </c>
      <c r="AV7" s="2166"/>
      <c r="AW7" s="2167"/>
      <c r="AX7" s="2169" t="s">
        <v>46</v>
      </c>
      <c r="AY7" s="2166"/>
      <c r="AZ7" s="2170"/>
      <c r="BA7" s="2174" t="s">
        <v>42</v>
      </c>
      <c r="BB7" s="2103"/>
      <c r="BC7" s="2104"/>
      <c r="BD7" s="2173" t="s">
        <v>45</v>
      </c>
      <c r="BE7" s="2103"/>
      <c r="BF7" s="2172"/>
      <c r="BG7" s="2213" t="s">
        <v>46</v>
      </c>
      <c r="BH7" s="2103"/>
      <c r="BI7" s="2175"/>
      <c r="BJ7" s="2174" t="s">
        <v>42</v>
      </c>
      <c r="BK7" s="2103"/>
      <c r="BL7" s="2104"/>
      <c r="BM7" s="222"/>
      <c r="BN7" s="222"/>
      <c r="BO7" s="222"/>
      <c r="BP7" s="222"/>
      <c r="BQ7" s="222"/>
      <c r="BR7" s="222"/>
      <c r="BS7" s="222"/>
      <c r="BT7" s="222"/>
      <c r="BU7" s="222"/>
      <c r="BV7" s="222"/>
      <c r="BW7" s="222"/>
      <c r="BX7" s="222"/>
      <c r="BY7" s="222"/>
      <c r="BZ7" s="222"/>
      <c r="CA7" s="222"/>
      <c r="CB7" s="222"/>
      <c r="CC7" s="222"/>
      <c r="CD7" s="222"/>
      <c r="CE7" s="222"/>
      <c r="CF7" s="222"/>
      <c r="CG7" s="222"/>
      <c r="CH7" s="222"/>
      <c r="CI7" s="222"/>
      <c r="CJ7" s="222"/>
      <c r="CK7" s="222"/>
      <c r="CL7" s="222"/>
    </row>
    <row r="8" spans="1:90" ht="15.75" customHeight="1">
      <c r="A8" s="222"/>
      <c r="B8" s="2215"/>
      <c r="C8" s="2216"/>
      <c r="D8" s="2216"/>
      <c r="E8" s="2216"/>
      <c r="F8" s="2216"/>
      <c r="G8" s="2216"/>
      <c r="H8" s="2216"/>
      <c r="I8" s="2216"/>
      <c r="J8" s="2216"/>
      <c r="K8" s="2216"/>
      <c r="L8" s="2217"/>
      <c r="M8" s="2132"/>
      <c r="N8" s="2133"/>
      <c r="O8" s="2134"/>
      <c r="P8" s="2168"/>
      <c r="Q8" s="2140"/>
      <c r="R8" s="2151"/>
      <c r="S8" s="2150"/>
      <c r="T8" s="2140"/>
      <c r="U8" s="2171"/>
      <c r="V8" s="2106" t="s">
        <v>1094</v>
      </c>
      <c r="W8" s="2106"/>
      <c r="X8" s="2107"/>
      <c r="Y8" s="2147"/>
      <c r="Z8" s="2147"/>
      <c r="AA8" s="2148"/>
      <c r="AB8" s="2150"/>
      <c r="AC8" s="2140"/>
      <c r="AD8" s="2151"/>
      <c r="AE8" s="2154"/>
      <c r="AF8" s="2154"/>
      <c r="AG8" s="2154"/>
      <c r="AH8" s="2222"/>
      <c r="AI8" s="2222"/>
      <c r="AJ8" s="2222"/>
      <c r="AK8" s="2158"/>
      <c r="AL8" s="2133"/>
      <c r="AM8" s="2133"/>
      <c r="AN8" s="2133"/>
      <c r="AO8" s="2105"/>
      <c r="AP8" s="2106"/>
      <c r="AQ8" s="2110"/>
      <c r="AR8" s="2133"/>
      <c r="AS8" s="2133"/>
      <c r="AT8" s="2134"/>
      <c r="AU8" s="2168"/>
      <c r="AV8" s="2140"/>
      <c r="AW8" s="2151"/>
      <c r="AX8" s="2150"/>
      <c r="AY8" s="2140"/>
      <c r="AZ8" s="2171"/>
      <c r="BA8" s="2106" t="s">
        <v>1095</v>
      </c>
      <c r="BB8" s="2106"/>
      <c r="BC8" s="2108"/>
      <c r="BD8" s="2109" t="s">
        <v>181</v>
      </c>
      <c r="BE8" s="2106"/>
      <c r="BF8" s="2107"/>
      <c r="BG8" s="2223" t="s">
        <v>182</v>
      </c>
      <c r="BH8" s="2106"/>
      <c r="BI8" s="2110"/>
      <c r="BJ8" s="2106" t="s">
        <v>183</v>
      </c>
      <c r="BK8" s="2106"/>
      <c r="BL8" s="2108"/>
      <c r="BM8" s="222"/>
      <c r="BN8" s="222"/>
      <c r="BO8" s="222"/>
      <c r="BP8" s="222"/>
      <c r="BQ8" s="222"/>
      <c r="BR8" s="222"/>
      <c r="BS8" s="222"/>
      <c r="BT8" s="222"/>
      <c r="BU8" s="222"/>
      <c r="BV8" s="222"/>
      <c r="BW8" s="222"/>
      <c r="BX8" s="222"/>
      <c r="BY8" s="222"/>
      <c r="BZ8" s="222"/>
      <c r="CA8" s="222"/>
      <c r="CB8" s="222"/>
      <c r="CC8" s="222"/>
      <c r="CD8" s="222"/>
      <c r="CE8" s="222"/>
      <c r="CF8" s="222"/>
      <c r="CG8" s="222"/>
      <c r="CH8" s="222"/>
      <c r="CI8" s="222"/>
      <c r="CJ8" s="222"/>
      <c r="CK8" s="222"/>
      <c r="CL8" s="222"/>
    </row>
    <row r="9" spans="1:90" s="30" customFormat="1" ht="12" customHeight="1" thickBot="1">
      <c r="A9" s="284"/>
      <c r="B9" s="2111" t="s">
        <v>184</v>
      </c>
      <c r="C9" s="2112"/>
      <c r="D9" s="2112"/>
      <c r="E9" s="2112"/>
      <c r="F9" s="2112"/>
      <c r="G9" s="2112"/>
      <c r="H9" s="2112"/>
      <c r="I9" s="2112"/>
      <c r="J9" s="2112"/>
      <c r="K9" s="2112"/>
      <c r="L9" s="2113"/>
      <c r="M9" s="2111" t="s">
        <v>185</v>
      </c>
      <c r="N9" s="2112"/>
      <c r="O9" s="2113"/>
      <c r="P9" s="2111" t="s">
        <v>186</v>
      </c>
      <c r="Q9" s="2112"/>
      <c r="R9" s="2112"/>
      <c r="S9" s="2114" t="s">
        <v>187</v>
      </c>
      <c r="T9" s="2112"/>
      <c r="U9" s="2115"/>
      <c r="V9" s="2112" t="s">
        <v>188</v>
      </c>
      <c r="W9" s="2112"/>
      <c r="X9" s="2116"/>
      <c r="Y9" s="2112" t="s">
        <v>189</v>
      </c>
      <c r="Z9" s="2112"/>
      <c r="AA9" s="2116"/>
      <c r="AB9" s="2114" t="s">
        <v>190</v>
      </c>
      <c r="AC9" s="2112"/>
      <c r="AD9" s="2116"/>
      <c r="AE9" s="2114" t="s">
        <v>191</v>
      </c>
      <c r="AF9" s="2112"/>
      <c r="AG9" s="2112"/>
      <c r="AH9" s="2114" t="s">
        <v>192</v>
      </c>
      <c r="AI9" s="2112"/>
      <c r="AJ9" s="2116"/>
      <c r="AK9" s="2114" t="s">
        <v>193</v>
      </c>
      <c r="AL9" s="2112"/>
      <c r="AM9" s="2112"/>
      <c r="AN9" s="2112"/>
      <c r="AO9" s="2117" t="s">
        <v>194</v>
      </c>
      <c r="AP9" s="2112"/>
      <c r="AQ9" s="2115"/>
      <c r="AR9" s="2119" t="s">
        <v>195</v>
      </c>
      <c r="AS9" s="2119"/>
      <c r="AT9" s="2113"/>
      <c r="AU9" s="2111" t="s">
        <v>196</v>
      </c>
      <c r="AV9" s="2112"/>
      <c r="AW9" s="2116"/>
      <c r="AX9" s="2114" t="s">
        <v>197</v>
      </c>
      <c r="AY9" s="2112"/>
      <c r="AZ9" s="2115"/>
      <c r="BA9" s="2112" t="s">
        <v>198</v>
      </c>
      <c r="BB9" s="2112"/>
      <c r="BC9" s="2113"/>
      <c r="BD9" s="2111" t="s">
        <v>199</v>
      </c>
      <c r="BE9" s="2112"/>
      <c r="BF9" s="2116"/>
      <c r="BG9" s="2114" t="s">
        <v>200</v>
      </c>
      <c r="BH9" s="2112"/>
      <c r="BI9" s="2115"/>
      <c r="BJ9" s="2112" t="s">
        <v>201</v>
      </c>
      <c r="BK9" s="2112"/>
      <c r="BL9" s="2113"/>
      <c r="BM9" s="284"/>
      <c r="BN9" s="284"/>
      <c r="BO9" s="284"/>
      <c r="BP9" s="284"/>
      <c r="BQ9" s="284"/>
      <c r="BR9" s="284"/>
      <c r="BS9" s="284"/>
      <c r="BT9" s="284"/>
      <c r="BU9" s="284"/>
      <c r="BV9" s="284"/>
      <c r="BW9" s="284"/>
      <c r="BX9" s="284"/>
      <c r="BY9" s="284"/>
      <c r="BZ9" s="284"/>
      <c r="CA9" s="284"/>
      <c r="CB9" s="284"/>
      <c r="CC9" s="284"/>
      <c r="CD9" s="284"/>
      <c r="CE9" s="284"/>
      <c r="CF9" s="284"/>
      <c r="CG9" s="284"/>
      <c r="CH9" s="284"/>
      <c r="CI9" s="284"/>
      <c r="CJ9" s="284"/>
      <c r="CK9" s="284"/>
      <c r="CL9" s="284"/>
    </row>
    <row r="10" spans="1:90" s="49" customFormat="1" ht="39.950000000000003" customHeight="1">
      <c r="A10" s="224"/>
      <c r="B10" s="363"/>
      <c r="C10" s="364" t="s">
        <v>241</v>
      </c>
      <c r="D10" s="364"/>
      <c r="E10" s="365"/>
      <c r="F10" s="365"/>
      <c r="G10" s="365"/>
      <c r="H10" s="365"/>
      <c r="I10" s="365"/>
      <c r="J10" s="365"/>
      <c r="K10" s="365"/>
      <c r="L10" s="366"/>
      <c r="M10" s="2209">
        <v>0</v>
      </c>
      <c r="N10" s="2210"/>
      <c r="O10" s="2211"/>
      <c r="P10" s="2091">
        <v>0</v>
      </c>
      <c r="Q10" s="2092"/>
      <c r="R10" s="2094"/>
      <c r="S10" s="2095">
        <v>0</v>
      </c>
      <c r="T10" s="2092"/>
      <c r="U10" s="2096"/>
      <c r="V10" s="2097">
        <f>SUM(P10:U10)</f>
        <v>0</v>
      </c>
      <c r="W10" s="2098"/>
      <c r="X10" s="2099"/>
      <c r="Y10" s="2095">
        <v>0</v>
      </c>
      <c r="Z10" s="2092"/>
      <c r="AA10" s="2094"/>
      <c r="AB10" s="2095">
        <v>0</v>
      </c>
      <c r="AC10" s="2092"/>
      <c r="AD10" s="2094"/>
      <c r="AE10" s="2095">
        <v>0</v>
      </c>
      <c r="AF10" s="2092"/>
      <c r="AG10" s="2094"/>
      <c r="AH10" s="2095">
        <v>0</v>
      </c>
      <c r="AI10" s="2092"/>
      <c r="AJ10" s="2094"/>
      <c r="AK10" s="2095">
        <v>0</v>
      </c>
      <c r="AL10" s="2092"/>
      <c r="AM10" s="2092"/>
      <c r="AN10" s="2096"/>
      <c r="AO10" s="2097">
        <f>SUM(AE10:AN10)</f>
        <v>0</v>
      </c>
      <c r="AP10" s="2098"/>
      <c r="AQ10" s="2100"/>
      <c r="AR10" s="2097">
        <f>+V10+personnel_teach_mt4_onleave+personnel_teach_mt4_vacant+AO10</f>
        <v>0</v>
      </c>
      <c r="AS10" s="2098"/>
      <c r="AT10" s="2101"/>
      <c r="AU10" s="2091">
        <v>0</v>
      </c>
      <c r="AV10" s="2092"/>
      <c r="AW10" s="2094"/>
      <c r="AX10" s="2095">
        <v>0</v>
      </c>
      <c r="AY10" s="2092"/>
      <c r="AZ10" s="2096"/>
      <c r="BA10" s="2097">
        <f>SUM(AU10:AZ10)</f>
        <v>0</v>
      </c>
      <c r="BB10" s="2098"/>
      <c r="BC10" s="2101"/>
      <c r="BD10" s="2188">
        <f>+personnel_teach_mt4_actual_m+personnel_teach_mt4_borrowed_m</f>
        <v>0</v>
      </c>
      <c r="BE10" s="2098"/>
      <c r="BF10" s="2099"/>
      <c r="BG10" s="2212">
        <f>+personnel_teach_mt4_actual_f+personnel_teach_mt4_borrowed_f</f>
        <v>0</v>
      </c>
      <c r="BH10" s="2098"/>
      <c r="BI10" s="2100"/>
      <c r="BJ10" s="2097">
        <f>SUM(BD10:BI10)</f>
        <v>0</v>
      </c>
      <c r="BK10" s="2098"/>
      <c r="BL10" s="2101"/>
      <c r="BM10" s="224"/>
      <c r="BN10" s="1551" t="str">
        <f>IF(AND(M10&lt;&gt;AR10,M10&lt;&gt;'Tables 8-9'!L7,BJ10&lt;&gt;'Tables 8-9'!AD31),"Totals in column 12 shall tally with entries in column 2, totals in column 2 shall tally with entries in Table 8 column 2 and totals in column 18 shall tally with entries in Table 9 column 7.", IF(AND(M10&lt;&gt;AR10,M10&lt;&gt;'Tables 8-9'!L7),"Totals in column 12 shall tally with entries in column 2 and totals in column 2 shall tally with entries in Table 8 column 2.", IF(M10&lt;&gt;AR10,"Totals in column 12 shall tally with entries in column 2.", IF(AND(M10&lt;&gt;AR10,BJ10&lt;&gt;'Tables 8-9'!AD31),"Totals in column 12 shall tally with entries in column 2 and totals in column 18 shall tally with entries in Table 9 column 7.", IF(M10&lt;&gt;AR10,"Totals in column 12 shall tally with entries in column 2.", IF(M10&lt;&gt;'Tables 8-9'!L7,"Totals in column 2 shall tally with entries in Table 8 column 2",IF(BJ10&lt;&gt;'Tables 8-9'!AD31,"Totals in column 18 shall tally with entries in Table 9 column 7.","")))))))</f>
        <v/>
      </c>
      <c r="BO10" s="362"/>
      <c r="BP10" s="362"/>
      <c r="BQ10" s="362"/>
      <c r="BR10" s="362"/>
      <c r="BS10" s="362"/>
      <c r="BT10" s="362"/>
      <c r="BU10" s="362"/>
      <c r="BV10" s="362"/>
      <c r="BW10" s="362"/>
      <c r="BX10" s="362"/>
      <c r="BY10" s="362"/>
      <c r="BZ10" s="362"/>
      <c r="CA10" s="362"/>
      <c r="CB10" s="362"/>
      <c r="CC10" s="362"/>
      <c r="CD10" s="362"/>
      <c r="CE10" s="362"/>
      <c r="CF10" s="362"/>
      <c r="CG10" s="362"/>
      <c r="CH10" s="362"/>
      <c r="CI10" s="362"/>
      <c r="CJ10" s="362"/>
      <c r="CK10" s="362"/>
      <c r="CL10" s="362"/>
    </row>
    <row r="11" spans="1:90" s="49" customFormat="1" ht="39.950000000000003" customHeight="1">
      <c r="A11" s="224"/>
      <c r="B11" s="288"/>
      <c r="C11" s="367" t="s">
        <v>242</v>
      </c>
      <c r="D11" s="367"/>
      <c r="E11" s="289"/>
      <c r="F11" s="289"/>
      <c r="G11" s="289"/>
      <c r="H11" s="289"/>
      <c r="I11" s="289"/>
      <c r="J11" s="289"/>
      <c r="K11" s="289"/>
      <c r="L11" s="290"/>
      <c r="M11" s="2206">
        <v>0</v>
      </c>
      <c r="N11" s="2207"/>
      <c r="O11" s="2208"/>
      <c r="P11" s="2055">
        <v>0</v>
      </c>
      <c r="Q11" s="2056"/>
      <c r="R11" s="2057"/>
      <c r="S11" s="2058">
        <v>0</v>
      </c>
      <c r="T11" s="2056"/>
      <c r="U11" s="2059"/>
      <c r="V11" s="2051">
        <f t="shared" ref="V11:V17" si="0">SUM(P11:U11)</f>
        <v>0</v>
      </c>
      <c r="W11" s="2052"/>
      <c r="X11" s="2061"/>
      <c r="Y11" s="2058">
        <v>0</v>
      </c>
      <c r="Z11" s="2056"/>
      <c r="AA11" s="2057"/>
      <c r="AB11" s="2058">
        <v>0</v>
      </c>
      <c r="AC11" s="2056"/>
      <c r="AD11" s="2057"/>
      <c r="AE11" s="2058">
        <v>0</v>
      </c>
      <c r="AF11" s="2056"/>
      <c r="AG11" s="2057"/>
      <c r="AH11" s="2058">
        <v>0</v>
      </c>
      <c r="AI11" s="2056"/>
      <c r="AJ11" s="2057"/>
      <c r="AK11" s="2058">
        <v>0</v>
      </c>
      <c r="AL11" s="2056"/>
      <c r="AM11" s="2056"/>
      <c r="AN11" s="2059"/>
      <c r="AO11" s="2051">
        <f t="shared" ref="AO11:AO17" si="1">SUM(AE11:AN11)</f>
        <v>0</v>
      </c>
      <c r="AP11" s="2052"/>
      <c r="AQ11" s="2053"/>
      <c r="AR11" s="2051">
        <f>+V11+personnel_teach_mt3_onleave+personnel_teach_mt3_vacant+AO11</f>
        <v>0</v>
      </c>
      <c r="AS11" s="2052"/>
      <c r="AT11" s="2054"/>
      <c r="AU11" s="2055">
        <v>0</v>
      </c>
      <c r="AV11" s="2056"/>
      <c r="AW11" s="2057"/>
      <c r="AX11" s="2058">
        <v>0</v>
      </c>
      <c r="AY11" s="2056"/>
      <c r="AZ11" s="2059"/>
      <c r="BA11" s="2051">
        <f t="shared" ref="BA11:BA17" si="2">SUM(AU11:AZ11)</f>
        <v>0</v>
      </c>
      <c r="BB11" s="2052"/>
      <c r="BC11" s="2054"/>
      <c r="BD11" s="2060">
        <f>+personnel_teach_mt3_actual_m+personnel_teach_mt3_borrowed_m</f>
        <v>0</v>
      </c>
      <c r="BE11" s="2052"/>
      <c r="BF11" s="2061"/>
      <c r="BG11" s="2199">
        <f>+personnel_teach_mt3_actual_f+personnel_teach_mt3_borrowed_f</f>
        <v>0</v>
      </c>
      <c r="BH11" s="2052"/>
      <c r="BI11" s="2053"/>
      <c r="BJ11" s="2051">
        <f t="shared" ref="BJ11:BJ17" si="3">SUM(BD11:BI11)</f>
        <v>0</v>
      </c>
      <c r="BK11" s="2052"/>
      <c r="BL11" s="2054"/>
      <c r="BM11" s="224"/>
      <c r="BN11" s="1710" t="str">
        <f>IF(AND(M11&lt;&gt;AR11,M11&lt;&gt;'Tables 8-9'!L8,BJ11&lt;&gt;'Tables 8-9'!AD32),"Totals in column 12 shall tally with entries in column 2, totals in column 2 shall tally with entries in Table 8 column 2 and totals in column 18 shall tally with entries in Table 9 column 7.", IF(AND(M11&lt;&gt;AR11,M11&lt;&gt;'Tables 8-9'!L8),"Totals in column 12 shall tally with entries in column 2 and totals in column 2 shall tally with entries in Table 8 column 2.", IF(M11&lt;&gt;AR11,"Totals in column 12 shall tally with entries in column 2.", IF(AND(M11&lt;&gt;AR11,BJ11&lt;&gt;'Tables 8-9'!AD32),"Totals in column 12 shall tally with entries in column 2 and totals in column 18 shall tally with entries in Table 9 column 7.", IF(M11&lt;&gt;AR11,"Totals in column 12 shall tally with entries in column 2.", IF(M11&lt;&gt;'Tables 8-9'!L8,"Totals in column 2 shall tally with entries in Table 8 column 2",IF(BJ11&lt;&gt;'Tables 8-9'!AD32,"Totals in column 18 shall tally with entries in Table 9 column 7.","")))))))</f>
        <v/>
      </c>
      <c r="BO11" s="362"/>
      <c r="BP11" s="362"/>
      <c r="BQ11" s="362"/>
      <c r="BR11" s="362"/>
      <c r="BS11" s="362"/>
      <c r="BT11" s="362"/>
      <c r="BU11" s="362"/>
      <c r="BV11" s="362"/>
      <c r="BW11" s="362"/>
      <c r="BX11" s="362"/>
      <c r="BY11" s="362"/>
      <c r="BZ11" s="362"/>
      <c r="CA11" s="362"/>
      <c r="CB11" s="362"/>
      <c r="CC11" s="362"/>
      <c r="CD11" s="362"/>
      <c r="CE11" s="362"/>
      <c r="CF11" s="362"/>
      <c r="CG11" s="362"/>
      <c r="CH11" s="362"/>
      <c r="CI11" s="362"/>
      <c r="CJ11" s="362"/>
      <c r="CK11" s="362"/>
      <c r="CL11" s="362"/>
    </row>
    <row r="12" spans="1:90" s="49" customFormat="1" ht="39.950000000000003" customHeight="1">
      <c r="A12" s="224"/>
      <c r="B12" s="288"/>
      <c r="C12" s="367" t="s">
        <v>243</v>
      </c>
      <c r="D12" s="367"/>
      <c r="E12" s="289"/>
      <c r="F12" s="289"/>
      <c r="G12" s="289"/>
      <c r="H12" s="289"/>
      <c r="I12" s="289"/>
      <c r="J12" s="289"/>
      <c r="K12" s="289"/>
      <c r="L12" s="290"/>
      <c r="M12" s="2206">
        <v>0</v>
      </c>
      <c r="N12" s="2207"/>
      <c r="O12" s="2208"/>
      <c r="P12" s="2055">
        <v>0</v>
      </c>
      <c r="Q12" s="2056"/>
      <c r="R12" s="2057"/>
      <c r="S12" s="2058">
        <v>0</v>
      </c>
      <c r="T12" s="2056"/>
      <c r="U12" s="2059"/>
      <c r="V12" s="2051">
        <f t="shared" si="0"/>
        <v>0</v>
      </c>
      <c r="W12" s="2052"/>
      <c r="X12" s="2061"/>
      <c r="Y12" s="2058">
        <v>0</v>
      </c>
      <c r="Z12" s="2056"/>
      <c r="AA12" s="2057"/>
      <c r="AB12" s="2058">
        <v>0</v>
      </c>
      <c r="AC12" s="2056"/>
      <c r="AD12" s="2057"/>
      <c r="AE12" s="2058">
        <v>0</v>
      </c>
      <c r="AF12" s="2056"/>
      <c r="AG12" s="2057"/>
      <c r="AH12" s="2058">
        <v>0</v>
      </c>
      <c r="AI12" s="2056"/>
      <c r="AJ12" s="2057"/>
      <c r="AK12" s="2058">
        <v>0</v>
      </c>
      <c r="AL12" s="2056"/>
      <c r="AM12" s="2056"/>
      <c r="AN12" s="2059"/>
      <c r="AO12" s="2051">
        <f t="shared" si="1"/>
        <v>0</v>
      </c>
      <c r="AP12" s="2052"/>
      <c r="AQ12" s="2053"/>
      <c r="AR12" s="2051">
        <f>+V12+personnel_teach_mt2_onleave+personnel_teach_mt2_vacant+AO12</f>
        <v>0</v>
      </c>
      <c r="AS12" s="2052"/>
      <c r="AT12" s="2054"/>
      <c r="AU12" s="2055">
        <v>0</v>
      </c>
      <c r="AV12" s="2056"/>
      <c r="AW12" s="2057"/>
      <c r="AX12" s="2058">
        <v>0</v>
      </c>
      <c r="AY12" s="2056"/>
      <c r="AZ12" s="2059"/>
      <c r="BA12" s="2051">
        <f t="shared" si="2"/>
        <v>0</v>
      </c>
      <c r="BB12" s="2052"/>
      <c r="BC12" s="2054"/>
      <c r="BD12" s="2060">
        <f>+personnel_teach_mt2_actual_m+personnel_teach_mt2_borrowed_m</f>
        <v>0</v>
      </c>
      <c r="BE12" s="2052"/>
      <c r="BF12" s="2061"/>
      <c r="BG12" s="2199">
        <f>+personnel_teach_mt2_actual_f+personnel_teach_mt2_borrowed_f</f>
        <v>0</v>
      </c>
      <c r="BH12" s="2052"/>
      <c r="BI12" s="2053"/>
      <c r="BJ12" s="2051">
        <f t="shared" si="3"/>
        <v>0</v>
      </c>
      <c r="BK12" s="2052"/>
      <c r="BL12" s="2054"/>
      <c r="BM12" s="224"/>
      <c r="BN12" s="1710" t="str">
        <f>IF(AND(M12&lt;&gt;AR12,M12&lt;&gt;'Tables 8-9'!L9,BJ12&lt;&gt;'Tables 8-9'!AD33),"Totals in column 12 shall tally with entries in column 2, totals in column 2 shall tally with entries in Table 8 column 2 and totals in column 18 shall tally with entries in Table 9 column 7.", IF(AND(M12&lt;&gt;AR12,M12&lt;&gt;'Tables 8-9'!L9),"Totals in column 12 shall tally with entries in column 2 and totals in column 2 shall tally with entries in Table 8 column 2.", IF(M12&lt;&gt;AR12,"Totals in column 12 shall tally with entries in column 2.", IF(AND(M12&lt;&gt;AR12,BJ12&lt;&gt;'Tables 8-9'!AD33),"Totals in column 12 shall tally with entries in column 2 and totals in column 18 shall tally with entries in Table 9 column 7.", IF(M12&lt;&gt;AR12,"Totals in column 12 shall tally with entries in column 2.", IF(M12&lt;&gt;'Tables 8-9'!L9,"Totals in column 2 shall tally with entries in Table 8 column 2",IF(BJ12&lt;&gt;'Tables 8-9'!AD33,"Totals in column 18 shall tally with entries in Table 9 column 7.","")))))))</f>
        <v/>
      </c>
      <c r="BO12" s="362"/>
      <c r="BP12" s="362"/>
      <c r="BQ12" s="362"/>
      <c r="BR12" s="362"/>
      <c r="BS12" s="362"/>
      <c r="BT12" s="362"/>
      <c r="BU12" s="362"/>
      <c r="BV12" s="362"/>
      <c r="BW12" s="362"/>
      <c r="BX12" s="362"/>
      <c r="BY12" s="362"/>
      <c r="BZ12" s="362"/>
      <c r="CA12" s="362"/>
      <c r="CB12" s="362"/>
      <c r="CC12" s="362"/>
      <c r="CD12" s="362"/>
      <c r="CE12" s="362"/>
      <c r="CF12" s="362"/>
      <c r="CG12" s="362"/>
      <c r="CH12" s="362"/>
      <c r="CI12" s="362"/>
      <c r="CJ12" s="362"/>
      <c r="CK12" s="362"/>
      <c r="CL12" s="362"/>
    </row>
    <row r="13" spans="1:90" s="49" customFormat="1" ht="39.950000000000003" customHeight="1">
      <c r="A13" s="224"/>
      <c r="B13" s="291"/>
      <c r="C13" s="368" t="s">
        <v>244</v>
      </c>
      <c r="D13" s="368"/>
      <c r="E13" s="292"/>
      <c r="F13" s="292"/>
      <c r="G13" s="292"/>
      <c r="H13" s="292"/>
      <c r="I13" s="292"/>
      <c r="J13" s="292"/>
      <c r="K13" s="292"/>
      <c r="L13" s="293"/>
      <c r="M13" s="2203">
        <v>0</v>
      </c>
      <c r="N13" s="2204"/>
      <c r="O13" s="2205"/>
      <c r="P13" s="2066">
        <v>0</v>
      </c>
      <c r="Q13" s="2067"/>
      <c r="R13" s="2068"/>
      <c r="S13" s="2069">
        <v>0</v>
      </c>
      <c r="T13" s="2067"/>
      <c r="U13" s="2070"/>
      <c r="V13" s="2064">
        <f t="shared" si="0"/>
        <v>0</v>
      </c>
      <c r="W13" s="2062"/>
      <c r="X13" s="2072"/>
      <c r="Y13" s="2069">
        <v>0</v>
      </c>
      <c r="Z13" s="2067"/>
      <c r="AA13" s="2068"/>
      <c r="AB13" s="2069">
        <v>0</v>
      </c>
      <c r="AC13" s="2067"/>
      <c r="AD13" s="2068"/>
      <c r="AE13" s="2069">
        <v>0</v>
      </c>
      <c r="AF13" s="2067"/>
      <c r="AG13" s="2068"/>
      <c r="AH13" s="2069">
        <v>0</v>
      </c>
      <c r="AI13" s="2067"/>
      <c r="AJ13" s="2068"/>
      <c r="AK13" s="2069">
        <v>0</v>
      </c>
      <c r="AL13" s="2067"/>
      <c r="AM13" s="2067"/>
      <c r="AN13" s="2070"/>
      <c r="AO13" s="2064">
        <f t="shared" si="1"/>
        <v>0</v>
      </c>
      <c r="AP13" s="2062"/>
      <c r="AQ13" s="2063"/>
      <c r="AR13" s="2064">
        <f>+V13+personnel_teach_mt1_onleave+personnel_teach_mt1_vacant+AO13</f>
        <v>0</v>
      </c>
      <c r="AS13" s="2062"/>
      <c r="AT13" s="2065"/>
      <c r="AU13" s="2066">
        <v>0</v>
      </c>
      <c r="AV13" s="2067"/>
      <c r="AW13" s="2068"/>
      <c r="AX13" s="2069">
        <v>0</v>
      </c>
      <c r="AY13" s="2067"/>
      <c r="AZ13" s="2070"/>
      <c r="BA13" s="2064">
        <f t="shared" ref="BA13" si="4">SUM(AU13:AZ13)</f>
        <v>0</v>
      </c>
      <c r="BB13" s="2062"/>
      <c r="BC13" s="2065"/>
      <c r="BD13" s="2071">
        <f>+personnel_teach_mt1_actual_m+personnel_teach_mt1_borrowed_m</f>
        <v>0</v>
      </c>
      <c r="BE13" s="2062"/>
      <c r="BF13" s="2072"/>
      <c r="BG13" s="2090">
        <f>+personnel_teach_mt1_actual_f+personnel_teach_mt1_borrowed_f</f>
        <v>0</v>
      </c>
      <c r="BH13" s="2062"/>
      <c r="BI13" s="2063"/>
      <c r="BJ13" s="2064">
        <f t="shared" si="3"/>
        <v>0</v>
      </c>
      <c r="BK13" s="2062"/>
      <c r="BL13" s="2065"/>
      <c r="BM13" s="224"/>
      <c r="BN13" s="1710" t="str">
        <f>IF(AND(M13&lt;&gt;AR13,M13&lt;&gt;'Tables 8-9'!L10,BJ13&lt;&gt;'Tables 8-9'!AD34),"Totals in column 12 shall tally with entries in column 2, totals in column 2 shall tally with entries in Table 8 column 2 and totals in column 18 shall tally with entries in Table 9 column 7.", IF(AND(M13&lt;&gt;AR13,M13&lt;&gt;'Tables 8-9'!L10),"Totals in column 12 shall tally with entries in column 2 and totals in column 2 shall tally with entries in Table 8 column 2.", IF(M13&lt;&gt;AR13,"Totals in column 12 shall tally with entries in column 2.", IF(AND(M13&lt;&gt;AR13,BJ13&lt;&gt;'Tables 8-9'!AD34),"Totals in column 12 shall tally with entries in column 2 and totals in column 18 shall tally with entries in Table 9 column 7.", IF(M13&lt;&gt;AR13,"Totals in column 12 shall tally with entries in column 2.", IF(M13&lt;&gt;'Tables 8-9'!L10,"Totals in column 2 shall tally with entries in Table 8 column 2",IF(BJ13&lt;&gt;'Tables 8-9'!AD34,"Totals in column 18 shall tally with entries in Table 9 column 7.","")))))))</f>
        <v/>
      </c>
      <c r="BO13" s="362"/>
      <c r="BP13" s="362"/>
      <c r="BQ13" s="362"/>
      <c r="BR13" s="362"/>
      <c r="BS13" s="362"/>
      <c r="BT13" s="362"/>
      <c r="BU13" s="362"/>
      <c r="BV13" s="362"/>
      <c r="BW13" s="362"/>
      <c r="BX13" s="362"/>
      <c r="BY13" s="362"/>
      <c r="BZ13" s="362"/>
      <c r="CA13" s="362"/>
      <c r="CB13" s="362"/>
      <c r="CC13" s="362"/>
      <c r="CD13" s="362"/>
      <c r="CE13" s="362"/>
      <c r="CF13" s="362"/>
      <c r="CG13" s="362"/>
      <c r="CH13" s="362"/>
      <c r="CI13" s="362"/>
      <c r="CJ13" s="362"/>
      <c r="CK13" s="362"/>
      <c r="CL13" s="362"/>
    </row>
    <row r="14" spans="1:90" s="49" customFormat="1" ht="39.950000000000003" customHeight="1">
      <c r="A14" s="224"/>
      <c r="B14" s="369"/>
      <c r="C14" s="370" t="s">
        <v>245</v>
      </c>
      <c r="D14" s="370"/>
      <c r="E14" s="371"/>
      <c r="F14" s="371"/>
      <c r="G14" s="371"/>
      <c r="H14" s="371"/>
      <c r="I14" s="371"/>
      <c r="J14" s="371"/>
      <c r="K14" s="371"/>
      <c r="L14" s="372"/>
      <c r="M14" s="2200">
        <v>0</v>
      </c>
      <c r="N14" s="2201"/>
      <c r="O14" s="2202"/>
      <c r="P14" s="2047">
        <v>0</v>
      </c>
      <c r="Q14" s="2041"/>
      <c r="R14" s="2049"/>
      <c r="S14" s="2040">
        <v>0</v>
      </c>
      <c r="T14" s="2041"/>
      <c r="U14" s="2042"/>
      <c r="V14" s="2075">
        <f t="shared" si="0"/>
        <v>0</v>
      </c>
      <c r="W14" s="2044"/>
      <c r="X14" s="2045"/>
      <c r="Y14" s="2040">
        <v>0</v>
      </c>
      <c r="Z14" s="2041"/>
      <c r="AA14" s="2049"/>
      <c r="AB14" s="2040">
        <v>0</v>
      </c>
      <c r="AC14" s="2041"/>
      <c r="AD14" s="2049"/>
      <c r="AE14" s="2040">
        <v>0</v>
      </c>
      <c r="AF14" s="2041"/>
      <c r="AG14" s="2049"/>
      <c r="AH14" s="2040">
        <v>0</v>
      </c>
      <c r="AI14" s="2041"/>
      <c r="AJ14" s="2049"/>
      <c r="AK14" s="2040">
        <v>0</v>
      </c>
      <c r="AL14" s="2041"/>
      <c r="AM14" s="2041"/>
      <c r="AN14" s="2042"/>
      <c r="AO14" s="2075">
        <f t="shared" si="1"/>
        <v>0</v>
      </c>
      <c r="AP14" s="2044"/>
      <c r="AQ14" s="2046"/>
      <c r="AR14" s="2075">
        <f>+V14+personnel_teach_t3_onleave+personnel_teach_t3_vacant+AO14</f>
        <v>0</v>
      </c>
      <c r="AS14" s="2044"/>
      <c r="AT14" s="2076"/>
      <c r="AU14" s="2047">
        <v>0</v>
      </c>
      <c r="AV14" s="2041"/>
      <c r="AW14" s="2049"/>
      <c r="AX14" s="2040">
        <v>0</v>
      </c>
      <c r="AY14" s="2041"/>
      <c r="AZ14" s="2042"/>
      <c r="BA14" s="2075">
        <f t="shared" si="2"/>
        <v>0</v>
      </c>
      <c r="BB14" s="2044"/>
      <c r="BC14" s="2076"/>
      <c r="BD14" s="2043">
        <f>+personnel_teach_t3_actual_m+personnel_teach_t3_borrowed_m</f>
        <v>0</v>
      </c>
      <c r="BE14" s="2044"/>
      <c r="BF14" s="2045"/>
      <c r="BG14" s="2089">
        <f>+personnel_teach_t3_actual_f+personnel_teach_t3_borrowed_f</f>
        <v>0</v>
      </c>
      <c r="BH14" s="2044"/>
      <c r="BI14" s="2046"/>
      <c r="BJ14" s="2075">
        <f t="shared" si="3"/>
        <v>0</v>
      </c>
      <c r="BK14" s="2044"/>
      <c r="BL14" s="2076"/>
      <c r="BM14" s="224"/>
      <c r="BN14" s="1710" t="str">
        <f>IF(AND(M14&lt;&gt;AR14,M14&lt;&gt;'Tables 8-9'!L11,BJ14&lt;&gt;'Tables 8-9'!AD35),"Totals in column 12 shall tally with entries in column 2, totals in column 2 shall tally with entries in Table 8 column 2 and totals in column 18 shall tally with entries in Table 9 column 7.", IF(AND(M14&lt;&gt;AR14,M14&lt;&gt;'Tables 8-9'!L11),"Totals in column 12 shall tally with entries in column 2 and totals in column 2 shall tally with entries in Table 8 column 2.", IF(M14&lt;&gt;AR14,"Totals in column 12 shall tally with entries in column 2.", IF(AND(M14&lt;&gt;AR14,BJ14&lt;&gt;'Tables 8-9'!AD35),"Totals in column 12 shall tally with entries in column 2 and totals in column 18 shall tally with entries in Table 9 column 7.", IF(M14&lt;&gt;AR14,"Totals in column 12 shall tally with entries in column 2.", IF(M14&lt;&gt;'Tables 8-9'!L11,"Totals in column 2 shall tally with entries in Table 8 column 2",IF(BJ14&lt;&gt;'Tables 8-9'!AD35,"Totals in column 18 shall tally with entries in Table 9 column 7.","")))))))</f>
        <v/>
      </c>
      <c r="BO14" s="362"/>
      <c r="BP14" s="362"/>
      <c r="BQ14" s="362"/>
      <c r="BR14" s="362"/>
      <c r="BS14" s="362"/>
      <c r="BT14" s="362"/>
      <c r="BU14" s="362"/>
      <c r="BV14" s="362"/>
      <c r="BW14" s="362"/>
      <c r="BX14" s="362"/>
      <c r="BY14" s="362"/>
      <c r="BZ14" s="362"/>
      <c r="CA14" s="362"/>
      <c r="CB14" s="362"/>
      <c r="CC14" s="362"/>
      <c r="CD14" s="362"/>
      <c r="CE14" s="362"/>
      <c r="CF14" s="362"/>
      <c r="CG14" s="362"/>
      <c r="CH14" s="362"/>
      <c r="CI14" s="362"/>
      <c r="CJ14" s="362"/>
      <c r="CK14" s="362"/>
      <c r="CL14" s="362"/>
    </row>
    <row r="15" spans="1:90" s="49" customFormat="1" ht="39.950000000000003" customHeight="1">
      <c r="A15" s="224"/>
      <c r="B15" s="288"/>
      <c r="C15" s="367" t="s">
        <v>246</v>
      </c>
      <c r="D15" s="367"/>
      <c r="E15" s="289"/>
      <c r="F15" s="289"/>
      <c r="G15" s="289"/>
      <c r="H15" s="289"/>
      <c r="I15" s="289"/>
      <c r="J15" s="289"/>
      <c r="K15" s="289"/>
      <c r="L15" s="290"/>
      <c r="M15" s="2206">
        <v>21</v>
      </c>
      <c r="N15" s="2207"/>
      <c r="O15" s="2208"/>
      <c r="P15" s="2055">
        <v>7</v>
      </c>
      <c r="Q15" s="2056"/>
      <c r="R15" s="2057"/>
      <c r="S15" s="2058">
        <v>14</v>
      </c>
      <c r="T15" s="2056"/>
      <c r="U15" s="2059"/>
      <c r="V15" s="2051">
        <f t="shared" si="0"/>
        <v>21</v>
      </c>
      <c r="W15" s="2052"/>
      <c r="X15" s="2061"/>
      <c r="Y15" s="2058">
        <v>0</v>
      </c>
      <c r="Z15" s="2056"/>
      <c r="AA15" s="2057"/>
      <c r="AB15" s="2058">
        <v>0</v>
      </c>
      <c r="AC15" s="2056"/>
      <c r="AD15" s="2057"/>
      <c r="AE15" s="2058">
        <v>0</v>
      </c>
      <c r="AF15" s="2056"/>
      <c r="AG15" s="2057"/>
      <c r="AH15" s="2058">
        <v>0</v>
      </c>
      <c r="AI15" s="2056"/>
      <c r="AJ15" s="2057"/>
      <c r="AK15" s="2058">
        <v>0</v>
      </c>
      <c r="AL15" s="2056"/>
      <c r="AM15" s="2056"/>
      <c r="AN15" s="2059"/>
      <c r="AO15" s="2051">
        <f t="shared" si="1"/>
        <v>0</v>
      </c>
      <c r="AP15" s="2052"/>
      <c r="AQ15" s="2053"/>
      <c r="AR15" s="2051">
        <f>+V15+personnel_teach_t2_onleave+personnel_teach_t2_vacant+AO15</f>
        <v>21</v>
      </c>
      <c r="AS15" s="2052"/>
      <c r="AT15" s="2054"/>
      <c r="AU15" s="2055">
        <v>0</v>
      </c>
      <c r="AV15" s="2056"/>
      <c r="AW15" s="2057"/>
      <c r="AX15" s="2058">
        <v>0</v>
      </c>
      <c r="AY15" s="2056"/>
      <c r="AZ15" s="2059"/>
      <c r="BA15" s="2051">
        <f t="shared" si="2"/>
        <v>0</v>
      </c>
      <c r="BB15" s="2052"/>
      <c r="BC15" s="2054"/>
      <c r="BD15" s="2060">
        <f>+personnel_teach_t2_actual_m+personnel_teach_t2_borrowed_m</f>
        <v>7</v>
      </c>
      <c r="BE15" s="2052"/>
      <c r="BF15" s="2061"/>
      <c r="BG15" s="2199">
        <f>+personnel_teach_t2_actual_f+personnel_teach_t2_borrowed_f</f>
        <v>14</v>
      </c>
      <c r="BH15" s="2052"/>
      <c r="BI15" s="2053"/>
      <c r="BJ15" s="2051">
        <f t="shared" si="3"/>
        <v>21</v>
      </c>
      <c r="BK15" s="2052"/>
      <c r="BL15" s="2054"/>
      <c r="BM15" s="224"/>
      <c r="BN15" s="1710" t="str">
        <f>IF(AND(M15&lt;&gt;AR15,M15&lt;&gt;'Tables 8-9'!L12,BJ15&lt;&gt;'Tables 8-9'!AD36),"Totals in column 12 shall tally with entries in column 2, totals in column 2 shall tally with entries in Table 8 column 2 and totals in column 18 shall tally with entries in Table 9 column 7.", IF(AND(M15&lt;&gt;AR15,M15&lt;&gt;'Tables 8-9'!L12),"Totals in column 12 shall tally with entries in column 2 and totals in column 2 shall tally with entries in Table 8 column 2.", IF(M15&lt;&gt;AR15,"Totals in column 12 shall tally with entries in column 2.", IF(AND(M15&lt;&gt;AR15,BJ15&lt;&gt;'Tables 8-9'!AD36),"Totals in column 12 shall tally with entries in column 2 and totals in column 18 shall tally with entries in Table 9 column 7.", IF(M15&lt;&gt;AR15,"Totals in column 12 shall tally with entries in column 2.", IF(M15&lt;&gt;'Tables 8-9'!L12,"Totals in column 2 shall tally with entries in Table 8 column 2",IF(BJ15&lt;&gt;'Tables 8-9'!AD36,"Totals in column 18 shall tally with entries in Table 9 column 7.","")))))))</f>
        <v/>
      </c>
      <c r="BO15" s="362"/>
      <c r="BP15" s="362"/>
      <c r="BQ15" s="362"/>
      <c r="BR15" s="362"/>
      <c r="BS15" s="362"/>
      <c r="BT15" s="362"/>
      <c r="BU15" s="362"/>
      <c r="BV15" s="362"/>
      <c r="BW15" s="362"/>
      <c r="BX15" s="362"/>
      <c r="BY15" s="362"/>
      <c r="BZ15" s="362"/>
      <c r="CA15" s="362"/>
      <c r="CB15" s="362"/>
      <c r="CC15" s="362"/>
      <c r="CD15" s="362"/>
      <c r="CE15" s="362"/>
      <c r="CF15" s="362"/>
      <c r="CG15" s="362"/>
      <c r="CH15" s="362"/>
      <c r="CI15" s="362"/>
      <c r="CJ15" s="362"/>
      <c r="CK15" s="362"/>
      <c r="CL15" s="362"/>
    </row>
    <row r="16" spans="1:90" s="49" customFormat="1" ht="39.950000000000003" customHeight="1">
      <c r="A16" s="224"/>
      <c r="B16" s="291"/>
      <c r="C16" s="368" t="s">
        <v>247</v>
      </c>
      <c r="D16" s="368"/>
      <c r="E16" s="292"/>
      <c r="F16" s="292"/>
      <c r="G16" s="292"/>
      <c r="H16" s="292"/>
      <c r="I16" s="292"/>
      <c r="J16" s="292"/>
      <c r="K16" s="292"/>
      <c r="L16" s="293"/>
      <c r="M16" s="2203">
        <v>7</v>
      </c>
      <c r="N16" s="2204"/>
      <c r="O16" s="2205"/>
      <c r="P16" s="2066">
        <v>4</v>
      </c>
      <c r="Q16" s="2067"/>
      <c r="R16" s="2068"/>
      <c r="S16" s="2069">
        <v>3</v>
      </c>
      <c r="T16" s="2067"/>
      <c r="U16" s="2070"/>
      <c r="V16" s="2064">
        <f t="shared" si="0"/>
        <v>7</v>
      </c>
      <c r="W16" s="2062"/>
      <c r="X16" s="2072"/>
      <c r="Y16" s="2069">
        <v>0</v>
      </c>
      <c r="Z16" s="2067"/>
      <c r="AA16" s="2068"/>
      <c r="AB16" s="2069">
        <v>0</v>
      </c>
      <c r="AC16" s="2067"/>
      <c r="AD16" s="2068"/>
      <c r="AE16" s="2069">
        <v>0</v>
      </c>
      <c r="AF16" s="2067"/>
      <c r="AG16" s="2068"/>
      <c r="AH16" s="2069">
        <v>0</v>
      </c>
      <c r="AI16" s="2067"/>
      <c r="AJ16" s="2068"/>
      <c r="AK16" s="2069">
        <v>0</v>
      </c>
      <c r="AL16" s="2067"/>
      <c r="AM16" s="2067"/>
      <c r="AN16" s="2070"/>
      <c r="AO16" s="2064">
        <f t="shared" si="1"/>
        <v>0</v>
      </c>
      <c r="AP16" s="2062"/>
      <c r="AQ16" s="2063"/>
      <c r="AR16" s="2064">
        <f>+V16+personnel_teach_t1_onleave+personnel_teach_t1_vacant+AO16</f>
        <v>7</v>
      </c>
      <c r="AS16" s="2062"/>
      <c r="AT16" s="2065"/>
      <c r="AU16" s="2066">
        <v>0</v>
      </c>
      <c r="AV16" s="2067"/>
      <c r="AW16" s="2068"/>
      <c r="AX16" s="2069">
        <v>0</v>
      </c>
      <c r="AY16" s="2067"/>
      <c r="AZ16" s="2070"/>
      <c r="BA16" s="2064">
        <f t="shared" si="2"/>
        <v>0</v>
      </c>
      <c r="BB16" s="2062"/>
      <c r="BC16" s="2065"/>
      <c r="BD16" s="2071">
        <f>+personnel_teach_t1_actual_m+personnel_teach_t1_borrowed_m</f>
        <v>4</v>
      </c>
      <c r="BE16" s="2062"/>
      <c r="BF16" s="2072"/>
      <c r="BG16" s="2090">
        <f>+personnel_teach_t1_actual_f+personnel_teach_t1_borrowed_f</f>
        <v>3</v>
      </c>
      <c r="BH16" s="2062"/>
      <c r="BI16" s="2063"/>
      <c r="BJ16" s="2064">
        <f t="shared" si="3"/>
        <v>7</v>
      </c>
      <c r="BK16" s="2062"/>
      <c r="BL16" s="2065"/>
      <c r="BM16" s="224"/>
      <c r="BN16" s="1710" t="str">
        <f>IF(AND(M16&lt;&gt;AR16,M16&lt;&gt;'Tables 8-9'!L13,BJ16&lt;&gt;'Tables 8-9'!AD37),"Totals in column 12 shall tally with entries in column 2, totals in column 2 shall tally with entries in Table 8 column 2 and totals in column 18 shall tally with entries in Table 9 column 7.", IF(AND(M16&lt;&gt;AR16,M16&lt;&gt;'Tables 8-9'!L13),"Totals in column 12 shall tally with entries in column 2 and totals in column 2 shall tally with entries in Table 8 column 2.", IF(M16&lt;&gt;AR16,"Totals in column 12 shall tally with entries in column 2.", IF(AND(M16&lt;&gt;AR16,BJ16&lt;&gt;'Tables 8-9'!AD37),"Totals in column 12 shall tally with entries in column 2 and totals in column 18 shall tally with entries in Table 9 column 7.", IF(M16&lt;&gt;AR16,"Totals in column 12 shall tally with entries in column 2.", IF(M16&lt;&gt;'Tables 8-9'!L13,"Totals in column 2 shall tally with entries in Table 8 column 2",IF(BJ16&lt;&gt;'Tables 8-9'!AD37,"Totals in column 18 shall tally with entries in Table 9 column 7.","")))))))</f>
        <v/>
      </c>
      <c r="BO16" s="362"/>
      <c r="BP16" s="362"/>
      <c r="BQ16" s="362"/>
      <c r="BR16" s="362"/>
      <c r="BS16" s="362"/>
      <c r="BT16" s="362"/>
      <c r="BU16" s="362"/>
      <c r="BV16" s="362"/>
      <c r="BW16" s="362"/>
      <c r="BX16" s="362"/>
      <c r="BY16" s="362"/>
      <c r="BZ16" s="362"/>
      <c r="CA16" s="362"/>
      <c r="CB16" s="362"/>
      <c r="CC16" s="362"/>
      <c r="CD16" s="362"/>
      <c r="CE16" s="362"/>
      <c r="CF16" s="362"/>
      <c r="CG16" s="362"/>
      <c r="CH16" s="362"/>
      <c r="CI16" s="362"/>
      <c r="CJ16" s="362"/>
      <c r="CK16" s="362"/>
      <c r="CL16" s="362"/>
    </row>
    <row r="17" spans="1:90" s="50" customFormat="1" ht="39.950000000000003" customHeight="1" thickBot="1">
      <c r="A17" s="224"/>
      <c r="B17" s="373"/>
      <c r="C17" s="374" t="s">
        <v>248</v>
      </c>
      <c r="D17" s="224"/>
      <c r="E17" s="224"/>
      <c r="F17" s="224"/>
      <c r="G17" s="224"/>
      <c r="H17" s="224"/>
      <c r="I17" s="224"/>
      <c r="J17" s="224"/>
      <c r="K17" s="224"/>
      <c r="L17" s="298"/>
      <c r="M17" s="2235">
        <v>1</v>
      </c>
      <c r="N17" s="2236"/>
      <c r="O17" s="2237"/>
      <c r="P17" s="2192">
        <v>0</v>
      </c>
      <c r="Q17" s="2193"/>
      <c r="R17" s="2194"/>
      <c r="S17" s="2195">
        <v>1</v>
      </c>
      <c r="T17" s="2193"/>
      <c r="U17" s="2196"/>
      <c r="V17" s="2189">
        <f t="shared" si="0"/>
        <v>1</v>
      </c>
      <c r="W17" s="2190"/>
      <c r="X17" s="2198"/>
      <c r="Y17" s="2195">
        <v>0</v>
      </c>
      <c r="Z17" s="2193"/>
      <c r="AA17" s="2194"/>
      <c r="AB17" s="2195">
        <v>0</v>
      </c>
      <c r="AC17" s="2193"/>
      <c r="AD17" s="2194"/>
      <c r="AE17" s="2195">
        <v>0</v>
      </c>
      <c r="AF17" s="2193"/>
      <c r="AG17" s="2194"/>
      <c r="AH17" s="2195">
        <v>0</v>
      </c>
      <c r="AI17" s="2193"/>
      <c r="AJ17" s="2194"/>
      <c r="AK17" s="2195">
        <v>0</v>
      </c>
      <c r="AL17" s="2193"/>
      <c r="AM17" s="2193"/>
      <c r="AN17" s="2196"/>
      <c r="AO17" s="2189">
        <f t="shared" si="1"/>
        <v>0</v>
      </c>
      <c r="AP17" s="2190"/>
      <c r="AQ17" s="2233"/>
      <c r="AR17" s="2189">
        <f>+V17+personnel_teach_sst1_onleave+personnel_teach_sst1_vacant+AO17</f>
        <v>1</v>
      </c>
      <c r="AS17" s="2190"/>
      <c r="AT17" s="2191"/>
      <c r="AU17" s="2192">
        <v>0</v>
      </c>
      <c r="AV17" s="2193"/>
      <c r="AW17" s="2194"/>
      <c r="AX17" s="2195">
        <v>0</v>
      </c>
      <c r="AY17" s="2193"/>
      <c r="AZ17" s="2196"/>
      <c r="BA17" s="2189">
        <f t="shared" si="2"/>
        <v>0</v>
      </c>
      <c r="BB17" s="2190"/>
      <c r="BC17" s="2191"/>
      <c r="BD17" s="2197">
        <f>+personnel_teach_sst1_actual_m+personnel_teach_sst1_borrowed_m</f>
        <v>0</v>
      </c>
      <c r="BE17" s="2190"/>
      <c r="BF17" s="2198"/>
      <c r="BG17" s="2234">
        <f>+personnel_teach_sst1_actual_f+personnel_teach_sst1_borrowed_f</f>
        <v>1</v>
      </c>
      <c r="BH17" s="2190"/>
      <c r="BI17" s="2233"/>
      <c r="BJ17" s="2189">
        <f t="shared" si="3"/>
        <v>1</v>
      </c>
      <c r="BK17" s="2190"/>
      <c r="BL17" s="2191"/>
      <c r="BM17" s="224"/>
      <c r="BN17" s="1710" t="str">
        <f>IF(AND(M17&lt;&gt;AR17,M17&lt;&gt;'Tables 8-9'!L14,BJ17&lt;&gt;'Tables 8-9'!AD38),"Totals in column 12 shall tally with entries in column 2, totals in column 2 shall tally with entries in Table 8 column 2 and totals in column 18 shall tally with entries in Table 9 column 7.", IF(AND(M17&lt;&gt;AR17,M17&lt;&gt;'Tables 8-9'!L14),"Totals in column 12 shall tally with entries in column 2 and totals in column 2 shall tally with entries in Table 8 column 2.", IF(M17&lt;&gt;AR17,"Totals in column 12 shall tally with entries in column 2.", IF(AND(M17&lt;&gt;AR17,BJ17&lt;&gt;'Tables 8-9'!AD38),"Totals in column 12 shall tally with entries in column 2 and totals in column 18 shall tally with entries in Table 9 column 7.", IF(M17&lt;&gt;AR17,"Totals in column 12 shall tally with entries in column 2.", IF(M17&lt;&gt;'Tables 8-9'!L14,"Totals in column 2 shall tally with entries in Table 8 column 2",IF(BJ17&lt;&gt;'Tables 8-9'!AD38,"Totals in column 18 shall tally with entries in Table 9 column 7.","")))))))</f>
        <v/>
      </c>
      <c r="BO17" s="362"/>
      <c r="BP17" s="362"/>
      <c r="BQ17" s="362"/>
      <c r="BR17" s="362"/>
      <c r="BS17" s="362"/>
      <c r="BT17" s="362"/>
      <c r="BU17" s="362"/>
      <c r="BV17" s="362"/>
      <c r="BW17" s="362"/>
      <c r="BX17" s="362"/>
      <c r="BY17" s="362"/>
      <c r="BZ17" s="362"/>
      <c r="CA17" s="362"/>
      <c r="CB17" s="362"/>
      <c r="CC17" s="362"/>
      <c r="CD17" s="362"/>
      <c r="CE17" s="362"/>
      <c r="CF17" s="362"/>
      <c r="CG17" s="362"/>
      <c r="CH17" s="362"/>
      <c r="CI17" s="362"/>
      <c r="CJ17" s="362"/>
      <c r="CK17" s="362"/>
      <c r="CL17" s="362"/>
    </row>
    <row r="18" spans="1:90" s="49" customFormat="1" ht="39.950000000000003" customHeight="1" thickTop="1" thickBot="1">
      <c r="A18" s="224"/>
      <c r="B18" s="2225" t="s">
        <v>42</v>
      </c>
      <c r="C18" s="2226"/>
      <c r="D18" s="2226"/>
      <c r="E18" s="2226"/>
      <c r="F18" s="2226"/>
      <c r="G18" s="2226"/>
      <c r="H18" s="2226"/>
      <c r="I18" s="2226"/>
      <c r="J18" s="2226"/>
      <c r="K18" s="2226"/>
      <c r="L18" s="2227"/>
      <c r="M18" s="2228">
        <f>SUM(M10:O17)</f>
        <v>29</v>
      </c>
      <c r="N18" s="2229"/>
      <c r="O18" s="2230"/>
      <c r="P18" s="2228">
        <f>SUM(P10:R17)</f>
        <v>11</v>
      </c>
      <c r="Q18" s="2229"/>
      <c r="R18" s="2231"/>
      <c r="S18" s="2229">
        <f>SUM(S10:U17)</f>
        <v>18</v>
      </c>
      <c r="T18" s="2229"/>
      <c r="U18" s="2230"/>
      <c r="V18" s="2185">
        <f>SUM(V10:X17)</f>
        <v>29</v>
      </c>
      <c r="W18" s="2177"/>
      <c r="X18" s="2178"/>
      <c r="Y18" s="2228">
        <f>SUM(Y10:AA17)</f>
        <v>0</v>
      </c>
      <c r="Z18" s="2229"/>
      <c r="AA18" s="2231"/>
      <c r="AB18" s="2232">
        <f>SUM(AB10:AD17)</f>
        <v>0</v>
      </c>
      <c r="AC18" s="2229"/>
      <c r="AD18" s="2231"/>
      <c r="AE18" s="2232">
        <f>SUM(AE10:AG17)</f>
        <v>0</v>
      </c>
      <c r="AF18" s="2229"/>
      <c r="AG18" s="2231"/>
      <c r="AH18" s="2232">
        <f>SUM(AH10:AJ17)</f>
        <v>0</v>
      </c>
      <c r="AI18" s="2229"/>
      <c r="AJ18" s="2231"/>
      <c r="AK18" s="2177">
        <f>SUM(AK10:AN17)</f>
        <v>0</v>
      </c>
      <c r="AL18" s="2177"/>
      <c r="AM18" s="2177"/>
      <c r="AN18" s="2180"/>
      <c r="AO18" s="2185">
        <f>SUM(AO10:AQ17)</f>
        <v>0</v>
      </c>
      <c r="AP18" s="2177"/>
      <c r="AQ18" s="2180"/>
      <c r="AR18" s="2185">
        <f>SUM(AR10:AT17)</f>
        <v>29</v>
      </c>
      <c r="AS18" s="2177"/>
      <c r="AT18" s="2181"/>
      <c r="AU18" s="2228">
        <f>SUM(AU10:AW17)</f>
        <v>0</v>
      </c>
      <c r="AV18" s="2229"/>
      <c r="AW18" s="2231"/>
      <c r="AX18" s="2229">
        <f>SUM(AX10:AZ17)</f>
        <v>0</v>
      </c>
      <c r="AY18" s="2229"/>
      <c r="AZ18" s="2230"/>
      <c r="BA18" s="2185">
        <f>SUM(BA10:BC17)</f>
        <v>0</v>
      </c>
      <c r="BB18" s="2177"/>
      <c r="BC18" s="2181"/>
      <c r="BD18" s="2176">
        <f>SUM(BD10:BF17)</f>
        <v>11</v>
      </c>
      <c r="BE18" s="2177"/>
      <c r="BF18" s="2178"/>
      <c r="BG18" s="2179">
        <f>SUM(BG10:BI17)</f>
        <v>18</v>
      </c>
      <c r="BH18" s="2177"/>
      <c r="BI18" s="2180"/>
      <c r="BJ18" s="2185">
        <f>SUM(BJ10:BL17)</f>
        <v>29</v>
      </c>
      <c r="BK18" s="2177"/>
      <c r="BL18" s="2181"/>
      <c r="BM18" s="224"/>
      <c r="BN18" s="224"/>
      <c r="BO18" s="224"/>
      <c r="BP18" s="224"/>
      <c r="BQ18" s="224"/>
      <c r="BR18" s="224"/>
      <c r="BS18" s="224"/>
      <c r="BT18" s="224"/>
      <c r="BU18" s="224"/>
      <c r="BV18" s="224"/>
      <c r="BW18" s="224"/>
      <c r="BX18" s="224"/>
      <c r="BY18" s="224"/>
      <c r="BZ18" s="224"/>
      <c r="CA18" s="224"/>
      <c r="CB18" s="224"/>
      <c r="CC18" s="224"/>
      <c r="CD18" s="224"/>
      <c r="CE18" s="224"/>
      <c r="CF18" s="224"/>
      <c r="CG18" s="224"/>
      <c r="CH18" s="224"/>
      <c r="CI18" s="224"/>
      <c r="CJ18" s="224"/>
      <c r="CK18" s="224"/>
      <c r="CL18" s="224"/>
    </row>
    <row r="19" spans="1:90" s="49" customFormat="1" ht="39.950000000000003" customHeight="1">
      <c r="A19" s="224"/>
      <c r="B19" s="498"/>
      <c r="C19" s="498"/>
      <c r="D19" s="498"/>
      <c r="E19" s="498"/>
      <c r="F19" s="498"/>
      <c r="G19" s="498"/>
      <c r="H19" s="498"/>
      <c r="I19" s="498"/>
      <c r="J19" s="498"/>
      <c r="K19" s="498"/>
      <c r="L19" s="498"/>
      <c r="M19" s="1711"/>
      <c r="N19" s="1711"/>
      <c r="O19" s="1711"/>
      <c r="P19" s="1711"/>
      <c r="Q19" s="1711"/>
      <c r="R19" s="1711"/>
      <c r="S19" s="1711"/>
      <c r="T19" s="1711"/>
      <c r="U19" s="1711"/>
      <c r="V19" s="1712"/>
      <c r="W19" s="1712"/>
      <c r="X19" s="1712"/>
      <c r="Y19" s="1711"/>
      <c r="Z19" s="1711"/>
      <c r="AA19" s="1711"/>
      <c r="AB19" s="1711"/>
      <c r="AC19" s="1711"/>
      <c r="AD19" s="1711"/>
      <c r="AE19" s="1711"/>
      <c r="AF19" s="1711"/>
      <c r="AG19" s="1711"/>
      <c r="AH19" s="1711"/>
      <c r="AI19" s="1711"/>
      <c r="AJ19" s="1711"/>
      <c r="AK19" s="1712"/>
      <c r="AL19" s="1712"/>
      <c r="AM19" s="1712"/>
      <c r="AN19" s="1712"/>
      <c r="AO19" s="1712"/>
      <c r="AP19" s="1712"/>
      <c r="AQ19" s="1712"/>
      <c r="AR19" s="1712"/>
      <c r="AS19" s="1712"/>
      <c r="AT19" s="1712"/>
      <c r="AU19" s="1713" t="str">
        <f>IF(OR(('Tables 13-15'!H9&lt;&gt;'Table 7'!BD18),('Tables 13-15'!K9&lt;&gt;'Table 7'!BG18),('Tables 13-15'!N9&lt;&gt;'Table 7'!BJ18)),"Totals in columns 16, 17 &amp; 18 shall tally with the Totals of the Number of Teachers (counted only once) in Table 13.","" )</f>
        <v/>
      </c>
      <c r="AV19" s="1711"/>
      <c r="AW19" s="1711"/>
      <c r="AX19" s="1711"/>
      <c r="AY19" s="1711"/>
      <c r="AZ19" s="1711"/>
      <c r="BA19" s="1712"/>
      <c r="BB19" s="1712"/>
      <c r="BC19" s="1712"/>
      <c r="BD19" s="1712"/>
      <c r="BE19" s="1712"/>
      <c r="BF19" s="1712"/>
      <c r="BG19" s="1712"/>
      <c r="BH19" s="1712"/>
      <c r="BI19" s="1712"/>
      <c r="BJ19" s="1712"/>
      <c r="BK19" s="1712"/>
      <c r="BL19" s="1712"/>
      <c r="BM19" s="224"/>
      <c r="BN19" s="224"/>
      <c r="BO19" s="224"/>
      <c r="BP19" s="224"/>
      <c r="BQ19" s="224"/>
      <c r="BR19" s="224"/>
      <c r="BS19" s="224"/>
      <c r="BT19" s="224"/>
      <c r="BU19" s="224"/>
      <c r="BV19" s="224"/>
      <c r="BW19" s="224"/>
      <c r="BX19" s="224"/>
      <c r="BY19" s="224"/>
      <c r="BZ19" s="224"/>
      <c r="CA19" s="224"/>
      <c r="CB19" s="224"/>
      <c r="CC19" s="224"/>
      <c r="CD19" s="224"/>
      <c r="CE19" s="224"/>
      <c r="CF19" s="224"/>
      <c r="CG19" s="224"/>
      <c r="CH19" s="224"/>
      <c r="CI19" s="224"/>
      <c r="CJ19" s="224"/>
      <c r="CK19" s="224"/>
      <c r="CL19" s="224"/>
    </row>
    <row r="20" spans="1:90" s="5" customFormat="1" ht="17.100000000000001" customHeight="1">
      <c r="A20" s="273"/>
      <c r="B20" s="348" t="s">
        <v>47</v>
      </c>
      <c r="C20" s="2224" t="s">
        <v>1042</v>
      </c>
      <c r="D20" s="2224"/>
      <c r="E20" s="2224"/>
      <c r="F20" s="2224"/>
      <c r="G20" s="2224"/>
      <c r="H20" s="2224"/>
      <c r="I20" s="2224"/>
      <c r="J20" s="2224"/>
      <c r="K20" s="2224"/>
      <c r="L20" s="2224"/>
      <c r="M20" s="2224"/>
      <c r="N20" s="2224"/>
      <c r="O20" s="2224"/>
      <c r="P20" s="2224"/>
      <c r="Q20" s="2224"/>
      <c r="R20" s="2224"/>
      <c r="S20" s="2224"/>
      <c r="T20" s="2224"/>
      <c r="U20" s="2224"/>
      <c r="V20" s="2224"/>
      <c r="W20" s="2224"/>
      <c r="X20" s="2224"/>
      <c r="Y20" s="2224"/>
      <c r="Z20" s="2224"/>
      <c r="AA20" s="2224"/>
      <c r="AB20" s="2224"/>
      <c r="AC20" s="2224"/>
      <c r="AD20" s="2224"/>
      <c r="AE20" s="2224"/>
      <c r="AF20" s="2224"/>
      <c r="AG20" s="2224"/>
      <c r="AH20" s="2224"/>
      <c r="AI20" s="2224"/>
      <c r="AJ20" s="2224"/>
      <c r="AK20" s="2224"/>
      <c r="AL20" s="2224"/>
      <c r="AM20" s="2224"/>
      <c r="AN20" s="2224"/>
      <c r="AO20" s="2224"/>
      <c r="AP20" s="2224"/>
      <c r="AQ20" s="2224"/>
      <c r="AR20" s="2224"/>
      <c r="AS20" s="2224"/>
      <c r="AT20" s="2224"/>
      <c r="AU20" s="2224"/>
      <c r="AV20" s="2224"/>
      <c r="AW20" s="2224"/>
      <c r="AX20" s="2224"/>
      <c r="AY20" s="2224"/>
      <c r="AZ20" s="2224"/>
      <c r="BA20" s="2224"/>
      <c r="BB20" s="2224"/>
      <c r="BC20" s="2224"/>
      <c r="BD20" s="2224"/>
      <c r="BE20" s="2224"/>
      <c r="BF20" s="2224"/>
      <c r="BG20" s="2224"/>
      <c r="BH20" s="2224"/>
      <c r="BI20" s="2224"/>
      <c r="BJ20" s="2224"/>
      <c r="BK20" s="2224"/>
      <c r="BL20" s="2224"/>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row>
    <row r="21" spans="1:90" s="32" customFormat="1" ht="17.100000000000001" customHeight="1">
      <c r="A21" s="347"/>
      <c r="B21" s="348" t="s">
        <v>48</v>
      </c>
      <c r="C21" s="2224" t="s">
        <v>1043</v>
      </c>
      <c r="D21" s="2224"/>
      <c r="E21" s="2224"/>
      <c r="F21" s="2224"/>
      <c r="G21" s="2224"/>
      <c r="H21" s="2224"/>
      <c r="I21" s="2224"/>
      <c r="J21" s="2224"/>
      <c r="K21" s="2224"/>
      <c r="L21" s="2224"/>
      <c r="M21" s="2224"/>
      <c r="N21" s="2224"/>
      <c r="O21" s="2224"/>
      <c r="P21" s="2224"/>
      <c r="Q21" s="2224"/>
      <c r="R21" s="2224"/>
      <c r="S21" s="2224"/>
      <c r="T21" s="2224"/>
      <c r="U21" s="2224"/>
      <c r="V21" s="2224"/>
      <c r="W21" s="2224"/>
      <c r="X21" s="2224"/>
      <c r="Y21" s="2224"/>
      <c r="Z21" s="2224"/>
      <c r="AA21" s="2224"/>
      <c r="AB21" s="2224"/>
      <c r="AC21" s="2224"/>
      <c r="AD21" s="2224"/>
      <c r="AE21" s="2224"/>
      <c r="AF21" s="2224"/>
      <c r="AG21" s="2224"/>
      <c r="AH21" s="2224"/>
      <c r="AI21" s="2224"/>
      <c r="AJ21" s="2224"/>
      <c r="AK21" s="2224"/>
      <c r="AL21" s="2224"/>
      <c r="AM21" s="2224"/>
      <c r="AN21" s="2224"/>
      <c r="AO21" s="2224"/>
      <c r="AP21" s="2224"/>
      <c r="AQ21" s="2224"/>
      <c r="AR21" s="2224"/>
      <c r="AS21" s="2224"/>
      <c r="AT21" s="2224"/>
      <c r="AU21" s="2224"/>
      <c r="AV21" s="2224"/>
      <c r="AW21" s="2224"/>
      <c r="AX21" s="2224"/>
      <c r="AY21" s="2224"/>
      <c r="AZ21" s="2224"/>
      <c r="BA21" s="2224"/>
      <c r="BB21" s="2224"/>
      <c r="BC21" s="2224"/>
      <c r="BD21" s="2224"/>
      <c r="BE21" s="2224"/>
      <c r="BF21" s="2224"/>
      <c r="BG21" s="2224"/>
      <c r="BH21" s="2224"/>
      <c r="BI21" s="2224"/>
      <c r="BJ21" s="2224"/>
      <c r="BK21" s="2224"/>
      <c r="BL21" s="2224"/>
      <c r="BM21" s="347"/>
      <c r="BN21" s="347"/>
      <c r="BO21" s="347"/>
      <c r="BP21" s="347"/>
      <c r="BQ21" s="347"/>
      <c r="BR21" s="347"/>
      <c r="BS21" s="347"/>
      <c r="BT21" s="347"/>
      <c r="BU21" s="347"/>
      <c r="BV21" s="347"/>
      <c r="BW21" s="347"/>
      <c r="BX21" s="347"/>
      <c r="BY21" s="347"/>
      <c r="BZ21" s="347"/>
      <c r="CA21" s="347"/>
      <c r="CB21" s="347"/>
      <c r="CC21" s="347"/>
      <c r="CD21" s="347"/>
      <c r="CE21" s="347"/>
      <c r="CF21" s="347"/>
      <c r="CG21" s="347"/>
      <c r="CH21" s="347"/>
      <c r="CI21" s="347"/>
      <c r="CJ21" s="347"/>
      <c r="CK21" s="347"/>
      <c r="CL21" s="347"/>
    </row>
    <row r="22" spans="1:90" s="32" customFormat="1" ht="17.100000000000001" customHeight="1">
      <c r="A22" s="347"/>
      <c r="B22" s="348" t="s">
        <v>49</v>
      </c>
      <c r="C22" s="2224" t="s">
        <v>1044</v>
      </c>
      <c r="D22" s="2224"/>
      <c r="E22" s="2224"/>
      <c r="F22" s="2224"/>
      <c r="G22" s="2224"/>
      <c r="H22" s="2224"/>
      <c r="I22" s="2224"/>
      <c r="J22" s="2224"/>
      <c r="K22" s="2224"/>
      <c r="L22" s="2224"/>
      <c r="M22" s="2224"/>
      <c r="N22" s="2224"/>
      <c r="O22" s="2224"/>
      <c r="P22" s="2224"/>
      <c r="Q22" s="2224"/>
      <c r="R22" s="2224"/>
      <c r="S22" s="2224"/>
      <c r="T22" s="2224"/>
      <c r="U22" s="2224"/>
      <c r="V22" s="2224"/>
      <c r="W22" s="2224"/>
      <c r="X22" s="2224"/>
      <c r="Y22" s="2224"/>
      <c r="Z22" s="2224"/>
      <c r="AA22" s="2224"/>
      <c r="AB22" s="2224"/>
      <c r="AC22" s="2224"/>
      <c r="AD22" s="2224"/>
      <c r="AE22" s="2224"/>
      <c r="AF22" s="2224"/>
      <c r="AG22" s="2224"/>
      <c r="AH22" s="2224"/>
      <c r="AI22" s="2224"/>
      <c r="AJ22" s="2224"/>
      <c r="AK22" s="2224"/>
      <c r="AL22" s="2224"/>
      <c r="AM22" s="2224"/>
      <c r="AN22" s="2224"/>
      <c r="AO22" s="2224"/>
      <c r="AP22" s="2224"/>
      <c r="AQ22" s="2224"/>
      <c r="AR22" s="2224"/>
      <c r="AS22" s="2224"/>
      <c r="AT22" s="2224"/>
      <c r="AU22" s="2224"/>
      <c r="AV22" s="2224"/>
      <c r="AW22" s="2224"/>
      <c r="AX22" s="2224"/>
      <c r="AY22" s="2224"/>
      <c r="AZ22" s="2224"/>
      <c r="BA22" s="2224"/>
      <c r="BB22" s="2224"/>
      <c r="BC22" s="2224"/>
      <c r="BD22" s="2224"/>
      <c r="BE22" s="2224"/>
      <c r="BF22" s="2224"/>
      <c r="BG22" s="2224"/>
      <c r="BH22" s="2224"/>
      <c r="BI22" s="2224"/>
      <c r="BJ22" s="2224"/>
      <c r="BK22" s="2224"/>
      <c r="BL22" s="2224"/>
      <c r="BM22" s="347"/>
      <c r="BN22" s="347"/>
      <c r="BO22" s="347"/>
      <c r="BP22" s="347"/>
      <c r="BQ22" s="347"/>
      <c r="BR22" s="347"/>
      <c r="BS22" s="347"/>
      <c r="BT22" s="347"/>
      <c r="BU22" s="347"/>
      <c r="BV22" s="347"/>
      <c r="BW22" s="347"/>
      <c r="BX22" s="347"/>
      <c r="BY22" s="347"/>
      <c r="BZ22" s="347"/>
      <c r="CA22" s="347"/>
      <c r="CB22" s="347"/>
      <c r="CC22" s="347"/>
      <c r="CD22" s="347"/>
      <c r="CE22" s="347"/>
      <c r="CF22" s="347"/>
      <c r="CG22" s="347"/>
      <c r="CH22" s="347"/>
      <c r="CI22" s="347"/>
      <c r="CJ22" s="347"/>
      <c r="CK22" s="347"/>
      <c r="CL22" s="347"/>
    </row>
    <row r="23" spans="1:90" s="32" customFormat="1" ht="17.100000000000001" customHeight="1">
      <c r="A23" s="347"/>
      <c r="B23" s="348" t="s">
        <v>50</v>
      </c>
      <c r="C23" s="2224" t="s">
        <v>1045</v>
      </c>
      <c r="D23" s="2224"/>
      <c r="E23" s="2224"/>
      <c r="F23" s="2224"/>
      <c r="G23" s="2224"/>
      <c r="H23" s="2224"/>
      <c r="I23" s="2224"/>
      <c r="J23" s="2224"/>
      <c r="K23" s="2224"/>
      <c r="L23" s="2224"/>
      <c r="M23" s="2224"/>
      <c r="N23" s="2224"/>
      <c r="O23" s="2224"/>
      <c r="P23" s="2224"/>
      <c r="Q23" s="2224"/>
      <c r="R23" s="2224"/>
      <c r="S23" s="2224"/>
      <c r="T23" s="2224"/>
      <c r="U23" s="2224"/>
      <c r="V23" s="2224"/>
      <c r="W23" s="2224"/>
      <c r="X23" s="2224"/>
      <c r="Y23" s="2224"/>
      <c r="Z23" s="2224"/>
      <c r="AA23" s="2224"/>
      <c r="AB23" s="2224"/>
      <c r="AC23" s="2224"/>
      <c r="AD23" s="2224"/>
      <c r="AE23" s="2224"/>
      <c r="AF23" s="2224"/>
      <c r="AG23" s="2224"/>
      <c r="AH23" s="2224"/>
      <c r="AI23" s="2224"/>
      <c r="AJ23" s="2224"/>
      <c r="AK23" s="2224"/>
      <c r="AL23" s="2224"/>
      <c r="AM23" s="2224"/>
      <c r="AN23" s="2224"/>
      <c r="AO23" s="2224"/>
      <c r="AP23" s="2224"/>
      <c r="AQ23" s="2224"/>
      <c r="AR23" s="2224"/>
      <c r="AS23" s="2224"/>
      <c r="AT23" s="2224"/>
      <c r="AU23" s="2224"/>
      <c r="AV23" s="2224"/>
      <c r="AW23" s="2224"/>
      <c r="AX23" s="2224"/>
      <c r="AY23" s="2224"/>
      <c r="AZ23" s="2224"/>
      <c r="BA23" s="2224"/>
      <c r="BB23" s="2224"/>
      <c r="BC23" s="2224"/>
      <c r="BD23" s="2224"/>
      <c r="BE23" s="2224"/>
      <c r="BF23" s="2224"/>
      <c r="BG23" s="2224"/>
      <c r="BH23" s="2224"/>
      <c r="BI23" s="2224"/>
      <c r="BJ23" s="2224"/>
      <c r="BK23" s="2224"/>
      <c r="BL23" s="2224"/>
      <c r="BM23" s="347"/>
      <c r="BN23" s="347"/>
      <c r="BO23" s="347"/>
      <c r="BP23" s="347"/>
      <c r="BQ23" s="347"/>
      <c r="BR23" s="347"/>
      <c r="BS23" s="347"/>
      <c r="BT23" s="347"/>
      <c r="BU23" s="347"/>
      <c r="BV23" s="347"/>
      <c r="BW23" s="347"/>
      <c r="BX23" s="347"/>
      <c r="BY23" s="347"/>
      <c r="BZ23" s="347"/>
      <c r="CA23" s="347"/>
      <c r="CB23" s="347"/>
      <c r="CC23" s="347"/>
      <c r="CD23" s="347"/>
      <c r="CE23" s="347"/>
      <c r="CF23" s="347"/>
      <c r="CG23" s="347"/>
      <c r="CH23" s="347"/>
      <c r="CI23" s="347"/>
      <c r="CJ23" s="347"/>
      <c r="CK23" s="347"/>
      <c r="CL23" s="347"/>
    </row>
    <row r="24" spans="1:90" s="32" customFormat="1" ht="17.100000000000001" customHeight="1">
      <c r="A24" s="347"/>
      <c r="B24" s="348" t="s">
        <v>51</v>
      </c>
      <c r="C24" s="2224" t="s">
        <v>1046</v>
      </c>
      <c r="D24" s="2224"/>
      <c r="E24" s="2224"/>
      <c r="F24" s="2224"/>
      <c r="G24" s="2224"/>
      <c r="H24" s="2224"/>
      <c r="I24" s="2224"/>
      <c r="J24" s="2224"/>
      <c r="K24" s="2224"/>
      <c r="L24" s="2224"/>
      <c r="M24" s="2224"/>
      <c r="N24" s="2224"/>
      <c r="O24" s="2224"/>
      <c r="P24" s="2224"/>
      <c r="Q24" s="2224"/>
      <c r="R24" s="2224"/>
      <c r="S24" s="2224"/>
      <c r="T24" s="2224"/>
      <c r="U24" s="2224"/>
      <c r="V24" s="2224"/>
      <c r="W24" s="2224"/>
      <c r="X24" s="2224"/>
      <c r="Y24" s="2224"/>
      <c r="Z24" s="2224"/>
      <c r="AA24" s="2224"/>
      <c r="AB24" s="2224"/>
      <c r="AC24" s="2224"/>
      <c r="AD24" s="2224"/>
      <c r="AE24" s="2224"/>
      <c r="AF24" s="2224"/>
      <c r="AG24" s="2224"/>
      <c r="AH24" s="2224"/>
      <c r="AI24" s="2224"/>
      <c r="AJ24" s="2224"/>
      <c r="AK24" s="2224"/>
      <c r="AL24" s="2224"/>
      <c r="AM24" s="2224"/>
      <c r="AN24" s="2224"/>
      <c r="AO24" s="2224"/>
      <c r="AP24" s="2224"/>
      <c r="AQ24" s="2224"/>
      <c r="AR24" s="2224"/>
      <c r="AS24" s="2224"/>
      <c r="AT24" s="2224"/>
      <c r="AU24" s="2224"/>
      <c r="AV24" s="2224"/>
      <c r="AW24" s="2224"/>
      <c r="AX24" s="2224"/>
      <c r="AY24" s="2224"/>
      <c r="AZ24" s="2224"/>
      <c r="BA24" s="2224"/>
      <c r="BB24" s="2224"/>
      <c r="BC24" s="2224"/>
      <c r="BD24" s="2224"/>
      <c r="BE24" s="2224"/>
      <c r="BF24" s="2224"/>
      <c r="BG24" s="2224"/>
      <c r="BH24" s="2224"/>
      <c r="BI24" s="2224"/>
      <c r="BJ24" s="2224"/>
      <c r="BK24" s="2224"/>
      <c r="BL24" s="2224"/>
      <c r="BM24" s="347"/>
      <c r="BN24" s="347"/>
      <c r="BO24" s="347"/>
      <c r="BP24" s="347"/>
      <c r="BQ24" s="347"/>
      <c r="BR24" s="347"/>
      <c r="BS24" s="347"/>
      <c r="BT24" s="347"/>
      <c r="BU24" s="347"/>
      <c r="BV24" s="347"/>
      <c r="BW24" s="347"/>
      <c r="BX24" s="347"/>
      <c r="BY24" s="347"/>
      <c r="BZ24" s="347"/>
      <c r="CA24" s="347"/>
      <c r="CB24" s="347"/>
      <c r="CC24" s="347"/>
      <c r="CD24" s="347"/>
      <c r="CE24" s="347"/>
      <c r="CF24" s="347"/>
      <c r="CG24" s="347"/>
      <c r="CH24" s="347"/>
      <c r="CI24" s="347"/>
      <c r="CJ24" s="347"/>
      <c r="CK24" s="347"/>
      <c r="CL24" s="347"/>
    </row>
    <row r="25" spans="1:90" s="5" customFormat="1" ht="17.100000000000001" customHeight="1">
      <c r="A25" s="273"/>
      <c r="B25" s="348" t="s">
        <v>52</v>
      </c>
      <c r="C25" s="2224" t="s">
        <v>1047</v>
      </c>
      <c r="D25" s="2224"/>
      <c r="E25" s="2224"/>
      <c r="F25" s="2224"/>
      <c r="G25" s="2224"/>
      <c r="H25" s="2224"/>
      <c r="I25" s="2224"/>
      <c r="J25" s="2224"/>
      <c r="K25" s="2224"/>
      <c r="L25" s="2224"/>
      <c r="M25" s="2224"/>
      <c r="N25" s="2224"/>
      <c r="O25" s="2224"/>
      <c r="P25" s="2224"/>
      <c r="Q25" s="2224"/>
      <c r="R25" s="2224"/>
      <c r="S25" s="2224"/>
      <c r="T25" s="2224"/>
      <c r="U25" s="2224"/>
      <c r="V25" s="2224"/>
      <c r="W25" s="2224"/>
      <c r="X25" s="2224"/>
      <c r="Y25" s="2224"/>
      <c r="Z25" s="2224"/>
      <c r="AA25" s="2224"/>
      <c r="AB25" s="2224"/>
      <c r="AC25" s="2224"/>
      <c r="AD25" s="2224"/>
      <c r="AE25" s="2224"/>
      <c r="AF25" s="2224"/>
      <c r="AG25" s="2224"/>
      <c r="AH25" s="2224"/>
      <c r="AI25" s="2224"/>
      <c r="AJ25" s="2224"/>
      <c r="AK25" s="2224"/>
      <c r="AL25" s="2224"/>
      <c r="AM25" s="2224"/>
      <c r="AN25" s="2224"/>
      <c r="AO25" s="2224"/>
      <c r="AP25" s="2224"/>
      <c r="AQ25" s="2224"/>
      <c r="AR25" s="2224"/>
      <c r="AS25" s="2224"/>
      <c r="AT25" s="2224"/>
      <c r="AU25" s="2224"/>
      <c r="AV25" s="2224"/>
      <c r="AW25" s="2224"/>
      <c r="AX25" s="2224"/>
      <c r="AY25" s="2224"/>
      <c r="AZ25" s="2224"/>
      <c r="BA25" s="2224"/>
      <c r="BB25" s="2224"/>
      <c r="BC25" s="2224"/>
      <c r="BD25" s="2224"/>
      <c r="BE25" s="2224"/>
      <c r="BF25" s="2224"/>
      <c r="BG25" s="2224"/>
      <c r="BH25" s="2224"/>
      <c r="BI25" s="2224"/>
      <c r="BJ25" s="2224"/>
      <c r="BK25" s="2224"/>
      <c r="BL25" s="2224"/>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row>
    <row r="26" spans="1:90" s="5" customFormat="1" ht="17.100000000000001" customHeight="1">
      <c r="A26" s="273"/>
      <c r="B26" s="348" t="s">
        <v>53</v>
      </c>
      <c r="C26" s="2224" t="s">
        <v>1048</v>
      </c>
      <c r="D26" s="2224"/>
      <c r="E26" s="2224"/>
      <c r="F26" s="2224"/>
      <c r="G26" s="2224"/>
      <c r="H26" s="2224"/>
      <c r="I26" s="2224"/>
      <c r="J26" s="2224"/>
      <c r="K26" s="2224"/>
      <c r="L26" s="2224"/>
      <c r="M26" s="2224"/>
      <c r="N26" s="2224"/>
      <c r="O26" s="2224"/>
      <c r="P26" s="2224"/>
      <c r="Q26" s="2224"/>
      <c r="R26" s="2224"/>
      <c r="S26" s="2224"/>
      <c r="T26" s="2224"/>
      <c r="U26" s="2224"/>
      <c r="V26" s="2224"/>
      <c r="W26" s="2224"/>
      <c r="X26" s="2224"/>
      <c r="Y26" s="2224"/>
      <c r="Z26" s="2224"/>
      <c r="AA26" s="2224"/>
      <c r="AB26" s="2224"/>
      <c r="AC26" s="2224"/>
      <c r="AD26" s="2224"/>
      <c r="AE26" s="2224"/>
      <c r="AF26" s="2224"/>
      <c r="AG26" s="2224"/>
      <c r="AH26" s="2224"/>
      <c r="AI26" s="2224"/>
      <c r="AJ26" s="2224"/>
      <c r="AK26" s="2224"/>
      <c r="AL26" s="2224"/>
      <c r="AM26" s="2224"/>
      <c r="AN26" s="2224"/>
      <c r="AO26" s="2224"/>
      <c r="AP26" s="2224"/>
      <c r="AQ26" s="2224"/>
      <c r="AR26" s="2224"/>
      <c r="AS26" s="2224"/>
      <c r="AT26" s="2224"/>
      <c r="AU26" s="2224"/>
      <c r="AV26" s="2224"/>
      <c r="AW26" s="2224"/>
      <c r="AX26" s="2224"/>
      <c r="AY26" s="2224"/>
      <c r="AZ26" s="2224"/>
      <c r="BA26" s="2224"/>
      <c r="BB26" s="2224"/>
      <c r="BC26" s="2224"/>
      <c r="BD26" s="2224"/>
      <c r="BE26" s="2224"/>
      <c r="BF26" s="2224"/>
      <c r="BG26" s="2224"/>
      <c r="BH26" s="2224"/>
      <c r="BI26" s="2224"/>
      <c r="BJ26" s="2224"/>
      <c r="BK26" s="2224"/>
      <c r="BL26" s="2224"/>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row>
    <row r="27" spans="1:90" s="5" customFormat="1" ht="17.100000000000001" customHeight="1">
      <c r="A27" s="273"/>
      <c r="B27" s="348" t="s">
        <v>54</v>
      </c>
      <c r="C27" s="2224" t="s">
        <v>1049</v>
      </c>
      <c r="D27" s="2224"/>
      <c r="E27" s="2224"/>
      <c r="F27" s="2224"/>
      <c r="G27" s="2224"/>
      <c r="H27" s="2224"/>
      <c r="I27" s="2224"/>
      <c r="J27" s="2224"/>
      <c r="K27" s="2224"/>
      <c r="L27" s="2224"/>
      <c r="M27" s="2224"/>
      <c r="N27" s="2224"/>
      <c r="O27" s="2224"/>
      <c r="P27" s="2224"/>
      <c r="Q27" s="2224"/>
      <c r="R27" s="2224"/>
      <c r="S27" s="2224"/>
      <c r="T27" s="2224"/>
      <c r="U27" s="2224"/>
      <c r="V27" s="2224"/>
      <c r="W27" s="2224"/>
      <c r="X27" s="2224"/>
      <c r="Y27" s="2224"/>
      <c r="Z27" s="2224"/>
      <c r="AA27" s="2224"/>
      <c r="AB27" s="2224"/>
      <c r="AC27" s="2224"/>
      <c r="AD27" s="2224"/>
      <c r="AE27" s="2224"/>
      <c r="AF27" s="2224"/>
      <c r="AG27" s="2224"/>
      <c r="AH27" s="2224"/>
      <c r="AI27" s="2224"/>
      <c r="AJ27" s="2224"/>
      <c r="AK27" s="2224"/>
      <c r="AL27" s="2224"/>
      <c r="AM27" s="2224"/>
      <c r="AN27" s="2224"/>
      <c r="AO27" s="2224"/>
      <c r="AP27" s="2224"/>
      <c r="AQ27" s="2224"/>
      <c r="AR27" s="2224"/>
      <c r="AS27" s="2224"/>
      <c r="AT27" s="2224"/>
      <c r="AU27" s="2224"/>
      <c r="AV27" s="2224"/>
      <c r="AW27" s="2224"/>
      <c r="AX27" s="2224"/>
      <c r="AY27" s="2224"/>
      <c r="AZ27" s="2224"/>
      <c r="BA27" s="2224"/>
      <c r="BB27" s="2224"/>
      <c r="BC27" s="2224"/>
      <c r="BD27" s="2224"/>
      <c r="BE27" s="2224"/>
      <c r="BF27" s="2224"/>
      <c r="BG27" s="2224"/>
      <c r="BH27" s="2224"/>
      <c r="BI27" s="2224"/>
      <c r="BJ27" s="2224"/>
      <c r="BK27" s="2224"/>
      <c r="BL27" s="2224"/>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row>
    <row r="28" spans="1:90" s="5" customFormat="1" ht="17.100000000000001" customHeight="1">
      <c r="A28" s="273"/>
      <c r="B28" s="348" t="s">
        <v>55</v>
      </c>
      <c r="C28" s="2224" t="s">
        <v>1050</v>
      </c>
      <c r="D28" s="2224"/>
      <c r="E28" s="2224"/>
      <c r="F28" s="2224"/>
      <c r="G28" s="2224"/>
      <c r="H28" s="2224"/>
      <c r="I28" s="2224"/>
      <c r="J28" s="2224"/>
      <c r="K28" s="2224"/>
      <c r="L28" s="2224"/>
      <c r="M28" s="2224"/>
      <c r="N28" s="2224"/>
      <c r="O28" s="2224"/>
      <c r="P28" s="2224"/>
      <c r="Q28" s="2224"/>
      <c r="R28" s="2224"/>
      <c r="S28" s="2224"/>
      <c r="T28" s="2224"/>
      <c r="U28" s="2224"/>
      <c r="V28" s="2224"/>
      <c r="W28" s="2224"/>
      <c r="X28" s="2224"/>
      <c r="Y28" s="2224"/>
      <c r="Z28" s="2224"/>
      <c r="AA28" s="2224"/>
      <c r="AB28" s="2224"/>
      <c r="AC28" s="2224"/>
      <c r="AD28" s="2224"/>
      <c r="AE28" s="2224"/>
      <c r="AF28" s="2224"/>
      <c r="AG28" s="2224"/>
      <c r="AH28" s="2224"/>
      <c r="AI28" s="2224"/>
      <c r="AJ28" s="2224"/>
      <c r="AK28" s="2224"/>
      <c r="AL28" s="2224"/>
      <c r="AM28" s="2224"/>
      <c r="AN28" s="2224"/>
      <c r="AO28" s="2224"/>
      <c r="AP28" s="2224"/>
      <c r="AQ28" s="2224"/>
      <c r="AR28" s="2224"/>
      <c r="AS28" s="2224"/>
      <c r="AT28" s="2224"/>
      <c r="AU28" s="2224"/>
      <c r="AV28" s="2224"/>
      <c r="AW28" s="2224"/>
      <c r="AX28" s="2224"/>
      <c r="AY28" s="2224"/>
      <c r="AZ28" s="2224"/>
      <c r="BA28" s="2224"/>
      <c r="BB28" s="2224"/>
      <c r="BC28" s="2224"/>
      <c r="BD28" s="2224"/>
      <c r="BE28" s="2224"/>
      <c r="BF28" s="2224"/>
      <c r="BG28" s="2224"/>
      <c r="BH28" s="2224"/>
      <c r="BI28" s="2224"/>
      <c r="BJ28" s="2224"/>
      <c r="BK28" s="2224"/>
      <c r="BL28" s="2224"/>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row>
    <row r="29" spans="1:90" s="5" customFormat="1" ht="9" customHeight="1">
      <c r="A29" s="273"/>
      <c r="B29" s="375"/>
      <c r="C29" s="376"/>
      <c r="D29" s="376"/>
      <c r="E29" s="376"/>
      <c r="F29" s="376"/>
      <c r="G29" s="376"/>
      <c r="H29" s="376"/>
      <c r="I29" s="376"/>
      <c r="J29" s="376"/>
      <c r="K29" s="376"/>
      <c r="L29" s="376"/>
      <c r="M29" s="376"/>
      <c r="N29" s="376"/>
      <c r="O29" s="376"/>
      <c r="P29" s="376"/>
      <c r="Q29" s="376"/>
      <c r="R29" s="376"/>
      <c r="S29" s="376"/>
      <c r="T29" s="376"/>
      <c r="U29" s="376"/>
      <c r="V29" s="376"/>
      <c r="W29" s="376"/>
      <c r="X29" s="376"/>
      <c r="Y29" s="376"/>
      <c r="Z29" s="376"/>
      <c r="AA29" s="376"/>
      <c r="AB29" s="376"/>
      <c r="AC29" s="376"/>
      <c r="AD29" s="376"/>
      <c r="AE29" s="376"/>
      <c r="AF29" s="376"/>
      <c r="AG29" s="376"/>
      <c r="AH29" s="376"/>
      <c r="AI29" s="376"/>
      <c r="AJ29" s="376"/>
      <c r="AK29" s="376"/>
      <c r="AL29" s="376"/>
      <c r="AM29" s="376"/>
      <c r="AN29" s="376"/>
      <c r="AO29" s="376"/>
      <c r="AP29" s="376"/>
      <c r="AQ29" s="376"/>
      <c r="AR29" s="376"/>
      <c r="AS29" s="376"/>
      <c r="AT29" s="376"/>
      <c r="AU29" s="376"/>
      <c r="AV29" s="376"/>
      <c r="AW29" s="376"/>
      <c r="AX29" s="376"/>
      <c r="AY29" s="376"/>
      <c r="AZ29" s="376"/>
      <c r="BA29" s="376"/>
      <c r="BB29" s="376"/>
      <c r="BC29" s="376"/>
      <c r="BD29" s="376"/>
      <c r="BE29" s="376"/>
      <c r="BF29" s="376"/>
      <c r="BG29" s="376"/>
      <c r="BH29" s="376"/>
      <c r="BI29" s="376"/>
      <c r="BJ29" s="376"/>
      <c r="BK29" s="376"/>
      <c r="BL29" s="376"/>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row>
    <row r="30" spans="1:90" s="5" customFormat="1" ht="17.100000000000001" customHeight="1">
      <c r="A30" s="273"/>
      <c r="B30" s="377" t="s">
        <v>249</v>
      </c>
      <c r="C30" s="378"/>
      <c r="D30" s="272"/>
      <c r="E30" s="272"/>
      <c r="F30" s="272"/>
      <c r="G30" s="272"/>
      <c r="H30" s="272"/>
      <c r="I30" s="272"/>
      <c r="J30" s="272"/>
      <c r="K30" s="272"/>
      <c r="L30" s="272"/>
      <c r="M30" s="272"/>
      <c r="N30" s="272"/>
      <c r="O30" s="272"/>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379"/>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row>
    <row r="31" spans="1:90" s="5" customFormat="1" ht="9" customHeight="1">
      <c r="A31" s="273"/>
      <c r="B31" s="380"/>
      <c r="C31" s="378"/>
      <c r="D31" s="272"/>
      <c r="E31" s="272"/>
      <c r="F31" s="272"/>
      <c r="G31" s="272"/>
      <c r="H31" s="272"/>
      <c r="I31" s="272"/>
      <c r="J31" s="272"/>
      <c r="K31" s="272"/>
      <c r="L31" s="272"/>
      <c r="M31" s="272"/>
      <c r="N31" s="272"/>
      <c r="O31" s="272"/>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379"/>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row>
    <row r="32" spans="1:90" s="51" customFormat="1" ht="20.100000000000001" customHeight="1">
      <c r="A32" s="238"/>
      <c r="B32" s="302" t="s">
        <v>132</v>
      </c>
      <c r="C32" s="238"/>
      <c r="D32" s="238"/>
      <c r="E32" s="381" t="s">
        <v>47</v>
      </c>
      <c r="F32" s="302" t="s">
        <v>1051</v>
      </c>
      <c r="G32" s="238"/>
      <c r="H32" s="238"/>
      <c r="I32" s="238"/>
      <c r="J32" s="238"/>
      <c r="K32" s="238"/>
      <c r="L32" s="238"/>
      <c r="M32" s="238"/>
      <c r="N32" s="238"/>
      <c r="O32" s="238"/>
      <c r="P32" s="238"/>
      <c r="Q32" s="238"/>
      <c r="R32" s="238"/>
      <c r="S32" s="238"/>
      <c r="T32" s="238"/>
      <c r="U32" s="238"/>
      <c r="V32" s="238"/>
      <c r="W32" s="238"/>
      <c r="X32" s="238"/>
      <c r="Y32" s="238"/>
      <c r="Z32" s="238"/>
      <c r="AA32" s="238"/>
      <c r="AB32" s="238"/>
      <c r="AC32" s="238"/>
      <c r="AD32" s="238"/>
      <c r="AE32" s="238"/>
      <c r="AF32" s="238"/>
      <c r="AG32" s="238"/>
      <c r="AH32" s="238"/>
      <c r="AI32" s="238"/>
      <c r="AJ32" s="238"/>
      <c r="AK32" s="238"/>
      <c r="AL32" s="238"/>
      <c r="AM32" s="238"/>
      <c r="AN32" s="238"/>
      <c r="AO32" s="238"/>
      <c r="AP32" s="238"/>
      <c r="AQ32" s="238"/>
      <c r="AR32" s="238"/>
      <c r="AS32" s="238"/>
      <c r="AT32" s="238"/>
      <c r="AU32" s="238"/>
      <c r="AV32" s="238"/>
      <c r="AW32" s="238"/>
      <c r="AX32" s="238"/>
      <c r="AY32" s="238"/>
      <c r="AZ32" s="238"/>
      <c r="BA32" s="238"/>
      <c r="BB32" s="238"/>
      <c r="BC32" s="238"/>
      <c r="BD32" s="238"/>
      <c r="BE32" s="238"/>
      <c r="BF32" s="238"/>
      <c r="BG32" s="238"/>
      <c r="BH32" s="238"/>
      <c r="BI32" s="238"/>
      <c r="BJ32" s="238"/>
      <c r="BK32" s="238"/>
      <c r="BL32" s="238"/>
      <c r="BM32" s="238"/>
      <c r="BN32" s="238"/>
      <c r="BO32" s="238"/>
      <c r="BP32" s="238"/>
      <c r="BQ32" s="238"/>
      <c r="BR32" s="238"/>
      <c r="BS32" s="238"/>
      <c r="BT32" s="238"/>
      <c r="BU32" s="238"/>
      <c r="BV32" s="238"/>
      <c r="BW32" s="238"/>
      <c r="BX32" s="238"/>
      <c r="BY32" s="238"/>
      <c r="BZ32" s="238"/>
      <c r="CA32" s="238"/>
      <c r="CB32" s="238"/>
      <c r="CC32" s="238"/>
      <c r="CD32" s="238"/>
      <c r="CE32" s="238"/>
      <c r="CF32" s="238"/>
      <c r="CG32" s="238"/>
      <c r="CH32" s="238"/>
      <c r="CI32" s="238"/>
      <c r="CJ32" s="238"/>
      <c r="CK32" s="238"/>
      <c r="CL32" s="238"/>
    </row>
    <row r="33" spans="1:90" s="33" customFormat="1" ht="20.100000000000001" customHeight="1">
      <c r="A33" s="382"/>
      <c r="B33" s="383"/>
      <c r="C33" s="337"/>
      <c r="D33" s="337"/>
      <c r="E33" s="381" t="s">
        <v>48</v>
      </c>
      <c r="F33" s="274" t="s">
        <v>1479</v>
      </c>
      <c r="G33" s="384"/>
      <c r="H33" s="384"/>
      <c r="I33" s="384"/>
      <c r="J33" s="384"/>
      <c r="K33" s="384"/>
      <c r="L33" s="384"/>
      <c r="M33" s="384"/>
      <c r="N33" s="384"/>
      <c r="O33" s="384"/>
      <c r="P33" s="384"/>
      <c r="Q33" s="384"/>
      <c r="R33" s="384"/>
      <c r="S33" s="384"/>
      <c r="T33" s="384"/>
      <c r="U33" s="384"/>
      <c r="V33" s="384"/>
      <c r="W33" s="384"/>
      <c r="X33" s="384"/>
      <c r="Y33" s="384"/>
      <c r="Z33" s="384"/>
      <c r="AA33" s="382"/>
      <c r="AB33" s="382"/>
      <c r="AC33" s="382"/>
      <c r="AD33" s="382"/>
      <c r="AE33" s="382"/>
      <c r="AF33" s="382"/>
      <c r="AG33" s="382"/>
      <c r="AH33" s="382"/>
      <c r="AI33" s="382"/>
      <c r="AJ33" s="382"/>
      <c r="AK33" s="382"/>
      <c r="AL33" s="382"/>
      <c r="AM33" s="382"/>
      <c r="AN33" s="382"/>
      <c r="AO33" s="382"/>
      <c r="AP33" s="382"/>
      <c r="AQ33" s="382"/>
      <c r="AR33" s="382"/>
      <c r="AS33" s="382"/>
      <c r="AT33" s="382"/>
      <c r="AU33" s="382"/>
      <c r="AV33" s="382"/>
      <c r="AW33" s="382"/>
      <c r="AX33" s="382"/>
      <c r="AY33" s="382"/>
      <c r="AZ33" s="382"/>
      <c r="BA33" s="382"/>
      <c r="BB33" s="382"/>
      <c r="BC33" s="382"/>
      <c r="BD33" s="382"/>
      <c r="BE33" s="382"/>
      <c r="BF33" s="382"/>
      <c r="BG33" s="382"/>
      <c r="BH33" s="355"/>
      <c r="BI33" s="379"/>
      <c r="BJ33" s="382"/>
      <c r="BK33" s="382"/>
      <c r="BL33" s="382"/>
      <c r="BM33" s="382"/>
      <c r="BN33" s="382"/>
      <c r="BO33" s="382"/>
      <c r="BP33" s="382"/>
      <c r="BQ33" s="382"/>
      <c r="BR33" s="382"/>
      <c r="BS33" s="382"/>
      <c r="BT33" s="382"/>
      <c r="BU33" s="382"/>
      <c r="BV33" s="382"/>
      <c r="BW33" s="382"/>
      <c r="BX33" s="382"/>
      <c r="BY33" s="382"/>
      <c r="BZ33" s="382"/>
      <c r="CA33" s="382"/>
      <c r="CB33" s="382"/>
      <c r="CC33" s="382"/>
      <c r="CD33" s="382"/>
      <c r="CE33" s="382"/>
      <c r="CF33" s="382"/>
      <c r="CG33" s="382"/>
      <c r="CH33" s="382"/>
      <c r="CI33" s="382"/>
      <c r="CJ33" s="382"/>
      <c r="CK33" s="382"/>
      <c r="CL33" s="382"/>
    </row>
    <row r="34" spans="1:90" s="33" customFormat="1" ht="20.100000000000001" customHeight="1">
      <c r="A34" s="382"/>
      <c r="B34" s="383"/>
      <c r="C34" s="337"/>
      <c r="D34" s="337"/>
      <c r="E34" s="381" t="s">
        <v>49</v>
      </c>
      <c r="F34" s="274" t="s">
        <v>1480</v>
      </c>
      <c r="G34" s="384"/>
      <c r="H34" s="384"/>
      <c r="I34" s="384"/>
      <c r="J34" s="384"/>
      <c r="K34" s="384"/>
      <c r="L34" s="384"/>
      <c r="M34" s="384"/>
      <c r="N34" s="384"/>
      <c r="O34" s="384"/>
      <c r="P34" s="384"/>
      <c r="Q34" s="384"/>
      <c r="R34" s="384"/>
      <c r="S34" s="384"/>
      <c r="T34" s="384"/>
      <c r="U34" s="384"/>
      <c r="V34" s="384"/>
      <c r="W34" s="384"/>
      <c r="X34" s="384"/>
      <c r="Y34" s="384"/>
      <c r="Z34" s="384"/>
      <c r="AA34" s="382"/>
      <c r="AB34" s="382"/>
      <c r="AC34" s="382"/>
      <c r="AD34" s="382"/>
      <c r="AE34" s="382"/>
      <c r="AF34" s="382"/>
      <c r="AG34" s="382"/>
      <c r="AH34" s="382"/>
      <c r="AI34" s="382"/>
      <c r="AJ34" s="382"/>
      <c r="AK34" s="382"/>
      <c r="AL34" s="382"/>
      <c r="AM34" s="382"/>
      <c r="AN34" s="382"/>
      <c r="AO34" s="382"/>
      <c r="AP34" s="382"/>
      <c r="AQ34" s="382"/>
      <c r="AR34" s="382"/>
      <c r="AS34" s="382"/>
      <c r="AT34" s="382"/>
      <c r="AU34" s="382"/>
      <c r="AV34" s="382"/>
      <c r="AW34" s="382"/>
      <c r="AX34" s="382"/>
      <c r="AY34" s="382"/>
      <c r="AZ34" s="382"/>
      <c r="BA34" s="382"/>
      <c r="BB34" s="382"/>
      <c r="BC34" s="382"/>
      <c r="BD34" s="382"/>
      <c r="BE34" s="382"/>
      <c r="BF34" s="382"/>
      <c r="BG34" s="382"/>
      <c r="BH34" s="355"/>
      <c r="BI34" s="379"/>
      <c r="BJ34" s="382"/>
      <c r="BK34" s="382"/>
      <c r="BL34" s="382"/>
      <c r="BM34" s="382"/>
      <c r="BN34" s="382"/>
      <c r="BO34" s="382"/>
      <c r="BP34" s="382"/>
      <c r="BQ34" s="382"/>
      <c r="BR34" s="382"/>
      <c r="BS34" s="382"/>
      <c r="BT34" s="382"/>
      <c r="BU34" s="382"/>
      <c r="BV34" s="382"/>
      <c r="BW34" s="382"/>
      <c r="BX34" s="382"/>
      <c r="BY34" s="382"/>
      <c r="BZ34" s="382"/>
      <c r="CA34" s="382"/>
      <c r="CB34" s="382"/>
      <c r="CC34" s="382"/>
      <c r="CD34" s="382"/>
      <c r="CE34" s="382"/>
      <c r="CF34" s="382"/>
      <c r="CG34" s="382"/>
      <c r="CH34" s="382"/>
      <c r="CI34" s="382"/>
      <c r="CJ34" s="382"/>
      <c r="CK34" s="382"/>
      <c r="CL34" s="382"/>
    </row>
    <row r="35" spans="1:90" s="1" customFormat="1" ht="20.100000000000001" customHeight="1">
      <c r="A35" s="331"/>
      <c r="B35" s="385"/>
      <c r="C35" s="336"/>
      <c r="D35" s="336"/>
      <c r="E35" s="386" t="s">
        <v>50</v>
      </c>
      <c r="F35" s="274" t="s">
        <v>1670</v>
      </c>
      <c r="G35" s="331"/>
      <c r="H35" s="331"/>
      <c r="I35" s="331"/>
      <c r="J35" s="331"/>
      <c r="K35" s="331"/>
      <c r="L35" s="331"/>
      <c r="M35" s="331"/>
      <c r="N35" s="331"/>
      <c r="O35" s="331"/>
      <c r="P35" s="331"/>
      <c r="Q35" s="331"/>
      <c r="R35" s="331"/>
      <c r="S35" s="331"/>
      <c r="T35" s="331"/>
      <c r="U35" s="331"/>
      <c r="V35" s="331"/>
      <c r="W35" s="331"/>
      <c r="X35" s="331"/>
      <c r="Y35" s="331"/>
      <c r="Z35" s="331"/>
      <c r="AA35" s="331"/>
      <c r="AB35" s="331"/>
      <c r="AC35" s="331"/>
      <c r="AD35" s="331"/>
      <c r="AE35" s="382"/>
      <c r="AF35" s="331"/>
      <c r="AG35" s="331"/>
      <c r="AH35" s="331"/>
      <c r="AI35" s="331"/>
      <c r="AJ35" s="331"/>
      <c r="AK35" s="331"/>
      <c r="AL35" s="331"/>
      <c r="AM35" s="331"/>
      <c r="AN35" s="331"/>
      <c r="AO35" s="331"/>
      <c r="AP35" s="331"/>
      <c r="AQ35" s="331"/>
      <c r="AR35" s="331"/>
      <c r="AS35" s="331"/>
      <c r="AT35" s="331"/>
      <c r="AU35" s="331"/>
      <c r="AV35" s="331"/>
      <c r="AW35" s="331"/>
      <c r="AX35" s="331"/>
      <c r="AY35" s="331"/>
      <c r="AZ35" s="331"/>
      <c r="BA35" s="331"/>
      <c r="BB35" s="331"/>
      <c r="BC35" s="331"/>
      <c r="BD35" s="331"/>
      <c r="BE35" s="331"/>
      <c r="BF35" s="331"/>
      <c r="BG35" s="331"/>
      <c r="BH35" s="331"/>
      <c r="BI35" s="331"/>
      <c r="BJ35" s="331"/>
      <c r="BK35" s="331"/>
      <c r="BL35" s="331"/>
      <c r="BM35" s="331"/>
      <c r="BN35" s="331"/>
      <c r="BO35" s="331"/>
      <c r="BP35" s="331"/>
      <c r="BQ35" s="331"/>
      <c r="BR35" s="331"/>
      <c r="BS35" s="331"/>
      <c r="BT35" s="331"/>
      <c r="BU35" s="331"/>
      <c r="BV35" s="331"/>
      <c r="BW35" s="331"/>
      <c r="BX35" s="331"/>
      <c r="BY35" s="331"/>
      <c r="BZ35" s="331"/>
      <c r="CA35" s="331"/>
      <c r="CB35" s="331"/>
      <c r="CC35" s="331"/>
      <c r="CD35" s="331"/>
      <c r="CE35" s="331"/>
      <c r="CF35" s="331"/>
      <c r="CG35" s="331"/>
      <c r="CH35" s="331"/>
      <c r="CI35" s="331"/>
      <c r="CJ35" s="331"/>
      <c r="CK35" s="331"/>
      <c r="CL35" s="331"/>
    </row>
    <row r="36" spans="1:90" s="1" customFormat="1" ht="33.6" customHeight="1">
      <c r="A36" s="331"/>
      <c r="B36" s="385"/>
      <c r="C36" s="336"/>
      <c r="D36" s="336"/>
      <c r="E36" s="386"/>
      <c r="F36" s="274"/>
      <c r="G36" s="331"/>
      <c r="H36" s="331"/>
      <c r="I36" s="331"/>
      <c r="J36" s="331"/>
      <c r="K36" s="331"/>
      <c r="L36" s="331"/>
      <c r="M36" s="331"/>
      <c r="N36" s="331"/>
      <c r="O36" s="331"/>
      <c r="P36" s="331"/>
      <c r="Q36" s="331"/>
      <c r="R36" s="331"/>
      <c r="S36" s="331"/>
      <c r="T36" s="331"/>
      <c r="U36" s="331"/>
      <c r="V36" s="331"/>
      <c r="W36" s="331"/>
      <c r="X36" s="331"/>
      <c r="Y36" s="331"/>
      <c r="Z36" s="331"/>
      <c r="AA36" s="331"/>
      <c r="AB36" s="331"/>
      <c r="AC36" s="331"/>
      <c r="AD36" s="331"/>
      <c r="AE36" s="382"/>
      <c r="AF36" s="331"/>
      <c r="AG36" s="331"/>
      <c r="AH36" s="331"/>
      <c r="AI36" s="331"/>
      <c r="AJ36" s="331"/>
      <c r="AK36" s="331"/>
      <c r="AL36" s="331"/>
      <c r="AM36" s="331"/>
      <c r="AN36" s="331"/>
      <c r="AO36" s="331"/>
      <c r="AP36" s="331"/>
      <c r="AQ36" s="331"/>
      <c r="AR36" s="331"/>
      <c r="AS36" s="331"/>
      <c r="AT36" s="331"/>
      <c r="AU36" s="331"/>
      <c r="AV36" s="331"/>
      <c r="AW36" s="331"/>
      <c r="AX36" s="331"/>
      <c r="AY36" s="331"/>
      <c r="AZ36" s="331"/>
      <c r="BA36" s="331"/>
      <c r="BB36" s="331"/>
      <c r="BC36" s="331"/>
      <c r="BD36" s="331"/>
      <c r="BE36" s="331"/>
      <c r="BF36" s="331"/>
      <c r="BG36" s="331"/>
      <c r="BH36" s="331"/>
      <c r="BI36" s="331"/>
      <c r="BJ36" s="331"/>
      <c r="BK36" s="331"/>
      <c r="BL36" s="331"/>
      <c r="BM36" s="331"/>
      <c r="BN36" s="331"/>
      <c r="BO36" s="331"/>
      <c r="BP36" s="331"/>
      <c r="BQ36" s="331"/>
      <c r="BR36" s="331"/>
      <c r="BS36" s="331"/>
      <c r="BT36" s="331"/>
      <c r="BU36" s="331"/>
      <c r="BV36" s="331"/>
      <c r="BW36" s="331"/>
      <c r="BX36" s="331"/>
      <c r="BY36" s="331"/>
      <c r="BZ36" s="331"/>
      <c r="CA36" s="331"/>
      <c r="CB36" s="331"/>
      <c r="CC36" s="331"/>
      <c r="CD36" s="331"/>
      <c r="CE36" s="331"/>
      <c r="CF36" s="331"/>
      <c r="CG36" s="331"/>
      <c r="CH36" s="331"/>
      <c r="CI36" s="331"/>
      <c r="CJ36" s="331"/>
      <c r="CK36" s="331"/>
      <c r="CL36" s="331"/>
    </row>
    <row r="37" spans="1:90" s="1" customFormat="1" ht="33.6" customHeight="1">
      <c r="A37" s="331"/>
      <c r="B37" s="385"/>
      <c r="C37" s="336"/>
      <c r="D37" s="336"/>
      <c r="E37" s="386"/>
      <c r="F37" s="274"/>
      <c r="G37" s="331"/>
      <c r="H37" s="331"/>
      <c r="I37" s="331"/>
      <c r="J37" s="331"/>
      <c r="K37" s="331"/>
      <c r="L37" s="331"/>
      <c r="M37" s="331"/>
      <c r="N37" s="331"/>
      <c r="O37" s="331"/>
      <c r="P37" s="331"/>
      <c r="Q37" s="331"/>
      <c r="R37" s="331"/>
      <c r="S37" s="331"/>
      <c r="T37" s="331"/>
      <c r="U37" s="331"/>
      <c r="V37" s="331"/>
      <c r="W37" s="331"/>
      <c r="X37" s="331"/>
      <c r="Y37" s="331"/>
      <c r="Z37" s="331"/>
      <c r="AA37" s="331"/>
      <c r="AB37" s="331"/>
      <c r="AC37" s="331"/>
      <c r="AD37" s="331"/>
      <c r="AE37" s="382"/>
      <c r="AF37" s="331"/>
      <c r="AG37" s="331"/>
      <c r="AH37" s="331"/>
      <c r="AI37" s="331"/>
      <c r="AJ37" s="331"/>
      <c r="AK37" s="331"/>
      <c r="AL37" s="331"/>
      <c r="AM37" s="331"/>
      <c r="AN37" s="331"/>
      <c r="AO37" s="331"/>
      <c r="AP37" s="331"/>
      <c r="AQ37" s="331"/>
      <c r="AR37" s="331"/>
      <c r="AS37" s="331"/>
      <c r="AT37" s="331"/>
      <c r="AU37" s="331"/>
      <c r="AV37" s="331"/>
      <c r="AW37" s="331"/>
      <c r="AX37" s="331"/>
      <c r="AY37" s="331"/>
      <c r="AZ37" s="331"/>
      <c r="BA37" s="331"/>
      <c r="BB37" s="331"/>
      <c r="BC37" s="331"/>
      <c r="BD37" s="331"/>
      <c r="BE37" s="331"/>
      <c r="BF37" s="331"/>
      <c r="BG37" s="331"/>
      <c r="BH37" s="331"/>
      <c r="BI37" s="331"/>
      <c r="BJ37" s="331"/>
      <c r="BK37" s="331"/>
      <c r="BL37" s="331"/>
      <c r="BM37" s="331"/>
      <c r="BN37" s="331"/>
      <c r="BO37" s="331"/>
      <c r="BP37" s="331"/>
      <c r="BQ37" s="331"/>
      <c r="BR37" s="331"/>
      <c r="BS37" s="331"/>
      <c r="BT37" s="331"/>
      <c r="BU37" s="331"/>
      <c r="BV37" s="331"/>
      <c r="BW37" s="331"/>
      <c r="BX37" s="331"/>
      <c r="BY37" s="331"/>
      <c r="BZ37" s="331"/>
      <c r="CA37" s="331"/>
      <c r="CB37" s="331"/>
      <c r="CC37" s="331"/>
      <c r="CD37" s="331"/>
      <c r="CE37" s="331"/>
      <c r="CF37" s="331"/>
      <c r="CG37" s="331"/>
      <c r="CH37" s="331"/>
      <c r="CI37" s="331"/>
      <c r="CJ37" s="331"/>
      <c r="CK37" s="331"/>
      <c r="CL37" s="331"/>
    </row>
    <row r="38" spans="1:90" s="51" customFormat="1" ht="33.75" customHeight="1">
      <c r="A38" s="238"/>
      <c r="B38" s="302"/>
      <c r="C38" s="238"/>
      <c r="D38" s="238"/>
      <c r="E38" s="238"/>
      <c r="F38" s="227"/>
      <c r="G38" s="238"/>
      <c r="H38" s="238"/>
      <c r="I38" s="238"/>
      <c r="J38" s="238"/>
      <c r="K38" s="238"/>
      <c r="L38" s="238"/>
      <c r="M38" s="238"/>
      <c r="N38" s="238"/>
      <c r="O38" s="238"/>
      <c r="P38" s="238"/>
      <c r="Q38" s="238"/>
      <c r="R38" s="238"/>
      <c r="S38" s="238"/>
      <c r="T38" s="238"/>
      <c r="U38" s="238"/>
      <c r="V38" s="238"/>
      <c r="W38" s="238"/>
      <c r="X38" s="238"/>
      <c r="Y38" s="238"/>
      <c r="Z38" s="238"/>
      <c r="AA38" s="238"/>
      <c r="AB38" s="238"/>
      <c r="AC38" s="238"/>
      <c r="AD38" s="238"/>
      <c r="AE38" s="238"/>
      <c r="AF38" s="238"/>
      <c r="AG38" s="238"/>
      <c r="AH38" s="238"/>
      <c r="AI38" s="238"/>
      <c r="AJ38" s="238"/>
      <c r="AK38" s="238"/>
      <c r="AL38" s="238"/>
      <c r="AM38" s="238"/>
      <c r="AN38" s="238"/>
      <c r="AO38" s="238"/>
      <c r="AP38" s="238"/>
      <c r="AQ38" s="238"/>
      <c r="AR38" s="238"/>
      <c r="AS38" s="238"/>
      <c r="AT38" s="238"/>
      <c r="AU38" s="238"/>
      <c r="AV38" s="238"/>
      <c r="AW38" s="238"/>
      <c r="AX38" s="238"/>
      <c r="AY38" s="238"/>
      <c r="AZ38" s="238"/>
      <c r="BA38" s="238"/>
      <c r="BB38" s="238"/>
      <c r="BC38" s="238"/>
      <c r="BD38" s="238"/>
      <c r="BE38" s="238"/>
      <c r="BF38" s="238"/>
      <c r="BG38" s="238"/>
      <c r="BH38" s="238"/>
      <c r="BI38" s="238"/>
      <c r="BJ38" s="238"/>
      <c r="BK38" s="238"/>
      <c r="BL38" s="238"/>
      <c r="BM38" s="238"/>
      <c r="BN38" s="238"/>
      <c r="BO38" s="238"/>
      <c r="BP38" s="238"/>
      <c r="BQ38" s="238"/>
      <c r="BR38" s="238"/>
      <c r="BS38" s="238"/>
      <c r="BT38" s="238"/>
      <c r="BU38" s="238"/>
      <c r="BV38" s="238"/>
      <c r="BW38" s="238"/>
      <c r="BX38" s="238"/>
      <c r="BY38" s="238"/>
      <c r="BZ38" s="238"/>
      <c r="CA38" s="238"/>
      <c r="CB38" s="238"/>
      <c r="CC38" s="238"/>
      <c r="CD38" s="238"/>
      <c r="CE38" s="238"/>
      <c r="CF38" s="238"/>
      <c r="CG38" s="238"/>
      <c r="CH38" s="238"/>
      <c r="CI38" s="238"/>
      <c r="CJ38" s="238"/>
      <c r="CK38" s="238"/>
      <c r="CL38" s="238"/>
    </row>
    <row r="39" spans="1:90">
      <c r="A39" s="222"/>
      <c r="B39" s="223" t="s">
        <v>32</v>
      </c>
      <c r="C39" s="222"/>
      <c r="D39" s="222"/>
      <c r="E39" s="222"/>
      <c r="F39" s="222"/>
      <c r="G39" s="222"/>
      <c r="H39" s="222"/>
      <c r="I39" s="222"/>
      <c r="J39" s="222"/>
      <c r="K39" s="222"/>
      <c r="L39" s="222"/>
      <c r="M39" s="222"/>
      <c r="N39" s="222"/>
      <c r="O39" s="222"/>
      <c r="P39" s="222"/>
      <c r="Q39" s="222"/>
      <c r="R39" s="222"/>
      <c r="S39" s="222"/>
      <c r="T39" s="223" t="s">
        <v>134</v>
      </c>
      <c r="U39" s="222"/>
      <c r="V39" s="222"/>
      <c r="W39" s="222"/>
      <c r="X39" s="222"/>
      <c r="Y39" s="222"/>
      <c r="Z39" s="222"/>
      <c r="AA39" s="222"/>
      <c r="AB39" s="222"/>
      <c r="AC39" s="222"/>
      <c r="AD39" s="222"/>
      <c r="AE39" s="222"/>
      <c r="AF39" s="222"/>
      <c r="AG39" s="222"/>
      <c r="AH39" s="222"/>
      <c r="AI39" s="222"/>
      <c r="AJ39" s="222"/>
      <c r="AK39" s="222"/>
      <c r="AL39" s="222"/>
      <c r="AM39" s="222"/>
      <c r="AN39" s="222"/>
      <c r="AO39" s="222"/>
      <c r="AP39" s="222"/>
      <c r="AQ39" s="222"/>
      <c r="AR39" s="222"/>
      <c r="AS39" s="223" t="s">
        <v>33</v>
      </c>
      <c r="AT39" s="222"/>
      <c r="AU39" s="222"/>
      <c r="AV39" s="222"/>
      <c r="AW39" s="222"/>
      <c r="AX39" s="222"/>
      <c r="AY39" s="222"/>
      <c r="AZ39" s="222"/>
      <c r="BA39" s="222"/>
      <c r="BB39" s="222"/>
      <c r="BC39" s="222"/>
      <c r="BD39" s="222"/>
      <c r="BE39" s="222"/>
      <c r="BF39" s="222"/>
      <c r="BG39" s="222"/>
      <c r="BH39" s="222"/>
      <c r="BI39" s="222"/>
      <c r="BJ39" s="222"/>
      <c r="BK39" s="222"/>
      <c r="BL39" s="222"/>
      <c r="BM39" s="222"/>
      <c r="BN39" s="222"/>
      <c r="BO39" s="222"/>
      <c r="BP39" s="222"/>
      <c r="BQ39" s="222"/>
      <c r="BR39" s="222"/>
      <c r="BS39" s="222"/>
      <c r="BT39" s="222"/>
      <c r="BU39" s="222"/>
      <c r="BV39" s="222"/>
      <c r="BW39" s="222"/>
      <c r="BX39" s="222"/>
      <c r="BY39" s="222"/>
      <c r="BZ39" s="222"/>
      <c r="CA39" s="222"/>
      <c r="CB39" s="222"/>
      <c r="CC39" s="222"/>
      <c r="CD39" s="222"/>
      <c r="CE39" s="222"/>
      <c r="CF39" s="222"/>
      <c r="CG39" s="222"/>
      <c r="CH39" s="222"/>
      <c r="CI39" s="222"/>
      <c r="CJ39" s="222"/>
      <c r="CK39" s="222"/>
      <c r="CL39" s="222"/>
    </row>
    <row r="40" spans="1:90" ht="21.75" customHeight="1">
      <c r="A40" s="222"/>
      <c r="B40" s="223" t="s">
        <v>73</v>
      </c>
      <c r="C40" s="222"/>
      <c r="D40" s="222"/>
      <c r="E40" s="222"/>
      <c r="F40" s="2012" t="str">
        <f>activesheet!E21</f>
        <v>MELCHESIEDICK Q. BOLANIO / March 17, 2023</v>
      </c>
      <c r="G40" s="2012"/>
      <c r="H40" s="2012"/>
      <c r="I40" s="2012"/>
      <c r="J40" s="2012"/>
      <c r="K40" s="2012"/>
      <c r="L40" s="2012"/>
      <c r="M40" s="2012"/>
      <c r="N40" s="2012"/>
      <c r="O40" s="2012"/>
      <c r="P40" s="222"/>
      <c r="Q40" s="222"/>
      <c r="R40" s="222"/>
      <c r="S40" s="222"/>
      <c r="T40" s="2012" t="str">
        <f>activesheet!E438</f>
        <v>ELMA CEZARIE Y. ROMERO / March 17, 2023</v>
      </c>
      <c r="U40" s="2012"/>
      <c r="V40" s="2012"/>
      <c r="W40" s="2012"/>
      <c r="X40" s="2012"/>
      <c r="Y40" s="2012"/>
      <c r="Z40" s="2012"/>
      <c r="AA40" s="2012"/>
      <c r="AB40" s="2012"/>
      <c r="AC40" s="2012"/>
      <c r="AD40" s="2012"/>
      <c r="AE40" s="2012"/>
      <c r="AF40" s="2012"/>
      <c r="AG40" s="2012"/>
      <c r="AH40" s="2012"/>
      <c r="AI40" s="2012"/>
      <c r="AJ40" s="2012"/>
      <c r="AK40" s="2012"/>
      <c r="AL40" s="2012"/>
      <c r="AM40" s="2012"/>
      <c r="AN40" s="387"/>
      <c r="AO40" s="387"/>
      <c r="AP40" s="387"/>
      <c r="AQ40" s="222"/>
      <c r="AR40" s="222"/>
      <c r="AS40" s="1940" t="str">
        <f>activesheet!E25</f>
        <v>MICHAEL T. JAMIS / March 17, 2023</v>
      </c>
      <c r="AT40" s="1940"/>
      <c r="AU40" s="1940"/>
      <c r="AV40" s="1940"/>
      <c r="AW40" s="1940"/>
      <c r="AX40" s="1940"/>
      <c r="AY40" s="1940"/>
      <c r="AZ40" s="1940"/>
      <c r="BA40" s="1940"/>
      <c r="BB40" s="1940"/>
      <c r="BC40" s="1940"/>
      <c r="BD40" s="1940"/>
      <c r="BE40" s="1940"/>
      <c r="BF40" s="1940"/>
      <c r="BG40" s="1940"/>
      <c r="BH40" s="1940"/>
      <c r="BI40" s="1940"/>
      <c r="BJ40" s="1940"/>
      <c r="BK40" s="1940"/>
      <c r="BL40" s="1940"/>
      <c r="BM40" s="222"/>
      <c r="BN40" s="222"/>
      <c r="BO40" s="222"/>
      <c r="BP40" s="222"/>
      <c r="BQ40" s="222"/>
      <c r="BR40" s="222"/>
      <c r="BS40" s="222"/>
      <c r="BT40" s="222"/>
      <c r="BU40" s="222"/>
      <c r="BV40" s="222"/>
      <c r="BW40" s="222"/>
      <c r="BX40" s="222"/>
      <c r="BY40" s="222"/>
      <c r="BZ40" s="222"/>
      <c r="CA40" s="222"/>
      <c r="CB40" s="222"/>
      <c r="CC40" s="222"/>
      <c r="CD40" s="222"/>
      <c r="CE40" s="222"/>
      <c r="CF40" s="222"/>
      <c r="CG40" s="222"/>
      <c r="CH40" s="222"/>
      <c r="CI40" s="222"/>
      <c r="CJ40" s="222"/>
      <c r="CK40" s="222"/>
      <c r="CL40" s="222"/>
    </row>
    <row r="41" spans="1:90" s="7" customFormat="1" ht="15.75" customHeight="1">
      <c r="A41" s="334"/>
      <c r="B41" s="225"/>
      <c r="C41" s="334"/>
      <c r="D41" s="334"/>
      <c r="E41" s="334"/>
      <c r="F41" s="1811" t="s">
        <v>37</v>
      </c>
      <c r="G41" s="1811"/>
      <c r="H41" s="1811"/>
      <c r="I41" s="1811"/>
      <c r="J41" s="1811"/>
      <c r="K41" s="1811"/>
      <c r="L41" s="1811"/>
      <c r="M41" s="1811"/>
      <c r="N41" s="1811"/>
      <c r="O41" s="1811"/>
      <c r="P41" s="226"/>
      <c r="Q41" s="226"/>
      <c r="R41" s="226"/>
      <c r="S41" s="226"/>
      <c r="T41" s="1811" t="s">
        <v>37</v>
      </c>
      <c r="U41" s="1811"/>
      <c r="V41" s="1811"/>
      <c r="W41" s="1811"/>
      <c r="X41" s="1811"/>
      <c r="Y41" s="1811"/>
      <c r="Z41" s="1811"/>
      <c r="AA41" s="1811"/>
      <c r="AB41" s="1811"/>
      <c r="AC41" s="1811"/>
      <c r="AD41" s="1811"/>
      <c r="AE41" s="1811"/>
      <c r="AF41" s="1811"/>
      <c r="AG41" s="1811"/>
      <c r="AH41" s="1811"/>
      <c r="AI41" s="1811"/>
      <c r="AJ41" s="1811"/>
      <c r="AK41" s="1811"/>
      <c r="AL41" s="1811"/>
      <c r="AM41" s="1811"/>
      <c r="AN41" s="247"/>
      <c r="AO41" s="247"/>
      <c r="AP41" s="247"/>
      <c r="AQ41" s="226"/>
      <c r="AR41" s="226"/>
      <c r="AS41" s="1941"/>
      <c r="AT41" s="1941"/>
      <c r="AU41" s="1941"/>
      <c r="AV41" s="1941"/>
      <c r="AW41" s="1941"/>
      <c r="AX41" s="1941"/>
      <c r="AY41" s="1941"/>
      <c r="AZ41" s="1941"/>
      <c r="BA41" s="1941"/>
      <c r="BB41" s="1941"/>
      <c r="BC41" s="1941"/>
      <c r="BD41" s="1941"/>
      <c r="BE41" s="1941"/>
      <c r="BF41" s="1941"/>
      <c r="BG41" s="1941"/>
      <c r="BH41" s="1941"/>
      <c r="BI41" s="1941"/>
      <c r="BJ41" s="1941"/>
      <c r="BK41" s="1941"/>
      <c r="BL41" s="1941"/>
      <c r="BM41" s="361"/>
      <c r="BN41" s="361"/>
      <c r="BO41" s="361"/>
      <c r="BP41" s="361"/>
      <c r="BQ41" s="361"/>
      <c r="BR41" s="361"/>
      <c r="BS41" s="361"/>
      <c r="BT41" s="361"/>
      <c r="BU41" s="361"/>
      <c r="BV41" s="361"/>
      <c r="BW41" s="361"/>
      <c r="BX41" s="361"/>
      <c r="BY41" s="361"/>
      <c r="BZ41" s="334"/>
      <c r="CA41" s="334"/>
      <c r="CB41" s="334"/>
      <c r="CC41" s="334"/>
      <c r="CD41" s="334"/>
      <c r="CE41" s="334"/>
      <c r="CF41" s="334"/>
      <c r="CG41" s="334"/>
      <c r="CH41" s="334"/>
      <c r="CI41" s="334"/>
      <c r="CJ41" s="334"/>
      <c r="CK41" s="334"/>
      <c r="CL41" s="334"/>
    </row>
    <row r="42" spans="1:90" ht="21.75" customHeight="1">
      <c r="A42" s="222"/>
      <c r="B42" s="223" t="s">
        <v>240</v>
      </c>
      <c r="C42" s="222"/>
      <c r="D42" s="222"/>
      <c r="E42" s="222"/>
      <c r="F42" s="2012" t="str">
        <f>activesheet!E22</f>
        <v>SECONDARY SCHOOL PRINCIPAL IV</v>
      </c>
      <c r="G42" s="2012"/>
      <c r="H42" s="2012"/>
      <c r="I42" s="2012"/>
      <c r="J42" s="2012"/>
      <c r="K42" s="2012"/>
      <c r="L42" s="2012"/>
      <c r="M42" s="2012"/>
      <c r="N42" s="2012"/>
      <c r="O42" s="2012"/>
      <c r="P42" s="222"/>
      <c r="Q42" s="222"/>
      <c r="R42" s="222"/>
      <c r="S42" s="222"/>
      <c r="T42" s="223" t="s">
        <v>240</v>
      </c>
      <c r="U42" s="222"/>
      <c r="V42" s="222"/>
      <c r="W42" s="222"/>
      <c r="X42" s="2012" t="str">
        <f>activesheet!E439</f>
        <v>ADMINISTRATIVE OFFICER IV</v>
      </c>
      <c r="Y42" s="2012"/>
      <c r="Z42" s="2012"/>
      <c r="AA42" s="2012"/>
      <c r="AB42" s="2012"/>
      <c r="AC42" s="2012"/>
      <c r="AD42" s="2012"/>
      <c r="AE42" s="2012"/>
      <c r="AF42" s="2012"/>
      <c r="AG42" s="2012"/>
      <c r="AH42" s="2012"/>
      <c r="AI42" s="2012"/>
      <c r="AJ42" s="2012"/>
      <c r="AK42" s="2012"/>
      <c r="AL42" s="2012"/>
      <c r="AM42" s="2012"/>
      <c r="AN42" s="387"/>
      <c r="AO42" s="387"/>
      <c r="AP42" s="387"/>
      <c r="AQ42" s="222"/>
      <c r="AR42" s="222"/>
      <c r="AS42" s="1811" t="s">
        <v>37</v>
      </c>
      <c r="AT42" s="1811"/>
      <c r="AU42" s="1811"/>
      <c r="AV42" s="1811"/>
      <c r="AW42" s="1811"/>
      <c r="AX42" s="1811"/>
      <c r="AY42" s="1811"/>
      <c r="AZ42" s="1811"/>
      <c r="BA42" s="1811"/>
      <c r="BB42" s="1811"/>
      <c r="BC42" s="1811"/>
      <c r="BD42" s="1811"/>
      <c r="BE42" s="1811"/>
      <c r="BF42" s="1811"/>
      <c r="BG42" s="1811"/>
      <c r="BH42" s="1811"/>
      <c r="BI42" s="1811"/>
      <c r="BJ42" s="1811"/>
      <c r="BK42" s="1811"/>
      <c r="BL42" s="1811"/>
      <c r="BM42" s="222"/>
      <c r="BN42" s="222"/>
      <c r="BO42" s="222"/>
      <c r="BP42" s="222"/>
      <c r="BQ42" s="222"/>
      <c r="BR42" s="222"/>
      <c r="BS42" s="222"/>
      <c r="BT42" s="222"/>
      <c r="BU42" s="222"/>
      <c r="BV42" s="222"/>
      <c r="BW42" s="222"/>
      <c r="BX42" s="222"/>
      <c r="BY42" s="222"/>
      <c r="BZ42" s="222"/>
      <c r="CA42" s="222"/>
      <c r="CB42" s="222"/>
      <c r="CC42" s="222"/>
      <c r="CD42" s="222"/>
      <c r="CE42" s="222"/>
      <c r="CF42" s="222"/>
      <c r="CG42" s="222"/>
      <c r="CH42" s="222"/>
      <c r="CI42" s="222"/>
      <c r="CJ42" s="222"/>
      <c r="CK42" s="222"/>
      <c r="CL42" s="222"/>
    </row>
    <row r="43" spans="1:90">
      <c r="A43" s="222"/>
      <c r="B43" s="222"/>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c r="AF43" s="222"/>
      <c r="AG43" s="222"/>
      <c r="AH43" s="222"/>
      <c r="AI43" s="222"/>
      <c r="AJ43" s="222"/>
      <c r="AK43" s="222"/>
      <c r="AL43" s="222"/>
      <c r="AM43" s="222"/>
      <c r="AN43" s="222"/>
      <c r="AO43" s="222"/>
      <c r="AP43" s="222"/>
      <c r="AQ43" s="222"/>
      <c r="AR43" s="222"/>
      <c r="AS43" s="222"/>
      <c r="AT43" s="222"/>
      <c r="AU43" s="222"/>
      <c r="AV43" s="222"/>
      <c r="AW43" s="222"/>
      <c r="AX43" s="222"/>
      <c r="AY43" s="222"/>
      <c r="AZ43" s="222"/>
      <c r="BA43" s="222"/>
      <c r="BB43" s="222"/>
      <c r="BC43" s="222"/>
      <c r="BD43" s="222"/>
      <c r="BE43" s="222"/>
      <c r="BF43" s="222"/>
      <c r="BG43" s="222"/>
      <c r="BH43" s="222"/>
      <c r="BI43" s="222"/>
      <c r="BJ43" s="222"/>
      <c r="BK43" s="222"/>
      <c r="BL43" s="222"/>
      <c r="BM43" s="222"/>
      <c r="BN43" s="222"/>
      <c r="BO43" s="222"/>
      <c r="BP43" s="222"/>
      <c r="BQ43" s="222"/>
      <c r="BR43" s="222"/>
      <c r="BS43" s="222"/>
      <c r="BT43" s="222"/>
      <c r="BU43" s="222"/>
      <c r="BV43" s="222"/>
      <c r="BW43" s="222"/>
      <c r="BX43" s="222"/>
      <c r="BY43" s="222"/>
      <c r="BZ43" s="222"/>
      <c r="CA43" s="222"/>
      <c r="CB43" s="222"/>
      <c r="CC43" s="222"/>
      <c r="CD43" s="222"/>
      <c r="CE43" s="222"/>
      <c r="CF43" s="222"/>
      <c r="CG43" s="222"/>
      <c r="CH43" s="222"/>
      <c r="CI43" s="222"/>
      <c r="CJ43" s="222"/>
      <c r="CK43" s="222"/>
      <c r="CL43" s="222"/>
    </row>
    <row r="44" spans="1:90">
      <c r="A44" s="222"/>
      <c r="B44" s="222"/>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c r="AK44" s="222"/>
      <c r="AL44" s="222"/>
      <c r="AM44" s="222"/>
      <c r="AN44" s="222"/>
      <c r="AO44" s="222"/>
      <c r="AP44" s="222"/>
      <c r="AQ44" s="222"/>
      <c r="AR44" s="222"/>
      <c r="AS44" s="222"/>
      <c r="AT44" s="222"/>
      <c r="AU44" s="222"/>
      <c r="AV44" s="222"/>
      <c r="AW44" s="222"/>
      <c r="AX44" s="222"/>
      <c r="AY44" s="222"/>
      <c r="AZ44" s="222"/>
      <c r="BA44" s="222"/>
      <c r="BB44" s="222"/>
      <c r="BC44" s="222"/>
      <c r="BD44" s="222"/>
      <c r="BE44" s="222"/>
      <c r="BF44" s="222"/>
      <c r="BG44" s="222"/>
      <c r="BH44" s="222"/>
      <c r="BI44" s="222"/>
      <c r="BJ44" s="222"/>
      <c r="BK44" s="222"/>
      <c r="BL44" s="222"/>
      <c r="BM44" s="222"/>
      <c r="BN44" s="222"/>
      <c r="BO44" s="222"/>
      <c r="BP44" s="222"/>
      <c r="BQ44" s="222"/>
      <c r="BR44" s="222"/>
      <c r="BS44" s="222"/>
      <c r="BT44" s="222"/>
      <c r="BU44" s="222"/>
      <c r="BV44" s="222"/>
      <c r="BW44" s="222"/>
      <c r="BX44" s="222"/>
      <c r="BY44" s="222"/>
      <c r="BZ44" s="222"/>
      <c r="CA44" s="222"/>
      <c r="CB44" s="222"/>
      <c r="CC44" s="222"/>
      <c r="CD44" s="222"/>
      <c r="CE44" s="222"/>
      <c r="CF44" s="222"/>
      <c r="CG44" s="222"/>
      <c r="CH44" s="222"/>
      <c r="CI44" s="222"/>
      <c r="CJ44" s="222"/>
      <c r="CK44" s="222"/>
      <c r="CL44" s="222"/>
    </row>
    <row r="45" spans="1:90">
      <c r="A45" s="222"/>
      <c r="B45" s="222"/>
      <c r="C45" s="222"/>
      <c r="D45" s="222"/>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c r="AE45" s="222"/>
      <c r="AF45" s="222"/>
      <c r="AG45" s="332"/>
      <c r="AH45" s="222"/>
      <c r="AI45" s="222"/>
      <c r="AJ45" s="222"/>
      <c r="AK45" s="222"/>
      <c r="AL45" s="222"/>
      <c r="AM45" s="222"/>
      <c r="AN45" s="222"/>
      <c r="AO45" s="222"/>
      <c r="AP45" s="222"/>
      <c r="AQ45" s="222"/>
      <c r="AR45" s="222"/>
      <c r="AS45" s="222"/>
      <c r="AT45" s="222"/>
      <c r="AU45" s="222"/>
      <c r="AV45" s="222"/>
      <c r="AW45" s="222"/>
      <c r="AX45" s="222"/>
      <c r="AY45" s="222"/>
      <c r="AZ45" s="222"/>
      <c r="BA45" s="222"/>
      <c r="BB45" s="222"/>
      <c r="BC45" s="222"/>
      <c r="BD45" s="222"/>
      <c r="BE45" s="222"/>
      <c r="BF45" s="222"/>
      <c r="BG45" s="222"/>
      <c r="BH45" s="222"/>
      <c r="BI45" s="222"/>
      <c r="BJ45" s="222"/>
      <c r="BK45" s="222"/>
      <c r="BL45" s="222"/>
      <c r="BM45" s="222"/>
      <c r="BN45" s="222"/>
      <c r="BO45" s="222"/>
      <c r="BP45" s="222"/>
      <c r="BQ45" s="222"/>
      <c r="BR45" s="222"/>
      <c r="BS45" s="222"/>
      <c r="BT45" s="222"/>
      <c r="BU45" s="222"/>
      <c r="BV45" s="222"/>
      <c r="BW45" s="222"/>
      <c r="BX45" s="222"/>
      <c r="BY45" s="222"/>
      <c r="BZ45" s="222"/>
      <c r="CA45" s="222"/>
      <c r="CB45" s="222"/>
      <c r="CC45" s="222"/>
      <c r="CD45" s="222"/>
      <c r="CE45" s="222"/>
      <c r="CF45" s="222"/>
      <c r="CG45" s="222"/>
      <c r="CH45" s="222"/>
      <c r="CI45" s="222"/>
      <c r="CJ45" s="222"/>
      <c r="CK45" s="222"/>
      <c r="CL45" s="222"/>
    </row>
    <row r="46" spans="1:90">
      <c r="A46" s="222"/>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c r="AK46" s="222"/>
      <c r="AL46" s="222"/>
      <c r="AM46" s="222"/>
      <c r="AN46" s="222"/>
      <c r="AO46" s="222"/>
      <c r="AP46" s="222"/>
      <c r="AQ46" s="222"/>
      <c r="AR46" s="222"/>
      <c r="AS46" s="222"/>
      <c r="AT46" s="222"/>
      <c r="AU46" s="222"/>
      <c r="AV46" s="222"/>
      <c r="AW46" s="222"/>
      <c r="AX46" s="222"/>
      <c r="AY46" s="222"/>
      <c r="AZ46" s="222"/>
      <c r="BA46" s="222"/>
      <c r="BB46" s="222"/>
      <c r="BC46" s="222"/>
      <c r="BD46" s="222"/>
      <c r="BE46" s="222"/>
      <c r="BF46" s="222"/>
      <c r="BG46" s="222"/>
      <c r="BH46" s="222"/>
      <c r="BI46" s="222"/>
      <c r="BJ46" s="222"/>
      <c r="BK46" s="222"/>
      <c r="BL46" s="222"/>
      <c r="BM46" s="222"/>
      <c r="BN46" s="222"/>
      <c r="BO46" s="222"/>
      <c r="BP46" s="222"/>
      <c r="BQ46" s="222"/>
      <c r="BR46" s="222"/>
      <c r="BS46" s="222"/>
      <c r="BT46" s="222"/>
      <c r="BU46" s="222"/>
      <c r="BV46" s="222"/>
      <c r="BW46" s="222"/>
      <c r="BX46" s="222"/>
      <c r="BY46" s="222"/>
      <c r="BZ46" s="222"/>
      <c r="CA46" s="222"/>
      <c r="CB46" s="222"/>
      <c r="CC46" s="222"/>
      <c r="CD46" s="222"/>
      <c r="CE46" s="222"/>
      <c r="CF46" s="222"/>
      <c r="CG46" s="222"/>
      <c r="CH46" s="222"/>
      <c r="CI46" s="222"/>
      <c r="CJ46" s="222"/>
      <c r="CK46" s="222"/>
      <c r="CL46" s="222"/>
    </row>
    <row r="47" spans="1:90">
      <c r="A47" s="222"/>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c r="AF47" s="222"/>
      <c r="AG47" s="222"/>
      <c r="AH47" s="222"/>
      <c r="AI47" s="222"/>
      <c r="AJ47" s="222"/>
      <c r="AK47" s="222"/>
      <c r="AL47" s="222"/>
      <c r="AM47" s="222"/>
      <c r="AN47" s="222"/>
      <c r="AO47" s="222"/>
      <c r="AP47" s="222"/>
      <c r="AQ47" s="222"/>
      <c r="AR47" s="222"/>
      <c r="AS47" s="222"/>
      <c r="AT47" s="222"/>
      <c r="AU47" s="222"/>
      <c r="AV47" s="222"/>
      <c r="AW47" s="222"/>
      <c r="AX47" s="222"/>
      <c r="AY47" s="222"/>
      <c r="AZ47" s="222"/>
      <c r="BA47" s="222"/>
      <c r="BB47" s="222"/>
      <c r="BC47" s="222"/>
      <c r="BD47" s="222"/>
      <c r="BE47" s="222"/>
      <c r="BF47" s="222"/>
      <c r="BG47" s="222"/>
      <c r="BH47" s="222"/>
      <c r="BI47" s="222"/>
      <c r="BJ47" s="222"/>
      <c r="BK47" s="222"/>
      <c r="BL47" s="222"/>
      <c r="BM47" s="222"/>
      <c r="BN47" s="222"/>
      <c r="BO47" s="222"/>
      <c r="BP47" s="222"/>
      <c r="BQ47" s="222"/>
      <c r="BR47" s="222"/>
      <c r="BS47" s="222"/>
      <c r="BT47" s="222"/>
      <c r="BU47" s="222"/>
      <c r="BV47" s="222"/>
      <c r="BW47" s="222"/>
      <c r="BX47" s="222"/>
      <c r="BY47" s="222"/>
      <c r="BZ47" s="222"/>
      <c r="CA47" s="222"/>
      <c r="CB47" s="222"/>
      <c r="CC47" s="222"/>
      <c r="CD47" s="222"/>
      <c r="CE47" s="222"/>
      <c r="CF47" s="222"/>
      <c r="CG47" s="222"/>
      <c r="CH47" s="222"/>
      <c r="CI47" s="222"/>
      <c r="CJ47" s="222"/>
      <c r="CK47" s="222"/>
      <c r="CL47" s="222"/>
    </row>
    <row r="48" spans="1:90">
      <c r="A48" s="222"/>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c r="AE48" s="222"/>
      <c r="AF48" s="222"/>
      <c r="AG48" s="222"/>
      <c r="AH48" s="222"/>
      <c r="AI48" s="222"/>
      <c r="AJ48" s="222"/>
      <c r="AK48" s="222"/>
      <c r="AL48" s="222"/>
      <c r="AM48" s="222"/>
      <c r="AN48" s="222"/>
      <c r="AO48" s="222"/>
      <c r="AP48" s="222"/>
      <c r="AQ48" s="222"/>
      <c r="AR48" s="222"/>
      <c r="AS48" s="222"/>
      <c r="AT48" s="222"/>
      <c r="AU48" s="222"/>
      <c r="AV48" s="222"/>
      <c r="AW48" s="222"/>
      <c r="AX48" s="222"/>
      <c r="AY48" s="222"/>
      <c r="AZ48" s="222"/>
      <c r="BA48" s="222"/>
      <c r="BB48" s="222"/>
      <c r="BC48" s="222"/>
      <c r="BD48" s="222"/>
      <c r="BE48" s="222"/>
      <c r="BF48" s="222"/>
      <c r="BG48" s="222"/>
      <c r="BH48" s="222"/>
      <c r="BI48" s="222"/>
      <c r="BJ48" s="222"/>
      <c r="BK48" s="222"/>
      <c r="BL48" s="222"/>
      <c r="BM48" s="222"/>
      <c r="BN48" s="222"/>
      <c r="BO48" s="222"/>
      <c r="BP48" s="222"/>
      <c r="BQ48" s="222"/>
      <c r="BR48" s="222"/>
      <c r="BS48" s="222"/>
      <c r="BT48" s="222"/>
      <c r="BU48" s="222"/>
      <c r="BV48" s="222"/>
      <c r="BW48" s="222"/>
      <c r="BX48" s="222"/>
      <c r="BY48" s="222"/>
      <c r="BZ48" s="222"/>
      <c r="CA48" s="222"/>
      <c r="CB48" s="222"/>
      <c r="CC48" s="222"/>
      <c r="CD48" s="222"/>
      <c r="CE48" s="222"/>
      <c r="CF48" s="222"/>
      <c r="CG48" s="222"/>
      <c r="CH48" s="222"/>
      <c r="CI48" s="222"/>
      <c r="CJ48" s="222"/>
      <c r="CK48" s="222"/>
      <c r="CL48" s="222"/>
    </row>
    <row r="49" spans="1:90">
      <c r="A49" s="222"/>
      <c r="B49" s="222"/>
      <c r="C49" s="222"/>
      <c r="D49" s="222"/>
      <c r="E49" s="222"/>
      <c r="F49" s="222"/>
      <c r="G49" s="222"/>
      <c r="H49" s="222"/>
      <c r="I49" s="222"/>
      <c r="J49" s="222"/>
      <c r="K49" s="222"/>
      <c r="L49" s="222"/>
      <c r="M49" s="222"/>
      <c r="N49" s="222"/>
      <c r="O49" s="222"/>
      <c r="P49" s="222"/>
      <c r="Q49" s="222"/>
      <c r="R49" s="222"/>
      <c r="S49" s="222"/>
      <c r="T49" s="222"/>
      <c r="U49" s="222"/>
      <c r="V49" s="222"/>
      <c r="W49" s="222"/>
      <c r="X49" s="222"/>
      <c r="Y49" s="222"/>
      <c r="Z49" s="222"/>
      <c r="AA49" s="222"/>
      <c r="AB49" s="222"/>
      <c r="AC49" s="222"/>
      <c r="AD49" s="222"/>
      <c r="AE49" s="222"/>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c r="BL49" s="222"/>
      <c r="BM49" s="222"/>
      <c r="BN49" s="222"/>
      <c r="BO49" s="222"/>
      <c r="BP49" s="222"/>
      <c r="BQ49" s="222"/>
      <c r="BR49" s="222"/>
      <c r="BS49" s="222"/>
      <c r="BT49" s="222"/>
      <c r="BU49" s="222"/>
      <c r="BV49" s="222"/>
      <c r="BW49" s="222"/>
      <c r="BX49" s="222"/>
      <c r="BY49" s="222"/>
      <c r="BZ49" s="222"/>
      <c r="CA49" s="222"/>
      <c r="CB49" s="222"/>
      <c r="CC49" s="222"/>
      <c r="CD49" s="222"/>
      <c r="CE49" s="222"/>
      <c r="CF49" s="222"/>
      <c r="CG49" s="222"/>
      <c r="CH49" s="222"/>
      <c r="CI49" s="222"/>
      <c r="CJ49" s="222"/>
      <c r="CK49" s="222"/>
      <c r="CL49" s="222"/>
    </row>
    <row r="50" spans="1:90">
      <c r="A50" s="222"/>
      <c r="B50" s="222"/>
      <c r="C50" s="222"/>
      <c r="D50" s="222"/>
      <c r="E50" s="222"/>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c r="AK50" s="222"/>
      <c r="AL50" s="222"/>
      <c r="AM50" s="222"/>
      <c r="AN50" s="222"/>
      <c r="AO50" s="222"/>
      <c r="AP50" s="222"/>
      <c r="AQ50" s="222"/>
      <c r="AR50" s="222"/>
      <c r="AS50" s="222"/>
      <c r="AT50" s="222"/>
      <c r="AU50" s="222"/>
      <c r="AV50" s="222"/>
      <c r="AW50" s="222"/>
      <c r="AX50" s="222"/>
      <c r="AY50" s="222"/>
      <c r="AZ50" s="222"/>
      <c r="BA50" s="222"/>
      <c r="BB50" s="222"/>
      <c r="BC50" s="222"/>
      <c r="BD50" s="222"/>
      <c r="BE50" s="222"/>
      <c r="BF50" s="222"/>
      <c r="BG50" s="222"/>
      <c r="BH50" s="222"/>
      <c r="BI50" s="222"/>
      <c r="BJ50" s="222"/>
      <c r="BK50" s="222"/>
      <c r="BL50" s="222"/>
      <c r="BM50" s="222"/>
      <c r="BN50" s="222"/>
      <c r="BO50" s="222"/>
      <c r="BP50" s="222"/>
      <c r="BQ50" s="222"/>
      <c r="BR50" s="222"/>
      <c r="BS50" s="222"/>
      <c r="BT50" s="222"/>
      <c r="BU50" s="222"/>
      <c r="BV50" s="222"/>
      <c r="BW50" s="222"/>
      <c r="BX50" s="222"/>
      <c r="BY50" s="222"/>
      <c r="BZ50" s="222"/>
      <c r="CA50" s="222"/>
      <c r="CB50" s="222"/>
      <c r="CC50" s="222"/>
      <c r="CD50" s="222"/>
      <c r="CE50" s="222"/>
      <c r="CF50" s="222"/>
      <c r="CG50" s="222"/>
      <c r="CH50" s="222"/>
      <c r="CI50" s="222"/>
      <c r="CJ50" s="222"/>
      <c r="CK50" s="222"/>
      <c r="CL50" s="222"/>
    </row>
    <row r="51" spans="1:90">
      <c r="A51" s="222"/>
      <c r="B51" s="222"/>
      <c r="C51" s="222"/>
      <c r="D51" s="222"/>
      <c r="E51" s="222"/>
      <c r="F51" s="222"/>
      <c r="G51" s="222"/>
      <c r="H51" s="222"/>
      <c r="I51" s="222"/>
      <c r="J51" s="222"/>
      <c r="K51" s="222"/>
      <c r="L51" s="222"/>
      <c r="M51" s="222"/>
      <c r="N51" s="222"/>
      <c r="O51" s="222"/>
      <c r="P51" s="222"/>
      <c r="Q51" s="222"/>
      <c r="R51" s="222"/>
      <c r="S51" s="222"/>
      <c r="T51" s="222"/>
      <c r="U51" s="222"/>
      <c r="V51" s="222"/>
      <c r="W51" s="222"/>
      <c r="X51" s="222"/>
      <c r="Y51" s="222"/>
      <c r="Z51" s="222"/>
      <c r="AA51" s="222"/>
      <c r="AB51" s="222"/>
      <c r="AC51" s="222"/>
      <c r="AD51" s="222"/>
      <c r="AE51" s="222"/>
      <c r="AF51" s="222"/>
      <c r="AG51" s="222"/>
      <c r="AH51" s="222"/>
      <c r="AI51" s="222"/>
      <c r="AJ51" s="222"/>
      <c r="AK51" s="222"/>
      <c r="AL51" s="222"/>
      <c r="AM51" s="222"/>
      <c r="AN51" s="222"/>
      <c r="AO51" s="222"/>
      <c r="AP51" s="222"/>
      <c r="AQ51" s="222"/>
      <c r="AR51" s="222"/>
      <c r="AS51" s="222"/>
      <c r="AT51" s="222"/>
      <c r="AU51" s="222"/>
      <c r="AV51" s="222"/>
      <c r="AW51" s="222"/>
      <c r="AX51" s="222"/>
      <c r="AY51" s="222"/>
      <c r="AZ51" s="222"/>
      <c r="BA51" s="222"/>
      <c r="BB51" s="222"/>
      <c r="BC51" s="222"/>
      <c r="BD51" s="222"/>
      <c r="BE51" s="222"/>
      <c r="BF51" s="222"/>
      <c r="BG51" s="222"/>
      <c r="BH51" s="222"/>
      <c r="BI51" s="222"/>
      <c r="BJ51" s="222"/>
      <c r="BK51" s="222"/>
      <c r="BL51" s="222"/>
      <c r="BM51" s="222"/>
      <c r="BN51" s="222"/>
      <c r="BO51" s="222"/>
      <c r="BP51" s="222"/>
      <c r="BQ51" s="222"/>
      <c r="BR51" s="222"/>
      <c r="BS51" s="222"/>
      <c r="BT51" s="222"/>
      <c r="BU51" s="222"/>
      <c r="BV51" s="222"/>
      <c r="BW51" s="222"/>
      <c r="BX51" s="222"/>
      <c r="BY51" s="222"/>
      <c r="BZ51" s="222"/>
      <c r="CA51" s="222"/>
      <c r="CB51" s="222"/>
      <c r="CC51" s="222"/>
      <c r="CD51" s="222"/>
      <c r="CE51" s="222"/>
      <c r="CF51" s="222"/>
      <c r="CG51" s="222"/>
      <c r="CH51" s="222"/>
      <c r="CI51" s="222"/>
      <c r="CJ51" s="222"/>
      <c r="CK51" s="222"/>
      <c r="CL51" s="222"/>
    </row>
    <row r="52" spans="1:90">
      <c r="A52" s="222"/>
      <c r="B52" s="222"/>
      <c r="C52" s="222"/>
      <c r="D52" s="222"/>
      <c r="E52" s="222"/>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c r="AK52" s="222"/>
      <c r="AL52" s="222"/>
      <c r="AM52" s="222"/>
      <c r="AN52" s="222"/>
      <c r="AO52" s="222"/>
      <c r="AP52" s="222"/>
      <c r="AQ52" s="222"/>
      <c r="AR52" s="222"/>
      <c r="AS52" s="222"/>
      <c r="AT52" s="222"/>
      <c r="AU52" s="222"/>
      <c r="AV52" s="222"/>
      <c r="AW52" s="222"/>
      <c r="AX52" s="222"/>
      <c r="AY52" s="222"/>
      <c r="AZ52" s="222"/>
      <c r="BA52" s="222"/>
      <c r="BB52" s="222"/>
      <c r="BC52" s="222"/>
      <c r="BD52" s="222"/>
      <c r="BE52" s="222"/>
      <c r="BF52" s="222"/>
      <c r="BG52" s="222"/>
      <c r="BH52" s="222"/>
      <c r="BI52" s="222"/>
      <c r="BJ52" s="222"/>
      <c r="BK52" s="222"/>
      <c r="BL52" s="222"/>
      <c r="BM52" s="222"/>
      <c r="BN52" s="222"/>
      <c r="BO52" s="222"/>
      <c r="BP52" s="222"/>
      <c r="BQ52" s="222"/>
      <c r="BR52" s="222"/>
      <c r="BS52" s="222"/>
      <c r="BT52" s="222"/>
      <c r="BU52" s="222"/>
      <c r="BV52" s="222"/>
      <c r="BW52" s="222"/>
      <c r="BX52" s="222"/>
      <c r="BY52" s="222"/>
      <c r="BZ52" s="222"/>
      <c r="CA52" s="222"/>
      <c r="CB52" s="222"/>
      <c r="CC52" s="222"/>
      <c r="CD52" s="222"/>
      <c r="CE52" s="222"/>
      <c r="CF52" s="222"/>
      <c r="CG52" s="222"/>
      <c r="CH52" s="222"/>
      <c r="CI52" s="222"/>
      <c r="CJ52" s="222"/>
      <c r="CK52" s="222"/>
      <c r="CL52" s="222"/>
    </row>
    <row r="53" spans="1:90">
      <c r="A53" s="222"/>
      <c r="B53" s="222"/>
      <c r="C53" s="222"/>
      <c r="D53" s="222"/>
      <c r="E53" s="222"/>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c r="BE53" s="222"/>
      <c r="BF53" s="222"/>
      <c r="BG53" s="222"/>
      <c r="BH53" s="222"/>
      <c r="BI53" s="222"/>
      <c r="BJ53" s="222"/>
      <c r="BK53" s="222"/>
      <c r="BL53" s="222"/>
      <c r="BM53" s="222"/>
      <c r="BN53" s="222"/>
      <c r="BO53" s="222"/>
      <c r="BP53" s="222"/>
      <c r="BQ53" s="222"/>
      <c r="BR53" s="222"/>
      <c r="BS53" s="222"/>
      <c r="BT53" s="222"/>
      <c r="BU53" s="222"/>
      <c r="BV53" s="222"/>
      <c r="BW53" s="222"/>
      <c r="BX53" s="222"/>
      <c r="BY53" s="222"/>
      <c r="BZ53" s="222"/>
      <c r="CA53" s="222"/>
      <c r="CB53" s="222"/>
      <c r="CC53" s="222"/>
      <c r="CD53" s="222"/>
      <c r="CE53" s="222"/>
      <c r="CF53" s="222"/>
      <c r="CG53" s="222"/>
      <c r="CH53" s="222"/>
      <c r="CI53" s="222"/>
      <c r="CJ53" s="222"/>
      <c r="CK53" s="222"/>
      <c r="CL53" s="222"/>
    </row>
    <row r="54" spans="1:90">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222"/>
      <c r="AI54" s="222"/>
      <c r="AJ54" s="222"/>
      <c r="AK54" s="222"/>
      <c r="AL54" s="222"/>
      <c r="AM54" s="222"/>
      <c r="AN54" s="222"/>
      <c r="AO54" s="222"/>
      <c r="AP54" s="222"/>
      <c r="AQ54" s="222"/>
      <c r="AR54" s="222"/>
      <c r="AS54" s="222"/>
      <c r="AT54" s="222"/>
      <c r="AU54" s="222"/>
      <c r="AV54" s="222"/>
      <c r="AW54" s="222"/>
      <c r="AX54" s="222"/>
      <c r="AY54" s="222"/>
      <c r="AZ54" s="222"/>
      <c r="BA54" s="222"/>
      <c r="BB54" s="222"/>
      <c r="BC54" s="222"/>
      <c r="BD54" s="222"/>
      <c r="BE54" s="222"/>
      <c r="BF54" s="222"/>
      <c r="BG54" s="222"/>
      <c r="BH54" s="222"/>
      <c r="BI54" s="222"/>
      <c r="BJ54" s="222"/>
      <c r="BK54" s="222"/>
      <c r="BL54" s="222"/>
      <c r="BM54" s="222"/>
      <c r="BN54" s="222"/>
      <c r="BO54" s="222"/>
      <c r="BP54" s="222"/>
      <c r="BQ54" s="222"/>
      <c r="BR54" s="222"/>
      <c r="BS54" s="222"/>
      <c r="BT54" s="222"/>
      <c r="BU54" s="222"/>
      <c r="BV54" s="222"/>
      <c r="BW54" s="222"/>
      <c r="BX54" s="222"/>
      <c r="BY54" s="222"/>
      <c r="BZ54" s="222"/>
      <c r="CA54" s="222"/>
      <c r="CB54" s="222"/>
      <c r="CC54" s="222"/>
      <c r="CD54" s="222"/>
      <c r="CE54" s="222"/>
      <c r="CF54" s="222"/>
      <c r="CG54" s="222"/>
      <c r="CH54" s="222"/>
      <c r="CI54" s="222"/>
      <c r="CJ54" s="222"/>
      <c r="CK54" s="222"/>
      <c r="CL54" s="222"/>
    </row>
  </sheetData>
  <sheetProtection algorithmName="SHA-512" hashValue="bItGR6pYlRwHOVh5cQyeG40MyxvLY3qIFvforuAsuo8NzAjgjtPEV4QYXxUOk56A2Xz/20cx+Fi2KiVkKrMBfA==" saltValue="JrOiKMxgoYwF9klvcteOXw==" spinCount="100000" sheet="1" objects="1" scenarios="1"/>
  <customSheetViews>
    <customSheetView guid="{6EFEFCA0-BF14-457A-85A3-29CBF2A862A5}" showGridLines="0" fitToPage="1" topLeftCell="Q12">
      <selection activeCell="AX18" sqref="AX18:AZ18"/>
      <pageMargins left="0.39370078740157483" right="0.39370078740157483" top="0.19685039370078741" bottom="0.19685039370078741" header="0" footer="0.11811023622047245"/>
      <printOptions horizontalCentered="1" verticalCentered="1"/>
      <pageSetup paperSize="5" scale="50" orientation="landscape" r:id="rId1"/>
      <headerFooter>
        <oddFooter>&amp;L&amp;10&amp;F &amp;A &amp;R&amp;10Page 7 of 61</oddFooter>
      </headerFooter>
    </customSheetView>
  </customSheetViews>
  <mergeCells count="219">
    <mergeCell ref="AK17:AN17"/>
    <mergeCell ref="AO17:AQ17"/>
    <mergeCell ref="BG17:BI17"/>
    <mergeCell ref="BJ17:BL17"/>
    <mergeCell ref="M17:O17"/>
    <mergeCell ref="P17:R17"/>
    <mergeCell ref="S17:U17"/>
    <mergeCell ref="V17:X17"/>
    <mergeCell ref="Y17:AA17"/>
    <mergeCell ref="AB17:AD17"/>
    <mergeCell ref="AE17:AG17"/>
    <mergeCell ref="C21:BL21"/>
    <mergeCell ref="C22:BL22"/>
    <mergeCell ref="C23:BL23"/>
    <mergeCell ref="C24:BL24"/>
    <mergeCell ref="C25:BL25"/>
    <mergeCell ref="B18:L18"/>
    <mergeCell ref="AK18:AN18"/>
    <mergeCell ref="C20:BL20"/>
    <mergeCell ref="M18:O18"/>
    <mergeCell ref="P18:R18"/>
    <mergeCell ref="S18:U18"/>
    <mergeCell ref="V18:X18"/>
    <mergeCell ref="Y18:AA18"/>
    <mergeCell ref="AB18:AD18"/>
    <mergeCell ref="AX18:AZ18"/>
    <mergeCell ref="BA18:BC18"/>
    <mergeCell ref="BD18:BF18"/>
    <mergeCell ref="BG18:BI18"/>
    <mergeCell ref="BJ18:BL18"/>
    <mergeCell ref="AE18:AG18"/>
    <mergeCell ref="AH18:AJ18"/>
    <mergeCell ref="AO18:AQ18"/>
    <mergeCell ref="AR18:AT18"/>
    <mergeCell ref="AU18:AW18"/>
    <mergeCell ref="F41:O41"/>
    <mergeCell ref="T41:AM41"/>
    <mergeCell ref="F42:O42"/>
    <mergeCell ref="X42:AM42"/>
    <mergeCell ref="AS42:BL42"/>
    <mergeCell ref="AS40:BL41"/>
    <mergeCell ref="C26:BL26"/>
    <mergeCell ref="C27:BL27"/>
    <mergeCell ref="C28:BL28"/>
    <mergeCell ref="F40:O40"/>
    <mergeCell ref="T40:AM40"/>
    <mergeCell ref="P7:R8"/>
    <mergeCell ref="S7:U8"/>
    <mergeCell ref="V7:X7"/>
    <mergeCell ref="AO7:AQ8"/>
    <mergeCell ref="B3:L8"/>
    <mergeCell ref="M3:BL3"/>
    <mergeCell ref="P4:AT4"/>
    <mergeCell ref="AU4:BC6"/>
    <mergeCell ref="BD4:BL6"/>
    <mergeCell ref="P5:X6"/>
    <mergeCell ref="Y5:AA8"/>
    <mergeCell ref="AB5:AD8"/>
    <mergeCell ref="AE5:AQ5"/>
    <mergeCell ref="AR5:AT8"/>
    <mergeCell ref="AE6:AG8"/>
    <mergeCell ref="AH6:AJ8"/>
    <mergeCell ref="M4:O8"/>
    <mergeCell ref="BJ7:BL7"/>
    <mergeCell ref="V8:X8"/>
    <mergeCell ref="BA8:BC8"/>
    <mergeCell ref="BD8:BF8"/>
    <mergeCell ref="BG8:BI8"/>
    <mergeCell ref="BJ8:BL8"/>
    <mergeCell ref="AU7:AW8"/>
    <mergeCell ref="AX7:AZ8"/>
    <mergeCell ref="BA7:BC7"/>
    <mergeCell ref="BD7:BF7"/>
    <mergeCell ref="BG7:BI7"/>
    <mergeCell ref="AK6:AN8"/>
    <mergeCell ref="AO6:AQ6"/>
    <mergeCell ref="S9:U9"/>
    <mergeCell ref="V9:X9"/>
    <mergeCell ref="Y9:AA9"/>
    <mergeCell ref="AB9:AD9"/>
    <mergeCell ref="AE9:AG9"/>
    <mergeCell ref="BG10:BI10"/>
    <mergeCell ref="BJ10:BL10"/>
    <mergeCell ref="B9:L9"/>
    <mergeCell ref="M9:O9"/>
    <mergeCell ref="P9:R9"/>
    <mergeCell ref="AX9:AZ9"/>
    <mergeCell ref="BA9:BC9"/>
    <mergeCell ref="BA10:BC10"/>
    <mergeCell ref="BD9:BF9"/>
    <mergeCell ref="BG9:BI9"/>
    <mergeCell ref="BJ9:BL9"/>
    <mergeCell ref="AH9:AJ9"/>
    <mergeCell ref="AK9:AN9"/>
    <mergeCell ref="AO9:AQ9"/>
    <mergeCell ref="AR9:AT9"/>
    <mergeCell ref="AU9:AW9"/>
    <mergeCell ref="AU10:AW10"/>
    <mergeCell ref="AX10:AZ10"/>
    <mergeCell ref="V10:X10"/>
    <mergeCell ref="Y10:AA10"/>
    <mergeCell ref="AB10:AD10"/>
    <mergeCell ref="AE10:AG10"/>
    <mergeCell ref="AH10:AJ10"/>
    <mergeCell ref="AO10:AQ10"/>
    <mergeCell ref="BG11:BI11"/>
    <mergeCell ref="BJ11:BL11"/>
    <mergeCell ref="M12:O12"/>
    <mergeCell ref="P12:R12"/>
    <mergeCell ref="S12:U12"/>
    <mergeCell ref="V12:X12"/>
    <mergeCell ref="Y12:AA12"/>
    <mergeCell ref="AB12:AD12"/>
    <mergeCell ref="AE12:AG12"/>
    <mergeCell ref="AH12:AJ12"/>
    <mergeCell ref="AK12:AN12"/>
    <mergeCell ref="AO12:AQ12"/>
    <mergeCell ref="AR12:AT12"/>
    <mergeCell ref="AU12:AW12"/>
    <mergeCell ref="AR11:AT11"/>
    <mergeCell ref="AU11:AW11"/>
    <mergeCell ref="AX11:AZ11"/>
    <mergeCell ref="BA11:BC11"/>
    <mergeCell ref="BD11:BF11"/>
    <mergeCell ref="AO11:AQ11"/>
    <mergeCell ref="M11:O11"/>
    <mergeCell ref="P11:R11"/>
    <mergeCell ref="S11:U11"/>
    <mergeCell ref="V11:X11"/>
    <mergeCell ref="AR10:AT10"/>
    <mergeCell ref="M13:O13"/>
    <mergeCell ref="P13:R13"/>
    <mergeCell ref="S13:U13"/>
    <mergeCell ref="AX12:AZ12"/>
    <mergeCell ref="BA12:BC12"/>
    <mergeCell ref="BA13:BC13"/>
    <mergeCell ref="BD12:BF12"/>
    <mergeCell ref="P10:R10"/>
    <mergeCell ref="S10:U10"/>
    <mergeCell ref="M10:O10"/>
    <mergeCell ref="AK10:AN10"/>
    <mergeCell ref="Y11:AA11"/>
    <mergeCell ref="AB11:AD11"/>
    <mergeCell ref="AE11:AG11"/>
    <mergeCell ref="AH11:AJ11"/>
    <mergeCell ref="AK11:AN11"/>
    <mergeCell ref="BD10:BF10"/>
    <mergeCell ref="BG12:BI12"/>
    <mergeCell ref="BJ12:BL12"/>
    <mergeCell ref="BD13:BF13"/>
    <mergeCell ref="BG13:BI13"/>
    <mergeCell ref="BJ13:BL13"/>
    <mergeCell ref="M15:O15"/>
    <mergeCell ref="P15:R15"/>
    <mergeCell ref="S15:U15"/>
    <mergeCell ref="V15:X15"/>
    <mergeCell ref="Y15:AA15"/>
    <mergeCell ref="AB15:AD15"/>
    <mergeCell ref="AE15:AG15"/>
    <mergeCell ref="AH15:AJ15"/>
    <mergeCell ref="AK15:AN15"/>
    <mergeCell ref="AO15:AQ15"/>
    <mergeCell ref="AK13:AN13"/>
    <mergeCell ref="AO13:AQ13"/>
    <mergeCell ref="AR13:AT13"/>
    <mergeCell ref="AU13:AW13"/>
    <mergeCell ref="AX13:AZ13"/>
    <mergeCell ref="V13:X13"/>
    <mergeCell ref="Y13:AA13"/>
    <mergeCell ref="AB13:AD13"/>
    <mergeCell ref="AB14:AD14"/>
    <mergeCell ref="M14:O14"/>
    <mergeCell ref="AE13:AG13"/>
    <mergeCell ref="AH13:AJ13"/>
    <mergeCell ref="AH16:AJ16"/>
    <mergeCell ref="AK16:AN16"/>
    <mergeCell ref="AO16:AQ16"/>
    <mergeCell ref="AR16:AT16"/>
    <mergeCell ref="AU16:AW16"/>
    <mergeCell ref="AK14:AN14"/>
    <mergeCell ref="AO14:AQ14"/>
    <mergeCell ref="AR14:AT14"/>
    <mergeCell ref="AU14:AW14"/>
    <mergeCell ref="AH14:AJ14"/>
    <mergeCell ref="M16:O16"/>
    <mergeCell ref="P16:R16"/>
    <mergeCell ref="S16:U16"/>
    <mergeCell ref="V16:X16"/>
    <mergeCell ref="Y16:AA16"/>
    <mergeCell ref="AB16:AD16"/>
    <mergeCell ref="AE16:AG16"/>
    <mergeCell ref="P14:R14"/>
    <mergeCell ref="S14:U14"/>
    <mergeCell ref="V14:X14"/>
    <mergeCell ref="Y14:AA14"/>
    <mergeCell ref="AE14:AG14"/>
    <mergeCell ref="BA14:BC14"/>
    <mergeCell ref="BD14:BF14"/>
    <mergeCell ref="BG14:BI14"/>
    <mergeCell ref="BJ14:BL14"/>
    <mergeCell ref="AR17:AT17"/>
    <mergeCell ref="AU17:AW17"/>
    <mergeCell ref="AX17:AZ17"/>
    <mergeCell ref="BA17:BC17"/>
    <mergeCell ref="BD17:BF17"/>
    <mergeCell ref="BJ16:BL16"/>
    <mergeCell ref="BJ15:BL15"/>
    <mergeCell ref="AR15:AT15"/>
    <mergeCell ref="AU15:AW15"/>
    <mergeCell ref="AX15:AZ15"/>
    <mergeCell ref="BA15:BC15"/>
    <mergeCell ref="BD15:BF15"/>
    <mergeCell ref="AX16:AZ16"/>
    <mergeCell ref="BA16:BC16"/>
    <mergeCell ref="BD16:BF16"/>
    <mergeCell ref="BG16:BI16"/>
    <mergeCell ref="BG15:BI15"/>
    <mergeCell ref="AX14:AZ14"/>
    <mergeCell ref="AH17:AJ17"/>
  </mergeCells>
  <dataValidations count="2">
    <dataValidation type="whole" allowBlank="1" showInputMessage="1" showErrorMessage="1" errorTitle="GSHSP SY 2021-2022" error="Please enter valid number between 0-999." sqref="M17:U17 Y17:AJ17 AU17:AZ17 AN10:AN17" xr:uid="{123E3881-1CF2-4EFE-BFC6-602A91301298}">
      <formula1>0</formula1>
      <formula2>999</formula2>
    </dataValidation>
    <dataValidation type="whole" allowBlank="1" showInputMessage="1" showErrorMessage="1" errorTitle="GSHSP SY 2022-2023" error="Please enter valid number between 0-999." sqref="M10:U16 Y10:AJ16 AU10:AZ16 AK10:AM17" xr:uid="{559BFFC1-1CC2-44A2-B149-767FE628930E}">
      <formula1>0</formula1>
      <formula2>999</formula2>
    </dataValidation>
  </dataValidations>
  <printOptions horizontalCentered="1" verticalCentered="1"/>
  <pageMargins left="0.39370078740157483" right="0.39370078740157483" top="0.19685039370078741" bottom="0.19685039370078741" header="0" footer="0.11811023622047245"/>
  <pageSetup paperSize="5" scale="50" orientation="landscape" r:id="rId2"/>
  <headerFooter>
    <oddFooter>&amp;L&amp;10&amp;F &amp;A &amp;R&amp;10Page 7 of 61</oddFooter>
  </headerFooter>
  <ignoredErrors>
    <ignoredError sqref="AO10:AQ17" formulaRange="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FFFF00"/>
    <pageSetUpPr fitToPage="1"/>
  </sheetPr>
  <dimension ref="A1:BK56"/>
  <sheetViews>
    <sheetView showGridLines="0" topLeftCell="A31" zoomScaleNormal="100" workbookViewId="0">
      <selection sqref="A1:AK54"/>
    </sheetView>
  </sheetViews>
  <sheetFormatPr defaultColWidth="9" defaultRowHeight="15.75"/>
  <cols>
    <col min="1" max="1" width="2.125" style="46" customWidth="1"/>
    <col min="2" max="33" width="3.625" style="46" customWidth="1"/>
    <col min="34" max="34" width="2.125" style="46" customWidth="1"/>
    <col min="35" max="55" width="3.625" style="46" customWidth="1"/>
    <col min="56" max="16384" width="9" style="46"/>
  </cols>
  <sheetData>
    <row r="1" spans="1:63"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row>
    <row r="2" spans="1:63" s="52" customFormat="1" ht="16.5" thickBot="1">
      <c r="A2" s="388"/>
      <c r="B2" s="389" t="s">
        <v>11376</v>
      </c>
      <c r="C2" s="388"/>
      <c r="D2" s="388"/>
      <c r="E2" s="388"/>
      <c r="F2" s="388"/>
      <c r="G2" s="388"/>
      <c r="H2" s="388"/>
      <c r="I2" s="388"/>
      <c r="J2" s="388"/>
      <c r="K2" s="388"/>
      <c r="L2" s="388"/>
      <c r="M2" s="388"/>
      <c r="N2" s="388"/>
      <c r="O2" s="388"/>
      <c r="P2" s="388"/>
      <c r="Q2" s="388"/>
      <c r="R2" s="388"/>
      <c r="S2" s="388"/>
      <c r="T2" s="388"/>
      <c r="U2" s="388"/>
      <c r="V2" s="388"/>
      <c r="W2" s="388"/>
      <c r="X2" s="388"/>
      <c r="Y2" s="388"/>
      <c r="Z2" s="388"/>
      <c r="AA2" s="388"/>
      <c r="AB2" s="388"/>
      <c r="AC2" s="388"/>
      <c r="AD2" s="388"/>
      <c r="AE2" s="388"/>
      <c r="AF2" s="388"/>
      <c r="AG2" s="388"/>
      <c r="AH2" s="388"/>
      <c r="AI2" s="388"/>
      <c r="AJ2" s="388"/>
      <c r="AK2" s="388"/>
      <c r="AL2" s="388"/>
      <c r="AM2" s="388"/>
      <c r="AN2" s="388"/>
      <c r="AO2" s="388"/>
      <c r="AP2" s="388"/>
      <c r="AQ2" s="388"/>
      <c r="AR2" s="388"/>
      <c r="AS2" s="388"/>
      <c r="AT2" s="388"/>
      <c r="AU2" s="388"/>
      <c r="AV2" s="388"/>
      <c r="AW2" s="388"/>
      <c r="AX2" s="388"/>
      <c r="AY2" s="388"/>
      <c r="AZ2" s="388"/>
      <c r="BA2" s="388"/>
      <c r="BB2" s="388"/>
      <c r="BC2" s="388"/>
      <c r="BD2" s="388"/>
      <c r="BE2" s="388"/>
      <c r="BF2" s="388"/>
      <c r="BG2" s="388"/>
      <c r="BH2" s="388"/>
      <c r="BI2" s="388"/>
      <c r="BJ2" s="388"/>
      <c r="BK2" s="388"/>
    </row>
    <row r="3" spans="1:63" s="52" customFormat="1" ht="19.5" customHeight="1">
      <c r="A3" s="388"/>
      <c r="B3" s="2282" t="s">
        <v>38</v>
      </c>
      <c r="C3" s="2283"/>
      <c r="D3" s="2283"/>
      <c r="E3" s="2283"/>
      <c r="F3" s="2283"/>
      <c r="G3" s="2283"/>
      <c r="H3" s="2283"/>
      <c r="I3" s="2283"/>
      <c r="J3" s="2283"/>
      <c r="K3" s="2284"/>
      <c r="L3" s="2282" t="s">
        <v>250</v>
      </c>
      <c r="M3" s="2283"/>
      <c r="N3" s="2283"/>
      <c r="O3" s="2283"/>
      <c r="P3" s="2283"/>
      <c r="Q3" s="2284"/>
      <c r="R3" s="2295" t="s">
        <v>251</v>
      </c>
      <c r="S3" s="2296"/>
      <c r="T3" s="2296"/>
      <c r="U3" s="2296"/>
      <c r="V3" s="2296"/>
      <c r="W3" s="2296"/>
      <c r="X3" s="2296"/>
      <c r="Y3" s="2296"/>
      <c r="Z3" s="2296"/>
      <c r="AA3" s="2296"/>
      <c r="AB3" s="2296"/>
      <c r="AC3" s="2296"/>
      <c r="AD3" s="2296"/>
      <c r="AE3" s="2296"/>
      <c r="AF3" s="2296"/>
      <c r="AG3" s="2297"/>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E3" s="388"/>
      <c r="BF3" s="388"/>
      <c r="BG3" s="388"/>
      <c r="BH3" s="388"/>
      <c r="BI3" s="388"/>
      <c r="BJ3" s="388"/>
      <c r="BK3" s="388"/>
    </row>
    <row r="4" spans="1:63" s="52" customFormat="1" ht="19.5" customHeight="1">
      <c r="A4" s="388"/>
      <c r="B4" s="2285"/>
      <c r="C4" s="2286"/>
      <c r="D4" s="2286"/>
      <c r="E4" s="2286"/>
      <c r="F4" s="2286"/>
      <c r="G4" s="2286"/>
      <c r="H4" s="2286"/>
      <c r="I4" s="2286"/>
      <c r="J4" s="2286"/>
      <c r="K4" s="2287"/>
      <c r="L4" s="2285"/>
      <c r="M4" s="2286"/>
      <c r="N4" s="2286"/>
      <c r="O4" s="2286"/>
      <c r="P4" s="2286"/>
      <c r="Q4" s="2287"/>
      <c r="R4" s="2285" t="s">
        <v>252</v>
      </c>
      <c r="S4" s="2286"/>
      <c r="T4" s="2286"/>
      <c r="U4" s="2287"/>
      <c r="V4" s="2285" t="s">
        <v>253</v>
      </c>
      <c r="W4" s="2286"/>
      <c r="X4" s="2286"/>
      <c r="Y4" s="2287"/>
      <c r="Z4" s="2298" t="s">
        <v>254</v>
      </c>
      <c r="AA4" s="2299"/>
      <c r="AB4" s="2299"/>
      <c r="AC4" s="2299"/>
      <c r="AD4" s="2299"/>
      <c r="AE4" s="2299"/>
      <c r="AF4" s="2299"/>
      <c r="AG4" s="2300"/>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row>
    <row r="5" spans="1:63" s="52" customFormat="1" ht="19.5" customHeight="1">
      <c r="A5" s="388"/>
      <c r="B5" s="2285"/>
      <c r="C5" s="2286"/>
      <c r="D5" s="2286"/>
      <c r="E5" s="2286"/>
      <c r="F5" s="2286"/>
      <c r="G5" s="2286"/>
      <c r="H5" s="2286"/>
      <c r="I5" s="2286"/>
      <c r="J5" s="2286"/>
      <c r="K5" s="2287"/>
      <c r="L5" s="2285"/>
      <c r="M5" s="2286"/>
      <c r="N5" s="2286"/>
      <c r="O5" s="2286"/>
      <c r="P5" s="2286"/>
      <c r="Q5" s="2287"/>
      <c r="R5" s="2285"/>
      <c r="S5" s="2286"/>
      <c r="T5" s="2286"/>
      <c r="U5" s="2287"/>
      <c r="V5" s="2285"/>
      <c r="W5" s="2286"/>
      <c r="X5" s="2286"/>
      <c r="Y5" s="2287"/>
      <c r="Z5" s="2301" t="s">
        <v>255</v>
      </c>
      <c r="AA5" s="2302"/>
      <c r="AB5" s="2302"/>
      <c r="AC5" s="2303"/>
      <c r="AD5" s="2301" t="s">
        <v>256</v>
      </c>
      <c r="AE5" s="2302"/>
      <c r="AF5" s="2302"/>
      <c r="AG5" s="2303"/>
      <c r="AH5" s="388"/>
      <c r="AI5" s="388"/>
      <c r="AJ5" s="388"/>
      <c r="AK5" s="388"/>
      <c r="AL5" s="388"/>
      <c r="AM5" s="388"/>
      <c r="AN5" s="388"/>
      <c r="AO5" s="388"/>
      <c r="AP5" s="388"/>
      <c r="AQ5" s="388"/>
      <c r="AR5" s="388"/>
      <c r="AS5" s="388"/>
      <c r="AT5" s="388"/>
      <c r="AU5" s="388"/>
      <c r="AV5" s="388"/>
      <c r="AW5" s="388"/>
      <c r="AX5" s="388"/>
      <c r="AY5" s="388"/>
      <c r="AZ5" s="388"/>
      <c r="BA5" s="388"/>
      <c r="BB5" s="388"/>
      <c r="BC5" s="388"/>
      <c r="BD5" s="388"/>
      <c r="BE5" s="388"/>
      <c r="BF5" s="388"/>
      <c r="BG5" s="388"/>
      <c r="BH5" s="388"/>
      <c r="BI5" s="388"/>
      <c r="BJ5" s="388"/>
      <c r="BK5" s="388"/>
    </row>
    <row r="6" spans="1:63" s="27" customFormat="1" ht="12.75" customHeight="1" thickBot="1">
      <c r="A6" s="390"/>
      <c r="B6" s="2304" t="s">
        <v>184</v>
      </c>
      <c r="C6" s="2305"/>
      <c r="D6" s="2305"/>
      <c r="E6" s="2305"/>
      <c r="F6" s="2305"/>
      <c r="G6" s="2305"/>
      <c r="H6" s="2305"/>
      <c r="I6" s="2305"/>
      <c r="J6" s="2305"/>
      <c r="K6" s="2306"/>
      <c r="L6" s="2304" t="s">
        <v>185</v>
      </c>
      <c r="M6" s="2305"/>
      <c r="N6" s="2305"/>
      <c r="O6" s="2305"/>
      <c r="P6" s="2305"/>
      <c r="Q6" s="2306"/>
      <c r="R6" s="2304" t="s">
        <v>186</v>
      </c>
      <c r="S6" s="2305"/>
      <c r="T6" s="2305"/>
      <c r="U6" s="2306"/>
      <c r="V6" s="2304" t="s">
        <v>187</v>
      </c>
      <c r="W6" s="2305"/>
      <c r="X6" s="2305"/>
      <c r="Y6" s="2306"/>
      <c r="Z6" s="2304" t="s">
        <v>188</v>
      </c>
      <c r="AA6" s="2305"/>
      <c r="AB6" s="2305"/>
      <c r="AC6" s="2306"/>
      <c r="AD6" s="2304" t="s">
        <v>189</v>
      </c>
      <c r="AE6" s="2305"/>
      <c r="AF6" s="2305"/>
      <c r="AG6" s="2306"/>
      <c r="AH6" s="390"/>
      <c r="AI6" s="390"/>
      <c r="AJ6" s="390"/>
      <c r="AK6" s="390"/>
      <c r="AL6" s="390"/>
      <c r="AM6" s="390"/>
      <c r="AN6" s="390"/>
      <c r="AO6" s="390"/>
      <c r="AP6" s="390"/>
      <c r="AQ6" s="390"/>
      <c r="AR6" s="390"/>
      <c r="AS6" s="390"/>
      <c r="AT6" s="390"/>
      <c r="AU6" s="390"/>
      <c r="AV6" s="390"/>
      <c r="AW6" s="390"/>
      <c r="AX6" s="390"/>
      <c r="AY6" s="390"/>
      <c r="AZ6" s="390"/>
      <c r="BA6" s="390"/>
      <c r="BB6" s="390"/>
      <c r="BC6" s="390"/>
      <c r="BD6" s="390"/>
      <c r="BE6" s="390"/>
      <c r="BF6" s="390"/>
      <c r="BG6" s="390"/>
      <c r="BH6" s="390"/>
      <c r="BI6" s="390"/>
      <c r="BJ6" s="390"/>
      <c r="BK6" s="390"/>
    </row>
    <row r="7" spans="1:63" s="53" customFormat="1" ht="30" customHeight="1">
      <c r="A7" s="391"/>
      <c r="B7" s="392"/>
      <c r="C7" s="393"/>
      <c r="D7" s="393" t="s">
        <v>257</v>
      </c>
      <c r="E7" s="393"/>
      <c r="F7" s="393"/>
      <c r="G7" s="393"/>
      <c r="H7" s="393"/>
      <c r="I7" s="393"/>
      <c r="J7" s="393"/>
      <c r="K7" s="393"/>
      <c r="L7" s="2276">
        <v>0</v>
      </c>
      <c r="M7" s="2277"/>
      <c r="N7" s="2277"/>
      <c r="O7" s="2277"/>
      <c r="P7" s="2277"/>
      <c r="Q7" s="2278"/>
      <c r="R7" s="2276">
        <v>0</v>
      </c>
      <c r="S7" s="2277"/>
      <c r="T7" s="2277"/>
      <c r="U7" s="2278"/>
      <c r="V7" s="2276">
        <v>0</v>
      </c>
      <c r="W7" s="2277"/>
      <c r="X7" s="2277"/>
      <c r="Y7" s="2278"/>
      <c r="Z7" s="2276">
        <v>0</v>
      </c>
      <c r="AA7" s="2277"/>
      <c r="AB7" s="2277"/>
      <c r="AC7" s="2278"/>
      <c r="AD7" s="2276">
        <v>0</v>
      </c>
      <c r="AE7" s="2277"/>
      <c r="AF7" s="2277"/>
      <c r="AG7" s="2278"/>
      <c r="AH7" s="391"/>
      <c r="AI7" s="1550" t="str">
        <f>IF(AND(L7&lt;&gt;SUM(R7:AG7)), "Plantilla items in column 2 shall tally with the totals of Employment Status.", IF(AND(L7&lt;&gt;'Table 7'!M10),"Plantilla items in column 2 shall tally in entries in Table 7 column 2.", ""))</f>
        <v/>
      </c>
      <c r="AJ7" s="391"/>
      <c r="AK7" s="391"/>
      <c r="AL7" s="391"/>
      <c r="AM7" s="391"/>
      <c r="AN7" s="391"/>
      <c r="AO7" s="391"/>
      <c r="AP7" s="391"/>
      <c r="AQ7" s="391"/>
      <c r="AR7" s="391"/>
      <c r="AS7" s="391"/>
      <c r="AT7" s="391"/>
      <c r="AU7" s="391"/>
      <c r="AV7" s="391"/>
      <c r="AW7" s="391"/>
      <c r="AX7" s="391"/>
      <c r="AY7" s="391"/>
      <c r="AZ7" s="391"/>
      <c r="BA7" s="391"/>
      <c r="BB7" s="391"/>
      <c r="BC7" s="391"/>
      <c r="BD7" s="391"/>
      <c r="BE7" s="391"/>
      <c r="BF7" s="391"/>
      <c r="BG7" s="391"/>
      <c r="BH7" s="391"/>
      <c r="BI7" s="391"/>
      <c r="BJ7" s="391"/>
      <c r="BK7" s="391"/>
    </row>
    <row r="8" spans="1:63" s="53" customFormat="1" ht="30" customHeight="1">
      <c r="A8" s="391"/>
      <c r="B8" s="394"/>
      <c r="C8" s="395"/>
      <c r="D8" s="395" t="s">
        <v>242</v>
      </c>
      <c r="E8" s="395"/>
      <c r="F8" s="395"/>
      <c r="G8" s="395"/>
      <c r="H8" s="395"/>
      <c r="I8" s="395"/>
      <c r="J8" s="395"/>
      <c r="K8" s="395"/>
      <c r="L8" s="2270">
        <v>0</v>
      </c>
      <c r="M8" s="2271"/>
      <c r="N8" s="2271"/>
      <c r="O8" s="2271"/>
      <c r="P8" s="2271"/>
      <c r="Q8" s="2272"/>
      <c r="R8" s="2270">
        <v>0</v>
      </c>
      <c r="S8" s="2271"/>
      <c r="T8" s="2271"/>
      <c r="U8" s="2272"/>
      <c r="V8" s="2270">
        <v>0</v>
      </c>
      <c r="W8" s="2271"/>
      <c r="X8" s="2271"/>
      <c r="Y8" s="2272"/>
      <c r="Z8" s="2270">
        <v>0</v>
      </c>
      <c r="AA8" s="2271"/>
      <c r="AB8" s="2271"/>
      <c r="AC8" s="2272"/>
      <c r="AD8" s="2270">
        <v>0</v>
      </c>
      <c r="AE8" s="2271"/>
      <c r="AF8" s="2271"/>
      <c r="AG8" s="2272"/>
      <c r="AH8" s="391"/>
      <c r="AI8" s="1550" t="str">
        <f>IF(AND(L8&lt;&gt;SUM(R8:AG8)), "Plantilla items in column 2 shall tally with the totals of Employment Status.", IF(AND(L8&lt;&gt;'Table 7'!M11),"Plantilla items in column 2 shall tally in entries in Table 7 column 2.", ""))</f>
        <v/>
      </c>
      <c r="AJ8" s="391"/>
      <c r="AK8" s="391"/>
      <c r="AL8" s="391"/>
      <c r="AM8" s="391"/>
      <c r="AN8" s="391"/>
      <c r="AO8" s="391"/>
      <c r="AP8" s="391"/>
      <c r="AQ8" s="391"/>
      <c r="AR8" s="391"/>
      <c r="AS8" s="391"/>
      <c r="AT8" s="391"/>
      <c r="AU8" s="391"/>
      <c r="AV8" s="391"/>
      <c r="AW8" s="391"/>
      <c r="AX8" s="391"/>
      <c r="AY8" s="391"/>
      <c r="AZ8" s="391"/>
      <c r="BA8" s="391"/>
      <c r="BB8" s="391"/>
      <c r="BC8" s="391"/>
      <c r="BD8" s="391"/>
      <c r="BE8" s="391"/>
      <c r="BF8" s="391"/>
      <c r="BG8" s="391"/>
      <c r="BH8" s="391"/>
      <c r="BI8" s="391"/>
      <c r="BJ8" s="391"/>
      <c r="BK8" s="391"/>
    </row>
    <row r="9" spans="1:63" s="53" customFormat="1" ht="30" customHeight="1">
      <c r="A9" s="391"/>
      <c r="B9" s="394"/>
      <c r="C9" s="395"/>
      <c r="D9" s="395" t="s">
        <v>243</v>
      </c>
      <c r="E9" s="395"/>
      <c r="F9" s="395"/>
      <c r="G9" s="395"/>
      <c r="H9" s="395"/>
      <c r="I9" s="395"/>
      <c r="J9" s="395"/>
      <c r="K9" s="395"/>
      <c r="L9" s="2270">
        <v>0</v>
      </c>
      <c r="M9" s="2271"/>
      <c r="N9" s="2271"/>
      <c r="O9" s="2271"/>
      <c r="P9" s="2271"/>
      <c r="Q9" s="2272"/>
      <c r="R9" s="2270">
        <v>0</v>
      </c>
      <c r="S9" s="2271"/>
      <c r="T9" s="2271"/>
      <c r="U9" s="2272"/>
      <c r="V9" s="2270">
        <v>0</v>
      </c>
      <c r="W9" s="2271"/>
      <c r="X9" s="2271"/>
      <c r="Y9" s="2272"/>
      <c r="Z9" s="2270">
        <v>0</v>
      </c>
      <c r="AA9" s="2271"/>
      <c r="AB9" s="2271"/>
      <c r="AC9" s="2272"/>
      <c r="AD9" s="2270">
        <v>0</v>
      </c>
      <c r="AE9" s="2271"/>
      <c r="AF9" s="2271"/>
      <c r="AG9" s="2272"/>
      <c r="AH9" s="391"/>
      <c r="AI9" s="1550" t="str">
        <f>IF(AND(L9&lt;&gt;SUM(R9:AG9)), "Plantilla items in column 2 shall tally with the totals of Employment Status.", IF(AND(L9&lt;&gt;'Table 7'!M12),"Plantilla items in column 2 shall tally in entries in Table 7 column 2.", ""))</f>
        <v/>
      </c>
      <c r="AJ9" s="391"/>
      <c r="AK9" s="391"/>
      <c r="AL9" s="391"/>
      <c r="AM9" s="391"/>
      <c r="AN9" s="391"/>
      <c r="AO9" s="391"/>
      <c r="AP9" s="391"/>
      <c r="AQ9" s="391"/>
      <c r="AR9" s="391"/>
      <c r="AS9" s="391"/>
      <c r="AT9" s="391"/>
      <c r="AU9" s="391"/>
      <c r="AV9" s="391"/>
      <c r="AW9" s="391"/>
      <c r="AX9" s="391"/>
      <c r="AY9" s="391"/>
      <c r="AZ9" s="391"/>
      <c r="BA9" s="391"/>
      <c r="BB9" s="391"/>
      <c r="BC9" s="391"/>
      <c r="BD9" s="391"/>
      <c r="BE9" s="391"/>
      <c r="BF9" s="391"/>
      <c r="BG9" s="391"/>
      <c r="BH9" s="391"/>
      <c r="BI9" s="391"/>
      <c r="BJ9" s="391"/>
      <c r="BK9" s="391"/>
    </row>
    <row r="10" spans="1:63" s="53" customFormat="1" ht="30" customHeight="1">
      <c r="A10" s="391"/>
      <c r="B10" s="396"/>
      <c r="C10" s="397"/>
      <c r="D10" s="397" t="s">
        <v>244</v>
      </c>
      <c r="E10" s="397"/>
      <c r="F10" s="397"/>
      <c r="G10" s="397"/>
      <c r="H10" s="397"/>
      <c r="I10" s="397"/>
      <c r="J10" s="397"/>
      <c r="K10" s="397"/>
      <c r="L10" s="2279">
        <v>0</v>
      </c>
      <c r="M10" s="2280"/>
      <c r="N10" s="2280"/>
      <c r="O10" s="2280"/>
      <c r="P10" s="2280"/>
      <c r="Q10" s="2281"/>
      <c r="R10" s="2279">
        <v>0</v>
      </c>
      <c r="S10" s="2280"/>
      <c r="T10" s="2280"/>
      <c r="U10" s="2281"/>
      <c r="V10" s="2279">
        <v>0</v>
      </c>
      <c r="W10" s="2280"/>
      <c r="X10" s="2280"/>
      <c r="Y10" s="2281"/>
      <c r="Z10" s="2279">
        <v>0</v>
      </c>
      <c r="AA10" s="2280"/>
      <c r="AB10" s="2280"/>
      <c r="AC10" s="2281"/>
      <c r="AD10" s="2279">
        <v>0</v>
      </c>
      <c r="AE10" s="2280"/>
      <c r="AF10" s="2280"/>
      <c r="AG10" s="2281"/>
      <c r="AH10" s="391"/>
      <c r="AI10" s="1550" t="str">
        <f>IF(AND(L10&lt;&gt;SUM(R10:AG10)), "Plantilla items in column 2 shall tally with the totals of Employment Status.", IF(AND(L10&lt;&gt;'Table 7'!M13),"Plantilla items in column 2 shall tally in entries in Table 7 column 2.", ""))</f>
        <v/>
      </c>
      <c r="AJ10" s="391"/>
      <c r="AK10" s="391"/>
      <c r="AL10" s="391"/>
      <c r="AM10" s="391"/>
      <c r="AN10" s="391"/>
      <c r="AO10" s="391"/>
      <c r="AP10" s="391"/>
      <c r="AQ10" s="391"/>
      <c r="AR10" s="391"/>
      <c r="AS10" s="391"/>
      <c r="AT10" s="391"/>
      <c r="AU10" s="391"/>
      <c r="AV10" s="391"/>
      <c r="AW10" s="391"/>
      <c r="AX10" s="391"/>
      <c r="AY10" s="391"/>
      <c r="AZ10" s="391"/>
      <c r="BA10" s="391"/>
      <c r="BB10" s="391"/>
      <c r="BC10" s="391"/>
      <c r="BD10" s="391"/>
      <c r="BE10" s="391"/>
      <c r="BF10" s="391"/>
      <c r="BG10" s="391"/>
      <c r="BH10" s="391"/>
      <c r="BI10" s="391"/>
      <c r="BJ10" s="391"/>
      <c r="BK10" s="391"/>
    </row>
    <row r="11" spans="1:63" s="53" customFormat="1" ht="30" customHeight="1">
      <c r="A11" s="391"/>
      <c r="B11" s="398"/>
      <c r="C11" s="399"/>
      <c r="D11" s="399" t="s">
        <v>245</v>
      </c>
      <c r="E11" s="399"/>
      <c r="F11" s="399"/>
      <c r="G11" s="399"/>
      <c r="H11" s="399"/>
      <c r="I11" s="399"/>
      <c r="J11" s="399"/>
      <c r="K11" s="399"/>
      <c r="L11" s="2273">
        <v>0</v>
      </c>
      <c r="M11" s="2274"/>
      <c r="N11" s="2274"/>
      <c r="O11" s="2274"/>
      <c r="P11" s="2274"/>
      <c r="Q11" s="2275"/>
      <c r="R11" s="2273">
        <v>0</v>
      </c>
      <c r="S11" s="2274"/>
      <c r="T11" s="2274"/>
      <c r="U11" s="2275"/>
      <c r="V11" s="2273">
        <v>0</v>
      </c>
      <c r="W11" s="2274"/>
      <c r="X11" s="2274"/>
      <c r="Y11" s="2275"/>
      <c r="Z11" s="2273">
        <v>0</v>
      </c>
      <c r="AA11" s="2274"/>
      <c r="AB11" s="2274"/>
      <c r="AC11" s="2275"/>
      <c r="AD11" s="2273">
        <v>0</v>
      </c>
      <c r="AE11" s="2274"/>
      <c r="AF11" s="2274"/>
      <c r="AG11" s="2275"/>
      <c r="AH11" s="391"/>
      <c r="AI11" s="1550" t="str">
        <f>IF(AND(L11&lt;&gt;SUM(R11:AG11)), "Plantilla items in column 2 shall tally with the totals of Employment Status.", IF(AND(L11&lt;&gt;'Table 7'!M14),"Plantilla items in column 2 shall tally in entries in Table 7 column 2.", ""))</f>
        <v/>
      </c>
      <c r="AJ11" s="391"/>
      <c r="AK11" s="391"/>
      <c r="AL11" s="391"/>
      <c r="AM11" s="391"/>
      <c r="AN11" s="391"/>
      <c r="AO11" s="391"/>
      <c r="AP11" s="391"/>
      <c r="AQ11" s="391"/>
      <c r="AR11" s="391"/>
      <c r="AS11" s="391"/>
      <c r="AT11" s="391"/>
      <c r="AU11" s="391"/>
      <c r="AV11" s="391"/>
      <c r="AW11" s="391"/>
      <c r="AX11" s="391"/>
      <c r="AY11" s="391"/>
      <c r="AZ11" s="391"/>
      <c r="BA11" s="391"/>
      <c r="BB11" s="391"/>
      <c r="BC11" s="391"/>
      <c r="BD11" s="391"/>
      <c r="BE11" s="391"/>
      <c r="BF11" s="391"/>
      <c r="BG11" s="391"/>
      <c r="BH11" s="391"/>
      <c r="BI11" s="391"/>
      <c r="BJ11" s="391"/>
      <c r="BK11" s="391"/>
    </row>
    <row r="12" spans="1:63" s="53" customFormat="1" ht="30" customHeight="1">
      <c r="A12" s="391"/>
      <c r="B12" s="394"/>
      <c r="C12" s="395"/>
      <c r="D12" s="395" t="s">
        <v>258</v>
      </c>
      <c r="E12" s="395"/>
      <c r="F12" s="395"/>
      <c r="G12" s="395"/>
      <c r="H12" s="395"/>
      <c r="I12" s="395"/>
      <c r="J12" s="395"/>
      <c r="K12" s="395"/>
      <c r="L12" s="2270">
        <v>21</v>
      </c>
      <c r="M12" s="2271"/>
      <c r="N12" s="2271"/>
      <c r="O12" s="2271"/>
      <c r="P12" s="2271"/>
      <c r="Q12" s="2272"/>
      <c r="R12" s="2270">
        <v>21</v>
      </c>
      <c r="S12" s="2271"/>
      <c r="T12" s="2271"/>
      <c r="U12" s="2272"/>
      <c r="V12" s="2270">
        <v>0</v>
      </c>
      <c r="W12" s="2271"/>
      <c r="X12" s="2271"/>
      <c r="Y12" s="2272"/>
      <c r="Z12" s="2270">
        <v>0</v>
      </c>
      <c r="AA12" s="2271"/>
      <c r="AB12" s="2271"/>
      <c r="AC12" s="2272"/>
      <c r="AD12" s="2270">
        <v>0</v>
      </c>
      <c r="AE12" s="2271"/>
      <c r="AF12" s="2271"/>
      <c r="AG12" s="2272"/>
      <c r="AH12" s="391"/>
      <c r="AI12" s="1550" t="str">
        <f>IF(AND(L12&lt;&gt;SUM(R12:AG12)), "Plantilla items in column 2 shall tally with the totals of Employment Status.", IF(AND(L12&lt;&gt;'Table 7'!M15),"Plantilla items in column 2 shall tally in entries in Table 7 column 2.", ""))</f>
        <v/>
      </c>
      <c r="AJ12" s="391"/>
      <c r="AK12" s="391"/>
      <c r="AL12" s="391"/>
      <c r="AM12" s="391"/>
      <c r="AN12" s="391"/>
      <c r="AO12" s="391"/>
      <c r="AP12" s="391"/>
      <c r="AQ12" s="391"/>
      <c r="AR12" s="391"/>
      <c r="AS12" s="391"/>
      <c r="AT12" s="391"/>
      <c r="AU12" s="391"/>
      <c r="AV12" s="391"/>
      <c r="AW12" s="391"/>
      <c r="AX12" s="391"/>
      <c r="AY12" s="391"/>
      <c r="AZ12" s="391"/>
      <c r="BA12" s="391"/>
      <c r="BB12" s="391"/>
      <c r="BC12" s="391"/>
      <c r="BD12" s="391"/>
      <c r="BE12" s="391"/>
      <c r="BF12" s="391"/>
      <c r="BG12" s="391"/>
      <c r="BH12" s="391"/>
      <c r="BI12" s="391"/>
      <c r="BJ12" s="391"/>
      <c r="BK12" s="391"/>
    </row>
    <row r="13" spans="1:63" s="53" customFormat="1" ht="30" customHeight="1">
      <c r="A13" s="391"/>
      <c r="B13" s="400"/>
      <c r="C13" s="397"/>
      <c r="D13" s="397" t="s">
        <v>259</v>
      </c>
      <c r="E13" s="397"/>
      <c r="F13" s="397"/>
      <c r="G13" s="397"/>
      <c r="H13" s="397"/>
      <c r="I13" s="397"/>
      <c r="J13" s="397"/>
      <c r="K13" s="397"/>
      <c r="L13" s="2267">
        <v>7</v>
      </c>
      <c r="M13" s="2268"/>
      <c r="N13" s="2268"/>
      <c r="O13" s="2268"/>
      <c r="P13" s="2268"/>
      <c r="Q13" s="2269"/>
      <c r="R13" s="2267">
        <v>6</v>
      </c>
      <c r="S13" s="2268"/>
      <c r="T13" s="2268"/>
      <c r="U13" s="2269"/>
      <c r="V13" s="2267">
        <v>1</v>
      </c>
      <c r="W13" s="2268"/>
      <c r="X13" s="2268"/>
      <c r="Y13" s="2269"/>
      <c r="Z13" s="2267">
        <v>0</v>
      </c>
      <c r="AA13" s="2268"/>
      <c r="AB13" s="2268"/>
      <c r="AC13" s="2269"/>
      <c r="AD13" s="2267">
        <v>0</v>
      </c>
      <c r="AE13" s="2268"/>
      <c r="AF13" s="2268"/>
      <c r="AG13" s="2269"/>
      <c r="AH13" s="391"/>
      <c r="AI13" s="1550" t="str">
        <f>IF(AND(L13&lt;&gt;SUM(R13:AG13)), "Plantilla items in column 2 shall tally with the totals of Employment Status.", IF(AND(L13&lt;&gt;'Table 7'!M16),"Plantilla items in column 2 shall tally in entries in Table 7 column 2.", ""))</f>
        <v/>
      </c>
      <c r="AJ13" s="391"/>
      <c r="AK13" s="391"/>
      <c r="AL13" s="391"/>
      <c r="AM13" s="391"/>
      <c r="AN13" s="391"/>
      <c r="AO13" s="391"/>
      <c r="AP13" s="391"/>
      <c r="AQ13" s="391"/>
      <c r="AR13" s="391"/>
      <c r="AS13" s="391"/>
      <c r="AT13" s="391"/>
      <c r="AU13" s="391"/>
      <c r="AV13" s="391"/>
      <c r="AW13" s="391"/>
      <c r="AX13" s="391"/>
      <c r="AY13" s="391"/>
      <c r="AZ13" s="391"/>
      <c r="BA13" s="391"/>
      <c r="BB13" s="391"/>
      <c r="BC13" s="391"/>
      <c r="BD13" s="391"/>
      <c r="BE13" s="391"/>
      <c r="BF13" s="391"/>
      <c r="BG13" s="391"/>
      <c r="BH13" s="391"/>
      <c r="BI13" s="391"/>
      <c r="BJ13" s="391"/>
      <c r="BK13" s="391"/>
    </row>
    <row r="14" spans="1:63" s="53" customFormat="1" ht="30" customHeight="1" thickBot="1">
      <c r="A14" s="391"/>
      <c r="B14" s="401"/>
      <c r="C14" s="402"/>
      <c r="D14" s="402" t="s">
        <v>260</v>
      </c>
      <c r="E14" s="402"/>
      <c r="F14" s="402"/>
      <c r="G14" s="402"/>
      <c r="H14" s="402"/>
      <c r="I14" s="402"/>
      <c r="J14" s="402"/>
      <c r="K14" s="402"/>
      <c r="L14" s="2264">
        <v>1</v>
      </c>
      <c r="M14" s="2265"/>
      <c r="N14" s="2265"/>
      <c r="O14" s="2265"/>
      <c r="P14" s="2265"/>
      <c r="Q14" s="2266"/>
      <c r="R14" s="2264">
        <v>1</v>
      </c>
      <c r="S14" s="2265"/>
      <c r="T14" s="2265"/>
      <c r="U14" s="2266"/>
      <c r="V14" s="2264">
        <v>0</v>
      </c>
      <c r="W14" s="2265"/>
      <c r="X14" s="2265"/>
      <c r="Y14" s="2266"/>
      <c r="Z14" s="2264">
        <v>0</v>
      </c>
      <c r="AA14" s="2265"/>
      <c r="AB14" s="2265"/>
      <c r="AC14" s="2266"/>
      <c r="AD14" s="2264">
        <v>0</v>
      </c>
      <c r="AE14" s="2265"/>
      <c r="AF14" s="2265"/>
      <c r="AG14" s="2266"/>
      <c r="AH14" s="391"/>
      <c r="AI14" s="1550" t="str">
        <f>IF(AND(L14&lt;&gt;SUM(R14:AG14)), "Plantilla items in column 2 shall tally with the totals of Employment Status.", IF(AND(L14&lt;&gt;'Table 7'!M17),"Plantilla items in column 2 shall tally in entries in Table 7 column 2.", ""))</f>
        <v/>
      </c>
      <c r="AJ14" s="391"/>
      <c r="AK14" s="391"/>
      <c r="AL14" s="391"/>
      <c r="AM14" s="391"/>
      <c r="AN14" s="391"/>
      <c r="AO14" s="391"/>
      <c r="AP14" s="391"/>
      <c r="AQ14" s="391"/>
      <c r="AR14" s="391"/>
      <c r="AS14" s="391"/>
      <c r="AT14" s="391"/>
      <c r="AU14" s="391"/>
      <c r="AV14" s="391"/>
      <c r="AW14" s="391"/>
      <c r="AX14" s="391"/>
      <c r="AY14" s="391"/>
      <c r="AZ14" s="391"/>
      <c r="BA14" s="391"/>
      <c r="BB14" s="391"/>
      <c r="BC14" s="391"/>
      <c r="BD14" s="391"/>
      <c r="BE14" s="391"/>
      <c r="BF14" s="391"/>
      <c r="BG14" s="391"/>
      <c r="BH14" s="391"/>
      <c r="BI14" s="391"/>
      <c r="BJ14" s="391"/>
      <c r="BK14" s="391"/>
    </row>
    <row r="15" spans="1:63" s="53" customFormat="1" ht="30" customHeight="1" thickTop="1" thickBot="1">
      <c r="A15" s="391"/>
      <c r="B15" s="2290" t="s">
        <v>80</v>
      </c>
      <c r="C15" s="2291"/>
      <c r="D15" s="2291"/>
      <c r="E15" s="2291"/>
      <c r="F15" s="2291"/>
      <c r="G15" s="2291"/>
      <c r="H15" s="2291"/>
      <c r="I15" s="2291"/>
      <c r="J15" s="2291"/>
      <c r="K15" s="2292"/>
      <c r="L15" s="2258">
        <f>SUM(L7:Q14)</f>
        <v>29</v>
      </c>
      <c r="M15" s="2259"/>
      <c r="N15" s="2259"/>
      <c r="O15" s="2259"/>
      <c r="P15" s="2259"/>
      <c r="Q15" s="2260"/>
      <c r="R15" s="2258">
        <f>SUM(R7:U14)</f>
        <v>28</v>
      </c>
      <c r="S15" s="2259"/>
      <c r="T15" s="2259"/>
      <c r="U15" s="2260"/>
      <c r="V15" s="2258">
        <f>SUM(V7:Y14)</f>
        <v>1</v>
      </c>
      <c r="W15" s="2259"/>
      <c r="X15" s="2259"/>
      <c r="Y15" s="2260"/>
      <c r="Z15" s="2258">
        <f>SUM(Z7:AC14)</f>
        <v>0</v>
      </c>
      <c r="AA15" s="2259"/>
      <c r="AB15" s="2259"/>
      <c r="AC15" s="2260"/>
      <c r="AD15" s="2258">
        <f>SUM(AD7:AG14)</f>
        <v>0</v>
      </c>
      <c r="AE15" s="2259"/>
      <c r="AF15" s="2259"/>
      <c r="AG15" s="2260"/>
      <c r="AH15" s="391"/>
      <c r="AI15" s="391"/>
      <c r="AJ15" s="391"/>
      <c r="AK15" s="391"/>
      <c r="AL15" s="391"/>
      <c r="AM15" s="391"/>
      <c r="AN15" s="391"/>
      <c r="AO15" s="391"/>
      <c r="AP15" s="391"/>
      <c r="AQ15" s="391"/>
      <c r="AR15" s="391"/>
      <c r="AS15" s="391"/>
      <c r="AT15" s="391"/>
      <c r="AU15" s="391"/>
      <c r="AV15" s="391"/>
      <c r="AW15" s="391"/>
      <c r="AX15" s="391"/>
      <c r="AY15" s="391"/>
      <c r="AZ15" s="391"/>
      <c r="BA15" s="391"/>
      <c r="BB15" s="391"/>
      <c r="BC15" s="391"/>
      <c r="BD15" s="391"/>
      <c r="BE15" s="391"/>
      <c r="BF15" s="391"/>
      <c r="BG15" s="391"/>
      <c r="BH15" s="391"/>
      <c r="BI15" s="391"/>
      <c r="BJ15" s="391"/>
      <c r="BK15" s="391"/>
    </row>
    <row r="16" spans="1:63" s="28" customFormat="1" ht="45.75" customHeight="1">
      <c r="A16" s="403"/>
      <c r="B16" s="348" t="s">
        <v>47</v>
      </c>
      <c r="C16" s="2293" t="s">
        <v>261</v>
      </c>
      <c r="D16" s="2294"/>
      <c r="E16" s="2294"/>
      <c r="F16" s="2294"/>
      <c r="G16" s="2294"/>
      <c r="H16" s="2294"/>
      <c r="I16" s="2294"/>
      <c r="J16" s="2294"/>
      <c r="K16" s="2294"/>
      <c r="L16" s="2294"/>
      <c r="M16" s="2294"/>
      <c r="N16" s="2294"/>
      <c r="O16" s="2294"/>
      <c r="P16" s="2294"/>
      <c r="Q16" s="2294"/>
      <c r="R16" s="2294"/>
      <c r="S16" s="2294"/>
      <c r="T16" s="2294"/>
      <c r="U16" s="2294"/>
      <c r="V16" s="2294"/>
      <c r="W16" s="2294"/>
      <c r="X16" s="2294"/>
      <c r="Y16" s="2294"/>
      <c r="Z16" s="2294"/>
      <c r="AA16" s="2294"/>
      <c r="AB16" s="2294"/>
      <c r="AC16" s="2294"/>
      <c r="AD16" s="2294"/>
      <c r="AE16" s="2294"/>
      <c r="AF16" s="2294"/>
      <c r="AG16" s="2294"/>
      <c r="AH16" s="403"/>
      <c r="AI16" s="403"/>
      <c r="AJ16" s="403"/>
      <c r="AK16" s="403"/>
      <c r="AL16" s="403"/>
      <c r="AM16" s="403"/>
      <c r="AN16" s="403"/>
      <c r="AO16" s="403"/>
      <c r="AP16" s="403"/>
      <c r="AQ16" s="403"/>
      <c r="AR16" s="403"/>
      <c r="AS16" s="403"/>
      <c r="AT16" s="403"/>
      <c r="AU16" s="403"/>
      <c r="AV16" s="403"/>
      <c r="AW16" s="403"/>
      <c r="AX16" s="403"/>
      <c r="AY16" s="403"/>
      <c r="AZ16" s="403"/>
      <c r="BA16" s="403"/>
      <c r="BB16" s="403"/>
      <c r="BC16" s="403"/>
      <c r="BD16" s="403"/>
      <c r="BE16" s="403"/>
      <c r="BF16" s="403"/>
      <c r="BG16" s="403"/>
      <c r="BH16" s="403"/>
      <c r="BI16" s="403"/>
      <c r="BJ16" s="403"/>
      <c r="BK16" s="403"/>
    </row>
    <row r="17" spans="1:63" s="28" customFormat="1" ht="15">
      <c r="A17" s="403"/>
      <c r="B17" s="348" t="s">
        <v>48</v>
      </c>
      <c r="C17" s="2288" t="s">
        <v>262</v>
      </c>
      <c r="D17" s="2289"/>
      <c r="E17" s="2289"/>
      <c r="F17" s="2289"/>
      <c r="G17" s="2289"/>
      <c r="H17" s="2289"/>
      <c r="I17" s="2289"/>
      <c r="J17" s="2289"/>
      <c r="K17" s="2289"/>
      <c r="L17" s="2289"/>
      <c r="M17" s="2289"/>
      <c r="N17" s="2289"/>
      <c r="O17" s="2289"/>
      <c r="P17" s="2289"/>
      <c r="Q17" s="2289"/>
      <c r="R17" s="2289"/>
      <c r="S17" s="2289"/>
      <c r="T17" s="2289"/>
      <c r="U17" s="2289"/>
      <c r="V17" s="2289"/>
      <c r="W17" s="2289"/>
      <c r="X17" s="2289"/>
      <c r="Y17" s="2289"/>
      <c r="Z17" s="2289"/>
      <c r="AA17" s="2289"/>
      <c r="AB17" s="2289"/>
      <c r="AC17" s="2289"/>
      <c r="AD17" s="2289"/>
      <c r="AE17" s="2289"/>
      <c r="AF17" s="2289"/>
      <c r="AG17" s="2289"/>
      <c r="AH17" s="403"/>
      <c r="AI17" s="403"/>
      <c r="AJ17" s="403"/>
      <c r="AK17" s="403"/>
      <c r="AL17" s="403"/>
      <c r="AM17" s="403"/>
      <c r="AN17" s="403"/>
      <c r="AO17" s="403"/>
      <c r="AP17" s="403"/>
      <c r="AQ17" s="403"/>
      <c r="AR17" s="403"/>
      <c r="AS17" s="403"/>
      <c r="AT17" s="403"/>
      <c r="AU17" s="403"/>
      <c r="AV17" s="403"/>
      <c r="AW17" s="403"/>
      <c r="AX17" s="403"/>
      <c r="AY17" s="403"/>
      <c r="AZ17" s="403"/>
      <c r="BA17" s="403"/>
      <c r="BB17" s="403"/>
      <c r="BC17" s="403"/>
      <c r="BD17" s="403"/>
      <c r="BE17" s="403"/>
      <c r="BF17" s="403"/>
      <c r="BG17" s="403"/>
      <c r="BH17" s="403"/>
      <c r="BI17" s="403"/>
      <c r="BJ17" s="403"/>
      <c r="BK17" s="403"/>
    </row>
    <row r="18" spans="1:63" s="28" customFormat="1" ht="30.75" customHeight="1">
      <c r="A18" s="403"/>
      <c r="B18" s="348" t="s">
        <v>49</v>
      </c>
      <c r="C18" s="2288" t="s">
        <v>263</v>
      </c>
      <c r="D18" s="2289"/>
      <c r="E18" s="2289"/>
      <c r="F18" s="2289"/>
      <c r="G18" s="2289"/>
      <c r="H18" s="2289"/>
      <c r="I18" s="2289"/>
      <c r="J18" s="2289"/>
      <c r="K18" s="2289"/>
      <c r="L18" s="2289"/>
      <c r="M18" s="2289"/>
      <c r="N18" s="2289"/>
      <c r="O18" s="2289"/>
      <c r="P18" s="2289"/>
      <c r="Q18" s="2289"/>
      <c r="R18" s="2289"/>
      <c r="S18" s="2289"/>
      <c r="T18" s="2289"/>
      <c r="U18" s="2289"/>
      <c r="V18" s="2289"/>
      <c r="W18" s="2289"/>
      <c r="X18" s="2289"/>
      <c r="Y18" s="2289"/>
      <c r="Z18" s="2289"/>
      <c r="AA18" s="2289"/>
      <c r="AB18" s="2289"/>
      <c r="AC18" s="2289"/>
      <c r="AD18" s="2289"/>
      <c r="AE18" s="2289"/>
      <c r="AF18" s="2289"/>
      <c r="AG18" s="2289"/>
      <c r="AH18" s="403"/>
      <c r="AI18" s="403"/>
      <c r="AJ18" s="403"/>
      <c r="AK18" s="403"/>
      <c r="AL18" s="403"/>
      <c r="AM18" s="403"/>
      <c r="AN18" s="403"/>
      <c r="AO18" s="403"/>
      <c r="AP18" s="403"/>
      <c r="AQ18" s="403"/>
      <c r="AR18" s="403"/>
      <c r="AS18" s="403"/>
      <c r="AT18" s="403"/>
      <c r="AU18" s="403"/>
      <c r="AV18" s="403"/>
      <c r="AW18" s="403"/>
      <c r="AX18" s="403"/>
      <c r="AY18" s="403"/>
      <c r="AZ18" s="403"/>
      <c r="BA18" s="403"/>
      <c r="BB18" s="403"/>
      <c r="BC18" s="403"/>
      <c r="BD18" s="403"/>
      <c r="BE18" s="403"/>
      <c r="BF18" s="403"/>
      <c r="BG18" s="403"/>
      <c r="BH18" s="403"/>
      <c r="BI18" s="403"/>
      <c r="BJ18" s="403"/>
      <c r="BK18" s="403"/>
    </row>
    <row r="19" spans="1:63" s="28" customFormat="1" ht="30" customHeight="1">
      <c r="A19" s="403"/>
      <c r="B19" s="375"/>
      <c r="C19" s="404"/>
      <c r="D19" s="2288" t="s">
        <v>1052</v>
      </c>
      <c r="E19" s="2289"/>
      <c r="F19" s="2289"/>
      <c r="G19" s="2289"/>
      <c r="H19" s="2289"/>
      <c r="I19" s="2289"/>
      <c r="J19" s="2289"/>
      <c r="K19" s="2289"/>
      <c r="L19" s="2289"/>
      <c r="M19" s="2289"/>
      <c r="N19" s="2289"/>
      <c r="O19" s="2289"/>
      <c r="P19" s="2289"/>
      <c r="Q19" s="2289"/>
      <c r="R19" s="2289"/>
      <c r="S19" s="2289"/>
      <c r="T19" s="2289"/>
      <c r="U19" s="2289"/>
      <c r="V19" s="2289"/>
      <c r="W19" s="2289"/>
      <c r="X19" s="2289"/>
      <c r="Y19" s="2289"/>
      <c r="Z19" s="2289"/>
      <c r="AA19" s="2289"/>
      <c r="AB19" s="2289"/>
      <c r="AC19" s="2289"/>
      <c r="AD19" s="2289"/>
      <c r="AE19" s="2289"/>
      <c r="AF19" s="2289"/>
      <c r="AG19" s="2289"/>
      <c r="AH19" s="403"/>
      <c r="AI19" s="403"/>
      <c r="AJ19" s="403"/>
      <c r="AK19" s="403"/>
      <c r="AL19" s="403"/>
      <c r="AM19" s="403"/>
      <c r="AN19" s="403"/>
      <c r="AO19" s="403"/>
      <c r="AP19" s="403"/>
      <c r="AQ19" s="403"/>
      <c r="AR19" s="403"/>
      <c r="AS19" s="403"/>
      <c r="AT19" s="403"/>
      <c r="AU19" s="403"/>
      <c r="AV19" s="403"/>
      <c r="AW19" s="403"/>
      <c r="AX19" s="403"/>
      <c r="AY19" s="403"/>
      <c r="AZ19" s="403"/>
      <c r="BA19" s="403"/>
      <c r="BB19" s="403"/>
      <c r="BC19" s="403"/>
      <c r="BD19" s="403"/>
      <c r="BE19" s="403"/>
      <c r="BF19" s="403"/>
      <c r="BG19" s="403"/>
      <c r="BH19" s="403"/>
      <c r="BI19" s="403"/>
      <c r="BJ19" s="403"/>
      <c r="BK19" s="403"/>
    </row>
    <row r="20" spans="1:63" s="28" customFormat="1" ht="54.95" customHeight="1">
      <c r="A20" s="403"/>
      <c r="B20" s="403"/>
      <c r="C20" s="404"/>
      <c r="D20" s="2288" t="s">
        <v>1053</v>
      </c>
      <c r="E20" s="2289"/>
      <c r="F20" s="2289"/>
      <c r="G20" s="2289"/>
      <c r="H20" s="2289"/>
      <c r="I20" s="2289"/>
      <c r="J20" s="2289"/>
      <c r="K20" s="2289"/>
      <c r="L20" s="2289"/>
      <c r="M20" s="2289"/>
      <c r="N20" s="2289"/>
      <c r="O20" s="2289"/>
      <c r="P20" s="2289"/>
      <c r="Q20" s="2289"/>
      <c r="R20" s="2289"/>
      <c r="S20" s="2289"/>
      <c r="T20" s="2289"/>
      <c r="U20" s="2289"/>
      <c r="V20" s="2289"/>
      <c r="W20" s="2289"/>
      <c r="X20" s="2289"/>
      <c r="Y20" s="2289"/>
      <c r="Z20" s="2289"/>
      <c r="AA20" s="2289"/>
      <c r="AB20" s="2289"/>
      <c r="AC20" s="2289"/>
      <c r="AD20" s="2289"/>
      <c r="AE20" s="2289"/>
      <c r="AF20" s="2289"/>
      <c r="AG20" s="2289"/>
      <c r="AH20" s="403"/>
      <c r="AI20" s="403"/>
      <c r="AJ20" s="403"/>
      <c r="AK20" s="403"/>
      <c r="AL20" s="403"/>
      <c r="AM20" s="403"/>
      <c r="AN20" s="403"/>
      <c r="AO20" s="403"/>
      <c r="AP20" s="403"/>
      <c r="AQ20" s="403"/>
      <c r="AR20" s="403"/>
      <c r="AS20" s="403"/>
      <c r="AT20" s="403"/>
      <c r="AU20" s="403"/>
      <c r="AV20" s="403"/>
      <c r="AW20" s="403"/>
      <c r="AX20" s="403"/>
      <c r="AY20" s="403"/>
      <c r="AZ20" s="403"/>
      <c r="BA20" s="403"/>
      <c r="BB20" s="403"/>
      <c r="BC20" s="403"/>
      <c r="BD20" s="403"/>
      <c r="BE20" s="403"/>
      <c r="BF20" s="403"/>
      <c r="BG20" s="403"/>
      <c r="BH20" s="403"/>
      <c r="BI20" s="403"/>
      <c r="BJ20" s="403"/>
      <c r="BK20" s="403"/>
    </row>
    <row r="21" spans="1:63" s="28" customFormat="1" ht="15.75" customHeight="1">
      <c r="A21" s="403"/>
      <c r="B21" s="403"/>
      <c r="C21" s="404"/>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3"/>
      <c r="AH21" s="403"/>
      <c r="AI21" s="403"/>
      <c r="AJ21" s="403"/>
      <c r="AK21" s="403"/>
      <c r="AL21" s="403"/>
      <c r="AM21" s="403"/>
      <c r="AN21" s="403"/>
      <c r="AO21" s="403"/>
      <c r="AP21" s="403"/>
      <c r="AQ21" s="403"/>
      <c r="AR21" s="403"/>
      <c r="AS21" s="403"/>
      <c r="AT21" s="403"/>
      <c r="AU21" s="403"/>
      <c r="AV21" s="403"/>
      <c r="AW21" s="403"/>
      <c r="AX21" s="403"/>
      <c r="AY21" s="403"/>
      <c r="AZ21" s="403"/>
      <c r="BA21" s="403"/>
      <c r="BB21" s="403"/>
      <c r="BC21" s="403"/>
      <c r="BD21" s="403"/>
      <c r="BE21" s="403"/>
      <c r="BF21" s="403"/>
      <c r="BG21" s="403"/>
      <c r="BH21" s="403"/>
      <c r="BI21" s="403"/>
      <c r="BJ21" s="403"/>
      <c r="BK21" s="403"/>
    </row>
    <row r="22" spans="1:63" s="29" customFormat="1" ht="15" customHeight="1">
      <c r="A22" s="406"/>
      <c r="B22" s="407" t="s">
        <v>71</v>
      </c>
      <c r="C22" s="408"/>
      <c r="D22" s="407"/>
      <c r="E22" s="409" t="s">
        <v>47</v>
      </c>
      <c r="F22" s="407" t="s">
        <v>1105</v>
      </c>
      <c r="G22" s="407"/>
      <c r="H22" s="407"/>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row>
    <row r="23" spans="1:63" s="29" customFormat="1" ht="15" customHeight="1">
      <c r="A23" s="406"/>
      <c r="B23" s="406"/>
      <c r="C23" s="408"/>
      <c r="D23" s="407"/>
      <c r="E23" s="409" t="s">
        <v>48</v>
      </c>
      <c r="F23" s="407" t="s">
        <v>1481</v>
      </c>
      <c r="G23" s="407"/>
      <c r="H23" s="407"/>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row>
    <row r="24" spans="1:63" s="28" customFormat="1" ht="30" customHeight="1">
      <c r="A24" s="403"/>
      <c r="B24" s="403"/>
      <c r="C24" s="404"/>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row>
    <row r="25" spans="1:63" s="49" customFormat="1" ht="18.75" customHeight="1" thickBot="1">
      <c r="A25" s="224"/>
      <c r="B25" s="410" t="s">
        <v>11377</v>
      </c>
      <c r="C25" s="411"/>
      <c r="D25" s="411"/>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2"/>
      <c r="AE25" s="412"/>
      <c r="AF25" s="412"/>
      <c r="AG25" s="413"/>
      <c r="AH25" s="413"/>
      <c r="AI25" s="413"/>
      <c r="AJ25" s="413"/>
      <c r="AK25" s="413"/>
      <c r="AL25" s="413"/>
      <c r="AM25" s="413"/>
      <c r="AN25" s="413"/>
      <c r="AO25" s="413"/>
      <c r="AP25" s="1547"/>
      <c r="AQ25" s="354"/>
      <c r="AR25" s="224"/>
      <c r="AS25" s="224"/>
      <c r="AT25" s="224"/>
      <c r="AU25" s="224"/>
      <c r="AV25" s="224"/>
      <c r="AW25" s="224"/>
      <c r="AX25" s="224"/>
      <c r="AY25" s="224"/>
      <c r="AZ25" s="224"/>
      <c r="BA25" s="224"/>
      <c r="BB25" s="224"/>
      <c r="BC25" s="224"/>
      <c r="BD25" s="224"/>
      <c r="BE25" s="224"/>
      <c r="BF25" s="224"/>
      <c r="BG25" s="224"/>
      <c r="BH25" s="224"/>
      <c r="BI25" s="224"/>
      <c r="BJ25" s="224"/>
      <c r="BK25" s="224"/>
    </row>
    <row r="26" spans="1:63" ht="15.75" customHeight="1">
      <c r="A26" s="414"/>
      <c r="B26" s="2319" t="s">
        <v>38</v>
      </c>
      <c r="C26" s="2138"/>
      <c r="D26" s="2138"/>
      <c r="E26" s="2138"/>
      <c r="F26" s="2138"/>
      <c r="G26" s="2138"/>
      <c r="H26" s="2138"/>
      <c r="I26" s="2139"/>
      <c r="J26" s="2120" t="s">
        <v>1101</v>
      </c>
      <c r="K26" s="2121"/>
      <c r="L26" s="2121"/>
      <c r="M26" s="2121"/>
      <c r="N26" s="2121"/>
      <c r="O26" s="2121"/>
      <c r="P26" s="2121"/>
      <c r="Q26" s="2320"/>
      <c r="R26" s="2324" t="s">
        <v>1102</v>
      </c>
      <c r="S26" s="2121"/>
      <c r="T26" s="2121"/>
      <c r="U26" s="2121"/>
      <c r="V26" s="2121"/>
      <c r="W26" s="2121"/>
      <c r="X26" s="2121"/>
      <c r="Y26" s="2320"/>
      <c r="Z26" s="2324" t="s">
        <v>264</v>
      </c>
      <c r="AA26" s="2121"/>
      <c r="AB26" s="2121"/>
      <c r="AC26" s="2326"/>
      <c r="AD26" s="2252" t="s">
        <v>42</v>
      </c>
      <c r="AE26" s="2121"/>
      <c r="AF26" s="2121"/>
      <c r="AG26" s="2122"/>
      <c r="AH26" s="222"/>
      <c r="AI26" s="222"/>
      <c r="AJ26" s="222"/>
      <c r="AK26" s="222"/>
      <c r="AL26" s="222"/>
      <c r="AM26" s="222"/>
      <c r="AN26" s="222"/>
      <c r="AO26" s="222"/>
      <c r="AP26" s="222"/>
      <c r="AQ26" s="222"/>
      <c r="AR26" s="222"/>
      <c r="AS26" s="222"/>
      <c r="AT26" s="222"/>
      <c r="AU26" s="222"/>
      <c r="AV26" s="222"/>
      <c r="AW26" s="222"/>
      <c r="AX26" s="222"/>
      <c r="AY26" s="222"/>
      <c r="AZ26" s="222"/>
      <c r="BA26" s="222"/>
      <c r="BB26" s="222"/>
      <c r="BC26" s="222"/>
      <c r="BD26" s="222"/>
      <c r="BE26" s="222"/>
      <c r="BF26" s="222"/>
      <c r="BG26" s="222"/>
      <c r="BH26" s="222"/>
      <c r="BI26" s="222"/>
      <c r="BJ26" s="222"/>
      <c r="BK26" s="222"/>
    </row>
    <row r="27" spans="1:63" ht="44.45" customHeight="1">
      <c r="A27" s="414"/>
      <c r="B27" s="2168"/>
      <c r="C27" s="2140"/>
      <c r="D27" s="2140"/>
      <c r="E27" s="2140"/>
      <c r="F27" s="2140"/>
      <c r="G27" s="2140"/>
      <c r="H27" s="2140"/>
      <c r="I27" s="2141"/>
      <c r="J27" s="2321"/>
      <c r="K27" s="2322"/>
      <c r="L27" s="2322"/>
      <c r="M27" s="2322"/>
      <c r="N27" s="2322"/>
      <c r="O27" s="2322"/>
      <c r="P27" s="2322"/>
      <c r="Q27" s="2323"/>
      <c r="R27" s="2325"/>
      <c r="S27" s="2322"/>
      <c r="T27" s="2322"/>
      <c r="U27" s="2322"/>
      <c r="V27" s="2322"/>
      <c r="W27" s="2322"/>
      <c r="X27" s="2322"/>
      <c r="Y27" s="2323"/>
      <c r="Z27" s="2327"/>
      <c r="AA27" s="2124"/>
      <c r="AB27" s="2124"/>
      <c r="AC27" s="2328"/>
      <c r="AD27" s="2253"/>
      <c r="AE27" s="2124"/>
      <c r="AF27" s="2124"/>
      <c r="AG27" s="2125"/>
      <c r="AH27" s="222"/>
      <c r="AI27" s="222"/>
      <c r="AJ27" s="222"/>
      <c r="AK27" s="222"/>
      <c r="AL27" s="222"/>
      <c r="AM27" s="222"/>
      <c r="AN27" s="222"/>
      <c r="AO27" s="222"/>
      <c r="AP27" s="222"/>
      <c r="AQ27" s="222"/>
      <c r="AR27" s="222"/>
      <c r="AS27" s="222"/>
      <c r="AT27" s="222"/>
      <c r="AU27" s="222"/>
      <c r="AV27" s="222"/>
      <c r="AW27" s="222"/>
      <c r="AX27" s="222"/>
      <c r="AY27" s="222"/>
      <c r="AZ27" s="222"/>
      <c r="BA27" s="222"/>
      <c r="BB27" s="222"/>
      <c r="BC27" s="222"/>
      <c r="BD27" s="222"/>
      <c r="BE27" s="222"/>
      <c r="BF27" s="222"/>
      <c r="BG27" s="222"/>
      <c r="BH27" s="222"/>
      <c r="BI27" s="222"/>
      <c r="BJ27" s="222"/>
      <c r="BK27" s="222"/>
    </row>
    <row r="28" spans="1:63" ht="22.5" customHeight="1">
      <c r="A28" s="414"/>
      <c r="B28" s="2168"/>
      <c r="C28" s="2140"/>
      <c r="D28" s="2140"/>
      <c r="E28" s="2140"/>
      <c r="F28" s="2140"/>
      <c r="G28" s="2140"/>
      <c r="H28" s="2140"/>
      <c r="I28" s="2141"/>
      <c r="J28" s="2329" t="s">
        <v>265</v>
      </c>
      <c r="K28" s="2156"/>
      <c r="L28" s="2156"/>
      <c r="M28" s="2330"/>
      <c r="N28" s="2332" t="s">
        <v>1054</v>
      </c>
      <c r="O28" s="2156"/>
      <c r="P28" s="2156"/>
      <c r="Q28" s="2157"/>
      <c r="R28" s="2155" t="s">
        <v>266</v>
      </c>
      <c r="S28" s="2156"/>
      <c r="T28" s="2156"/>
      <c r="U28" s="2330"/>
      <c r="V28" s="2332" t="s">
        <v>267</v>
      </c>
      <c r="W28" s="2156"/>
      <c r="X28" s="2156"/>
      <c r="Y28" s="2157"/>
      <c r="Z28" s="2327"/>
      <c r="AA28" s="2124"/>
      <c r="AB28" s="2124"/>
      <c r="AC28" s="2124"/>
      <c r="AD28" s="2254" t="s">
        <v>1103</v>
      </c>
      <c r="AE28" s="2255"/>
      <c r="AF28" s="2255"/>
      <c r="AG28" s="2256"/>
      <c r="AH28" s="222"/>
      <c r="AI28" s="222"/>
      <c r="AJ28" s="222"/>
      <c r="AK28" s="222"/>
      <c r="AL28" s="222"/>
      <c r="AM28" s="222"/>
      <c r="AN28" s="222"/>
      <c r="AO28" s="222"/>
      <c r="AP28" s="222"/>
      <c r="AQ28" s="222"/>
      <c r="AR28" s="222"/>
      <c r="AS28" s="222"/>
      <c r="AT28" s="222"/>
      <c r="AU28" s="222"/>
      <c r="AV28" s="222"/>
      <c r="AW28" s="222"/>
      <c r="AX28" s="222"/>
      <c r="AY28" s="222"/>
      <c r="AZ28" s="222"/>
      <c r="BA28" s="222"/>
      <c r="BB28" s="222"/>
      <c r="BC28" s="222"/>
      <c r="BD28" s="222"/>
      <c r="BE28" s="222"/>
      <c r="BF28" s="222"/>
      <c r="BG28" s="222"/>
      <c r="BH28" s="222"/>
      <c r="BI28" s="222"/>
      <c r="BJ28" s="222"/>
      <c r="BK28" s="222"/>
    </row>
    <row r="29" spans="1:63" ht="22.5" customHeight="1">
      <c r="A29" s="414"/>
      <c r="B29" s="2168"/>
      <c r="C29" s="2140"/>
      <c r="D29" s="2140"/>
      <c r="E29" s="2140"/>
      <c r="F29" s="2140"/>
      <c r="G29" s="2140"/>
      <c r="H29" s="2140"/>
      <c r="I29" s="2141"/>
      <c r="J29" s="2132"/>
      <c r="K29" s="2133"/>
      <c r="L29" s="2133"/>
      <c r="M29" s="2331"/>
      <c r="N29" s="2333"/>
      <c r="O29" s="2133"/>
      <c r="P29" s="2133"/>
      <c r="Q29" s="2159"/>
      <c r="R29" s="2158"/>
      <c r="S29" s="2133"/>
      <c r="T29" s="2133"/>
      <c r="U29" s="2331"/>
      <c r="V29" s="2333"/>
      <c r="W29" s="2133"/>
      <c r="X29" s="2133"/>
      <c r="Y29" s="2159"/>
      <c r="Z29" s="2327"/>
      <c r="AA29" s="2124"/>
      <c r="AB29" s="2124"/>
      <c r="AC29" s="2124"/>
      <c r="AD29" s="2257"/>
      <c r="AE29" s="2255"/>
      <c r="AF29" s="2255"/>
      <c r="AG29" s="2256"/>
      <c r="AH29" s="222"/>
      <c r="AI29" s="222"/>
      <c r="AJ29" s="222"/>
      <c r="AK29" s="222"/>
      <c r="AL29" s="222"/>
      <c r="AM29" s="222"/>
      <c r="AN29" s="222"/>
      <c r="AO29" s="222"/>
      <c r="AP29" s="222"/>
      <c r="AQ29" s="222"/>
      <c r="AR29" s="222"/>
      <c r="AS29" s="222"/>
      <c r="AT29" s="222"/>
      <c r="AU29" s="222"/>
      <c r="AV29" s="222"/>
      <c r="AW29" s="222"/>
      <c r="AX29" s="222"/>
      <c r="AY29" s="222"/>
      <c r="AZ29" s="222"/>
      <c r="BA29" s="222"/>
      <c r="BB29" s="222"/>
      <c r="BC29" s="222"/>
      <c r="BD29" s="222"/>
      <c r="BE29" s="222"/>
      <c r="BF29" s="222"/>
      <c r="BG29" s="222"/>
      <c r="BH29" s="222"/>
      <c r="BI29" s="222"/>
      <c r="BJ29" s="222"/>
      <c r="BK29" s="222"/>
    </row>
    <row r="30" spans="1:63" s="30" customFormat="1" ht="15.75" customHeight="1" thickBot="1">
      <c r="A30" s="284"/>
      <c r="B30" s="2311" t="s">
        <v>184</v>
      </c>
      <c r="C30" s="2262"/>
      <c r="D30" s="2262"/>
      <c r="E30" s="2262"/>
      <c r="F30" s="2262"/>
      <c r="G30" s="2262"/>
      <c r="H30" s="2262"/>
      <c r="I30" s="2263"/>
      <c r="J30" s="2312" t="s">
        <v>185</v>
      </c>
      <c r="K30" s="2313"/>
      <c r="L30" s="2313"/>
      <c r="M30" s="2314"/>
      <c r="N30" s="2315" t="s">
        <v>186</v>
      </c>
      <c r="O30" s="2262"/>
      <c r="P30" s="2262"/>
      <c r="Q30" s="2316"/>
      <c r="R30" s="2317" t="s">
        <v>187</v>
      </c>
      <c r="S30" s="2262"/>
      <c r="T30" s="2262"/>
      <c r="U30" s="2318"/>
      <c r="V30" s="2315" t="s">
        <v>188</v>
      </c>
      <c r="W30" s="2262"/>
      <c r="X30" s="2262"/>
      <c r="Y30" s="2316"/>
      <c r="Z30" s="2317" t="s">
        <v>189</v>
      </c>
      <c r="AA30" s="2262"/>
      <c r="AB30" s="2262"/>
      <c r="AC30" s="2262"/>
      <c r="AD30" s="2261" t="s">
        <v>190</v>
      </c>
      <c r="AE30" s="2262"/>
      <c r="AF30" s="2262"/>
      <c r="AG30" s="2263"/>
      <c r="AH30" s="284"/>
      <c r="AI30" s="284"/>
      <c r="AJ30" s="284"/>
      <c r="AK30" s="284"/>
      <c r="AL30" s="284"/>
      <c r="AM30" s="284"/>
      <c r="AN30" s="284"/>
      <c r="AO30" s="284"/>
      <c r="AP30" s="284"/>
      <c r="AQ30" s="284"/>
      <c r="AR30" s="284"/>
      <c r="AS30" s="284"/>
      <c r="AT30" s="284"/>
      <c r="AU30" s="284"/>
      <c r="AV30" s="284"/>
      <c r="AW30" s="284"/>
      <c r="AX30" s="284"/>
      <c r="AY30" s="284"/>
      <c r="AZ30" s="284"/>
      <c r="BA30" s="284"/>
      <c r="BB30" s="284"/>
      <c r="BC30" s="284"/>
      <c r="BD30" s="284"/>
      <c r="BE30" s="284"/>
      <c r="BF30" s="284"/>
      <c r="BG30" s="284"/>
      <c r="BH30" s="284"/>
      <c r="BI30" s="284"/>
      <c r="BJ30" s="284"/>
      <c r="BK30" s="284"/>
    </row>
    <row r="31" spans="1:63" ht="30" customHeight="1">
      <c r="A31" s="222"/>
      <c r="B31" s="415"/>
      <c r="C31" s="286" t="s">
        <v>241</v>
      </c>
      <c r="D31" s="416"/>
      <c r="E31" s="416"/>
      <c r="F31" s="416"/>
      <c r="G31" s="416"/>
      <c r="H31" s="416"/>
      <c r="I31" s="417"/>
      <c r="J31" s="2091">
        <v>0</v>
      </c>
      <c r="K31" s="2092"/>
      <c r="L31" s="2092"/>
      <c r="M31" s="2092"/>
      <c r="N31" s="2095">
        <v>0</v>
      </c>
      <c r="O31" s="2092"/>
      <c r="P31" s="2092"/>
      <c r="Q31" s="2094"/>
      <c r="R31" s="2095">
        <v>0</v>
      </c>
      <c r="S31" s="2092"/>
      <c r="T31" s="2092"/>
      <c r="U31" s="2094"/>
      <c r="V31" s="2095">
        <v>0</v>
      </c>
      <c r="W31" s="2092"/>
      <c r="X31" s="2092"/>
      <c r="Y31" s="2094"/>
      <c r="Z31" s="2095">
        <v>0</v>
      </c>
      <c r="AA31" s="2092"/>
      <c r="AB31" s="2092"/>
      <c r="AC31" s="2092"/>
      <c r="AD31" s="2097">
        <f>SUM(J31:AC31)</f>
        <v>0</v>
      </c>
      <c r="AE31" s="2098"/>
      <c r="AF31" s="2098"/>
      <c r="AG31" s="2101"/>
      <c r="AH31" s="222"/>
      <c r="AI31" s="1551" t="str">
        <f>IF('Table 7'!BJ10&lt;&gt;'Tables 8-9'!AD31,"Totals in column 7 of this table shall be equal to the totals in Table 7 (column 18 - Total Nationally-funded personnel working in the school).","")</f>
        <v/>
      </c>
      <c r="AJ31" s="222"/>
      <c r="AK31" s="222"/>
      <c r="AL31" s="222"/>
      <c r="AM31" s="222"/>
      <c r="AN31" s="222"/>
      <c r="AO31" s="222"/>
      <c r="AP31" s="222"/>
      <c r="AQ31" s="222"/>
      <c r="AR31" s="222"/>
      <c r="AS31" s="222"/>
      <c r="AT31" s="222"/>
      <c r="AU31" s="222"/>
      <c r="AV31" s="222"/>
      <c r="AW31" s="222"/>
      <c r="AX31" s="222"/>
      <c r="AY31" s="222"/>
      <c r="AZ31" s="222"/>
      <c r="BA31" s="222"/>
      <c r="BB31" s="222"/>
      <c r="BC31" s="222"/>
      <c r="BD31" s="222"/>
      <c r="BE31" s="222"/>
      <c r="BF31" s="222"/>
      <c r="BG31" s="222"/>
      <c r="BH31" s="222"/>
      <c r="BI31" s="222"/>
      <c r="BJ31" s="222"/>
      <c r="BK31" s="222"/>
    </row>
    <row r="32" spans="1:63" ht="30" customHeight="1">
      <c r="A32" s="222"/>
      <c r="B32" s="418"/>
      <c r="C32" s="289" t="s">
        <v>242</v>
      </c>
      <c r="D32" s="419"/>
      <c r="E32" s="419"/>
      <c r="F32" s="419"/>
      <c r="G32" s="419"/>
      <c r="H32" s="419"/>
      <c r="I32" s="420"/>
      <c r="J32" s="2055">
        <v>0</v>
      </c>
      <c r="K32" s="2056"/>
      <c r="L32" s="2056"/>
      <c r="M32" s="2056"/>
      <c r="N32" s="2058">
        <v>0</v>
      </c>
      <c r="O32" s="2056"/>
      <c r="P32" s="2056"/>
      <c r="Q32" s="2057"/>
      <c r="R32" s="2058">
        <v>0</v>
      </c>
      <c r="S32" s="2056"/>
      <c r="T32" s="2056"/>
      <c r="U32" s="2057"/>
      <c r="V32" s="2058">
        <v>0</v>
      </c>
      <c r="W32" s="2056"/>
      <c r="X32" s="2056"/>
      <c r="Y32" s="2057"/>
      <c r="Z32" s="2058">
        <v>0</v>
      </c>
      <c r="AA32" s="2056"/>
      <c r="AB32" s="2056"/>
      <c r="AC32" s="2056"/>
      <c r="AD32" s="2051">
        <f>SUM(J32:AC32)</f>
        <v>0</v>
      </c>
      <c r="AE32" s="2052"/>
      <c r="AF32" s="2052"/>
      <c r="AG32" s="2054"/>
      <c r="AH32" s="222"/>
      <c r="AI32" s="1551" t="str">
        <f>IF('Table 7'!BJ11&lt;&gt;'Tables 8-9'!AD32,"Totals in column 7 of this table shall be equal to the totals in Table 7 (column 18 - Total Nationally-funded personnel working in the school).","")</f>
        <v/>
      </c>
      <c r="AJ32" s="222"/>
      <c r="AK32" s="222"/>
      <c r="AL32" s="222"/>
      <c r="AM32" s="222"/>
      <c r="AN32" s="222"/>
      <c r="AO32" s="222"/>
      <c r="AP32" s="222"/>
      <c r="AQ32" s="222"/>
      <c r="AR32" s="222"/>
      <c r="AS32" s="222"/>
      <c r="AT32" s="222"/>
      <c r="AU32" s="222"/>
      <c r="AV32" s="222"/>
      <c r="AW32" s="222"/>
      <c r="AX32" s="222"/>
      <c r="AY32" s="222"/>
      <c r="AZ32" s="222"/>
      <c r="BA32" s="222"/>
      <c r="BB32" s="222"/>
      <c r="BC32" s="222"/>
      <c r="BD32" s="222"/>
      <c r="BE32" s="222"/>
      <c r="BF32" s="222"/>
      <c r="BG32" s="222"/>
      <c r="BH32" s="222"/>
      <c r="BI32" s="222"/>
      <c r="BJ32" s="222"/>
      <c r="BK32" s="222"/>
    </row>
    <row r="33" spans="1:63" ht="30" customHeight="1">
      <c r="A33" s="222"/>
      <c r="B33" s="418"/>
      <c r="C33" s="289" t="s">
        <v>243</v>
      </c>
      <c r="D33" s="419"/>
      <c r="E33" s="419"/>
      <c r="F33" s="419"/>
      <c r="G33" s="419"/>
      <c r="H33" s="419"/>
      <c r="I33" s="420"/>
      <c r="J33" s="2055">
        <v>0</v>
      </c>
      <c r="K33" s="2056"/>
      <c r="L33" s="2056"/>
      <c r="M33" s="2056"/>
      <c r="N33" s="2058">
        <v>0</v>
      </c>
      <c r="O33" s="2056"/>
      <c r="P33" s="2056"/>
      <c r="Q33" s="2057"/>
      <c r="R33" s="2058">
        <v>0</v>
      </c>
      <c r="S33" s="2056"/>
      <c r="T33" s="2056"/>
      <c r="U33" s="2057"/>
      <c r="V33" s="2058">
        <v>0</v>
      </c>
      <c r="W33" s="2056"/>
      <c r="X33" s="2056"/>
      <c r="Y33" s="2057"/>
      <c r="Z33" s="2058">
        <v>0</v>
      </c>
      <c r="AA33" s="2056"/>
      <c r="AB33" s="2056"/>
      <c r="AC33" s="2056"/>
      <c r="AD33" s="2051">
        <f>SUM(J33:AC33)</f>
        <v>0</v>
      </c>
      <c r="AE33" s="2052"/>
      <c r="AF33" s="2052"/>
      <c r="AG33" s="2054"/>
      <c r="AH33" s="222"/>
      <c r="AI33" s="1551" t="str">
        <f>IF('Table 7'!BJ12&lt;&gt;'Tables 8-9'!AD33,"Totals in column 7 of this table shall be equal to the totals in Table 7 (column 18 - Total Nationally-funded personnel working in the school).","")</f>
        <v/>
      </c>
      <c r="AJ33" s="222"/>
      <c r="AK33" s="222"/>
      <c r="AL33" s="222"/>
      <c r="AM33" s="222"/>
      <c r="AN33" s="222"/>
      <c r="AO33" s="222"/>
      <c r="AP33" s="222"/>
      <c r="AQ33" s="222"/>
      <c r="AR33" s="222"/>
      <c r="AS33" s="222"/>
      <c r="AT33" s="222"/>
      <c r="AU33" s="222"/>
      <c r="AV33" s="222"/>
      <c r="AW33" s="222"/>
      <c r="AX33" s="222"/>
      <c r="AY33" s="222"/>
      <c r="AZ33" s="222"/>
      <c r="BA33" s="222"/>
      <c r="BB33" s="222"/>
      <c r="BC33" s="222"/>
      <c r="BD33" s="222"/>
      <c r="BE33" s="222"/>
      <c r="BF33" s="222"/>
      <c r="BG33" s="222"/>
      <c r="BH33" s="222"/>
      <c r="BI33" s="222"/>
      <c r="BJ33" s="222"/>
      <c r="BK33" s="222"/>
    </row>
    <row r="34" spans="1:63" ht="30" customHeight="1">
      <c r="A34" s="222"/>
      <c r="B34" s="421"/>
      <c r="C34" s="422" t="s">
        <v>244</v>
      </c>
      <c r="D34" s="423"/>
      <c r="E34" s="423"/>
      <c r="F34" s="423"/>
      <c r="G34" s="423"/>
      <c r="H34" s="423"/>
      <c r="I34" s="424"/>
      <c r="J34" s="2066">
        <v>0</v>
      </c>
      <c r="K34" s="2067"/>
      <c r="L34" s="2067"/>
      <c r="M34" s="2067"/>
      <c r="N34" s="2069">
        <v>0</v>
      </c>
      <c r="O34" s="2067"/>
      <c r="P34" s="2067"/>
      <c r="Q34" s="2068"/>
      <c r="R34" s="2069">
        <v>0</v>
      </c>
      <c r="S34" s="2067"/>
      <c r="T34" s="2067"/>
      <c r="U34" s="2068"/>
      <c r="V34" s="2069">
        <v>0</v>
      </c>
      <c r="W34" s="2067"/>
      <c r="X34" s="2067"/>
      <c r="Y34" s="2068"/>
      <c r="Z34" s="2069">
        <v>0</v>
      </c>
      <c r="AA34" s="2067"/>
      <c r="AB34" s="2067"/>
      <c r="AC34" s="2067"/>
      <c r="AD34" s="2064">
        <f>SUM(J34:AC34)</f>
        <v>0</v>
      </c>
      <c r="AE34" s="2062"/>
      <c r="AF34" s="2062"/>
      <c r="AG34" s="2065"/>
      <c r="AH34" s="222"/>
      <c r="AI34" s="1551" t="str">
        <f>IF('Table 7'!BJ13&lt;&gt;'Tables 8-9'!AD34,"Totals in column 7 of this table shall be equal to the totals in Table 7 (column 18 - Total Nationally-funded personnel working in the school).","")</f>
        <v/>
      </c>
      <c r="AJ34" s="222"/>
      <c r="AK34" s="222"/>
      <c r="AL34" s="222"/>
      <c r="AM34" s="222"/>
      <c r="AN34" s="222"/>
      <c r="AO34" s="222"/>
      <c r="AP34" s="222"/>
      <c r="AQ34" s="222"/>
      <c r="AR34" s="222"/>
      <c r="AS34" s="222"/>
      <c r="AT34" s="222"/>
      <c r="AU34" s="222"/>
      <c r="AV34" s="222"/>
      <c r="AW34" s="222"/>
      <c r="AX34" s="222"/>
      <c r="AY34" s="222"/>
      <c r="AZ34" s="222"/>
      <c r="BA34" s="222"/>
      <c r="BB34" s="222"/>
      <c r="BC34" s="222"/>
      <c r="BD34" s="222"/>
      <c r="BE34" s="222"/>
      <c r="BF34" s="222"/>
      <c r="BG34" s="222"/>
      <c r="BH34" s="222"/>
      <c r="BI34" s="222"/>
      <c r="BJ34" s="222"/>
      <c r="BK34" s="222"/>
    </row>
    <row r="35" spans="1:63" ht="30" customHeight="1">
      <c r="A35" s="222"/>
      <c r="B35" s="425"/>
      <c r="C35" s="371" t="s">
        <v>245</v>
      </c>
      <c r="D35" s="426"/>
      <c r="E35" s="426"/>
      <c r="F35" s="426"/>
      <c r="G35" s="426"/>
      <c r="H35" s="426"/>
      <c r="I35" s="417"/>
      <c r="J35" s="2047">
        <v>0</v>
      </c>
      <c r="K35" s="2041"/>
      <c r="L35" s="2041"/>
      <c r="M35" s="2041"/>
      <c r="N35" s="2040">
        <v>0</v>
      </c>
      <c r="O35" s="2041"/>
      <c r="P35" s="2041"/>
      <c r="Q35" s="2049"/>
      <c r="R35" s="2040">
        <v>0</v>
      </c>
      <c r="S35" s="2041"/>
      <c r="T35" s="2041"/>
      <c r="U35" s="2049"/>
      <c r="V35" s="2040">
        <v>0</v>
      </c>
      <c r="W35" s="2041"/>
      <c r="X35" s="2041"/>
      <c r="Y35" s="2049"/>
      <c r="Z35" s="2040">
        <v>0</v>
      </c>
      <c r="AA35" s="2041"/>
      <c r="AB35" s="2041"/>
      <c r="AC35" s="2041"/>
      <c r="AD35" s="2075">
        <f t="shared" ref="AD35:AD39" si="0">SUM(J35:AC35)</f>
        <v>0</v>
      </c>
      <c r="AE35" s="2044"/>
      <c r="AF35" s="2044"/>
      <c r="AG35" s="2076"/>
      <c r="AH35" s="222"/>
      <c r="AI35" s="1551" t="str">
        <f>IF('Table 7'!BJ14&lt;&gt;'Tables 8-9'!AD35,"Totals in column 7 of this table shall be equal to the totals in Table 7 (column 18 - Total Nationally-funded personnel working in the school).","")</f>
        <v/>
      </c>
      <c r="AJ35" s="222"/>
      <c r="AK35" s="222"/>
      <c r="AL35" s="222"/>
      <c r="AM35" s="222"/>
      <c r="AN35" s="222"/>
      <c r="AO35" s="222"/>
      <c r="AP35" s="222"/>
      <c r="AQ35" s="222"/>
      <c r="AR35" s="222"/>
      <c r="AS35" s="222"/>
      <c r="AT35" s="222"/>
      <c r="AU35" s="222"/>
      <c r="AV35" s="222"/>
      <c r="AW35" s="222"/>
      <c r="AX35" s="222"/>
      <c r="AY35" s="222"/>
      <c r="AZ35" s="222"/>
      <c r="BA35" s="222"/>
      <c r="BB35" s="222"/>
      <c r="BC35" s="222"/>
      <c r="BD35" s="222"/>
      <c r="BE35" s="222"/>
      <c r="BF35" s="222"/>
      <c r="BG35" s="222"/>
      <c r="BH35" s="222"/>
      <c r="BI35" s="222"/>
      <c r="BJ35" s="222"/>
      <c r="BK35" s="222"/>
    </row>
    <row r="36" spans="1:63" ht="30" customHeight="1">
      <c r="A36" s="222"/>
      <c r="B36" s="418"/>
      <c r="C36" s="289" t="s">
        <v>258</v>
      </c>
      <c r="D36" s="419"/>
      <c r="E36" s="419"/>
      <c r="F36" s="419"/>
      <c r="G36" s="419"/>
      <c r="H36" s="419"/>
      <c r="I36" s="420"/>
      <c r="J36" s="2055">
        <v>20</v>
      </c>
      <c r="K36" s="2056"/>
      <c r="L36" s="2056"/>
      <c r="M36" s="2056"/>
      <c r="N36" s="2058">
        <v>1</v>
      </c>
      <c r="O36" s="2056"/>
      <c r="P36" s="2056"/>
      <c r="Q36" s="2057"/>
      <c r="R36" s="2058">
        <v>0</v>
      </c>
      <c r="S36" s="2056"/>
      <c r="T36" s="2056"/>
      <c r="U36" s="2057"/>
      <c r="V36" s="2058">
        <v>0</v>
      </c>
      <c r="W36" s="2056"/>
      <c r="X36" s="2056"/>
      <c r="Y36" s="2057"/>
      <c r="Z36" s="2058">
        <v>0</v>
      </c>
      <c r="AA36" s="2056"/>
      <c r="AB36" s="2056"/>
      <c r="AC36" s="2056"/>
      <c r="AD36" s="2051">
        <f t="shared" si="0"/>
        <v>21</v>
      </c>
      <c r="AE36" s="2052"/>
      <c r="AF36" s="2052"/>
      <c r="AG36" s="2054"/>
      <c r="AH36" s="222"/>
      <c r="AI36" s="1551" t="str">
        <f>IF('Table 7'!BJ15&lt;&gt;'Tables 8-9'!AD36,"Totals in column 7 of this table shall be equal to the totals in Table 7 (column 18 - Total Nationally-funded personnel working in the school).","")</f>
        <v/>
      </c>
      <c r="AJ36" s="222"/>
      <c r="AK36" s="222"/>
      <c r="AL36" s="222"/>
      <c r="AM36" s="222"/>
      <c r="AN36" s="222"/>
      <c r="AO36" s="222"/>
      <c r="AP36" s="222"/>
      <c r="AQ36" s="222"/>
      <c r="AR36" s="222"/>
      <c r="AS36" s="222"/>
      <c r="AT36" s="222"/>
      <c r="AU36" s="222"/>
      <c r="AV36" s="222"/>
      <c r="AW36" s="222"/>
      <c r="AX36" s="222"/>
      <c r="AY36" s="222"/>
      <c r="AZ36" s="222"/>
      <c r="BA36" s="222"/>
      <c r="BB36" s="222"/>
      <c r="BC36" s="222"/>
      <c r="BD36" s="222"/>
      <c r="BE36" s="222"/>
      <c r="BF36" s="222"/>
      <c r="BG36" s="222"/>
      <c r="BH36" s="222"/>
      <c r="BI36" s="222"/>
      <c r="BJ36" s="222"/>
      <c r="BK36" s="222"/>
    </row>
    <row r="37" spans="1:63" ht="30" customHeight="1">
      <c r="A37" s="222"/>
      <c r="B37" s="421"/>
      <c r="C37" s="422" t="s">
        <v>259</v>
      </c>
      <c r="D37" s="423"/>
      <c r="E37" s="423"/>
      <c r="F37" s="423"/>
      <c r="G37" s="423"/>
      <c r="H37" s="423"/>
      <c r="I37" s="424"/>
      <c r="J37" s="2055">
        <v>7</v>
      </c>
      <c r="K37" s="2056"/>
      <c r="L37" s="2056"/>
      <c r="M37" s="2056"/>
      <c r="N37" s="2058">
        <v>0</v>
      </c>
      <c r="O37" s="2056"/>
      <c r="P37" s="2056"/>
      <c r="Q37" s="2057"/>
      <c r="R37" s="2058">
        <v>0</v>
      </c>
      <c r="S37" s="2056"/>
      <c r="T37" s="2056"/>
      <c r="U37" s="2057"/>
      <c r="V37" s="2058">
        <v>0</v>
      </c>
      <c r="W37" s="2056"/>
      <c r="X37" s="2056"/>
      <c r="Y37" s="2057"/>
      <c r="Z37" s="2058">
        <v>0</v>
      </c>
      <c r="AA37" s="2056"/>
      <c r="AB37" s="2056"/>
      <c r="AC37" s="2056"/>
      <c r="AD37" s="2051">
        <f t="shared" si="0"/>
        <v>7</v>
      </c>
      <c r="AE37" s="2052"/>
      <c r="AF37" s="2052"/>
      <c r="AG37" s="2054"/>
      <c r="AH37" s="222"/>
      <c r="AI37" s="1551" t="str">
        <f>IF('Table 7'!BJ16&lt;&gt;'Tables 8-9'!AD37,"Totals in column 7 of this table shall be equal to the totals in Table 7 (column 18 - Total Nationally-funded personnel working in the school).","")</f>
        <v/>
      </c>
      <c r="AJ37" s="222"/>
      <c r="AK37" s="222"/>
      <c r="AL37" s="222"/>
      <c r="AM37" s="222"/>
      <c r="AN37" s="222"/>
      <c r="AO37" s="222"/>
      <c r="AP37" s="222"/>
      <c r="AQ37" s="222"/>
      <c r="AR37" s="222"/>
      <c r="AS37" s="222"/>
      <c r="AT37" s="222"/>
      <c r="AU37" s="222"/>
      <c r="AV37" s="222"/>
      <c r="AW37" s="222"/>
      <c r="AX37" s="222"/>
      <c r="AY37" s="222"/>
      <c r="AZ37" s="222"/>
      <c r="BA37" s="222"/>
      <c r="BB37" s="222"/>
      <c r="BC37" s="222"/>
      <c r="BD37" s="222"/>
      <c r="BE37" s="222"/>
      <c r="BF37" s="222"/>
      <c r="BG37" s="222"/>
      <c r="BH37" s="222"/>
      <c r="BI37" s="222"/>
      <c r="BJ37" s="222"/>
      <c r="BK37" s="222"/>
    </row>
    <row r="38" spans="1:63" ht="30" customHeight="1" thickBot="1">
      <c r="A38" s="222"/>
      <c r="B38" s="427"/>
      <c r="C38" s="224" t="s">
        <v>260</v>
      </c>
      <c r="D38" s="331"/>
      <c r="E38" s="331"/>
      <c r="F38" s="331"/>
      <c r="G38" s="331"/>
      <c r="H38" s="331"/>
      <c r="I38" s="428"/>
      <c r="J38" s="2250">
        <v>1</v>
      </c>
      <c r="K38" s="2239"/>
      <c r="L38" s="2239"/>
      <c r="M38" s="2239"/>
      <c r="N38" s="2238">
        <v>0</v>
      </c>
      <c r="O38" s="2239"/>
      <c r="P38" s="2239"/>
      <c r="Q38" s="2240"/>
      <c r="R38" s="2238">
        <v>0</v>
      </c>
      <c r="S38" s="2239"/>
      <c r="T38" s="2239"/>
      <c r="U38" s="2240"/>
      <c r="V38" s="2238">
        <v>0</v>
      </c>
      <c r="W38" s="2239"/>
      <c r="X38" s="2239"/>
      <c r="Y38" s="2240"/>
      <c r="Z38" s="2238">
        <v>0</v>
      </c>
      <c r="AA38" s="2239"/>
      <c r="AB38" s="2239"/>
      <c r="AC38" s="2239"/>
      <c r="AD38" s="2241">
        <f t="shared" si="0"/>
        <v>1</v>
      </c>
      <c r="AE38" s="2242"/>
      <c r="AF38" s="2242"/>
      <c r="AG38" s="2243"/>
      <c r="AH38" s="222"/>
      <c r="AI38" s="1551" t="str">
        <f>IF('Table 7'!BJ17&lt;&gt;'Tables 8-9'!AD38,"Totals in column 7 of this table shall be equal to the totals in Table 7 (column 18 - Total Nationally-funded personnel working in the school).","")</f>
        <v/>
      </c>
      <c r="AJ38" s="222"/>
      <c r="AK38" s="222"/>
      <c r="AL38" s="222"/>
      <c r="AM38" s="222"/>
      <c r="AN38" s="222"/>
      <c r="AO38" s="222"/>
      <c r="AP38" s="222"/>
      <c r="AQ38" s="222"/>
      <c r="AR38" s="222"/>
      <c r="AS38" s="222"/>
      <c r="AT38" s="222"/>
      <c r="AU38" s="222"/>
      <c r="AV38" s="222"/>
      <c r="AW38" s="222"/>
      <c r="AX38" s="222"/>
      <c r="AY38" s="222"/>
      <c r="AZ38" s="222"/>
      <c r="BA38" s="222"/>
      <c r="BB38" s="222"/>
      <c r="BC38" s="222"/>
      <c r="BD38" s="222"/>
      <c r="BE38" s="222"/>
      <c r="BF38" s="222"/>
      <c r="BG38" s="222"/>
      <c r="BH38" s="222"/>
      <c r="BI38" s="222"/>
      <c r="BJ38" s="222"/>
      <c r="BK38" s="222"/>
    </row>
    <row r="39" spans="1:63" ht="30" customHeight="1" thickTop="1" thickBot="1">
      <c r="A39" s="222"/>
      <c r="B39" s="2307" t="s">
        <v>42</v>
      </c>
      <c r="C39" s="2308"/>
      <c r="D39" s="2308"/>
      <c r="E39" s="2308"/>
      <c r="F39" s="2308"/>
      <c r="G39" s="2308"/>
      <c r="H39" s="2308"/>
      <c r="I39" s="2309"/>
      <c r="J39" s="2251">
        <f>SUM(J31:M38)</f>
        <v>28</v>
      </c>
      <c r="K39" s="2245"/>
      <c r="L39" s="2245"/>
      <c r="M39" s="2245"/>
      <c r="N39" s="2251">
        <f>SUM(N31:Q38)</f>
        <v>1</v>
      </c>
      <c r="O39" s="2245"/>
      <c r="P39" s="2245"/>
      <c r="Q39" s="2245"/>
      <c r="R39" s="2244">
        <f>SUM(R31:U38)</f>
        <v>0</v>
      </c>
      <c r="S39" s="2245"/>
      <c r="T39" s="2245"/>
      <c r="U39" s="2246"/>
      <c r="V39" s="2244">
        <f>SUM(V31:Y38)</f>
        <v>0</v>
      </c>
      <c r="W39" s="2245"/>
      <c r="X39" s="2245"/>
      <c r="Y39" s="2246"/>
      <c r="Z39" s="2244">
        <f>SUM(Z31:AC38)</f>
        <v>0</v>
      </c>
      <c r="AA39" s="2245"/>
      <c r="AB39" s="2245"/>
      <c r="AC39" s="2245"/>
      <c r="AD39" s="2247">
        <f t="shared" si="0"/>
        <v>29</v>
      </c>
      <c r="AE39" s="2248"/>
      <c r="AF39" s="2248"/>
      <c r="AG39" s="2249"/>
      <c r="AH39" s="222"/>
      <c r="AI39" s="222"/>
      <c r="AJ39" s="222"/>
      <c r="AK39" s="222"/>
      <c r="AL39" s="222"/>
      <c r="AM39" s="222"/>
      <c r="AN39" s="222"/>
      <c r="AO39" s="222"/>
      <c r="AP39" s="222"/>
      <c r="AQ39" s="222"/>
      <c r="AR39" s="222"/>
      <c r="AS39" s="222"/>
      <c r="AT39" s="222"/>
      <c r="AU39" s="222"/>
      <c r="AV39" s="222"/>
      <c r="AW39" s="222"/>
      <c r="AX39" s="222"/>
      <c r="AY39" s="222"/>
      <c r="AZ39" s="222"/>
      <c r="BA39" s="222"/>
      <c r="BB39" s="222"/>
      <c r="BC39" s="222"/>
      <c r="BD39" s="222"/>
      <c r="BE39" s="222"/>
      <c r="BF39" s="222"/>
      <c r="BG39" s="222"/>
      <c r="BH39" s="222"/>
      <c r="BI39" s="222"/>
      <c r="BJ39" s="222"/>
      <c r="BK39" s="222"/>
    </row>
    <row r="40" spans="1:63" s="8" customFormat="1" ht="35.25" customHeight="1">
      <c r="A40" s="429"/>
      <c r="B40" s="2310" t="s">
        <v>1104</v>
      </c>
      <c r="C40" s="2310"/>
      <c r="D40" s="2310"/>
      <c r="E40" s="2310"/>
      <c r="F40" s="2310"/>
      <c r="G40" s="2310"/>
      <c r="H40" s="2310"/>
      <c r="I40" s="2310"/>
      <c r="J40" s="2310"/>
      <c r="K40" s="2310"/>
      <c r="L40" s="2310"/>
      <c r="M40" s="2310"/>
      <c r="N40" s="2310"/>
      <c r="O40" s="2310"/>
      <c r="P40" s="2310"/>
      <c r="Q40" s="2310"/>
      <c r="R40" s="2310"/>
      <c r="S40" s="2310"/>
      <c r="T40" s="2310"/>
      <c r="U40" s="2310"/>
      <c r="V40" s="2310"/>
      <c r="W40" s="2310"/>
      <c r="X40" s="2310"/>
      <c r="Y40" s="2310"/>
      <c r="Z40" s="2310"/>
      <c r="AA40" s="2310"/>
      <c r="AB40" s="2310"/>
      <c r="AC40" s="2310"/>
      <c r="AD40" s="2310"/>
      <c r="AE40" s="2310"/>
      <c r="AF40" s="2310"/>
      <c r="AG40" s="2310"/>
      <c r="AH40" s="429"/>
      <c r="AI40" s="429"/>
      <c r="AJ40" s="429"/>
      <c r="AK40" s="429"/>
      <c r="AL40" s="429"/>
      <c r="AM40" s="429"/>
      <c r="AN40" s="429"/>
      <c r="AO40" s="429"/>
      <c r="AP40" s="1548"/>
      <c r="AQ40" s="429"/>
      <c r="AR40" s="429"/>
      <c r="AS40" s="429"/>
      <c r="AT40" s="429"/>
      <c r="AU40" s="429"/>
      <c r="AV40" s="429"/>
      <c r="AW40" s="429"/>
      <c r="AX40" s="429"/>
      <c r="AY40" s="429"/>
      <c r="AZ40" s="429"/>
      <c r="BA40" s="429"/>
      <c r="BB40" s="429"/>
      <c r="BC40" s="429"/>
      <c r="BD40" s="429"/>
      <c r="BE40" s="429"/>
      <c r="BF40" s="429"/>
      <c r="BG40" s="429"/>
      <c r="BH40" s="429"/>
      <c r="BI40" s="429"/>
      <c r="BJ40" s="429"/>
      <c r="BK40" s="429"/>
    </row>
    <row r="41" spans="1:63" s="11" customFormat="1" ht="12" customHeight="1">
      <c r="A41" s="430"/>
      <c r="B41" s="431"/>
      <c r="C41" s="429"/>
      <c r="D41" s="432"/>
      <c r="E41" s="432"/>
      <c r="F41" s="432"/>
      <c r="G41" s="432"/>
      <c r="H41" s="432"/>
      <c r="I41" s="432"/>
      <c r="J41" s="432"/>
      <c r="K41" s="432"/>
      <c r="L41" s="432"/>
      <c r="M41" s="430"/>
      <c r="N41" s="430"/>
      <c r="O41" s="430"/>
      <c r="P41" s="430"/>
      <c r="Q41" s="430"/>
      <c r="R41" s="430"/>
      <c r="S41" s="430"/>
      <c r="T41" s="430"/>
      <c r="U41" s="430"/>
      <c r="V41" s="430"/>
      <c r="W41" s="430"/>
      <c r="X41" s="430"/>
      <c r="Y41" s="430"/>
      <c r="Z41" s="430"/>
      <c r="AA41" s="430"/>
      <c r="AB41" s="430"/>
      <c r="AC41" s="430"/>
      <c r="AD41" s="430"/>
      <c r="AE41" s="430"/>
      <c r="AF41" s="430"/>
      <c r="AG41" s="430"/>
      <c r="AH41" s="430"/>
      <c r="AI41" s="430"/>
      <c r="AJ41" s="430"/>
      <c r="AK41" s="430"/>
      <c r="AL41" s="430"/>
      <c r="AM41" s="430"/>
      <c r="AN41" s="430"/>
      <c r="AO41" s="430"/>
      <c r="AP41" s="1548"/>
      <c r="AQ41" s="430"/>
      <c r="AR41" s="430"/>
      <c r="AS41" s="430"/>
      <c r="AT41" s="430"/>
      <c r="AU41" s="430"/>
      <c r="AV41" s="430"/>
      <c r="AW41" s="430"/>
      <c r="AX41" s="430"/>
      <c r="AY41" s="430"/>
      <c r="AZ41" s="430"/>
      <c r="BA41" s="430"/>
      <c r="BB41" s="430"/>
      <c r="BC41" s="430"/>
      <c r="BD41" s="430"/>
      <c r="BE41" s="430"/>
      <c r="BF41" s="430"/>
      <c r="BG41" s="430"/>
      <c r="BH41" s="430"/>
      <c r="BI41" s="430"/>
      <c r="BJ41" s="430"/>
      <c r="BK41" s="430"/>
    </row>
    <row r="42" spans="1:63" s="54" customFormat="1" ht="15.75" customHeight="1">
      <c r="A42" s="433"/>
      <c r="B42" s="227" t="s">
        <v>268</v>
      </c>
      <c r="C42" s="227"/>
      <c r="D42" s="227"/>
      <c r="E42" s="1994" t="s">
        <v>1813</v>
      </c>
      <c r="F42" s="1994"/>
      <c r="G42" s="1994"/>
      <c r="H42" s="1994"/>
      <c r="I42" s="1994"/>
      <c r="J42" s="1994"/>
      <c r="K42" s="1994"/>
      <c r="L42" s="1994"/>
      <c r="M42" s="1994"/>
      <c r="N42" s="1994"/>
      <c r="O42" s="1994"/>
      <c r="P42" s="1994"/>
      <c r="Q42" s="1994"/>
      <c r="R42" s="1994"/>
      <c r="S42" s="1994"/>
      <c r="T42" s="1994"/>
      <c r="U42" s="1994"/>
      <c r="V42" s="1994"/>
      <c r="W42" s="1994"/>
      <c r="X42" s="1994"/>
      <c r="Y42" s="1994"/>
      <c r="Z42" s="1994"/>
      <c r="AA42" s="1994"/>
      <c r="AB42" s="1994"/>
      <c r="AC42" s="1994"/>
      <c r="AD42" s="1994"/>
      <c r="AE42" s="1994"/>
      <c r="AF42" s="1994"/>
      <c r="AG42" s="1994"/>
      <c r="AH42" s="433"/>
      <c r="AI42" s="433"/>
      <c r="AJ42" s="433"/>
      <c r="AK42" s="433"/>
      <c r="AL42" s="433"/>
      <c r="AM42" s="433"/>
      <c r="AN42" s="433"/>
      <c r="AO42" s="275"/>
      <c r="AP42" s="1549"/>
      <c r="AQ42" s="275"/>
      <c r="AR42" s="275"/>
      <c r="AS42" s="433"/>
      <c r="AT42" s="433"/>
      <c r="AU42" s="433"/>
      <c r="AV42" s="433"/>
      <c r="AW42" s="433"/>
      <c r="AX42" s="433"/>
      <c r="AY42" s="433"/>
      <c r="AZ42" s="433"/>
      <c r="BA42" s="433"/>
      <c r="BB42" s="433"/>
      <c r="BC42" s="433"/>
      <c r="BD42" s="433"/>
      <c r="BE42" s="433"/>
      <c r="BF42" s="433"/>
      <c r="BG42" s="433"/>
      <c r="BH42" s="433"/>
      <c r="BI42" s="433"/>
      <c r="BJ42" s="433"/>
      <c r="BK42" s="433"/>
    </row>
    <row r="43" spans="1:63" s="28" customFormat="1" ht="15" customHeight="1">
      <c r="A43" s="403"/>
      <c r="B43" s="403"/>
      <c r="C43" s="404"/>
      <c r="D43" s="405"/>
      <c r="E43" s="1994"/>
      <c r="F43" s="1994"/>
      <c r="G43" s="1994"/>
      <c r="H43" s="1994"/>
      <c r="I43" s="1994"/>
      <c r="J43" s="1994"/>
      <c r="K43" s="1994"/>
      <c r="L43" s="1994"/>
      <c r="M43" s="1994"/>
      <c r="N43" s="1994"/>
      <c r="O43" s="1994"/>
      <c r="P43" s="1994"/>
      <c r="Q43" s="1994"/>
      <c r="R43" s="1994"/>
      <c r="S43" s="1994"/>
      <c r="T43" s="1994"/>
      <c r="U43" s="1994"/>
      <c r="V43" s="1994"/>
      <c r="W43" s="1994"/>
      <c r="X43" s="1994"/>
      <c r="Y43" s="1994"/>
      <c r="Z43" s="1994"/>
      <c r="AA43" s="1994"/>
      <c r="AB43" s="1994"/>
      <c r="AC43" s="1994"/>
      <c r="AD43" s="1994"/>
      <c r="AE43" s="1994"/>
      <c r="AF43" s="1994"/>
      <c r="AG43" s="1994"/>
      <c r="AH43" s="403"/>
      <c r="AI43" s="403"/>
      <c r="AJ43" s="403"/>
      <c r="AK43" s="403"/>
      <c r="AL43" s="403"/>
      <c r="AM43" s="403"/>
      <c r="AN43" s="403"/>
      <c r="AO43" s="403"/>
      <c r="AP43" s="403"/>
      <c r="AQ43" s="403"/>
      <c r="AR43" s="403"/>
      <c r="AS43" s="403"/>
      <c r="AT43" s="403"/>
      <c r="AU43" s="403"/>
      <c r="AV43" s="403"/>
      <c r="AW43" s="403"/>
      <c r="AX43" s="403"/>
      <c r="AY43" s="403"/>
      <c r="AZ43" s="403"/>
      <c r="BA43" s="403"/>
      <c r="BB43" s="403"/>
      <c r="BC43" s="403"/>
      <c r="BD43" s="403"/>
      <c r="BE43" s="403"/>
      <c r="BF43" s="403"/>
      <c r="BG43" s="403"/>
      <c r="BH43" s="403"/>
      <c r="BI43" s="403"/>
      <c r="BJ43" s="403"/>
      <c r="BK43" s="403"/>
    </row>
    <row r="44" spans="1:63" ht="30.75" customHeight="1">
      <c r="A44" s="222"/>
      <c r="B44" s="227"/>
      <c r="C44" s="222"/>
      <c r="D44" s="227"/>
      <c r="E44" s="222"/>
      <c r="F44" s="227"/>
      <c r="G44" s="222"/>
      <c r="H44" s="227"/>
      <c r="I44" s="222"/>
      <c r="J44" s="227"/>
      <c r="K44" s="222"/>
      <c r="L44" s="227"/>
      <c r="M44" s="222"/>
      <c r="N44" s="227"/>
      <c r="O44" s="222"/>
      <c r="P44" s="222"/>
      <c r="Q44" s="227"/>
      <c r="R44" s="222"/>
      <c r="S44" s="222"/>
      <c r="T44" s="227"/>
      <c r="U44" s="222"/>
      <c r="V44" s="227"/>
      <c r="W44" s="222"/>
      <c r="X44" s="227"/>
      <c r="Y44" s="222"/>
      <c r="Z44" s="227"/>
      <c r="AA44" s="222"/>
      <c r="AB44" s="227"/>
      <c r="AC44" s="222"/>
      <c r="AD44" s="227"/>
      <c r="AE44" s="222"/>
      <c r="AF44" s="227"/>
      <c r="AG44" s="222"/>
      <c r="AH44" s="222"/>
      <c r="AI44" s="222"/>
      <c r="AJ44" s="222"/>
      <c r="AK44" s="222"/>
      <c r="AL44" s="222"/>
      <c r="AM44" s="222"/>
      <c r="AN44" s="222"/>
      <c r="AO44" s="222"/>
      <c r="AP44" s="222"/>
      <c r="AQ44" s="222"/>
      <c r="AR44" s="222"/>
      <c r="AS44" s="222"/>
      <c r="AT44" s="222"/>
      <c r="AU44" s="222"/>
      <c r="AV44" s="222"/>
      <c r="AW44" s="222"/>
      <c r="AX44" s="222"/>
      <c r="AY44" s="222"/>
      <c r="AZ44" s="222"/>
      <c r="BA44" s="222"/>
      <c r="BB44" s="222"/>
      <c r="BC44" s="222"/>
      <c r="BD44" s="222"/>
      <c r="BE44" s="222"/>
      <c r="BF44" s="222"/>
      <c r="BG44" s="222"/>
      <c r="BH44" s="222"/>
      <c r="BI44" s="222"/>
      <c r="BJ44" s="222"/>
      <c r="BK44" s="222"/>
    </row>
    <row r="45" spans="1:63" s="1" customFormat="1">
      <c r="A45" s="331"/>
      <c r="B45" s="223" t="s">
        <v>74</v>
      </c>
      <c r="C45" s="331"/>
      <c r="D45" s="331"/>
      <c r="E45" s="331"/>
      <c r="F45" s="331"/>
      <c r="G45" s="331"/>
      <c r="H45" s="331"/>
      <c r="I45" s="331"/>
      <c r="J45" s="331"/>
      <c r="K45" s="331"/>
      <c r="L45" s="331"/>
      <c r="M45" s="331"/>
      <c r="N45" s="331"/>
      <c r="O45" s="331"/>
      <c r="P45" s="331"/>
      <c r="Q45" s="331"/>
      <c r="R45" s="331"/>
      <c r="S45" s="331"/>
      <c r="T45" s="223" t="s">
        <v>134</v>
      </c>
      <c r="U45" s="222"/>
      <c r="V45" s="222"/>
      <c r="W45" s="222"/>
      <c r="X45" s="222"/>
      <c r="Y45" s="222"/>
      <c r="Z45" s="222"/>
      <c r="AA45" s="222"/>
      <c r="AB45" s="222"/>
      <c r="AC45" s="222"/>
      <c r="AD45" s="222"/>
      <c r="AE45" s="222"/>
      <c r="AF45" s="222"/>
      <c r="AG45" s="331"/>
      <c r="AH45" s="331"/>
      <c r="AI45" s="331"/>
      <c r="AJ45" s="331"/>
      <c r="AK45" s="331"/>
      <c r="AL45" s="331"/>
      <c r="AM45" s="331"/>
      <c r="AN45" s="331"/>
      <c r="AO45" s="331"/>
      <c r="AP45" s="331"/>
      <c r="AQ45" s="331"/>
      <c r="AR45" s="331"/>
      <c r="AS45" s="331"/>
      <c r="AT45" s="331"/>
      <c r="AU45" s="331"/>
      <c r="AV45" s="331"/>
      <c r="AW45" s="331"/>
      <c r="AX45" s="331"/>
      <c r="AY45" s="331"/>
      <c r="AZ45" s="331"/>
      <c r="BA45" s="331"/>
      <c r="BB45" s="331"/>
      <c r="BC45" s="331"/>
      <c r="BD45" s="331"/>
      <c r="BE45" s="331"/>
      <c r="BF45" s="331"/>
      <c r="BG45" s="331"/>
      <c r="BH45" s="331"/>
      <c r="BI45" s="331"/>
      <c r="BJ45" s="331"/>
      <c r="BK45" s="331"/>
    </row>
    <row r="46" spans="1:63" s="1" customFormat="1" ht="21.75" customHeight="1">
      <c r="A46" s="331"/>
      <c r="B46" s="223" t="s">
        <v>75</v>
      </c>
      <c r="C46" s="331"/>
      <c r="D46" s="331"/>
      <c r="E46" s="331"/>
      <c r="F46" s="2012" t="str">
        <f>activesheet!E21</f>
        <v>MELCHESIEDICK Q. BOLANIO / March 17, 2023</v>
      </c>
      <c r="G46" s="2012"/>
      <c r="H46" s="2012"/>
      <c r="I46" s="2012"/>
      <c r="J46" s="2012"/>
      <c r="K46" s="2012"/>
      <c r="L46" s="2012"/>
      <c r="M46" s="2012"/>
      <c r="N46" s="2012"/>
      <c r="O46" s="2012"/>
      <c r="P46" s="331"/>
      <c r="Q46" s="331"/>
      <c r="R46" s="331"/>
      <c r="S46" s="331"/>
      <c r="T46" s="2012" t="str">
        <f>activesheet!E438</f>
        <v>ELMA CEZARIE Y. ROMERO / March 17, 2023</v>
      </c>
      <c r="U46" s="2012"/>
      <c r="V46" s="2012"/>
      <c r="W46" s="2012"/>
      <c r="X46" s="2012"/>
      <c r="Y46" s="2012"/>
      <c r="Z46" s="2012"/>
      <c r="AA46" s="2012"/>
      <c r="AB46" s="2012"/>
      <c r="AC46" s="2012"/>
      <c r="AD46" s="2012"/>
      <c r="AE46" s="2012"/>
      <c r="AF46" s="2012"/>
      <c r="AG46" s="2012"/>
      <c r="AH46" s="331"/>
      <c r="AI46" s="331"/>
      <c r="AJ46" s="331"/>
      <c r="AK46" s="331"/>
      <c r="AL46" s="331"/>
      <c r="AM46" s="331"/>
      <c r="AN46" s="331"/>
      <c r="AO46" s="331"/>
      <c r="AP46" s="331"/>
      <c r="AQ46" s="331"/>
      <c r="AR46" s="331"/>
      <c r="AS46" s="331"/>
      <c r="AT46" s="331"/>
      <c r="AU46" s="331"/>
      <c r="AV46" s="331"/>
      <c r="AW46" s="331"/>
      <c r="AX46" s="331"/>
      <c r="AY46" s="331"/>
      <c r="AZ46" s="331"/>
      <c r="BA46" s="331"/>
      <c r="BB46" s="331"/>
      <c r="BC46" s="331"/>
      <c r="BD46" s="331"/>
      <c r="BE46" s="331"/>
      <c r="BF46" s="331"/>
      <c r="BG46" s="331"/>
      <c r="BH46" s="331"/>
      <c r="BI46" s="331"/>
      <c r="BJ46" s="331"/>
      <c r="BK46" s="331"/>
    </row>
    <row r="47" spans="1:63" s="2" customFormat="1" ht="13.5">
      <c r="A47" s="325"/>
      <c r="B47" s="228"/>
      <c r="C47" s="325"/>
      <c r="D47" s="325"/>
      <c r="E47" s="325"/>
      <c r="F47" s="1811" t="s">
        <v>37</v>
      </c>
      <c r="G47" s="1811"/>
      <c r="H47" s="1811"/>
      <c r="I47" s="1811"/>
      <c r="J47" s="1811"/>
      <c r="K47" s="1811"/>
      <c r="L47" s="1811"/>
      <c r="M47" s="1811"/>
      <c r="N47" s="1811"/>
      <c r="O47" s="1811"/>
      <c r="P47" s="281"/>
      <c r="Q47" s="281"/>
      <c r="R47" s="281"/>
      <c r="S47" s="281"/>
      <c r="T47" s="1811" t="s">
        <v>37</v>
      </c>
      <c r="U47" s="1811"/>
      <c r="V47" s="1811"/>
      <c r="W47" s="1811"/>
      <c r="X47" s="1811"/>
      <c r="Y47" s="1811"/>
      <c r="Z47" s="1811"/>
      <c r="AA47" s="1811"/>
      <c r="AB47" s="1811"/>
      <c r="AC47" s="1811"/>
      <c r="AD47" s="1811"/>
      <c r="AE47" s="1811"/>
      <c r="AF47" s="1811"/>
      <c r="AG47" s="1811"/>
      <c r="AH47" s="325"/>
      <c r="AI47" s="325"/>
      <c r="AJ47" s="325"/>
      <c r="AK47" s="325"/>
      <c r="AL47" s="325"/>
      <c r="AM47" s="325"/>
      <c r="AN47" s="325"/>
      <c r="AO47" s="325"/>
      <c r="AP47" s="325"/>
      <c r="AQ47" s="325"/>
      <c r="AR47" s="325"/>
      <c r="AS47" s="325"/>
      <c r="AT47" s="325"/>
      <c r="AU47" s="325"/>
      <c r="AV47" s="325"/>
      <c r="AW47" s="325"/>
      <c r="AX47" s="325"/>
      <c r="AY47" s="325"/>
      <c r="AZ47" s="325"/>
      <c r="BA47" s="325"/>
      <c r="BB47" s="325"/>
      <c r="BC47" s="325"/>
      <c r="BD47" s="325"/>
      <c r="BE47" s="325"/>
      <c r="BF47" s="325"/>
      <c r="BG47" s="325"/>
      <c r="BH47" s="325"/>
      <c r="BI47" s="325"/>
      <c r="BJ47" s="325"/>
      <c r="BK47" s="325"/>
    </row>
    <row r="48" spans="1:63" s="1" customFormat="1" ht="21.75" customHeight="1">
      <c r="A48" s="331"/>
      <c r="B48" s="223" t="s">
        <v>58</v>
      </c>
      <c r="C48" s="331"/>
      <c r="D48" s="331"/>
      <c r="E48" s="331"/>
      <c r="F48" s="2012" t="str">
        <f>activesheet!E22</f>
        <v>SECONDARY SCHOOL PRINCIPAL IV</v>
      </c>
      <c r="G48" s="2012"/>
      <c r="H48" s="2012"/>
      <c r="I48" s="2012"/>
      <c r="J48" s="2012"/>
      <c r="K48" s="2012"/>
      <c r="L48" s="2012"/>
      <c r="M48" s="2012"/>
      <c r="N48" s="2012"/>
      <c r="O48" s="2012"/>
      <c r="P48" s="331"/>
      <c r="Q48" s="331"/>
      <c r="R48" s="331"/>
      <c r="S48" s="331"/>
      <c r="T48" s="223" t="s">
        <v>58</v>
      </c>
      <c r="U48" s="222"/>
      <c r="V48" s="222"/>
      <c r="W48" s="222"/>
      <c r="X48" s="2012" t="str">
        <f>activesheet!E439</f>
        <v>ADMINISTRATIVE OFFICER IV</v>
      </c>
      <c r="Y48" s="2012"/>
      <c r="Z48" s="2012"/>
      <c r="AA48" s="2012"/>
      <c r="AB48" s="2012"/>
      <c r="AC48" s="2012"/>
      <c r="AD48" s="2012"/>
      <c r="AE48" s="2012"/>
      <c r="AF48" s="2012"/>
      <c r="AG48" s="2012"/>
      <c r="AH48" s="331"/>
      <c r="AI48" s="331"/>
      <c r="AJ48" s="331"/>
      <c r="AK48" s="331"/>
      <c r="AL48" s="331"/>
      <c r="AM48" s="331"/>
      <c r="AN48" s="331"/>
      <c r="AO48" s="331"/>
      <c r="AP48" s="331"/>
      <c r="AQ48" s="331"/>
      <c r="AR48" s="331"/>
      <c r="AS48" s="331"/>
      <c r="AT48" s="331"/>
      <c r="AU48" s="331"/>
      <c r="AV48" s="331"/>
      <c r="AW48" s="331"/>
      <c r="AX48" s="331"/>
      <c r="AY48" s="331"/>
      <c r="AZ48" s="331"/>
      <c r="BA48" s="331"/>
      <c r="BB48" s="331"/>
      <c r="BC48" s="331"/>
      <c r="BD48" s="331"/>
      <c r="BE48" s="331"/>
      <c r="BF48" s="331"/>
      <c r="BG48" s="331"/>
      <c r="BH48" s="331"/>
      <c r="BI48" s="331"/>
      <c r="BJ48" s="331"/>
      <c r="BK48" s="331"/>
    </row>
    <row r="49" spans="1:63" s="3" customFormat="1" ht="30.75" customHeight="1">
      <c r="A49" s="240"/>
      <c r="B49" s="239"/>
      <c r="C49" s="240"/>
      <c r="D49" s="239"/>
      <c r="E49" s="240"/>
      <c r="F49" s="239"/>
      <c r="G49" s="240"/>
      <c r="H49" s="239"/>
      <c r="I49" s="240"/>
      <c r="J49" s="239"/>
      <c r="K49" s="222"/>
      <c r="L49" s="227"/>
      <c r="M49" s="222"/>
      <c r="N49" s="227"/>
      <c r="O49" s="227"/>
      <c r="P49" s="227"/>
      <c r="Q49" s="222"/>
      <c r="R49" s="227"/>
      <c r="S49" s="222"/>
      <c r="T49" s="227"/>
      <c r="U49" s="222"/>
      <c r="V49" s="227"/>
      <c r="W49" s="222"/>
      <c r="X49" s="227"/>
      <c r="Y49" s="222"/>
      <c r="Z49" s="227"/>
      <c r="AA49" s="222"/>
      <c r="AB49" s="227"/>
      <c r="AC49" s="239"/>
      <c r="AD49" s="240"/>
      <c r="AE49" s="239"/>
      <c r="AF49" s="239"/>
      <c r="AG49" s="240"/>
      <c r="AH49" s="239"/>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row>
    <row r="50" spans="1:63" s="1" customFormat="1">
      <c r="A50" s="331"/>
      <c r="B50" s="222"/>
      <c r="C50" s="227"/>
      <c r="D50" s="222"/>
      <c r="E50" s="227"/>
      <c r="F50" s="222"/>
      <c r="G50" s="227"/>
      <c r="H50" s="222"/>
      <c r="I50" s="227"/>
      <c r="J50" s="222"/>
      <c r="K50" s="223" t="s">
        <v>33</v>
      </c>
      <c r="L50" s="331"/>
      <c r="M50" s="331"/>
      <c r="N50" s="331"/>
      <c r="O50" s="331"/>
      <c r="P50" s="331"/>
      <c r="Q50" s="331"/>
      <c r="R50" s="331"/>
      <c r="S50" s="331"/>
      <c r="T50" s="331"/>
      <c r="U50" s="331"/>
      <c r="V50" s="331"/>
      <c r="W50" s="331"/>
      <c r="X50" s="331"/>
      <c r="Y50" s="331"/>
      <c r="Z50" s="331"/>
      <c r="AA50" s="331"/>
      <c r="AB50" s="331"/>
      <c r="AC50" s="331"/>
      <c r="AD50" s="331"/>
      <c r="AE50" s="331"/>
      <c r="AF50" s="331"/>
      <c r="AG50" s="331"/>
      <c r="AH50" s="331"/>
      <c r="AI50" s="331"/>
      <c r="AJ50" s="331"/>
      <c r="AK50" s="331"/>
      <c r="AL50" s="331"/>
      <c r="AM50" s="331"/>
      <c r="AN50" s="331"/>
      <c r="AO50" s="331"/>
      <c r="AP50" s="331"/>
      <c r="AQ50" s="331"/>
      <c r="AR50" s="331"/>
      <c r="AS50" s="331"/>
      <c r="AT50" s="331"/>
      <c r="AU50" s="331"/>
      <c r="AV50" s="331"/>
      <c r="AW50" s="331"/>
      <c r="AX50" s="331"/>
      <c r="AY50" s="331"/>
      <c r="AZ50" s="331"/>
      <c r="BA50" s="331"/>
      <c r="BB50" s="331"/>
      <c r="BC50" s="331"/>
      <c r="BD50" s="331"/>
      <c r="BE50" s="331"/>
      <c r="BF50" s="331"/>
      <c r="BG50" s="331"/>
      <c r="BH50" s="331"/>
      <c r="BI50" s="331"/>
      <c r="BJ50" s="331"/>
      <c r="BK50" s="331"/>
    </row>
    <row r="51" spans="1:63" s="1" customFormat="1" ht="21.75" customHeight="1">
      <c r="A51" s="331"/>
      <c r="B51" s="331"/>
      <c r="C51" s="331"/>
      <c r="D51" s="331"/>
      <c r="E51" s="331"/>
      <c r="F51" s="331"/>
      <c r="G51" s="331"/>
      <c r="H51" s="331"/>
      <c r="I51" s="331"/>
      <c r="J51" s="331"/>
      <c r="K51" s="1940" t="str">
        <f>activesheet!E25</f>
        <v>MICHAEL T. JAMIS / March 17, 2023</v>
      </c>
      <c r="L51" s="1940"/>
      <c r="M51" s="1940"/>
      <c r="N51" s="1940"/>
      <c r="O51" s="1940"/>
      <c r="P51" s="1940"/>
      <c r="Q51" s="1940"/>
      <c r="R51" s="1940"/>
      <c r="S51" s="1940"/>
      <c r="T51" s="1940"/>
      <c r="U51" s="1940"/>
      <c r="V51" s="1940"/>
      <c r="W51" s="1940"/>
      <c r="X51" s="1940"/>
      <c r="Y51" s="332"/>
      <c r="Z51" s="332"/>
      <c r="AA51" s="331"/>
      <c r="AB51" s="331"/>
      <c r="AC51" s="331"/>
      <c r="AD51" s="331"/>
      <c r="AE51" s="331"/>
      <c r="AF51" s="331"/>
      <c r="AG51" s="331"/>
      <c r="AH51" s="331"/>
      <c r="AI51" s="331"/>
      <c r="AJ51" s="331"/>
      <c r="AK51" s="331"/>
      <c r="AL51" s="331"/>
      <c r="AM51" s="331"/>
      <c r="AN51" s="331"/>
      <c r="AO51" s="331"/>
      <c r="AP51" s="331"/>
      <c r="AQ51" s="331"/>
      <c r="AR51" s="331"/>
      <c r="AS51" s="331"/>
      <c r="AT51" s="331"/>
      <c r="AU51" s="331"/>
      <c r="AV51" s="331"/>
      <c r="AW51" s="331"/>
      <c r="AX51" s="331"/>
      <c r="AY51" s="331"/>
      <c r="AZ51" s="331"/>
      <c r="BA51" s="331"/>
      <c r="BB51" s="331"/>
      <c r="BC51" s="331"/>
      <c r="BD51" s="331"/>
      <c r="BE51" s="331"/>
      <c r="BF51" s="331"/>
      <c r="BG51" s="331"/>
      <c r="BH51" s="331"/>
      <c r="BI51" s="331"/>
      <c r="BJ51" s="331"/>
      <c r="BK51" s="331"/>
    </row>
    <row r="52" spans="1:63" s="2" customFormat="1" ht="15" customHeight="1">
      <c r="A52" s="325"/>
      <c r="B52" s="325"/>
      <c r="C52" s="325"/>
      <c r="D52" s="325"/>
      <c r="E52" s="325"/>
      <c r="F52" s="325"/>
      <c r="G52" s="325"/>
      <c r="H52" s="325"/>
      <c r="I52" s="325"/>
      <c r="J52" s="325"/>
      <c r="K52" s="1941"/>
      <c r="L52" s="1941"/>
      <c r="M52" s="1941"/>
      <c r="N52" s="1941"/>
      <c r="O52" s="1941"/>
      <c r="P52" s="1941"/>
      <c r="Q52" s="1941"/>
      <c r="R52" s="1941"/>
      <c r="S52" s="1941"/>
      <c r="T52" s="1941"/>
      <c r="U52" s="1941"/>
      <c r="V52" s="1941"/>
      <c r="W52" s="1941"/>
      <c r="X52" s="1941"/>
      <c r="Y52" s="222"/>
      <c r="Z52" s="227"/>
      <c r="AA52" s="222"/>
      <c r="AB52" s="227"/>
      <c r="AC52" s="222"/>
      <c r="AD52" s="227"/>
      <c r="AE52" s="222"/>
      <c r="AF52" s="227"/>
      <c r="AG52" s="222"/>
      <c r="AH52" s="325"/>
      <c r="AI52" s="325"/>
      <c r="AJ52" s="325"/>
      <c r="AK52" s="325"/>
      <c r="AL52" s="325"/>
      <c r="AM52" s="325"/>
      <c r="AN52" s="325"/>
      <c r="AO52" s="325"/>
      <c r="AP52" s="325"/>
      <c r="AQ52" s="325"/>
      <c r="AR52" s="325"/>
      <c r="AS52" s="325"/>
      <c r="AT52" s="325"/>
      <c r="AU52" s="325"/>
      <c r="AV52" s="325"/>
      <c r="AW52" s="325"/>
      <c r="AX52" s="325"/>
      <c r="AY52" s="325"/>
      <c r="AZ52" s="325"/>
      <c r="BA52" s="325"/>
      <c r="BB52" s="325"/>
      <c r="BC52" s="325"/>
      <c r="BD52" s="325"/>
      <c r="BE52" s="325"/>
      <c r="BF52" s="325"/>
      <c r="BG52" s="325"/>
      <c r="BH52" s="325"/>
      <c r="BI52" s="325"/>
      <c r="BJ52" s="325"/>
      <c r="BK52" s="325"/>
    </row>
    <row r="53" spans="1:63" s="44" customFormat="1">
      <c r="A53" s="434"/>
      <c r="B53" s="434"/>
      <c r="C53" s="434"/>
      <c r="D53" s="434"/>
      <c r="E53" s="434"/>
      <c r="F53" s="434"/>
      <c r="G53" s="434"/>
      <c r="H53" s="434"/>
      <c r="I53" s="434"/>
      <c r="J53" s="434"/>
      <c r="K53" s="1811" t="s">
        <v>37</v>
      </c>
      <c r="L53" s="1811"/>
      <c r="M53" s="1811"/>
      <c r="N53" s="1811"/>
      <c r="O53" s="1811"/>
      <c r="P53" s="1811"/>
      <c r="Q53" s="1811"/>
      <c r="R53" s="1811"/>
      <c r="S53" s="1811"/>
      <c r="T53" s="1811"/>
      <c r="U53" s="1811"/>
      <c r="V53" s="1811"/>
      <c r="W53" s="1811"/>
      <c r="X53" s="1811"/>
      <c r="Y53" s="358"/>
      <c r="Z53" s="358"/>
      <c r="AA53" s="434"/>
      <c r="AB53" s="434"/>
      <c r="AC53" s="434"/>
      <c r="AD53" s="434"/>
      <c r="AE53" s="434"/>
      <c r="AF53" s="434"/>
      <c r="AG53" s="434"/>
      <c r="AH53" s="434"/>
      <c r="AI53" s="434"/>
      <c r="AJ53" s="434"/>
      <c r="AK53" s="434"/>
      <c r="AL53" s="434"/>
      <c r="AM53" s="434"/>
      <c r="AN53" s="434"/>
      <c r="AO53" s="434"/>
      <c r="AP53" s="434"/>
      <c r="AQ53" s="434"/>
      <c r="AR53" s="434"/>
      <c r="AS53" s="434"/>
      <c r="AT53" s="434"/>
      <c r="AU53" s="434"/>
      <c r="AV53" s="434"/>
      <c r="AW53" s="434"/>
      <c r="AX53" s="434"/>
      <c r="AY53" s="434"/>
      <c r="AZ53" s="434"/>
      <c r="BA53" s="434"/>
      <c r="BB53" s="434"/>
      <c r="BC53" s="434"/>
      <c r="BD53" s="434"/>
      <c r="BE53" s="434"/>
      <c r="BF53" s="434"/>
      <c r="BG53" s="434"/>
      <c r="BH53" s="434"/>
      <c r="BI53" s="434"/>
      <c r="BJ53" s="434"/>
      <c r="BK53" s="434"/>
    </row>
    <row r="54" spans="1:63">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310"/>
      <c r="AI54" s="435"/>
      <c r="AJ54" s="222"/>
      <c r="AK54" s="222"/>
      <c r="AL54" s="222"/>
      <c r="AM54" s="222"/>
      <c r="AN54" s="310"/>
      <c r="AO54" s="222"/>
      <c r="AP54" s="222"/>
      <c r="AQ54" s="222"/>
      <c r="AR54" s="222"/>
      <c r="AS54" s="222"/>
      <c r="AT54" s="222"/>
      <c r="AU54" s="222"/>
      <c r="AV54" s="222"/>
      <c r="AW54" s="222"/>
      <c r="AX54" s="222"/>
      <c r="AY54" s="222"/>
      <c r="AZ54" s="222"/>
      <c r="BA54" s="222"/>
      <c r="BB54" s="222"/>
      <c r="BC54" s="222"/>
      <c r="BD54" s="222"/>
      <c r="BE54" s="222"/>
      <c r="BF54" s="222"/>
      <c r="BG54" s="222"/>
      <c r="BH54" s="222"/>
      <c r="BI54" s="222"/>
      <c r="BJ54" s="222"/>
      <c r="BK54" s="222"/>
    </row>
    <row r="55" spans="1:63">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c r="BI55" s="222"/>
      <c r="BJ55" s="222"/>
      <c r="BK55" s="222"/>
    </row>
    <row r="56" spans="1:63">
      <c r="A56" s="222"/>
      <c r="B56" s="222"/>
      <c r="C56" s="222"/>
      <c r="D56" s="222"/>
      <c r="E56" s="222"/>
      <c r="F56" s="222"/>
      <c r="G56" s="222"/>
      <c r="H56" s="222"/>
      <c r="I56" s="222"/>
      <c r="J56" s="222"/>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c r="BE56" s="222"/>
      <c r="BF56" s="222"/>
      <c r="BG56" s="222"/>
      <c r="BH56" s="222"/>
      <c r="BI56" s="222"/>
      <c r="BJ56" s="222"/>
      <c r="BK56" s="222"/>
    </row>
  </sheetData>
  <sheetProtection algorithmName="SHA-512" hashValue="S2qPJsraNJg7y/c/u9xkAoenFAGaImxf6QR/DtKB/zfINOV4AXumo2/ZDjo2P59u8wX5JTSSM2v6ZWXFuMnUHQ==" saltValue="/kHutK7wUOJCD7/7/puMrQ==" spinCount="100000" sheet="1" objects="1" scenarios="1"/>
  <customSheetViews>
    <customSheetView guid="{6EFEFCA0-BF14-457A-85A3-29CBF2A862A5}" showGridLines="0" fitToPage="1" topLeftCell="A25">
      <selection sqref="A1:AK54"/>
      <pageMargins left="0.23622047244094491" right="0.23622047244094491" top="0.19685039370078741" bottom="0.19685039370078741" header="0" footer="0.11811023622047245"/>
      <printOptions horizontalCentered="1" verticalCentered="1"/>
      <pageSetup paperSize="9" scale="34" orientation="portrait" r:id="rId1"/>
      <headerFooter>
        <oddFooter>&amp;L&amp;10&amp;F &amp;A&amp;R&amp;10Page 8 of 61</oddFooter>
      </headerFooter>
    </customSheetView>
  </customSheetViews>
  <mergeCells count="147">
    <mergeCell ref="B30:I30"/>
    <mergeCell ref="J30:M30"/>
    <mergeCell ref="N30:Q30"/>
    <mergeCell ref="R30:U30"/>
    <mergeCell ref="V30:Y30"/>
    <mergeCell ref="B26:I29"/>
    <mergeCell ref="J26:Q27"/>
    <mergeCell ref="R26:Y27"/>
    <mergeCell ref="Z26:AC29"/>
    <mergeCell ref="J28:M29"/>
    <mergeCell ref="N28:Q29"/>
    <mergeCell ref="R28:U29"/>
    <mergeCell ref="V28:Y29"/>
    <mergeCell ref="Z30:AC30"/>
    <mergeCell ref="F48:O48"/>
    <mergeCell ref="X48:AG48"/>
    <mergeCell ref="K53:X53"/>
    <mergeCell ref="K51:X52"/>
    <mergeCell ref="E42:AG43"/>
    <mergeCell ref="B39:I39"/>
    <mergeCell ref="B40:AG40"/>
    <mergeCell ref="F46:O46"/>
    <mergeCell ref="T46:AG46"/>
    <mergeCell ref="F47:O47"/>
    <mergeCell ref="T47:AG47"/>
    <mergeCell ref="B3:K5"/>
    <mergeCell ref="L3:Q5"/>
    <mergeCell ref="R4:U5"/>
    <mergeCell ref="V4:Y5"/>
    <mergeCell ref="D20:AG20"/>
    <mergeCell ref="B15:K15"/>
    <mergeCell ref="C16:AG16"/>
    <mergeCell ref="C17:AG17"/>
    <mergeCell ref="C18:AG18"/>
    <mergeCell ref="D19:AG19"/>
    <mergeCell ref="R3:AG3"/>
    <mergeCell ref="Z4:AG4"/>
    <mergeCell ref="Z5:AC5"/>
    <mergeCell ref="AD5:AG5"/>
    <mergeCell ref="B6:K6"/>
    <mergeCell ref="L6:Q6"/>
    <mergeCell ref="R6:U6"/>
    <mergeCell ref="V6:Y6"/>
    <mergeCell ref="Z6:AC6"/>
    <mergeCell ref="AD6:AG6"/>
    <mergeCell ref="L8:Q8"/>
    <mergeCell ref="R8:U8"/>
    <mergeCell ref="V8:Y8"/>
    <mergeCell ref="Z8:AC8"/>
    <mergeCell ref="AD8:AG8"/>
    <mergeCell ref="L7:Q7"/>
    <mergeCell ref="R7:U7"/>
    <mergeCell ref="V7:Y7"/>
    <mergeCell ref="Z7:AC7"/>
    <mergeCell ref="AD7:AG7"/>
    <mergeCell ref="L10:Q10"/>
    <mergeCell ref="R10:U10"/>
    <mergeCell ref="V10:Y10"/>
    <mergeCell ref="Z10:AC10"/>
    <mergeCell ref="AD10:AG10"/>
    <mergeCell ref="L9:Q9"/>
    <mergeCell ref="R9:U9"/>
    <mergeCell ref="V9:Y9"/>
    <mergeCell ref="Z9:AC9"/>
    <mergeCell ref="AD9:AG9"/>
    <mergeCell ref="L12:Q12"/>
    <mergeCell ref="R12:U12"/>
    <mergeCell ref="V12:Y12"/>
    <mergeCell ref="Z12:AC12"/>
    <mergeCell ref="AD12:AG12"/>
    <mergeCell ref="L11:Q11"/>
    <mergeCell ref="R11:U11"/>
    <mergeCell ref="V11:Y11"/>
    <mergeCell ref="Z11:AC11"/>
    <mergeCell ref="AD11:AG11"/>
    <mergeCell ref="L14:Q14"/>
    <mergeCell ref="R14:U14"/>
    <mergeCell ref="V14:Y14"/>
    <mergeCell ref="Z14:AC14"/>
    <mergeCell ref="AD14:AG14"/>
    <mergeCell ref="L13:Q13"/>
    <mergeCell ref="R13:U13"/>
    <mergeCell ref="V13:Y13"/>
    <mergeCell ref="Z13:AC13"/>
    <mergeCell ref="AD13:AG13"/>
    <mergeCell ref="AD26:AG27"/>
    <mergeCell ref="AD28:AG29"/>
    <mergeCell ref="J31:M31"/>
    <mergeCell ref="R31:U31"/>
    <mergeCell ref="V31:Y31"/>
    <mergeCell ref="Z31:AC31"/>
    <mergeCell ref="AD31:AG31"/>
    <mergeCell ref="L15:Q15"/>
    <mergeCell ref="R15:U15"/>
    <mergeCell ref="V15:Y15"/>
    <mergeCell ref="Z15:AC15"/>
    <mergeCell ref="AD15:AG15"/>
    <mergeCell ref="AD30:AG30"/>
    <mergeCell ref="J37:M37"/>
    <mergeCell ref="J38:M38"/>
    <mergeCell ref="J39:M39"/>
    <mergeCell ref="N31:Q31"/>
    <mergeCell ref="N32:Q32"/>
    <mergeCell ref="N33:Q33"/>
    <mergeCell ref="N34:Q34"/>
    <mergeCell ref="N35:Q35"/>
    <mergeCell ref="N36:Q36"/>
    <mergeCell ref="N37:Q37"/>
    <mergeCell ref="N38:Q38"/>
    <mergeCell ref="N39:Q39"/>
    <mergeCell ref="J32:M32"/>
    <mergeCell ref="J33:M33"/>
    <mergeCell ref="J34:M34"/>
    <mergeCell ref="J35:M35"/>
    <mergeCell ref="J36:M36"/>
    <mergeCell ref="R34:U34"/>
    <mergeCell ref="V34:Y34"/>
    <mergeCell ref="Z34:AC34"/>
    <mergeCell ref="AD34:AG34"/>
    <mergeCell ref="R35:U35"/>
    <mergeCell ref="V35:Y35"/>
    <mergeCell ref="Z35:AC35"/>
    <mergeCell ref="AD35:AG35"/>
    <mergeCell ref="R32:U32"/>
    <mergeCell ref="V32:Y32"/>
    <mergeCell ref="Z32:AC32"/>
    <mergeCell ref="AD32:AG32"/>
    <mergeCell ref="R33:U33"/>
    <mergeCell ref="V33:Y33"/>
    <mergeCell ref="Z33:AC33"/>
    <mergeCell ref="AD33:AG33"/>
    <mergeCell ref="R38:U38"/>
    <mergeCell ref="V38:Y38"/>
    <mergeCell ref="Z38:AC38"/>
    <mergeCell ref="AD38:AG38"/>
    <mergeCell ref="R39:U39"/>
    <mergeCell ref="V39:Y39"/>
    <mergeCell ref="Z39:AC39"/>
    <mergeCell ref="AD39:AG39"/>
    <mergeCell ref="R36:U36"/>
    <mergeCell ref="V36:Y36"/>
    <mergeCell ref="Z36:AC36"/>
    <mergeCell ref="AD36:AG36"/>
    <mergeCell ref="R37:U37"/>
    <mergeCell ref="V37:Y37"/>
    <mergeCell ref="Z37:AC37"/>
    <mergeCell ref="AD37:AG37"/>
  </mergeCells>
  <dataValidations count="1">
    <dataValidation type="whole" allowBlank="1" showInputMessage="1" showErrorMessage="1" errorTitle="GSHSP SY 2022-2023" error="Please enter valid number between 0-999." sqref="J31:AC38 L7:AG14" xr:uid="{209ECA00-8C82-4C57-895A-DFEE7111FE23}">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34" orientation="portrait" r:id="rId2"/>
  <headerFooter>
    <oddFooter>&amp;L&amp;10&amp;F &amp;A&amp;R&amp;10Page 8 of 61</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tabColor rgb="FFFFFF00"/>
    <pageSetUpPr fitToPage="1"/>
  </sheetPr>
  <dimension ref="A1:CA44"/>
  <sheetViews>
    <sheetView showGridLines="0" topLeftCell="A18" zoomScaleNormal="100" zoomScalePageLayoutView="52" workbookViewId="0">
      <selection activeCell="AB30" sqref="AB30"/>
    </sheetView>
  </sheetViews>
  <sheetFormatPr defaultColWidth="9" defaultRowHeight="16.5"/>
  <cols>
    <col min="1" max="1" width="2.125" style="18" customWidth="1"/>
    <col min="2" max="58" width="3.625" style="18" customWidth="1"/>
    <col min="59" max="59" width="2.125" style="18" customWidth="1"/>
    <col min="60" max="69" width="3.625" style="18" customWidth="1"/>
    <col min="70" max="16384" width="9" style="18"/>
  </cols>
  <sheetData>
    <row r="1" spans="1:68" ht="12" customHeight="1">
      <c r="A1" s="336"/>
      <c r="B1" s="336"/>
      <c r="C1" s="336"/>
      <c r="D1" s="336"/>
      <c r="E1" s="336"/>
      <c r="F1" s="336"/>
      <c r="G1" s="336"/>
      <c r="H1" s="336"/>
      <c r="I1" s="336"/>
      <c r="J1" s="336"/>
      <c r="K1" s="336"/>
      <c r="L1" s="336"/>
      <c r="M1" s="336"/>
      <c r="N1" s="336"/>
      <c r="O1" s="336"/>
      <c r="P1" s="336"/>
      <c r="Q1" s="336"/>
      <c r="R1" s="336"/>
      <c r="S1" s="336"/>
      <c r="T1" s="336"/>
      <c r="U1" s="336"/>
      <c r="V1" s="336"/>
      <c r="W1" s="336"/>
      <c r="X1" s="336"/>
      <c r="Y1" s="336"/>
      <c r="Z1" s="336"/>
      <c r="AA1" s="336"/>
      <c r="AB1" s="336"/>
      <c r="AC1" s="336"/>
      <c r="AD1" s="336"/>
      <c r="AE1" s="336"/>
      <c r="AF1" s="336"/>
      <c r="AG1" s="336"/>
      <c r="AH1" s="336"/>
      <c r="AI1" s="336"/>
      <c r="AJ1" s="336"/>
      <c r="AK1" s="336"/>
      <c r="AL1" s="336"/>
      <c r="AM1" s="336"/>
      <c r="AN1" s="336"/>
      <c r="AO1" s="336"/>
      <c r="AP1" s="336"/>
      <c r="AQ1" s="336"/>
      <c r="AR1" s="336"/>
      <c r="AS1" s="336"/>
      <c r="AT1" s="336"/>
      <c r="AU1" s="336"/>
      <c r="AV1" s="336"/>
      <c r="AW1" s="336"/>
      <c r="AX1" s="336"/>
      <c r="AY1" s="336"/>
      <c r="AZ1" s="336"/>
      <c r="BA1" s="336"/>
      <c r="BB1" s="336"/>
      <c r="BC1" s="336"/>
      <c r="BD1" s="336"/>
      <c r="BE1" s="336"/>
      <c r="BF1" s="336"/>
      <c r="BG1" s="336"/>
      <c r="BH1" s="336"/>
      <c r="BI1" s="336"/>
      <c r="BJ1" s="336"/>
      <c r="BK1" s="336"/>
      <c r="BL1" s="336"/>
      <c r="BM1" s="336"/>
      <c r="BN1" s="336"/>
      <c r="BO1" s="336"/>
      <c r="BP1" s="336"/>
    </row>
    <row r="2" spans="1:68" ht="17.25">
      <c r="A2" s="436"/>
      <c r="B2" s="437" t="s">
        <v>1456</v>
      </c>
      <c r="C2" s="335"/>
      <c r="D2" s="335"/>
      <c r="E2" s="335"/>
      <c r="F2" s="335"/>
      <c r="G2" s="335"/>
      <c r="H2" s="335"/>
      <c r="I2" s="335"/>
      <c r="J2" s="335"/>
      <c r="K2" s="335"/>
      <c r="L2" s="335"/>
      <c r="M2" s="335"/>
      <c r="N2" s="335"/>
      <c r="O2" s="335"/>
      <c r="P2" s="335"/>
      <c r="Q2" s="335"/>
      <c r="R2" s="335"/>
      <c r="S2" s="335"/>
      <c r="T2" s="335"/>
      <c r="U2" s="335"/>
      <c r="V2" s="437" t="s">
        <v>1457</v>
      </c>
      <c r="W2" s="337"/>
      <c r="X2" s="337"/>
      <c r="Y2" s="438"/>
      <c r="Z2" s="438"/>
      <c r="AA2" s="438"/>
      <c r="AB2" s="438"/>
      <c r="AC2" s="438"/>
      <c r="AD2" s="438"/>
      <c r="AE2" s="438"/>
      <c r="AF2" s="438"/>
      <c r="AG2" s="438"/>
      <c r="AH2" s="438"/>
      <c r="AI2" s="438"/>
      <c r="AJ2" s="438"/>
      <c r="AK2" s="438"/>
      <c r="AL2" s="438"/>
      <c r="AM2" s="438"/>
      <c r="AN2" s="438"/>
      <c r="AO2" s="438"/>
      <c r="AP2" s="437" t="s">
        <v>1458</v>
      </c>
      <c r="AQ2" s="337"/>
      <c r="AR2" s="337"/>
      <c r="AS2" s="438"/>
      <c r="AT2" s="438"/>
      <c r="AU2" s="438"/>
      <c r="AV2" s="438"/>
      <c r="AW2" s="438"/>
      <c r="AX2" s="438"/>
      <c r="AY2" s="438"/>
      <c r="AZ2" s="438"/>
      <c r="BA2" s="438"/>
      <c r="BB2" s="438"/>
      <c r="BC2" s="438"/>
      <c r="BD2" s="438"/>
      <c r="BE2" s="438"/>
      <c r="BF2" s="337"/>
      <c r="BG2" s="336"/>
      <c r="BH2" s="336"/>
      <c r="BI2" s="336"/>
      <c r="BJ2" s="336"/>
      <c r="BK2" s="336"/>
      <c r="BL2" s="336"/>
      <c r="BM2" s="336"/>
      <c r="BN2" s="336"/>
      <c r="BO2" s="336"/>
      <c r="BP2" s="336"/>
    </row>
    <row r="3" spans="1:68">
      <c r="A3" s="436"/>
      <c r="B3" s="437" t="s">
        <v>11378</v>
      </c>
      <c r="C3" s="335"/>
      <c r="D3" s="335"/>
      <c r="E3" s="335"/>
      <c r="F3" s="335"/>
      <c r="G3" s="335"/>
      <c r="H3" s="335"/>
      <c r="I3" s="335"/>
      <c r="J3" s="335"/>
      <c r="K3" s="335"/>
      <c r="L3" s="335"/>
      <c r="M3" s="335"/>
      <c r="N3" s="335"/>
      <c r="O3" s="335"/>
      <c r="P3" s="335"/>
      <c r="Q3" s="335"/>
      <c r="R3" s="335"/>
      <c r="S3" s="335"/>
      <c r="T3" s="335"/>
      <c r="U3" s="335"/>
      <c r="V3" s="437" t="s">
        <v>357</v>
      </c>
      <c r="W3" s="439"/>
      <c r="X3" s="439"/>
      <c r="Y3" s="439"/>
      <c r="Z3" s="439"/>
      <c r="AA3" s="439"/>
      <c r="AB3" s="439"/>
      <c r="AC3" s="439"/>
      <c r="AD3" s="439"/>
      <c r="AE3" s="439"/>
      <c r="AF3" s="439"/>
      <c r="AG3" s="439"/>
      <c r="AH3" s="439"/>
      <c r="AI3" s="439"/>
      <c r="AJ3" s="303"/>
      <c r="AK3" s="303"/>
      <c r="AL3" s="303"/>
      <c r="AM3" s="303"/>
      <c r="AN3" s="303"/>
      <c r="AO3" s="303"/>
      <c r="AP3" s="437" t="s">
        <v>985</v>
      </c>
      <c r="AQ3" s="439"/>
      <c r="AR3" s="439"/>
      <c r="AS3" s="439"/>
      <c r="AT3" s="439"/>
      <c r="AU3" s="439"/>
      <c r="AV3" s="439"/>
      <c r="AW3" s="439"/>
      <c r="AX3" s="439"/>
      <c r="AY3" s="439"/>
      <c r="AZ3" s="439"/>
      <c r="BA3" s="439"/>
      <c r="BB3" s="439"/>
      <c r="BC3" s="439"/>
      <c r="BD3" s="303"/>
      <c r="BE3" s="303"/>
      <c r="BF3" s="303"/>
      <c r="BG3" s="336"/>
      <c r="BH3" s="336"/>
      <c r="BI3" s="336"/>
      <c r="BJ3" s="336"/>
      <c r="BK3" s="336"/>
      <c r="BL3" s="336"/>
      <c r="BM3" s="336"/>
      <c r="BN3" s="336"/>
      <c r="BO3" s="336"/>
      <c r="BP3" s="336"/>
    </row>
    <row r="4" spans="1:68" ht="16.5" customHeight="1">
      <c r="A4" s="436"/>
      <c r="B4" s="437" t="s">
        <v>358</v>
      </c>
      <c r="C4" s="440"/>
      <c r="D4" s="440"/>
      <c r="E4" s="440"/>
      <c r="F4" s="440"/>
      <c r="G4" s="440"/>
      <c r="H4" s="440"/>
      <c r="I4" s="440"/>
      <c r="J4" s="335"/>
      <c r="K4" s="335"/>
      <c r="L4" s="335"/>
      <c r="M4" s="335"/>
      <c r="N4" s="335"/>
      <c r="O4" s="335"/>
      <c r="P4" s="335"/>
      <c r="Q4" s="335"/>
      <c r="R4" s="335"/>
      <c r="S4" s="335"/>
      <c r="T4" s="335"/>
      <c r="U4" s="335"/>
      <c r="V4" s="437" t="s">
        <v>358</v>
      </c>
      <c r="W4" s="439"/>
      <c r="X4" s="439"/>
      <c r="Y4" s="439"/>
      <c r="Z4" s="439"/>
      <c r="AA4" s="439"/>
      <c r="AB4" s="439"/>
      <c r="AC4" s="439"/>
      <c r="AD4" s="439"/>
      <c r="AE4" s="439"/>
      <c r="AF4" s="439"/>
      <c r="AG4" s="439"/>
      <c r="AH4" s="439"/>
      <c r="AI4" s="439"/>
      <c r="AJ4" s="303"/>
      <c r="AK4" s="303"/>
      <c r="AL4" s="303"/>
      <c r="AM4" s="439"/>
      <c r="AN4" s="439"/>
      <c r="AO4" s="439"/>
      <c r="AP4" s="437" t="s">
        <v>11373</v>
      </c>
      <c r="AQ4" s="441"/>
      <c r="AR4" s="441"/>
      <c r="AS4" s="441"/>
      <c r="AT4" s="441"/>
      <c r="AU4" s="441"/>
      <c r="AV4" s="441"/>
      <c r="AW4" s="441"/>
      <c r="AX4" s="441"/>
      <c r="AY4" s="441"/>
      <c r="AZ4" s="441"/>
      <c r="BA4" s="441"/>
      <c r="BB4" s="441"/>
      <c r="BC4" s="441"/>
      <c r="BD4" s="442"/>
      <c r="BE4" s="442"/>
      <c r="BF4" s="443"/>
      <c r="BG4" s="336"/>
      <c r="BH4" s="336"/>
      <c r="BI4" s="336"/>
      <c r="BJ4" s="336"/>
      <c r="BK4" s="336"/>
      <c r="BL4" s="336"/>
      <c r="BM4" s="336"/>
      <c r="BN4" s="336"/>
      <c r="BO4" s="336"/>
      <c r="BP4" s="336"/>
    </row>
    <row r="5" spans="1:68">
      <c r="A5" s="436"/>
      <c r="B5" s="2214" t="s">
        <v>38</v>
      </c>
      <c r="C5" s="1892"/>
      <c r="D5" s="1892"/>
      <c r="E5" s="1892"/>
      <c r="F5" s="1892"/>
      <c r="G5" s="1892"/>
      <c r="H5" s="1892"/>
      <c r="I5" s="1893"/>
      <c r="J5" s="2424" t="s">
        <v>282</v>
      </c>
      <c r="K5" s="2425"/>
      <c r="L5" s="2425"/>
      <c r="M5" s="2425"/>
      <c r="N5" s="2425"/>
      <c r="O5" s="2425"/>
      <c r="P5" s="2425"/>
      <c r="Q5" s="2425"/>
      <c r="R5" s="2426"/>
      <c r="S5" s="444"/>
      <c r="T5" s="444"/>
      <c r="U5" s="444"/>
      <c r="V5" s="437" t="s">
        <v>11373</v>
      </c>
      <c r="W5" s="441"/>
      <c r="X5" s="441"/>
      <c r="Y5" s="441"/>
      <c r="Z5" s="441"/>
      <c r="AA5" s="441"/>
      <c r="AB5" s="441"/>
      <c r="AC5" s="441"/>
      <c r="AD5" s="441"/>
      <c r="AE5" s="441"/>
      <c r="AF5" s="441"/>
      <c r="AG5" s="441"/>
      <c r="AH5" s="441"/>
      <c r="AI5" s="441"/>
      <c r="AJ5" s="442"/>
      <c r="AK5" s="442"/>
      <c r="AL5" s="439"/>
      <c r="AM5" s="439"/>
      <c r="AN5" s="439"/>
      <c r="AO5" s="439"/>
      <c r="AP5" s="2340" t="s">
        <v>359</v>
      </c>
      <c r="AQ5" s="2341"/>
      <c r="AR5" s="2341"/>
      <c r="AS5" s="2341"/>
      <c r="AT5" s="2341"/>
      <c r="AU5" s="2341"/>
      <c r="AV5" s="2341"/>
      <c r="AW5" s="2342"/>
      <c r="AX5" s="2424" t="s">
        <v>282</v>
      </c>
      <c r="AY5" s="2425"/>
      <c r="AZ5" s="2425"/>
      <c r="BA5" s="2425"/>
      <c r="BB5" s="2425"/>
      <c r="BC5" s="2425"/>
      <c r="BD5" s="2425"/>
      <c r="BE5" s="2425"/>
      <c r="BF5" s="2426"/>
      <c r="BG5" s="336"/>
      <c r="BH5" s="336"/>
      <c r="BI5" s="336"/>
      <c r="BJ5" s="336"/>
      <c r="BK5" s="336"/>
      <c r="BL5" s="336"/>
      <c r="BM5" s="336"/>
      <c r="BN5" s="336"/>
      <c r="BO5" s="336"/>
      <c r="BP5" s="336"/>
    </row>
    <row r="6" spans="1:68" ht="21" customHeight="1" thickBot="1">
      <c r="A6" s="336"/>
      <c r="B6" s="2337"/>
      <c r="C6" s="2338"/>
      <c r="D6" s="2338"/>
      <c r="E6" s="2338"/>
      <c r="F6" s="2338"/>
      <c r="G6" s="2338"/>
      <c r="H6" s="2338"/>
      <c r="I6" s="2339"/>
      <c r="J6" s="2337" t="s">
        <v>45</v>
      </c>
      <c r="K6" s="2338"/>
      <c r="L6" s="2427"/>
      <c r="M6" s="2428" t="s">
        <v>46</v>
      </c>
      <c r="N6" s="2338"/>
      <c r="O6" s="2429"/>
      <c r="P6" s="2422" t="s">
        <v>42</v>
      </c>
      <c r="Q6" s="2418"/>
      <c r="R6" s="2423"/>
      <c r="S6" s="444"/>
      <c r="T6" s="444"/>
      <c r="U6" s="444"/>
      <c r="V6" s="2340" t="s">
        <v>360</v>
      </c>
      <c r="W6" s="2341"/>
      <c r="X6" s="2341"/>
      <c r="Y6" s="2341"/>
      <c r="Z6" s="2341"/>
      <c r="AA6" s="2341"/>
      <c r="AB6" s="2341"/>
      <c r="AC6" s="2342"/>
      <c r="AD6" s="2424" t="s">
        <v>282</v>
      </c>
      <c r="AE6" s="2425"/>
      <c r="AF6" s="2425"/>
      <c r="AG6" s="2425"/>
      <c r="AH6" s="2425"/>
      <c r="AI6" s="2425"/>
      <c r="AJ6" s="2425"/>
      <c r="AK6" s="2425"/>
      <c r="AL6" s="2426"/>
      <c r="AM6" s="439"/>
      <c r="AN6" s="439"/>
      <c r="AO6" s="439"/>
      <c r="AP6" s="2343"/>
      <c r="AQ6" s="2344"/>
      <c r="AR6" s="2344"/>
      <c r="AS6" s="2344"/>
      <c r="AT6" s="2344"/>
      <c r="AU6" s="2344"/>
      <c r="AV6" s="2344"/>
      <c r="AW6" s="2345"/>
      <c r="AX6" s="2417" t="s">
        <v>45</v>
      </c>
      <c r="AY6" s="2418"/>
      <c r="AZ6" s="2419"/>
      <c r="BA6" s="2420" t="s">
        <v>46</v>
      </c>
      <c r="BB6" s="2418"/>
      <c r="BC6" s="2421"/>
      <c r="BD6" s="2422" t="s">
        <v>42</v>
      </c>
      <c r="BE6" s="2418"/>
      <c r="BF6" s="2423"/>
      <c r="BG6" s="336"/>
      <c r="BH6" s="336"/>
      <c r="BI6" s="336"/>
      <c r="BJ6" s="336"/>
      <c r="BK6" s="336"/>
      <c r="BL6" s="336"/>
      <c r="BM6" s="336"/>
      <c r="BN6" s="336"/>
      <c r="BO6" s="336"/>
      <c r="BP6" s="336"/>
    </row>
    <row r="7" spans="1:68" s="15" customFormat="1" ht="30" customHeight="1" thickBot="1">
      <c r="A7" s="337"/>
      <c r="B7" s="445"/>
      <c r="C7" s="446" t="s">
        <v>361</v>
      </c>
      <c r="D7" s="446"/>
      <c r="E7" s="446"/>
      <c r="F7" s="446"/>
      <c r="G7" s="446"/>
      <c r="H7" s="446"/>
      <c r="I7" s="446"/>
      <c r="J7" s="2409">
        <v>0</v>
      </c>
      <c r="K7" s="2410"/>
      <c r="L7" s="2411"/>
      <c r="M7" s="2410">
        <v>0</v>
      </c>
      <c r="N7" s="2410"/>
      <c r="O7" s="2413"/>
      <c r="P7" s="2414">
        <f>SUM(J7:O7)</f>
        <v>0</v>
      </c>
      <c r="Q7" s="2415"/>
      <c r="R7" s="2416"/>
      <c r="S7" s="447"/>
      <c r="T7" s="447"/>
      <c r="U7" s="447"/>
      <c r="V7" s="2343"/>
      <c r="W7" s="2344"/>
      <c r="X7" s="2344"/>
      <c r="Y7" s="2344"/>
      <c r="Z7" s="2344"/>
      <c r="AA7" s="2344"/>
      <c r="AB7" s="2344"/>
      <c r="AC7" s="2345"/>
      <c r="AD7" s="2417" t="s">
        <v>45</v>
      </c>
      <c r="AE7" s="2418"/>
      <c r="AF7" s="2419"/>
      <c r="AG7" s="2420" t="s">
        <v>46</v>
      </c>
      <c r="AH7" s="2418"/>
      <c r="AI7" s="2421"/>
      <c r="AJ7" s="2422" t="s">
        <v>42</v>
      </c>
      <c r="AK7" s="2418"/>
      <c r="AL7" s="2423"/>
      <c r="AM7" s="230"/>
      <c r="AN7" s="230"/>
      <c r="AO7" s="230"/>
      <c r="AP7" s="448"/>
      <c r="AQ7" s="449" t="s">
        <v>362</v>
      </c>
      <c r="AR7" s="450"/>
      <c r="AS7" s="450"/>
      <c r="AT7" s="450"/>
      <c r="AU7" s="450"/>
      <c r="AV7" s="450"/>
      <c r="AW7" s="451"/>
      <c r="AX7" s="2409">
        <v>0</v>
      </c>
      <c r="AY7" s="2410"/>
      <c r="AZ7" s="2411"/>
      <c r="BA7" s="2412">
        <v>0</v>
      </c>
      <c r="BB7" s="2410"/>
      <c r="BC7" s="2413"/>
      <c r="BD7" s="2414">
        <f>SUM(AX7:BC7)</f>
        <v>0</v>
      </c>
      <c r="BE7" s="2415"/>
      <c r="BF7" s="2416"/>
      <c r="BG7" s="337"/>
      <c r="BH7" s="337"/>
      <c r="BI7" s="337"/>
      <c r="BJ7" s="337"/>
      <c r="BK7" s="337"/>
      <c r="BL7" s="337"/>
      <c r="BM7" s="337"/>
      <c r="BN7" s="337"/>
      <c r="BO7" s="337"/>
      <c r="BP7" s="337"/>
    </row>
    <row r="8" spans="1:68" s="15" customFormat="1" ht="30" customHeight="1">
      <c r="A8" s="337"/>
      <c r="B8" s="452"/>
      <c r="C8" s="453" t="s">
        <v>363</v>
      </c>
      <c r="D8" s="453"/>
      <c r="E8" s="453"/>
      <c r="F8" s="453"/>
      <c r="G8" s="453"/>
      <c r="H8" s="453"/>
      <c r="I8" s="454"/>
      <c r="J8" s="2365">
        <v>0</v>
      </c>
      <c r="K8" s="2366"/>
      <c r="L8" s="2367"/>
      <c r="M8" s="2366">
        <v>0</v>
      </c>
      <c r="N8" s="2366"/>
      <c r="O8" s="2372"/>
      <c r="P8" s="2369">
        <f>SUM(J8:O8)</f>
        <v>0</v>
      </c>
      <c r="Q8" s="2370"/>
      <c r="R8" s="2371"/>
      <c r="S8" s="447"/>
      <c r="T8" s="447"/>
      <c r="U8" s="447"/>
      <c r="V8" s="448"/>
      <c r="W8" s="449" t="s">
        <v>364</v>
      </c>
      <c r="X8" s="450"/>
      <c r="Y8" s="450"/>
      <c r="Z8" s="450"/>
      <c r="AA8" s="450"/>
      <c r="AB8" s="450"/>
      <c r="AC8" s="451"/>
      <c r="AD8" s="2409">
        <v>11</v>
      </c>
      <c r="AE8" s="2410"/>
      <c r="AF8" s="2411"/>
      <c r="AG8" s="2412">
        <v>18</v>
      </c>
      <c r="AH8" s="2410"/>
      <c r="AI8" s="2413"/>
      <c r="AJ8" s="2414">
        <f>SUM(AD8:AI8)</f>
        <v>29</v>
      </c>
      <c r="AK8" s="2415"/>
      <c r="AL8" s="2416"/>
      <c r="AM8" s="230"/>
      <c r="AN8" s="230"/>
      <c r="AO8" s="230"/>
      <c r="AP8" s="256"/>
      <c r="AQ8" s="232" t="s">
        <v>365</v>
      </c>
      <c r="AR8" s="233"/>
      <c r="AS8" s="233"/>
      <c r="AT8" s="233"/>
      <c r="AU8" s="233"/>
      <c r="AV8" s="233"/>
      <c r="AW8" s="248"/>
      <c r="AX8" s="2365">
        <v>11</v>
      </c>
      <c r="AY8" s="2366"/>
      <c r="AZ8" s="2367"/>
      <c r="BA8" s="2408">
        <v>18</v>
      </c>
      <c r="BB8" s="2366"/>
      <c r="BC8" s="2368"/>
      <c r="BD8" s="2369">
        <f t="shared" ref="BD8:BD14" si="0">SUM(AX8:BC8)</f>
        <v>29</v>
      </c>
      <c r="BE8" s="2370"/>
      <c r="BF8" s="2371"/>
      <c r="BG8" s="337"/>
      <c r="BH8" s="337"/>
      <c r="BI8" s="337"/>
      <c r="BJ8" s="337"/>
      <c r="BK8" s="337"/>
      <c r="BL8" s="337"/>
      <c r="BM8" s="337"/>
      <c r="BN8" s="337"/>
      <c r="BO8" s="337"/>
      <c r="BP8" s="337"/>
    </row>
    <row r="9" spans="1:68" s="15" customFormat="1" ht="30" customHeight="1">
      <c r="A9" s="337"/>
      <c r="B9" s="455"/>
      <c r="C9" s="456" t="s">
        <v>366</v>
      </c>
      <c r="D9" s="456"/>
      <c r="E9" s="456"/>
      <c r="F9" s="456"/>
      <c r="G9" s="456"/>
      <c r="H9" s="456"/>
      <c r="I9" s="457"/>
      <c r="J9" s="2373">
        <v>0</v>
      </c>
      <c r="K9" s="2374"/>
      <c r="L9" s="2375"/>
      <c r="M9" s="2374">
        <v>0</v>
      </c>
      <c r="N9" s="2374"/>
      <c r="O9" s="2405"/>
      <c r="P9" s="2377">
        <f t="shared" ref="P9:P23" si="1">SUM(J9:O9)</f>
        <v>0</v>
      </c>
      <c r="Q9" s="2378"/>
      <c r="R9" s="2379"/>
      <c r="S9" s="447"/>
      <c r="T9" s="447"/>
      <c r="U9" s="447"/>
      <c r="V9" s="256"/>
      <c r="W9" s="232" t="s">
        <v>367</v>
      </c>
      <c r="X9" s="233"/>
      <c r="Y9" s="233"/>
      <c r="Z9" s="233"/>
      <c r="AA9" s="233"/>
      <c r="AB9" s="233"/>
      <c r="AC9" s="248"/>
      <c r="AD9" s="2365">
        <v>0</v>
      </c>
      <c r="AE9" s="2366"/>
      <c r="AF9" s="2367"/>
      <c r="AG9" s="2408">
        <v>0</v>
      </c>
      <c r="AH9" s="2366"/>
      <c r="AI9" s="2368"/>
      <c r="AJ9" s="2369">
        <f t="shared" ref="AJ9:AJ13" si="2">SUM(AD9:AI9)</f>
        <v>0</v>
      </c>
      <c r="AK9" s="2370"/>
      <c r="AL9" s="2371"/>
      <c r="AM9" s="230"/>
      <c r="AN9" s="230"/>
      <c r="AO9" s="230"/>
      <c r="AP9" s="256"/>
      <c r="AQ9" s="232" t="s">
        <v>368</v>
      </c>
      <c r="AR9" s="233"/>
      <c r="AS9" s="233"/>
      <c r="AT9" s="233"/>
      <c r="AU9" s="233"/>
      <c r="AV9" s="233"/>
      <c r="AW9" s="248"/>
      <c r="AX9" s="2365">
        <v>0</v>
      </c>
      <c r="AY9" s="2366"/>
      <c r="AZ9" s="2367"/>
      <c r="BA9" s="2408">
        <v>0</v>
      </c>
      <c r="BB9" s="2366"/>
      <c r="BC9" s="2368"/>
      <c r="BD9" s="2369">
        <f t="shared" si="0"/>
        <v>0</v>
      </c>
      <c r="BE9" s="2370"/>
      <c r="BF9" s="2371"/>
      <c r="BG9" s="337"/>
      <c r="BH9" s="337"/>
      <c r="BI9" s="337"/>
      <c r="BJ9" s="337"/>
      <c r="BK9" s="337"/>
      <c r="BL9" s="337"/>
      <c r="BM9" s="337"/>
      <c r="BN9" s="337"/>
      <c r="BO9" s="337"/>
      <c r="BP9" s="337"/>
    </row>
    <row r="10" spans="1:68" s="15" customFormat="1" ht="30" customHeight="1">
      <c r="A10" s="337"/>
      <c r="B10" s="458"/>
      <c r="C10" s="459" t="s">
        <v>241</v>
      </c>
      <c r="D10" s="459"/>
      <c r="E10" s="459"/>
      <c r="F10" s="459"/>
      <c r="G10" s="459"/>
      <c r="H10" s="459"/>
      <c r="I10" s="460"/>
      <c r="J10" s="2387">
        <v>0</v>
      </c>
      <c r="K10" s="2388"/>
      <c r="L10" s="2389"/>
      <c r="M10" s="2388">
        <v>0</v>
      </c>
      <c r="N10" s="2388"/>
      <c r="O10" s="2390"/>
      <c r="P10" s="2391">
        <f t="shared" si="1"/>
        <v>0</v>
      </c>
      <c r="Q10" s="2392"/>
      <c r="R10" s="2393"/>
      <c r="S10" s="447"/>
      <c r="T10" s="447"/>
      <c r="U10" s="447"/>
      <c r="V10" s="256"/>
      <c r="W10" s="232" t="s">
        <v>369</v>
      </c>
      <c r="X10" s="233"/>
      <c r="Y10" s="233"/>
      <c r="Z10" s="233"/>
      <c r="AA10" s="233"/>
      <c r="AB10" s="233"/>
      <c r="AC10" s="248"/>
      <c r="AD10" s="2365">
        <v>0</v>
      </c>
      <c r="AE10" s="2366"/>
      <c r="AF10" s="2367"/>
      <c r="AG10" s="2408">
        <v>0</v>
      </c>
      <c r="AH10" s="2366"/>
      <c r="AI10" s="2368"/>
      <c r="AJ10" s="2369">
        <f t="shared" si="2"/>
        <v>0</v>
      </c>
      <c r="AK10" s="2370"/>
      <c r="AL10" s="2371"/>
      <c r="AM10" s="230"/>
      <c r="AN10" s="230"/>
      <c r="AO10" s="230"/>
      <c r="AP10" s="256"/>
      <c r="AQ10" s="232" t="s">
        <v>370</v>
      </c>
      <c r="AR10" s="233"/>
      <c r="AS10" s="233"/>
      <c r="AT10" s="233"/>
      <c r="AU10" s="233"/>
      <c r="AV10" s="233"/>
      <c r="AW10" s="248"/>
      <c r="AX10" s="2365">
        <v>0</v>
      </c>
      <c r="AY10" s="2366"/>
      <c r="AZ10" s="2367"/>
      <c r="BA10" s="2408">
        <v>0</v>
      </c>
      <c r="BB10" s="2366"/>
      <c r="BC10" s="2368"/>
      <c r="BD10" s="2369">
        <f t="shared" si="0"/>
        <v>0</v>
      </c>
      <c r="BE10" s="2370"/>
      <c r="BF10" s="2371"/>
      <c r="BG10" s="337"/>
      <c r="BH10" s="337"/>
      <c r="BI10" s="337"/>
      <c r="BJ10" s="337"/>
      <c r="BK10" s="337"/>
      <c r="BL10" s="337"/>
      <c r="BM10" s="337"/>
      <c r="BN10" s="337"/>
      <c r="BO10" s="337"/>
      <c r="BP10" s="337"/>
    </row>
    <row r="11" spans="1:68" s="15" customFormat="1" ht="30" customHeight="1">
      <c r="A11" s="337"/>
      <c r="B11" s="452"/>
      <c r="C11" s="453" t="s">
        <v>242</v>
      </c>
      <c r="D11" s="453"/>
      <c r="E11" s="453"/>
      <c r="F11" s="453"/>
      <c r="G11" s="453"/>
      <c r="H11" s="453"/>
      <c r="I11" s="454"/>
      <c r="J11" s="2365">
        <v>0</v>
      </c>
      <c r="K11" s="2366"/>
      <c r="L11" s="2367"/>
      <c r="M11" s="2366">
        <v>0</v>
      </c>
      <c r="N11" s="2366"/>
      <c r="O11" s="2368"/>
      <c r="P11" s="2369">
        <f t="shared" si="1"/>
        <v>0</v>
      </c>
      <c r="Q11" s="2370"/>
      <c r="R11" s="2371"/>
      <c r="S11" s="447"/>
      <c r="T11" s="447"/>
      <c r="U11" s="447"/>
      <c r="V11" s="256"/>
      <c r="W11" s="232" t="s">
        <v>371</v>
      </c>
      <c r="X11" s="233"/>
      <c r="Y11" s="233"/>
      <c r="Z11" s="233"/>
      <c r="AA11" s="233"/>
      <c r="AB11" s="233"/>
      <c r="AC11" s="248"/>
      <c r="AD11" s="2365">
        <v>0</v>
      </c>
      <c r="AE11" s="2366"/>
      <c r="AF11" s="2367"/>
      <c r="AG11" s="2408">
        <v>0</v>
      </c>
      <c r="AH11" s="2366"/>
      <c r="AI11" s="2368"/>
      <c r="AJ11" s="2369">
        <f t="shared" si="2"/>
        <v>0</v>
      </c>
      <c r="AK11" s="2370"/>
      <c r="AL11" s="2371"/>
      <c r="AM11" s="230"/>
      <c r="AN11" s="230"/>
      <c r="AO11" s="230"/>
      <c r="AP11" s="256"/>
      <c r="AQ11" s="233" t="s">
        <v>372</v>
      </c>
      <c r="AR11" s="233"/>
      <c r="AS11" s="233"/>
      <c r="AT11" s="233"/>
      <c r="AU11" s="233"/>
      <c r="AV11" s="233"/>
      <c r="AW11" s="248"/>
      <c r="AX11" s="2365">
        <v>0</v>
      </c>
      <c r="AY11" s="2366"/>
      <c r="AZ11" s="2367"/>
      <c r="BA11" s="2408">
        <v>0</v>
      </c>
      <c r="BB11" s="2366"/>
      <c r="BC11" s="2368"/>
      <c r="BD11" s="2369">
        <f t="shared" si="0"/>
        <v>0</v>
      </c>
      <c r="BE11" s="2370"/>
      <c r="BF11" s="2371"/>
      <c r="BG11" s="337"/>
      <c r="BH11" s="337"/>
      <c r="BI11" s="337"/>
      <c r="BJ11" s="337"/>
      <c r="BK11" s="337"/>
      <c r="BL11" s="337"/>
      <c r="BM11" s="337"/>
      <c r="BN11" s="337"/>
      <c r="BO11" s="337"/>
      <c r="BP11" s="337"/>
    </row>
    <row r="12" spans="1:68" s="15" customFormat="1" ht="30" customHeight="1" thickBot="1">
      <c r="A12" s="337"/>
      <c r="B12" s="452"/>
      <c r="C12" s="453" t="s">
        <v>243</v>
      </c>
      <c r="D12" s="453"/>
      <c r="E12" s="453"/>
      <c r="F12" s="453"/>
      <c r="G12" s="453"/>
      <c r="H12" s="453"/>
      <c r="I12" s="454"/>
      <c r="J12" s="2365">
        <v>0</v>
      </c>
      <c r="K12" s="2366"/>
      <c r="L12" s="2367"/>
      <c r="M12" s="2366">
        <v>0</v>
      </c>
      <c r="N12" s="2366"/>
      <c r="O12" s="2372"/>
      <c r="P12" s="2369">
        <f t="shared" si="1"/>
        <v>0</v>
      </c>
      <c r="Q12" s="2370"/>
      <c r="R12" s="2371"/>
      <c r="S12" s="447"/>
      <c r="T12" s="447"/>
      <c r="U12" s="447"/>
      <c r="V12" s="256"/>
      <c r="W12" s="233" t="s">
        <v>272</v>
      </c>
      <c r="X12" s="233"/>
      <c r="Y12" s="233"/>
      <c r="Z12" s="233"/>
      <c r="AA12" s="233"/>
      <c r="AB12" s="233"/>
      <c r="AC12" s="248"/>
      <c r="AD12" s="2349">
        <v>0</v>
      </c>
      <c r="AE12" s="2350"/>
      <c r="AF12" s="2351"/>
      <c r="AG12" s="2406">
        <v>0</v>
      </c>
      <c r="AH12" s="2350"/>
      <c r="AI12" s="2407"/>
      <c r="AJ12" s="2353">
        <f t="shared" si="2"/>
        <v>0</v>
      </c>
      <c r="AK12" s="2354"/>
      <c r="AL12" s="2355"/>
      <c r="AM12" s="442"/>
      <c r="AN12" s="442"/>
      <c r="AO12" s="442"/>
      <c r="AP12" s="256"/>
      <c r="AQ12" s="232" t="s">
        <v>373</v>
      </c>
      <c r="AR12" s="233"/>
      <c r="AS12" s="233"/>
      <c r="AT12" s="233"/>
      <c r="AU12" s="233"/>
      <c r="AV12" s="233"/>
      <c r="AW12" s="248"/>
      <c r="AX12" s="2365">
        <v>0</v>
      </c>
      <c r="AY12" s="2366"/>
      <c r="AZ12" s="2367"/>
      <c r="BA12" s="2408">
        <v>0</v>
      </c>
      <c r="BB12" s="2366"/>
      <c r="BC12" s="2368"/>
      <c r="BD12" s="2369">
        <f t="shared" si="0"/>
        <v>0</v>
      </c>
      <c r="BE12" s="2370"/>
      <c r="BF12" s="2371"/>
      <c r="BG12" s="337"/>
      <c r="BH12" s="337"/>
      <c r="BI12" s="337"/>
      <c r="BJ12" s="337"/>
      <c r="BK12" s="337"/>
      <c r="BL12" s="337"/>
      <c r="BM12" s="337"/>
      <c r="BN12" s="337"/>
      <c r="BO12" s="337"/>
      <c r="BP12" s="337"/>
    </row>
    <row r="13" spans="1:68" s="15" customFormat="1" ht="30" customHeight="1" thickTop="1" thickBot="1">
      <c r="A13" s="337"/>
      <c r="B13" s="455"/>
      <c r="C13" s="456" t="s">
        <v>244</v>
      </c>
      <c r="D13" s="456"/>
      <c r="E13" s="456"/>
      <c r="F13" s="456"/>
      <c r="G13" s="456"/>
      <c r="H13" s="456"/>
      <c r="I13" s="457"/>
      <c r="J13" s="2373">
        <v>0</v>
      </c>
      <c r="K13" s="2374"/>
      <c r="L13" s="2375"/>
      <c r="M13" s="2374">
        <v>0</v>
      </c>
      <c r="N13" s="2374"/>
      <c r="O13" s="2405"/>
      <c r="P13" s="2377">
        <f t="shared" si="1"/>
        <v>0</v>
      </c>
      <c r="Q13" s="2378"/>
      <c r="R13" s="2379"/>
      <c r="S13" s="447"/>
      <c r="T13" s="447"/>
      <c r="U13" s="447"/>
      <c r="V13" s="2394" t="s">
        <v>42</v>
      </c>
      <c r="W13" s="2395"/>
      <c r="X13" s="2395"/>
      <c r="Y13" s="2395"/>
      <c r="Z13" s="2395"/>
      <c r="AA13" s="2395"/>
      <c r="AB13" s="2395"/>
      <c r="AC13" s="2396"/>
      <c r="AD13" s="2397">
        <f>SUM(AD8:AF12)</f>
        <v>11</v>
      </c>
      <c r="AE13" s="2398"/>
      <c r="AF13" s="2399"/>
      <c r="AG13" s="2400">
        <f>SUM(AG8:AI12)</f>
        <v>18</v>
      </c>
      <c r="AH13" s="2398"/>
      <c r="AI13" s="2401"/>
      <c r="AJ13" s="2402">
        <f t="shared" si="2"/>
        <v>29</v>
      </c>
      <c r="AK13" s="2403"/>
      <c r="AL13" s="2404"/>
      <c r="AM13" s="461"/>
      <c r="AN13" s="461"/>
      <c r="AO13" s="461"/>
      <c r="AP13" s="462"/>
      <c r="AQ13" s="251" t="s">
        <v>272</v>
      </c>
      <c r="AR13" s="251"/>
      <c r="AS13" s="251"/>
      <c r="AT13" s="251"/>
      <c r="AU13" s="251"/>
      <c r="AV13" s="251"/>
      <c r="AW13" s="463"/>
      <c r="AX13" s="2349">
        <v>0</v>
      </c>
      <c r="AY13" s="2350"/>
      <c r="AZ13" s="2351"/>
      <c r="BA13" s="2406">
        <v>0</v>
      </c>
      <c r="BB13" s="2350"/>
      <c r="BC13" s="2407"/>
      <c r="BD13" s="2353">
        <f t="shared" si="0"/>
        <v>0</v>
      </c>
      <c r="BE13" s="2354"/>
      <c r="BF13" s="2355"/>
      <c r="BG13" s="337"/>
      <c r="BH13" s="337"/>
      <c r="BI13" s="337"/>
      <c r="BJ13" s="337"/>
      <c r="BK13" s="337"/>
      <c r="BL13" s="337"/>
      <c r="BM13" s="337"/>
      <c r="BN13" s="337"/>
      <c r="BO13" s="337"/>
      <c r="BP13" s="337"/>
    </row>
    <row r="14" spans="1:68" s="15" customFormat="1" ht="30" customHeight="1" thickTop="1" thickBot="1">
      <c r="A14" s="337"/>
      <c r="B14" s="464"/>
      <c r="C14" s="465" t="s">
        <v>245</v>
      </c>
      <c r="D14" s="465"/>
      <c r="E14" s="465"/>
      <c r="F14" s="465"/>
      <c r="G14" s="465"/>
      <c r="H14" s="465"/>
      <c r="I14" s="460"/>
      <c r="J14" s="2387">
        <v>0</v>
      </c>
      <c r="K14" s="2388"/>
      <c r="L14" s="2389"/>
      <c r="M14" s="2388">
        <v>0</v>
      </c>
      <c r="N14" s="2388"/>
      <c r="O14" s="2390"/>
      <c r="P14" s="2391">
        <f t="shared" si="1"/>
        <v>0</v>
      </c>
      <c r="Q14" s="2392"/>
      <c r="R14" s="2393"/>
      <c r="S14" s="447"/>
      <c r="T14" s="447"/>
      <c r="U14" s="447"/>
      <c r="V14" s="466" t="s">
        <v>47</v>
      </c>
      <c r="W14" s="2336" t="s">
        <v>374</v>
      </c>
      <c r="X14" s="2336"/>
      <c r="Y14" s="2336"/>
      <c r="Z14" s="2336"/>
      <c r="AA14" s="2336"/>
      <c r="AB14" s="2336"/>
      <c r="AC14" s="2336"/>
      <c r="AD14" s="2336"/>
      <c r="AE14" s="2336"/>
      <c r="AF14" s="2336"/>
      <c r="AG14" s="2336"/>
      <c r="AH14" s="2336"/>
      <c r="AI14" s="2336"/>
      <c r="AJ14" s="2336"/>
      <c r="AK14" s="2336"/>
      <c r="AL14" s="2336"/>
      <c r="AM14" s="461"/>
      <c r="AN14" s="461"/>
      <c r="AO14" s="461"/>
      <c r="AP14" s="2394" t="s">
        <v>42</v>
      </c>
      <c r="AQ14" s="2395"/>
      <c r="AR14" s="2395"/>
      <c r="AS14" s="2395"/>
      <c r="AT14" s="2395"/>
      <c r="AU14" s="2395"/>
      <c r="AV14" s="2395"/>
      <c r="AW14" s="2396"/>
      <c r="AX14" s="2397">
        <f>SUM(AX7:AZ13)</f>
        <v>11</v>
      </c>
      <c r="AY14" s="2398"/>
      <c r="AZ14" s="2399"/>
      <c r="BA14" s="2400">
        <f>SUM(BA7:BC13)</f>
        <v>18</v>
      </c>
      <c r="BB14" s="2398"/>
      <c r="BC14" s="2401"/>
      <c r="BD14" s="2402">
        <f t="shared" si="0"/>
        <v>29</v>
      </c>
      <c r="BE14" s="2403"/>
      <c r="BF14" s="2404"/>
      <c r="BG14" s="337"/>
      <c r="BH14" s="337"/>
      <c r="BI14" s="337"/>
      <c r="BJ14" s="337"/>
      <c r="BK14" s="337"/>
      <c r="BL14" s="337"/>
      <c r="BM14" s="337"/>
      <c r="BN14" s="337"/>
      <c r="BO14" s="337"/>
      <c r="BP14" s="337"/>
    </row>
    <row r="15" spans="1:68" s="15" customFormat="1" ht="30" customHeight="1">
      <c r="A15" s="337"/>
      <c r="B15" s="452"/>
      <c r="C15" s="453" t="s">
        <v>258</v>
      </c>
      <c r="D15" s="453"/>
      <c r="E15" s="453"/>
      <c r="F15" s="453"/>
      <c r="G15" s="453"/>
      <c r="H15" s="453"/>
      <c r="I15" s="454"/>
      <c r="J15" s="2365">
        <v>7</v>
      </c>
      <c r="K15" s="2366"/>
      <c r="L15" s="2367"/>
      <c r="M15" s="2366">
        <v>14</v>
      </c>
      <c r="N15" s="2366"/>
      <c r="O15" s="2368"/>
      <c r="P15" s="2369">
        <f t="shared" si="1"/>
        <v>21</v>
      </c>
      <c r="Q15" s="2370"/>
      <c r="R15" s="2371"/>
      <c r="S15" s="447"/>
      <c r="T15" s="447"/>
      <c r="U15" s="447"/>
      <c r="V15" s="467"/>
      <c r="W15" s="2335"/>
      <c r="X15" s="2335"/>
      <c r="Y15" s="2335"/>
      <c r="Z15" s="2335"/>
      <c r="AA15" s="2335"/>
      <c r="AB15" s="2335"/>
      <c r="AC15" s="2335"/>
      <c r="AD15" s="2335"/>
      <c r="AE15" s="2335"/>
      <c r="AF15" s="2335"/>
      <c r="AG15" s="2335"/>
      <c r="AH15" s="2335"/>
      <c r="AI15" s="2335"/>
      <c r="AJ15" s="2335"/>
      <c r="AK15" s="2335"/>
      <c r="AL15" s="2335"/>
      <c r="AM15" s="461"/>
      <c r="AN15" s="461"/>
      <c r="AO15" s="461"/>
      <c r="AP15" s="468" t="s">
        <v>47</v>
      </c>
      <c r="AQ15" s="2336" t="s">
        <v>375</v>
      </c>
      <c r="AR15" s="2336"/>
      <c r="AS15" s="2336"/>
      <c r="AT15" s="2336"/>
      <c r="AU15" s="2336"/>
      <c r="AV15" s="2336"/>
      <c r="AW15" s="2336"/>
      <c r="AX15" s="2336"/>
      <c r="AY15" s="2336"/>
      <c r="AZ15" s="2336"/>
      <c r="BA15" s="2336"/>
      <c r="BB15" s="2336"/>
      <c r="BC15" s="2336"/>
      <c r="BD15" s="2336"/>
      <c r="BE15" s="2336"/>
      <c r="BF15" s="2336"/>
      <c r="BG15" s="337"/>
      <c r="BH15" s="337"/>
      <c r="BI15" s="337"/>
      <c r="BJ15" s="337"/>
      <c r="BK15" s="337"/>
      <c r="BL15" s="337"/>
      <c r="BM15" s="337"/>
      <c r="BN15" s="337"/>
      <c r="BO15" s="337"/>
      <c r="BP15" s="337"/>
    </row>
    <row r="16" spans="1:68" s="15" customFormat="1" ht="30" customHeight="1">
      <c r="A16" s="337"/>
      <c r="B16" s="455"/>
      <c r="C16" s="456" t="s">
        <v>259</v>
      </c>
      <c r="D16" s="456"/>
      <c r="E16" s="456"/>
      <c r="F16" s="456"/>
      <c r="G16" s="456"/>
      <c r="H16" s="456"/>
      <c r="I16" s="457"/>
      <c r="J16" s="2373">
        <v>4</v>
      </c>
      <c r="K16" s="2374"/>
      <c r="L16" s="2375"/>
      <c r="M16" s="2374">
        <v>3</v>
      </c>
      <c r="N16" s="2374"/>
      <c r="O16" s="2376"/>
      <c r="P16" s="2377">
        <f t="shared" si="1"/>
        <v>7</v>
      </c>
      <c r="Q16" s="2378"/>
      <c r="R16" s="2379"/>
      <c r="S16" s="447"/>
      <c r="T16" s="447"/>
      <c r="U16" s="447"/>
      <c r="V16" s="337"/>
      <c r="W16" s="2335"/>
      <c r="X16" s="2335"/>
      <c r="Y16" s="2335"/>
      <c r="Z16" s="2335"/>
      <c r="AA16" s="2335"/>
      <c r="AB16" s="2335"/>
      <c r="AC16" s="2335"/>
      <c r="AD16" s="2335"/>
      <c r="AE16" s="2335"/>
      <c r="AF16" s="2335"/>
      <c r="AG16" s="2335"/>
      <c r="AH16" s="2335"/>
      <c r="AI16" s="2335"/>
      <c r="AJ16" s="2335"/>
      <c r="AK16" s="2335"/>
      <c r="AL16" s="2335"/>
      <c r="AM16" s="461"/>
      <c r="AN16" s="461"/>
      <c r="AO16" s="461"/>
      <c r="AP16" s="467"/>
      <c r="AQ16" s="2335"/>
      <c r="AR16" s="2335"/>
      <c r="AS16" s="2335"/>
      <c r="AT16" s="2335"/>
      <c r="AU16" s="2335"/>
      <c r="AV16" s="2335"/>
      <c r="AW16" s="2335"/>
      <c r="AX16" s="2335"/>
      <c r="AY16" s="2335"/>
      <c r="AZ16" s="2335"/>
      <c r="BA16" s="2335"/>
      <c r="BB16" s="2335"/>
      <c r="BC16" s="2335"/>
      <c r="BD16" s="2335"/>
      <c r="BE16" s="2335"/>
      <c r="BF16" s="2335"/>
      <c r="BG16" s="337"/>
      <c r="BH16" s="337"/>
      <c r="BI16" s="337"/>
      <c r="BJ16" s="337"/>
      <c r="BK16" s="337"/>
      <c r="BL16" s="337"/>
      <c r="BM16" s="337"/>
      <c r="BN16" s="337"/>
      <c r="BO16" s="337"/>
      <c r="BP16" s="337"/>
    </row>
    <row r="17" spans="1:68" s="15" customFormat="1" ht="30" customHeight="1">
      <c r="A17" s="337"/>
      <c r="B17" s="455"/>
      <c r="C17" s="456" t="s">
        <v>260</v>
      </c>
      <c r="D17" s="456"/>
      <c r="E17" s="456"/>
      <c r="F17" s="456"/>
      <c r="G17" s="456"/>
      <c r="H17" s="456"/>
      <c r="I17" s="457"/>
      <c r="J17" s="2380">
        <v>0</v>
      </c>
      <c r="K17" s="2381"/>
      <c r="L17" s="2382"/>
      <c r="M17" s="2381">
        <v>1</v>
      </c>
      <c r="N17" s="2381"/>
      <c r="O17" s="2383"/>
      <c r="P17" s="2384">
        <f t="shared" si="1"/>
        <v>1</v>
      </c>
      <c r="Q17" s="2385"/>
      <c r="R17" s="2386"/>
      <c r="S17" s="447"/>
      <c r="T17" s="447"/>
      <c r="U17" s="447"/>
      <c r="V17" s="468" t="s">
        <v>48</v>
      </c>
      <c r="W17" s="2335" t="s">
        <v>376</v>
      </c>
      <c r="X17" s="2335"/>
      <c r="Y17" s="2335"/>
      <c r="Z17" s="2335"/>
      <c r="AA17" s="2335"/>
      <c r="AB17" s="2335"/>
      <c r="AC17" s="2335"/>
      <c r="AD17" s="2335"/>
      <c r="AE17" s="2335"/>
      <c r="AF17" s="2335"/>
      <c r="AG17" s="2335"/>
      <c r="AH17" s="2335"/>
      <c r="AI17" s="2335"/>
      <c r="AJ17" s="2335"/>
      <c r="AK17" s="2335"/>
      <c r="AL17" s="2335"/>
      <c r="AM17" s="303"/>
      <c r="AN17" s="303"/>
      <c r="AO17" s="303"/>
      <c r="AP17" s="468" t="s">
        <v>48</v>
      </c>
      <c r="AQ17" s="2335" t="s">
        <v>377</v>
      </c>
      <c r="AR17" s="2335"/>
      <c r="AS17" s="2335"/>
      <c r="AT17" s="2335"/>
      <c r="AU17" s="2335"/>
      <c r="AV17" s="2335"/>
      <c r="AW17" s="2335"/>
      <c r="AX17" s="2335"/>
      <c r="AY17" s="2335"/>
      <c r="AZ17" s="2335"/>
      <c r="BA17" s="2335"/>
      <c r="BB17" s="2335"/>
      <c r="BC17" s="2335"/>
      <c r="BD17" s="2335"/>
      <c r="BE17" s="2335"/>
      <c r="BF17" s="2335"/>
      <c r="BG17" s="337"/>
      <c r="BH17" s="337"/>
      <c r="BI17" s="337"/>
      <c r="BJ17" s="337"/>
      <c r="BK17" s="337"/>
      <c r="BL17" s="337"/>
      <c r="BM17" s="337"/>
      <c r="BN17" s="337"/>
      <c r="BO17" s="337"/>
      <c r="BP17" s="337"/>
    </row>
    <row r="18" spans="1:68" s="15" customFormat="1" ht="30" customHeight="1">
      <c r="A18" s="337"/>
      <c r="B18" s="464"/>
      <c r="C18" s="465" t="s">
        <v>378</v>
      </c>
      <c r="D18" s="465"/>
      <c r="E18" s="465"/>
      <c r="F18" s="465"/>
      <c r="G18" s="465"/>
      <c r="H18" s="465"/>
      <c r="I18" s="460"/>
      <c r="J18" s="2387">
        <v>0</v>
      </c>
      <c r="K18" s="2388"/>
      <c r="L18" s="2389"/>
      <c r="M18" s="2388">
        <v>0</v>
      </c>
      <c r="N18" s="2388"/>
      <c r="O18" s="2390"/>
      <c r="P18" s="2391">
        <f t="shared" si="1"/>
        <v>0</v>
      </c>
      <c r="Q18" s="2392"/>
      <c r="R18" s="2393"/>
      <c r="S18" s="447"/>
      <c r="T18" s="447"/>
      <c r="U18" s="447"/>
      <c r="V18" s="337"/>
      <c r="W18" s="2335"/>
      <c r="X18" s="2335"/>
      <c r="Y18" s="2335"/>
      <c r="Z18" s="2335"/>
      <c r="AA18" s="2335"/>
      <c r="AB18" s="2335"/>
      <c r="AC18" s="2335"/>
      <c r="AD18" s="2335"/>
      <c r="AE18" s="2335"/>
      <c r="AF18" s="2335"/>
      <c r="AG18" s="2335"/>
      <c r="AH18" s="2335"/>
      <c r="AI18" s="2335"/>
      <c r="AJ18" s="2335"/>
      <c r="AK18" s="2335"/>
      <c r="AL18" s="2335"/>
      <c r="AM18" s="303"/>
      <c r="AN18" s="303"/>
      <c r="AO18" s="303"/>
      <c r="AP18" s="469"/>
      <c r="AQ18" s="2335"/>
      <c r="AR18" s="2335"/>
      <c r="AS18" s="2335"/>
      <c r="AT18" s="2335"/>
      <c r="AU18" s="2335"/>
      <c r="AV18" s="2335"/>
      <c r="AW18" s="2335"/>
      <c r="AX18" s="2335"/>
      <c r="AY18" s="2335"/>
      <c r="AZ18" s="2335"/>
      <c r="BA18" s="2335"/>
      <c r="BB18" s="2335"/>
      <c r="BC18" s="2335"/>
      <c r="BD18" s="2335"/>
      <c r="BE18" s="2335"/>
      <c r="BF18" s="2335"/>
      <c r="BG18" s="337"/>
      <c r="BH18" s="337"/>
      <c r="BI18" s="337"/>
      <c r="BJ18" s="337"/>
      <c r="BK18" s="337"/>
      <c r="BL18" s="337"/>
      <c r="BM18" s="337"/>
      <c r="BN18" s="337"/>
      <c r="BO18" s="337"/>
      <c r="BP18" s="337"/>
    </row>
    <row r="19" spans="1:68" s="15" customFormat="1" ht="30" customHeight="1">
      <c r="A19" s="337"/>
      <c r="B19" s="452"/>
      <c r="C19" s="453" t="s">
        <v>379</v>
      </c>
      <c r="D19" s="453"/>
      <c r="E19" s="453"/>
      <c r="F19" s="453"/>
      <c r="G19" s="453"/>
      <c r="H19" s="453"/>
      <c r="I19" s="454"/>
      <c r="J19" s="2365">
        <v>0</v>
      </c>
      <c r="K19" s="2366"/>
      <c r="L19" s="2367"/>
      <c r="M19" s="2366">
        <v>0</v>
      </c>
      <c r="N19" s="2366"/>
      <c r="O19" s="2368"/>
      <c r="P19" s="2369">
        <f t="shared" si="1"/>
        <v>0</v>
      </c>
      <c r="Q19" s="2370"/>
      <c r="R19" s="2371"/>
      <c r="S19" s="447"/>
      <c r="T19" s="447"/>
      <c r="U19" s="447"/>
      <c r="V19" s="337"/>
      <c r="W19" s="2335"/>
      <c r="X19" s="2335"/>
      <c r="Y19" s="2335"/>
      <c r="Z19" s="2335"/>
      <c r="AA19" s="2335"/>
      <c r="AB19" s="2335"/>
      <c r="AC19" s="2335"/>
      <c r="AD19" s="2335"/>
      <c r="AE19" s="2335"/>
      <c r="AF19" s="2335"/>
      <c r="AG19" s="2335"/>
      <c r="AH19" s="2335"/>
      <c r="AI19" s="2335"/>
      <c r="AJ19" s="2335"/>
      <c r="AK19" s="2335"/>
      <c r="AL19" s="2335"/>
      <c r="AM19" s="303"/>
      <c r="AN19" s="303"/>
      <c r="AO19" s="303"/>
      <c r="AP19" s="469"/>
      <c r="AQ19" s="2335"/>
      <c r="AR19" s="2335"/>
      <c r="AS19" s="2335"/>
      <c r="AT19" s="2335"/>
      <c r="AU19" s="2335"/>
      <c r="AV19" s="2335"/>
      <c r="AW19" s="2335"/>
      <c r="AX19" s="2335"/>
      <c r="AY19" s="2335"/>
      <c r="AZ19" s="2335"/>
      <c r="BA19" s="2335"/>
      <c r="BB19" s="2335"/>
      <c r="BC19" s="2335"/>
      <c r="BD19" s="2335"/>
      <c r="BE19" s="2335"/>
      <c r="BF19" s="2335"/>
      <c r="BG19" s="337"/>
      <c r="BH19" s="337"/>
      <c r="BI19" s="337"/>
      <c r="BJ19" s="337"/>
      <c r="BK19" s="337"/>
      <c r="BL19" s="337"/>
      <c r="BM19" s="337"/>
      <c r="BN19" s="337"/>
      <c r="BO19" s="337"/>
      <c r="BP19" s="337"/>
    </row>
    <row r="20" spans="1:68" s="15" customFormat="1" ht="30" customHeight="1">
      <c r="A20" s="337"/>
      <c r="B20" s="452"/>
      <c r="C20" s="453" t="s">
        <v>380</v>
      </c>
      <c r="D20" s="453"/>
      <c r="E20" s="453"/>
      <c r="F20" s="453"/>
      <c r="G20" s="453"/>
      <c r="H20" s="453"/>
      <c r="I20" s="454"/>
      <c r="J20" s="2365">
        <v>0</v>
      </c>
      <c r="K20" s="2366"/>
      <c r="L20" s="2367"/>
      <c r="M20" s="2366">
        <v>0</v>
      </c>
      <c r="N20" s="2366"/>
      <c r="O20" s="2372"/>
      <c r="P20" s="2369">
        <f t="shared" si="1"/>
        <v>0</v>
      </c>
      <c r="Q20" s="2370"/>
      <c r="R20" s="2371"/>
      <c r="S20" s="447"/>
      <c r="T20" s="447"/>
      <c r="U20" s="447"/>
      <c r="V20" s="468" t="s">
        <v>49</v>
      </c>
      <c r="W20" s="2335" t="s">
        <v>381</v>
      </c>
      <c r="X20" s="2335"/>
      <c r="Y20" s="2335"/>
      <c r="Z20" s="2335"/>
      <c r="AA20" s="2335"/>
      <c r="AB20" s="2335"/>
      <c r="AC20" s="2335"/>
      <c r="AD20" s="2335"/>
      <c r="AE20" s="2335"/>
      <c r="AF20" s="2335"/>
      <c r="AG20" s="2335"/>
      <c r="AH20" s="2335"/>
      <c r="AI20" s="2335"/>
      <c r="AJ20" s="2335"/>
      <c r="AK20" s="2335"/>
      <c r="AL20" s="2335"/>
      <c r="AM20" s="303"/>
      <c r="AN20" s="303"/>
      <c r="AO20" s="303"/>
      <c r="AP20" s="468" t="s">
        <v>49</v>
      </c>
      <c r="AQ20" s="2335" t="s">
        <v>382</v>
      </c>
      <c r="AR20" s="2335"/>
      <c r="AS20" s="2335"/>
      <c r="AT20" s="2335"/>
      <c r="AU20" s="2335"/>
      <c r="AV20" s="2335"/>
      <c r="AW20" s="2335"/>
      <c r="AX20" s="2335"/>
      <c r="AY20" s="2335"/>
      <c r="AZ20" s="2335"/>
      <c r="BA20" s="2335"/>
      <c r="BB20" s="2335"/>
      <c r="BC20" s="2335"/>
      <c r="BD20" s="2335"/>
      <c r="BE20" s="2335"/>
      <c r="BF20" s="2335"/>
      <c r="BG20" s="337"/>
      <c r="BH20" s="337"/>
      <c r="BI20" s="337"/>
      <c r="BJ20" s="337"/>
      <c r="BK20" s="337"/>
      <c r="BL20" s="337"/>
      <c r="BM20" s="337"/>
      <c r="BN20" s="337"/>
      <c r="BO20" s="337"/>
      <c r="BP20" s="337"/>
    </row>
    <row r="21" spans="1:68" s="15" customFormat="1" ht="30" customHeight="1">
      <c r="A21" s="337"/>
      <c r="B21" s="452"/>
      <c r="C21" s="453" t="s">
        <v>3941</v>
      </c>
      <c r="D21" s="453"/>
      <c r="E21" s="453"/>
      <c r="F21" s="453"/>
      <c r="G21" s="453"/>
      <c r="H21" s="453"/>
      <c r="I21" s="454"/>
      <c r="J21" s="2365">
        <v>0</v>
      </c>
      <c r="K21" s="2366"/>
      <c r="L21" s="2367"/>
      <c r="M21" s="2366">
        <v>0</v>
      </c>
      <c r="N21" s="2366"/>
      <c r="O21" s="2368"/>
      <c r="P21" s="2369">
        <f t="shared" si="1"/>
        <v>0</v>
      </c>
      <c r="Q21" s="2370"/>
      <c r="R21" s="2371"/>
      <c r="S21" s="447"/>
      <c r="T21" s="447"/>
      <c r="U21" s="447"/>
      <c r="V21" s="337"/>
      <c r="W21" s="2335"/>
      <c r="X21" s="2335"/>
      <c r="Y21" s="2335"/>
      <c r="Z21" s="2335"/>
      <c r="AA21" s="2335"/>
      <c r="AB21" s="2335"/>
      <c r="AC21" s="2335"/>
      <c r="AD21" s="2335"/>
      <c r="AE21" s="2335"/>
      <c r="AF21" s="2335"/>
      <c r="AG21" s="2335"/>
      <c r="AH21" s="2335"/>
      <c r="AI21" s="2335"/>
      <c r="AJ21" s="2335"/>
      <c r="AK21" s="2335"/>
      <c r="AL21" s="2335"/>
      <c r="AM21" s="303"/>
      <c r="AN21" s="303"/>
      <c r="AO21" s="303"/>
      <c r="AP21" s="467"/>
      <c r="AQ21" s="2335"/>
      <c r="AR21" s="2335"/>
      <c r="AS21" s="2335"/>
      <c r="AT21" s="2335"/>
      <c r="AU21" s="2335"/>
      <c r="AV21" s="2335"/>
      <c r="AW21" s="2335"/>
      <c r="AX21" s="2335"/>
      <c r="AY21" s="2335"/>
      <c r="AZ21" s="2335"/>
      <c r="BA21" s="2335"/>
      <c r="BB21" s="2335"/>
      <c r="BC21" s="2335"/>
      <c r="BD21" s="2335"/>
      <c r="BE21" s="2335"/>
      <c r="BF21" s="2335"/>
      <c r="BG21" s="337"/>
      <c r="BH21" s="337"/>
      <c r="BI21" s="337"/>
      <c r="BJ21" s="337"/>
      <c r="BK21" s="337"/>
      <c r="BL21" s="337"/>
      <c r="BM21" s="337"/>
      <c r="BN21" s="337"/>
      <c r="BO21" s="337"/>
      <c r="BP21" s="337"/>
    </row>
    <row r="22" spans="1:68" s="15" customFormat="1" ht="30" customHeight="1" thickBot="1">
      <c r="A22" s="337"/>
      <c r="B22" s="455"/>
      <c r="C22" s="456" t="s">
        <v>383</v>
      </c>
      <c r="D22" s="456"/>
      <c r="E22" s="456"/>
      <c r="F22" s="456"/>
      <c r="G22" s="456"/>
      <c r="H22" s="456"/>
      <c r="I22" s="470"/>
      <c r="J22" s="2349">
        <v>0</v>
      </c>
      <c r="K22" s="2350"/>
      <c r="L22" s="2351"/>
      <c r="M22" s="2350">
        <v>0</v>
      </c>
      <c r="N22" s="2350"/>
      <c r="O22" s="2352"/>
      <c r="P22" s="2353">
        <f t="shared" si="1"/>
        <v>0</v>
      </c>
      <c r="Q22" s="2354"/>
      <c r="R22" s="2355"/>
      <c r="S22" s="447"/>
      <c r="T22" s="447"/>
      <c r="U22" s="447"/>
      <c r="V22" s="468" t="s">
        <v>50</v>
      </c>
      <c r="W22" s="2335" t="s">
        <v>384</v>
      </c>
      <c r="X22" s="2335"/>
      <c r="Y22" s="2335"/>
      <c r="Z22" s="2335"/>
      <c r="AA22" s="2335"/>
      <c r="AB22" s="2335"/>
      <c r="AC22" s="2335"/>
      <c r="AD22" s="2335"/>
      <c r="AE22" s="2335"/>
      <c r="AF22" s="2335"/>
      <c r="AG22" s="2335"/>
      <c r="AH22" s="2335"/>
      <c r="AI22" s="2335"/>
      <c r="AJ22" s="2335"/>
      <c r="AK22" s="2335"/>
      <c r="AL22" s="2335"/>
      <c r="AM22" s="303"/>
      <c r="AN22" s="303"/>
      <c r="AO22" s="303"/>
      <c r="AP22" s="468" t="s">
        <v>50</v>
      </c>
      <c r="AQ22" s="2335" t="s">
        <v>385</v>
      </c>
      <c r="AR22" s="2335"/>
      <c r="AS22" s="2335"/>
      <c r="AT22" s="2335"/>
      <c r="AU22" s="2335"/>
      <c r="AV22" s="2335"/>
      <c r="AW22" s="2335"/>
      <c r="AX22" s="2335"/>
      <c r="AY22" s="2335"/>
      <c r="AZ22" s="2335"/>
      <c r="BA22" s="2335"/>
      <c r="BB22" s="2335"/>
      <c r="BC22" s="2335"/>
      <c r="BD22" s="2335"/>
      <c r="BE22" s="2335"/>
      <c r="BF22" s="2335"/>
      <c r="BG22" s="337"/>
      <c r="BH22" s="337"/>
      <c r="BI22" s="337"/>
      <c r="BJ22" s="337"/>
      <c r="BK22" s="337"/>
      <c r="BL22" s="337"/>
      <c r="BM22" s="337"/>
      <c r="BN22" s="337"/>
      <c r="BO22" s="337"/>
      <c r="BP22" s="337"/>
    </row>
    <row r="23" spans="1:68" s="15" customFormat="1" ht="30" customHeight="1" thickTop="1" thickBot="1">
      <c r="A23" s="337"/>
      <c r="B23" s="2356" t="s">
        <v>42</v>
      </c>
      <c r="C23" s="2357"/>
      <c r="D23" s="2357"/>
      <c r="E23" s="2357"/>
      <c r="F23" s="2357"/>
      <c r="G23" s="2357"/>
      <c r="H23" s="2357"/>
      <c r="I23" s="2358"/>
      <c r="J23" s="2359">
        <f>SUM(J7:L22)</f>
        <v>11</v>
      </c>
      <c r="K23" s="2360"/>
      <c r="L23" s="2361"/>
      <c r="M23" s="2360">
        <f>SUM(M7:O22)</f>
        <v>18</v>
      </c>
      <c r="N23" s="2360"/>
      <c r="O23" s="2362"/>
      <c r="P23" s="2363">
        <f t="shared" si="1"/>
        <v>29</v>
      </c>
      <c r="Q23" s="2360"/>
      <c r="R23" s="2364"/>
      <c r="S23" s="447"/>
      <c r="T23" s="447"/>
      <c r="U23" s="447"/>
      <c r="V23" s="467"/>
      <c r="W23" s="2335"/>
      <c r="X23" s="2335"/>
      <c r="Y23" s="2335"/>
      <c r="Z23" s="2335"/>
      <c r="AA23" s="2335"/>
      <c r="AB23" s="2335"/>
      <c r="AC23" s="2335"/>
      <c r="AD23" s="2335"/>
      <c r="AE23" s="2335"/>
      <c r="AF23" s="2335"/>
      <c r="AG23" s="2335"/>
      <c r="AH23" s="2335"/>
      <c r="AI23" s="2335"/>
      <c r="AJ23" s="2335"/>
      <c r="AK23" s="2335"/>
      <c r="AL23" s="2335"/>
      <c r="AM23" s="303"/>
      <c r="AN23" s="303"/>
      <c r="AO23" s="303"/>
      <c r="AP23" s="467"/>
      <c r="AQ23" s="2335"/>
      <c r="AR23" s="2335"/>
      <c r="AS23" s="2335"/>
      <c r="AT23" s="2335"/>
      <c r="AU23" s="2335"/>
      <c r="AV23" s="2335"/>
      <c r="AW23" s="2335"/>
      <c r="AX23" s="2335"/>
      <c r="AY23" s="2335"/>
      <c r="AZ23" s="2335"/>
      <c r="BA23" s="2335"/>
      <c r="BB23" s="2335"/>
      <c r="BC23" s="2335"/>
      <c r="BD23" s="2335"/>
      <c r="BE23" s="2335"/>
      <c r="BF23" s="2335"/>
      <c r="BG23" s="337"/>
      <c r="BH23" s="337"/>
      <c r="BI23" s="337"/>
      <c r="BJ23" s="337"/>
      <c r="BK23" s="337"/>
      <c r="BL23" s="337"/>
      <c r="BM23" s="337"/>
      <c r="BN23" s="337"/>
      <c r="BO23" s="337"/>
      <c r="BP23" s="337"/>
    </row>
    <row r="24" spans="1:68" s="16" customFormat="1" ht="15" customHeight="1">
      <c r="A24" s="262"/>
      <c r="B24" s="302" t="s">
        <v>999</v>
      </c>
      <c r="C24" s="302"/>
      <c r="D24" s="302"/>
      <c r="E24" s="302"/>
      <c r="F24" s="302"/>
      <c r="G24" s="302"/>
      <c r="H24" s="302"/>
      <c r="I24" s="302"/>
      <c r="J24" s="302"/>
      <c r="K24" s="302"/>
      <c r="L24" s="262"/>
      <c r="M24" s="262"/>
      <c r="N24" s="262"/>
      <c r="O24" s="262"/>
      <c r="P24" s="262"/>
      <c r="Q24" s="262"/>
      <c r="R24" s="262"/>
      <c r="S24" s="262"/>
      <c r="T24" s="262"/>
      <c r="U24" s="262"/>
      <c r="V24" s="471" t="s">
        <v>1023</v>
      </c>
      <c r="W24" s="472"/>
      <c r="X24" s="472"/>
      <c r="Y24" s="472"/>
      <c r="Z24" s="472"/>
      <c r="AA24" s="472"/>
      <c r="AB24" s="472"/>
      <c r="AC24" s="472"/>
      <c r="AD24" s="472"/>
      <c r="AE24" s="472"/>
      <c r="AF24" s="472"/>
      <c r="AG24" s="472"/>
      <c r="AH24" s="472"/>
      <c r="AI24" s="472"/>
      <c r="AJ24" s="472"/>
      <c r="AK24" s="472"/>
      <c r="AL24" s="303"/>
      <c r="AM24" s="303"/>
      <c r="AN24" s="303"/>
      <c r="AO24" s="303"/>
      <c r="AP24" s="468" t="s">
        <v>51</v>
      </c>
      <c r="AQ24" s="2335" t="s">
        <v>386</v>
      </c>
      <c r="AR24" s="2335"/>
      <c r="AS24" s="2335"/>
      <c r="AT24" s="2335"/>
      <c r="AU24" s="2335"/>
      <c r="AV24" s="2335"/>
      <c r="AW24" s="2335"/>
      <c r="AX24" s="2335"/>
      <c r="AY24" s="2335"/>
      <c r="AZ24" s="2335"/>
      <c r="BA24" s="2335"/>
      <c r="BB24" s="2335"/>
      <c r="BC24" s="2335"/>
      <c r="BD24" s="2335"/>
      <c r="BE24" s="2335"/>
      <c r="BF24" s="2335"/>
      <c r="BG24" s="262"/>
      <c r="BH24" s="262"/>
      <c r="BI24" s="262"/>
      <c r="BJ24" s="262"/>
      <c r="BK24" s="262"/>
      <c r="BL24" s="262"/>
      <c r="BM24" s="262"/>
      <c r="BN24" s="262"/>
      <c r="BO24" s="262"/>
      <c r="BP24" s="262"/>
    </row>
    <row r="25" spans="1:68" s="16" customFormat="1" ht="15" customHeight="1">
      <c r="A25" s="262"/>
      <c r="B25" s="262"/>
      <c r="C25" s="302" t="s">
        <v>1055</v>
      </c>
      <c r="D25" s="302"/>
      <c r="E25" s="302"/>
      <c r="F25" s="302"/>
      <c r="G25" s="302"/>
      <c r="H25" s="302"/>
      <c r="I25" s="302"/>
      <c r="J25" s="302"/>
      <c r="K25" s="302"/>
      <c r="L25" s="262"/>
      <c r="M25" s="262"/>
      <c r="N25" s="262"/>
      <c r="O25" s="262"/>
      <c r="P25" s="262"/>
      <c r="Q25" s="262"/>
      <c r="R25" s="262"/>
      <c r="S25" s="262"/>
      <c r="T25" s="262"/>
      <c r="U25" s="262"/>
      <c r="V25" s="262"/>
      <c r="W25" s="467"/>
      <c r="X25" s="472"/>
      <c r="Y25" s="473" t="s">
        <v>1024</v>
      </c>
      <c r="Z25" s="472"/>
      <c r="AA25" s="472"/>
      <c r="AB25" s="472"/>
      <c r="AC25" s="472"/>
      <c r="AD25" s="472"/>
      <c r="AE25" s="472"/>
      <c r="AF25" s="472"/>
      <c r="AG25" s="472"/>
      <c r="AH25" s="472"/>
      <c r="AI25" s="472"/>
      <c r="AJ25" s="472"/>
      <c r="AK25" s="472"/>
      <c r="AL25" s="303"/>
      <c r="AM25" s="303"/>
      <c r="AN25" s="303"/>
      <c r="AO25" s="303"/>
      <c r="AP25" s="467"/>
      <c r="AQ25" s="2335"/>
      <c r="AR25" s="2335"/>
      <c r="AS25" s="2335"/>
      <c r="AT25" s="2335"/>
      <c r="AU25" s="2335"/>
      <c r="AV25" s="2335"/>
      <c r="AW25" s="2335"/>
      <c r="AX25" s="2335"/>
      <c r="AY25" s="2335"/>
      <c r="AZ25" s="2335"/>
      <c r="BA25" s="2335"/>
      <c r="BB25" s="2335"/>
      <c r="BC25" s="2335"/>
      <c r="BD25" s="2335"/>
      <c r="BE25" s="2335"/>
      <c r="BF25" s="2335"/>
      <c r="BG25" s="474"/>
      <c r="BH25" s="262"/>
      <c r="BI25" s="262"/>
      <c r="BJ25" s="262"/>
      <c r="BK25" s="262"/>
      <c r="BL25" s="262"/>
      <c r="BM25" s="262"/>
      <c r="BN25" s="262"/>
      <c r="BO25" s="262"/>
      <c r="BP25" s="262"/>
    </row>
    <row r="26" spans="1:68" s="16" customFormat="1" ht="24.75" customHeight="1">
      <c r="A26" s="262"/>
      <c r="B26" s="262"/>
      <c r="C26" s="475"/>
      <c r="D26" s="302"/>
      <c r="E26" s="302"/>
      <c r="F26" s="302"/>
      <c r="G26" s="302"/>
      <c r="H26" s="302"/>
      <c r="I26" s="302"/>
      <c r="J26" s="302"/>
      <c r="K26" s="302"/>
      <c r="L26" s="262"/>
      <c r="M26" s="262"/>
      <c r="N26" s="262"/>
      <c r="O26" s="262"/>
      <c r="P26" s="262"/>
      <c r="Q26" s="262"/>
      <c r="R26" s="262"/>
      <c r="S26" s="262"/>
      <c r="T26" s="262"/>
      <c r="U26" s="262"/>
      <c r="V26" s="262"/>
      <c r="W26" s="467"/>
      <c r="X26" s="472"/>
      <c r="Y26" s="472"/>
      <c r="Z26" s="472"/>
      <c r="AA26" s="472"/>
      <c r="AB26" s="472"/>
      <c r="AC26" s="472"/>
      <c r="AD26" s="472"/>
      <c r="AE26" s="472"/>
      <c r="AF26" s="472"/>
      <c r="AG26" s="472"/>
      <c r="AH26" s="472"/>
      <c r="AI26" s="472"/>
      <c r="AJ26" s="472"/>
      <c r="AK26" s="472"/>
      <c r="AL26" s="303"/>
      <c r="AM26" s="303"/>
      <c r="AN26" s="303"/>
      <c r="AO26" s="303"/>
      <c r="AP26" s="467"/>
      <c r="AQ26" s="2335"/>
      <c r="AR26" s="2335"/>
      <c r="AS26" s="2335"/>
      <c r="AT26" s="2335"/>
      <c r="AU26" s="2335"/>
      <c r="AV26" s="2335"/>
      <c r="AW26" s="2335"/>
      <c r="AX26" s="2335"/>
      <c r="AY26" s="2335"/>
      <c r="AZ26" s="2335"/>
      <c r="BA26" s="2335"/>
      <c r="BB26" s="2335"/>
      <c r="BC26" s="2335"/>
      <c r="BD26" s="2335"/>
      <c r="BE26" s="2335"/>
      <c r="BF26" s="2335"/>
      <c r="BG26" s="474"/>
      <c r="BH26" s="262"/>
      <c r="BI26" s="262"/>
      <c r="BJ26" s="262"/>
      <c r="BK26" s="262"/>
      <c r="BL26" s="262"/>
      <c r="BM26" s="262"/>
      <c r="BN26" s="262"/>
      <c r="BO26" s="262"/>
      <c r="BP26" s="262"/>
    </row>
    <row r="27" spans="1:68" s="16" customFormat="1" ht="24.75" customHeight="1">
      <c r="A27" s="222"/>
      <c r="B27" s="222"/>
      <c r="C27" s="222"/>
      <c r="D27" s="222"/>
      <c r="E27" s="262"/>
      <c r="F27" s="262"/>
      <c r="G27" s="262"/>
      <c r="H27" s="262"/>
      <c r="I27" s="262"/>
      <c r="J27" s="262"/>
      <c r="K27" s="262"/>
      <c r="L27" s="262"/>
      <c r="M27" s="262"/>
      <c r="N27" s="262"/>
      <c r="O27" s="262"/>
      <c r="P27" s="262"/>
      <c r="Q27" s="262"/>
      <c r="R27" s="262"/>
      <c r="S27" s="262"/>
      <c r="T27" s="262"/>
      <c r="U27" s="262"/>
      <c r="V27" s="474"/>
      <c r="W27" s="474"/>
      <c r="X27" s="262"/>
      <c r="Y27" s="262"/>
      <c r="Z27" s="262"/>
      <c r="AA27" s="262"/>
      <c r="AB27" s="262"/>
      <c r="AC27" s="262"/>
      <c r="AD27" s="262"/>
      <c r="AE27" s="262"/>
      <c r="AF27" s="262"/>
      <c r="AG27" s="262"/>
      <c r="AH27" s="262"/>
      <c r="AI27" s="262"/>
      <c r="AJ27" s="262"/>
      <c r="AK27" s="262"/>
      <c r="AL27" s="262"/>
      <c r="AM27" s="262"/>
      <c r="AN27" s="262"/>
      <c r="AO27" s="262"/>
      <c r="AP27" s="468" t="s">
        <v>52</v>
      </c>
      <c r="AQ27" s="2335" t="s">
        <v>387</v>
      </c>
      <c r="AR27" s="2335"/>
      <c r="AS27" s="2335"/>
      <c r="AT27" s="2335"/>
      <c r="AU27" s="2335"/>
      <c r="AV27" s="2335"/>
      <c r="AW27" s="2335"/>
      <c r="AX27" s="2335"/>
      <c r="AY27" s="2335"/>
      <c r="AZ27" s="2335"/>
      <c r="BA27" s="2335"/>
      <c r="BB27" s="2335"/>
      <c r="BC27" s="2335"/>
      <c r="BD27" s="2335"/>
      <c r="BE27" s="2335"/>
      <c r="BF27" s="2335"/>
      <c r="BG27" s="262"/>
      <c r="BH27" s="262"/>
      <c r="BI27" s="262"/>
      <c r="BJ27" s="262"/>
      <c r="BK27" s="262"/>
      <c r="BL27" s="262"/>
      <c r="BM27" s="262"/>
      <c r="BN27" s="262"/>
      <c r="BO27" s="262"/>
      <c r="BP27" s="262"/>
    </row>
    <row r="28" spans="1:68" s="16" customFormat="1" ht="21" customHeight="1">
      <c r="A28" s="222"/>
      <c r="B28" s="222"/>
      <c r="C28" s="222"/>
      <c r="D28" s="222"/>
      <c r="E28" s="262"/>
      <c r="F28" s="262"/>
      <c r="G28" s="262"/>
      <c r="H28" s="262"/>
      <c r="I28" s="262"/>
      <c r="J28" s="262"/>
      <c r="K28" s="262"/>
      <c r="L28" s="262"/>
      <c r="M28" s="262"/>
      <c r="N28" s="262"/>
      <c r="O28" s="262"/>
      <c r="P28" s="262"/>
      <c r="Q28" s="262"/>
      <c r="R28" s="262"/>
      <c r="S28" s="262"/>
      <c r="T28" s="262"/>
      <c r="U28" s="262"/>
      <c r="V28" s="474"/>
      <c r="W28" s="474"/>
      <c r="X28" s="262"/>
      <c r="Y28" s="262"/>
      <c r="Z28" s="262"/>
      <c r="AA28" s="262"/>
      <c r="AB28" s="262"/>
      <c r="AC28" s="262"/>
      <c r="AD28" s="262"/>
      <c r="AE28" s="262"/>
      <c r="AF28" s="262"/>
      <c r="AG28" s="262"/>
      <c r="AH28" s="262"/>
      <c r="AI28" s="262"/>
      <c r="AJ28" s="262"/>
      <c r="AK28" s="262"/>
      <c r="AL28" s="262"/>
      <c r="AM28" s="262"/>
      <c r="AN28" s="262"/>
      <c r="AO28" s="262"/>
      <c r="AP28" s="467"/>
      <c r="AQ28" s="2335"/>
      <c r="AR28" s="2335"/>
      <c r="AS28" s="2335"/>
      <c r="AT28" s="2335"/>
      <c r="AU28" s="2335"/>
      <c r="AV28" s="2335"/>
      <c r="AW28" s="2335"/>
      <c r="AX28" s="2335"/>
      <c r="AY28" s="2335"/>
      <c r="AZ28" s="2335"/>
      <c r="BA28" s="2335"/>
      <c r="BB28" s="2335"/>
      <c r="BC28" s="2335"/>
      <c r="BD28" s="2335"/>
      <c r="BE28" s="2335"/>
      <c r="BF28" s="2335"/>
      <c r="BG28" s="262"/>
      <c r="BH28" s="262"/>
      <c r="BI28" s="262"/>
      <c r="BJ28" s="262"/>
      <c r="BK28" s="262"/>
      <c r="BL28" s="262"/>
      <c r="BM28" s="262"/>
      <c r="BN28" s="262"/>
      <c r="BO28" s="262"/>
      <c r="BP28" s="262"/>
    </row>
    <row r="29" spans="1:68" s="16" customFormat="1" ht="24.75" customHeight="1">
      <c r="A29" s="336"/>
      <c r="B29" s="336"/>
      <c r="C29" s="336"/>
      <c r="D29" s="336"/>
      <c r="E29" s="262"/>
      <c r="F29" s="262"/>
      <c r="G29" s="262"/>
      <c r="H29" s="262"/>
      <c r="I29" s="262"/>
      <c r="J29" s="262"/>
      <c r="K29" s="262"/>
      <c r="L29" s="262"/>
      <c r="M29" s="262"/>
      <c r="N29" s="262"/>
      <c r="O29" s="262"/>
      <c r="P29" s="262"/>
      <c r="Q29" s="262"/>
      <c r="R29" s="262"/>
      <c r="S29" s="262"/>
      <c r="T29" s="262"/>
      <c r="U29" s="262"/>
      <c r="V29" s="474"/>
      <c r="W29" s="474"/>
      <c r="X29" s="262"/>
      <c r="Y29" s="262"/>
      <c r="Z29" s="262"/>
      <c r="AA29" s="262"/>
      <c r="AB29" s="262"/>
      <c r="AC29" s="262"/>
      <c r="AD29" s="262"/>
      <c r="AE29" s="262"/>
      <c r="AF29" s="262"/>
      <c r="AG29" s="262"/>
      <c r="AH29" s="262"/>
      <c r="AI29" s="262"/>
      <c r="AJ29" s="262"/>
      <c r="AK29" s="262"/>
      <c r="AL29" s="262"/>
      <c r="AM29" s="262"/>
      <c r="AN29" s="262"/>
      <c r="AO29" s="262"/>
      <c r="AP29" s="476"/>
      <c r="AQ29" s="2335"/>
      <c r="AR29" s="2335"/>
      <c r="AS29" s="2335"/>
      <c r="AT29" s="2335"/>
      <c r="AU29" s="2335"/>
      <c r="AV29" s="2335"/>
      <c r="AW29" s="2335"/>
      <c r="AX29" s="2335"/>
      <c r="AY29" s="2335"/>
      <c r="AZ29" s="2335"/>
      <c r="BA29" s="2335"/>
      <c r="BB29" s="2335"/>
      <c r="BC29" s="2335"/>
      <c r="BD29" s="2335"/>
      <c r="BE29" s="2335"/>
      <c r="BF29" s="2335"/>
      <c r="BG29" s="262"/>
      <c r="BH29" s="262"/>
      <c r="BI29" s="262"/>
      <c r="BJ29" s="262"/>
      <c r="BK29" s="262"/>
      <c r="BL29" s="262"/>
      <c r="BM29" s="262"/>
      <c r="BN29" s="262"/>
      <c r="BO29" s="262"/>
      <c r="BP29" s="262"/>
    </row>
    <row r="30" spans="1:68" s="16" customFormat="1" ht="24.75" customHeight="1">
      <c r="A30" s="336"/>
      <c r="B30" s="336"/>
      <c r="C30" s="336"/>
      <c r="D30" s="336"/>
      <c r="E30" s="262"/>
      <c r="F30" s="262"/>
      <c r="G30" s="262"/>
      <c r="H30" s="262"/>
      <c r="I30" s="262"/>
      <c r="J30" s="262"/>
      <c r="K30" s="262"/>
      <c r="L30" s="262"/>
      <c r="M30" s="262"/>
      <c r="N30" s="262"/>
      <c r="O30" s="262"/>
      <c r="P30" s="262"/>
      <c r="Q30" s="262"/>
      <c r="R30" s="262"/>
      <c r="S30" s="262"/>
      <c r="T30" s="262"/>
      <c r="U30" s="262"/>
      <c r="V30" s="474"/>
      <c r="W30" s="474"/>
      <c r="X30" s="262"/>
      <c r="Y30" s="262"/>
      <c r="Z30" s="262"/>
      <c r="AA30" s="262"/>
      <c r="AB30" s="262"/>
      <c r="AC30" s="262"/>
      <c r="AD30" s="262"/>
      <c r="AE30" s="262"/>
      <c r="AF30" s="262"/>
      <c r="AG30" s="262"/>
      <c r="AH30" s="262"/>
      <c r="AI30" s="262"/>
      <c r="AJ30" s="262"/>
      <c r="AK30" s="262"/>
      <c r="AL30" s="262"/>
      <c r="AM30" s="262"/>
      <c r="AN30" s="262"/>
      <c r="AO30" s="262"/>
      <c r="AP30" s="468" t="s">
        <v>53</v>
      </c>
      <c r="AQ30" s="2334" t="s">
        <v>388</v>
      </c>
      <c r="AR30" s="2334"/>
      <c r="AS30" s="2334"/>
      <c r="AT30" s="2334"/>
      <c r="AU30" s="2334"/>
      <c r="AV30" s="2334"/>
      <c r="AW30" s="2334"/>
      <c r="AX30" s="2334"/>
      <c r="AY30" s="2334"/>
      <c r="AZ30" s="2334"/>
      <c r="BA30" s="2334"/>
      <c r="BB30" s="2334"/>
      <c r="BC30" s="2334"/>
      <c r="BD30" s="2334"/>
      <c r="BE30" s="2334"/>
      <c r="BF30" s="2334"/>
      <c r="BG30" s="262"/>
      <c r="BH30" s="262"/>
      <c r="BI30" s="262"/>
      <c r="BJ30" s="262"/>
      <c r="BK30" s="262"/>
      <c r="BL30" s="262"/>
      <c r="BM30" s="262"/>
      <c r="BN30" s="262"/>
      <c r="BO30" s="262"/>
      <c r="BP30" s="262"/>
    </row>
    <row r="31" spans="1:68" s="16" customFormat="1" ht="51" customHeight="1">
      <c r="A31" s="336"/>
      <c r="B31" s="336"/>
      <c r="C31" s="336"/>
      <c r="D31" s="336"/>
      <c r="E31" s="262"/>
      <c r="F31" s="262"/>
      <c r="G31" s="262"/>
      <c r="H31" s="262"/>
      <c r="I31" s="262"/>
      <c r="J31" s="262"/>
      <c r="K31" s="262"/>
      <c r="L31" s="262"/>
      <c r="M31" s="262"/>
      <c r="N31" s="262"/>
      <c r="O31" s="262"/>
      <c r="P31" s="262"/>
      <c r="Q31" s="262"/>
      <c r="R31" s="262"/>
      <c r="S31" s="262"/>
      <c r="T31" s="262"/>
      <c r="U31" s="262"/>
      <c r="V31" s="336"/>
      <c r="W31" s="474"/>
      <c r="X31" s="262"/>
      <c r="Y31" s="262"/>
      <c r="Z31" s="262"/>
      <c r="AA31" s="262"/>
      <c r="AB31" s="262"/>
      <c r="AC31" s="262"/>
      <c r="AD31" s="262"/>
      <c r="AE31" s="262"/>
      <c r="AF31" s="262"/>
      <c r="AG31" s="262"/>
      <c r="AH31" s="262"/>
      <c r="AI31" s="262"/>
      <c r="AJ31" s="262"/>
      <c r="AK31" s="262"/>
      <c r="AL31" s="262"/>
      <c r="AM31" s="262"/>
      <c r="AN31" s="262"/>
      <c r="AO31" s="262"/>
      <c r="AP31" s="476"/>
      <c r="AQ31" s="2334"/>
      <c r="AR31" s="2334"/>
      <c r="AS31" s="2334"/>
      <c r="AT31" s="2334"/>
      <c r="AU31" s="2334"/>
      <c r="AV31" s="2334"/>
      <c r="AW31" s="2334"/>
      <c r="AX31" s="2334"/>
      <c r="AY31" s="2334"/>
      <c r="AZ31" s="2334"/>
      <c r="BA31" s="2334"/>
      <c r="BB31" s="2334"/>
      <c r="BC31" s="2334"/>
      <c r="BD31" s="2334"/>
      <c r="BE31" s="2334"/>
      <c r="BF31" s="2334"/>
      <c r="BG31" s="262"/>
      <c r="BH31" s="262"/>
      <c r="BI31" s="262"/>
      <c r="BJ31" s="262"/>
      <c r="BK31" s="262"/>
      <c r="BL31" s="262"/>
      <c r="BM31" s="262"/>
      <c r="BN31" s="262"/>
      <c r="BO31" s="262"/>
      <c r="BP31" s="262"/>
    </row>
    <row r="32" spans="1:68" s="16" customFormat="1" ht="30" customHeight="1">
      <c r="A32" s="337"/>
      <c r="B32" s="265"/>
      <c r="C32" s="265"/>
      <c r="D32" s="265"/>
      <c r="E32" s="262"/>
      <c r="F32" s="262"/>
      <c r="G32" s="262"/>
      <c r="H32" s="262"/>
      <c r="I32" s="262"/>
      <c r="J32" s="262"/>
      <c r="K32" s="262"/>
      <c r="L32" s="262"/>
      <c r="M32" s="262"/>
      <c r="N32" s="262"/>
      <c r="O32" s="262"/>
      <c r="P32" s="262"/>
      <c r="Q32" s="262"/>
      <c r="R32" s="262"/>
      <c r="S32" s="262"/>
      <c r="T32" s="262"/>
      <c r="U32" s="262"/>
      <c r="V32" s="336"/>
      <c r="W32" s="474"/>
      <c r="X32" s="262"/>
      <c r="Y32" s="262"/>
      <c r="Z32" s="262"/>
      <c r="AA32" s="262"/>
      <c r="AB32" s="262"/>
      <c r="AC32" s="262"/>
      <c r="AD32" s="262"/>
      <c r="AE32" s="262"/>
      <c r="AF32" s="262"/>
      <c r="AG32" s="262"/>
      <c r="AH32" s="262"/>
      <c r="AI32" s="262"/>
      <c r="AJ32" s="262"/>
      <c r="AK32" s="262"/>
      <c r="AL32" s="262"/>
      <c r="AM32" s="262"/>
      <c r="AN32" s="262"/>
      <c r="AO32" s="262"/>
      <c r="AP32" s="476"/>
      <c r="AQ32" s="471" t="s">
        <v>1023</v>
      </c>
      <c r="AR32" s="461"/>
      <c r="AS32" s="461"/>
      <c r="AT32" s="461"/>
      <c r="AU32" s="461"/>
      <c r="AV32" s="461"/>
      <c r="AW32" s="461"/>
      <c r="AX32" s="461"/>
      <c r="AY32" s="461"/>
      <c r="AZ32" s="461"/>
      <c r="BA32" s="461"/>
      <c r="BB32" s="461"/>
      <c r="BC32" s="461"/>
      <c r="BD32" s="461"/>
      <c r="BE32" s="461"/>
      <c r="BF32" s="461"/>
      <c r="BG32" s="262"/>
      <c r="BH32" s="262"/>
      <c r="BI32" s="262"/>
      <c r="BJ32" s="262"/>
      <c r="BK32" s="262"/>
      <c r="BL32" s="262"/>
      <c r="BM32" s="262"/>
      <c r="BN32" s="262"/>
      <c r="BO32" s="262"/>
      <c r="BP32" s="262"/>
    </row>
    <row r="33" spans="1:79" s="16" customFormat="1" ht="26.45" customHeight="1">
      <c r="A33" s="336"/>
      <c r="B33" s="265"/>
      <c r="C33" s="265"/>
      <c r="D33" s="265"/>
      <c r="E33" s="476"/>
      <c r="F33" s="472"/>
      <c r="G33" s="472"/>
      <c r="H33" s="472"/>
      <c r="I33" s="472"/>
      <c r="J33" s="472"/>
      <c r="K33" s="472"/>
      <c r="L33" s="472"/>
      <c r="M33" s="472"/>
      <c r="N33" s="472"/>
      <c r="O33" s="472"/>
      <c r="P33" s="472"/>
      <c r="Q33" s="472"/>
      <c r="R33" s="472"/>
      <c r="S33" s="472"/>
      <c r="T33" s="472"/>
      <c r="U33" s="472"/>
      <c r="V33" s="336"/>
      <c r="W33" s="474"/>
      <c r="X33" s="262"/>
      <c r="Y33" s="262"/>
      <c r="Z33" s="262"/>
      <c r="AA33" s="262"/>
      <c r="AB33" s="262"/>
      <c r="AC33" s="262"/>
      <c r="AD33" s="262"/>
      <c r="AE33" s="262"/>
      <c r="AF33" s="262"/>
      <c r="AG33" s="262"/>
      <c r="AH33" s="262"/>
      <c r="AI33" s="262"/>
      <c r="AJ33" s="262"/>
      <c r="AK33" s="262"/>
      <c r="AL33" s="262"/>
      <c r="AM33" s="262"/>
      <c r="AN33" s="262"/>
      <c r="AO33" s="262"/>
      <c r="AP33" s="262"/>
      <c r="AQ33" s="262"/>
      <c r="AR33" s="262"/>
      <c r="AS33" s="262"/>
      <c r="AT33" s="473" t="s">
        <v>1025</v>
      </c>
      <c r="AU33" s="262"/>
      <c r="AV33" s="262"/>
      <c r="AW33" s="262"/>
      <c r="AX33" s="262"/>
      <c r="AY33" s="262"/>
      <c r="AZ33" s="262"/>
      <c r="BA33" s="262"/>
      <c r="BB33" s="262"/>
      <c r="BC33" s="262"/>
      <c r="BD33" s="262"/>
      <c r="BE33" s="262"/>
      <c r="BF33" s="262"/>
      <c r="BG33" s="262"/>
      <c r="BH33" s="262"/>
      <c r="BI33" s="262"/>
      <c r="BJ33" s="262"/>
      <c r="BK33" s="262"/>
      <c r="BL33" s="262"/>
      <c r="BM33" s="262"/>
      <c r="BN33" s="262"/>
      <c r="BO33" s="262"/>
      <c r="BP33" s="262"/>
    </row>
    <row r="34" spans="1:79" ht="30" customHeight="1">
      <c r="A34" s="336"/>
      <c r="B34" s="336"/>
      <c r="C34" s="336"/>
      <c r="D34" s="336"/>
      <c r="E34" s="336"/>
      <c r="F34" s="336"/>
      <c r="G34" s="336"/>
      <c r="H34" s="336"/>
      <c r="I34" s="336"/>
      <c r="J34" s="336"/>
      <c r="K34" s="336"/>
      <c r="L34" s="336"/>
      <c r="M34" s="336"/>
      <c r="N34" s="336"/>
      <c r="O34" s="336"/>
      <c r="P34" s="336"/>
      <c r="Q34" s="336"/>
      <c r="R34" s="336"/>
      <c r="S34" s="336"/>
      <c r="T34" s="262"/>
      <c r="U34" s="467"/>
      <c r="V34" s="336"/>
      <c r="W34" s="336"/>
      <c r="X34" s="336"/>
      <c r="Y34" s="336"/>
      <c r="Z34" s="336"/>
      <c r="AA34" s="336"/>
      <c r="AB34" s="336"/>
      <c r="AC34" s="336"/>
      <c r="AD34" s="336"/>
      <c r="AE34" s="336"/>
      <c r="AF34" s="336"/>
      <c r="AG34" s="336"/>
      <c r="AH34" s="336"/>
      <c r="AI34" s="336"/>
      <c r="AJ34" s="336"/>
      <c r="AK34" s="336"/>
      <c r="AL34" s="336"/>
      <c r="AM34" s="336"/>
      <c r="AN34" s="476"/>
      <c r="AO34" s="472"/>
      <c r="AP34" s="336"/>
      <c r="AQ34" s="336"/>
      <c r="AR34" s="336"/>
      <c r="AS34" s="336"/>
      <c r="AT34" s="336"/>
      <c r="AU34" s="336"/>
      <c r="AV34" s="336"/>
      <c r="AW34" s="336"/>
      <c r="AX34" s="336"/>
      <c r="AY34" s="336"/>
      <c r="AZ34" s="336"/>
      <c r="BA34" s="336"/>
      <c r="BB34" s="336"/>
      <c r="BC34" s="336"/>
      <c r="BD34" s="336"/>
      <c r="BE34" s="336"/>
      <c r="BF34" s="476"/>
      <c r="BG34" s="476"/>
      <c r="BH34" s="476"/>
      <c r="BI34" s="476"/>
      <c r="BJ34" s="476"/>
      <c r="BK34" s="476"/>
      <c r="BL34" s="476"/>
      <c r="BM34" s="476"/>
      <c r="BN34" s="476"/>
      <c r="BO34" s="476"/>
      <c r="BP34" s="336"/>
    </row>
    <row r="35" spans="1:79" ht="17.25">
      <c r="A35" s="336"/>
      <c r="B35" s="477" t="s">
        <v>32</v>
      </c>
      <c r="C35" s="336"/>
      <c r="D35" s="336"/>
      <c r="E35" s="336"/>
      <c r="F35" s="336"/>
      <c r="G35" s="336"/>
      <c r="H35" s="336"/>
      <c r="I35" s="336"/>
      <c r="J35" s="336"/>
      <c r="K35" s="336"/>
      <c r="L35" s="336"/>
      <c r="M35" s="336"/>
      <c r="N35" s="336"/>
      <c r="O35" s="336"/>
      <c r="P35" s="336"/>
      <c r="Q35" s="336"/>
      <c r="R35" s="336"/>
      <c r="S35" s="336"/>
      <c r="T35" s="336"/>
      <c r="U35" s="336"/>
      <c r="V35" s="477" t="s">
        <v>389</v>
      </c>
      <c r="W35" s="336"/>
      <c r="X35" s="336"/>
      <c r="Y35" s="336"/>
      <c r="Z35" s="336"/>
      <c r="AA35" s="336"/>
      <c r="AB35" s="336"/>
      <c r="AC35" s="336"/>
      <c r="AD35" s="336"/>
      <c r="AE35" s="336"/>
      <c r="AF35" s="336"/>
      <c r="AG35" s="336"/>
      <c r="AH35" s="336"/>
      <c r="AI35" s="336"/>
      <c r="AJ35" s="336"/>
      <c r="AK35" s="336"/>
      <c r="AL35" s="336"/>
      <c r="AM35" s="336"/>
      <c r="AN35" s="336"/>
      <c r="AO35" s="336"/>
      <c r="AP35" s="477" t="s">
        <v>33</v>
      </c>
      <c r="AQ35" s="336"/>
      <c r="AR35" s="336"/>
      <c r="AS35" s="336"/>
      <c r="AT35" s="336"/>
      <c r="AU35" s="336"/>
      <c r="AV35" s="336"/>
      <c r="AW35" s="336"/>
      <c r="AX35" s="336"/>
      <c r="AY35" s="336"/>
      <c r="AZ35" s="336"/>
      <c r="BA35" s="336"/>
      <c r="BB35" s="336"/>
      <c r="BC35" s="336"/>
      <c r="BD35" s="276"/>
      <c r="BE35" s="276"/>
      <c r="BF35" s="477"/>
      <c r="BG35" s="276"/>
      <c r="BH35" s="336"/>
      <c r="BI35" s="336"/>
      <c r="BJ35" s="336"/>
      <c r="BK35" s="336"/>
      <c r="BL35" s="336"/>
      <c r="BM35" s="336"/>
      <c r="BN35" s="336"/>
      <c r="BO35" s="336"/>
      <c r="BP35" s="336"/>
      <c r="BY35" s="20"/>
      <c r="BZ35" s="20"/>
    </row>
    <row r="36" spans="1:79" ht="21.75" customHeight="1">
      <c r="A36" s="336"/>
      <c r="B36" s="477" t="s">
        <v>73</v>
      </c>
      <c r="C36" s="336"/>
      <c r="D36" s="336"/>
      <c r="E36" s="336"/>
      <c r="F36" s="2346" t="str">
        <f>activesheet!E21</f>
        <v>MELCHESIEDICK Q. BOLANIO / March 17, 2023</v>
      </c>
      <c r="G36" s="2346"/>
      <c r="H36" s="2346"/>
      <c r="I36" s="2346"/>
      <c r="J36" s="2346"/>
      <c r="K36" s="2346"/>
      <c r="L36" s="2346"/>
      <c r="M36" s="2346"/>
      <c r="N36" s="2346"/>
      <c r="O36" s="2346"/>
      <c r="P36" s="2346"/>
      <c r="Q36" s="2346"/>
      <c r="R36" s="336"/>
      <c r="S36" s="336"/>
      <c r="T36" s="336"/>
      <c r="U36" s="336"/>
      <c r="V36" s="2347" t="str">
        <f>activesheet!E444</f>
        <v>ELMA CEZARIE Y. ROMERO / March 17, 2023</v>
      </c>
      <c r="W36" s="2347"/>
      <c r="X36" s="2347"/>
      <c r="Y36" s="2347"/>
      <c r="Z36" s="2347"/>
      <c r="AA36" s="2347"/>
      <c r="AB36" s="2347"/>
      <c r="AC36" s="2347"/>
      <c r="AD36" s="2347"/>
      <c r="AE36" s="2347"/>
      <c r="AF36" s="2347"/>
      <c r="AG36" s="2347"/>
      <c r="AH36" s="2347"/>
      <c r="AI36" s="2347"/>
      <c r="AJ36" s="2347"/>
      <c r="AK36" s="2347"/>
      <c r="AL36" s="336"/>
      <c r="AM36" s="336"/>
      <c r="AN36" s="336"/>
      <c r="AO36" s="336"/>
      <c r="AP36" s="2347" t="str">
        <f>activesheet!E25</f>
        <v>MICHAEL T. JAMIS / March 17, 2023</v>
      </c>
      <c r="AQ36" s="2347"/>
      <c r="AR36" s="2347"/>
      <c r="AS36" s="2347"/>
      <c r="AT36" s="2347"/>
      <c r="AU36" s="2347"/>
      <c r="AV36" s="2347"/>
      <c r="AW36" s="2347"/>
      <c r="AX36" s="2347"/>
      <c r="AY36" s="2347"/>
      <c r="AZ36" s="2347"/>
      <c r="BA36" s="2347"/>
      <c r="BB36" s="2347"/>
      <c r="BC36" s="2347"/>
      <c r="BD36" s="2347"/>
      <c r="BE36" s="2347"/>
      <c r="BF36" s="336"/>
      <c r="BG36" s="336"/>
      <c r="BH36" s="336"/>
      <c r="BI36" s="336"/>
      <c r="BJ36" s="336"/>
      <c r="BK36" s="336"/>
      <c r="BL36" s="336"/>
      <c r="BM36" s="336"/>
      <c r="BN36" s="336"/>
      <c r="BO36" s="336"/>
      <c r="BP36" s="336"/>
      <c r="CA36" s="20"/>
    </row>
    <row r="37" spans="1:79" s="17" customFormat="1">
      <c r="A37" s="311"/>
      <c r="B37" s="332"/>
      <c r="C37" s="311"/>
      <c r="D37" s="311"/>
      <c r="E37" s="311"/>
      <c r="F37" s="1811" t="s">
        <v>37</v>
      </c>
      <c r="G37" s="1811"/>
      <c r="H37" s="1811"/>
      <c r="I37" s="1811"/>
      <c r="J37" s="1811"/>
      <c r="K37" s="1811"/>
      <c r="L37" s="1811"/>
      <c r="M37" s="1811"/>
      <c r="N37" s="1811"/>
      <c r="O37" s="1811"/>
      <c r="P37" s="1811"/>
      <c r="Q37" s="1811"/>
      <c r="R37" s="245"/>
      <c r="S37" s="245"/>
      <c r="T37" s="245"/>
      <c r="U37" s="245"/>
      <c r="V37" s="2348"/>
      <c r="W37" s="2348"/>
      <c r="X37" s="2348"/>
      <c r="Y37" s="2348"/>
      <c r="Z37" s="2348"/>
      <c r="AA37" s="2348"/>
      <c r="AB37" s="2348"/>
      <c r="AC37" s="2348"/>
      <c r="AD37" s="2348"/>
      <c r="AE37" s="2348"/>
      <c r="AF37" s="2348"/>
      <c r="AG37" s="2348"/>
      <c r="AH37" s="2348"/>
      <c r="AI37" s="2348"/>
      <c r="AJ37" s="2348"/>
      <c r="AK37" s="2348"/>
      <c r="AL37" s="336"/>
      <c r="AM37" s="336"/>
      <c r="AN37" s="336"/>
      <c r="AO37" s="336"/>
      <c r="AP37" s="2348"/>
      <c r="AQ37" s="2348"/>
      <c r="AR37" s="2348"/>
      <c r="AS37" s="2348"/>
      <c r="AT37" s="2348"/>
      <c r="AU37" s="2348"/>
      <c r="AV37" s="2348"/>
      <c r="AW37" s="2348"/>
      <c r="AX37" s="2348"/>
      <c r="AY37" s="2348"/>
      <c r="AZ37" s="2348"/>
      <c r="BA37" s="2348"/>
      <c r="BB37" s="2348"/>
      <c r="BC37" s="2348"/>
      <c r="BD37" s="2348"/>
      <c r="BE37" s="2348"/>
      <c r="BF37" s="331"/>
      <c r="BG37" s="331"/>
      <c r="BH37" s="331"/>
      <c r="BI37" s="331"/>
      <c r="BJ37" s="331"/>
      <c r="BK37" s="331"/>
      <c r="BL37" s="331"/>
      <c r="BM37" s="331"/>
      <c r="BN37" s="331"/>
      <c r="BO37" s="331"/>
      <c r="BP37" s="331"/>
      <c r="BQ37" s="1"/>
      <c r="BR37" s="1"/>
      <c r="BS37" s="1"/>
      <c r="BT37" s="1"/>
      <c r="BU37" s="1"/>
      <c r="BV37" s="1"/>
      <c r="BW37" s="1"/>
      <c r="BX37" s="1"/>
      <c r="BY37" s="1"/>
      <c r="BZ37" s="1"/>
      <c r="CA37" s="1"/>
    </row>
    <row r="38" spans="1:79" ht="21.75" customHeight="1">
      <c r="A38" s="336"/>
      <c r="B38" s="477" t="s">
        <v>240</v>
      </c>
      <c r="C38" s="336"/>
      <c r="D38" s="336"/>
      <c r="E38" s="336"/>
      <c r="F38" s="2346" t="str">
        <f>activesheet!E22</f>
        <v>SECONDARY SCHOOL PRINCIPAL IV</v>
      </c>
      <c r="G38" s="2346"/>
      <c r="H38" s="2346"/>
      <c r="I38" s="2346"/>
      <c r="J38" s="2346"/>
      <c r="K38" s="2346"/>
      <c r="L38" s="2346"/>
      <c r="M38" s="2346"/>
      <c r="N38" s="2346"/>
      <c r="O38" s="2346"/>
      <c r="P38" s="2346"/>
      <c r="Q38" s="2346"/>
      <c r="R38" s="336"/>
      <c r="S38" s="336"/>
      <c r="T38" s="336"/>
      <c r="U38" s="336"/>
      <c r="V38" s="1811" t="s">
        <v>37</v>
      </c>
      <c r="W38" s="1811"/>
      <c r="X38" s="1811"/>
      <c r="Y38" s="1811"/>
      <c r="Z38" s="1811"/>
      <c r="AA38" s="1811"/>
      <c r="AB38" s="1811"/>
      <c r="AC38" s="1811"/>
      <c r="AD38" s="1811"/>
      <c r="AE38" s="1811"/>
      <c r="AF38" s="1811"/>
      <c r="AG38" s="1811"/>
      <c r="AH38" s="1811"/>
      <c r="AI38" s="1811"/>
      <c r="AJ38" s="1811"/>
      <c r="AK38" s="1811"/>
      <c r="AL38" s="226"/>
      <c r="AM38" s="226"/>
      <c r="AN38" s="226"/>
      <c r="AO38" s="226"/>
      <c r="AP38" s="1811" t="s">
        <v>37</v>
      </c>
      <c r="AQ38" s="1811"/>
      <c r="AR38" s="1811"/>
      <c r="AS38" s="1811"/>
      <c r="AT38" s="1811"/>
      <c r="AU38" s="1811"/>
      <c r="AV38" s="1811"/>
      <c r="AW38" s="1811"/>
      <c r="AX38" s="1811"/>
      <c r="AY38" s="1811"/>
      <c r="AZ38" s="1811"/>
      <c r="BA38" s="1811"/>
      <c r="BB38" s="1811"/>
      <c r="BC38" s="1811"/>
      <c r="BD38" s="1811"/>
      <c r="BE38" s="1811"/>
      <c r="BF38" s="336"/>
      <c r="BG38" s="336"/>
      <c r="BH38" s="336"/>
      <c r="BI38" s="336"/>
      <c r="BJ38" s="336"/>
      <c r="BK38" s="336"/>
      <c r="BL38" s="336"/>
      <c r="BM38" s="336"/>
      <c r="BN38" s="336"/>
      <c r="BO38" s="336"/>
      <c r="BP38" s="336"/>
    </row>
    <row r="39" spans="1:79">
      <c r="A39" s="336"/>
      <c r="B39" s="336"/>
      <c r="C39" s="336"/>
      <c r="D39" s="336"/>
      <c r="E39" s="336"/>
      <c r="F39" s="336"/>
      <c r="G39" s="336"/>
      <c r="H39" s="336"/>
      <c r="I39" s="336"/>
      <c r="J39" s="336"/>
      <c r="K39" s="336"/>
      <c r="L39" s="336"/>
      <c r="M39" s="336"/>
      <c r="N39" s="336"/>
      <c r="O39" s="336"/>
      <c r="P39" s="336"/>
      <c r="Q39" s="336"/>
      <c r="R39" s="336"/>
      <c r="S39" s="336"/>
      <c r="T39" s="336"/>
      <c r="U39" s="336"/>
      <c r="V39" s="336"/>
      <c r="W39" s="336"/>
      <c r="X39" s="336"/>
      <c r="Y39" s="336"/>
      <c r="Z39" s="336"/>
      <c r="AA39" s="336"/>
      <c r="AB39" s="336"/>
      <c r="AC39" s="336"/>
      <c r="AD39" s="336"/>
      <c r="AE39" s="336"/>
      <c r="AF39" s="336"/>
      <c r="AG39" s="336"/>
      <c r="AH39" s="336"/>
      <c r="AI39" s="336"/>
      <c r="AJ39" s="336"/>
      <c r="AK39" s="336"/>
      <c r="AL39" s="336"/>
      <c r="AM39" s="336"/>
      <c r="AN39" s="336"/>
      <c r="AO39" s="336"/>
      <c r="AP39" s="336"/>
      <c r="AQ39" s="336"/>
      <c r="AR39" s="336"/>
      <c r="AS39" s="336"/>
      <c r="AT39" s="336"/>
      <c r="AU39" s="336"/>
      <c r="AV39" s="336"/>
      <c r="AW39" s="336"/>
      <c r="AX39" s="336"/>
      <c r="AY39" s="336"/>
      <c r="AZ39" s="336"/>
      <c r="BA39" s="336"/>
      <c r="BB39" s="336"/>
      <c r="BC39" s="336"/>
      <c r="BD39" s="336"/>
      <c r="BE39" s="336"/>
      <c r="BF39" s="336"/>
      <c r="BG39" s="336"/>
      <c r="BH39" s="336"/>
      <c r="BI39" s="336"/>
      <c r="BJ39" s="336"/>
      <c r="BK39" s="336"/>
      <c r="BL39" s="336"/>
      <c r="BM39" s="336"/>
      <c r="BN39" s="336"/>
      <c r="BO39" s="336"/>
      <c r="BP39" s="336"/>
    </row>
    <row r="40" spans="1:79">
      <c r="A40" s="336"/>
      <c r="B40" s="336"/>
      <c r="C40" s="336"/>
      <c r="D40" s="336"/>
      <c r="E40" s="336"/>
      <c r="F40" s="336"/>
      <c r="G40" s="336"/>
      <c r="H40" s="336"/>
      <c r="I40" s="336"/>
      <c r="J40" s="336"/>
      <c r="K40" s="336"/>
      <c r="L40" s="336"/>
      <c r="M40" s="336"/>
      <c r="N40" s="336"/>
      <c r="O40" s="336"/>
      <c r="P40" s="336"/>
      <c r="Q40" s="336"/>
      <c r="R40" s="336"/>
      <c r="S40" s="336"/>
      <c r="T40" s="336"/>
      <c r="U40" s="336"/>
      <c r="V40" s="336"/>
      <c r="W40" s="336"/>
      <c r="X40" s="336"/>
      <c r="Y40" s="336"/>
      <c r="Z40" s="336"/>
      <c r="AA40" s="336"/>
      <c r="AB40" s="336"/>
      <c r="AC40" s="336"/>
      <c r="AD40" s="336"/>
      <c r="AE40" s="336"/>
      <c r="AF40" s="336"/>
      <c r="AG40" s="336"/>
      <c r="AH40" s="336"/>
      <c r="AI40" s="336"/>
      <c r="AJ40" s="336"/>
      <c r="AK40" s="336"/>
      <c r="AL40" s="336"/>
      <c r="AM40" s="336"/>
      <c r="AN40" s="336"/>
      <c r="AO40" s="336"/>
      <c r="AP40" s="336"/>
      <c r="AQ40" s="336"/>
      <c r="AR40" s="336"/>
      <c r="AS40" s="336"/>
      <c r="AT40" s="336"/>
      <c r="AU40" s="336"/>
      <c r="AV40" s="336"/>
      <c r="AW40" s="336"/>
      <c r="AX40" s="336"/>
      <c r="AY40" s="336"/>
      <c r="AZ40" s="336"/>
      <c r="BA40" s="336"/>
      <c r="BB40" s="336"/>
      <c r="BC40" s="336"/>
      <c r="BD40" s="336"/>
      <c r="BE40" s="336"/>
      <c r="BF40" s="336"/>
      <c r="BG40" s="336"/>
      <c r="BH40" s="336"/>
      <c r="BI40" s="336"/>
      <c r="BJ40" s="336"/>
      <c r="BK40" s="336"/>
      <c r="BL40" s="336"/>
      <c r="BM40" s="336"/>
      <c r="BN40" s="336"/>
      <c r="BO40" s="336"/>
      <c r="BP40" s="336"/>
    </row>
    <row r="41" spans="1:79">
      <c r="A41" s="336"/>
      <c r="B41" s="336"/>
      <c r="C41" s="336"/>
      <c r="D41" s="336"/>
      <c r="E41" s="336"/>
      <c r="F41" s="336"/>
      <c r="G41" s="336"/>
      <c r="H41" s="336"/>
      <c r="I41" s="336"/>
      <c r="J41" s="336"/>
      <c r="K41" s="336"/>
      <c r="L41" s="336"/>
      <c r="M41" s="336"/>
      <c r="N41" s="336"/>
      <c r="O41" s="336"/>
      <c r="P41" s="336"/>
      <c r="Q41" s="336"/>
      <c r="R41" s="336"/>
      <c r="S41" s="336"/>
      <c r="T41" s="336"/>
      <c r="U41" s="336"/>
      <c r="V41" s="336"/>
      <c r="W41" s="336"/>
      <c r="X41" s="336"/>
      <c r="Y41" s="336"/>
      <c r="Z41" s="336"/>
      <c r="AA41" s="336"/>
      <c r="AB41" s="336"/>
      <c r="AC41" s="336"/>
      <c r="AD41" s="336"/>
      <c r="AE41" s="336"/>
      <c r="AF41" s="336"/>
      <c r="AG41" s="336"/>
      <c r="AH41" s="336"/>
      <c r="AI41" s="336"/>
      <c r="AJ41" s="336"/>
      <c r="AK41" s="336"/>
      <c r="AL41" s="336"/>
      <c r="AM41" s="336"/>
      <c r="AN41" s="336"/>
      <c r="AO41" s="336"/>
      <c r="AP41" s="336"/>
      <c r="AQ41" s="336"/>
      <c r="AR41" s="336"/>
      <c r="AS41" s="336"/>
      <c r="AT41" s="336"/>
      <c r="AU41" s="336"/>
      <c r="AV41" s="336"/>
      <c r="AW41" s="336"/>
      <c r="AX41" s="336"/>
      <c r="AY41" s="336"/>
      <c r="AZ41" s="336"/>
      <c r="BA41" s="336"/>
      <c r="BB41" s="336"/>
      <c r="BC41" s="336"/>
      <c r="BD41" s="336"/>
      <c r="BE41" s="336"/>
      <c r="BF41" s="336"/>
      <c r="BG41" s="336"/>
      <c r="BH41" s="336"/>
      <c r="BI41" s="336"/>
      <c r="BJ41" s="336"/>
      <c r="BK41" s="336"/>
      <c r="BL41" s="336"/>
      <c r="BM41" s="336"/>
      <c r="BN41" s="336"/>
      <c r="BO41" s="336"/>
      <c r="BP41" s="336"/>
    </row>
    <row r="42" spans="1:79">
      <c r="A42" s="336"/>
      <c r="B42" s="336"/>
      <c r="C42" s="336"/>
      <c r="D42" s="336"/>
      <c r="E42" s="336"/>
      <c r="F42" s="336"/>
      <c r="G42" s="336"/>
      <c r="H42" s="336"/>
      <c r="I42" s="336"/>
      <c r="J42" s="336"/>
      <c r="K42" s="336"/>
      <c r="L42" s="336"/>
      <c r="M42" s="336"/>
      <c r="N42" s="336"/>
      <c r="O42" s="336"/>
      <c r="P42" s="336"/>
      <c r="Q42" s="336"/>
      <c r="R42" s="336"/>
      <c r="S42" s="336"/>
      <c r="T42" s="336"/>
      <c r="U42" s="336"/>
      <c r="V42" s="336"/>
      <c r="W42" s="336"/>
      <c r="X42" s="336"/>
      <c r="Y42" s="336"/>
      <c r="Z42" s="336"/>
      <c r="AA42" s="336"/>
      <c r="AB42" s="336"/>
      <c r="AC42" s="336"/>
      <c r="AD42" s="336"/>
      <c r="AE42" s="336"/>
      <c r="AF42" s="336"/>
      <c r="AG42" s="336"/>
      <c r="AH42" s="336"/>
      <c r="AI42" s="336"/>
      <c r="AJ42" s="336"/>
      <c r="AK42" s="336"/>
      <c r="AL42" s="336"/>
      <c r="AM42" s="336"/>
      <c r="AN42" s="336"/>
      <c r="AO42" s="336"/>
      <c r="AP42" s="336"/>
      <c r="AQ42" s="336"/>
      <c r="AR42" s="336"/>
      <c r="AS42" s="336"/>
      <c r="AT42" s="336"/>
      <c r="AU42" s="336"/>
      <c r="AV42" s="336"/>
      <c r="AW42" s="336"/>
      <c r="AX42" s="336"/>
      <c r="AY42" s="336"/>
      <c r="AZ42" s="336"/>
      <c r="BA42" s="336"/>
      <c r="BB42" s="336"/>
      <c r="BC42" s="336"/>
      <c r="BD42" s="336"/>
      <c r="BE42" s="336"/>
      <c r="BF42" s="336"/>
      <c r="BG42" s="336"/>
      <c r="BH42" s="336"/>
      <c r="BI42" s="336"/>
      <c r="BJ42" s="336"/>
      <c r="BK42" s="336"/>
      <c r="BL42" s="336"/>
      <c r="BM42" s="336"/>
      <c r="BN42" s="336"/>
      <c r="BO42" s="336"/>
      <c r="BP42" s="336"/>
    </row>
    <row r="43" spans="1:79">
      <c r="A43" s="336"/>
      <c r="B43" s="336"/>
      <c r="C43" s="336"/>
      <c r="D43" s="336"/>
      <c r="E43" s="336"/>
      <c r="F43" s="336"/>
      <c r="G43" s="336"/>
      <c r="H43" s="336"/>
      <c r="I43" s="336"/>
      <c r="J43" s="336"/>
      <c r="K43" s="336"/>
      <c r="L43" s="336"/>
      <c r="M43" s="336"/>
      <c r="N43" s="336"/>
      <c r="O43" s="336"/>
      <c r="P43" s="336"/>
      <c r="Q43" s="336"/>
      <c r="R43" s="336"/>
      <c r="S43" s="336"/>
      <c r="T43" s="336"/>
      <c r="U43" s="336"/>
      <c r="V43" s="336"/>
      <c r="W43" s="336"/>
      <c r="X43" s="336"/>
      <c r="Y43" s="336"/>
      <c r="Z43" s="336"/>
      <c r="AA43" s="336"/>
      <c r="AB43" s="336"/>
      <c r="AC43" s="336"/>
      <c r="AD43" s="336"/>
      <c r="AE43" s="336"/>
      <c r="AF43" s="336"/>
      <c r="AG43" s="336"/>
      <c r="AH43" s="336"/>
      <c r="AI43" s="336"/>
      <c r="AJ43" s="336"/>
      <c r="AK43" s="336"/>
      <c r="AL43" s="336"/>
      <c r="AM43" s="336"/>
      <c r="AN43" s="336"/>
      <c r="AO43" s="336"/>
      <c r="AP43" s="336"/>
      <c r="AQ43" s="336"/>
      <c r="AR43" s="336"/>
      <c r="AS43" s="336"/>
      <c r="AT43" s="336"/>
      <c r="AU43" s="336"/>
      <c r="AV43" s="336"/>
      <c r="AW43" s="336"/>
      <c r="AX43" s="336"/>
      <c r="AY43" s="336"/>
      <c r="AZ43" s="336"/>
      <c r="BA43" s="336"/>
      <c r="BB43" s="336"/>
      <c r="BC43" s="336"/>
      <c r="BD43" s="336"/>
      <c r="BE43" s="336"/>
      <c r="BF43" s="336"/>
      <c r="BG43" s="336"/>
      <c r="BH43" s="336"/>
      <c r="BI43" s="336"/>
      <c r="BJ43" s="336"/>
      <c r="BK43" s="336"/>
      <c r="BL43" s="336"/>
      <c r="BM43" s="336"/>
      <c r="BN43" s="336"/>
      <c r="BO43" s="336"/>
      <c r="BP43" s="336"/>
    </row>
    <row r="44" spans="1:79">
      <c r="A44" s="336"/>
      <c r="B44" s="336"/>
      <c r="C44" s="336"/>
      <c r="D44" s="336"/>
      <c r="E44" s="336"/>
      <c r="F44" s="336"/>
      <c r="G44" s="336"/>
      <c r="H44" s="336"/>
      <c r="I44" s="336"/>
      <c r="J44" s="336"/>
      <c r="K44" s="336"/>
      <c r="L44" s="336"/>
      <c r="M44" s="336"/>
      <c r="N44" s="336"/>
      <c r="O44" s="336"/>
      <c r="P44" s="336"/>
      <c r="Q44" s="336"/>
      <c r="R44" s="336"/>
      <c r="S44" s="336"/>
      <c r="T44" s="336"/>
      <c r="U44" s="336"/>
      <c r="V44" s="336"/>
      <c r="W44" s="336"/>
      <c r="X44" s="336"/>
      <c r="Y44" s="336"/>
      <c r="Z44" s="336"/>
      <c r="AA44" s="336"/>
      <c r="AB44" s="336"/>
      <c r="AC44" s="336"/>
      <c r="AD44" s="336"/>
      <c r="AE44" s="336"/>
      <c r="AF44" s="336"/>
      <c r="AG44" s="336"/>
      <c r="AH44" s="336"/>
      <c r="AI44" s="336"/>
      <c r="AJ44" s="336"/>
      <c r="AK44" s="336"/>
      <c r="AL44" s="336"/>
      <c r="AM44" s="336"/>
      <c r="AN44" s="336"/>
      <c r="AO44" s="336"/>
      <c r="AP44" s="336"/>
      <c r="AQ44" s="336"/>
      <c r="AR44" s="336"/>
      <c r="AS44" s="336"/>
      <c r="AT44" s="336"/>
      <c r="AU44" s="336"/>
      <c r="AV44" s="336"/>
      <c r="AW44" s="336"/>
      <c r="AX44" s="336"/>
      <c r="AY44" s="336"/>
      <c r="AZ44" s="336"/>
      <c r="BA44" s="336"/>
      <c r="BB44" s="336"/>
      <c r="BC44" s="336"/>
      <c r="BD44" s="336"/>
      <c r="BE44" s="336"/>
      <c r="BF44" s="336"/>
      <c r="BG44" s="336"/>
      <c r="BH44" s="336"/>
      <c r="BI44" s="336"/>
      <c r="BJ44" s="336"/>
      <c r="BK44" s="336"/>
      <c r="BL44" s="336"/>
      <c r="BM44" s="336"/>
      <c r="BN44" s="336"/>
      <c r="BO44" s="336"/>
      <c r="BP44" s="336"/>
    </row>
  </sheetData>
  <sheetProtection algorithmName="SHA-512" hashValue="mRzam2N6i5vPqToMubbf2LU2DcuSLCDiIVTTFDac59a/hQUIIiU00TW9fz33IL1Z7V5DKC76idaJIqzughJxiA==" saltValue="bXSC69cEgiPELL7257RWPg==" spinCount="100000" sheet="1" objects="1" scenarios="1"/>
  <customSheetViews>
    <customSheetView guid="{6EFEFCA0-BF14-457A-85A3-29CBF2A862A5}" showGridLines="0" fitToPage="1" topLeftCell="D16">
      <selection activeCell="AB30" sqref="AB30"/>
      <pageMargins left="0.23622047244094491" right="0.62992125984251968" top="0.19685039370078741" bottom="0.19685039370078741" header="0" footer="0.11811023622047245"/>
      <printOptions horizontalCentered="1" verticalCentered="1"/>
      <pageSetup paperSize="5" scale="55" orientation="landscape" r:id="rId1"/>
      <headerFooter>
        <oddFooter>&amp;L&amp;10&amp;F &amp;A&amp;R&amp;10Page 9 of 61</oddFooter>
      </headerFooter>
    </customSheetView>
  </customSheetViews>
  <mergeCells count="129">
    <mergeCell ref="J5:R5"/>
    <mergeCell ref="AX5:BF5"/>
    <mergeCell ref="J6:L6"/>
    <mergeCell ref="M6:O6"/>
    <mergeCell ref="P6:R6"/>
    <mergeCell ref="AD6:AL6"/>
    <mergeCell ref="AX6:AZ6"/>
    <mergeCell ref="BA6:BC6"/>
    <mergeCell ref="BD6:BF6"/>
    <mergeCell ref="J7:L7"/>
    <mergeCell ref="M7:O7"/>
    <mergeCell ref="P7:R7"/>
    <mergeCell ref="AD7:AF7"/>
    <mergeCell ref="AG7:AI7"/>
    <mergeCell ref="AJ7:AL7"/>
    <mergeCell ref="AX7:AZ7"/>
    <mergeCell ref="BA7:BC7"/>
    <mergeCell ref="BD7:BF7"/>
    <mergeCell ref="J8:L8"/>
    <mergeCell ref="M8:O8"/>
    <mergeCell ref="P8:R8"/>
    <mergeCell ref="AD8:AF8"/>
    <mergeCell ref="AG8:AI8"/>
    <mergeCell ref="AJ8:AL8"/>
    <mergeCell ref="AX8:AZ8"/>
    <mergeCell ref="BA8:BC8"/>
    <mergeCell ref="BD8:BF8"/>
    <mergeCell ref="J9:L9"/>
    <mergeCell ref="M9:O9"/>
    <mergeCell ref="P9:R9"/>
    <mergeCell ref="AD9:AF9"/>
    <mergeCell ref="AG9:AI9"/>
    <mergeCell ref="AJ9:AL9"/>
    <mergeCell ref="AX9:AZ9"/>
    <mergeCell ref="BA9:BC9"/>
    <mergeCell ref="BD9:BF9"/>
    <mergeCell ref="J10:L10"/>
    <mergeCell ref="M10:O10"/>
    <mergeCell ref="P10:R10"/>
    <mergeCell ref="AD10:AF10"/>
    <mergeCell ref="AG10:AI10"/>
    <mergeCell ref="AJ10:AL10"/>
    <mergeCell ref="AX10:AZ10"/>
    <mergeCell ref="BA10:BC10"/>
    <mergeCell ref="BD10:BF10"/>
    <mergeCell ref="J11:L11"/>
    <mergeCell ref="M11:O11"/>
    <mergeCell ref="P11:R11"/>
    <mergeCell ref="AD11:AF11"/>
    <mergeCell ref="AG11:AI11"/>
    <mergeCell ref="AJ11:AL11"/>
    <mergeCell ref="AX11:AZ11"/>
    <mergeCell ref="BA11:BC11"/>
    <mergeCell ref="BD11:BF11"/>
    <mergeCell ref="J12:L12"/>
    <mergeCell ref="M12:O12"/>
    <mergeCell ref="P12:R12"/>
    <mergeCell ref="AD12:AF12"/>
    <mergeCell ref="AG12:AI12"/>
    <mergeCell ref="AJ12:AL12"/>
    <mergeCell ref="AX12:AZ12"/>
    <mergeCell ref="BA12:BC12"/>
    <mergeCell ref="BD12:BF12"/>
    <mergeCell ref="BD13:BF13"/>
    <mergeCell ref="J14:L14"/>
    <mergeCell ref="M14:O14"/>
    <mergeCell ref="P14:R14"/>
    <mergeCell ref="AP14:AW14"/>
    <mergeCell ref="AX14:AZ14"/>
    <mergeCell ref="BA14:BC14"/>
    <mergeCell ref="BD14:BF14"/>
    <mergeCell ref="J15:L15"/>
    <mergeCell ref="M15:O15"/>
    <mergeCell ref="P15:R15"/>
    <mergeCell ref="J13:L13"/>
    <mergeCell ref="M13:O13"/>
    <mergeCell ref="P13:R13"/>
    <mergeCell ref="V13:AC13"/>
    <mergeCell ref="AD13:AF13"/>
    <mergeCell ref="AG13:AI13"/>
    <mergeCell ref="AJ13:AL13"/>
    <mergeCell ref="AX13:AZ13"/>
    <mergeCell ref="BA13:BC13"/>
    <mergeCell ref="J16:L16"/>
    <mergeCell ref="M16:O16"/>
    <mergeCell ref="P16:R16"/>
    <mergeCell ref="J17:L17"/>
    <mergeCell ref="M17:O17"/>
    <mergeCell ref="P17:R17"/>
    <mergeCell ref="J18:L18"/>
    <mergeCell ref="M18:O18"/>
    <mergeCell ref="P18:R18"/>
    <mergeCell ref="M23:O23"/>
    <mergeCell ref="P23:R23"/>
    <mergeCell ref="F36:Q36"/>
    <mergeCell ref="F37:Q37"/>
    <mergeCell ref="J19:L19"/>
    <mergeCell ref="M19:O19"/>
    <mergeCell ref="P19:R19"/>
    <mergeCell ref="J20:L20"/>
    <mergeCell ref="M20:O20"/>
    <mergeCell ref="P20:R20"/>
    <mergeCell ref="J21:L21"/>
    <mergeCell ref="M21:O21"/>
    <mergeCell ref="P21:R21"/>
    <mergeCell ref="AQ30:BF31"/>
    <mergeCell ref="W17:AL19"/>
    <mergeCell ref="AQ17:BF19"/>
    <mergeCell ref="W14:AL16"/>
    <mergeCell ref="AQ15:BF16"/>
    <mergeCell ref="B5:I6"/>
    <mergeCell ref="AP5:AW6"/>
    <mergeCell ref="V6:AC7"/>
    <mergeCell ref="F38:Q38"/>
    <mergeCell ref="V38:AK38"/>
    <mergeCell ref="AP38:BE38"/>
    <mergeCell ref="V36:AK37"/>
    <mergeCell ref="AP36:BE37"/>
    <mergeCell ref="AQ24:BF26"/>
    <mergeCell ref="AQ27:BF29"/>
    <mergeCell ref="W20:AL21"/>
    <mergeCell ref="AQ20:BF21"/>
    <mergeCell ref="W22:AL23"/>
    <mergeCell ref="AQ22:BF23"/>
    <mergeCell ref="J22:L22"/>
    <mergeCell ref="M22:O22"/>
    <mergeCell ref="P22:R22"/>
    <mergeCell ref="B23:I23"/>
    <mergeCell ref="J23:L23"/>
  </mergeCells>
  <dataValidations count="1">
    <dataValidation type="whole" allowBlank="1" showInputMessage="1" showErrorMessage="1" errorTitle="GSHSP SY 2022-2023" error="Please enter valid number between 0-999." sqref="J7:O22 AD8:AI12 AX7:BC13" xr:uid="{12C584A4-4ACC-4633-A317-0E927640AAE1}">
      <formula1>0</formula1>
      <formula2>999</formula2>
    </dataValidation>
  </dataValidations>
  <printOptions horizontalCentered="1" verticalCentered="1"/>
  <pageMargins left="0.23622047244094491" right="0.62992125984251968" top="0.19685039370078741" bottom="0.19685039370078741" header="0" footer="0.11811023622047245"/>
  <pageSetup paperSize="5" scale="55" orientation="landscape" r:id="rId2"/>
  <headerFooter>
    <oddFooter>&amp;L&amp;10&amp;F &amp;A&amp;R&amp;10Page 9 of 61</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C1016-2919-4764-B7EA-B204328AB3BE}">
  <sheetPr codeName="Sheet8">
    <tabColor rgb="FFFFFF00"/>
    <pageSetUpPr fitToPage="1"/>
  </sheetPr>
  <dimension ref="A1:BX66"/>
  <sheetViews>
    <sheetView showGridLines="0" topLeftCell="A51" zoomScaleNormal="100" zoomScalePageLayoutView="50" workbookViewId="0">
      <selection sqref="A1:AU60"/>
    </sheetView>
  </sheetViews>
  <sheetFormatPr defaultColWidth="9" defaultRowHeight="15.75"/>
  <cols>
    <col min="1" max="1" width="2.125" style="48" customWidth="1"/>
    <col min="2" max="44" width="3.625" style="48" customWidth="1"/>
    <col min="45" max="45" width="2.125" style="48" customWidth="1"/>
    <col min="46" max="47" width="3.625" style="48" customWidth="1"/>
    <col min="48" max="57" width="3.625" style="222" customWidth="1"/>
    <col min="58" max="16384" width="9" style="222"/>
  </cols>
  <sheetData>
    <row r="1" spans="1:52"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row>
    <row r="2" spans="1:52" ht="15.75" customHeight="1">
      <c r="A2" s="222"/>
      <c r="B2" s="309" t="s">
        <v>1459</v>
      </c>
      <c r="C2" s="309"/>
      <c r="D2" s="309"/>
      <c r="E2" s="309"/>
      <c r="F2" s="309"/>
      <c r="G2" s="309"/>
      <c r="H2" s="309"/>
      <c r="I2" s="309"/>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09"/>
      <c r="AJ2" s="309"/>
      <c r="AK2" s="309"/>
      <c r="AL2" s="309"/>
      <c r="AM2" s="309"/>
      <c r="AN2" s="309"/>
      <c r="AO2" s="222"/>
      <c r="AP2" s="222"/>
      <c r="AQ2" s="222"/>
      <c r="AR2" s="222"/>
      <c r="AS2" s="222"/>
      <c r="AT2" s="222"/>
      <c r="AU2" s="222"/>
    </row>
    <row r="3" spans="1:52" ht="15.75" customHeight="1" thickBot="1">
      <c r="A3" s="222"/>
      <c r="B3" s="481" t="s">
        <v>11379</v>
      </c>
      <c r="C3" s="481"/>
      <c r="D3" s="481"/>
      <c r="E3" s="481"/>
      <c r="F3" s="481"/>
      <c r="G3" s="481"/>
      <c r="H3" s="481"/>
      <c r="I3" s="481"/>
      <c r="J3" s="481"/>
      <c r="K3" s="481"/>
      <c r="L3" s="481"/>
      <c r="M3" s="481"/>
      <c r="N3" s="481"/>
      <c r="O3" s="481"/>
      <c r="P3" s="481"/>
      <c r="Q3" s="481"/>
      <c r="R3" s="481"/>
      <c r="S3" s="481"/>
      <c r="T3" s="481"/>
      <c r="U3" s="481"/>
      <c r="V3" s="481"/>
      <c r="W3" s="481"/>
      <c r="X3" s="481"/>
      <c r="Y3" s="309"/>
      <c r="Z3" s="309"/>
      <c r="AA3" s="309"/>
      <c r="AB3" s="309"/>
      <c r="AC3" s="309"/>
      <c r="AD3" s="309"/>
      <c r="AE3" s="309"/>
      <c r="AF3" s="309"/>
      <c r="AG3" s="309"/>
      <c r="AH3" s="309"/>
      <c r="AI3" s="309"/>
      <c r="AJ3" s="309"/>
      <c r="AK3" s="309"/>
      <c r="AL3" s="309"/>
      <c r="AM3" s="309"/>
      <c r="AN3" s="309"/>
      <c r="AO3" s="222"/>
      <c r="AP3" s="222"/>
      <c r="AQ3" s="222"/>
      <c r="AR3" s="222"/>
      <c r="AS3" s="222"/>
      <c r="AT3" s="222"/>
      <c r="AU3" s="222"/>
    </row>
    <row r="4" spans="1:52">
      <c r="A4" s="222"/>
      <c r="B4" s="2508" t="s">
        <v>281</v>
      </c>
      <c r="C4" s="2461"/>
      <c r="D4" s="2461"/>
      <c r="E4" s="2461"/>
      <c r="F4" s="2461"/>
      <c r="G4" s="2464"/>
      <c r="H4" s="2502" t="s">
        <v>282</v>
      </c>
      <c r="I4" s="2503"/>
      <c r="J4" s="2503"/>
      <c r="K4" s="2503"/>
      <c r="L4" s="2503"/>
      <c r="M4" s="2503"/>
      <c r="N4" s="2503"/>
      <c r="O4" s="2503"/>
      <c r="P4" s="2503"/>
      <c r="Q4" s="2503"/>
      <c r="R4" s="2503"/>
      <c r="S4" s="2503"/>
      <c r="T4" s="2503"/>
      <c r="U4" s="2503"/>
      <c r="V4" s="2503"/>
      <c r="W4" s="2503"/>
      <c r="X4" s="2503"/>
      <c r="Y4" s="2504"/>
      <c r="Z4" s="482"/>
      <c r="AA4" s="222"/>
      <c r="AB4" s="222"/>
      <c r="AC4" s="227" t="s">
        <v>1461</v>
      </c>
      <c r="AD4" s="222"/>
      <c r="AE4" s="222"/>
      <c r="AF4" s="222"/>
      <c r="AG4" s="222"/>
      <c r="AH4" s="222"/>
      <c r="AI4" s="222"/>
      <c r="AJ4" s="222"/>
      <c r="AK4" s="222"/>
      <c r="AL4" s="222"/>
      <c r="AM4" s="222"/>
      <c r="AN4" s="222"/>
      <c r="AO4" s="222"/>
      <c r="AP4" s="222"/>
      <c r="AQ4" s="222"/>
      <c r="AR4" s="222"/>
      <c r="AS4" s="222"/>
      <c r="AT4" s="222"/>
      <c r="AU4" s="222"/>
    </row>
    <row r="5" spans="1:52">
      <c r="A5" s="222"/>
      <c r="B5" s="2509"/>
      <c r="C5" s="2255"/>
      <c r="D5" s="2255"/>
      <c r="E5" s="2255"/>
      <c r="F5" s="2255"/>
      <c r="G5" s="2256"/>
      <c r="H5" s="2505" t="s">
        <v>283</v>
      </c>
      <c r="I5" s="2506"/>
      <c r="J5" s="2506"/>
      <c r="K5" s="2506"/>
      <c r="L5" s="2506"/>
      <c r="M5" s="2506"/>
      <c r="N5" s="2506"/>
      <c r="O5" s="2506"/>
      <c r="P5" s="2507"/>
      <c r="Q5" s="2505" t="s">
        <v>284</v>
      </c>
      <c r="R5" s="2506"/>
      <c r="S5" s="2506"/>
      <c r="T5" s="2506"/>
      <c r="U5" s="2506"/>
      <c r="V5" s="2506"/>
      <c r="W5" s="2506"/>
      <c r="X5" s="2506"/>
      <c r="Y5" s="2507"/>
      <c r="Z5" s="482"/>
      <c r="AA5" s="222"/>
      <c r="AB5" s="222"/>
      <c r="AC5" s="483" t="s">
        <v>47</v>
      </c>
      <c r="AD5" s="239" t="s">
        <v>990</v>
      </c>
      <c r="AE5" s="484"/>
      <c r="AF5" s="484"/>
      <c r="AG5" s="484"/>
      <c r="AH5" s="484"/>
      <c r="AI5" s="484"/>
      <c r="AJ5" s="484"/>
      <c r="AK5" s="484"/>
      <c r="AL5" s="484"/>
      <c r="AM5" s="484"/>
      <c r="AN5" s="484"/>
      <c r="AO5" s="484"/>
      <c r="AP5" s="484"/>
      <c r="AQ5" s="484"/>
      <c r="AR5" s="484"/>
      <c r="AS5" s="484"/>
      <c r="AT5" s="484"/>
      <c r="AU5" s="484"/>
      <c r="AV5" s="484"/>
      <c r="AW5" s="484"/>
      <c r="AX5" s="484"/>
      <c r="AY5" s="484"/>
    </row>
    <row r="6" spans="1:52" ht="15.95" customHeight="1" thickBot="1">
      <c r="A6" s="222"/>
      <c r="B6" s="2510"/>
      <c r="C6" s="2511"/>
      <c r="D6" s="2511"/>
      <c r="E6" s="2511"/>
      <c r="F6" s="2511"/>
      <c r="G6" s="2512"/>
      <c r="H6" s="2474" t="s">
        <v>45</v>
      </c>
      <c r="I6" s="2475"/>
      <c r="J6" s="2476"/>
      <c r="K6" s="2477" t="s">
        <v>46</v>
      </c>
      <c r="L6" s="2475"/>
      <c r="M6" s="2479"/>
      <c r="N6" s="2480" t="s">
        <v>42</v>
      </c>
      <c r="O6" s="2475"/>
      <c r="P6" s="2478"/>
      <c r="Q6" s="2474" t="s">
        <v>45</v>
      </c>
      <c r="R6" s="2475"/>
      <c r="S6" s="2476"/>
      <c r="T6" s="2477" t="s">
        <v>46</v>
      </c>
      <c r="U6" s="2475"/>
      <c r="V6" s="2479"/>
      <c r="W6" s="2480" t="s">
        <v>42</v>
      </c>
      <c r="X6" s="2475"/>
      <c r="Y6" s="2478"/>
      <c r="Z6" s="482"/>
      <c r="AA6" s="222"/>
      <c r="AB6" s="222"/>
      <c r="AC6" s="222"/>
      <c r="AD6" s="2498" t="s">
        <v>1026</v>
      </c>
      <c r="AE6" s="2498"/>
      <c r="AF6" s="2498"/>
      <c r="AG6" s="2498"/>
      <c r="AH6" s="2498"/>
      <c r="AI6" s="2498"/>
      <c r="AJ6" s="2498"/>
      <c r="AK6" s="2498"/>
      <c r="AL6" s="2498"/>
      <c r="AM6" s="2498"/>
      <c r="AN6" s="2498"/>
      <c r="AO6" s="2498"/>
      <c r="AP6" s="2498"/>
      <c r="AQ6" s="2498"/>
      <c r="AR6" s="2498"/>
      <c r="AS6" s="485"/>
      <c r="AT6" s="485"/>
      <c r="AU6" s="485"/>
      <c r="AV6" s="485"/>
      <c r="AW6" s="485"/>
      <c r="AX6" s="485"/>
      <c r="AY6" s="485"/>
    </row>
    <row r="7" spans="1:52" ht="30" customHeight="1">
      <c r="A7" s="222"/>
      <c r="B7" s="2513" t="s">
        <v>43</v>
      </c>
      <c r="C7" s="2514"/>
      <c r="D7" s="2514"/>
      <c r="E7" s="2514"/>
      <c r="F7" s="2514"/>
      <c r="G7" s="2515"/>
      <c r="H7" s="2489">
        <v>7</v>
      </c>
      <c r="I7" s="2490"/>
      <c r="J7" s="2491"/>
      <c r="K7" s="2492">
        <v>8</v>
      </c>
      <c r="L7" s="2490"/>
      <c r="M7" s="2493"/>
      <c r="N7" s="2494">
        <f>SUM(H7:M7)</f>
        <v>15</v>
      </c>
      <c r="O7" s="2495"/>
      <c r="P7" s="2496"/>
      <c r="Q7" s="2489">
        <v>0</v>
      </c>
      <c r="R7" s="2490"/>
      <c r="S7" s="2491"/>
      <c r="T7" s="2492">
        <v>0</v>
      </c>
      <c r="U7" s="2490"/>
      <c r="V7" s="2493"/>
      <c r="W7" s="2494">
        <f>SUM(Q7:V7)</f>
        <v>0</v>
      </c>
      <c r="X7" s="2495"/>
      <c r="Y7" s="2496"/>
      <c r="Z7" s="482"/>
      <c r="AA7" s="222"/>
      <c r="AB7" s="222"/>
      <c r="AC7" s="222"/>
      <c r="AD7" s="2498"/>
      <c r="AE7" s="2498"/>
      <c r="AF7" s="2498"/>
      <c r="AG7" s="2498"/>
      <c r="AH7" s="2498"/>
      <c r="AI7" s="2498"/>
      <c r="AJ7" s="2498"/>
      <c r="AK7" s="2498"/>
      <c r="AL7" s="2498"/>
      <c r="AM7" s="2498"/>
      <c r="AN7" s="2498"/>
      <c r="AO7" s="2498"/>
      <c r="AP7" s="2498"/>
      <c r="AQ7" s="2498"/>
      <c r="AR7" s="2498"/>
      <c r="AS7" s="485"/>
      <c r="AT7" s="485"/>
      <c r="AU7" s="485"/>
      <c r="AV7" s="485"/>
      <c r="AW7" s="485"/>
      <c r="AX7" s="485"/>
      <c r="AY7" s="485"/>
    </row>
    <row r="8" spans="1:52" ht="30" customHeight="1" thickBot="1">
      <c r="A8" s="222"/>
      <c r="B8" s="2516" t="s">
        <v>44</v>
      </c>
      <c r="C8" s="2517"/>
      <c r="D8" s="2517"/>
      <c r="E8" s="2517"/>
      <c r="F8" s="2517"/>
      <c r="G8" s="2518"/>
      <c r="H8" s="2481">
        <v>4</v>
      </c>
      <c r="I8" s="2482"/>
      <c r="J8" s="2483"/>
      <c r="K8" s="2484">
        <v>10</v>
      </c>
      <c r="L8" s="2482"/>
      <c r="M8" s="2485"/>
      <c r="N8" s="2486">
        <f>SUM(H8:M8)</f>
        <v>14</v>
      </c>
      <c r="O8" s="2487"/>
      <c r="P8" s="2488"/>
      <c r="Q8" s="2481">
        <v>0</v>
      </c>
      <c r="R8" s="2482"/>
      <c r="S8" s="2483"/>
      <c r="T8" s="2484">
        <v>0</v>
      </c>
      <c r="U8" s="2482"/>
      <c r="V8" s="2485"/>
      <c r="W8" s="2486">
        <f>SUM(Q8:V8)</f>
        <v>0</v>
      </c>
      <c r="X8" s="2487"/>
      <c r="Y8" s="2488"/>
      <c r="Z8" s="482"/>
      <c r="AA8" s="222"/>
      <c r="AB8" s="222"/>
      <c r="AC8" s="222"/>
      <c r="AD8" s="2498"/>
      <c r="AE8" s="2498"/>
      <c r="AF8" s="2498"/>
      <c r="AG8" s="2498"/>
      <c r="AH8" s="2498"/>
      <c r="AI8" s="2498"/>
      <c r="AJ8" s="2498"/>
      <c r="AK8" s="2498"/>
      <c r="AL8" s="2498"/>
      <c r="AM8" s="2498"/>
      <c r="AN8" s="2498"/>
      <c r="AO8" s="2498"/>
      <c r="AP8" s="2498"/>
      <c r="AQ8" s="2498"/>
      <c r="AR8" s="2498"/>
      <c r="AS8" s="485"/>
      <c r="AT8" s="485"/>
      <c r="AU8" s="485"/>
      <c r="AV8" s="485"/>
      <c r="AW8" s="485"/>
      <c r="AX8" s="485"/>
      <c r="AY8" s="485"/>
    </row>
    <row r="9" spans="1:52" s="309" customFormat="1" ht="30" customHeight="1" thickTop="1" thickBot="1">
      <c r="B9" s="2225" t="s">
        <v>285</v>
      </c>
      <c r="C9" s="2226"/>
      <c r="D9" s="2226"/>
      <c r="E9" s="2226"/>
      <c r="F9" s="2226"/>
      <c r="G9" s="2227"/>
      <c r="H9" s="2228">
        <f>SUM(H7:J8)</f>
        <v>11</v>
      </c>
      <c r="I9" s="2229"/>
      <c r="J9" s="2231"/>
      <c r="K9" s="2232">
        <f>SUM(K7:M8)</f>
        <v>18</v>
      </c>
      <c r="L9" s="2229"/>
      <c r="M9" s="2497"/>
      <c r="N9" s="2465">
        <f>SUM(N7:P8)</f>
        <v>29</v>
      </c>
      <c r="O9" s="2229"/>
      <c r="P9" s="2230"/>
      <c r="Q9" s="2228">
        <f>SUM(Q7:S8)</f>
        <v>0</v>
      </c>
      <c r="R9" s="2229"/>
      <c r="S9" s="2231"/>
      <c r="T9" s="2232">
        <f>SUM(T7:V8)</f>
        <v>0</v>
      </c>
      <c r="U9" s="2229"/>
      <c r="V9" s="2497"/>
      <c r="W9" s="2465">
        <f>SUM(W7:Y8)</f>
        <v>0</v>
      </c>
      <c r="X9" s="2229"/>
      <c r="Y9" s="2230"/>
      <c r="Z9" s="486"/>
      <c r="AD9" s="2498"/>
      <c r="AE9" s="2498"/>
      <c r="AF9" s="2498"/>
      <c r="AG9" s="2498"/>
      <c r="AH9" s="2498"/>
      <c r="AI9" s="2498"/>
      <c r="AJ9" s="2498"/>
      <c r="AK9" s="2498"/>
      <c r="AL9" s="2498"/>
      <c r="AM9" s="2498"/>
      <c r="AN9" s="2498"/>
      <c r="AO9" s="2498"/>
      <c r="AP9" s="2498"/>
      <c r="AQ9" s="2498"/>
      <c r="AR9" s="2498"/>
      <c r="AV9" s="485"/>
      <c r="AW9" s="485"/>
      <c r="AX9" s="485"/>
      <c r="AY9" s="485"/>
      <c r="AZ9" s="485"/>
    </row>
    <row r="10" spans="1:52" ht="15.95" customHeight="1">
      <c r="A10" s="222"/>
      <c r="B10" s="852"/>
      <c r="C10" s="852"/>
      <c r="D10" s="852"/>
      <c r="E10" s="852"/>
      <c r="F10" s="852"/>
      <c r="G10" s="852"/>
      <c r="H10" s="2499" t="str">
        <f>IF(OR((H9&lt;&gt;'Table 7'!BD18),(K9&lt;&gt;'Table 7'!BG18),(N9&lt;&gt;'Table 7'!BJ18)),"Totals of the Number of Teachers (counted only once) shall tally with the Totals in Table 7 columns 16, 17 &amp; 18.","" )</f>
        <v/>
      </c>
      <c r="I10" s="2499"/>
      <c r="J10" s="2499"/>
      <c r="K10" s="2499"/>
      <c r="L10" s="2499"/>
      <c r="M10" s="2499"/>
      <c r="N10" s="2499"/>
      <c r="O10" s="2499"/>
      <c r="P10" s="2499"/>
      <c r="Q10" s="2499"/>
      <c r="R10" s="2499"/>
      <c r="S10" s="2499"/>
      <c r="T10" s="2499"/>
      <c r="U10" s="2499"/>
      <c r="V10" s="2499"/>
      <c r="W10" s="2499"/>
      <c r="X10" s="2499"/>
      <c r="Y10" s="2499"/>
      <c r="Z10" s="485"/>
      <c r="AA10" s="222"/>
      <c r="AB10" s="222"/>
      <c r="AC10" s="487" t="s">
        <v>48</v>
      </c>
      <c r="AD10" s="488" t="s">
        <v>11869</v>
      </c>
      <c r="AE10" s="489"/>
      <c r="AF10" s="489"/>
      <c r="AG10" s="489"/>
      <c r="AH10" s="489"/>
      <c r="AI10" s="489"/>
      <c r="AJ10" s="489"/>
      <c r="AK10" s="489"/>
      <c r="AL10" s="489"/>
      <c r="AM10" s="489"/>
      <c r="AN10" s="489"/>
      <c r="AO10" s="489"/>
      <c r="AP10" s="489"/>
      <c r="AQ10" s="489"/>
      <c r="AR10" s="489"/>
      <c r="AS10" s="489"/>
      <c r="AT10" s="489"/>
      <c r="AU10" s="489"/>
      <c r="AV10" s="489"/>
      <c r="AW10" s="489"/>
      <c r="AX10" s="489"/>
    </row>
    <row r="11" spans="1:52" ht="19.7" customHeight="1">
      <c r="A11" s="222"/>
      <c r="B11" s="222"/>
      <c r="C11" s="222"/>
      <c r="D11" s="222"/>
      <c r="E11" s="222"/>
      <c r="F11" s="222"/>
      <c r="G11" s="222"/>
      <c r="H11" s="2500"/>
      <c r="I11" s="2500"/>
      <c r="J11" s="2500"/>
      <c r="K11" s="2500"/>
      <c r="L11" s="2500"/>
      <c r="M11" s="2500"/>
      <c r="N11" s="2500"/>
      <c r="O11" s="2500"/>
      <c r="P11" s="2500"/>
      <c r="Q11" s="2500"/>
      <c r="R11" s="2500"/>
      <c r="S11" s="2500"/>
      <c r="T11" s="2500"/>
      <c r="U11" s="2500"/>
      <c r="V11" s="2500"/>
      <c r="W11" s="2500"/>
      <c r="X11" s="2500"/>
      <c r="Y11" s="2500"/>
      <c r="Z11" s="485"/>
      <c r="AA11" s="222"/>
      <c r="AB11" s="222"/>
      <c r="AC11" s="490"/>
      <c r="AD11" s="2501" t="s">
        <v>11870</v>
      </c>
      <c r="AE11" s="2501"/>
      <c r="AF11" s="2501"/>
      <c r="AG11" s="2501"/>
      <c r="AH11" s="2501"/>
      <c r="AI11" s="2501"/>
      <c r="AJ11" s="2501"/>
      <c r="AK11" s="2501"/>
      <c r="AL11" s="2501"/>
      <c r="AM11" s="2501"/>
      <c r="AN11" s="2501"/>
      <c r="AO11" s="2501"/>
      <c r="AP11" s="2501"/>
      <c r="AQ11" s="2501"/>
      <c r="AR11" s="2501"/>
      <c r="AS11" s="489"/>
      <c r="AT11" s="489"/>
      <c r="AU11" s="489"/>
      <c r="AV11" s="489"/>
      <c r="AW11" s="489"/>
      <c r="AX11" s="489"/>
    </row>
    <row r="12" spans="1:52" ht="15.6" customHeight="1">
      <c r="A12" s="222"/>
      <c r="B12" s="2498" t="s">
        <v>1671</v>
      </c>
      <c r="C12" s="2498"/>
      <c r="D12" s="2498"/>
      <c r="E12" s="2498"/>
      <c r="F12" s="2498"/>
      <c r="G12" s="2498"/>
      <c r="H12" s="2498"/>
      <c r="I12" s="2498"/>
      <c r="J12" s="2498"/>
      <c r="K12" s="2498"/>
      <c r="L12" s="2498"/>
      <c r="M12" s="2498"/>
      <c r="N12" s="2498"/>
      <c r="O12" s="2498"/>
      <c r="P12" s="2498"/>
      <c r="Q12" s="2498"/>
      <c r="R12" s="2498"/>
      <c r="S12" s="2498"/>
      <c r="T12" s="2498"/>
      <c r="U12" s="2498"/>
      <c r="V12" s="2498"/>
      <c r="W12" s="2498"/>
      <c r="X12" s="2498"/>
      <c r="Y12" s="2498"/>
      <c r="Z12" s="222"/>
      <c r="AA12" s="222"/>
      <c r="AB12" s="222"/>
      <c r="AC12" s="222"/>
      <c r="AD12" s="2501"/>
      <c r="AE12" s="2501"/>
      <c r="AF12" s="2501"/>
      <c r="AG12" s="2501"/>
      <c r="AH12" s="2501"/>
      <c r="AI12" s="2501"/>
      <c r="AJ12" s="2501"/>
      <c r="AK12" s="2501"/>
      <c r="AL12" s="2501"/>
      <c r="AM12" s="2501"/>
      <c r="AN12" s="2501"/>
      <c r="AO12" s="2501"/>
      <c r="AP12" s="2501"/>
      <c r="AQ12" s="2501"/>
      <c r="AR12" s="2501"/>
      <c r="AS12" s="491"/>
      <c r="AT12" s="491"/>
      <c r="AU12" s="491"/>
      <c r="AV12" s="489"/>
      <c r="AW12" s="489"/>
      <c r="AX12" s="489"/>
    </row>
    <row r="13" spans="1:52" ht="30" customHeight="1">
      <c r="A13" s="222"/>
      <c r="B13" s="2498"/>
      <c r="C13" s="2498"/>
      <c r="D13" s="2498"/>
      <c r="E13" s="2498"/>
      <c r="F13" s="2498"/>
      <c r="G13" s="2498"/>
      <c r="H13" s="2498"/>
      <c r="I13" s="2498"/>
      <c r="J13" s="2498"/>
      <c r="K13" s="2498"/>
      <c r="L13" s="2498"/>
      <c r="M13" s="2498"/>
      <c r="N13" s="2498"/>
      <c r="O13" s="2498"/>
      <c r="P13" s="2498"/>
      <c r="Q13" s="2498"/>
      <c r="R13" s="2498"/>
      <c r="S13" s="2498"/>
      <c r="T13" s="2498"/>
      <c r="U13" s="2498"/>
      <c r="V13" s="2498"/>
      <c r="W13" s="2498"/>
      <c r="X13" s="2498"/>
      <c r="Y13" s="2498"/>
      <c r="Z13" s="222"/>
      <c r="AA13" s="222"/>
      <c r="AB13" s="222"/>
      <c r="AC13" s="222"/>
      <c r="AD13" s="2501"/>
      <c r="AE13" s="2501"/>
      <c r="AF13" s="2501"/>
      <c r="AG13" s="2501"/>
      <c r="AH13" s="2501"/>
      <c r="AI13" s="2501"/>
      <c r="AJ13" s="2501"/>
      <c r="AK13" s="2501"/>
      <c r="AL13" s="2501"/>
      <c r="AM13" s="2501"/>
      <c r="AN13" s="2501"/>
      <c r="AO13" s="2501"/>
      <c r="AP13" s="2501"/>
      <c r="AQ13" s="2501"/>
      <c r="AR13" s="2501"/>
      <c r="AS13" s="222"/>
      <c r="AT13" s="222"/>
      <c r="AU13" s="222"/>
      <c r="AV13" s="377"/>
      <c r="AW13" s="377"/>
      <c r="AX13" s="377"/>
    </row>
    <row r="14" spans="1:52">
      <c r="A14" s="222"/>
      <c r="B14" s="309" t="s">
        <v>1460</v>
      </c>
      <c r="C14" s="222"/>
      <c r="D14" s="222"/>
      <c r="E14" s="222"/>
      <c r="F14" s="222"/>
      <c r="G14" s="222"/>
      <c r="H14" s="222"/>
      <c r="I14" s="222"/>
      <c r="J14" s="222"/>
      <c r="K14" s="222"/>
      <c r="L14" s="222"/>
      <c r="M14" s="222"/>
      <c r="N14" s="222"/>
      <c r="O14" s="222"/>
      <c r="P14" s="222"/>
      <c r="Q14" s="222"/>
      <c r="R14" s="222"/>
      <c r="S14" s="222"/>
      <c r="T14" s="222"/>
      <c r="U14" s="222"/>
      <c r="V14" s="222"/>
      <c r="W14" s="222"/>
      <c r="X14" s="222"/>
      <c r="Y14" s="222"/>
      <c r="Z14" s="222"/>
      <c r="AA14" s="222"/>
      <c r="AB14" s="222"/>
      <c r="AC14" s="492"/>
      <c r="AD14" s="2501"/>
      <c r="AE14" s="2501"/>
      <c r="AF14" s="2501"/>
      <c r="AG14" s="2501"/>
      <c r="AH14" s="2501"/>
      <c r="AI14" s="2501"/>
      <c r="AJ14" s="2501"/>
      <c r="AK14" s="2501"/>
      <c r="AL14" s="2501"/>
      <c r="AM14" s="2501"/>
      <c r="AN14" s="2501"/>
      <c r="AO14" s="2501"/>
      <c r="AP14" s="2501"/>
      <c r="AQ14" s="2501"/>
      <c r="AR14" s="2501"/>
      <c r="AS14" s="492"/>
      <c r="AT14" s="492"/>
      <c r="AU14" s="377"/>
      <c r="AV14" s="377"/>
      <c r="AW14" s="377"/>
      <c r="AX14" s="377"/>
    </row>
    <row r="15" spans="1:52" ht="14.45" customHeight="1" thickBot="1">
      <c r="A15" s="222"/>
      <c r="B15" s="309" t="s">
        <v>11380</v>
      </c>
      <c r="C15" s="222"/>
      <c r="D15" s="222"/>
      <c r="E15" s="309"/>
      <c r="F15" s="222"/>
      <c r="G15" s="222"/>
      <c r="H15" s="222"/>
      <c r="I15" s="222"/>
      <c r="J15" s="222"/>
      <c r="K15" s="222"/>
      <c r="L15" s="222"/>
      <c r="M15" s="222"/>
      <c r="N15" s="222"/>
      <c r="O15" s="222"/>
      <c r="P15" s="222"/>
      <c r="Q15" s="222"/>
      <c r="R15" s="222"/>
      <c r="S15" s="222"/>
      <c r="T15" s="222"/>
      <c r="U15" s="222"/>
      <c r="V15" s="222"/>
      <c r="W15" s="222"/>
      <c r="X15" s="222"/>
      <c r="Y15" s="222"/>
      <c r="Z15" s="222"/>
      <c r="AA15" s="222"/>
      <c r="AB15" s="222"/>
      <c r="AC15" s="487" t="s">
        <v>49</v>
      </c>
      <c r="AD15" s="2501" t="s">
        <v>11871</v>
      </c>
      <c r="AE15" s="2501"/>
      <c r="AF15" s="2501"/>
      <c r="AG15" s="2501"/>
      <c r="AH15" s="2501"/>
      <c r="AI15" s="2501"/>
      <c r="AJ15" s="2501"/>
      <c r="AK15" s="2501"/>
      <c r="AL15" s="2501"/>
      <c r="AM15" s="2501"/>
      <c r="AN15" s="2501"/>
      <c r="AO15" s="2501"/>
      <c r="AP15" s="2501"/>
      <c r="AQ15" s="2501"/>
      <c r="AR15" s="2501"/>
      <c r="AS15" s="492"/>
      <c r="AT15" s="492"/>
      <c r="AU15" s="377"/>
      <c r="AV15" s="377"/>
      <c r="AW15" s="377"/>
      <c r="AX15" s="377"/>
    </row>
    <row r="16" spans="1:52">
      <c r="A16" s="222"/>
      <c r="B16" s="2508" t="s">
        <v>281</v>
      </c>
      <c r="C16" s="2461"/>
      <c r="D16" s="2461"/>
      <c r="E16" s="2461"/>
      <c r="F16" s="2461"/>
      <c r="G16" s="2464"/>
      <c r="H16" s="2502" t="s">
        <v>282</v>
      </c>
      <c r="I16" s="2503"/>
      <c r="J16" s="2503"/>
      <c r="K16" s="2503"/>
      <c r="L16" s="2503"/>
      <c r="M16" s="2503"/>
      <c r="N16" s="2503"/>
      <c r="O16" s="2503"/>
      <c r="P16" s="2503"/>
      <c r="Q16" s="2503"/>
      <c r="R16" s="2503"/>
      <c r="S16" s="2503"/>
      <c r="T16" s="2503"/>
      <c r="U16" s="2503"/>
      <c r="V16" s="2503"/>
      <c r="W16" s="2503"/>
      <c r="X16" s="2503"/>
      <c r="Y16" s="2504"/>
      <c r="Z16" s="493"/>
      <c r="AA16" s="493"/>
      <c r="AB16" s="493"/>
      <c r="AC16" s="332"/>
      <c r="AD16" s="2501"/>
      <c r="AE16" s="2501"/>
      <c r="AF16" s="2501"/>
      <c r="AG16" s="2501"/>
      <c r="AH16" s="2501"/>
      <c r="AI16" s="2501"/>
      <c r="AJ16" s="2501"/>
      <c r="AK16" s="2501"/>
      <c r="AL16" s="2501"/>
      <c r="AM16" s="2501"/>
      <c r="AN16" s="2501"/>
      <c r="AO16" s="2501"/>
      <c r="AP16" s="2501"/>
      <c r="AQ16" s="2501"/>
      <c r="AR16" s="2501"/>
      <c r="AS16" s="494"/>
      <c r="AT16" s="494"/>
      <c r="AU16" s="494"/>
      <c r="AV16" s="494"/>
      <c r="AW16" s="494"/>
      <c r="AX16" s="494"/>
      <c r="AY16" s="494"/>
    </row>
    <row r="17" spans="1:76">
      <c r="A17" s="222"/>
      <c r="B17" s="2509"/>
      <c r="C17" s="2255"/>
      <c r="D17" s="2255"/>
      <c r="E17" s="2255"/>
      <c r="F17" s="2255"/>
      <c r="G17" s="2256"/>
      <c r="H17" s="2505" t="s">
        <v>283</v>
      </c>
      <c r="I17" s="2506"/>
      <c r="J17" s="2506"/>
      <c r="K17" s="2506"/>
      <c r="L17" s="2506"/>
      <c r="M17" s="2506"/>
      <c r="N17" s="2506"/>
      <c r="O17" s="2506"/>
      <c r="P17" s="2507"/>
      <c r="Q17" s="2505" t="s">
        <v>284</v>
      </c>
      <c r="R17" s="2506"/>
      <c r="S17" s="2506"/>
      <c r="T17" s="2506"/>
      <c r="U17" s="2506"/>
      <c r="V17" s="2506"/>
      <c r="W17" s="2506"/>
      <c r="X17" s="2506"/>
      <c r="Y17" s="2507"/>
      <c r="Z17" s="493"/>
      <c r="AA17" s="493"/>
      <c r="AB17" s="493"/>
      <c r="AC17" s="332"/>
      <c r="AD17" s="222"/>
      <c r="AE17" s="331"/>
      <c r="AF17" s="331"/>
      <c r="AG17" s="331"/>
      <c r="AH17" s="331"/>
      <c r="AI17" s="331"/>
      <c r="AJ17" s="331"/>
      <c r="AK17" s="331"/>
      <c r="AL17" s="331"/>
      <c r="AM17" s="331"/>
      <c r="AN17" s="331"/>
      <c r="AO17" s="331"/>
      <c r="AP17" s="494"/>
      <c r="AQ17" s="494"/>
      <c r="AR17" s="494"/>
      <c r="AS17" s="494"/>
      <c r="AT17" s="494"/>
      <c r="AU17" s="494"/>
      <c r="AV17" s="494"/>
      <c r="AW17" s="494"/>
      <c r="AX17" s="494"/>
      <c r="AY17" s="494"/>
    </row>
    <row r="18" spans="1:76" ht="16.5" thickBot="1">
      <c r="A18" s="222"/>
      <c r="B18" s="2510"/>
      <c r="C18" s="2511"/>
      <c r="D18" s="2511"/>
      <c r="E18" s="2511"/>
      <c r="F18" s="2511"/>
      <c r="G18" s="2512"/>
      <c r="H18" s="2474" t="s">
        <v>45</v>
      </c>
      <c r="I18" s="2475"/>
      <c r="J18" s="2476"/>
      <c r="K18" s="2477" t="s">
        <v>46</v>
      </c>
      <c r="L18" s="2475"/>
      <c r="M18" s="2479"/>
      <c r="N18" s="2480" t="s">
        <v>42</v>
      </c>
      <c r="O18" s="2475"/>
      <c r="P18" s="2478"/>
      <c r="Q18" s="2474" t="s">
        <v>45</v>
      </c>
      <c r="R18" s="2475"/>
      <c r="S18" s="2476"/>
      <c r="T18" s="2477" t="s">
        <v>46</v>
      </c>
      <c r="U18" s="2475"/>
      <c r="V18" s="2479"/>
      <c r="W18" s="2480" t="s">
        <v>42</v>
      </c>
      <c r="X18" s="2475"/>
      <c r="Y18" s="2478"/>
      <c r="Z18" s="493"/>
      <c r="AA18" s="493"/>
      <c r="AB18" s="493"/>
      <c r="AC18" s="2519"/>
      <c r="AD18" s="2519"/>
      <c r="AE18" s="2519"/>
      <c r="AF18" s="2519"/>
      <c r="AG18" s="2519"/>
      <c r="AH18" s="2519"/>
      <c r="AI18" s="2519"/>
      <c r="AJ18" s="2519"/>
      <c r="AK18" s="2519"/>
      <c r="AL18" s="2519"/>
      <c r="AM18" s="2519"/>
      <c r="AN18" s="2519"/>
      <c r="AO18" s="2519"/>
      <c r="AP18" s="494"/>
      <c r="AQ18" s="494"/>
      <c r="AR18" s="494"/>
      <c r="AS18" s="494"/>
      <c r="AT18" s="494"/>
      <c r="AU18" s="494"/>
      <c r="AV18" s="494"/>
      <c r="AW18" s="494"/>
      <c r="AX18" s="494"/>
      <c r="AY18" s="494"/>
    </row>
    <row r="19" spans="1:76" ht="30" customHeight="1">
      <c r="A19" s="222"/>
      <c r="B19" s="2513" t="s">
        <v>43</v>
      </c>
      <c r="C19" s="2514"/>
      <c r="D19" s="2514"/>
      <c r="E19" s="2514"/>
      <c r="F19" s="2514"/>
      <c r="G19" s="2515"/>
      <c r="H19" s="2489">
        <v>5</v>
      </c>
      <c r="I19" s="2490"/>
      <c r="J19" s="2491"/>
      <c r="K19" s="2492">
        <v>6</v>
      </c>
      <c r="L19" s="2490"/>
      <c r="M19" s="2493"/>
      <c r="N19" s="2494">
        <f>SUM(H19:M19)</f>
        <v>11</v>
      </c>
      <c r="O19" s="2495"/>
      <c r="P19" s="2496"/>
      <c r="Q19" s="2489">
        <v>0</v>
      </c>
      <c r="R19" s="2490"/>
      <c r="S19" s="2491"/>
      <c r="T19" s="2492">
        <v>0</v>
      </c>
      <c r="U19" s="2490"/>
      <c r="V19" s="2493"/>
      <c r="W19" s="2494">
        <f>SUM(Q19:V19)</f>
        <v>0</v>
      </c>
      <c r="X19" s="2495"/>
      <c r="Y19" s="2496"/>
      <c r="Z19" s="493"/>
      <c r="AA19" s="493"/>
      <c r="AB19" s="493"/>
      <c r="AC19" s="332"/>
      <c r="AD19" s="222"/>
      <c r="AE19" s="331"/>
      <c r="AF19" s="331"/>
      <c r="AG19" s="331"/>
      <c r="AH19" s="360"/>
      <c r="AI19" s="360"/>
      <c r="AJ19" s="360"/>
      <c r="AK19" s="360"/>
      <c r="AL19" s="360"/>
      <c r="AM19" s="360"/>
      <c r="AN19" s="360"/>
      <c r="AO19" s="360"/>
      <c r="AP19" s="494"/>
      <c r="AQ19" s="494"/>
      <c r="AR19" s="494"/>
      <c r="AS19" s="494"/>
      <c r="AT19" s="494"/>
      <c r="AU19" s="494"/>
      <c r="AV19" s="494"/>
      <c r="AW19" s="494"/>
      <c r="AX19" s="494"/>
      <c r="AY19" s="494"/>
    </row>
    <row r="20" spans="1:76" ht="30" customHeight="1" thickBot="1">
      <c r="A20" s="222"/>
      <c r="B20" s="2516" t="s">
        <v>44</v>
      </c>
      <c r="C20" s="2517"/>
      <c r="D20" s="2517"/>
      <c r="E20" s="2517"/>
      <c r="F20" s="2517"/>
      <c r="G20" s="2518"/>
      <c r="H20" s="2481">
        <v>1</v>
      </c>
      <c r="I20" s="2482"/>
      <c r="J20" s="2483"/>
      <c r="K20" s="2484">
        <v>0</v>
      </c>
      <c r="L20" s="2482"/>
      <c r="M20" s="2485"/>
      <c r="N20" s="2486">
        <f>SUM(H20:M20)</f>
        <v>1</v>
      </c>
      <c r="O20" s="2487"/>
      <c r="P20" s="2488"/>
      <c r="Q20" s="2481">
        <v>0</v>
      </c>
      <c r="R20" s="2482"/>
      <c r="S20" s="2483"/>
      <c r="T20" s="2484">
        <v>0</v>
      </c>
      <c r="U20" s="2482"/>
      <c r="V20" s="2485"/>
      <c r="W20" s="2486">
        <f>SUM(Q20:V20)</f>
        <v>0</v>
      </c>
      <c r="X20" s="2487"/>
      <c r="Y20" s="2488"/>
      <c r="Z20" s="493"/>
      <c r="AA20" s="493"/>
      <c r="AB20" s="493"/>
      <c r="AC20" s="273"/>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row>
    <row r="21" spans="1:76" s="430" customFormat="1" ht="30" customHeight="1" thickTop="1" thickBot="1">
      <c r="B21" s="2225" t="s">
        <v>285</v>
      </c>
      <c r="C21" s="2226"/>
      <c r="D21" s="2226"/>
      <c r="E21" s="2226"/>
      <c r="F21" s="2226"/>
      <c r="G21" s="2227"/>
      <c r="H21" s="2228">
        <f>SUM(H19:J20)</f>
        <v>6</v>
      </c>
      <c r="I21" s="2229"/>
      <c r="J21" s="2231"/>
      <c r="K21" s="2232">
        <f>SUM(K19:M20)</f>
        <v>6</v>
      </c>
      <c r="L21" s="2229"/>
      <c r="M21" s="2497"/>
      <c r="N21" s="2465">
        <f>SUM(N19:P20)</f>
        <v>12</v>
      </c>
      <c r="O21" s="2229"/>
      <c r="P21" s="2230"/>
      <c r="Q21" s="2228">
        <f>SUM(Q19:S20)</f>
        <v>0</v>
      </c>
      <c r="R21" s="2229"/>
      <c r="S21" s="2231"/>
      <c r="T21" s="2232">
        <f>SUM(T19:V20)</f>
        <v>0</v>
      </c>
      <c r="U21" s="2229"/>
      <c r="V21" s="2497"/>
      <c r="W21" s="2465">
        <f>SUM(W19:Y20)</f>
        <v>0</v>
      </c>
      <c r="X21" s="2229"/>
      <c r="Y21" s="2230"/>
      <c r="AW21" s="273"/>
      <c r="AX21" s="273"/>
      <c r="AY21" s="273"/>
      <c r="AZ21" s="273"/>
      <c r="BA21" s="273"/>
      <c r="BB21" s="273"/>
      <c r="BC21" s="273"/>
      <c r="BD21" s="273"/>
      <c r="BE21" s="273"/>
      <c r="BF21" s="273"/>
      <c r="BG21" s="273"/>
      <c r="BH21" s="817"/>
      <c r="BI21" s="817"/>
      <c r="BJ21" s="817"/>
      <c r="BK21" s="817"/>
      <c r="BL21" s="817"/>
      <c r="BM21" s="817"/>
      <c r="BN21" s="817"/>
      <c r="BO21" s="273"/>
      <c r="BP21" s="273"/>
      <c r="BQ21" s="273"/>
      <c r="BR21" s="273"/>
      <c r="BS21" s="273"/>
      <c r="BT21" s="273"/>
      <c r="BU21" s="222"/>
      <c r="BV21" s="222"/>
      <c r="BW21" s="222"/>
      <c r="BX21" s="222"/>
    </row>
    <row r="22" spans="1:76" ht="30" customHeight="1">
      <c r="A22" s="222"/>
      <c r="B22" s="495"/>
      <c r="C22" s="222"/>
      <c r="D22" s="222"/>
      <c r="E22" s="222"/>
      <c r="F22" s="222"/>
      <c r="G22" s="222"/>
      <c r="H22" s="222"/>
      <c r="I22" s="222"/>
      <c r="J22" s="222"/>
      <c r="K22" s="222"/>
      <c r="L22" s="222"/>
      <c r="M22" s="222"/>
      <c r="N22" s="222"/>
      <c r="O22" s="222"/>
      <c r="P22" s="222"/>
      <c r="Q22" s="222"/>
      <c r="R22" s="222"/>
      <c r="S22" s="222"/>
      <c r="T22" s="222"/>
      <c r="U22" s="222"/>
      <c r="V22" s="222"/>
      <c r="W22" s="222"/>
      <c r="X22" s="222"/>
      <c r="Y22" s="222"/>
      <c r="Z22" s="222"/>
      <c r="AA22" s="222"/>
      <c r="AB22" s="222"/>
      <c r="AC22" s="222"/>
      <c r="AD22" s="222"/>
      <c r="AE22" s="222"/>
      <c r="AF22" s="222"/>
      <c r="AG22" s="222"/>
      <c r="AH22" s="222"/>
      <c r="AI22" s="222"/>
      <c r="AJ22" s="222"/>
      <c r="AK22" s="222"/>
      <c r="AL22" s="222"/>
      <c r="AM22" s="222"/>
      <c r="AN22" s="222"/>
      <c r="AO22" s="222"/>
      <c r="AP22" s="222"/>
      <c r="AQ22" s="222"/>
      <c r="AR22" s="222"/>
      <c r="AS22" s="222"/>
      <c r="AT22" s="222"/>
      <c r="AU22" s="222"/>
    </row>
    <row r="23" spans="1:76" ht="16.5" thickBot="1">
      <c r="A23" s="222"/>
      <c r="B23" s="309" t="s">
        <v>11381</v>
      </c>
      <c r="C23" s="222"/>
      <c r="D23" s="222"/>
      <c r="E23" s="222"/>
      <c r="F23" s="222"/>
      <c r="G23" s="222"/>
      <c r="H23" s="222"/>
      <c r="I23" s="222"/>
      <c r="J23" s="222"/>
      <c r="K23" s="222"/>
      <c r="L23" s="222"/>
      <c r="M23" s="222"/>
      <c r="N23" s="222"/>
      <c r="O23" s="222"/>
      <c r="P23" s="222"/>
      <c r="Q23" s="222"/>
      <c r="R23" s="222"/>
      <c r="S23" s="222"/>
      <c r="T23" s="222"/>
      <c r="U23" s="222"/>
      <c r="V23" s="222"/>
      <c r="W23" s="222"/>
      <c r="X23" s="222"/>
      <c r="Y23" s="496"/>
      <c r="Z23" s="309"/>
      <c r="AA23" s="267"/>
      <c r="AB23" s="494"/>
      <c r="AC23" s="494"/>
      <c r="AD23" s="494"/>
      <c r="AE23" s="494"/>
      <c r="AF23" s="494"/>
      <c r="AG23" s="494"/>
      <c r="AH23" s="494"/>
      <c r="AI23" s="494"/>
      <c r="AJ23" s="494"/>
      <c r="AK23" s="494"/>
      <c r="AL23" s="494"/>
      <c r="AM23" s="494"/>
      <c r="AN23" s="494"/>
      <c r="AO23" s="494"/>
      <c r="AP23" s="494"/>
      <c r="AQ23" s="494"/>
      <c r="AR23" s="494"/>
      <c r="AS23" s="494"/>
      <c r="AT23" s="494"/>
      <c r="AU23" s="494"/>
      <c r="AV23" s="494"/>
      <c r="AW23" s="494"/>
    </row>
    <row r="24" spans="1:76" s="224" customFormat="1">
      <c r="B24" s="2508" t="s">
        <v>81</v>
      </c>
      <c r="C24" s="2461"/>
      <c r="D24" s="2461"/>
      <c r="E24" s="2461"/>
      <c r="F24" s="2461"/>
      <c r="G24" s="2461"/>
      <c r="H24" s="2461"/>
      <c r="I24" s="2461"/>
      <c r="J24" s="2461"/>
      <c r="K24" s="2461"/>
      <c r="L24" s="2461"/>
      <c r="M24" s="2461"/>
      <c r="N24" s="2461"/>
      <c r="O24" s="2461"/>
      <c r="P24" s="2461"/>
      <c r="Q24" s="2461"/>
      <c r="R24" s="2461"/>
      <c r="S24" s="2461"/>
      <c r="T24" s="2464"/>
      <c r="U24" s="2508" t="s">
        <v>43</v>
      </c>
      <c r="V24" s="2461"/>
      <c r="W24" s="2461"/>
      <c r="X24" s="2461"/>
      <c r="Y24" s="2461"/>
      <c r="Z24" s="2461"/>
      <c r="AA24" s="2461"/>
      <c r="AB24" s="2464"/>
      <c r="AC24" s="2508" t="s">
        <v>44</v>
      </c>
      <c r="AD24" s="2461"/>
      <c r="AE24" s="2461"/>
      <c r="AF24" s="2461"/>
      <c r="AG24" s="2461"/>
      <c r="AH24" s="2461"/>
      <c r="AI24" s="2461"/>
      <c r="AJ24" s="2522"/>
      <c r="AK24" s="2524" t="s">
        <v>42</v>
      </c>
      <c r="AL24" s="2524"/>
      <c r="AM24" s="2524"/>
      <c r="AN24" s="2524"/>
      <c r="AO24" s="2524"/>
      <c r="AP24" s="2524"/>
      <c r="AQ24" s="2524"/>
      <c r="AR24" s="2525"/>
      <c r="AS24" s="497"/>
      <c r="AT24" s="497"/>
      <c r="AU24" s="497"/>
    </row>
    <row r="25" spans="1:76" s="224" customFormat="1">
      <c r="B25" s="2509"/>
      <c r="C25" s="2255"/>
      <c r="D25" s="2255"/>
      <c r="E25" s="2255"/>
      <c r="F25" s="2255"/>
      <c r="G25" s="2255"/>
      <c r="H25" s="2255"/>
      <c r="I25" s="2255"/>
      <c r="J25" s="2255"/>
      <c r="K25" s="2255"/>
      <c r="L25" s="2255"/>
      <c r="M25" s="2255"/>
      <c r="N25" s="2255"/>
      <c r="O25" s="2255"/>
      <c r="P25" s="2255"/>
      <c r="Q25" s="2255"/>
      <c r="R25" s="2255"/>
      <c r="S25" s="2255"/>
      <c r="T25" s="2256"/>
      <c r="U25" s="2521"/>
      <c r="V25" s="2472"/>
      <c r="W25" s="2472"/>
      <c r="X25" s="2472"/>
      <c r="Y25" s="2472"/>
      <c r="Z25" s="2472"/>
      <c r="AA25" s="2472"/>
      <c r="AB25" s="2473"/>
      <c r="AC25" s="2521"/>
      <c r="AD25" s="2472"/>
      <c r="AE25" s="2472"/>
      <c r="AF25" s="2472"/>
      <c r="AG25" s="2472"/>
      <c r="AH25" s="2472"/>
      <c r="AI25" s="2472"/>
      <c r="AJ25" s="2523"/>
      <c r="AK25" s="2472" t="s">
        <v>1206</v>
      </c>
      <c r="AL25" s="2472"/>
      <c r="AM25" s="2472"/>
      <c r="AN25" s="2472"/>
      <c r="AO25" s="2472"/>
      <c r="AP25" s="2472"/>
      <c r="AQ25" s="2472"/>
      <c r="AR25" s="2473"/>
      <c r="AS25" s="497"/>
      <c r="AT25" s="497"/>
      <c r="AU25" s="497"/>
    </row>
    <row r="26" spans="1:76" s="224" customFormat="1" ht="22.5" customHeight="1" thickBot="1">
      <c r="B26" s="2510"/>
      <c r="C26" s="2511"/>
      <c r="D26" s="2511"/>
      <c r="E26" s="2511"/>
      <c r="F26" s="2511"/>
      <c r="G26" s="2511"/>
      <c r="H26" s="2511"/>
      <c r="I26" s="2511"/>
      <c r="J26" s="2511"/>
      <c r="K26" s="2511"/>
      <c r="L26" s="2511"/>
      <c r="M26" s="2511"/>
      <c r="N26" s="2511"/>
      <c r="O26" s="2511"/>
      <c r="P26" s="2511"/>
      <c r="Q26" s="2511"/>
      <c r="R26" s="2511"/>
      <c r="S26" s="2511"/>
      <c r="T26" s="2512"/>
      <c r="U26" s="2474" t="s">
        <v>45</v>
      </c>
      <c r="V26" s="2475"/>
      <c r="W26" s="2475"/>
      <c r="X26" s="2476"/>
      <c r="Y26" s="2477" t="s">
        <v>46</v>
      </c>
      <c r="Z26" s="2475"/>
      <c r="AA26" s="2475"/>
      <c r="AB26" s="2478"/>
      <c r="AC26" s="2474" t="s">
        <v>45</v>
      </c>
      <c r="AD26" s="2475"/>
      <c r="AE26" s="2475"/>
      <c r="AF26" s="2476"/>
      <c r="AG26" s="2477" t="s">
        <v>46</v>
      </c>
      <c r="AH26" s="2475"/>
      <c r="AI26" s="2475"/>
      <c r="AJ26" s="2479"/>
      <c r="AK26" s="2480" t="s">
        <v>45</v>
      </c>
      <c r="AL26" s="2475"/>
      <c r="AM26" s="2475"/>
      <c r="AN26" s="2476"/>
      <c r="AO26" s="2477" t="s">
        <v>46</v>
      </c>
      <c r="AP26" s="2475"/>
      <c r="AQ26" s="2475"/>
      <c r="AR26" s="2478"/>
      <c r="AS26" s="498"/>
      <c r="AT26" s="498"/>
      <c r="AU26" s="498"/>
    </row>
    <row r="27" spans="1:76" s="224" customFormat="1" ht="30" customHeight="1">
      <c r="B27" s="499" t="s">
        <v>286</v>
      </c>
      <c r="C27" s="365"/>
      <c r="D27" s="365"/>
      <c r="E27" s="365"/>
      <c r="F27" s="365"/>
      <c r="G27" s="365"/>
      <c r="H27" s="365"/>
      <c r="I27" s="365"/>
      <c r="J27" s="365"/>
      <c r="K27" s="365"/>
      <c r="L27" s="365"/>
      <c r="M27" s="365"/>
      <c r="N27" s="365"/>
      <c r="O27" s="365"/>
      <c r="P27" s="365"/>
      <c r="Q27" s="365"/>
      <c r="R27" s="365"/>
      <c r="S27" s="365"/>
      <c r="T27" s="366"/>
      <c r="U27" s="2466"/>
      <c r="V27" s="2467"/>
      <c r="W27" s="2467"/>
      <c r="X27" s="2468"/>
      <c r="Y27" s="2469"/>
      <c r="Z27" s="2467"/>
      <c r="AA27" s="2467"/>
      <c r="AB27" s="2470"/>
      <c r="AC27" s="2466"/>
      <c r="AD27" s="2467"/>
      <c r="AE27" s="2467"/>
      <c r="AF27" s="2468"/>
      <c r="AG27" s="2469"/>
      <c r="AH27" s="2467"/>
      <c r="AI27" s="2467"/>
      <c r="AJ27" s="2471"/>
      <c r="AK27" s="2460"/>
      <c r="AL27" s="2461"/>
      <c r="AM27" s="2461"/>
      <c r="AN27" s="2462"/>
      <c r="AO27" s="2463"/>
      <c r="AP27" s="2461"/>
      <c r="AQ27" s="2461"/>
      <c r="AR27" s="2464"/>
    </row>
    <row r="28" spans="1:76" s="224" customFormat="1" ht="30" customHeight="1">
      <c r="B28" s="500"/>
      <c r="C28" s="289" t="s">
        <v>287</v>
      </c>
      <c r="D28" s="289"/>
      <c r="E28" s="289"/>
      <c r="F28" s="289"/>
      <c r="G28" s="289"/>
      <c r="H28" s="289"/>
      <c r="I28" s="289"/>
      <c r="J28" s="289"/>
      <c r="K28" s="289"/>
      <c r="L28" s="289"/>
      <c r="M28" s="289"/>
      <c r="N28" s="289"/>
      <c r="O28" s="289"/>
      <c r="P28" s="289"/>
      <c r="Q28" s="289"/>
      <c r="R28" s="289"/>
      <c r="S28" s="289"/>
      <c r="T28" s="290"/>
      <c r="U28" s="2206">
        <v>2</v>
      </c>
      <c r="V28" s="2207"/>
      <c r="W28" s="2207"/>
      <c r="X28" s="2208"/>
      <c r="Y28" s="2444">
        <v>4</v>
      </c>
      <c r="Z28" s="2207"/>
      <c r="AA28" s="2207"/>
      <c r="AB28" s="2445"/>
      <c r="AC28" s="2206">
        <v>0</v>
      </c>
      <c r="AD28" s="2207"/>
      <c r="AE28" s="2207"/>
      <c r="AF28" s="2208"/>
      <c r="AG28" s="2444">
        <v>1</v>
      </c>
      <c r="AH28" s="2207"/>
      <c r="AI28" s="2207"/>
      <c r="AJ28" s="2446"/>
      <c r="AK28" s="2447">
        <f>+teachassgn_lang_oralcom_m_g11+teachassgn_lang_oralcom_m_g12</f>
        <v>2</v>
      </c>
      <c r="AL28" s="2431"/>
      <c r="AM28" s="2431"/>
      <c r="AN28" s="2448"/>
      <c r="AO28" s="2430">
        <f>+teachassgn_lang_oralcom_f_g11+teachassgn_lang_oralcom_f_g12</f>
        <v>5</v>
      </c>
      <c r="AP28" s="2431"/>
      <c r="AQ28" s="2431"/>
      <c r="AR28" s="2432"/>
    </row>
    <row r="29" spans="1:76" s="224" customFormat="1" ht="30" customHeight="1">
      <c r="B29" s="500"/>
      <c r="C29" s="289" t="s">
        <v>288</v>
      </c>
      <c r="D29" s="289"/>
      <c r="E29" s="289"/>
      <c r="F29" s="289"/>
      <c r="G29" s="289"/>
      <c r="H29" s="289"/>
      <c r="I29" s="289"/>
      <c r="J29" s="289"/>
      <c r="K29" s="289"/>
      <c r="L29" s="289"/>
      <c r="M29" s="289"/>
      <c r="N29" s="289"/>
      <c r="O29" s="289"/>
      <c r="P29" s="289"/>
      <c r="Q29" s="289"/>
      <c r="R29" s="289"/>
      <c r="S29" s="289"/>
      <c r="T29" s="290"/>
      <c r="U29" s="2206">
        <v>1</v>
      </c>
      <c r="V29" s="2207"/>
      <c r="W29" s="2207"/>
      <c r="X29" s="2208"/>
      <c r="Y29" s="2444">
        <v>2</v>
      </c>
      <c r="Z29" s="2207"/>
      <c r="AA29" s="2207"/>
      <c r="AB29" s="2445"/>
      <c r="AC29" s="2206">
        <v>1</v>
      </c>
      <c r="AD29" s="2207"/>
      <c r="AE29" s="2207"/>
      <c r="AF29" s="2208"/>
      <c r="AG29" s="2444">
        <v>1</v>
      </c>
      <c r="AH29" s="2207"/>
      <c r="AI29" s="2207"/>
      <c r="AJ29" s="2446"/>
      <c r="AK29" s="2447">
        <f>+teachassgn_lang_readnwrite_m_g11+teachassgn_lang_readnwrite_m_g12</f>
        <v>2</v>
      </c>
      <c r="AL29" s="2431"/>
      <c r="AM29" s="2431"/>
      <c r="AN29" s="2448"/>
      <c r="AO29" s="2430">
        <f>+teachassgn_lang_readnwrite_f_g11+teachassgn_lang_readnwrite_f_g12</f>
        <v>3</v>
      </c>
      <c r="AP29" s="2431"/>
      <c r="AQ29" s="2431"/>
      <c r="AR29" s="2432"/>
    </row>
    <row r="30" spans="1:76" s="224" customFormat="1" ht="30" customHeight="1">
      <c r="B30" s="500"/>
      <c r="C30" s="289" t="s">
        <v>289</v>
      </c>
      <c r="D30" s="289"/>
      <c r="E30" s="289"/>
      <c r="F30" s="289"/>
      <c r="G30" s="289"/>
      <c r="H30" s="289"/>
      <c r="I30" s="289"/>
      <c r="J30" s="289"/>
      <c r="K30" s="289"/>
      <c r="L30" s="289"/>
      <c r="M30" s="289"/>
      <c r="N30" s="289"/>
      <c r="O30" s="289"/>
      <c r="P30" s="289"/>
      <c r="Q30" s="289"/>
      <c r="R30" s="289"/>
      <c r="S30" s="289"/>
      <c r="T30" s="290"/>
      <c r="U30" s="2206">
        <v>1</v>
      </c>
      <c r="V30" s="2207"/>
      <c r="W30" s="2207"/>
      <c r="X30" s="2208"/>
      <c r="Y30" s="2444">
        <v>2</v>
      </c>
      <c r="Z30" s="2207"/>
      <c r="AA30" s="2207"/>
      <c r="AB30" s="2445"/>
      <c r="AC30" s="2206">
        <v>0</v>
      </c>
      <c r="AD30" s="2207"/>
      <c r="AE30" s="2207"/>
      <c r="AF30" s="2208"/>
      <c r="AG30" s="2444">
        <v>2</v>
      </c>
      <c r="AH30" s="2207"/>
      <c r="AI30" s="2207"/>
      <c r="AJ30" s="2446"/>
      <c r="AK30" s="2447">
        <f>+teachassgn_lang_komatpanitikan_m_g11+teachassgn_lang_komatpanitikan_m_g12</f>
        <v>1</v>
      </c>
      <c r="AL30" s="2431"/>
      <c r="AM30" s="2431"/>
      <c r="AN30" s="2448"/>
      <c r="AO30" s="2430">
        <f>+teachassgn_lang_komatpanitikan_f_g11+teachassgn_lang_komatpanitikan_f_g12</f>
        <v>4</v>
      </c>
      <c r="AP30" s="2431"/>
      <c r="AQ30" s="2431"/>
      <c r="AR30" s="2432"/>
    </row>
    <row r="31" spans="1:76" s="224" customFormat="1" ht="30" customHeight="1">
      <c r="B31" s="500"/>
      <c r="C31" s="367" t="s">
        <v>290</v>
      </c>
      <c r="D31" s="289"/>
      <c r="E31" s="367"/>
      <c r="F31" s="367"/>
      <c r="G31" s="367"/>
      <c r="H31" s="367"/>
      <c r="I31" s="367"/>
      <c r="J31" s="501"/>
      <c r="K31" s="501"/>
      <c r="L31" s="501"/>
      <c r="M31" s="501"/>
      <c r="N31" s="501"/>
      <c r="O31" s="501"/>
      <c r="P31" s="501"/>
      <c r="Q31" s="501"/>
      <c r="R31" s="501"/>
      <c r="S31" s="501"/>
      <c r="T31" s="290"/>
      <c r="U31" s="2206">
        <v>1</v>
      </c>
      <c r="V31" s="2207"/>
      <c r="W31" s="2207"/>
      <c r="X31" s="2208"/>
      <c r="Y31" s="2444">
        <v>0</v>
      </c>
      <c r="Z31" s="2207"/>
      <c r="AA31" s="2207"/>
      <c r="AB31" s="2445"/>
      <c r="AC31" s="2206">
        <v>0</v>
      </c>
      <c r="AD31" s="2207"/>
      <c r="AE31" s="2207"/>
      <c r="AF31" s="2208"/>
      <c r="AG31" s="2444">
        <v>1</v>
      </c>
      <c r="AH31" s="2207"/>
      <c r="AI31" s="2207"/>
      <c r="AJ31" s="2446"/>
      <c r="AK31" s="2447">
        <f>+teachassgn_lang_pagbasaatpagsusuri_m_g11+teachassgn_lang_pagbasaatpagsusuri_m_g12</f>
        <v>1</v>
      </c>
      <c r="AL31" s="2431"/>
      <c r="AM31" s="2431"/>
      <c r="AN31" s="2448"/>
      <c r="AO31" s="2430">
        <f>+teachassgn_lang_pagbasaatpagsusuri_f_g11+teachassgn_lang_pagbasaatpagsusuri_f_g12</f>
        <v>1</v>
      </c>
      <c r="AP31" s="2431"/>
      <c r="AQ31" s="2431"/>
      <c r="AR31" s="2432"/>
      <c r="AS31" s="502"/>
      <c r="AT31" s="502"/>
      <c r="AU31" s="502"/>
    </row>
    <row r="32" spans="1:76" s="224" customFormat="1" ht="30" customHeight="1">
      <c r="B32" s="503" t="s">
        <v>291</v>
      </c>
      <c r="C32" s="367"/>
      <c r="D32" s="289"/>
      <c r="E32" s="367"/>
      <c r="F32" s="367"/>
      <c r="G32" s="367"/>
      <c r="H32" s="367"/>
      <c r="I32" s="367"/>
      <c r="J32" s="501"/>
      <c r="K32" s="501"/>
      <c r="L32" s="501"/>
      <c r="M32" s="501"/>
      <c r="N32" s="501"/>
      <c r="O32" s="501"/>
      <c r="P32" s="501"/>
      <c r="Q32" s="501"/>
      <c r="R32" s="501"/>
      <c r="S32" s="501"/>
      <c r="T32" s="290"/>
      <c r="U32" s="2449"/>
      <c r="V32" s="2450"/>
      <c r="W32" s="2450"/>
      <c r="X32" s="2451"/>
      <c r="Y32" s="2452"/>
      <c r="Z32" s="2450"/>
      <c r="AA32" s="2450"/>
      <c r="AB32" s="2453"/>
      <c r="AC32" s="2449"/>
      <c r="AD32" s="2450"/>
      <c r="AE32" s="2450"/>
      <c r="AF32" s="2451"/>
      <c r="AG32" s="2452"/>
      <c r="AH32" s="2450"/>
      <c r="AI32" s="2450"/>
      <c r="AJ32" s="2454"/>
      <c r="AK32" s="2455"/>
      <c r="AL32" s="2456"/>
      <c r="AM32" s="2456"/>
      <c r="AN32" s="2457"/>
      <c r="AO32" s="2458"/>
      <c r="AP32" s="2456"/>
      <c r="AQ32" s="2456"/>
      <c r="AR32" s="2459"/>
      <c r="AS32" s="502"/>
      <c r="AT32" s="502"/>
      <c r="AU32" s="502"/>
      <c r="AV32" s="502"/>
      <c r="AW32" s="502"/>
    </row>
    <row r="33" spans="2:54" s="224" customFormat="1" ht="30" customHeight="1">
      <c r="B33" s="500" t="s">
        <v>292</v>
      </c>
      <c r="C33" s="367" t="s">
        <v>293</v>
      </c>
      <c r="D33" s="367"/>
      <c r="E33" s="367"/>
      <c r="F33" s="367"/>
      <c r="G33" s="367"/>
      <c r="H33" s="367"/>
      <c r="I33" s="367"/>
      <c r="J33" s="501"/>
      <c r="K33" s="501"/>
      <c r="L33" s="501"/>
      <c r="M33" s="501"/>
      <c r="N33" s="501"/>
      <c r="O33" s="501"/>
      <c r="P33" s="501"/>
      <c r="Q33" s="501"/>
      <c r="R33" s="501"/>
      <c r="S33" s="501"/>
      <c r="T33" s="290"/>
      <c r="U33" s="2206">
        <v>2</v>
      </c>
      <c r="V33" s="2207"/>
      <c r="W33" s="2207"/>
      <c r="X33" s="2208"/>
      <c r="Y33" s="2444">
        <v>2</v>
      </c>
      <c r="Z33" s="2207"/>
      <c r="AA33" s="2207"/>
      <c r="AB33" s="2445"/>
      <c r="AC33" s="2206">
        <v>0</v>
      </c>
      <c r="AD33" s="2207"/>
      <c r="AE33" s="2207"/>
      <c r="AF33" s="2208"/>
      <c r="AG33" s="2444">
        <v>0</v>
      </c>
      <c r="AH33" s="2207"/>
      <c r="AI33" s="2207"/>
      <c r="AJ33" s="2446"/>
      <c r="AK33" s="2447">
        <f>+teachassgn_hum_lit_m_g11+teachassgn_hum_lit_m_g12</f>
        <v>2</v>
      </c>
      <c r="AL33" s="2431"/>
      <c r="AM33" s="2431"/>
      <c r="AN33" s="2448"/>
      <c r="AO33" s="2430">
        <f>+teachassgn_hum_lit_f_g11+teachassgn_hum_lit_f_g12</f>
        <v>2</v>
      </c>
      <c r="AP33" s="2431"/>
      <c r="AQ33" s="2431"/>
      <c r="AR33" s="2432"/>
      <c r="AS33" s="502"/>
      <c r="AT33" s="502"/>
      <c r="AU33" s="502"/>
      <c r="AV33" s="502"/>
      <c r="AW33" s="502"/>
    </row>
    <row r="34" spans="2:54" s="224" customFormat="1" ht="30" customHeight="1">
      <c r="B34" s="500" t="s">
        <v>294</v>
      </c>
      <c r="C34" s="367" t="s">
        <v>295</v>
      </c>
      <c r="D34" s="367"/>
      <c r="E34" s="367"/>
      <c r="F34" s="367"/>
      <c r="G34" s="367"/>
      <c r="H34" s="367"/>
      <c r="I34" s="367"/>
      <c r="J34" s="501"/>
      <c r="K34" s="501"/>
      <c r="L34" s="501"/>
      <c r="M34" s="501"/>
      <c r="N34" s="501"/>
      <c r="O34" s="501"/>
      <c r="P34" s="501"/>
      <c r="Q34" s="501"/>
      <c r="R34" s="501"/>
      <c r="S34" s="501"/>
      <c r="T34" s="290"/>
      <c r="U34" s="2206">
        <v>1</v>
      </c>
      <c r="V34" s="2207"/>
      <c r="W34" s="2207"/>
      <c r="X34" s="2208"/>
      <c r="Y34" s="2444">
        <v>1</v>
      </c>
      <c r="Z34" s="2207"/>
      <c r="AA34" s="2207"/>
      <c r="AB34" s="2445"/>
      <c r="AC34" s="2206">
        <v>0</v>
      </c>
      <c r="AD34" s="2207"/>
      <c r="AE34" s="2207"/>
      <c r="AF34" s="2208"/>
      <c r="AG34" s="2444">
        <v>1</v>
      </c>
      <c r="AH34" s="2207"/>
      <c r="AI34" s="2207"/>
      <c r="AJ34" s="2446"/>
      <c r="AK34" s="2447">
        <f>+teachassgn_hum_contemparts_m_g11+teachassgn_hum_contemparts_m_g12</f>
        <v>1</v>
      </c>
      <c r="AL34" s="2431"/>
      <c r="AM34" s="2431"/>
      <c r="AN34" s="2448"/>
      <c r="AO34" s="2430">
        <f>+teachassgn_hum_contemparts_f_g11+teachassgn_hum_contemparts_f_g12</f>
        <v>2</v>
      </c>
      <c r="AP34" s="2431"/>
      <c r="AQ34" s="2431"/>
      <c r="AR34" s="2432"/>
      <c r="AS34" s="502"/>
      <c r="AT34" s="502"/>
      <c r="AU34" s="502"/>
      <c r="AV34" s="502"/>
      <c r="AW34" s="502"/>
    </row>
    <row r="35" spans="2:54" s="224" customFormat="1" ht="30" customHeight="1">
      <c r="B35" s="503" t="s">
        <v>296</v>
      </c>
      <c r="C35" s="289"/>
      <c r="D35" s="289"/>
      <c r="E35" s="289"/>
      <c r="F35" s="289"/>
      <c r="G35" s="289"/>
      <c r="H35" s="289"/>
      <c r="I35" s="289"/>
      <c r="J35" s="289"/>
      <c r="K35" s="289"/>
      <c r="L35" s="289"/>
      <c r="M35" s="289"/>
      <c r="N35" s="289"/>
      <c r="O35" s="289"/>
      <c r="P35" s="289"/>
      <c r="Q35" s="289"/>
      <c r="R35" s="289"/>
      <c r="S35" s="289"/>
      <c r="T35" s="290"/>
      <c r="U35" s="2449"/>
      <c r="V35" s="2450"/>
      <c r="W35" s="2450"/>
      <c r="X35" s="2451"/>
      <c r="Y35" s="2452"/>
      <c r="Z35" s="2450"/>
      <c r="AA35" s="2450"/>
      <c r="AB35" s="2453"/>
      <c r="AC35" s="2449"/>
      <c r="AD35" s="2450"/>
      <c r="AE35" s="2450"/>
      <c r="AF35" s="2451"/>
      <c r="AG35" s="2452"/>
      <c r="AH35" s="2450"/>
      <c r="AI35" s="2450"/>
      <c r="AJ35" s="2454"/>
      <c r="AK35" s="2455"/>
      <c r="AL35" s="2456"/>
      <c r="AM35" s="2456"/>
      <c r="AN35" s="2457"/>
      <c r="AO35" s="2458"/>
      <c r="AP35" s="2456"/>
      <c r="AQ35" s="2456"/>
      <c r="AR35" s="2459"/>
    </row>
    <row r="36" spans="2:54" s="224" customFormat="1" ht="30" customHeight="1">
      <c r="B36" s="500" t="s">
        <v>297</v>
      </c>
      <c r="C36" s="367" t="s">
        <v>298</v>
      </c>
      <c r="D36" s="367"/>
      <c r="E36" s="367"/>
      <c r="F36" s="367"/>
      <c r="G36" s="367"/>
      <c r="H36" s="367"/>
      <c r="I36" s="367"/>
      <c r="J36" s="289"/>
      <c r="K36" s="289"/>
      <c r="L36" s="289"/>
      <c r="M36" s="289"/>
      <c r="N36" s="289"/>
      <c r="O36" s="289"/>
      <c r="P36" s="289"/>
      <c r="Q36" s="289"/>
      <c r="R36" s="289"/>
      <c r="S36" s="289"/>
      <c r="T36" s="504"/>
      <c r="U36" s="2206">
        <v>1</v>
      </c>
      <c r="V36" s="2207"/>
      <c r="W36" s="2207"/>
      <c r="X36" s="2208"/>
      <c r="Y36" s="2444">
        <v>3</v>
      </c>
      <c r="Z36" s="2207"/>
      <c r="AA36" s="2207"/>
      <c r="AB36" s="2445"/>
      <c r="AC36" s="2206">
        <v>0</v>
      </c>
      <c r="AD36" s="2207"/>
      <c r="AE36" s="2207"/>
      <c r="AF36" s="2208"/>
      <c r="AG36" s="2444">
        <v>1</v>
      </c>
      <c r="AH36" s="2207"/>
      <c r="AI36" s="2207"/>
      <c r="AJ36" s="2446"/>
      <c r="AK36" s="2447">
        <f>+teachassgn_com_media_m_g11+teachassgn_com_media_m_g12</f>
        <v>1</v>
      </c>
      <c r="AL36" s="2431"/>
      <c r="AM36" s="2431"/>
      <c r="AN36" s="2448"/>
      <c r="AO36" s="2430">
        <f>+teachassgn_com_media_f_g11+teachassgn_com_media_f_g12</f>
        <v>4</v>
      </c>
      <c r="AP36" s="2431"/>
      <c r="AQ36" s="2431"/>
      <c r="AR36" s="2432"/>
    </row>
    <row r="37" spans="2:54" s="224" customFormat="1" ht="30" customHeight="1">
      <c r="B37" s="503" t="s">
        <v>299</v>
      </c>
      <c r="C37" s="367"/>
      <c r="D37" s="367"/>
      <c r="E37" s="367"/>
      <c r="F37" s="367"/>
      <c r="G37" s="367"/>
      <c r="H37" s="367"/>
      <c r="I37" s="367"/>
      <c r="J37" s="289"/>
      <c r="K37" s="289"/>
      <c r="L37" s="289"/>
      <c r="M37" s="289"/>
      <c r="N37" s="289"/>
      <c r="O37" s="289"/>
      <c r="P37" s="289"/>
      <c r="Q37" s="289"/>
      <c r="R37" s="289"/>
      <c r="S37" s="289"/>
      <c r="T37" s="504"/>
      <c r="U37" s="2449"/>
      <c r="V37" s="2450"/>
      <c r="W37" s="2450"/>
      <c r="X37" s="2451"/>
      <c r="Y37" s="2452"/>
      <c r="Z37" s="2450"/>
      <c r="AA37" s="2450"/>
      <c r="AB37" s="2453"/>
      <c r="AC37" s="2449"/>
      <c r="AD37" s="2450"/>
      <c r="AE37" s="2450"/>
      <c r="AF37" s="2451"/>
      <c r="AG37" s="2452"/>
      <c r="AH37" s="2450"/>
      <c r="AI37" s="2450"/>
      <c r="AJ37" s="2454"/>
      <c r="AK37" s="2455"/>
      <c r="AL37" s="2456"/>
      <c r="AM37" s="2456"/>
      <c r="AN37" s="2457"/>
      <c r="AO37" s="2458"/>
      <c r="AP37" s="2456"/>
      <c r="AQ37" s="2456"/>
      <c r="AR37" s="2459"/>
    </row>
    <row r="38" spans="2:54" s="224" customFormat="1" ht="30" customHeight="1">
      <c r="B38" s="500" t="s">
        <v>300</v>
      </c>
      <c r="C38" s="367" t="s">
        <v>301</v>
      </c>
      <c r="D38" s="367"/>
      <c r="E38" s="367"/>
      <c r="F38" s="367"/>
      <c r="G38" s="367"/>
      <c r="H38" s="367"/>
      <c r="I38" s="367"/>
      <c r="J38" s="289"/>
      <c r="K38" s="289"/>
      <c r="L38" s="289"/>
      <c r="M38" s="289"/>
      <c r="N38" s="289"/>
      <c r="O38" s="289"/>
      <c r="P38" s="289"/>
      <c r="Q38" s="289"/>
      <c r="R38" s="289"/>
      <c r="S38" s="289"/>
      <c r="T38" s="504"/>
      <c r="U38" s="2206">
        <v>0</v>
      </c>
      <c r="V38" s="2207"/>
      <c r="W38" s="2207"/>
      <c r="X38" s="2208"/>
      <c r="Y38" s="2444">
        <v>1</v>
      </c>
      <c r="Z38" s="2207"/>
      <c r="AA38" s="2207"/>
      <c r="AB38" s="2445"/>
      <c r="AC38" s="2206">
        <v>1</v>
      </c>
      <c r="AD38" s="2207"/>
      <c r="AE38" s="2207"/>
      <c r="AF38" s="2208"/>
      <c r="AG38" s="2444">
        <v>1</v>
      </c>
      <c r="AH38" s="2207"/>
      <c r="AI38" s="2207"/>
      <c r="AJ38" s="2446"/>
      <c r="AK38" s="2447">
        <f>+teachassgn_math_genmath_m_g11+teachassgn_math_genmath_m_g12</f>
        <v>1</v>
      </c>
      <c r="AL38" s="2431"/>
      <c r="AM38" s="2431"/>
      <c r="AN38" s="2448"/>
      <c r="AO38" s="2430">
        <f>+teachassgn_math_genmath_f_g11+teachassgn_math_genmath_f_g12</f>
        <v>2</v>
      </c>
      <c r="AP38" s="2431"/>
      <c r="AQ38" s="2431"/>
      <c r="AR38" s="2432"/>
    </row>
    <row r="39" spans="2:54" s="224" customFormat="1" ht="30" customHeight="1">
      <c r="B39" s="500" t="s">
        <v>300</v>
      </c>
      <c r="C39" s="367" t="s">
        <v>302</v>
      </c>
      <c r="D39" s="367"/>
      <c r="E39" s="367"/>
      <c r="F39" s="367"/>
      <c r="G39" s="367"/>
      <c r="H39" s="367"/>
      <c r="I39" s="367"/>
      <c r="J39" s="289"/>
      <c r="K39" s="289"/>
      <c r="L39" s="289"/>
      <c r="M39" s="289"/>
      <c r="N39" s="289"/>
      <c r="O39" s="289"/>
      <c r="P39" s="289"/>
      <c r="Q39" s="289"/>
      <c r="R39" s="289"/>
      <c r="S39" s="289"/>
      <c r="T39" s="504"/>
      <c r="U39" s="2206">
        <v>0</v>
      </c>
      <c r="V39" s="2207"/>
      <c r="W39" s="2207"/>
      <c r="X39" s="2208"/>
      <c r="Y39" s="2444">
        <v>0</v>
      </c>
      <c r="Z39" s="2207"/>
      <c r="AA39" s="2207"/>
      <c r="AB39" s="2445"/>
      <c r="AC39" s="2206">
        <v>1</v>
      </c>
      <c r="AD39" s="2207"/>
      <c r="AE39" s="2207"/>
      <c r="AF39" s="2208"/>
      <c r="AG39" s="2444">
        <v>1</v>
      </c>
      <c r="AH39" s="2207"/>
      <c r="AI39" s="2207"/>
      <c r="AJ39" s="2446"/>
      <c r="AK39" s="2447">
        <f>+teachassgn_math_stat_m_g11+teachassgn_math_stat_m_g12</f>
        <v>1</v>
      </c>
      <c r="AL39" s="2431"/>
      <c r="AM39" s="2431"/>
      <c r="AN39" s="2448"/>
      <c r="AO39" s="2430">
        <f>+teachassgn_math_stat_f_g11+teachassgn_math_stat_f_g12</f>
        <v>1</v>
      </c>
      <c r="AP39" s="2431"/>
      <c r="AQ39" s="2431"/>
      <c r="AR39" s="2432"/>
    </row>
    <row r="40" spans="2:54" s="224" customFormat="1" ht="30" customHeight="1">
      <c r="B40" s="503" t="s">
        <v>303</v>
      </c>
      <c r="C40" s="367"/>
      <c r="D40" s="367"/>
      <c r="E40" s="367"/>
      <c r="F40" s="367"/>
      <c r="G40" s="367"/>
      <c r="H40" s="367"/>
      <c r="I40" s="367"/>
      <c r="J40" s="289"/>
      <c r="K40" s="289"/>
      <c r="L40" s="289"/>
      <c r="M40" s="289"/>
      <c r="N40" s="289"/>
      <c r="O40" s="289"/>
      <c r="P40" s="289"/>
      <c r="Q40" s="289"/>
      <c r="R40" s="289"/>
      <c r="S40" s="289"/>
      <c r="T40" s="504"/>
      <c r="U40" s="2449"/>
      <c r="V40" s="2450"/>
      <c r="W40" s="2450"/>
      <c r="X40" s="2451"/>
      <c r="Y40" s="2452"/>
      <c r="Z40" s="2450"/>
      <c r="AA40" s="2450"/>
      <c r="AB40" s="2453"/>
      <c r="AC40" s="2449"/>
      <c r="AD40" s="2450"/>
      <c r="AE40" s="2450"/>
      <c r="AF40" s="2451"/>
      <c r="AG40" s="2452"/>
      <c r="AH40" s="2450"/>
      <c r="AI40" s="2450"/>
      <c r="AJ40" s="2454"/>
      <c r="AK40" s="2455"/>
      <c r="AL40" s="2456"/>
      <c r="AM40" s="2456"/>
      <c r="AN40" s="2457"/>
      <c r="AO40" s="2458"/>
      <c r="AP40" s="2456"/>
      <c r="AQ40" s="2456"/>
      <c r="AR40" s="2459"/>
      <c r="AX40" s="1795"/>
      <c r="AY40" s="1795"/>
      <c r="AZ40" s="1795"/>
      <c r="BA40" s="1795"/>
      <c r="BB40" s="1795"/>
    </row>
    <row r="41" spans="2:54" s="224" customFormat="1" ht="30" customHeight="1">
      <c r="B41" s="500"/>
      <c r="C41" s="367" t="s">
        <v>304</v>
      </c>
      <c r="D41" s="367"/>
      <c r="E41" s="367"/>
      <c r="F41" s="367"/>
      <c r="G41" s="367"/>
      <c r="H41" s="367"/>
      <c r="I41" s="367"/>
      <c r="J41" s="289"/>
      <c r="K41" s="289"/>
      <c r="L41" s="289"/>
      <c r="M41" s="289"/>
      <c r="N41" s="289"/>
      <c r="O41" s="289"/>
      <c r="P41" s="289"/>
      <c r="Q41" s="289"/>
      <c r="R41" s="289"/>
      <c r="S41" s="289"/>
      <c r="T41" s="504"/>
      <c r="U41" s="2206">
        <v>2</v>
      </c>
      <c r="V41" s="2207"/>
      <c r="W41" s="2207"/>
      <c r="X41" s="2208"/>
      <c r="Y41" s="2444">
        <v>0</v>
      </c>
      <c r="Z41" s="2207"/>
      <c r="AA41" s="2207"/>
      <c r="AB41" s="2445"/>
      <c r="AC41" s="2206">
        <v>1</v>
      </c>
      <c r="AD41" s="2207"/>
      <c r="AE41" s="2207"/>
      <c r="AF41" s="2208"/>
      <c r="AG41" s="2444">
        <v>0</v>
      </c>
      <c r="AH41" s="2207"/>
      <c r="AI41" s="2207"/>
      <c r="AJ41" s="2446"/>
      <c r="AK41" s="2447">
        <f>+teachassgn_sci_earthnlife_m_g11+teachassgn_sci_earthnlife_m_g12</f>
        <v>3</v>
      </c>
      <c r="AL41" s="2431"/>
      <c r="AM41" s="2431"/>
      <c r="AN41" s="2448"/>
      <c r="AO41" s="2430">
        <f>+teachassgn_sci_earthnlife_f_g11+teachassgn_sci_earthnlife_f_g12</f>
        <v>0</v>
      </c>
      <c r="AP41" s="2431"/>
      <c r="AQ41" s="2431"/>
      <c r="AR41" s="2432"/>
      <c r="AX41" s="1795"/>
      <c r="AY41" s="1795"/>
      <c r="AZ41" s="1795"/>
      <c r="BA41" s="1795"/>
      <c r="BB41" s="1795"/>
    </row>
    <row r="42" spans="2:54" s="224" customFormat="1" ht="30" customHeight="1">
      <c r="B42" s="500" t="s">
        <v>300</v>
      </c>
      <c r="C42" s="367" t="s">
        <v>305</v>
      </c>
      <c r="D42" s="367"/>
      <c r="E42" s="367"/>
      <c r="F42" s="367"/>
      <c r="G42" s="367"/>
      <c r="H42" s="367"/>
      <c r="I42" s="367"/>
      <c r="J42" s="289"/>
      <c r="K42" s="289"/>
      <c r="L42" s="289"/>
      <c r="M42" s="289"/>
      <c r="N42" s="289"/>
      <c r="O42" s="289"/>
      <c r="P42" s="289"/>
      <c r="Q42" s="289"/>
      <c r="R42" s="289"/>
      <c r="S42" s="289"/>
      <c r="T42" s="504"/>
      <c r="U42" s="2206">
        <v>2</v>
      </c>
      <c r="V42" s="2207"/>
      <c r="W42" s="2207"/>
      <c r="X42" s="2208"/>
      <c r="Y42" s="2444">
        <v>0</v>
      </c>
      <c r="Z42" s="2207"/>
      <c r="AA42" s="2207"/>
      <c r="AB42" s="2445"/>
      <c r="AC42" s="2206">
        <v>1</v>
      </c>
      <c r="AD42" s="2207"/>
      <c r="AE42" s="2207"/>
      <c r="AF42" s="2208"/>
      <c r="AG42" s="2444">
        <v>0</v>
      </c>
      <c r="AH42" s="2207"/>
      <c r="AI42" s="2207"/>
      <c r="AJ42" s="2446"/>
      <c r="AK42" s="2447">
        <f>+teachassgn_sci_physci_m_g11+teachassgn_sci_physci_m_g12</f>
        <v>3</v>
      </c>
      <c r="AL42" s="2431"/>
      <c r="AM42" s="2431"/>
      <c r="AN42" s="2448"/>
      <c r="AO42" s="2430">
        <f>+teachassgn_sci_physci_f_g11+teachassgn_sci_physci_f_g12</f>
        <v>0</v>
      </c>
      <c r="AP42" s="2431"/>
      <c r="AQ42" s="2431"/>
      <c r="AR42" s="2432"/>
      <c r="AX42" s="1795"/>
      <c r="AY42" s="1795"/>
      <c r="AZ42" s="1795"/>
      <c r="BA42" s="1795"/>
      <c r="BB42" s="1795"/>
    </row>
    <row r="43" spans="2:54" s="224" customFormat="1" ht="30" customHeight="1">
      <c r="B43" s="503" t="s">
        <v>306</v>
      </c>
      <c r="C43" s="367"/>
      <c r="D43" s="367"/>
      <c r="E43" s="367"/>
      <c r="F43" s="367"/>
      <c r="G43" s="367"/>
      <c r="H43" s="367"/>
      <c r="I43" s="367"/>
      <c r="J43" s="289"/>
      <c r="K43" s="289"/>
      <c r="L43" s="289"/>
      <c r="M43" s="289"/>
      <c r="N43" s="289"/>
      <c r="O43" s="289"/>
      <c r="P43" s="289"/>
      <c r="Q43" s="289"/>
      <c r="R43" s="289"/>
      <c r="S43" s="289"/>
      <c r="T43" s="504"/>
      <c r="U43" s="2449"/>
      <c r="V43" s="2450"/>
      <c r="W43" s="2450"/>
      <c r="X43" s="2451"/>
      <c r="Y43" s="2452"/>
      <c r="Z43" s="2450"/>
      <c r="AA43" s="2450"/>
      <c r="AB43" s="2453"/>
      <c r="AC43" s="2449"/>
      <c r="AD43" s="2450"/>
      <c r="AE43" s="2450"/>
      <c r="AF43" s="2451"/>
      <c r="AG43" s="2452"/>
      <c r="AH43" s="2450"/>
      <c r="AI43" s="2450"/>
      <c r="AJ43" s="2454"/>
      <c r="AK43" s="2455"/>
      <c r="AL43" s="2456"/>
      <c r="AM43" s="2456"/>
      <c r="AN43" s="2457"/>
      <c r="AO43" s="2458"/>
      <c r="AP43" s="2456"/>
      <c r="AQ43" s="2456"/>
      <c r="AR43" s="2459"/>
      <c r="AX43" s="1795"/>
      <c r="AY43" s="1795"/>
      <c r="AZ43" s="1795"/>
      <c r="BA43" s="1795"/>
      <c r="BB43" s="1795"/>
    </row>
    <row r="44" spans="2:54" s="224" customFormat="1" ht="30" customHeight="1">
      <c r="B44" s="500" t="s">
        <v>300</v>
      </c>
      <c r="C44" s="367" t="s">
        <v>307</v>
      </c>
      <c r="D44" s="367"/>
      <c r="E44" s="367"/>
      <c r="F44" s="367"/>
      <c r="G44" s="367"/>
      <c r="H44" s="367"/>
      <c r="I44" s="367"/>
      <c r="J44" s="289"/>
      <c r="K44" s="289"/>
      <c r="L44" s="289"/>
      <c r="M44" s="289"/>
      <c r="N44" s="289"/>
      <c r="O44" s="289"/>
      <c r="P44" s="289"/>
      <c r="Q44" s="289"/>
      <c r="R44" s="289"/>
      <c r="S44" s="289"/>
      <c r="T44" s="504"/>
      <c r="U44" s="2206">
        <v>0</v>
      </c>
      <c r="V44" s="2207"/>
      <c r="W44" s="2207"/>
      <c r="X44" s="2208"/>
      <c r="Y44" s="2444">
        <v>2</v>
      </c>
      <c r="Z44" s="2207"/>
      <c r="AA44" s="2207"/>
      <c r="AB44" s="2445"/>
      <c r="AC44" s="2206">
        <v>0</v>
      </c>
      <c r="AD44" s="2207"/>
      <c r="AE44" s="2207"/>
      <c r="AF44" s="2208"/>
      <c r="AG44" s="2444">
        <v>0</v>
      </c>
      <c r="AH44" s="2207"/>
      <c r="AI44" s="2207"/>
      <c r="AJ44" s="2446"/>
      <c r="AK44" s="2447">
        <f>+teachassgn_socsci_personaldev_m_g11+teachassgn_socsci_personaldev_m_g12</f>
        <v>0</v>
      </c>
      <c r="AL44" s="2431"/>
      <c r="AM44" s="2431"/>
      <c r="AN44" s="2448"/>
      <c r="AO44" s="2430">
        <f>+teachassgn_socsci_personaldev_f_g11+teachassgn_socsci_personaldev_f_g12</f>
        <v>2</v>
      </c>
      <c r="AP44" s="2431"/>
      <c r="AQ44" s="2431"/>
      <c r="AR44" s="2432"/>
      <c r="AX44" s="1795"/>
      <c r="AY44" s="1795"/>
      <c r="AZ44" s="1795"/>
      <c r="BA44" s="1795"/>
      <c r="BB44" s="1795"/>
    </row>
    <row r="45" spans="2:54" s="224" customFormat="1" ht="30" customHeight="1">
      <c r="B45" s="500" t="s">
        <v>300</v>
      </c>
      <c r="C45" s="289" t="s">
        <v>308</v>
      </c>
      <c r="D45" s="289"/>
      <c r="E45" s="289"/>
      <c r="F45" s="289"/>
      <c r="G45" s="289"/>
      <c r="H45" s="289"/>
      <c r="I45" s="289"/>
      <c r="J45" s="501"/>
      <c r="K45" s="501"/>
      <c r="L45" s="501"/>
      <c r="M45" s="501"/>
      <c r="N45" s="501"/>
      <c r="O45" s="501"/>
      <c r="P45" s="501"/>
      <c r="Q45" s="501"/>
      <c r="R45" s="501"/>
      <c r="S45" s="501"/>
      <c r="T45" s="290"/>
      <c r="U45" s="2206">
        <v>0</v>
      </c>
      <c r="V45" s="2207"/>
      <c r="W45" s="2207"/>
      <c r="X45" s="2208"/>
      <c r="Y45" s="2444">
        <v>0</v>
      </c>
      <c r="Z45" s="2207"/>
      <c r="AA45" s="2207"/>
      <c r="AB45" s="2445"/>
      <c r="AC45" s="2206">
        <v>1</v>
      </c>
      <c r="AD45" s="2207"/>
      <c r="AE45" s="2207"/>
      <c r="AF45" s="2208"/>
      <c r="AG45" s="2444">
        <v>1</v>
      </c>
      <c r="AH45" s="2207"/>
      <c r="AI45" s="2207"/>
      <c r="AJ45" s="2446"/>
      <c r="AK45" s="2447">
        <f>+teachassgn_socsci_culturensociety_m_g11+teachassgn_socsci_culturensociety_m_g12</f>
        <v>1</v>
      </c>
      <c r="AL45" s="2431"/>
      <c r="AM45" s="2431"/>
      <c r="AN45" s="2448"/>
      <c r="AO45" s="2430">
        <f>+teachassgn_socsci_culturensociety_f_g11+teachassgn_socsci_culturensociety_f_g12</f>
        <v>1</v>
      </c>
      <c r="AP45" s="2431"/>
      <c r="AQ45" s="2431"/>
      <c r="AR45" s="2432"/>
    </row>
    <row r="46" spans="2:54" s="224" customFormat="1" ht="30" customHeight="1">
      <c r="B46" s="503" t="s">
        <v>309</v>
      </c>
      <c r="C46" s="505"/>
      <c r="D46" s="505"/>
      <c r="E46" s="505"/>
      <c r="F46" s="505"/>
      <c r="G46" s="505"/>
      <c r="H46" s="505"/>
      <c r="I46" s="505"/>
      <c r="J46" s="506"/>
      <c r="K46" s="506"/>
      <c r="L46" s="506"/>
      <c r="M46" s="506"/>
      <c r="N46" s="506"/>
      <c r="O46" s="506"/>
      <c r="P46" s="506"/>
      <c r="Q46" s="506"/>
      <c r="R46" s="506"/>
      <c r="S46" s="506"/>
      <c r="T46" s="301"/>
      <c r="U46" s="2449"/>
      <c r="V46" s="2450"/>
      <c r="W46" s="2450"/>
      <c r="X46" s="2451"/>
      <c r="Y46" s="2452"/>
      <c r="Z46" s="2450"/>
      <c r="AA46" s="2450"/>
      <c r="AB46" s="2453"/>
      <c r="AC46" s="2449"/>
      <c r="AD46" s="2450"/>
      <c r="AE46" s="2450"/>
      <c r="AF46" s="2451"/>
      <c r="AG46" s="2452"/>
      <c r="AH46" s="2450"/>
      <c r="AI46" s="2450"/>
      <c r="AJ46" s="2454"/>
      <c r="AK46" s="2455"/>
      <c r="AL46" s="2456"/>
      <c r="AM46" s="2456"/>
      <c r="AN46" s="2457"/>
      <c r="AO46" s="2458"/>
      <c r="AP46" s="2456"/>
      <c r="AQ46" s="2456"/>
      <c r="AR46" s="2459"/>
    </row>
    <row r="47" spans="2:54" s="224" customFormat="1" ht="37.5" customHeight="1">
      <c r="B47" s="507"/>
      <c r="C47" s="2520" t="s">
        <v>310</v>
      </c>
      <c r="D47" s="2520"/>
      <c r="E47" s="2520"/>
      <c r="F47" s="2520"/>
      <c r="G47" s="2520"/>
      <c r="H47" s="2520"/>
      <c r="I47" s="2520"/>
      <c r="J47" s="2520"/>
      <c r="K47" s="2520"/>
      <c r="L47" s="2520"/>
      <c r="M47" s="2520"/>
      <c r="N47" s="2520"/>
      <c r="O47" s="2520"/>
      <c r="P47" s="2520"/>
      <c r="Q47" s="2520"/>
      <c r="R47" s="2520"/>
      <c r="S47" s="508"/>
      <c r="T47" s="509"/>
      <c r="U47" s="2206">
        <v>1</v>
      </c>
      <c r="V47" s="2207"/>
      <c r="W47" s="2207"/>
      <c r="X47" s="2208"/>
      <c r="Y47" s="2444">
        <v>1</v>
      </c>
      <c r="Z47" s="2207"/>
      <c r="AA47" s="2207"/>
      <c r="AB47" s="2445"/>
      <c r="AC47" s="2206">
        <v>1</v>
      </c>
      <c r="AD47" s="2207"/>
      <c r="AE47" s="2207"/>
      <c r="AF47" s="2208"/>
      <c r="AG47" s="2444">
        <v>1</v>
      </c>
      <c r="AH47" s="2207"/>
      <c r="AI47" s="2207"/>
      <c r="AJ47" s="2446"/>
      <c r="AK47" s="2447">
        <f>+teachassgn_philo_introphilo_m_g11+teachassgn_philo_introphilo_m_g12</f>
        <v>2</v>
      </c>
      <c r="AL47" s="2431"/>
      <c r="AM47" s="2431"/>
      <c r="AN47" s="2448"/>
      <c r="AO47" s="2430">
        <f>+teachassgn_philo_introphilo_f_g11+teachassgn_philo_introphilo_f_g12</f>
        <v>2</v>
      </c>
      <c r="AP47" s="2431"/>
      <c r="AQ47" s="2431"/>
      <c r="AR47" s="2432"/>
    </row>
    <row r="48" spans="2:54" s="224" customFormat="1" ht="30" customHeight="1">
      <c r="B48" s="503" t="s">
        <v>311</v>
      </c>
      <c r="C48" s="289"/>
      <c r="D48" s="289"/>
      <c r="E48" s="289"/>
      <c r="F48" s="289"/>
      <c r="G48" s="289"/>
      <c r="H48" s="289"/>
      <c r="I48" s="289"/>
      <c r="J48" s="501"/>
      <c r="K48" s="501"/>
      <c r="L48" s="501"/>
      <c r="M48" s="501"/>
      <c r="N48" s="501"/>
      <c r="O48" s="501"/>
      <c r="P48" s="501"/>
      <c r="Q48" s="501"/>
      <c r="R48" s="501"/>
      <c r="S48" s="501"/>
      <c r="T48" s="290"/>
      <c r="U48" s="2449"/>
      <c r="V48" s="2450"/>
      <c r="W48" s="2450"/>
      <c r="X48" s="2451"/>
      <c r="Y48" s="2452"/>
      <c r="Z48" s="2450"/>
      <c r="AA48" s="2450"/>
      <c r="AB48" s="2453"/>
      <c r="AC48" s="2449"/>
      <c r="AD48" s="2450"/>
      <c r="AE48" s="2450"/>
      <c r="AF48" s="2451"/>
      <c r="AG48" s="2452"/>
      <c r="AH48" s="2450"/>
      <c r="AI48" s="2450"/>
      <c r="AJ48" s="2454"/>
      <c r="AK48" s="2455"/>
      <c r="AL48" s="2456"/>
      <c r="AM48" s="2456"/>
      <c r="AN48" s="2457"/>
      <c r="AO48" s="2458"/>
      <c r="AP48" s="2456"/>
      <c r="AQ48" s="2456"/>
      <c r="AR48" s="2459"/>
    </row>
    <row r="49" spans="1:73" s="224" customFormat="1" ht="30" customHeight="1">
      <c r="B49" s="500" t="s">
        <v>300</v>
      </c>
      <c r="C49" s="289" t="s">
        <v>312</v>
      </c>
      <c r="D49" s="289"/>
      <c r="E49" s="289"/>
      <c r="F49" s="289"/>
      <c r="G49" s="289"/>
      <c r="H49" s="289"/>
      <c r="I49" s="289"/>
      <c r="J49" s="289"/>
      <c r="K49" s="289"/>
      <c r="L49" s="289"/>
      <c r="M49" s="289"/>
      <c r="N49" s="289"/>
      <c r="O49" s="289"/>
      <c r="P49" s="289"/>
      <c r="Q49" s="289"/>
      <c r="R49" s="289"/>
      <c r="S49" s="289"/>
      <c r="T49" s="290"/>
      <c r="U49" s="2206">
        <v>4</v>
      </c>
      <c r="V49" s="2207"/>
      <c r="W49" s="2207"/>
      <c r="X49" s="2208"/>
      <c r="Y49" s="2444">
        <v>10</v>
      </c>
      <c r="Z49" s="2207"/>
      <c r="AA49" s="2207"/>
      <c r="AB49" s="2445"/>
      <c r="AC49" s="2206">
        <v>3</v>
      </c>
      <c r="AD49" s="2207"/>
      <c r="AE49" s="2207"/>
      <c r="AF49" s="2208"/>
      <c r="AG49" s="2444">
        <v>8</v>
      </c>
      <c r="AH49" s="2207"/>
      <c r="AI49" s="2207"/>
      <c r="AJ49" s="2446"/>
      <c r="AK49" s="2447">
        <f>+teachassgn_pe_phyeduc_m_g11+teachassgn_pe_phyeduc_m_g12</f>
        <v>7</v>
      </c>
      <c r="AL49" s="2431"/>
      <c r="AM49" s="2431"/>
      <c r="AN49" s="2448"/>
      <c r="AO49" s="2430">
        <f>+teachassgn_pe_phyeduc_f_g11+teachassgn_pe_phyeduc_f_g12</f>
        <v>18</v>
      </c>
      <c r="AP49" s="2431"/>
      <c r="AQ49" s="2431"/>
      <c r="AR49" s="2432"/>
    </row>
    <row r="50" spans="1:73" s="224" customFormat="1" ht="30" customHeight="1" thickBot="1">
      <c r="B50" s="510" t="s">
        <v>313</v>
      </c>
      <c r="C50" s="511"/>
      <c r="D50" s="511"/>
      <c r="E50" s="511"/>
      <c r="F50" s="511"/>
      <c r="G50" s="511"/>
      <c r="H50" s="511"/>
      <c r="I50" s="511"/>
      <c r="J50" s="511"/>
      <c r="K50" s="511"/>
      <c r="L50" s="511"/>
      <c r="M50" s="511"/>
      <c r="N50" s="511"/>
      <c r="O50" s="511"/>
      <c r="P50" s="511"/>
      <c r="Q50" s="511"/>
      <c r="R50" s="511"/>
      <c r="S50" s="511"/>
      <c r="T50" s="512"/>
      <c r="U50" s="2433">
        <v>1</v>
      </c>
      <c r="V50" s="2434"/>
      <c r="W50" s="2434"/>
      <c r="X50" s="2435"/>
      <c r="Y50" s="2436">
        <v>0</v>
      </c>
      <c r="Z50" s="2434"/>
      <c r="AA50" s="2434"/>
      <c r="AB50" s="2437"/>
      <c r="AC50" s="2433">
        <v>0</v>
      </c>
      <c r="AD50" s="2434"/>
      <c r="AE50" s="2434"/>
      <c r="AF50" s="2435"/>
      <c r="AG50" s="2436">
        <v>0</v>
      </c>
      <c r="AH50" s="2434"/>
      <c r="AI50" s="2434"/>
      <c r="AJ50" s="2438"/>
      <c r="AK50" s="2439">
        <f>+teachassgn_disasterreadiness_m_g11+teachassgn_disasterreadiness_m_g12</f>
        <v>1</v>
      </c>
      <c r="AL50" s="2440"/>
      <c r="AM50" s="2440"/>
      <c r="AN50" s="2441"/>
      <c r="AO50" s="2442">
        <f>+teachassgn_disasterreadiness_f_g11+teachassgn_disasterreadiness_f_g12</f>
        <v>0</v>
      </c>
      <c r="AP50" s="2440"/>
      <c r="AQ50" s="2440"/>
      <c r="AR50" s="2443"/>
    </row>
    <row r="51" spans="1:73" ht="7.5" customHeight="1">
      <c r="A51" s="222"/>
      <c r="B51" s="513"/>
      <c r="C51" s="222"/>
      <c r="D51" s="222"/>
      <c r="E51" s="222"/>
      <c r="F51" s="222"/>
      <c r="G51" s="222"/>
      <c r="H51" s="387"/>
      <c r="I51" s="387"/>
      <c r="J51" s="222"/>
      <c r="K51" s="222"/>
      <c r="L51" s="222"/>
      <c r="M51" s="222"/>
      <c r="N51" s="222"/>
      <c r="O51" s="387"/>
      <c r="P51" s="387"/>
      <c r="Q51" s="387"/>
      <c r="R51" s="387"/>
      <c r="S51" s="387"/>
      <c r="T51" s="387"/>
      <c r="U51" s="387"/>
      <c r="V51" s="222"/>
      <c r="W51" s="222"/>
      <c r="X51" s="387"/>
      <c r="Y51" s="387"/>
      <c r="Z51" s="387"/>
      <c r="AA51" s="387"/>
      <c r="AB51" s="387"/>
      <c r="AC51" s="222"/>
      <c r="AD51" s="222"/>
      <c r="AE51" s="222"/>
      <c r="AF51" s="222"/>
      <c r="AG51" s="222"/>
      <c r="AH51" s="222"/>
      <c r="AI51" s="222"/>
      <c r="AJ51" s="222"/>
      <c r="AK51" s="222"/>
      <c r="AL51" s="222"/>
      <c r="AM51" s="222"/>
      <c r="AN51" s="222"/>
      <c r="AO51" s="222"/>
      <c r="AP51" s="222"/>
      <c r="AQ51" s="222"/>
      <c r="AR51" s="222"/>
      <c r="AS51" s="222"/>
      <c r="AT51" s="222"/>
      <c r="AU51" s="222"/>
    </row>
    <row r="52" spans="1:73" s="433" customFormat="1">
      <c r="B52" s="227" t="s">
        <v>314</v>
      </c>
      <c r="F52" s="239"/>
      <c r="G52" s="514"/>
      <c r="H52" s="514"/>
      <c r="I52" s="514"/>
      <c r="J52" s="514"/>
      <c r="K52" s="514"/>
      <c r="L52" s="514"/>
      <c r="M52" s="514"/>
      <c r="N52" s="514"/>
      <c r="O52" s="514"/>
      <c r="P52" s="514"/>
      <c r="Q52" s="514"/>
      <c r="R52" s="514"/>
      <c r="S52" s="514"/>
      <c r="T52" s="514"/>
      <c r="U52" s="514"/>
      <c r="V52" s="514"/>
      <c r="W52" s="514"/>
      <c r="X52" s="514"/>
      <c r="Y52" s="514"/>
      <c r="Z52" s="514"/>
      <c r="AA52" s="514"/>
      <c r="AB52" s="514"/>
    </row>
    <row r="53" spans="1:73" s="430" customFormat="1" ht="30.75" customHeight="1">
      <c r="AT53" s="273"/>
      <c r="AU53" s="273"/>
      <c r="AV53" s="273"/>
      <c r="AW53" s="273"/>
      <c r="AX53" s="273"/>
      <c r="AY53" s="273"/>
      <c r="AZ53" s="273"/>
      <c r="BA53" s="273"/>
      <c r="BB53" s="273"/>
      <c r="BC53" s="273"/>
      <c r="BD53" s="273"/>
      <c r="BE53" s="817"/>
      <c r="BF53" s="817"/>
      <c r="BG53" s="817"/>
      <c r="BH53" s="817"/>
      <c r="BI53" s="817"/>
      <c r="BJ53" s="817"/>
      <c r="BK53" s="817"/>
      <c r="BL53" s="273"/>
      <c r="BM53" s="273"/>
      <c r="BN53" s="273"/>
      <c r="BO53" s="273"/>
      <c r="BP53" s="273"/>
      <c r="BQ53" s="273"/>
      <c r="BR53" s="222"/>
      <c r="BS53" s="222"/>
      <c r="BT53" s="222"/>
      <c r="BU53" s="222"/>
    </row>
    <row r="54" spans="1:73" s="331" customFormat="1" ht="15">
      <c r="B54" s="332" t="s">
        <v>32</v>
      </c>
      <c r="R54" s="332" t="s">
        <v>134</v>
      </c>
      <c r="AG54" s="332" t="s">
        <v>33</v>
      </c>
    </row>
    <row r="55" spans="1:73" s="331" customFormat="1" ht="21.75" customHeight="1">
      <c r="B55" s="332" t="s">
        <v>73</v>
      </c>
      <c r="F55" s="1891" t="str">
        <f>activesheet!E21</f>
        <v>MELCHESIEDICK Q. BOLANIO / March 17, 2023</v>
      </c>
      <c r="G55" s="1891"/>
      <c r="H55" s="1891"/>
      <c r="I55" s="1891"/>
      <c r="J55" s="1891"/>
      <c r="K55" s="1891"/>
      <c r="L55" s="1891"/>
      <c r="M55" s="1891"/>
      <c r="N55" s="1891"/>
      <c r="R55" s="1891" t="str">
        <f>activesheet!E438</f>
        <v>ELMA CEZARIE Y. ROMERO / March 17, 2023</v>
      </c>
      <c r="S55" s="1891"/>
      <c r="T55" s="1891"/>
      <c r="U55" s="1891"/>
      <c r="V55" s="1891"/>
      <c r="W55" s="1891"/>
      <c r="X55" s="1891"/>
      <c r="Y55" s="1891"/>
      <c r="Z55" s="1891"/>
      <c r="AA55" s="1891"/>
      <c r="AB55" s="1891"/>
      <c r="AC55" s="1891"/>
      <c r="AG55" s="1819" t="str">
        <f>activesheet!E25</f>
        <v>MICHAEL T. JAMIS / March 17, 2023</v>
      </c>
      <c r="AH55" s="1819"/>
      <c r="AI55" s="1819"/>
      <c r="AJ55" s="1819"/>
      <c r="AK55" s="1819"/>
      <c r="AL55" s="1819"/>
      <c r="AM55" s="1819"/>
      <c r="AN55" s="1819"/>
      <c r="AO55" s="1819"/>
      <c r="AP55" s="1819"/>
      <c r="AQ55" s="1819"/>
      <c r="AR55" s="1819"/>
      <c r="AS55" s="332"/>
    </row>
    <row r="56" spans="1:73" s="325" customFormat="1" ht="15" customHeight="1">
      <c r="B56" s="228"/>
      <c r="F56" s="1811" t="s">
        <v>37</v>
      </c>
      <c r="G56" s="1811"/>
      <c r="H56" s="1811"/>
      <c r="I56" s="1811"/>
      <c r="J56" s="1811"/>
      <c r="K56" s="1811"/>
      <c r="L56" s="1811"/>
      <c r="M56" s="1811"/>
      <c r="N56" s="1811"/>
      <c r="O56" s="228"/>
      <c r="P56" s="228"/>
      <c r="Q56" s="228"/>
      <c r="R56" s="1811" t="s">
        <v>37</v>
      </c>
      <c r="S56" s="1811"/>
      <c r="T56" s="1811"/>
      <c r="U56" s="1811"/>
      <c r="V56" s="1811"/>
      <c r="W56" s="1811"/>
      <c r="X56" s="1811"/>
      <c r="Y56" s="1811"/>
      <c r="Z56" s="1811"/>
      <c r="AA56" s="1811"/>
      <c r="AB56" s="1811"/>
      <c r="AC56" s="1811"/>
      <c r="AD56" s="358"/>
      <c r="AE56" s="358"/>
      <c r="AF56" s="281"/>
      <c r="AG56" s="1820"/>
      <c r="AH56" s="1820"/>
      <c r="AI56" s="1820"/>
      <c r="AJ56" s="1820"/>
      <c r="AK56" s="1820"/>
      <c r="AL56" s="1820"/>
      <c r="AM56" s="1820"/>
      <c r="AN56" s="1820"/>
      <c r="AO56" s="1820"/>
      <c r="AP56" s="1820"/>
      <c r="AQ56" s="1820"/>
      <c r="AR56" s="1820"/>
      <c r="AS56" s="332"/>
    </row>
    <row r="57" spans="1:73" s="331" customFormat="1" ht="21.75" customHeight="1">
      <c r="B57" s="332" t="s">
        <v>58</v>
      </c>
      <c r="F57" s="1891" t="str">
        <f>activesheet!E22</f>
        <v>SECONDARY SCHOOL PRINCIPAL IV</v>
      </c>
      <c r="G57" s="1891"/>
      <c r="H57" s="1891"/>
      <c r="I57" s="1891"/>
      <c r="J57" s="1891"/>
      <c r="K57" s="1891"/>
      <c r="L57" s="1891"/>
      <c r="M57" s="1891"/>
      <c r="N57" s="1891"/>
      <c r="R57" s="332" t="s">
        <v>58</v>
      </c>
      <c r="V57" s="1891" t="str">
        <f>activesheet!E439</f>
        <v>ADMINISTRATIVE OFFICER IV</v>
      </c>
      <c r="W57" s="1891"/>
      <c r="X57" s="1891"/>
      <c r="Y57" s="1891"/>
      <c r="Z57" s="1891"/>
      <c r="AA57" s="1891"/>
      <c r="AB57" s="1891"/>
      <c r="AC57" s="1891"/>
      <c r="AG57" s="1811" t="s">
        <v>37</v>
      </c>
      <c r="AH57" s="1811"/>
      <c r="AI57" s="1811"/>
      <c r="AJ57" s="1811"/>
      <c r="AK57" s="1811"/>
      <c r="AL57" s="1811"/>
      <c r="AM57" s="1811"/>
      <c r="AN57" s="1811"/>
      <c r="AO57" s="1811"/>
      <c r="AP57" s="1811"/>
      <c r="AQ57" s="1811"/>
      <c r="AR57" s="1811"/>
      <c r="AS57" s="358"/>
    </row>
    <row r="58" spans="1:73">
      <c r="A58" s="222"/>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C58" s="222"/>
      <c r="AD58" s="222"/>
      <c r="AE58" s="222"/>
      <c r="AF58" s="222"/>
      <c r="AG58" s="222"/>
      <c r="AH58" s="222"/>
      <c r="AI58" s="222"/>
      <c r="AJ58" s="222"/>
      <c r="AK58" s="222"/>
      <c r="AL58" s="222"/>
      <c r="AM58" s="222"/>
      <c r="AN58" s="222"/>
      <c r="AO58" s="222"/>
      <c r="AP58" s="222"/>
      <c r="AQ58" s="222"/>
      <c r="AR58" s="222"/>
      <c r="AS58" s="222"/>
      <c r="AT58" s="222"/>
      <c r="AU58" s="222"/>
    </row>
    <row r="59" spans="1:73">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c r="AA59" s="222"/>
      <c r="AB59" s="222"/>
      <c r="AC59" s="222"/>
      <c r="AD59" s="222"/>
      <c r="AE59" s="222"/>
      <c r="AF59" s="222"/>
      <c r="AG59" s="222"/>
      <c r="AH59" s="222"/>
      <c r="AI59" s="222"/>
      <c r="AJ59" s="222"/>
      <c r="AK59" s="222"/>
      <c r="AL59" s="222"/>
      <c r="AM59" s="222"/>
      <c r="AN59" s="222"/>
      <c r="AO59" s="222"/>
      <c r="AP59" s="222"/>
      <c r="AQ59" s="222"/>
      <c r="AR59" s="222"/>
      <c r="AS59" s="222"/>
      <c r="AT59" s="222"/>
      <c r="AU59" s="222"/>
    </row>
    <row r="60" spans="1:73">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c r="AA60" s="222"/>
      <c r="AB60" s="222"/>
      <c r="AC60" s="222"/>
      <c r="AD60" s="222"/>
      <c r="AE60" s="222"/>
      <c r="AF60" s="222"/>
      <c r="AG60" s="222"/>
      <c r="AH60" s="222"/>
      <c r="AI60" s="222"/>
      <c r="AJ60" s="222"/>
      <c r="AK60" s="222"/>
      <c r="AL60" s="222"/>
      <c r="AM60" s="222"/>
      <c r="AN60" s="222"/>
      <c r="AO60" s="222"/>
      <c r="AP60" s="222"/>
      <c r="AQ60" s="222"/>
      <c r="AR60" s="222"/>
      <c r="AS60" s="222"/>
      <c r="AT60" s="222"/>
      <c r="AU60" s="222"/>
    </row>
    <row r="61" spans="1:73">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c r="AK61" s="222"/>
      <c r="AL61" s="222"/>
      <c r="AM61" s="222"/>
      <c r="AN61" s="222"/>
      <c r="AO61" s="222"/>
      <c r="AP61" s="222"/>
      <c r="AQ61" s="222"/>
      <c r="AR61" s="222"/>
      <c r="AS61" s="222"/>
      <c r="AT61" s="222"/>
      <c r="AU61" s="222"/>
    </row>
    <row r="62" spans="1:73">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222"/>
      <c r="AD62" s="222"/>
      <c r="AE62" s="222"/>
      <c r="AF62" s="222"/>
      <c r="AG62" s="222"/>
      <c r="AH62" s="222"/>
      <c r="AI62" s="222"/>
      <c r="AJ62" s="222"/>
      <c r="AK62" s="222"/>
      <c r="AL62" s="222"/>
      <c r="AM62" s="222"/>
      <c r="AN62" s="222"/>
      <c r="AO62" s="222"/>
      <c r="AP62" s="222"/>
      <c r="AQ62" s="222"/>
      <c r="AR62" s="222"/>
      <c r="AS62" s="222"/>
      <c r="AT62" s="222"/>
      <c r="AU62" s="222"/>
    </row>
    <row r="63" spans="1:7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c r="AE63" s="222"/>
      <c r="AF63" s="222"/>
      <c r="AG63" s="222"/>
      <c r="AH63" s="222"/>
      <c r="AI63" s="222"/>
      <c r="AJ63" s="222"/>
      <c r="AK63" s="222"/>
      <c r="AL63" s="222"/>
      <c r="AM63" s="222"/>
      <c r="AN63" s="222"/>
      <c r="AO63" s="222"/>
      <c r="AP63" s="222"/>
      <c r="AQ63" s="222"/>
      <c r="AR63" s="222"/>
      <c r="AS63" s="222"/>
      <c r="AT63" s="222"/>
      <c r="AU63" s="222"/>
    </row>
    <row r="64" spans="1:73">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c r="AE64" s="222"/>
      <c r="AF64" s="222"/>
      <c r="AG64" s="222"/>
      <c r="AH64" s="222"/>
      <c r="AI64" s="222"/>
      <c r="AJ64" s="222"/>
      <c r="AK64" s="222"/>
      <c r="AL64" s="222"/>
      <c r="AM64" s="222"/>
      <c r="AN64" s="222"/>
      <c r="AO64" s="222"/>
      <c r="AP64" s="222"/>
      <c r="AQ64" s="222"/>
      <c r="AR64" s="222"/>
      <c r="AS64" s="222"/>
      <c r="AT64" s="222"/>
      <c r="AU64" s="222"/>
    </row>
    <row r="65" s="222" customFormat="1"/>
    <row r="66" s="222" customFormat="1"/>
  </sheetData>
  <sheetProtection algorithmName="SHA-512" hashValue="gdSQmYP02UJEu1L8O/miL3e6UTnRmrKYK9ONzogWlXUs0mflQLoBomtu4s7NF2QafSvrWhdvhkAHIFUUQFgGVA==" saltValue="GugsSyZ5AgZq9l89GO3fdA==" spinCount="100000" sheet="1" objects="1" scenarios="1"/>
  <customSheetViews>
    <customSheetView guid="{6EFEFCA0-BF14-457A-85A3-29CBF2A862A5}" showGridLines="0" fitToPage="1" topLeftCell="A19">
      <selection sqref="A1:AU60"/>
      <colBreaks count="1" manualBreakCount="1">
        <brk id="46" min="22" max="58" man="1"/>
      </colBreaks>
      <pageMargins left="0.23622047244094491" right="0.23622047244094491" top="0.19685039370078741" bottom="0.19685039370078741" header="0" footer="0.11811023622047245"/>
      <printOptions horizontalCentered="1" verticalCentered="1"/>
      <pageSetup paperSize="9" scale="56" orientation="portrait" r:id="rId1"/>
      <headerFooter>
        <oddFooter>&amp;L&amp;F &amp;A&amp;RPage 10 of 61</oddFooter>
      </headerFooter>
    </customSheetView>
  </customSheetViews>
  <mergeCells count="232">
    <mergeCell ref="H16:Y16"/>
    <mergeCell ref="H17:P17"/>
    <mergeCell ref="Q17:Y17"/>
    <mergeCell ref="H18:J18"/>
    <mergeCell ref="AG57:AR57"/>
    <mergeCell ref="AO26:AR26"/>
    <mergeCell ref="C47:R47"/>
    <mergeCell ref="F55:N55"/>
    <mergeCell ref="R55:AC55"/>
    <mergeCell ref="AG55:AR56"/>
    <mergeCell ref="F56:N56"/>
    <mergeCell ref="R56:AC56"/>
    <mergeCell ref="B24:T26"/>
    <mergeCell ref="U24:AB25"/>
    <mergeCell ref="AC24:AJ25"/>
    <mergeCell ref="AK24:AR24"/>
    <mergeCell ref="H21:J21"/>
    <mergeCell ref="K21:M21"/>
    <mergeCell ref="N21:P21"/>
    <mergeCell ref="Q21:S21"/>
    <mergeCell ref="T21:V21"/>
    <mergeCell ref="W18:Y18"/>
    <mergeCell ref="AD15:AR16"/>
    <mergeCell ref="B16:G18"/>
    <mergeCell ref="H4:Y4"/>
    <mergeCell ref="H5:P5"/>
    <mergeCell ref="Q5:Y5"/>
    <mergeCell ref="H6:J6"/>
    <mergeCell ref="K6:M6"/>
    <mergeCell ref="N6:P6"/>
    <mergeCell ref="W6:Y6"/>
    <mergeCell ref="F57:N57"/>
    <mergeCell ref="V57:AC57"/>
    <mergeCell ref="K18:M18"/>
    <mergeCell ref="N18:P18"/>
    <mergeCell ref="Q18:S18"/>
    <mergeCell ref="T18:V18"/>
    <mergeCell ref="Q6:S6"/>
    <mergeCell ref="T6:V6"/>
    <mergeCell ref="T8:V8"/>
    <mergeCell ref="B21:G21"/>
    <mergeCell ref="B4:G6"/>
    <mergeCell ref="B9:G9"/>
    <mergeCell ref="B7:G7"/>
    <mergeCell ref="B8:G8"/>
    <mergeCell ref="B19:G19"/>
    <mergeCell ref="B20:G20"/>
    <mergeCell ref="AC18:AO18"/>
    <mergeCell ref="W8:Y8"/>
    <mergeCell ref="H9:J9"/>
    <mergeCell ref="K9:M9"/>
    <mergeCell ref="N9:P9"/>
    <mergeCell ref="Q9:S9"/>
    <mergeCell ref="T9:V9"/>
    <mergeCell ref="W9:Y9"/>
    <mergeCell ref="AD6:AR9"/>
    <mergeCell ref="B12:Y13"/>
    <mergeCell ref="H7:J7"/>
    <mergeCell ref="K7:M7"/>
    <mergeCell ref="N7:P7"/>
    <mergeCell ref="Q7:S7"/>
    <mergeCell ref="T7:V7"/>
    <mergeCell ref="W7:Y7"/>
    <mergeCell ref="H8:J8"/>
    <mergeCell ref="K8:M8"/>
    <mergeCell ref="N8:P8"/>
    <mergeCell ref="Q8:S8"/>
    <mergeCell ref="H10:Y11"/>
    <mergeCell ref="AD11:AR14"/>
    <mergeCell ref="H20:J20"/>
    <mergeCell ref="K20:M20"/>
    <mergeCell ref="N20:P20"/>
    <mergeCell ref="Q20:S20"/>
    <mergeCell ref="T20:V20"/>
    <mergeCell ref="W20:Y20"/>
    <mergeCell ref="H19:J19"/>
    <mergeCell ref="K19:M19"/>
    <mergeCell ref="N19:P19"/>
    <mergeCell ref="Q19:S19"/>
    <mergeCell ref="T19:V19"/>
    <mergeCell ref="W19:Y19"/>
    <mergeCell ref="AK27:AN27"/>
    <mergeCell ref="AO27:AR27"/>
    <mergeCell ref="U28:X28"/>
    <mergeCell ref="Y28:AB28"/>
    <mergeCell ref="AC28:AF28"/>
    <mergeCell ref="AG28:AJ28"/>
    <mergeCell ref="AK28:AN28"/>
    <mergeCell ref="AO28:AR28"/>
    <mergeCell ref="W21:Y21"/>
    <mergeCell ref="U27:X27"/>
    <mergeCell ref="Y27:AB27"/>
    <mergeCell ref="AC27:AF27"/>
    <mergeCell ref="AG27:AJ27"/>
    <mergeCell ref="AK25:AR25"/>
    <mergeCell ref="U26:X26"/>
    <mergeCell ref="Y26:AB26"/>
    <mergeCell ref="AC26:AF26"/>
    <mergeCell ref="AG26:AJ26"/>
    <mergeCell ref="AK26:AN26"/>
    <mergeCell ref="AO29:AR29"/>
    <mergeCell ref="U30:X30"/>
    <mergeCell ref="Y30:AB30"/>
    <mergeCell ref="AC30:AF30"/>
    <mergeCell ref="AG30:AJ30"/>
    <mergeCell ref="AK30:AN30"/>
    <mergeCell ref="AO30:AR30"/>
    <mergeCell ref="U29:X29"/>
    <mergeCell ref="Y29:AB29"/>
    <mergeCell ref="AC29:AF29"/>
    <mergeCell ref="AG29:AJ29"/>
    <mergeCell ref="AK29:AN29"/>
    <mergeCell ref="AO31:AR31"/>
    <mergeCell ref="U32:X32"/>
    <mergeCell ref="Y32:AB32"/>
    <mergeCell ref="AC32:AF32"/>
    <mergeCell ref="AG32:AJ32"/>
    <mergeCell ref="AK32:AN32"/>
    <mergeCell ref="AO32:AR32"/>
    <mergeCell ref="U31:X31"/>
    <mergeCell ref="Y31:AB31"/>
    <mergeCell ref="AC31:AF31"/>
    <mergeCell ref="AG31:AJ31"/>
    <mergeCell ref="AK31:AN31"/>
    <mergeCell ref="AO33:AR33"/>
    <mergeCell ref="U34:X34"/>
    <mergeCell ref="Y34:AB34"/>
    <mergeCell ref="AC34:AF34"/>
    <mergeCell ref="AG34:AJ34"/>
    <mergeCell ref="AK34:AN34"/>
    <mergeCell ref="AO34:AR34"/>
    <mergeCell ref="U33:X33"/>
    <mergeCell ref="Y33:AB33"/>
    <mergeCell ref="AC33:AF33"/>
    <mergeCell ref="AG33:AJ33"/>
    <mergeCell ref="AK33:AN33"/>
    <mergeCell ref="AO35:AR35"/>
    <mergeCell ref="U36:X36"/>
    <mergeCell ref="Y36:AB36"/>
    <mergeCell ref="AC36:AF36"/>
    <mergeCell ref="AG36:AJ36"/>
    <mergeCell ref="AK36:AN36"/>
    <mergeCell ref="AO36:AR36"/>
    <mergeCell ref="U35:X35"/>
    <mergeCell ref="Y35:AB35"/>
    <mergeCell ref="AC35:AF35"/>
    <mergeCell ref="AG35:AJ35"/>
    <mergeCell ref="AK35:AN35"/>
    <mergeCell ref="AO37:AR37"/>
    <mergeCell ref="U38:X38"/>
    <mergeCell ref="Y38:AB38"/>
    <mergeCell ref="AC38:AF38"/>
    <mergeCell ref="AG38:AJ38"/>
    <mergeCell ref="AK38:AN38"/>
    <mergeCell ref="AO38:AR38"/>
    <mergeCell ref="U37:X37"/>
    <mergeCell ref="Y37:AB37"/>
    <mergeCell ref="AC37:AF37"/>
    <mergeCell ref="AG37:AJ37"/>
    <mergeCell ref="AK37:AN37"/>
    <mergeCell ref="AO39:AR39"/>
    <mergeCell ref="U40:X40"/>
    <mergeCell ref="Y40:AB40"/>
    <mergeCell ref="AC40:AF40"/>
    <mergeCell ref="AG40:AJ40"/>
    <mergeCell ref="AK40:AN40"/>
    <mergeCell ref="AO40:AR40"/>
    <mergeCell ref="U39:X39"/>
    <mergeCell ref="Y39:AB39"/>
    <mergeCell ref="AC39:AF39"/>
    <mergeCell ref="AG39:AJ39"/>
    <mergeCell ref="AK39:AN39"/>
    <mergeCell ref="AO41:AR41"/>
    <mergeCell ref="U42:X42"/>
    <mergeCell ref="Y42:AB42"/>
    <mergeCell ref="AC42:AF42"/>
    <mergeCell ref="AG42:AJ42"/>
    <mergeCell ref="AK42:AN42"/>
    <mergeCell ref="AO42:AR42"/>
    <mergeCell ref="U41:X41"/>
    <mergeCell ref="Y41:AB41"/>
    <mergeCell ref="AC41:AF41"/>
    <mergeCell ref="AG41:AJ41"/>
    <mergeCell ref="AK41:AN41"/>
    <mergeCell ref="AO43:AR43"/>
    <mergeCell ref="U44:X44"/>
    <mergeCell ref="Y44:AB44"/>
    <mergeCell ref="AC44:AF44"/>
    <mergeCell ref="AG44:AJ44"/>
    <mergeCell ref="AK44:AN44"/>
    <mergeCell ref="AO44:AR44"/>
    <mergeCell ref="U43:X43"/>
    <mergeCell ref="Y43:AB43"/>
    <mergeCell ref="AC43:AF43"/>
    <mergeCell ref="AG43:AJ43"/>
    <mergeCell ref="AK43:AN43"/>
    <mergeCell ref="AO45:AR45"/>
    <mergeCell ref="U46:X46"/>
    <mergeCell ref="Y46:AB46"/>
    <mergeCell ref="AC46:AF46"/>
    <mergeCell ref="AG46:AJ46"/>
    <mergeCell ref="AK46:AN46"/>
    <mergeCell ref="AO46:AR46"/>
    <mergeCell ref="U45:X45"/>
    <mergeCell ref="Y45:AB45"/>
    <mergeCell ref="AC45:AF45"/>
    <mergeCell ref="AG45:AJ45"/>
    <mergeCell ref="AK45:AN45"/>
    <mergeCell ref="AO47:AR47"/>
    <mergeCell ref="U48:X48"/>
    <mergeCell ref="Y48:AB48"/>
    <mergeCell ref="AC48:AF48"/>
    <mergeCell ref="AG48:AJ48"/>
    <mergeCell ref="AK48:AN48"/>
    <mergeCell ref="AO48:AR48"/>
    <mergeCell ref="U47:X47"/>
    <mergeCell ref="Y47:AB47"/>
    <mergeCell ref="AC47:AF47"/>
    <mergeCell ref="AG47:AJ47"/>
    <mergeCell ref="AK47:AN47"/>
    <mergeCell ref="AO49:AR49"/>
    <mergeCell ref="U50:X50"/>
    <mergeCell ref="Y50:AB50"/>
    <mergeCell ref="AC50:AF50"/>
    <mergeCell ref="AG50:AJ50"/>
    <mergeCell ref="AK50:AN50"/>
    <mergeCell ref="AO50:AR50"/>
    <mergeCell ref="U49:X49"/>
    <mergeCell ref="Y49:AB49"/>
    <mergeCell ref="AC49:AF49"/>
    <mergeCell ref="AG49:AJ49"/>
    <mergeCell ref="AK49:AN49"/>
  </mergeCells>
  <dataValidations count="1">
    <dataValidation type="whole" allowBlank="1" showInputMessage="1" showErrorMessage="1" errorTitle="GSHSP SY 2022-2023" error="Please enter valid number between 0-999." sqref="H7:M8 Q7:V8 H19:M20 Q19:V20 U28:AJ31 U33:AJ34 U36:AJ36 U38:AJ39 U41:AJ42 U44:AJ45 U47:AJ47 U49:AJ50" xr:uid="{64777BE9-302F-4C7E-9D97-076160DDB18B}">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56" orientation="portrait" r:id="rId2"/>
  <headerFooter>
    <oddFooter>&amp;L&amp;F &amp;A&amp;RPage 10 of 61</oddFooter>
  </headerFooter>
  <colBreaks count="1" manualBreakCount="1">
    <brk id="46" min="22" max="58"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rgb="FFFFFF00"/>
    <pageSetUpPr fitToPage="1"/>
  </sheetPr>
  <dimension ref="A1:BL56"/>
  <sheetViews>
    <sheetView showGridLines="0" topLeftCell="H39" zoomScale="70" zoomScaleNormal="70" zoomScalePageLayoutView="40" workbookViewId="0">
      <selection activeCell="AF8" sqref="AF8"/>
    </sheetView>
  </sheetViews>
  <sheetFormatPr defaultColWidth="9" defaultRowHeight="15.75"/>
  <cols>
    <col min="1" max="1" width="2.125" style="46" customWidth="1"/>
    <col min="2" max="60" width="3.625" style="46" customWidth="1"/>
    <col min="61" max="61" width="2.125" style="46" customWidth="1"/>
    <col min="62" max="16384" width="9" style="46"/>
  </cols>
  <sheetData>
    <row r="1" spans="1:64"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2"/>
    </row>
    <row r="2" spans="1:64" s="18" customFormat="1" ht="15.75" customHeight="1">
      <c r="A2" s="336"/>
      <c r="B2" s="335" t="s">
        <v>1462</v>
      </c>
      <c r="C2" s="335"/>
      <c r="D2" s="335"/>
      <c r="E2" s="335"/>
      <c r="F2" s="335"/>
      <c r="G2" s="335"/>
      <c r="H2" s="335"/>
      <c r="I2" s="335"/>
      <c r="J2" s="335"/>
      <c r="K2" s="335"/>
      <c r="L2" s="335"/>
      <c r="M2" s="335"/>
      <c r="N2" s="335"/>
      <c r="O2" s="335"/>
      <c r="P2" s="335"/>
      <c r="Q2" s="335"/>
      <c r="R2" s="335"/>
      <c r="S2" s="335"/>
      <c r="T2" s="335"/>
      <c r="U2" s="335"/>
      <c r="V2" s="335"/>
      <c r="W2" s="335"/>
      <c r="X2" s="515"/>
      <c r="Y2" s="515"/>
      <c r="Z2" s="515"/>
      <c r="AA2" s="515"/>
      <c r="AB2" s="515"/>
      <c r="AC2" s="515"/>
      <c r="AD2" s="515"/>
      <c r="AE2" s="515"/>
      <c r="AF2" s="515"/>
      <c r="AG2" s="515"/>
      <c r="AH2" s="336"/>
      <c r="AI2" s="336"/>
      <c r="AJ2" s="336"/>
      <c r="AK2" s="335" t="s">
        <v>1463</v>
      </c>
      <c r="AL2" s="335"/>
      <c r="AM2" s="335"/>
      <c r="AN2" s="335"/>
      <c r="AO2" s="335"/>
      <c r="AP2" s="335"/>
      <c r="AQ2" s="335"/>
      <c r="AR2" s="335"/>
      <c r="AS2" s="335"/>
      <c r="AT2" s="335"/>
      <c r="AU2" s="335"/>
      <c r="AV2" s="335"/>
      <c r="AW2" s="335"/>
      <c r="AX2" s="335"/>
      <c r="AY2" s="335"/>
      <c r="AZ2" s="335"/>
      <c r="BA2" s="335"/>
      <c r="BB2" s="335"/>
      <c r="BC2" s="335"/>
      <c r="BD2" s="335"/>
      <c r="BE2" s="335"/>
      <c r="BF2" s="335"/>
      <c r="BG2" s="335"/>
      <c r="BH2" s="515"/>
      <c r="BI2" s="515"/>
      <c r="BJ2" s="336"/>
      <c r="BK2" s="336"/>
      <c r="BL2" s="336"/>
    </row>
    <row r="3" spans="1:64" s="18" customFormat="1" ht="16.5" customHeight="1">
      <c r="A3" s="336"/>
      <c r="B3" s="440" t="s">
        <v>11382</v>
      </c>
      <c r="C3" s="440"/>
      <c r="D3" s="440"/>
      <c r="E3" s="440"/>
      <c r="F3" s="440"/>
      <c r="G3" s="440"/>
      <c r="H3" s="440"/>
      <c r="I3" s="440"/>
      <c r="J3" s="440"/>
      <c r="K3" s="440"/>
      <c r="L3" s="440"/>
      <c r="M3" s="440"/>
      <c r="N3" s="440"/>
      <c r="O3" s="440"/>
      <c r="P3" s="440"/>
      <c r="Q3" s="440"/>
      <c r="R3" s="440"/>
      <c r="S3" s="440"/>
      <c r="T3" s="440"/>
      <c r="U3" s="440"/>
      <c r="V3" s="440"/>
      <c r="W3" s="440"/>
      <c r="X3" s="515"/>
      <c r="Y3" s="515"/>
      <c r="Z3" s="515"/>
      <c r="AA3" s="515"/>
      <c r="AB3" s="515"/>
      <c r="AC3" s="515"/>
      <c r="AD3" s="515"/>
      <c r="AE3" s="515"/>
      <c r="AF3" s="515"/>
      <c r="AG3" s="515"/>
      <c r="AH3" s="336"/>
      <c r="AI3" s="336"/>
      <c r="AJ3" s="336"/>
      <c r="AK3" s="440" t="s">
        <v>11382</v>
      </c>
      <c r="AL3" s="440"/>
      <c r="AM3" s="440"/>
      <c r="AN3" s="440"/>
      <c r="AO3" s="440"/>
      <c r="AP3" s="440"/>
      <c r="AQ3" s="440"/>
      <c r="AR3" s="440"/>
      <c r="AS3" s="440"/>
      <c r="AT3" s="440"/>
      <c r="AU3" s="440"/>
      <c r="AV3" s="440"/>
      <c r="AW3" s="440"/>
      <c r="AX3" s="440"/>
      <c r="AY3" s="440"/>
      <c r="AZ3" s="440"/>
      <c r="BA3" s="440"/>
      <c r="BB3" s="440"/>
      <c r="BC3" s="440"/>
      <c r="BD3" s="440"/>
      <c r="BE3" s="440"/>
      <c r="BF3" s="440"/>
      <c r="BG3" s="440"/>
      <c r="BH3" s="515"/>
      <c r="BI3" s="515"/>
      <c r="BJ3" s="336"/>
      <c r="BK3" s="336"/>
      <c r="BL3" s="336"/>
    </row>
    <row r="4" spans="1:64" ht="24.95" customHeight="1">
      <c r="A4" s="222"/>
      <c r="B4" s="1871" t="s">
        <v>315</v>
      </c>
      <c r="C4" s="1872"/>
      <c r="D4" s="1872"/>
      <c r="E4" s="1872"/>
      <c r="F4" s="1872"/>
      <c r="G4" s="1872"/>
      <c r="H4" s="1872"/>
      <c r="I4" s="1872"/>
      <c r="J4" s="1872"/>
      <c r="K4" s="1872"/>
      <c r="L4" s="1873"/>
      <c r="M4" s="2573" t="s">
        <v>282</v>
      </c>
      <c r="N4" s="2574"/>
      <c r="O4" s="2574"/>
      <c r="P4" s="2574"/>
      <c r="Q4" s="2574"/>
      <c r="R4" s="2574"/>
      <c r="S4" s="2574"/>
      <c r="T4" s="2574"/>
      <c r="U4" s="2574"/>
      <c r="V4" s="2574"/>
      <c r="W4" s="2574"/>
      <c r="X4" s="2575"/>
      <c r="Y4" s="413"/>
      <c r="Z4" s="413"/>
      <c r="AA4" s="413"/>
      <c r="AB4" s="413"/>
      <c r="AC4" s="413"/>
      <c r="AD4" s="222"/>
      <c r="AE4" s="222"/>
      <c r="AF4" s="222"/>
      <c r="AG4" s="222"/>
      <c r="AH4" s="222"/>
      <c r="AI4" s="222"/>
      <c r="AJ4" s="222"/>
      <c r="AK4" s="1871" t="s">
        <v>316</v>
      </c>
      <c r="AL4" s="1872"/>
      <c r="AM4" s="1872"/>
      <c r="AN4" s="1872"/>
      <c r="AO4" s="1872"/>
      <c r="AP4" s="1872"/>
      <c r="AQ4" s="1872"/>
      <c r="AR4" s="1872"/>
      <c r="AS4" s="1872"/>
      <c r="AT4" s="1872"/>
      <c r="AU4" s="1872"/>
      <c r="AV4" s="1873"/>
      <c r="AW4" s="2573" t="s">
        <v>282</v>
      </c>
      <c r="AX4" s="2574"/>
      <c r="AY4" s="2574"/>
      <c r="AZ4" s="2574"/>
      <c r="BA4" s="2574"/>
      <c r="BB4" s="2574"/>
      <c r="BC4" s="2574"/>
      <c r="BD4" s="2574"/>
      <c r="BE4" s="2574"/>
      <c r="BF4" s="2574"/>
      <c r="BG4" s="2574"/>
      <c r="BH4" s="2574"/>
      <c r="BI4" s="482"/>
      <c r="BJ4" s="222"/>
      <c r="BK4" s="222"/>
      <c r="BL4" s="222"/>
    </row>
    <row r="5" spans="1:64" ht="24.95" customHeight="1" thickBot="1">
      <c r="A5" s="222"/>
      <c r="B5" s="1877"/>
      <c r="C5" s="1878"/>
      <c r="D5" s="1878"/>
      <c r="E5" s="1878"/>
      <c r="F5" s="1878"/>
      <c r="G5" s="1878"/>
      <c r="H5" s="1878"/>
      <c r="I5" s="1878"/>
      <c r="J5" s="1878"/>
      <c r="K5" s="1878"/>
      <c r="L5" s="1879"/>
      <c r="M5" s="1896" t="s">
        <v>45</v>
      </c>
      <c r="N5" s="1897"/>
      <c r="O5" s="1897"/>
      <c r="P5" s="1898"/>
      <c r="Q5" s="2576" t="s">
        <v>46</v>
      </c>
      <c r="R5" s="1897"/>
      <c r="S5" s="1897"/>
      <c r="T5" s="2577"/>
      <c r="U5" s="1897" t="s">
        <v>42</v>
      </c>
      <c r="V5" s="1897"/>
      <c r="W5" s="1897"/>
      <c r="X5" s="2578"/>
      <c r="Y5" s="413"/>
      <c r="Z5" s="413"/>
      <c r="AA5" s="413"/>
      <c r="AB5" s="413"/>
      <c r="AC5" s="413"/>
      <c r="AD5" s="222"/>
      <c r="AE5" s="222"/>
      <c r="AF5" s="222"/>
      <c r="AG5" s="222"/>
      <c r="AH5" s="222"/>
      <c r="AI5" s="222"/>
      <c r="AJ5" s="222"/>
      <c r="AK5" s="1877"/>
      <c r="AL5" s="1878"/>
      <c r="AM5" s="1878"/>
      <c r="AN5" s="1878"/>
      <c r="AO5" s="1878"/>
      <c r="AP5" s="1878"/>
      <c r="AQ5" s="1878"/>
      <c r="AR5" s="1878"/>
      <c r="AS5" s="1878"/>
      <c r="AT5" s="1878"/>
      <c r="AU5" s="1878"/>
      <c r="AV5" s="1879"/>
      <c r="AW5" s="1896" t="s">
        <v>45</v>
      </c>
      <c r="AX5" s="1897"/>
      <c r="AY5" s="1897"/>
      <c r="AZ5" s="1898"/>
      <c r="BA5" s="2576" t="s">
        <v>46</v>
      </c>
      <c r="BB5" s="1897"/>
      <c r="BC5" s="1897"/>
      <c r="BD5" s="2577"/>
      <c r="BE5" s="1897" t="s">
        <v>42</v>
      </c>
      <c r="BF5" s="1897"/>
      <c r="BG5" s="1897"/>
      <c r="BH5" s="2578"/>
      <c r="BI5" s="222"/>
      <c r="BJ5" s="222"/>
      <c r="BK5" s="222"/>
      <c r="BL5" s="222"/>
    </row>
    <row r="6" spans="1:64" ht="30" customHeight="1">
      <c r="A6" s="222"/>
      <c r="B6" s="516" t="s">
        <v>317</v>
      </c>
      <c r="C6" s="517"/>
      <c r="D6" s="517"/>
      <c r="E6" s="517"/>
      <c r="F6" s="517"/>
      <c r="G6" s="517"/>
      <c r="H6" s="517"/>
      <c r="I6" s="517"/>
      <c r="J6" s="517"/>
      <c r="K6" s="517"/>
      <c r="L6" s="518"/>
      <c r="M6" s="2536">
        <v>7</v>
      </c>
      <c r="N6" s="2537"/>
      <c r="O6" s="2537"/>
      <c r="P6" s="2579"/>
      <c r="Q6" s="2539">
        <v>8</v>
      </c>
      <c r="R6" s="2537"/>
      <c r="S6" s="2537"/>
      <c r="T6" s="2580"/>
      <c r="U6" s="2581">
        <f>SUM(M6:T6)</f>
        <v>15</v>
      </c>
      <c r="V6" s="2581"/>
      <c r="W6" s="2581"/>
      <c r="X6" s="2582"/>
      <c r="Y6" s="519"/>
      <c r="Z6" s="519"/>
      <c r="AA6" s="519"/>
      <c r="AB6" s="519"/>
      <c r="AC6" s="519"/>
      <c r="AD6" s="222"/>
      <c r="AE6" s="222"/>
      <c r="AF6" s="222"/>
      <c r="AG6" s="222"/>
      <c r="AH6" s="222"/>
      <c r="AI6" s="222"/>
      <c r="AJ6" s="222"/>
      <c r="AK6" s="520" t="s">
        <v>318</v>
      </c>
      <c r="AL6" s="517"/>
      <c r="AM6" s="517"/>
      <c r="AN6" s="517"/>
      <c r="AO6" s="517"/>
      <c r="AP6" s="517"/>
      <c r="AQ6" s="517"/>
      <c r="AR6" s="517"/>
      <c r="AS6" s="517"/>
      <c r="AT6" s="517"/>
      <c r="AU6" s="517"/>
      <c r="AV6" s="518"/>
      <c r="AW6" s="2536">
        <v>1</v>
      </c>
      <c r="AX6" s="2537"/>
      <c r="AY6" s="2537"/>
      <c r="AZ6" s="2579"/>
      <c r="BA6" s="2539">
        <v>0</v>
      </c>
      <c r="BB6" s="2537"/>
      <c r="BC6" s="2537"/>
      <c r="BD6" s="2580"/>
      <c r="BE6" s="2581">
        <f>SUM(AW6:BD6)</f>
        <v>1</v>
      </c>
      <c r="BF6" s="2581"/>
      <c r="BG6" s="2581"/>
      <c r="BH6" s="2582"/>
      <c r="BI6" s="222"/>
      <c r="BJ6" s="222"/>
      <c r="BK6" s="222"/>
      <c r="BL6" s="222"/>
    </row>
    <row r="7" spans="1:64" ht="30" customHeight="1">
      <c r="A7" s="222"/>
      <c r="B7" s="521" t="s">
        <v>319</v>
      </c>
      <c r="C7" s="453"/>
      <c r="D7" s="453"/>
      <c r="E7" s="453"/>
      <c r="F7" s="453"/>
      <c r="G7" s="453"/>
      <c r="H7" s="453"/>
      <c r="I7" s="453"/>
      <c r="J7" s="453"/>
      <c r="K7" s="453"/>
      <c r="L7" s="522"/>
      <c r="M7" s="2526">
        <v>2</v>
      </c>
      <c r="N7" s="2527"/>
      <c r="O7" s="2527"/>
      <c r="P7" s="2568"/>
      <c r="Q7" s="2529">
        <v>9</v>
      </c>
      <c r="R7" s="2527"/>
      <c r="S7" s="2527"/>
      <c r="T7" s="2569"/>
      <c r="U7" s="2570">
        <f t="shared" ref="U7:U11" si="0">SUM(M7:T7)</f>
        <v>11</v>
      </c>
      <c r="V7" s="2570"/>
      <c r="W7" s="2570"/>
      <c r="X7" s="2571"/>
      <c r="Y7" s="519"/>
      <c r="Z7" s="519"/>
      <c r="AA7" s="519"/>
      <c r="AB7" s="519"/>
      <c r="AC7" s="519"/>
      <c r="AD7" s="222"/>
      <c r="AE7" s="222"/>
      <c r="AF7" s="222"/>
      <c r="AG7" s="222"/>
      <c r="AH7" s="222"/>
      <c r="AI7" s="222"/>
      <c r="AJ7" s="222"/>
      <c r="AK7" s="523" t="s">
        <v>320</v>
      </c>
      <c r="AL7" s="453"/>
      <c r="AM7" s="453"/>
      <c r="AN7" s="453"/>
      <c r="AO7" s="453"/>
      <c r="AP7" s="453"/>
      <c r="AQ7" s="453"/>
      <c r="AR7" s="453"/>
      <c r="AS7" s="453"/>
      <c r="AT7" s="453"/>
      <c r="AU7" s="453"/>
      <c r="AV7" s="522"/>
      <c r="AW7" s="2526">
        <v>0</v>
      </c>
      <c r="AX7" s="2527"/>
      <c r="AY7" s="2527"/>
      <c r="AZ7" s="2568"/>
      <c r="BA7" s="2529">
        <v>0</v>
      </c>
      <c r="BB7" s="2527"/>
      <c r="BC7" s="2527"/>
      <c r="BD7" s="2569"/>
      <c r="BE7" s="2570">
        <f t="shared" ref="BE7:BE10" si="1">SUM(AW7:BD7)</f>
        <v>0</v>
      </c>
      <c r="BF7" s="2570"/>
      <c r="BG7" s="2570"/>
      <c r="BH7" s="2571"/>
      <c r="BI7" s="222"/>
      <c r="BJ7" s="222"/>
      <c r="BK7" s="222"/>
      <c r="BL7" s="222"/>
    </row>
    <row r="8" spans="1:64" ht="30" customHeight="1">
      <c r="A8" s="222"/>
      <c r="B8" s="521" t="s">
        <v>321</v>
      </c>
      <c r="C8" s="453"/>
      <c r="D8" s="453"/>
      <c r="E8" s="453"/>
      <c r="F8" s="453"/>
      <c r="G8" s="453"/>
      <c r="H8" s="453"/>
      <c r="I8" s="453"/>
      <c r="J8" s="453"/>
      <c r="K8" s="453"/>
      <c r="L8" s="522"/>
      <c r="M8" s="2526">
        <v>2</v>
      </c>
      <c r="N8" s="2527"/>
      <c r="O8" s="2527"/>
      <c r="P8" s="2568"/>
      <c r="Q8" s="2529">
        <v>1</v>
      </c>
      <c r="R8" s="2527"/>
      <c r="S8" s="2527"/>
      <c r="T8" s="2569"/>
      <c r="U8" s="2570">
        <f t="shared" si="0"/>
        <v>3</v>
      </c>
      <c r="V8" s="2570"/>
      <c r="W8" s="2570"/>
      <c r="X8" s="2571"/>
      <c r="Y8" s="519"/>
      <c r="Z8" s="519"/>
      <c r="AA8" s="519"/>
      <c r="AB8" s="519"/>
      <c r="AC8" s="519"/>
      <c r="AD8" s="222"/>
      <c r="AE8" s="222"/>
      <c r="AF8" s="222"/>
      <c r="AG8" s="222"/>
      <c r="AH8" s="222"/>
      <c r="AI8" s="222"/>
      <c r="AJ8" s="222"/>
      <c r="AK8" s="523" t="s">
        <v>322</v>
      </c>
      <c r="AL8" s="453"/>
      <c r="AM8" s="453"/>
      <c r="AN8" s="453"/>
      <c r="AO8" s="453"/>
      <c r="AP8" s="453"/>
      <c r="AQ8" s="453"/>
      <c r="AR8" s="453"/>
      <c r="AS8" s="453"/>
      <c r="AT8" s="453"/>
      <c r="AU8" s="453"/>
      <c r="AV8" s="522"/>
      <c r="AW8" s="2526">
        <v>1</v>
      </c>
      <c r="AX8" s="2527"/>
      <c r="AY8" s="2527"/>
      <c r="AZ8" s="2568"/>
      <c r="BA8" s="2529">
        <v>0</v>
      </c>
      <c r="BB8" s="2527"/>
      <c r="BC8" s="2527"/>
      <c r="BD8" s="2569"/>
      <c r="BE8" s="2570">
        <f t="shared" si="1"/>
        <v>1</v>
      </c>
      <c r="BF8" s="2570"/>
      <c r="BG8" s="2570"/>
      <c r="BH8" s="2571"/>
      <c r="BI8" s="222"/>
      <c r="BJ8" s="222"/>
      <c r="BK8" s="222"/>
      <c r="BL8" s="222"/>
    </row>
    <row r="9" spans="1:64" ht="30" customHeight="1">
      <c r="A9" s="222"/>
      <c r="B9" s="521" t="s">
        <v>323</v>
      </c>
      <c r="C9" s="453"/>
      <c r="D9" s="453"/>
      <c r="E9" s="453"/>
      <c r="F9" s="453"/>
      <c r="G9" s="453"/>
      <c r="H9" s="453"/>
      <c r="I9" s="453"/>
      <c r="J9" s="453"/>
      <c r="K9" s="453"/>
      <c r="L9" s="522"/>
      <c r="M9" s="2526">
        <v>0</v>
      </c>
      <c r="N9" s="2527"/>
      <c r="O9" s="2527"/>
      <c r="P9" s="2568"/>
      <c r="Q9" s="2529">
        <v>0</v>
      </c>
      <c r="R9" s="2527"/>
      <c r="S9" s="2527"/>
      <c r="T9" s="2569"/>
      <c r="U9" s="2570">
        <f t="shared" si="0"/>
        <v>0</v>
      </c>
      <c r="V9" s="2570"/>
      <c r="W9" s="2570"/>
      <c r="X9" s="2571"/>
      <c r="Y9" s="519"/>
      <c r="Z9" s="519"/>
      <c r="AA9" s="519"/>
      <c r="AB9" s="519"/>
      <c r="AC9" s="519"/>
      <c r="AD9" s="222"/>
      <c r="AE9" s="222"/>
      <c r="AF9" s="222"/>
      <c r="AG9" s="222"/>
      <c r="AH9" s="222"/>
      <c r="AI9" s="222"/>
      <c r="AJ9" s="222"/>
      <c r="AK9" s="523" t="s">
        <v>324</v>
      </c>
      <c r="AL9" s="453"/>
      <c r="AM9" s="453"/>
      <c r="AN9" s="453"/>
      <c r="AO9" s="453"/>
      <c r="AP9" s="453"/>
      <c r="AQ9" s="453"/>
      <c r="AR9" s="453"/>
      <c r="AS9" s="453"/>
      <c r="AT9" s="453"/>
      <c r="AU9" s="453"/>
      <c r="AV9" s="522"/>
      <c r="AW9" s="2526">
        <v>1</v>
      </c>
      <c r="AX9" s="2527"/>
      <c r="AY9" s="2527"/>
      <c r="AZ9" s="2568"/>
      <c r="BA9" s="2529">
        <v>0</v>
      </c>
      <c r="BB9" s="2527"/>
      <c r="BC9" s="2527"/>
      <c r="BD9" s="2569"/>
      <c r="BE9" s="2570">
        <f t="shared" si="1"/>
        <v>1</v>
      </c>
      <c r="BF9" s="2570"/>
      <c r="BG9" s="2570"/>
      <c r="BH9" s="2571"/>
      <c r="BI9" s="222"/>
      <c r="BJ9" s="222"/>
      <c r="BK9" s="222"/>
      <c r="BL9" s="222"/>
    </row>
    <row r="10" spans="1:64" ht="30" customHeight="1" thickBot="1">
      <c r="A10" s="222"/>
      <c r="B10" s="524" t="s">
        <v>325</v>
      </c>
      <c r="C10" s="525"/>
      <c r="D10" s="525"/>
      <c r="E10" s="525"/>
      <c r="F10" s="525"/>
      <c r="G10" s="525"/>
      <c r="H10" s="525"/>
      <c r="I10" s="525"/>
      <c r="J10" s="525"/>
      <c r="K10" s="525"/>
      <c r="L10" s="526"/>
      <c r="M10" s="2531">
        <v>0</v>
      </c>
      <c r="N10" s="2532"/>
      <c r="O10" s="2532"/>
      <c r="P10" s="2552"/>
      <c r="Q10" s="2534">
        <v>0</v>
      </c>
      <c r="R10" s="2532"/>
      <c r="S10" s="2532"/>
      <c r="T10" s="2560"/>
      <c r="U10" s="2561">
        <f t="shared" si="0"/>
        <v>0</v>
      </c>
      <c r="V10" s="2561"/>
      <c r="W10" s="2561"/>
      <c r="X10" s="2562"/>
      <c r="Y10" s="519"/>
      <c r="Z10" s="519"/>
      <c r="AA10" s="519"/>
      <c r="AB10" s="519"/>
      <c r="AC10" s="519"/>
      <c r="AD10" s="222"/>
      <c r="AE10" s="222"/>
      <c r="AF10" s="222"/>
      <c r="AG10" s="222"/>
      <c r="AH10" s="222"/>
      <c r="AI10" s="222"/>
      <c r="AJ10" s="222"/>
      <c r="AK10" s="527" t="s">
        <v>272</v>
      </c>
      <c r="AL10" s="525"/>
      <c r="AM10" s="525"/>
      <c r="AN10" s="525"/>
      <c r="AO10" s="525"/>
      <c r="AP10" s="525"/>
      <c r="AQ10" s="525"/>
      <c r="AR10" s="525"/>
      <c r="AS10" s="525"/>
      <c r="AT10" s="525"/>
      <c r="AU10" s="525"/>
      <c r="AV10" s="526"/>
      <c r="AW10" s="2531">
        <v>0</v>
      </c>
      <c r="AX10" s="2532"/>
      <c r="AY10" s="2532"/>
      <c r="AZ10" s="2552"/>
      <c r="BA10" s="2534">
        <v>0</v>
      </c>
      <c r="BB10" s="2532"/>
      <c r="BC10" s="2532"/>
      <c r="BD10" s="2560"/>
      <c r="BE10" s="2561">
        <f t="shared" si="1"/>
        <v>0</v>
      </c>
      <c r="BF10" s="2561"/>
      <c r="BG10" s="2561"/>
      <c r="BH10" s="2562"/>
      <c r="BI10" s="222"/>
      <c r="BJ10" s="222"/>
      <c r="BK10" s="222"/>
      <c r="BL10" s="222"/>
    </row>
    <row r="11" spans="1:64" ht="30" customHeight="1" thickTop="1" thickBot="1">
      <c r="A11" s="222"/>
      <c r="B11" s="1885" t="s">
        <v>42</v>
      </c>
      <c r="C11" s="1886"/>
      <c r="D11" s="1886"/>
      <c r="E11" s="1886"/>
      <c r="F11" s="1886"/>
      <c r="G11" s="1886"/>
      <c r="H11" s="1886"/>
      <c r="I11" s="1886"/>
      <c r="J11" s="1886"/>
      <c r="K11" s="1886"/>
      <c r="L11" s="1887"/>
      <c r="M11" s="1888">
        <f>SUM(M6:P10)</f>
        <v>11</v>
      </c>
      <c r="N11" s="1857"/>
      <c r="O11" s="1857"/>
      <c r="P11" s="1870"/>
      <c r="Q11" s="1889">
        <f>SUM(Q6:T10)</f>
        <v>18</v>
      </c>
      <c r="R11" s="1857"/>
      <c r="S11" s="1857"/>
      <c r="T11" s="1890"/>
      <c r="U11" s="1857">
        <f t="shared" si="0"/>
        <v>29</v>
      </c>
      <c r="V11" s="1857"/>
      <c r="W11" s="1857"/>
      <c r="X11" s="1858"/>
      <c r="Y11" s="413"/>
      <c r="Z11" s="413"/>
      <c r="AA11" s="413"/>
      <c r="AB11" s="413"/>
      <c r="AC11" s="413"/>
      <c r="AD11" s="222"/>
      <c r="AE11" s="222"/>
      <c r="AF11" s="222"/>
      <c r="AG11" s="222"/>
      <c r="AH11" s="222"/>
      <c r="AI11" s="222"/>
      <c r="AJ11" s="222"/>
      <c r="AK11" s="1885" t="s">
        <v>42</v>
      </c>
      <c r="AL11" s="1886"/>
      <c r="AM11" s="1886"/>
      <c r="AN11" s="1886"/>
      <c r="AO11" s="1886"/>
      <c r="AP11" s="1886"/>
      <c r="AQ11" s="1886"/>
      <c r="AR11" s="1886"/>
      <c r="AS11" s="1886"/>
      <c r="AT11" s="1886"/>
      <c r="AU11" s="1886"/>
      <c r="AV11" s="1887"/>
      <c r="AW11" s="2563">
        <f>SUM(AW6:AZ10)</f>
        <v>3</v>
      </c>
      <c r="AX11" s="2564"/>
      <c r="AY11" s="2564"/>
      <c r="AZ11" s="2565"/>
      <c r="BA11" s="2566">
        <f>SUM(BA6:BD10)</f>
        <v>0</v>
      </c>
      <c r="BB11" s="2564"/>
      <c r="BC11" s="2564"/>
      <c r="BD11" s="2567"/>
      <c r="BE11" s="1869">
        <f t="shared" ref="BE11" si="2">SUM(AW11:BD11)</f>
        <v>3</v>
      </c>
      <c r="BF11" s="1857"/>
      <c r="BG11" s="1857"/>
      <c r="BH11" s="1858"/>
      <c r="BI11" s="222"/>
      <c r="BJ11" s="222"/>
      <c r="BK11" s="222"/>
      <c r="BL11" s="222"/>
    </row>
    <row r="12" spans="1:64" s="54" customFormat="1" ht="15.75" customHeight="1">
      <c r="A12" s="433"/>
      <c r="B12" s="302" t="s">
        <v>268</v>
      </c>
      <c r="C12" s="433"/>
      <c r="D12" s="433"/>
      <c r="E12" s="274" t="s">
        <v>991</v>
      </c>
      <c r="F12" s="514"/>
      <c r="G12" s="514"/>
      <c r="H12" s="514"/>
      <c r="I12" s="514"/>
      <c r="J12" s="514"/>
      <c r="K12" s="514"/>
      <c r="L12" s="514"/>
      <c r="M12" s="514"/>
      <c r="N12" s="514"/>
      <c r="O12" s="514"/>
      <c r="P12" s="514"/>
      <c r="Q12" s="514"/>
      <c r="R12" s="514"/>
      <c r="S12" s="514"/>
      <c r="T12" s="514"/>
      <c r="U12" s="514"/>
      <c r="V12" s="514"/>
      <c r="W12" s="514"/>
      <c r="X12" s="514"/>
      <c r="Y12" s="514"/>
      <c r="Z12" s="514"/>
      <c r="AA12" s="514"/>
      <c r="AB12" s="514"/>
      <c r="AC12" s="514"/>
      <c r="AD12" s="514"/>
      <c r="AE12" s="514"/>
      <c r="AF12" s="514"/>
      <c r="AG12" s="514"/>
      <c r="AH12" s="514"/>
      <c r="AI12" s="514"/>
      <c r="AJ12" s="514"/>
      <c r="AK12" s="302" t="s">
        <v>268</v>
      </c>
      <c r="AL12" s="433"/>
      <c r="AM12" s="433"/>
      <c r="AN12" s="239" t="s">
        <v>987</v>
      </c>
      <c r="AO12" s="514"/>
      <c r="AP12" s="514"/>
      <c r="AQ12" s="514"/>
      <c r="AR12" s="514"/>
      <c r="AS12" s="514"/>
      <c r="AT12" s="514"/>
      <c r="AU12" s="514"/>
      <c r="AV12" s="514"/>
      <c r="AW12" s="514"/>
      <c r="AX12" s="514"/>
      <c r="AY12" s="514"/>
      <c r="AZ12" s="514"/>
      <c r="BA12" s="514"/>
      <c r="BB12" s="514"/>
      <c r="BC12" s="514"/>
      <c r="BD12" s="514"/>
      <c r="BE12" s="514"/>
      <c r="BF12" s="514"/>
      <c r="BG12" s="514"/>
      <c r="BH12" s="514"/>
      <c r="BI12" s="433"/>
      <c r="BJ12" s="433"/>
      <c r="BK12" s="433"/>
      <c r="BL12" s="433"/>
    </row>
    <row r="13" spans="1:64" s="54" customFormat="1" ht="15.75" customHeight="1">
      <c r="A13" s="433"/>
      <c r="B13" s="222"/>
      <c r="C13" s="239"/>
      <c r="D13" s="222"/>
      <c r="E13" s="528" t="s">
        <v>326</v>
      </c>
      <c r="F13" s="222"/>
      <c r="G13" s="222"/>
      <c r="H13" s="222"/>
      <c r="I13" s="222"/>
      <c r="J13" s="222"/>
      <c r="K13" s="222"/>
      <c r="L13" s="222"/>
      <c r="M13" s="222"/>
      <c r="N13" s="222"/>
      <c r="O13" s="222"/>
      <c r="P13" s="222"/>
      <c r="Q13" s="222"/>
      <c r="R13" s="222"/>
      <c r="S13" s="222"/>
      <c r="T13" s="222"/>
      <c r="U13" s="222"/>
      <c r="V13" s="222"/>
      <c r="W13" s="222"/>
      <c r="X13" s="514"/>
      <c r="Y13" s="514"/>
      <c r="Z13" s="514"/>
      <c r="AA13" s="514"/>
      <c r="AB13" s="514"/>
      <c r="AC13" s="514"/>
      <c r="AD13" s="514"/>
      <c r="AE13" s="514"/>
      <c r="AF13" s="514"/>
      <c r="AG13" s="514"/>
      <c r="AH13" s="227"/>
      <c r="AI13" s="433"/>
      <c r="AJ13" s="433"/>
      <c r="AK13" s="239"/>
      <c r="AL13" s="514"/>
      <c r="AM13" s="514"/>
      <c r="AN13" s="495" t="s">
        <v>988</v>
      </c>
      <c r="AO13" s="514"/>
      <c r="AP13" s="514"/>
      <c r="AQ13" s="514"/>
      <c r="AR13" s="514"/>
      <c r="AS13" s="514"/>
      <c r="AT13" s="514"/>
      <c r="AU13" s="514"/>
      <c r="AV13" s="514"/>
      <c r="AW13" s="514"/>
      <c r="AX13" s="514"/>
      <c r="AY13" s="514"/>
      <c r="AZ13" s="514"/>
      <c r="BA13" s="514"/>
      <c r="BB13" s="514"/>
      <c r="BC13" s="514"/>
      <c r="BD13" s="514"/>
      <c r="BE13" s="514"/>
      <c r="BF13" s="433"/>
      <c r="BG13" s="433"/>
      <c r="BH13" s="433"/>
      <c r="BI13" s="433"/>
      <c r="BJ13" s="433"/>
      <c r="BK13" s="433"/>
      <c r="BL13" s="433"/>
    </row>
    <row r="14" spans="1:64" s="54" customFormat="1" ht="15.75" customHeight="1">
      <c r="A14" s="433"/>
      <c r="B14" s="222"/>
      <c r="C14" s="239"/>
      <c r="D14" s="222"/>
      <c r="E14" s="528" t="s">
        <v>327</v>
      </c>
      <c r="F14" s="222"/>
      <c r="G14" s="222"/>
      <c r="H14" s="222"/>
      <c r="I14" s="222"/>
      <c r="J14" s="222"/>
      <c r="K14" s="222"/>
      <c r="L14" s="222"/>
      <c r="M14" s="222"/>
      <c r="N14" s="222"/>
      <c r="O14" s="222"/>
      <c r="P14" s="222"/>
      <c r="Q14" s="222"/>
      <c r="R14" s="222"/>
      <c r="S14" s="222"/>
      <c r="T14" s="222"/>
      <c r="U14" s="222"/>
      <c r="V14" s="222"/>
      <c r="W14" s="222"/>
      <c r="X14" s="514"/>
      <c r="Y14" s="514"/>
      <c r="Z14" s="514"/>
      <c r="AA14" s="514"/>
      <c r="AB14" s="514"/>
      <c r="AC14" s="514"/>
      <c r="AD14" s="514"/>
      <c r="AE14" s="514"/>
      <c r="AF14" s="514"/>
      <c r="AG14" s="514"/>
      <c r="AH14" s="514"/>
      <c r="AI14" s="227"/>
      <c r="AJ14" s="433"/>
      <c r="AK14" s="433"/>
      <c r="AL14" s="239"/>
      <c r="AM14" s="514"/>
      <c r="AN14" s="514"/>
      <c r="AO14" s="514"/>
      <c r="AP14" s="514"/>
      <c r="AQ14" s="514"/>
      <c r="AR14" s="514"/>
      <c r="AS14" s="514"/>
      <c r="AT14" s="514"/>
      <c r="AU14" s="514"/>
      <c r="AV14" s="514"/>
      <c r="AW14" s="514"/>
      <c r="AX14" s="514"/>
      <c r="AY14" s="514"/>
      <c r="AZ14" s="514"/>
      <c r="BA14" s="514"/>
      <c r="BB14" s="514"/>
      <c r="BC14" s="514"/>
      <c r="BD14" s="514"/>
      <c r="BE14" s="514"/>
      <c r="BF14" s="514"/>
      <c r="BG14" s="433"/>
      <c r="BH14" s="433"/>
      <c r="BI14" s="433"/>
      <c r="BJ14" s="433"/>
      <c r="BK14" s="433"/>
      <c r="BL14" s="433"/>
    </row>
    <row r="15" spans="1:64" ht="24.95" customHeight="1">
      <c r="A15" s="222"/>
      <c r="B15" s="222"/>
      <c r="C15" s="239"/>
      <c r="D15" s="222"/>
      <c r="E15" s="222"/>
      <c r="F15" s="222"/>
      <c r="G15" s="222"/>
      <c r="H15" s="222"/>
      <c r="I15" s="222"/>
      <c r="J15" s="222"/>
      <c r="K15" s="222"/>
      <c r="L15" s="222"/>
      <c r="M15" s="222"/>
      <c r="N15" s="222"/>
      <c r="O15" s="222"/>
      <c r="P15" s="222"/>
      <c r="Q15" s="222"/>
      <c r="R15" s="222"/>
      <c r="S15" s="222"/>
      <c r="T15" s="222"/>
      <c r="U15" s="222"/>
      <c r="V15" s="222"/>
      <c r="W15" s="222"/>
      <c r="X15" s="222"/>
      <c r="Y15" s="222"/>
      <c r="Z15" s="222"/>
      <c r="AA15" s="222"/>
      <c r="AB15" s="222"/>
      <c r="AC15" s="222"/>
      <c r="AD15" s="222"/>
      <c r="AE15" s="222"/>
      <c r="AF15" s="222"/>
      <c r="AG15" s="222"/>
      <c r="AH15" s="222"/>
      <c r="AI15" s="222"/>
      <c r="AJ15" s="222"/>
      <c r="AK15" s="222"/>
      <c r="AL15" s="222"/>
      <c r="AM15" s="222"/>
      <c r="AN15" s="222"/>
      <c r="AO15" s="222"/>
      <c r="AP15" s="222"/>
      <c r="AQ15" s="222"/>
      <c r="AR15" s="222"/>
      <c r="AS15" s="222"/>
      <c r="AT15" s="222"/>
      <c r="AU15" s="222"/>
      <c r="AV15" s="222"/>
      <c r="AW15" s="222"/>
      <c r="AX15" s="222"/>
      <c r="AY15" s="222"/>
      <c r="AZ15" s="222"/>
      <c r="BA15" s="222"/>
      <c r="BB15" s="222"/>
      <c r="BC15" s="222"/>
      <c r="BD15" s="222"/>
      <c r="BE15" s="222"/>
      <c r="BF15" s="222"/>
      <c r="BG15" s="222"/>
      <c r="BH15" s="222"/>
      <c r="BI15" s="222"/>
      <c r="BJ15" s="222"/>
      <c r="BK15" s="222"/>
      <c r="BL15" s="222"/>
    </row>
    <row r="16" spans="1:64" ht="16.5">
      <c r="A16" s="222"/>
      <c r="B16" s="529" t="s">
        <v>11383</v>
      </c>
      <c r="C16" s="355"/>
      <c r="D16" s="355"/>
      <c r="E16" s="355"/>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c r="AD16" s="355"/>
      <c r="AE16" s="355"/>
      <c r="AF16" s="222"/>
      <c r="AG16" s="222"/>
      <c r="AH16" s="222"/>
      <c r="AI16" s="222"/>
      <c r="AJ16" s="222"/>
      <c r="AK16" s="222"/>
      <c r="AL16" s="222"/>
      <c r="AM16" s="222"/>
      <c r="AN16" s="222"/>
      <c r="AO16" s="222"/>
      <c r="AP16" s="222"/>
      <c r="AQ16" s="222"/>
      <c r="AR16" s="222"/>
      <c r="AS16" s="222"/>
      <c r="AT16" s="222"/>
      <c r="AU16" s="222"/>
      <c r="AV16" s="222"/>
      <c r="AW16" s="222"/>
      <c r="AX16" s="222"/>
      <c r="AY16" s="222"/>
      <c r="AZ16" s="222"/>
      <c r="BA16" s="222"/>
      <c r="BB16" s="222"/>
      <c r="BC16" s="222"/>
      <c r="BD16" s="222"/>
      <c r="BE16" s="222"/>
      <c r="BF16" s="222"/>
      <c r="BG16" s="222"/>
      <c r="BH16" s="222"/>
      <c r="BI16" s="222"/>
      <c r="BJ16" s="222"/>
      <c r="BK16" s="222"/>
      <c r="BL16" s="222"/>
    </row>
    <row r="17" spans="1:64" s="1" customFormat="1" ht="21" customHeight="1">
      <c r="A17" s="331"/>
      <c r="B17" s="2214" t="s">
        <v>81</v>
      </c>
      <c r="C17" s="1892"/>
      <c r="D17" s="1892"/>
      <c r="E17" s="1892"/>
      <c r="F17" s="1892"/>
      <c r="G17" s="1892"/>
      <c r="H17" s="1892"/>
      <c r="I17" s="1892"/>
      <c r="J17" s="1893"/>
      <c r="K17" s="2424" t="s">
        <v>328</v>
      </c>
      <c r="L17" s="2425"/>
      <c r="M17" s="2425"/>
      <c r="N17" s="2425"/>
      <c r="O17" s="2425"/>
      <c r="P17" s="2425"/>
      <c r="Q17" s="2425"/>
      <c r="R17" s="2425"/>
      <c r="S17" s="2425"/>
      <c r="T17" s="2425"/>
      <c r="U17" s="2425"/>
      <c r="V17" s="2425"/>
      <c r="W17" s="2425"/>
      <c r="X17" s="2425"/>
      <c r="Y17" s="2425"/>
      <c r="Z17" s="2425"/>
      <c r="AA17" s="2425"/>
      <c r="AB17" s="2425"/>
      <c r="AC17" s="2425"/>
      <c r="AD17" s="2425"/>
      <c r="AE17" s="2425"/>
      <c r="AF17" s="2425"/>
      <c r="AG17" s="2425"/>
      <c r="AH17" s="2425"/>
      <c r="AI17" s="2425"/>
      <c r="AJ17" s="2425"/>
      <c r="AK17" s="2425"/>
      <c r="AL17" s="2425"/>
      <c r="AM17" s="2425"/>
      <c r="AN17" s="2426"/>
      <c r="AO17" s="2424" t="s">
        <v>329</v>
      </c>
      <c r="AP17" s="2425"/>
      <c r="AQ17" s="2425"/>
      <c r="AR17" s="2425"/>
      <c r="AS17" s="2425"/>
      <c r="AT17" s="2425"/>
      <c r="AU17" s="2425"/>
      <c r="AV17" s="2425"/>
      <c r="AW17" s="2425"/>
      <c r="AX17" s="2425"/>
      <c r="AY17" s="2425"/>
      <c r="AZ17" s="2425"/>
      <c r="BA17" s="2425"/>
      <c r="BB17" s="2425"/>
      <c r="BC17" s="2425"/>
      <c r="BD17" s="2425"/>
      <c r="BE17" s="2425"/>
      <c r="BF17" s="2425"/>
      <c r="BG17" s="2425"/>
      <c r="BH17" s="2426"/>
      <c r="BI17" s="382"/>
      <c r="BJ17" s="331"/>
      <c r="BK17" s="331"/>
      <c r="BL17" s="331"/>
    </row>
    <row r="18" spans="1:64" s="1" customFormat="1" ht="21" customHeight="1">
      <c r="A18" s="331"/>
      <c r="B18" s="2215"/>
      <c r="C18" s="2216"/>
      <c r="D18" s="2216"/>
      <c r="E18" s="2216"/>
      <c r="F18" s="2216"/>
      <c r="G18" s="2216"/>
      <c r="H18" s="2216"/>
      <c r="I18" s="2216"/>
      <c r="J18" s="2217"/>
      <c r="K18" s="2553" t="s">
        <v>330</v>
      </c>
      <c r="L18" s="2554"/>
      <c r="M18" s="2554"/>
      <c r="N18" s="2554"/>
      <c r="O18" s="2554"/>
      <c r="P18" s="2554"/>
      <c r="Q18" s="2554"/>
      <c r="R18" s="2554"/>
      <c r="S18" s="2554"/>
      <c r="T18" s="2555"/>
      <c r="U18" s="2553" t="s">
        <v>331</v>
      </c>
      <c r="V18" s="2554"/>
      <c r="W18" s="2554"/>
      <c r="X18" s="2554"/>
      <c r="Y18" s="2554"/>
      <c r="Z18" s="2554"/>
      <c r="AA18" s="2554"/>
      <c r="AB18" s="2554"/>
      <c r="AC18" s="2554"/>
      <c r="AD18" s="2555"/>
      <c r="AE18" s="2553" t="s">
        <v>332</v>
      </c>
      <c r="AF18" s="2554"/>
      <c r="AG18" s="2554"/>
      <c r="AH18" s="2554"/>
      <c r="AI18" s="2554"/>
      <c r="AJ18" s="2554"/>
      <c r="AK18" s="2554"/>
      <c r="AL18" s="2554"/>
      <c r="AM18" s="2554"/>
      <c r="AN18" s="2555"/>
      <c r="AO18" s="2553" t="s">
        <v>333</v>
      </c>
      <c r="AP18" s="2554"/>
      <c r="AQ18" s="2554"/>
      <c r="AR18" s="2554"/>
      <c r="AS18" s="2554"/>
      <c r="AT18" s="2554"/>
      <c r="AU18" s="2554"/>
      <c r="AV18" s="2554"/>
      <c r="AW18" s="2554"/>
      <c r="AX18" s="2555"/>
      <c r="AY18" s="2553" t="s">
        <v>334</v>
      </c>
      <c r="AZ18" s="2554"/>
      <c r="BA18" s="2554"/>
      <c r="BB18" s="2554"/>
      <c r="BC18" s="2554"/>
      <c r="BD18" s="2554"/>
      <c r="BE18" s="2554"/>
      <c r="BF18" s="2554"/>
      <c r="BG18" s="2554"/>
      <c r="BH18" s="2555"/>
      <c r="BI18" s="530"/>
      <c r="BJ18" s="331"/>
      <c r="BK18" s="331"/>
      <c r="BL18" s="331"/>
    </row>
    <row r="19" spans="1:64" s="1" customFormat="1" ht="27.75" customHeight="1">
      <c r="A19" s="331"/>
      <c r="B19" s="2215"/>
      <c r="C19" s="2216"/>
      <c r="D19" s="2216"/>
      <c r="E19" s="2216"/>
      <c r="F19" s="2216"/>
      <c r="G19" s="2216"/>
      <c r="H19" s="2216"/>
      <c r="I19" s="2216"/>
      <c r="J19" s="2217"/>
      <c r="K19" s="2168" t="s">
        <v>11872</v>
      </c>
      <c r="L19" s="2140"/>
      <c r="M19" s="2140"/>
      <c r="N19" s="2140"/>
      <c r="O19" s="2151"/>
      <c r="P19" s="2150" t="s">
        <v>11873</v>
      </c>
      <c r="Q19" s="2140"/>
      <c r="R19" s="2140"/>
      <c r="S19" s="2140"/>
      <c r="T19" s="2141"/>
      <c r="U19" s="2168" t="s">
        <v>11872</v>
      </c>
      <c r="V19" s="2140"/>
      <c r="W19" s="2140"/>
      <c r="X19" s="2140"/>
      <c r="Y19" s="2151"/>
      <c r="Z19" s="2150" t="s">
        <v>11873</v>
      </c>
      <c r="AA19" s="2140"/>
      <c r="AB19" s="2140"/>
      <c r="AC19" s="2140"/>
      <c r="AD19" s="2141"/>
      <c r="AE19" s="2168" t="s">
        <v>11872</v>
      </c>
      <c r="AF19" s="2140"/>
      <c r="AG19" s="2140"/>
      <c r="AH19" s="2140"/>
      <c r="AI19" s="2151"/>
      <c r="AJ19" s="2150" t="s">
        <v>11873</v>
      </c>
      <c r="AK19" s="2140"/>
      <c r="AL19" s="2140"/>
      <c r="AM19" s="2140"/>
      <c r="AN19" s="2141"/>
      <c r="AO19" s="2168" t="s">
        <v>11872</v>
      </c>
      <c r="AP19" s="2140"/>
      <c r="AQ19" s="2140"/>
      <c r="AR19" s="2140"/>
      <c r="AS19" s="2151"/>
      <c r="AT19" s="2150" t="s">
        <v>11873</v>
      </c>
      <c r="AU19" s="2140"/>
      <c r="AV19" s="2140"/>
      <c r="AW19" s="2140"/>
      <c r="AX19" s="2141"/>
      <c r="AY19" s="2168" t="s">
        <v>11872</v>
      </c>
      <c r="AZ19" s="2140"/>
      <c r="BA19" s="2140"/>
      <c r="BB19" s="2140"/>
      <c r="BC19" s="2151"/>
      <c r="BD19" s="2150" t="s">
        <v>11873</v>
      </c>
      <c r="BE19" s="2140"/>
      <c r="BF19" s="2140"/>
      <c r="BG19" s="2140"/>
      <c r="BH19" s="2141"/>
      <c r="BI19" s="331"/>
      <c r="BJ19" s="331"/>
      <c r="BK19" s="331"/>
      <c r="BL19" s="331"/>
    </row>
    <row r="20" spans="1:64" s="1" customFormat="1" ht="27.75" customHeight="1" thickBot="1">
      <c r="A20" s="331"/>
      <c r="B20" s="2337"/>
      <c r="C20" s="2338"/>
      <c r="D20" s="2338"/>
      <c r="E20" s="2338"/>
      <c r="F20" s="2338"/>
      <c r="G20" s="2338"/>
      <c r="H20" s="2338"/>
      <c r="I20" s="2338"/>
      <c r="J20" s="2339"/>
      <c r="K20" s="2541"/>
      <c r="L20" s="2542"/>
      <c r="M20" s="2542"/>
      <c r="N20" s="2542"/>
      <c r="O20" s="2543"/>
      <c r="P20" s="2544"/>
      <c r="Q20" s="2542"/>
      <c r="R20" s="2542"/>
      <c r="S20" s="2542"/>
      <c r="T20" s="2545"/>
      <c r="U20" s="2541"/>
      <c r="V20" s="2542"/>
      <c r="W20" s="2542"/>
      <c r="X20" s="2542"/>
      <c r="Y20" s="2543"/>
      <c r="Z20" s="2544"/>
      <c r="AA20" s="2542"/>
      <c r="AB20" s="2542"/>
      <c r="AC20" s="2542"/>
      <c r="AD20" s="2545"/>
      <c r="AE20" s="2541"/>
      <c r="AF20" s="2542"/>
      <c r="AG20" s="2542"/>
      <c r="AH20" s="2542"/>
      <c r="AI20" s="2543"/>
      <c r="AJ20" s="2544"/>
      <c r="AK20" s="2542"/>
      <c r="AL20" s="2542"/>
      <c r="AM20" s="2542"/>
      <c r="AN20" s="2545"/>
      <c r="AO20" s="2541"/>
      <c r="AP20" s="2542"/>
      <c r="AQ20" s="2542"/>
      <c r="AR20" s="2542"/>
      <c r="AS20" s="2543"/>
      <c r="AT20" s="2544"/>
      <c r="AU20" s="2542"/>
      <c r="AV20" s="2542"/>
      <c r="AW20" s="2542"/>
      <c r="AX20" s="2545"/>
      <c r="AY20" s="2541"/>
      <c r="AZ20" s="2542"/>
      <c r="BA20" s="2542"/>
      <c r="BB20" s="2542"/>
      <c r="BC20" s="2543"/>
      <c r="BD20" s="2544"/>
      <c r="BE20" s="2542"/>
      <c r="BF20" s="2542"/>
      <c r="BG20" s="2542"/>
      <c r="BH20" s="2545"/>
      <c r="BI20" s="382"/>
      <c r="BJ20" s="331"/>
      <c r="BK20" s="331"/>
      <c r="BL20" s="331"/>
    </row>
    <row r="21" spans="1:64" ht="30" customHeight="1">
      <c r="A21" s="222"/>
      <c r="B21" s="531"/>
      <c r="C21" s="532" t="s">
        <v>335</v>
      </c>
      <c r="D21" s="533"/>
      <c r="E21" s="533"/>
      <c r="F21" s="533"/>
      <c r="G21" s="533"/>
      <c r="H21" s="533"/>
      <c r="I21" s="459"/>
      <c r="J21" s="534"/>
      <c r="K21" s="2536">
        <v>0</v>
      </c>
      <c r="L21" s="2537"/>
      <c r="M21" s="2537"/>
      <c r="N21" s="2537"/>
      <c r="O21" s="2537"/>
      <c r="P21" s="2539">
        <v>0</v>
      </c>
      <c r="Q21" s="2537"/>
      <c r="R21" s="2537"/>
      <c r="S21" s="2537"/>
      <c r="T21" s="2540"/>
      <c r="U21" s="2536">
        <v>0</v>
      </c>
      <c r="V21" s="2537"/>
      <c r="W21" s="2537"/>
      <c r="X21" s="2537"/>
      <c r="Y21" s="2537"/>
      <c r="Z21" s="2539">
        <v>2</v>
      </c>
      <c r="AA21" s="2537"/>
      <c r="AB21" s="2537"/>
      <c r="AC21" s="2537"/>
      <c r="AD21" s="2540"/>
      <c r="AE21" s="2536">
        <v>0</v>
      </c>
      <c r="AF21" s="2537"/>
      <c r="AG21" s="2537"/>
      <c r="AH21" s="2537"/>
      <c r="AI21" s="2537"/>
      <c r="AJ21" s="2539">
        <v>0</v>
      </c>
      <c r="AK21" s="2537"/>
      <c r="AL21" s="2537"/>
      <c r="AM21" s="2537"/>
      <c r="AN21" s="2540"/>
      <c r="AO21" s="2536">
        <v>0</v>
      </c>
      <c r="AP21" s="2537"/>
      <c r="AQ21" s="2537"/>
      <c r="AR21" s="2537"/>
      <c r="AS21" s="2537"/>
      <c r="AT21" s="2539">
        <v>0</v>
      </c>
      <c r="AU21" s="2537"/>
      <c r="AV21" s="2537"/>
      <c r="AW21" s="2537"/>
      <c r="AX21" s="2540"/>
      <c r="AY21" s="2536">
        <v>0</v>
      </c>
      <c r="AZ21" s="2537"/>
      <c r="BA21" s="2537"/>
      <c r="BB21" s="2537"/>
      <c r="BC21" s="2537"/>
      <c r="BD21" s="2539">
        <v>5</v>
      </c>
      <c r="BE21" s="2537"/>
      <c r="BF21" s="2537"/>
      <c r="BG21" s="2537"/>
      <c r="BH21" s="2540"/>
      <c r="BI21" s="222"/>
      <c r="BJ21" s="535"/>
      <c r="BK21" s="535"/>
      <c r="BL21" s="222"/>
    </row>
    <row r="22" spans="1:64" ht="30" customHeight="1">
      <c r="A22" s="222"/>
      <c r="B22" s="536"/>
      <c r="C22" s="537" t="s">
        <v>336</v>
      </c>
      <c r="D22" s="538"/>
      <c r="E22" s="538"/>
      <c r="F22" s="538"/>
      <c r="G22" s="538"/>
      <c r="H22" s="538"/>
      <c r="I22" s="453"/>
      <c r="J22" s="522"/>
      <c r="K22" s="2526">
        <v>0</v>
      </c>
      <c r="L22" s="2527"/>
      <c r="M22" s="2527"/>
      <c r="N22" s="2527"/>
      <c r="O22" s="2527"/>
      <c r="P22" s="2529">
        <v>0</v>
      </c>
      <c r="Q22" s="2527"/>
      <c r="R22" s="2527"/>
      <c r="S22" s="2527"/>
      <c r="T22" s="2530"/>
      <c r="U22" s="2526">
        <v>0</v>
      </c>
      <c r="V22" s="2527"/>
      <c r="W22" s="2527"/>
      <c r="X22" s="2527"/>
      <c r="Y22" s="2527"/>
      <c r="Z22" s="2529">
        <v>1</v>
      </c>
      <c r="AA22" s="2527"/>
      <c r="AB22" s="2527"/>
      <c r="AC22" s="2527"/>
      <c r="AD22" s="2530"/>
      <c r="AE22" s="2526">
        <v>0</v>
      </c>
      <c r="AF22" s="2527"/>
      <c r="AG22" s="2527"/>
      <c r="AH22" s="2527"/>
      <c r="AI22" s="2527"/>
      <c r="AJ22" s="2529">
        <v>0</v>
      </c>
      <c r="AK22" s="2527"/>
      <c r="AL22" s="2527"/>
      <c r="AM22" s="2527"/>
      <c r="AN22" s="2530"/>
      <c r="AO22" s="2526">
        <v>0</v>
      </c>
      <c r="AP22" s="2527"/>
      <c r="AQ22" s="2527"/>
      <c r="AR22" s="2527"/>
      <c r="AS22" s="2527"/>
      <c r="AT22" s="2529">
        <v>0</v>
      </c>
      <c r="AU22" s="2527"/>
      <c r="AV22" s="2527"/>
      <c r="AW22" s="2527"/>
      <c r="AX22" s="2530"/>
      <c r="AY22" s="2526">
        <v>0</v>
      </c>
      <c r="AZ22" s="2527"/>
      <c r="BA22" s="2527"/>
      <c r="BB22" s="2527"/>
      <c r="BC22" s="2527"/>
      <c r="BD22" s="2529">
        <v>2</v>
      </c>
      <c r="BE22" s="2527"/>
      <c r="BF22" s="2527"/>
      <c r="BG22" s="2527"/>
      <c r="BH22" s="2530"/>
      <c r="BI22" s="222"/>
      <c r="BJ22" s="535"/>
      <c r="BK22" s="535"/>
      <c r="BL22" s="222"/>
    </row>
    <row r="23" spans="1:64" ht="30" customHeight="1">
      <c r="A23" s="222"/>
      <c r="B23" s="536"/>
      <c r="C23" s="537" t="s">
        <v>337</v>
      </c>
      <c r="D23" s="538"/>
      <c r="E23" s="538"/>
      <c r="F23" s="538"/>
      <c r="G23" s="538"/>
      <c r="H23" s="538"/>
      <c r="I23" s="453"/>
      <c r="J23" s="522"/>
      <c r="K23" s="2526">
        <v>0</v>
      </c>
      <c r="L23" s="2527"/>
      <c r="M23" s="2527"/>
      <c r="N23" s="2527"/>
      <c r="O23" s="2527"/>
      <c r="P23" s="2529">
        <v>0</v>
      </c>
      <c r="Q23" s="2527"/>
      <c r="R23" s="2527"/>
      <c r="S23" s="2527"/>
      <c r="T23" s="2530"/>
      <c r="U23" s="2526">
        <v>0</v>
      </c>
      <c r="V23" s="2527"/>
      <c r="W23" s="2527"/>
      <c r="X23" s="2527"/>
      <c r="Y23" s="2527"/>
      <c r="Z23" s="2529">
        <v>0</v>
      </c>
      <c r="AA23" s="2527"/>
      <c r="AB23" s="2527"/>
      <c r="AC23" s="2527"/>
      <c r="AD23" s="2530"/>
      <c r="AE23" s="2526">
        <v>0</v>
      </c>
      <c r="AF23" s="2527"/>
      <c r="AG23" s="2527"/>
      <c r="AH23" s="2527"/>
      <c r="AI23" s="2527"/>
      <c r="AJ23" s="2529">
        <v>0</v>
      </c>
      <c r="AK23" s="2527"/>
      <c r="AL23" s="2527"/>
      <c r="AM23" s="2527"/>
      <c r="AN23" s="2530"/>
      <c r="AO23" s="2526">
        <v>0</v>
      </c>
      <c r="AP23" s="2527"/>
      <c r="AQ23" s="2527"/>
      <c r="AR23" s="2527"/>
      <c r="AS23" s="2527"/>
      <c r="AT23" s="2529">
        <v>0</v>
      </c>
      <c r="AU23" s="2527"/>
      <c r="AV23" s="2527"/>
      <c r="AW23" s="2527"/>
      <c r="AX23" s="2530"/>
      <c r="AY23" s="2526">
        <v>0</v>
      </c>
      <c r="AZ23" s="2527"/>
      <c r="BA23" s="2527"/>
      <c r="BB23" s="2527"/>
      <c r="BC23" s="2527"/>
      <c r="BD23" s="2529">
        <v>4</v>
      </c>
      <c r="BE23" s="2527"/>
      <c r="BF23" s="2527"/>
      <c r="BG23" s="2527"/>
      <c r="BH23" s="2530"/>
      <c r="BI23" s="222"/>
      <c r="BJ23" s="222"/>
      <c r="BK23" s="222"/>
      <c r="BL23" s="222"/>
    </row>
    <row r="24" spans="1:64" ht="30" customHeight="1">
      <c r="A24" s="222"/>
      <c r="B24" s="536"/>
      <c r="C24" s="537" t="s">
        <v>338</v>
      </c>
      <c r="D24" s="538"/>
      <c r="E24" s="538"/>
      <c r="F24" s="538"/>
      <c r="G24" s="538"/>
      <c r="H24" s="538"/>
      <c r="I24" s="453"/>
      <c r="J24" s="522"/>
      <c r="K24" s="2526">
        <v>0</v>
      </c>
      <c r="L24" s="2527"/>
      <c r="M24" s="2527"/>
      <c r="N24" s="2527"/>
      <c r="O24" s="2527"/>
      <c r="P24" s="2529">
        <v>0</v>
      </c>
      <c r="Q24" s="2527"/>
      <c r="R24" s="2527"/>
      <c r="S24" s="2527"/>
      <c r="T24" s="2530"/>
      <c r="U24" s="2526">
        <v>0</v>
      </c>
      <c r="V24" s="2527"/>
      <c r="W24" s="2527"/>
      <c r="X24" s="2527"/>
      <c r="Y24" s="2527"/>
      <c r="Z24" s="2529">
        <v>2</v>
      </c>
      <c r="AA24" s="2527"/>
      <c r="AB24" s="2527"/>
      <c r="AC24" s="2527"/>
      <c r="AD24" s="2530"/>
      <c r="AE24" s="2526">
        <v>0</v>
      </c>
      <c r="AF24" s="2527"/>
      <c r="AG24" s="2527"/>
      <c r="AH24" s="2527"/>
      <c r="AI24" s="2527"/>
      <c r="AJ24" s="2529">
        <v>0</v>
      </c>
      <c r="AK24" s="2527"/>
      <c r="AL24" s="2527"/>
      <c r="AM24" s="2527"/>
      <c r="AN24" s="2530"/>
      <c r="AO24" s="2526">
        <v>0</v>
      </c>
      <c r="AP24" s="2527"/>
      <c r="AQ24" s="2527"/>
      <c r="AR24" s="2527"/>
      <c r="AS24" s="2527"/>
      <c r="AT24" s="2529">
        <v>0</v>
      </c>
      <c r="AU24" s="2527"/>
      <c r="AV24" s="2527"/>
      <c r="AW24" s="2527"/>
      <c r="AX24" s="2530"/>
      <c r="AY24" s="2526">
        <v>0</v>
      </c>
      <c r="AZ24" s="2527"/>
      <c r="BA24" s="2527"/>
      <c r="BB24" s="2527"/>
      <c r="BC24" s="2527"/>
      <c r="BD24" s="2529">
        <v>4</v>
      </c>
      <c r="BE24" s="2527"/>
      <c r="BF24" s="2527"/>
      <c r="BG24" s="2527"/>
      <c r="BH24" s="2530"/>
      <c r="BI24" s="222"/>
      <c r="BJ24" s="222"/>
      <c r="BK24" s="222"/>
      <c r="BL24" s="222"/>
    </row>
    <row r="25" spans="1:64" ht="30" customHeight="1">
      <c r="A25" s="222"/>
      <c r="B25" s="536"/>
      <c r="C25" s="537" t="s">
        <v>339</v>
      </c>
      <c r="D25" s="538"/>
      <c r="E25" s="538"/>
      <c r="F25" s="538"/>
      <c r="G25" s="538"/>
      <c r="H25" s="538"/>
      <c r="I25" s="539"/>
      <c r="J25" s="522"/>
      <c r="K25" s="2526">
        <v>0</v>
      </c>
      <c r="L25" s="2527"/>
      <c r="M25" s="2527"/>
      <c r="N25" s="2527"/>
      <c r="O25" s="2527"/>
      <c r="P25" s="2529">
        <v>0</v>
      </c>
      <c r="Q25" s="2527"/>
      <c r="R25" s="2527"/>
      <c r="S25" s="2527"/>
      <c r="T25" s="2530"/>
      <c r="U25" s="2526">
        <v>0</v>
      </c>
      <c r="V25" s="2527"/>
      <c r="W25" s="2527"/>
      <c r="X25" s="2527"/>
      <c r="Y25" s="2527"/>
      <c r="Z25" s="2529">
        <v>0</v>
      </c>
      <c r="AA25" s="2527"/>
      <c r="AB25" s="2527"/>
      <c r="AC25" s="2527"/>
      <c r="AD25" s="2530"/>
      <c r="AE25" s="2526">
        <v>0</v>
      </c>
      <c r="AF25" s="2527"/>
      <c r="AG25" s="2527"/>
      <c r="AH25" s="2527"/>
      <c r="AI25" s="2527"/>
      <c r="AJ25" s="2529">
        <v>0</v>
      </c>
      <c r="AK25" s="2527"/>
      <c r="AL25" s="2527"/>
      <c r="AM25" s="2527"/>
      <c r="AN25" s="2530"/>
      <c r="AO25" s="2526">
        <v>0</v>
      </c>
      <c r="AP25" s="2527"/>
      <c r="AQ25" s="2527"/>
      <c r="AR25" s="2527"/>
      <c r="AS25" s="2527"/>
      <c r="AT25" s="2529">
        <v>0</v>
      </c>
      <c r="AU25" s="2527"/>
      <c r="AV25" s="2527"/>
      <c r="AW25" s="2527"/>
      <c r="AX25" s="2530"/>
      <c r="AY25" s="2526">
        <v>0</v>
      </c>
      <c r="AZ25" s="2527"/>
      <c r="BA25" s="2527"/>
      <c r="BB25" s="2527"/>
      <c r="BC25" s="2527"/>
      <c r="BD25" s="2529">
        <v>1</v>
      </c>
      <c r="BE25" s="2527"/>
      <c r="BF25" s="2527"/>
      <c r="BG25" s="2527"/>
      <c r="BH25" s="2530"/>
      <c r="BI25" s="224"/>
      <c r="BJ25" s="222"/>
      <c r="BK25" s="222"/>
      <c r="BL25" s="222"/>
    </row>
    <row r="26" spans="1:64" ht="30" customHeight="1">
      <c r="A26" s="222"/>
      <c r="B26" s="536"/>
      <c r="C26" s="537" t="s">
        <v>340</v>
      </c>
      <c r="D26" s="538"/>
      <c r="E26" s="538"/>
      <c r="F26" s="538"/>
      <c r="G26" s="538"/>
      <c r="H26" s="538"/>
      <c r="I26" s="539"/>
      <c r="J26" s="522"/>
      <c r="K26" s="2526">
        <v>0</v>
      </c>
      <c r="L26" s="2527"/>
      <c r="M26" s="2527"/>
      <c r="N26" s="2527"/>
      <c r="O26" s="2527"/>
      <c r="P26" s="2529">
        <v>0</v>
      </c>
      <c r="Q26" s="2527"/>
      <c r="R26" s="2527"/>
      <c r="S26" s="2527"/>
      <c r="T26" s="2530"/>
      <c r="U26" s="2526">
        <v>0</v>
      </c>
      <c r="V26" s="2527"/>
      <c r="W26" s="2527"/>
      <c r="X26" s="2527"/>
      <c r="Y26" s="2527"/>
      <c r="Z26" s="2529">
        <v>3</v>
      </c>
      <c r="AA26" s="2527"/>
      <c r="AB26" s="2527"/>
      <c r="AC26" s="2527"/>
      <c r="AD26" s="2530"/>
      <c r="AE26" s="2526">
        <v>0</v>
      </c>
      <c r="AF26" s="2527"/>
      <c r="AG26" s="2527"/>
      <c r="AH26" s="2527"/>
      <c r="AI26" s="2527"/>
      <c r="AJ26" s="2529">
        <v>0</v>
      </c>
      <c r="AK26" s="2527"/>
      <c r="AL26" s="2527"/>
      <c r="AM26" s="2527"/>
      <c r="AN26" s="2530"/>
      <c r="AO26" s="2526">
        <v>0</v>
      </c>
      <c r="AP26" s="2527"/>
      <c r="AQ26" s="2527"/>
      <c r="AR26" s="2527"/>
      <c r="AS26" s="2527"/>
      <c r="AT26" s="2529">
        <v>0</v>
      </c>
      <c r="AU26" s="2527"/>
      <c r="AV26" s="2527"/>
      <c r="AW26" s="2527"/>
      <c r="AX26" s="2530"/>
      <c r="AY26" s="2526">
        <v>0</v>
      </c>
      <c r="AZ26" s="2527"/>
      <c r="BA26" s="2527"/>
      <c r="BB26" s="2527"/>
      <c r="BC26" s="2527"/>
      <c r="BD26" s="2529">
        <v>2</v>
      </c>
      <c r="BE26" s="2527"/>
      <c r="BF26" s="2527"/>
      <c r="BG26" s="2527"/>
      <c r="BH26" s="2530"/>
      <c r="BI26" s="502"/>
      <c r="BJ26" s="222"/>
      <c r="BK26" s="222"/>
      <c r="BL26" s="222"/>
    </row>
    <row r="27" spans="1:64" ht="30" customHeight="1">
      <c r="A27" s="222"/>
      <c r="B27" s="536"/>
      <c r="C27" s="537" t="s">
        <v>341</v>
      </c>
      <c r="D27" s="538"/>
      <c r="E27" s="538"/>
      <c r="F27" s="538"/>
      <c r="G27" s="538"/>
      <c r="H27" s="538"/>
      <c r="I27" s="539"/>
      <c r="J27" s="522"/>
      <c r="K27" s="2526">
        <v>0</v>
      </c>
      <c r="L27" s="2527"/>
      <c r="M27" s="2527"/>
      <c r="N27" s="2527"/>
      <c r="O27" s="2527"/>
      <c r="P27" s="2529">
        <v>0</v>
      </c>
      <c r="Q27" s="2527"/>
      <c r="R27" s="2527"/>
      <c r="S27" s="2527"/>
      <c r="T27" s="2530"/>
      <c r="U27" s="2526">
        <v>0</v>
      </c>
      <c r="V27" s="2527"/>
      <c r="W27" s="2527"/>
      <c r="X27" s="2527"/>
      <c r="Y27" s="2527"/>
      <c r="Z27" s="2529">
        <v>0</v>
      </c>
      <c r="AA27" s="2527"/>
      <c r="AB27" s="2527"/>
      <c r="AC27" s="2527"/>
      <c r="AD27" s="2530"/>
      <c r="AE27" s="2526">
        <v>0</v>
      </c>
      <c r="AF27" s="2527"/>
      <c r="AG27" s="2527"/>
      <c r="AH27" s="2527"/>
      <c r="AI27" s="2527"/>
      <c r="AJ27" s="2529">
        <v>0</v>
      </c>
      <c r="AK27" s="2527"/>
      <c r="AL27" s="2527"/>
      <c r="AM27" s="2527"/>
      <c r="AN27" s="2530"/>
      <c r="AO27" s="2526">
        <v>0</v>
      </c>
      <c r="AP27" s="2527"/>
      <c r="AQ27" s="2527"/>
      <c r="AR27" s="2527"/>
      <c r="AS27" s="2527"/>
      <c r="AT27" s="2529">
        <v>0</v>
      </c>
      <c r="AU27" s="2527"/>
      <c r="AV27" s="2527"/>
      <c r="AW27" s="2527"/>
      <c r="AX27" s="2530"/>
      <c r="AY27" s="2526">
        <v>0</v>
      </c>
      <c r="AZ27" s="2527"/>
      <c r="BA27" s="2527"/>
      <c r="BB27" s="2527"/>
      <c r="BC27" s="2527"/>
      <c r="BD27" s="2529">
        <v>4</v>
      </c>
      <c r="BE27" s="2527"/>
      <c r="BF27" s="2527"/>
      <c r="BG27" s="2527"/>
      <c r="BH27" s="2530"/>
      <c r="BI27" s="502"/>
      <c r="BJ27" s="222"/>
      <c r="BK27" s="222"/>
      <c r="BL27" s="222"/>
    </row>
    <row r="28" spans="1:64" ht="30" customHeight="1">
      <c r="A28" s="222"/>
      <c r="B28" s="536"/>
      <c r="C28" s="537" t="s">
        <v>342</v>
      </c>
      <c r="D28" s="538"/>
      <c r="E28" s="538"/>
      <c r="F28" s="538"/>
      <c r="G28" s="538"/>
      <c r="H28" s="538"/>
      <c r="I28" s="539"/>
      <c r="J28" s="522"/>
      <c r="K28" s="2526">
        <v>0</v>
      </c>
      <c r="L28" s="2527"/>
      <c r="M28" s="2527"/>
      <c r="N28" s="2527"/>
      <c r="O28" s="2527"/>
      <c r="P28" s="2529">
        <v>0</v>
      </c>
      <c r="Q28" s="2527"/>
      <c r="R28" s="2527"/>
      <c r="S28" s="2527"/>
      <c r="T28" s="2530"/>
      <c r="U28" s="2526">
        <v>0</v>
      </c>
      <c r="V28" s="2527"/>
      <c r="W28" s="2527"/>
      <c r="X28" s="2527"/>
      <c r="Y28" s="2527"/>
      <c r="Z28" s="2529">
        <v>0</v>
      </c>
      <c r="AA28" s="2527"/>
      <c r="AB28" s="2527"/>
      <c r="AC28" s="2527"/>
      <c r="AD28" s="2530"/>
      <c r="AE28" s="2526">
        <v>0</v>
      </c>
      <c r="AF28" s="2527"/>
      <c r="AG28" s="2527"/>
      <c r="AH28" s="2527"/>
      <c r="AI28" s="2527"/>
      <c r="AJ28" s="2529">
        <v>0</v>
      </c>
      <c r="AK28" s="2527"/>
      <c r="AL28" s="2527"/>
      <c r="AM28" s="2527"/>
      <c r="AN28" s="2530"/>
      <c r="AO28" s="2526">
        <v>0</v>
      </c>
      <c r="AP28" s="2527"/>
      <c r="AQ28" s="2527"/>
      <c r="AR28" s="2527"/>
      <c r="AS28" s="2527"/>
      <c r="AT28" s="2529">
        <v>0</v>
      </c>
      <c r="AU28" s="2527"/>
      <c r="AV28" s="2527"/>
      <c r="AW28" s="2527"/>
      <c r="AX28" s="2530"/>
      <c r="AY28" s="2526">
        <v>0</v>
      </c>
      <c r="AZ28" s="2527"/>
      <c r="BA28" s="2527"/>
      <c r="BB28" s="2527"/>
      <c r="BC28" s="2527"/>
      <c r="BD28" s="2529">
        <v>2</v>
      </c>
      <c r="BE28" s="2527"/>
      <c r="BF28" s="2527"/>
      <c r="BG28" s="2527"/>
      <c r="BH28" s="2530"/>
      <c r="BI28" s="540"/>
      <c r="BJ28" s="222"/>
      <c r="BK28" s="222"/>
      <c r="BL28" s="222"/>
    </row>
    <row r="29" spans="1:64" ht="30" customHeight="1" thickBot="1">
      <c r="A29" s="222"/>
      <c r="B29" s="541"/>
      <c r="C29" s="542" t="s">
        <v>343</v>
      </c>
      <c r="D29" s="543"/>
      <c r="E29" s="543"/>
      <c r="F29" s="543"/>
      <c r="G29" s="543"/>
      <c r="H29" s="543"/>
      <c r="I29" s="544"/>
      <c r="J29" s="545"/>
      <c r="K29" s="2556">
        <v>0</v>
      </c>
      <c r="L29" s="2557"/>
      <c r="M29" s="2557"/>
      <c r="N29" s="2557"/>
      <c r="O29" s="2557"/>
      <c r="P29" s="2558">
        <v>0</v>
      </c>
      <c r="Q29" s="2557"/>
      <c r="R29" s="2557"/>
      <c r="S29" s="2557"/>
      <c r="T29" s="2559"/>
      <c r="U29" s="2556">
        <v>0</v>
      </c>
      <c r="V29" s="2557"/>
      <c r="W29" s="2557"/>
      <c r="X29" s="2557"/>
      <c r="Y29" s="2557"/>
      <c r="Z29" s="2558">
        <v>0</v>
      </c>
      <c r="AA29" s="2557"/>
      <c r="AB29" s="2557"/>
      <c r="AC29" s="2557"/>
      <c r="AD29" s="2559"/>
      <c r="AE29" s="2556">
        <v>0</v>
      </c>
      <c r="AF29" s="2557"/>
      <c r="AG29" s="2557"/>
      <c r="AH29" s="2557"/>
      <c r="AI29" s="2557"/>
      <c r="AJ29" s="2558">
        <v>0</v>
      </c>
      <c r="AK29" s="2557"/>
      <c r="AL29" s="2557"/>
      <c r="AM29" s="2557"/>
      <c r="AN29" s="2559"/>
      <c r="AO29" s="2556">
        <v>0</v>
      </c>
      <c r="AP29" s="2557"/>
      <c r="AQ29" s="2557"/>
      <c r="AR29" s="2557"/>
      <c r="AS29" s="2557"/>
      <c r="AT29" s="2558">
        <v>0</v>
      </c>
      <c r="AU29" s="2557"/>
      <c r="AV29" s="2557"/>
      <c r="AW29" s="2557"/>
      <c r="AX29" s="2559"/>
      <c r="AY29" s="2556">
        <v>0</v>
      </c>
      <c r="AZ29" s="2557"/>
      <c r="BA29" s="2557"/>
      <c r="BB29" s="2557"/>
      <c r="BC29" s="2557"/>
      <c r="BD29" s="2558">
        <v>4</v>
      </c>
      <c r="BE29" s="2557"/>
      <c r="BF29" s="2557"/>
      <c r="BG29" s="2557"/>
      <c r="BH29" s="2559"/>
      <c r="BI29" s="502"/>
      <c r="BJ29" s="222"/>
      <c r="BK29" s="222"/>
      <c r="BL29" s="222"/>
    </row>
    <row r="30" spans="1:64" s="49" customFormat="1">
      <c r="A30" s="224"/>
      <c r="B30" s="546" t="s">
        <v>47</v>
      </c>
      <c r="C30" s="547" t="s">
        <v>1056</v>
      </c>
      <c r="D30" s="547"/>
      <c r="E30" s="547"/>
      <c r="F30" s="547"/>
      <c r="G30" s="547"/>
      <c r="H30" s="547"/>
      <c r="I30" s="547"/>
      <c r="J30" s="547"/>
      <c r="K30" s="239"/>
      <c r="L30" s="239"/>
      <c r="M30" s="239"/>
      <c r="N30" s="239"/>
      <c r="O30" s="239"/>
      <c r="P30" s="239"/>
      <c r="Q30" s="239"/>
      <c r="R30" s="239"/>
      <c r="S30" s="239"/>
      <c r="T30" s="239"/>
      <c r="U30" s="239"/>
      <c r="V30" s="239"/>
      <c r="W30" s="239"/>
      <c r="X30" s="239"/>
      <c r="Y30" s="239"/>
      <c r="Z30" s="239"/>
      <c r="AA30" s="239"/>
      <c r="AB30" s="239"/>
      <c r="AC30" s="239"/>
      <c r="AD30" s="548"/>
      <c r="AE30" s="535"/>
      <c r="AF30" s="535"/>
      <c r="AG30" s="535"/>
      <c r="AH30" s="535"/>
      <c r="AI30" s="535"/>
      <c r="AJ30" s="535"/>
      <c r="AK30" s="535"/>
      <c r="AL30" s="535"/>
      <c r="AM30" s="535"/>
      <c r="AN30" s="535"/>
      <c r="AO30" s="535"/>
      <c r="AP30" s="224"/>
      <c r="AQ30" s="224"/>
      <c r="AR30" s="224"/>
      <c r="AS30" s="224"/>
      <c r="AT30" s="224"/>
      <c r="AU30" s="224"/>
      <c r="AV30" s="224"/>
      <c r="AW30" s="224"/>
      <c r="AX30" s="224"/>
      <c r="AY30" s="224"/>
      <c r="AZ30" s="224"/>
      <c r="BA30" s="224"/>
      <c r="BB30" s="224"/>
      <c r="BC30" s="224"/>
      <c r="BD30" s="224"/>
      <c r="BE30" s="224"/>
      <c r="BF30" s="224"/>
      <c r="BG30" s="224"/>
      <c r="BH30" s="224"/>
      <c r="BI30" s="224"/>
      <c r="BJ30" s="224"/>
      <c r="BK30" s="224"/>
      <c r="BL30" s="224"/>
    </row>
    <row r="31" spans="1:64" s="49" customFormat="1">
      <c r="A31" s="224"/>
      <c r="B31" s="546" t="s">
        <v>48</v>
      </c>
      <c r="C31" s="239" t="s">
        <v>1057</v>
      </c>
      <c r="D31" s="484"/>
      <c r="E31" s="484"/>
      <c r="F31" s="484"/>
      <c r="G31" s="484"/>
      <c r="H31" s="484"/>
      <c r="I31" s="484"/>
      <c r="J31" s="484"/>
      <c r="K31" s="484"/>
      <c r="L31" s="484"/>
      <c r="M31" s="484"/>
      <c r="N31" s="484"/>
      <c r="O31" s="484"/>
      <c r="P31" s="484"/>
      <c r="Q31" s="484"/>
      <c r="R31" s="484"/>
      <c r="S31" s="484"/>
      <c r="T31" s="484"/>
      <c r="U31" s="484"/>
      <c r="V31" s="484"/>
      <c r="W31" s="484"/>
      <c r="X31" s="484"/>
      <c r="Y31" s="484"/>
      <c r="Z31" s="484"/>
      <c r="AA31" s="484"/>
      <c r="AB31" s="484"/>
      <c r="AC31" s="484"/>
      <c r="AD31" s="548"/>
      <c r="AE31" s="535"/>
      <c r="AF31" s="535"/>
      <c r="AG31" s="535"/>
      <c r="AH31" s="535"/>
      <c r="AI31" s="535"/>
      <c r="AJ31" s="535"/>
      <c r="AK31" s="535"/>
      <c r="AL31" s="535"/>
      <c r="AM31" s="535"/>
      <c r="AN31" s="535"/>
      <c r="AO31" s="535"/>
      <c r="AP31" s="224"/>
      <c r="AQ31" s="224"/>
      <c r="AR31" s="224"/>
      <c r="AS31" s="224"/>
      <c r="AT31" s="224"/>
      <c r="AU31" s="224"/>
      <c r="AV31" s="224"/>
      <c r="AW31" s="224"/>
      <c r="AX31" s="224"/>
      <c r="AY31" s="224"/>
      <c r="AZ31" s="224"/>
      <c r="BA31" s="224"/>
      <c r="BB31" s="224"/>
      <c r="BC31" s="224"/>
      <c r="BD31" s="224"/>
      <c r="BE31" s="224"/>
      <c r="BF31" s="224"/>
      <c r="BG31" s="224"/>
      <c r="BH31" s="224"/>
      <c r="BI31" s="224"/>
      <c r="BJ31" s="224"/>
      <c r="BK31" s="224"/>
      <c r="BL31" s="224"/>
    </row>
    <row r="32" spans="1:64" ht="20.100000000000001" customHeight="1">
      <c r="A32" s="222"/>
      <c r="B32" s="222"/>
      <c r="C32" s="485"/>
      <c r="D32" s="485"/>
      <c r="E32" s="485"/>
      <c r="F32" s="485"/>
      <c r="G32" s="485"/>
      <c r="H32" s="485"/>
      <c r="I32" s="485"/>
      <c r="J32" s="485"/>
      <c r="K32" s="485"/>
      <c r="L32" s="485"/>
      <c r="M32" s="485"/>
      <c r="N32" s="485"/>
      <c r="O32" s="485"/>
      <c r="P32" s="485"/>
      <c r="Q32" s="485"/>
      <c r="R32" s="485"/>
      <c r="S32" s="485"/>
      <c r="T32" s="485"/>
      <c r="U32" s="485"/>
      <c r="V32" s="485"/>
      <c r="W32" s="485"/>
      <c r="X32" s="485"/>
      <c r="Y32" s="485"/>
      <c r="Z32" s="485"/>
      <c r="AA32" s="485"/>
      <c r="AB32" s="485"/>
      <c r="AC32" s="485"/>
      <c r="AD32" s="549"/>
      <c r="AE32" s="222"/>
      <c r="AF32" s="222"/>
      <c r="AG32" s="222"/>
      <c r="AH32" s="222"/>
      <c r="AI32" s="222"/>
      <c r="AJ32" s="222"/>
      <c r="AK32" s="222"/>
      <c r="AL32" s="222"/>
      <c r="AM32" s="222"/>
      <c r="AN32" s="222"/>
      <c r="AO32" s="222"/>
      <c r="AP32" s="222"/>
      <c r="AQ32" s="222"/>
      <c r="AR32" s="222"/>
      <c r="AS32" s="222"/>
      <c r="AT32" s="222"/>
      <c r="AU32" s="222"/>
      <c r="AV32" s="222"/>
      <c r="AW32" s="222"/>
      <c r="AX32" s="222"/>
      <c r="AY32" s="222"/>
      <c r="AZ32" s="222"/>
      <c r="BA32" s="222"/>
      <c r="BB32" s="222"/>
      <c r="BC32" s="222"/>
      <c r="BD32" s="222"/>
      <c r="BE32" s="222"/>
      <c r="BF32" s="222"/>
      <c r="BG32" s="222"/>
      <c r="BH32" s="222"/>
      <c r="BI32" s="222"/>
      <c r="BJ32" s="222"/>
      <c r="BK32" s="222"/>
      <c r="BL32" s="222"/>
    </row>
    <row r="33" spans="1:64" s="49" customFormat="1" ht="17.25">
      <c r="A33" s="224"/>
      <c r="B33" s="302" t="s">
        <v>71</v>
      </c>
      <c r="C33" s="337"/>
      <c r="D33" s="337"/>
      <c r="E33" s="550" t="s">
        <v>47</v>
      </c>
      <c r="F33" s="274" t="s">
        <v>344</v>
      </c>
      <c r="G33" s="337"/>
      <c r="H33" s="337"/>
      <c r="I33" s="337"/>
      <c r="J33" s="337"/>
      <c r="K33" s="337"/>
      <c r="L33" s="337"/>
      <c r="M33" s="337"/>
      <c r="N33" s="337"/>
      <c r="O33" s="337"/>
      <c r="P33" s="337"/>
      <c r="Q33" s="337"/>
      <c r="R33" s="337"/>
      <c r="S33" s="337"/>
      <c r="T33" s="337"/>
      <c r="U33" s="337"/>
      <c r="V33" s="224"/>
      <c r="W33" s="224"/>
      <c r="X33" s="224"/>
      <c r="Y33" s="224"/>
      <c r="Z33" s="224"/>
      <c r="AA33" s="224"/>
      <c r="AB33" s="224"/>
      <c r="AC33" s="224"/>
      <c r="AD33" s="224"/>
      <c r="AE33" s="224"/>
      <c r="AF33" s="224"/>
      <c r="AG33" s="224"/>
      <c r="AH33" s="224"/>
      <c r="AI33" s="224"/>
      <c r="AJ33" s="224"/>
      <c r="AK33" s="224"/>
      <c r="AL33" s="224"/>
      <c r="AM33" s="224"/>
      <c r="AN33" s="224"/>
      <c r="AO33" s="224"/>
      <c r="AP33" s="224"/>
      <c r="AQ33" s="224"/>
      <c r="AR33" s="224"/>
      <c r="AS33" s="224"/>
      <c r="AT33" s="224"/>
      <c r="AU33" s="224"/>
      <c r="AV33" s="224"/>
      <c r="AW33" s="224"/>
      <c r="AX33" s="224"/>
      <c r="AY33" s="224"/>
      <c r="AZ33" s="224"/>
      <c r="BA33" s="224"/>
      <c r="BB33" s="224"/>
      <c r="BC33" s="224"/>
      <c r="BD33" s="224"/>
      <c r="BE33" s="224"/>
      <c r="BF33" s="224"/>
      <c r="BG33" s="224"/>
      <c r="BH33" s="224"/>
      <c r="BI33" s="224"/>
      <c r="BJ33" s="224"/>
      <c r="BK33" s="224"/>
      <c r="BL33" s="224"/>
    </row>
    <row r="34" spans="1:64" s="49" customFormat="1" ht="17.25">
      <c r="A34" s="224"/>
      <c r="B34" s="302"/>
      <c r="C34" s="337"/>
      <c r="D34" s="337"/>
      <c r="E34" s="550" t="s">
        <v>48</v>
      </c>
      <c r="F34" s="551" t="s">
        <v>1027</v>
      </c>
      <c r="G34" s="337"/>
      <c r="H34" s="337"/>
      <c r="I34" s="337"/>
      <c r="J34" s="337"/>
      <c r="K34" s="337"/>
      <c r="L34" s="337"/>
      <c r="M34" s="337"/>
      <c r="N34" s="337"/>
      <c r="O34" s="337"/>
      <c r="P34" s="337"/>
      <c r="Q34" s="337"/>
      <c r="R34" s="337"/>
      <c r="S34" s="337"/>
      <c r="T34" s="337"/>
      <c r="U34" s="337"/>
      <c r="V34" s="224"/>
      <c r="W34" s="224"/>
      <c r="X34" s="224"/>
      <c r="Y34" s="224"/>
      <c r="Z34" s="224"/>
      <c r="AA34" s="224"/>
      <c r="AB34" s="224"/>
      <c r="AC34" s="224"/>
      <c r="AD34" s="224"/>
      <c r="AE34" s="224"/>
      <c r="AF34" s="224"/>
      <c r="AG34" s="224"/>
      <c r="AH34" s="224"/>
      <c r="AI34" s="224"/>
      <c r="AJ34" s="224"/>
      <c r="AK34" s="224"/>
      <c r="AL34" s="224"/>
      <c r="AM34" s="224"/>
      <c r="AN34" s="224"/>
      <c r="AO34" s="224"/>
      <c r="AP34" s="224"/>
      <c r="AQ34" s="224"/>
      <c r="AR34" s="224"/>
      <c r="AS34" s="224"/>
      <c r="AT34" s="224"/>
      <c r="AU34" s="224"/>
      <c r="AV34" s="224"/>
      <c r="AW34" s="224"/>
      <c r="AX34" s="224"/>
      <c r="AY34" s="224"/>
      <c r="AZ34" s="224"/>
      <c r="BA34" s="224"/>
      <c r="BB34" s="224"/>
      <c r="BC34" s="224"/>
      <c r="BD34" s="224"/>
      <c r="BE34" s="224"/>
      <c r="BF34" s="224"/>
      <c r="BG34" s="224"/>
      <c r="BH34" s="224"/>
      <c r="BI34" s="224"/>
      <c r="BJ34" s="224"/>
      <c r="BK34" s="224"/>
      <c r="BL34" s="224"/>
    </row>
    <row r="35" spans="1:64" ht="46.7" customHeight="1">
      <c r="A35" s="222"/>
      <c r="B35" s="222"/>
      <c r="C35" s="239"/>
      <c r="D35" s="222"/>
      <c r="E35" s="222"/>
      <c r="F35" s="222"/>
      <c r="G35" s="2572" t="s">
        <v>11874</v>
      </c>
      <c r="H35" s="2572"/>
      <c r="I35" s="2572"/>
      <c r="J35" s="2572"/>
      <c r="K35" s="2572"/>
      <c r="L35" s="2572"/>
      <c r="M35" s="2572"/>
      <c r="N35" s="2572"/>
      <c r="O35" s="2572"/>
      <c r="P35" s="2572"/>
      <c r="Q35" s="2572"/>
      <c r="R35" s="2572"/>
      <c r="S35" s="2572"/>
      <c r="T35" s="2572"/>
      <c r="U35" s="2572"/>
      <c r="V35" s="2572"/>
      <c r="W35" s="2572"/>
      <c r="X35" s="2572"/>
      <c r="Y35" s="2572"/>
      <c r="Z35" s="2572"/>
      <c r="AA35" s="2572"/>
      <c r="AB35" s="2572"/>
      <c r="AC35" s="2572"/>
      <c r="AD35" s="2572"/>
      <c r="AE35" s="2572"/>
      <c r="AF35" s="2572"/>
      <c r="AG35" s="2572"/>
      <c r="AH35" s="2572"/>
      <c r="AI35" s="2572"/>
      <c r="AJ35" s="2572"/>
      <c r="AK35" s="2572"/>
      <c r="AL35" s="2572"/>
      <c r="AM35" s="2572"/>
      <c r="AN35" s="2572"/>
      <c r="AO35" s="2572"/>
      <c r="AP35" s="2572"/>
      <c r="AQ35" s="2572"/>
      <c r="AR35" s="2572"/>
      <c r="AS35" s="2572"/>
      <c r="AT35" s="222"/>
      <c r="AU35" s="222"/>
      <c r="AV35" s="222"/>
      <c r="AW35" s="222"/>
      <c r="AX35" s="222"/>
      <c r="AY35" s="222"/>
      <c r="AZ35" s="222"/>
      <c r="BA35" s="222"/>
      <c r="BB35" s="222"/>
      <c r="BC35" s="222"/>
      <c r="BD35" s="222"/>
      <c r="BE35" s="222"/>
      <c r="BF35" s="222"/>
      <c r="BG35" s="222"/>
      <c r="BH35" s="222"/>
      <c r="BI35" s="222"/>
      <c r="BJ35" s="222"/>
      <c r="BK35" s="222"/>
      <c r="BL35" s="222"/>
    </row>
    <row r="36" spans="1:64" ht="17.25" thickBot="1">
      <c r="A36" s="222"/>
      <c r="B36" s="529" t="s">
        <v>11384</v>
      </c>
      <c r="C36" s="355"/>
      <c r="D36" s="355"/>
      <c r="E36" s="355"/>
      <c r="F36" s="355"/>
      <c r="G36" s="355"/>
      <c r="H36" s="355"/>
      <c r="I36" s="355"/>
      <c r="J36" s="355"/>
      <c r="K36" s="355"/>
      <c r="L36" s="355"/>
      <c r="M36" s="355"/>
      <c r="N36" s="355"/>
      <c r="O36" s="355"/>
      <c r="P36" s="355"/>
      <c r="Q36" s="355"/>
      <c r="R36" s="355"/>
      <c r="S36" s="355"/>
      <c r="T36" s="355"/>
      <c r="U36" s="355"/>
      <c r="V36" s="355"/>
      <c r="W36" s="355"/>
      <c r="X36" s="355"/>
      <c r="Y36" s="355"/>
      <c r="Z36" s="355"/>
      <c r="AA36" s="355"/>
      <c r="AB36" s="355"/>
      <c r="AC36" s="355"/>
      <c r="AD36" s="355"/>
      <c r="AE36" s="355"/>
      <c r="AF36" s="222"/>
      <c r="AG36" s="222"/>
      <c r="AH36" s="222"/>
      <c r="AI36" s="222"/>
      <c r="AJ36" s="222"/>
      <c r="AK36" s="222"/>
      <c r="AL36" s="222"/>
      <c r="AM36" s="222"/>
      <c r="AN36" s="222"/>
      <c r="AO36" s="222"/>
      <c r="AP36" s="222"/>
      <c r="AQ36" s="222"/>
      <c r="AR36" s="222"/>
      <c r="AS36" s="222"/>
      <c r="AT36" s="222"/>
      <c r="AU36" s="222"/>
      <c r="AV36" s="222"/>
      <c r="AW36" s="222"/>
      <c r="AX36" s="222"/>
      <c r="AY36" s="222"/>
      <c r="AZ36" s="222"/>
      <c r="BA36" s="222"/>
      <c r="BB36" s="222"/>
      <c r="BC36" s="222"/>
      <c r="BD36" s="222"/>
      <c r="BE36" s="222"/>
      <c r="BF36" s="222"/>
      <c r="BG36" s="222"/>
      <c r="BH36" s="222"/>
      <c r="BI36" s="222"/>
      <c r="BJ36" s="222"/>
      <c r="BK36" s="222"/>
      <c r="BL36" s="222"/>
    </row>
    <row r="37" spans="1:64" s="1" customFormat="1" ht="15.75" customHeight="1">
      <c r="A37" s="331"/>
      <c r="B37" s="2214" t="s">
        <v>81</v>
      </c>
      <c r="C37" s="1892"/>
      <c r="D37" s="1892"/>
      <c r="E37" s="1892"/>
      <c r="F37" s="1893"/>
      <c r="G37" s="2424" t="s">
        <v>345</v>
      </c>
      <c r="H37" s="2425"/>
      <c r="I37" s="2425"/>
      <c r="J37" s="2425"/>
      <c r="K37" s="2425"/>
      <c r="L37" s="2425"/>
      <c r="M37" s="2425"/>
      <c r="N37" s="2425"/>
      <c r="O37" s="2425"/>
      <c r="P37" s="2425"/>
      <c r="Q37" s="2425"/>
      <c r="R37" s="2425"/>
      <c r="S37" s="2425"/>
      <c r="T37" s="2425"/>
      <c r="U37" s="2425"/>
      <c r="V37" s="2425"/>
      <c r="W37" s="2425"/>
      <c r="X37" s="2425"/>
      <c r="Y37" s="2425"/>
      <c r="Z37" s="2425"/>
      <c r="AA37" s="2425"/>
      <c r="AB37" s="2425"/>
      <c r="AC37" s="2425"/>
      <c r="AD37" s="2425"/>
      <c r="AE37" s="2425"/>
      <c r="AF37" s="2425"/>
      <c r="AG37" s="2426"/>
      <c r="AH37" s="2424" t="s">
        <v>346</v>
      </c>
      <c r="AI37" s="2425"/>
      <c r="AJ37" s="2425"/>
      <c r="AK37" s="2425"/>
      <c r="AL37" s="2425"/>
      <c r="AM37" s="2425"/>
      <c r="AN37" s="2425"/>
      <c r="AO37" s="2425"/>
      <c r="AP37" s="2425"/>
      <c r="AQ37" s="2425"/>
      <c r="AR37" s="2425"/>
      <c r="AS37" s="2425"/>
      <c r="AT37" s="2425"/>
      <c r="AU37" s="2425"/>
      <c r="AV37" s="2425"/>
      <c r="AW37" s="2425"/>
      <c r="AX37" s="2425"/>
      <c r="AY37" s="2425"/>
      <c r="AZ37" s="2425"/>
      <c r="BA37" s="2425"/>
      <c r="BB37" s="2425"/>
      <c r="BC37" s="2425"/>
      <c r="BD37" s="2425"/>
      <c r="BE37" s="2425"/>
      <c r="BF37" s="2425"/>
      <c r="BG37" s="2425"/>
      <c r="BH37" s="2426"/>
      <c r="BI37" s="331"/>
      <c r="BJ37" s="331"/>
      <c r="BK37" s="331"/>
      <c r="BL37" s="331"/>
    </row>
    <row r="38" spans="1:64" s="1" customFormat="1" ht="20.100000000000001" customHeight="1">
      <c r="A38" s="331"/>
      <c r="B38" s="2215"/>
      <c r="C38" s="2216"/>
      <c r="D38" s="2216"/>
      <c r="E38" s="2216"/>
      <c r="F38" s="2217"/>
      <c r="G38" s="2553" t="s">
        <v>347</v>
      </c>
      <c r="H38" s="2554"/>
      <c r="I38" s="2554"/>
      <c r="J38" s="2554"/>
      <c r="K38" s="2554"/>
      <c r="L38" s="2554"/>
      <c r="M38" s="2554"/>
      <c r="N38" s="2554"/>
      <c r="O38" s="2554"/>
      <c r="P38" s="2554"/>
      <c r="Q38" s="2554"/>
      <c r="R38" s="2555"/>
      <c r="S38" s="2553" t="s">
        <v>348</v>
      </c>
      <c r="T38" s="2554"/>
      <c r="U38" s="2554"/>
      <c r="V38" s="2554"/>
      <c r="W38" s="2554"/>
      <c r="X38" s="2554"/>
      <c r="Y38" s="2554"/>
      <c r="Z38" s="2554"/>
      <c r="AA38" s="2554"/>
      <c r="AB38" s="2554"/>
      <c r="AC38" s="2554"/>
      <c r="AD38" s="2555"/>
      <c r="AE38" s="2329" t="s">
        <v>349</v>
      </c>
      <c r="AF38" s="2156"/>
      <c r="AG38" s="2546"/>
      <c r="AH38" s="2553" t="s">
        <v>347</v>
      </c>
      <c r="AI38" s="2554"/>
      <c r="AJ38" s="2554"/>
      <c r="AK38" s="2554"/>
      <c r="AL38" s="2554"/>
      <c r="AM38" s="2554"/>
      <c r="AN38" s="2554"/>
      <c r="AO38" s="2554"/>
      <c r="AP38" s="2554"/>
      <c r="AQ38" s="2554"/>
      <c r="AR38" s="2554"/>
      <c r="AS38" s="2555"/>
      <c r="AT38" s="2553" t="s">
        <v>348</v>
      </c>
      <c r="AU38" s="2554"/>
      <c r="AV38" s="2554"/>
      <c r="AW38" s="2554"/>
      <c r="AX38" s="2554"/>
      <c r="AY38" s="2554"/>
      <c r="AZ38" s="2554"/>
      <c r="BA38" s="2554"/>
      <c r="BB38" s="2554"/>
      <c r="BC38" s="2554"/>
      <c r="BD38" s="2554"/>
      <c r="BE38" s="2555"/>
      <c r="BF38" s="2329" t="s">
        <v>349</v>
      </c>
      <c r="BG38" s="2156"/>
      <c r="BH38" s="2546"/>
      <c r="BI38" s="331"/>
      <c r="BJ38" s="331"/>
      <c r="BK38" s="331"/>
      <c r="BL38" s="331"/>
    </row>
    <row r="39" spans="1:64" s="1" customFormat="1" ht="20.100000000000001" customHeight="1">
      <c r="A39" s="331"/>
      <c r="B39" s="2215"/>
      <c r="C39" s="2216"/>
      <c r="D39" s="2216"/>
      <c r="E39" s="2216"/>
      <c r="F39" s="2217"/>
      <c r="G39" s="2329" t="s">
        <v>350</v>
      </c>
      <c r="H39" s="2156"/>
      <c r="I39" s="2157"/>
      <c r="J39" s="2155" t="s">
        <v>351</v>
      </c>
      <c r="K39" s="2156"/>
      <c r="L39" s="2157"/>
      <c r="M39" s="2155" t="s">
        <v>352</v>
      </c>
      <c r="N39" s="2156"/>
      <c r="O39" s="2157"/>
      <c r="P39" s="2155" t="s">
        <v>353</v>
      </c>
      <c r="Q39" s="2156"/>
      <c r="R39" s="2546"/>
      <c r="S39" s="2329" t="s">
        <v>350</v>
      </c>
      <c r="T39" s="2156"/>
      <c r="U39" s="2157"/>
      <c r="V39" s="2155" t="s">
        <v>351</v>
      </c>
      <c r="W39" s="2156"/>
      <c r="X39" s="2157"/>
      <c r="Y39" s="2155" t="s">
        <v>352</v>
      </c>
      <c r="Z39" s="2156"/>
      <c r="AA39" s="2157"/>
      <c r="AB39" s="2155" t="s">
        <v>353</v>
      </c>
      <c r="AC39" s="2156"/>
      <c r="AD39" s="2546"/>
      <c r="AE39" s="2132"/>
      <c r="AF39" s="2133"/>
      <c r="AG39" s="2134"/>
      <c r="AH39" s="2329" t="s">
        <v>350</v>
      </c>
      <c r="AI39" s="2156"/>
      <c r="AJ39" s="2157"/>
      <c r="AK39" s="2155" t="s">
        <v>351</v>
      </c>
      <c r="AL39" s="2156"/>
      <c r="AM39" s="2157"/>
      <c r="AN39" s="2155" t="s">
        <v>352</v>
      </c>
      <c r="AO39" s="2156"/>
      <c r="AP39" s="2157"/>
      <c r="AQ39" s="2155" t="s">
        <v>353</v>
      </c>
      <c r="AR39" s="2156"/>
      <c r="AS39" s="2546"/>
      <c r="AT39" s="2329" t="s">
        <v>350</v>
      </c>
      <c r="AU39" s="2156"/>
      <c r="AV39" s="2157"/>
      <c r="AW39" s="2155" t="s">
        <v>351</v>
      </c>
      <c r="AX39" s="2156"/>
      <c r="AY39" s="2157"/>
      <c r="AZ39" s="2155" t="s">
        <v>352</v>
      </c>
      <c r="BA39" s="2156"/>
      <c r="BB39" s="2157"/>
      <c r="BC39" s="2155" t="s">
        <v>353</v>
      </c>
      <c r="BD39" s="2156"/>
      <c r="BE39" s="2546"/>
      <c r="BF39" s="2132"/>
      <c r="BG39" s="2133"/>
      <c r="BH39" s="2134"/>
      <c r="BI39" s="331"/>
      <c r="BJ39" s="331"/>
      <c r="BK39" s="331"/>
      <c r="BL39" s="331"/>
    </row>
    <row r="40" spans="1:64" s="1" customFormat="1" ht="20.100000000000001" customHeight="1" thickBot="1">
      <c r="A40" s="331"/>
      <c r="B40" s="2337"/>
      <c r="C40" s="2338"/>
      <c r="D40" s="2338"/>
      <c r="E40" s="2338"/>
      <c r="F40" s="2339"/>
      <c r="G40" s="2547"/>
      <c r="H40" s="2548"/>
      <c r="I40" s="2550"/>
      <c r="J40" s="2551"/>
      <c r="K40" s="2548"/>
      <c r="L40" s="2550"/>
      <c r="M40" s="2551"/>
      <c r="N40" s="2548"/>
      <c r="O40" s="2550"/>
      <c r="P40" s="2551"/>
      <c r="Q40" s="2548"/>
      <c r="R40" s="2549"/>
      <c r="S40" s="2547"/>
      <c r="T40" s="2548"/>
      <c r="U40" s="2550"/>
      <c r="V40" s="2551"/>
      <c r="W40" s="2548"/>
      <c r="X40" s="2550"/>
      <c r="Y40" s="2551"/>
      <c r="Z40" s="2548"/>
      <c r="AA40" s="2550"/>
      <c r="AB40" s="2551"/>
      <c r="AC40" s="2548"/>
      <c r="AD40" s="2549"/>
      <c r="AE40" s="2547"/>
      <c r="AF40" s="2548"/>
      <c r="AG40" s="2549"/>
      <c r="AH40" s="2547"/>
      <c r="AI40" s="2548"/>
      <c r="AJ40" s="2550"/>
      <c r="AK40" s="2551"/>
      <c r="AL40" s="2548"/>
      <c r="AM40" s="2550"/>
      <c r="AN40" s="2551"/>
      <c r="AO40" s="2548"/>
      <c r="AP40" s="2550"/>
      <c r="AQ40" s="2551"/>
      <c r="AR40" s="2548"/>
      <c r="AS40" s="2549"/>
      <c r="AT40" s="2547"/>
      <c r="AU40" s="2548"/>
      <c r="AV40" s="2550"/>
      <c r="AW40" s="2551"/>
      <c r="AX40" s="2548"/>
      <c r="AY40" s="2550"/>
      <c r="AZ40" s="2551"/>
      <c r="BA40" s="2548"/>
      <c r="BB40" s="2550"/>
      <c r="BC40" s="2551"/>
      <c r="BD40" s="2548"/>
      <c r="BE40" s="2549"/>
      <c r="BF40" s="2547"/>
      <c r="BG40" s="2548"/>
      <c r="BH40" s="2549"/>
      <c r="BI40" s="331"/>
      <c r="BJ40" s="331"/>
      <c r="BK40" s="331"/>
      <c r="BL40" s="331"/>
    </row>
    <row r="41" spans="1:64" ht="30" customHeight="1">
      <c r="A41" s="222"/>
      <c r="B41" s="531" t="s">
        <v>350</v>
      </c>
      <c r="C41" s="537"/>
      <c r="D41" s="538"/>
      <c r="E41" s="538"/>
      <c r="F41" s="522"/>
      <c r="G41" s="2536">
        <v>2</v>
      </c>
      <c r="H41" s="2537"/>
      <c r="I41" s="2537"/>
      <c r="J41" s="2538">
        <v>0</v>
      </c>
      <c r="K41" s="2538"/>
      <c r="L41" s="2538"/>
      <c r="M41" s="2538">
        <v>0</v>
      </c>
      <c r="N41" s="2538"/>
      <c r="O41" s="2538"/>
      <c r="P41" s="2539">
        <v>0</v>
      </c>
      <c r="Q41" s="2537"/>
      <c r="R41" s="2540"/>
      <c r="S41" s="2536">
        <v>0</v>
      </c>
      <c r="T41" s="2537"/>
      <c r="U41" s="2537"/>
      <c r="V41" s="2538">
        <v>0</v>
      </c>
      <c r="W41" s="2538"/>
      <c r="X41" s="2538"/>
      <c r="Y41" s="2538">
        <v>0</v>
      </c>
      <c r="Z41" s="2538"/>
      <c r="AA41" s="2538"/>
      <c r="AB41" s="2537">
        <v>0</v>
      </c>
      <c r="AC41" s="2537"/>
      <c r="AD41" s="2537"/>
      <c r="AE41" s="2536">
        <v>4</v>
      </c>
      <c r="AF41" s="2537"/>
      <c r="AG41" s="2540"/>
      <c r="AH41" s="2536">
        <v>0</v>
      </c>
      <c r="AI41" s="2537"/>
      <c r="AJ41" s="2537"/>
      <c r="AK41" s="2538">
        <v>0</v>
      </c>
      <c r="AL41" s="2538"/>
      <c r="AM41" s="2538"/>
      <c r="AN41" s="2538">
        <v>0</v>
      </c>
      <c r="AO41" s="2538"/>
      <c r="AP41" s="2538"/>
      <c r="AQ41" s="2539">
        <v>0</v>
      </c>
      <c r="AR41" s="2537"/>
      <c r="AS41" s="2540"/>
      <c r="AT41" s="2536">
        <v>0</v>
      </c>
      <c r="AU41" s="2537"/>
      <c r="AV41" s="2537"/>
      <c r="AW41" s="2538">
        <v>0</v>
      </c>
      <c r="AX41" s="2538"/>
      <c r="AY41" s="2538"/>
      <c r="AZ41" s="2538">
        <v>0</v>
      </c>
      <c r="BA41" s="2538"/>
      <c r="BB41" s="2538"/>
      <c r="BC41" s="2537">
        <v>0</v>
      </c>
      <c r="BD41" s="2537"/>
      <c r="BE41" s="2537"/>
      <c r="BF41" s="2536">
        <v>0</v>
      </c>
      <c r="BG41" s="2537"/>
      <c r="BH41" s="2540"/>
      <c r="BI41" s="222"/>
      <c r="BJ41" s="222"/>
      <c r="BK41" s="222"/>
      <c r="BL41" s="222"/>
    </row>
    <row r="42" spans="1:64" ht="30" customHeight="1">
      <c r="A42" s="222"/>
      <c r="B42" s="536" t="s">
        <v>351</v>
      </c>
      <c r="C42" s="537"/>
      <c r="D42" s="538"/>
      <c r="E42" s="538"/>
      <c r="F42" s="522"/>
      <c r="G42" s="2526">
        <v>0</v>
      </c>
      <c r="H42" s="2527"/>
      <c r="I42" s="2527"/>
      <c r="J42" s="2528">
        <v>2</v>
      </c>
      <c r="K42" s="2528"/>
      <c r="L42" s="2528"/>
      <c r="M42" s="2528">
        <v>0</v>
      </c>
      <c r="N42" s="2528"/>
      <c r="O42" s="2528"/>
      <c r="P42" s="2529">
        <v>0</v>
      </c>
      <c r="Q42" s="2527"/>
      <c r="R42" s="2530"/>
      <c r="S42" s="2526">
        <v>0</v>
      </c>
      <c r="T42" s="2527"/>
      <c r="U42" s="2527"/>
      <c r="V42" s="2528">
        <v>0</v>
      </c>
      <c r="W42" s="2528"/>
      <c r="X42" s="2528"/>
      <c r="Y42" s="2528">
        <v>0</v>
      </c>
      <c r="Z42" s="2528"/>
      <c r="AA42" s="2528"/>
      <c r="AB42" s="2527">
        <v>0</v>
      </c>
      <c r="AC42" s="2527"/>
      <c r="AD42" s="2527"/>
      <c r="AE42" s="2526">
        <v>4</v>
      </c>
      <c r="AF42" s="2527"/>
      <c r="AG42" s="2530"/>
      <c r="AH42" s="2526">
        <v>0</v>
      </c>
      <c r="AI42" s="2527"/>
      <c r="AJ42" s="2527"/>
      <c r="AK42" s="2528">
        <v>0</v>
      </c>
      <c r="AL42" s="2528"/>
      <c r="AM42" s="2528"/>
      <c r="AN42" s="2528">
        <v>0</v>
      </c>
      <c r="AO42" s="2528"/>
      <c r="AP42" s="2528"/>
      <c r="AQ42" s="2529">
        <v>0</v>
      </c>
      <c r="AR42" s="2527"/>
      <c r="AS42" s="2530"/>
      <c r="AT42" s="2526">
        <v>0</v>
      </c>
      <c r="AU42" s="2527"/>
      <c r="AV42" s="2527"/>
      <c r="AW42" s="2528">
        <v>0</v>
      </c>
      <c r="AX42" s="2528"/>
      <c r="AY42" s="2528"/>
      <c r="AZ42" s="2528">
        <v>0</v>
      </c>
      <c r="BA42" s="2528"/>
      <c r="BB42" s="2528"/>
      <c r="BC42" s="2527">
        <v>0</v>
      </c>
      <c r="BD42" s="2527"/>
      <c r="BE42" s="2527"/>
      <c r="BF42" s="2526">
        <v>0</v>
      </c>
      <c r="BG42" s="2527"/>
      <c r="BH42" s="2530"/>
      <c r="BI42" s="222"/>
      <c r="BJ42" s="222"/>
      <c r="BK42" s="222"/>
      <c r="BL42" s="222"/>
    </row>
    <row r="43" spans="1:64" ht="30" customHeight="1">
      <c r="A43" s="222"/>
      <c r="B43" s="552" t="s">
        <v>352</v>
      </c>
      <c r="C43" s="553"/>
      <c r="D43" s="554"/>
      <c r="E43" s="554"/>
      <c r="F43" s="555"/>
      <c r="G43" s="2526">
        <v>0</v>
      </c>
      <c r="H43" s="2527"/>
      <c r="I43" s="2527"/>
      <c r="J43" s="2528">
        <v>0</v>
      </c>
      <c r="K43" s="2528"/>
      <c r="L43" s="2528"/>
      <c r="M43" s="2528">
        <v>2</v>
      </c>
      <c r="N43" s="2528"/>
      <c r="O43" s="2528"/>
      <c r="P43" s="2529">
        <v>0</v>
      </c>
      <c r="Q43" s="2527"/>
      <c r="R43" s="2530"/>
      <c r="S43" s="2526">
        <v>0</v>
      </c>
      <c r="T43" s="2527"/>
      <c r="U43" s="2527"/>
      <c r="V43" s="2528">
        <v>0</v>
      </c>
      <c r="W43" s="2528"/>
      <c r="X43" s="2528"/>
      <c r="Y43" s="2528">
        <v>0</v>
      </c>
      <c r="Z43" s="2528"/>
      <c r="AA43" s="2528"/>
      <c r="AB43" s="2527">
        <v>0</v>
      </c>
      <c r="AC43" s="2527"/>
      <c r="AD43" s="2527"/>
      <c r="AE43" s="2526">
        <v>3</v>
      </c>
      <c r="AF43" s="2527"/>
      <c r="AG43" s="2530"/>
      <c r="AH43" s="2526">
        <v>0</v>
      </c>
      <c r="AI43" s="2527"/>
      <c r="AJ43" s="2527"/>
      <c r="AK43" s="2528">
        <v>0</v>
      </c>
      <c r="AL43" s="2528"/>
      <c r="AM43" s="2528"/>
      <c r="AN43" s="2528">
        <v>0</v>
      </c>
      <c r="AO43" s="2528"/>
      <c r="AP43" s="2528"/>
      <c r="AQ43" s="2529">
        <v>0</v>
      </c>
      <c r="AR43" s="2527"/>
      <c r="AS43" s="2530"/>
      <c r="AT43" s="2526">
        <v>0</v>
      </c>
      <c r="AU43" s="2527"/>
      <c r="AV43" s="2527"/>
      <c r="AW43" s="2528">
        <v>0</v>
      </c>
      <c r="AX43" s="2528"/>
      <c r="AY43" s="2528"/>
      <c r="AZ43" s="2528">
        <v>0</v>
      </c>
      <c r="BA43" s="2528"/>
      <c r="BB43" s="2528"/>
      <c r="BC43" s="2527">
        <v>0</v>
      </c>
      <c r="BD43" s="2527"/>
      <c r="BE43" s="2527"/>
      <c r="BF43" s="2526">
        <v>0</v>
      </c>
      <c r="BG43" s="2527"/>
      <c r="BH43" s="2530"/>
      <c r="BI43" s="222"/>
      <c r="BJ43" s="222"/>
      <c r="BK43" s="222"/>
      <c r="BL43" s="222"/>
    </row>
    <row r="44" spans="1:64" ht="30" customHeight="1" thickBot="1">
      <c r="A44" s="222"/>
      <c r="B44" s="556" t="s">
        <v>354</v>
      </c>
      <c r="C44" s="557"/>
      <c r="D44" s="558"/>
      <c r="E44" s="558"/>
      <c r="F44" s="526"/>
      <c r="G44" s="2531">
        <v>0</v>
      </c>
      <c r="H44" s="2532"/>
      <c r="I44" s="2532"/>
      <c r="J44" s="2533">
        <v>0</v>
      </c>
      <c r="K44" s="2533"/>
      <c r="L44" s="2533"/>
      <c r="M44" s="2533">
        <v>0</v>
      </c>
      <c r="N44" s="2533"/>
      <c r="O44" s="2533"/>
      <c r="P44" s="2534">
        <v>3</v>
      </c>
      <c r="Q44" s="2532"/>
      <c r="R44" s="2535"/>
      <c r="S44" s="2531">
        <v>0</v>
      </c>
      <c r="T44" s="2532"/>
      <c r="U44" s="2552"/>
      <c r="V44" s="2552">
        <v>0</v>
      </c>
      <c r="W44" s="2533"/>
      <c r="X44" s="2533"/>
      <c r="Y44" s="2533">
        <v>0</v>
      </c>
      <c r="Z44" s="2533"/>
      <c r="AA44" s="2533"/>
      <c r="AB44" s="2532">
        <v>0</v>
      </c>
      <c r="AC44" s="2532"/>
      <c r="AD44" s="2532"/>
      <c r="AE44" s="2531">
        <v>3</v>
      </c>
      <c r="AF44" s="2532"/>
      <c r="AG44" s="2535"/>
      <c r="AH44" s="2531">
        <v>0</v>
      </c>
      <c r="AI44" s="2532"/>
      <c r="AJ44" s="2532"/>
      <c r="AK44" s="2533">
        <v>0</v>
      </c>
      <c r="AL44" s="2533"/>
      <c r="AM44" s="2533"/>
      <c r="AN44" s="2533">
        <v>0</v>
      </c>
      <c r="AO44" s="2533"/>
      <c r="AP44" s="2533"/>
      <c r="AQ44" s="2534">
        <v>0</v>
      </c>
      <c r="AR44" s="2532"/>
      <c r="AS44" s="2535"/>
      <c r="AT44" s="2531">
        <v>0</v>
      </c>
      <c r="AU44" s="2532"/>
      <c r="AV44" s="2532"/>
      <c r="AW44" s="2533">
        <v>0</v>
      </c>
      <c r="AX44" s="2533"/>
      <c r="AY44" s="2533"/>
      <c r="AZ44" s="2533">
        <v>0</v>
      </c>
      <c r="BA44" s="2533"/>
      <c r="BB44" s="2533"/>
      <c r="BC44" s="2532">
        <v>0</v>
      </c>
      <c r="BD44" s="2532"/>
      <c r="BE44" s="2532"/>
      <c r="BF44" s="2531">
        <v>0</v>
      </c>
      <c r="BG44" s="2532"/>
      <c r="BH44" s="2535"/>
      <c r="BI44" s="222"/>
      <c r="BJ44" s="222"/>
      <c r="BK44" s="222"/>
      <c r="BL44" s="222"/>
    </row>
    <row r="45" spans="1:64" ht="30" customHeight="1" thickTop="1" thickBot="1">
      <c r="A45" s="222"/>
      <c r="B45" s="1885" t="s">
        <v>42</v>
      </c>
      <c r="C45" s="1886"/>
      <c r="D45" s="1886"/>
      <c r="E45" s="1886"/>
      <c r="F45" s="1887"/>
      <c r="G45" s="1888">
        <f>SUM(G41:I44)</f>
        <v>2</v>
      </c>
      <c r="H45" s="1857"/>
      <c r="I45" s="1870"/>
      <c r="J45" s="1889">
        <f>SUM(J41:L44)</f>
        <v>2</v>
      </c>
      <c r="K45" s="1857"/>
      <c r="L45" s="1870"/>
      <c r="M45" s="1889">
        <f t="shared" ref="M45" si="3">SUM(M41:O44)</f>
        <v>2</v>
      </c>
      <c r="N45" s="1857"/>
      <c r="O45" s="1870"/>
      <c r="P45" s="1857">
        <f t="shared" ref="P45" si="4">SUM(P41:R44)</f>
        <v>3</v>
      </c>
      <c r="Q45" s="1857"/>
      <c r="R45" s="1857"/>
      <c r="S45" s="1888">
        <f t="shared" ref="S45" si="5">SUM(S41:U44)</f>
        <v>0</v>
      </c>
      <c r="T45" s="1857"/>
      <c r="U45" s="1870"/>
      <c r="V45" s="1889">
        <f t="shared" ref="V45" si="6">SUM(V41:X44)</f>
        <v>0</v>
      </c>
      <c r="W45" s="1857"/>
      <c r="X45" s="1870"/>
      <c r="Y45" s="1889">
        <f t="shared" ref="Y45" si="7">SUM(Y41:AA44)</f>
        <v>0</v>
      </c>
      <c r="Z45" s="1857"/>
      <c r="AA45" s="1870"/>
      <c r="AB45" s="1857">
        <f t="shared" ref="AB45" si="8">SUM(AB41:AD44)</f>
        <v>0</v>
      </c>
      <c r="AC45" s="1857"/>
      <c r="AD45" s="1857"/>
      <c r="AE45" s="1888">
        <f t="shared" ref="AE45" si="9">SUM(AE41:AG44)</f>
        <v>14</v>
      </c>
      <c r="AF45" s="1857"/>
      <c r="AG45" s="1857"/>
      <c r="AH45" s="1888">
        <f t="shared" ref="AH45" si="10">SUM(AH41:AJ44)</f>
        <v>0</v>
      </c>
      <c r="AI45" s="1857"/>
      <c r="AJ45" s="1870"/>
      <c r="AK45" s="1889">
        <f t="shared" ref="AK45" si="11">SUM(AK41:AM44)</f>
        <v>0</v>
      </c>
      <c r="AL45" s="1857"/>
      <c r="AM45" s="1870"/>
      <c r="AN45" s="1889">
        <f t="shared" ref="AN45" si="12">SUM(AN41:AP44)</f>
        <v>0</v>
      </c>
      <c r="AO45" s="1857"/>
      <c r="AP45" s="1870"/>
      <c r="AQ45" s="1857">
        <f t="shared" ref="AQ45" si="13">SUM(AQ41:AS44)</f>
        <v>0</v>
      </c>
      <c r="AR45" s="1857"/>
      <c r="AS45" s="1857"/>
      <c r="AT45" s="1888">
        <f t="shared" ref="AT45" si="14">SUM(AT41:AV44)</f>
        <v>0</v>
      </c>
      <c r="AU45" s="1857"/>
      <c r="AV45" s="1870"/>
      <c r="AW45" s="1889">
        <f t="shared" ref="AW45" si="15">SUM(AW41:AY44)</f>
        <v>0</v>
      </c>
      <c r="AX45" s="1857"/>
      <c r="AY45" s="1870"/>
      <c r="AZ45" s="1889">
        <f t="shared" ref="AZ45" si="16">SUM(AZ41:BB44)</f>
        <v>0</v>
      </c>
      <c r="BA45" s="1857"/>
      <c r="BB45" s="1870"/>
      <c r="BC45" s="1857">
        <f t="shared" ref="BC45" si="17">SUM(BC41:BE44)</f>
        <v>0</v>
      </c>
      <c r="BD45" s="1857"/>
      <c r="BE45" s="1857"/>
      <c r="BF45" s="1888">
        <f t="shared" ref="BF45" si="18">SUM(BF41:BH44)</f>
        <v>0</v>
      </c>
      <c r="BG45" s="1857"/>
      <c r="BH45" s="1858"/>
      <c r="BI45" s="222"/>
      <c r="BJ45" s="222"/>
      <c r="BK45" s="222"/>
      <c r="BL45" s="222"/>
    </row>
    <row r="46" spans="1:64" ht="17.25">
      <c r="A46" s="222"/>
      <c r="B46" s="302" t="s">
        <v>355</v>
      </c>
      <c r="C46" s="433"/>
      <c r="D46" s="559"/>
      <c r="E46" s="274" t="s">
        <v>356</v>
      </c>
      <c r="F46" s="222"/>
      <c r="G46" s="224"/>
      <c r="H46" s="224"/>
      <c r="I46" s="224"/>
      <c r="J46" s="224"/>
      <c r="K46" s="224"/>
      <c r="L46" s="224"/>
      <c r="M46" s="224"/>
      <c r="N46" s="224"/>
      <c r="O46" s="224"/>
      <c r="P46" s="224"/>
      <c r="Q46" s="224"/>
      <c r="R46" s="224"/>
      <c r="S46" s="224"/>
      <c r="T46" s="224"/>
      <c r="U46" s="224"/>
      <c r="V46" s="224"/>
      <c r="W46" s="224"/>
      <c r="X46" s="224"/>
      <c r="Y46" s="222"/>
      <c r="Z46" s="222"/>
      <c r="AA46" s="222"/>
      <c r="AB46" s="222"/>
      <c r="AC46" s="222"/>
      <c r="AD46" s="222"/>
      <c r="AE46" s="222"/>
      <c r="AF46" s="222"/>
      <c r="AG46" s="222"/>
      <c r="AH46" s="222"/>
      <c r="AI46" s="222"/>
      <c r="AJ46" s="222"/>
      <c r="AK46" s="222"/>
      <c r="AL46" s="222"/>
      <c r="AM46" s="222"/>
      <c r="AN46" s="222"/>
      <c r="AO46" s="222"/>
      <c r="AP46" s="222"/>
      <c r="AQ46" s="222"/>
      <c r="AR46" s="222"/>
      <c r="AS46" s="222"/>
      <c r="AT46" s="222"/>
      <c r="AU46" s="222"/>
      <c r="AV46" s="222"/>
      <c r="AW46" s="222"/>
      <c r="AX46" s="222"/>
      <c r="AY46" s="222"/>
      <c r="AZ46" s="222"/>
      <c r="BA46" s="222"/>
      <c r="BB46" s="222"/>
      <c r="BC46" s="222"/>
      <c r="BD46" s="222"/>
      <c r="BE46" s="222"/>
      <c r="BF46" s="222"/>
      <c r="BG46" s="222"/>
      <c r="BH46" s="222"/>
      <c r="BI46" s="222"/>
      <c r="BJ46" s="222"/>
      <c r="BK46" s="222"/>
      <c r="BL46" s="222"/>
    </row>
    <row r="47" spans="1:64" ht="30" customHeight="1">
      <c r="A47" s="222"/>
      <c r="B47" s="222"/>
      <c r="C47" s="239"/>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c r="AF47" s="222"/>
      <c r="AG47" s="222"/>
      <c r="AH47" s="222"/>
      <c r="AI47" s="222"/>
      <c r="AJ47" s="222"/>
      <c r="AK47" s="222"/>
      <c r="AL47" s="222"/>
      <c r="AM47" s="222"/>
      <c r="AN47" s="222"/>
      <c r="AO47" s="222"/>
      <c r="AP47" s="222"/>
      <c r="AQ47" s="222"/>
      <c r="AR47" s="222"/>
      <c r="AS47" s="222"/>
      <c r="AT47" s="222"/>
      <c r="AU47" s="222"/>
      <c r="AV47" s="222"/>
      <c r="AW47" s="222"/>
      <c r="AX47" s="222"/>
      <c r="AY47" s="222"/>
      <c r="AZ47" s="222"/>
      <c r="BA47" s="222"/>
      <c r="BB47" s="222"/>
      <c r="BC47" s="222"/>
      <c r="BD47" s="222"/>
      <c r="BE47" s="222"/>
      <c r="BF47" s="222"/>
      <c r="BG47" s="222"/>
      <c r="BH47" s="222"/>
      <c r="BI47" s="222"/>
      <c r="BJ47" s="222"/>
      <c r="BK47" s="222"/>
      <c r="BL47" s="222"/>
    </row>
    <row r="48" spans="1:64">
      <c r="A48" s="222"/>
      <c r="B48" s="223" t="s">
        <v>32</v>
      </c>
      <c r="C48" s="222"/>
      <c r="D48" s="222"/>
      <c r="E48" s="222"/>
      <c r="F48" s="222"/>
      <c r="G48" s="222"/>
      <c r="H48" s="222"/>
      <c r="I48" s="222"/>
      <c r="J48" s="222"/>
      <c r="K48" s="222"/>
      <c r="L48" s="222"/>
      <c r="M48" s="222"/>
      <c r="N48" s="222"/>
      <c r="O48" s="222"/>
      <c r="P48" s="222"/>
      <c r="Q48" s="222"/>
      <c r="R48" s="222"/>
      <c r="S48" s="222"/>
      <c r="T48" s="222"/>
      <c r="U48" s="222"/>
      <c r="V48" s="222"/>
      <c r="W48" s="223" t="s">
        <v>134</v>
      </c>
      <c r="X48" s="331"/>
      <c r="Y48" s="331"/>
      <c r="Z48" s="331"/>
      <c r="AA48" s="331"/>
      <c r="AB48" s="331"/>
      <c r="AC48" s="331"/>
      <c r="AD48" s="331"/>
      <c r="AE48" s="331"/>
      <c r="AF48" s="331"/>
      <c r="AG48" s="331"/>
      <c r="AH48" s="331"/>
      <c r="AI48" s="331"/>
      <c r="AJ48" s="331"/>
      <c r="AK48" s="331"/>
      <c r="AL48" s="331"/>
      <c r="AM48" s="331"/>
      <c r="AN48" s="222"/>
      <c r="AO48" s="222"/>
      <c r="AP48" s="222"/>
      <c r="AQ48" s="222"/>
      <c r="AR48" s="223" t="s">
        <v>33</v>
      </c>
      <c r="AS48" s="222"/>
      <c r="AT48" s="222"/>
      <c r="AU48" s="222"/>
      <c r="AV48" s="222"/>
      <c r="AW48" s="222"/>
      <c r="AX48" s="222"/>
      <c r="AY48" s="222"/>
      <c r="AZ48" s="222"/>
      <c r="BA48" s="222"/>
      <c r="BB48" s="222"/>
      <c r="BC48" s="222"/>
      <c r="BD48" s="222"/>
      <c r="BE48" s="222"/>
      <c r="BF48" s="222"/>
      <c r="BG48" s="222"/>
      <c r="BH48" s="222"/>
      <c r="BI48" s="222"/>
      <c r="BJ48" s="222"/>
      <c r="BK48" s="222"/>
      <c r="BL48" s="222"/>
    </row>
    <row r="49" spans="1:64" ht="21.75" customHeight="1">
      <c r="A49" s="222"/>
      <c r="B49" s="223" t="s">
        <v>73</v>
      </c>
      <c r="C49" s="222"/>
      <c r="D49" s="222"/>
      <c r="E49" s="222"/>
      <c r="F49" s="2012" t="str">
        <f>activesheet!E21</f>
        <v>MELCHESIEDICK Q. BOLANIO / March 17, 2023</v>
      </c>
      <c r="G49" s="2012"/>
      <c r="H49" s="2012"/>
      <c r="I49" s="2012"/>
      <c r="J49" s="2012"/>
      <c r="K49" s="2012"/>
      <c r="L49" s="2012"/>
      <c r="M49" s="2012"/>
      <c r="N49" s="2012"/>
      <c r="O49" s="2012"/>
      <c r="P49" s="2012"/>
      <c r="Q49" s="2012"/>
      <c r="R49" s="2012"/>
      <c r="S49" s="222"/>
      <c r="T49" s="222"/>
      <c r="U49" s="222"/>
      <c r="V49" s="222"/>
      <c r="W49" s="2012" t="str">
        <f>activesheet!E438</f>
        <v>ELMA CEZARIE Y. ROMERO / March 17, 2023</v>
      </c>
      <c r="X49" s="2012"/>
      <c r="Y49" s="2012"/>
      <c r="Z49" s="2012"/>
      <c r="AA49" s="2012"/>
      <c r="AB49" s="2012"/>
      <c r="AC49" s="2012"/>
      <c r="AD49" s="2012"/>
      <c r="AE49" s="2012"/>
      <c r="AF49" s="2012"/>
      <c r="AG49" s="2012"/>
      <c r="AH49" s="2012"/>
      <c r="AI49" s="2012"/>
      <c r="AJ49" s="2012"/>
      <c r="AK49" s="2012"/>
      <c r="AL49" s="2012"/>
      <c r="AM49" s="2012"/>
      <c r="AN49" s="222"/>
      <c r="AO49" s="222"/>
      <c r="AP49" s="222"/>
      <c r="AQ49" s="222"/>
      <c r="AR49" s="1940" t="str">
        <f>activesheet!E25</f>
        <v>MICHAEL T. JAMIS / March 17, 2023</v>
      </c>
      <c r="AS49" s="1940"/>
      <c r="AT49" s="1940"/>
      <c r="AU49" s="1940"/>
      <c r="AV49" s="1940"/>
      <c r="AW49" s="1940"/>
      <c r="AX49" s="1940"/>
      <c r="AY49" s="1940"/>
      <c r="AZ49" s="1940"/>
      <c r="BA49" s="1940"/>
      <c r="BB49" s="1940"/>
      <c r="BC49" s="1940"/>
      <c r="BD49" s="1940"/>
      <c r="BE49" s="1940"/>
      <c r="BF49" s="1940"/>
      <c r="BG49" s="1940"/>
      <c r="BH49" s="1940"/>
      <c r="BI49" s="222"/>
      <c r="BJ49" s="222"/>
      <c r="BK49" s="222"/>
      <c r="BL49" s="222"/>
    </row>
    <row r="50" spans="1:64" s="2" customFormat="1" ht="15.75" customHeight="1">
      <c r="A50" s="325"/>
      <c r="B50" s="228"/>
      <c r="C50" s="325"/>
      <c r="D50" s="325"/>
      <c r="E50" s="325"/>
      <c r="F50" s="1811" t="s">
        <v>37</v>
      </c>
      <c r="G50" s="1811"/>
      <c r="H50" s="1811"/>
      <c r="I50" s="1811"/>
      <c r="J50" s="1811"/>
      <c r="K50" s="1811"/>
      <c r="L50" s="1811"/>
      <c r="M50" s="1811"/>
      <c r="N50" s="1811"/>
      <c r="O50" s="1811"/>
      <c r="P50" s="1811"/>
      <c r="Q50" s="1811"/>
      <c r="R50" s="1811"/>
      <c r="S50" s="281"/>
      <c r="T50" s="281"/>
      <c r="U50" s="281"/>
      <c r="V50" s="281"/>
      <c r="W50" s="1811" t="s">
        <v>37</v>
      </c>
      <c r="X50" s="1811"/>
      <c r="Y50" s="1811"/>
      <c r="Z50" s="1811"/>
      <c r="AA50" s="1811"/>
      <c r="AB50" s="1811"/>
      <c r="AC50" s="1811"/>
      <c r="AD50" s="1811"/>
      <c r="AE50" s="1811"/>
      <c r="AF50" s="1811"/>
      <c r="AG50" s="1811"/>
      <c r="AH50" s="1811"/>
      <c r="AI50" s="1811"/>
      <c r="AJ50" s="1811"/>
      <c r="AK50" s="1811"/>
      <c r="AL50" s="1811"/>
      <c r="AM50" s="1811"/>
      <c r="AN50" s="281"/>
      <c r="AO50" s="281"/>
      <c r="AP50" s="281"/>
      <c r="AQ50" s="281"/>
      <c r="AR50" s="1941"/>
      <c r="AS50" s="1941"/>
      <c r="AT50" s="1941"/>
      <c r="AU50" s="1941"/>
      <c r="AV50" s="1941"/>
      <c r="AW50" s="1941"/>
      <c r="AX50" s="1941"/>
      <c r="AY50" s="1941"/>
      <c r="AZ50" s="1941"/>
      <c r="BA50" s="1941"/>
      <c r="BB50" s="1941"/>
      <c r="BC50" s="1941"/>
      <c r="BD50" s="1941"/>
      <c r="BE50" s="1941"/>
      <c r="BF50" s="1941"/>
      <c r="BG50" s="1941"/>
      <c r="BH50" s="1941"/>
      <c r="BI50" s="560"/>
      <c r="BJ50" s="325"/>
      <c r="BK50" s="325"/>
      <c r="BL50" s="325"/>
    </row>
    <row r="51" spans="1:64" ht="21.75" customHeight="1">
      <c r="A51" s="222"/>
      <c r="B51" s="223" t="s">
        <v>240</v>
      </c>
      <c r="C51" s="222"/>
      <c r="D51" s="222"/>
      <c r="E51" s="222"/>
      <c r="F51" s="2012" t="str">
        <f>activesheet!E22</f>
        <v>SECONDARY SCHOOL PRINCIPAL IV</v>
      </c>
      <c r="G51" s="2012"/>
      <c r="H51" s="2012"/>
      <c r="I51" s="2012"/>
      <c r="J51" s="2012"/>
      <c r="K51" s="2012"/>
      <c r="L51" s="2012"/>
      <c r="M51" s="2012"/>
      <c r="N51" s="2012"/>
      <c r="O51" s="2012"/>
      <c r="P51" s="2012"/>
      <c r="Q51" s="2012"/>
      <c r="R51" s="2012"/>
      <c r="S51" s="222"/>
      <c r="T51" s="222"/>
      <c r="U51" s="222"/>
      <c r="V51" s="222"/>
      <c r="W51" s="223" t="s">
        <v>240</v>
      </c>
      <c r="X51" s="222"/>
      <c r="Y51" s="222"/>
      <c r="Z51" s="222"/>
      <c r="AA51" s="2012" t="str">
        <f>activesheet!E439</f>
        <v>ADMINISTRATIVE OFFICER IV</v>
      </c>
      <c r="AB51" s="2012"/>
      <c r="AC51" s="2012"/>
      <c r="AD51" s="2012"/>
      <c r="AE51" s="2012"/>
      <c r="AF51" s="2012"/>
      <c r="AG51" s="2012"/>
      <c r="AH51" s="2012"/>
      <c r="AI51" s="2012"/>
      <c r="AJ51" s="2012"/>
      <c r="AK51" s="2012"/>
      <c r="AL51" s="2012"/>
      <c r="AM51" s="2012"/>
      <c r="AN51" s="222"/>
      <c r="AO51" s="222"/>
      <c r="AP51" s="222"/>
      <c r="AQ51" s="222"/>
      <c r="AR51" s="1811" t="s">
        <v>37</v>
      </c>
      <c r="AS51" s="1811"/>
      <c r="AT51" s="1811"/>
      <c r="AU51" s="1811"/>
      <c r="AV51" s="1811"/>
      <c r="AW51" s="1811"/>
      <c r="AX51" s="1811"/>
      <c r="AY51" s="1811"/>
      <c r="AZ51" s="1811"/>
      <c r="BA51" s="1811"/>
      <c r="BB51" s="1811"/>
      <c r="BC51" s="1811"/>
      <c r="BD51" s="1811"/>
      <c r="BE51" s="1811"/>
      <c r="BF51" s="1811"/>
      <c r="BG51" s="1811"/>
      <c r="BH51" s="1811"/>
      <c r="BI51" s="222"/>
      <c r="BJ51" s="222"/>
      <c r="BK51" s="222"/>
      <c r="BL51" s="222"/>
    </row>
    <row r="52" spans="1:64">
      <c r="A52" s="222"/>
      <c r="B52" s="222"/>
      <c r="C52" s="222"/>
      <c r="D52" s="222"/>
      <c r="E52" s="222"/>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c r="AK52" s="222"/>
      <c r="AL52" s="222"/>
      <c r="AM52" s="222"/>
      <c r="AN52" s="222"/>
      <c r="AO52" s="222"/>
      <c r="AP52" s="222"/>
      <c r="AQ52" s="222"/>
      <c r="AR52" s="222"/>
      <c r="AS52" s="222"/>
      <c r="AT52" s="222"/>
      <c r="AU52" s="222"/>
      <c r="AV52" s="222"/>
      <c r="AW52" s="222"/>
      <c r="AX52" s="222"/>
      <c r="AY52" s="222"/>
      <c r="AZ52" s="222"/>
      <c r="BA52" s="222"/>
      <c r="BB52" s="222"/>
      <c r="BC52" s="222"/>
      <c r="BD52" s="222"/>
      <c r="BE52" s="222"/>
      <c r="BF52" s="222"/>
      <c r="BG52" s="222"/>
      <c r="BH52" s="222"/>
      <c r="BI52" s="222"/>
      <c r="BJ52" s="222"/>
      <c r="BK52" s="222"/>
      <c r="BL52" s="222"/>
    </row>
    <row r="53" spans="1:64">
      <c r="A53" s="222"/>
      <c r="B53" s="222"/>
      <c r="C53" s="222"/>
      <c r="D53" s="222"/>
      <c r="E53" s="222"/>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c r="BE53" s="222"/>
      <c r="BF53" s="222"/>
      <c r="BG53" s="222"/>
      <c r="BH53" s="222"/>
      <c r="BI53" s="222"/>
      <c r="BJ53" s="222"/>
      <c r="BK53" s="222"/>
      <c r="BL53" s="222"/>
    </row>
    <row r="54" spans="1:64">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222"/>
      <c r="AI54" s="222"/>
      <c r="AJ54" s="222"/>
      <c r="AK54" s="222"/>
      <c r="AL54" s="222"/>
      <c r="AM54" s="222"/>
      <c r="AN54" s="222"/>
      <c r="AO54" s="222"/>
      <c r="AP54" s="222"/>
      <c r="AQ54" s="222"/>
      <c r="AR54" s="222"/>
      <c r="AS54" s="222"/>
      <c r="AT54" s="222"/>
      <c r="AU54" s="222"/>
      <c r="AV54" s="222"/>
      <c r="AW54" s="222"/>
      <c r="AX54" s="222"/>
      <c r="AY54" s="222"/>
      <c r="AZ54" s="222"/>
      <c r="BA54" s="222"/>
      <c r="BB54" s="222"/>
      <c r="BC54" s="222"/>
      <c r="BD54" s="222"/>
      <c r="BE54" s="222"/>
      <c r="BF54" s="222"/>
      <c r="BG54" s="222"/>
      <c r="BH54" s="222"/>
      <c r="BI54" s="222"/>
      <c r="BJ54" s="222"/>
      <c r="BK54" s="222"/>
      <c r="BL54" s="222"/>
    </row>
    <row r="55" spans="1:64">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c r="BI55" s="222"/>
      <c r="BJ55" s="222"/>
      <c r="BK55" s="222"/>
      <c r="BL55" s="222"/>
    </row>
    <row r="56" spans="1:64">
      <c r="A56" s="222"/>
      <c r="B56" s="222"/>
      <c r="C56" s="222"/>
      <c r="D56" s="222"/>
      <c r="E56" s="222"/>
      <c r="F56" s="222"/>
      <c r="G56" s="222"/>
      <c r="H56" s="222"/>
      <c r="I56" s="222"/>
      <c r="J56" s="222"/>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c r="BE56" s="222"/>
      <c r="BF56" s="222"/>
      <c r="BG56" s="222"/>
      <c r="BH56" s="222"/>
      <c r="BI56" s="222"/>
      <c r="BJ56" s="222"/>
      <c r="BK56" s="222"/>
      <c r="BL56" s="222"/>
    </row>
  </sheetData>
  <sheetProtection algorithmName="SHA-512" hashValue="D/h0ppdmaoP+ORtnX6074qND3veitPTIFGaVH3PDSjLhBt70aJaryqMkZ1zS1c1Yyzhj0V5La7WC6WuDObGphA==" saltValue="cPXfYFWOY+ilceU0ctzC+A==" spinCount="100000" sheet="1" objects="1" scenarios="1"/>
  <customSheetViews>
    <customSheetView guid="{6EFEFCA0-BF14-457A-85A3-29CBF2A862A5}" scale="70" showGridLines="0" fitToPage="1" topLeftCell="H31">
      <selection activeCell="AF8" sqref="AF8"/>
      <pageMargins left="0.23622047244094491" right="0.23622047244094491" top="0.19685039370078741" bottom="0.19685039370078741" header="0" footer="0.11811023622047245"/>
      <printOptions horizontalCentered="1" verticalCentered="1"/>
      <pageSetup paperSize="5" scale="46" orientation="landscape" r:id="rId1"/>
      <headerFooter>
        <oddFooter>&amp;L&amp;10&amp;F &amp;A&amp;R&amp;10Page 11 of 61</oddFooter>
      </headerFooter>
    </customSheetView>
  </customSheetViews>
  <mergeCells count="281">
    <mergeCell ref="G35:AS35"/>
    <mergeCell ref="M4:X4"/>
    <mergeCell ref="AW4:BH4"/>
    <mergeCell ref="M5:P5"/>
    <mergeCell ref="Q5:T5"/>
    <mergeCell ref="U5:X5"/>
    <mergeCell ref="AW5:AZ5"/>
    <mergeCell ref="BA5:BD5"/>
    <mergeCell ref="BE5:BH5"/>
    <mergeCell ref="M6:P6"/>
    <mergeCell ref="Q6:T6"/>
    <mergeCell ref="U6:X6"/>
    <mergeCell ref="AW6:AZ6"/>
    <mergeCell ref="BA6:BD6"/>
    <mergeCell ref="BE6:BH6"/>
    <mergeCell ref="M7:P7"/>
    <mergeCell ref="Q7:T7"/>
    <mergeCell ref="U7:X7"/>
    <mergeCell ref="AW7:AZ7"/>
    <mergeCell ref="BA7:BD7"/>
    <mergeCell ref="BE7:BH7"/>
    <mergeCell ref="M8:P8"/>
    <mergeCell ref="Q8:T8"/>
    <mergeCell ref="U8:X8"/>
    <mergeCell ref="AW8:AZ8"/>
    <mergeCell ref="BA8:BD8"/>
    <mergeCell ref="BE8:BH8"/>
    <mergeCell ref="M9:P9"/>
    <mergeCell ref="Q9:T9"/>
    <mergeCell ref="U9:X9"/>
    <mergeCell ref="AW9:AZ9"/>
    <mergeCell ref="BA9:BD9"/>
    <mergeCell ref="BE9:BH9"/>
    <mergeCell ref="M10:P10"/>
    <mergeCell ref="Q10:T10"/>
    <mergeCell ref="U10:X10"/>
    <mergeCell ref="AW10:AZ10"/>
    <mergeCell ref="BA10:BD10"/>
    <mergeCell ref="BE10:BH10"/>
    <mergeCell ref="B11:L11"/>
    <mergeCell ref="M11:P11"/>
    <mergeCell ref="Q11:T11"/>
    <mergeCell ref="U11:X11"/>
    <mergeCell ref="AK11:AV11"/>
    <mergeCell ref="AW11:AZ11"/>
    <mergeCell ref="BA11:BD11"/>
    <mergeCell ref="BE11:BH11"/>
    <mergeCell ref="K17:AN17"/>
    <mergeCell ref="AO17:BH17"/>
    <mergeCell ref="K18:T18"/>
    <mergeCell ref="U18:AD18"/>
    <mergeCell ref="AE18:AN18"/>
    <mergeCell ref="AO18:AX18"/>
    <mergeCell ref="AY18:BH18"/>
    <mergeCell ref="K21:O21"/>
    <mergeCell ref="U21:Y21"/>
    <mergeCell ref="Z21:AD21"/>
    <mergeCell ref="AE21:AI21"/>
    <mergeCell ref="AJ21:AN21"/>
    <mergeCell ref="AO21:AS21"/>
    <mergeCell ref="AT21:AX21"/>
    <mergeCell ref="AY21:BC21"/>
    <mergeCell ref="BD21:BH21"/>
    <mergeCell ref="P21:T21"/>
    <mergeCell ref="K22:O22"/>
    <mergeCell ref="U22:Y22"/>
    <mergeCell ref="Z22:AD22"/>
    <mergeCell ref="AE22:AI22"/>
    <mergeCell ref="AJ22:AN22"/>
    <mergeCell ref="AO22:AS22"/>
    <mergeCell ref="AT22:AX22"/>
    <mergeCell ref="AY22:BC22"/>
    <mergeCell ref="BD22:BH22"/>
    <mergeCell ref="P22:T22"/>
    <mergeCell ref="K23:O23"/>
    <mergeCell ref="U23:Y23"/>
    <mergeCell ref="Z23:AD23"/>
    <mergeCell ref="AE23:AI23"/>
    <mergeCell ref="AJ23:AN23"/>
    <mergeCell ref="AO23:AS23"/>
    <mergeCell ref="AT23:AX23"/>
    <mergeCell ref="AY23:BC23"/>
    <mergeCell ref="BD23:BH23"/>
    <mergeCell ref="P23:T23"/>
    <mergeCell ref="K24:O24"/>
    <mergeCell ref="U24:Y24"/>
    <mergeCell ref="Z24:AD24"/>
    <mergeCell ref="AE24:AI24"/>
    <mergeCell ref="AJ24:AN24"/>
    <mergeCell ref="AO24:AS24"/>
    <mergeCell ref="AT24:AX24"/>
    <mergeCell ref="AY24:BC24"/>
    <mergeCell ref="BD24:BH24"/>
    <mergeCell ref="P24:T24"/>
    <mergeCell ref="K25:O25"/>
    <mergeCell ref="U25:Y25"/>
    <mergeCell ref="Z25:AD25"/>
    <mergeCell ref="AE25:AI25"/>
    <mergeCell ref="AJ25:AN25"/>
    <mergeCell ref="AO25:AS25"/>
    <mergeCell ref="AT25:AX25"/>
    <mergeCell ref="AY25:BC25"/>
    <mergeCell ref="BD25:BH25"/>
    <mergeCell ref="P25:T25"/>
    <mergeCell ref="K26:O26"/>
    <mergeCell ref="U26:Y26"/>
    <mergeCell ref="Z26:AD26"/>
    <mergeCell ref="AE26:AI26"/>
    <mergeCell ref="AJ26:AN26"/>
    <mergeCell ref="AO26:AS26"/>
    <mergeCell ref="AT26:AX26"/>
    <mergeCell ref="AY26:BC26"/>
    <mergeCell ref="BD26:BH26"/>
    <mergeCell ref="P26:T26"/>
    <mergeCell ref="K27:O27"/>
    <mergeCell ref="U27:Y27"/>
    <mergeCell ref="Z27:AD27"/>
    <mergeCell ref="AE27:AI27"/>
    <mergeCell ref="AJ27:AN27"/>
    <mergeCell ref="AO27:AS27"/>
    <mergeCell ref="AT27:AX27"/>
    <mergeCell ref="AY27:BC27"/>
    <mergeCell ref="BD27:BH27"/>
    <mergeCell ref="P27:T27"/>
    <mergeCell ref="K28:O28"/>
    <mergeCell ref="U28:Y28"/>
    <mergeCell ref="Z28:AD28"/>
    <mergeCell ref="AE28:AI28"/>
    <mergeCell ref="AJ28:AN28"/>
    <mergeCell ref="AO28:AS28"/>
    <mergeCell ref="AT28:AX28"/>
    <mergeCell ref="AY28:BC28"/>
    <mergeCell ref="BD28:BH28"/>
    <mergeCell ref="P28:T28"/>
    <mergeCell ref="K29:O29"/>
    <mergeCell ref="U29:Y29"/>
    <mergeCell ref="Z29:AD29"/>
    <mergeCell ref="AE29:AI29"/>
    <mergeCell ref="AJ29:AN29"/>
    <mergeCell ref="AO29:AS29"/>
    <mergeCell ref="AT29:AX29"/>
    <mergeCell ref="AY29:BC29"/>
    <mergeCell ref="BD29:BH29"/>
    <mergeCell ref="P29:T29"/>
    <mergeCell ref="G37:AG37"/>
    <mergeCell ref="AH37:BH37"/>
    <mergeCell ref="G38:R38"/>
    <mergeCell ref="S38:AD38"/>
    <mergeCell ref="AH38:AS38"/>
    <mergeCell ref="AT38:BE38"/>
    <mergeCell ref="AE41:AG41"/>
    <mergeCell ref="BF41:BH41"/>
    <mergeCell ref="AE42:AG42"/>
    <mergeCell ref="BF42:BH42"/>
    <mergeCell ref="P39:R40"/>
    <mergeCell ref="S39:U40"/>
    <mergeCell ref="V39:X40"/>
    <mergeCell ref="Y39:AA40"/>
    <mergeCell ref="AB39:AD40"/>
    <mergeCell ref="AH39:AJ40"/>
    <mergeCell ref="AK39:AM40"/>
    <mergeCell ref="AN39:AP40"/>
    <mergeCell ref="AQ39:AS40"/>
    <mergeCell ref="AT39:AV40"/>
    <mergeCell ref="AW39:AY40"/>
    <mergeCell ref="AZ39:BB40"/>
    <mergeCell ref="BC39:BE40"/>
    <mergeCell ref="G41:I41"/>
    <mergeCell ref="AE44:AG44"/>
    <mergeCell ref="BF44:BH44"/>
    <mergeCell ref="B45:F45"/>
    <mergeCell ref="AE45:AG45"/>
    <mergeCell ref="BF45:BH45"/>
    <mergeCell ref="F49:R49"/>
    <mergeCell ref="W49:AM49"/>
    <mergeCell ref="AR49:BH50"/>
    <mergeCell ref="F50:R50"/>
    <mergeCell ref="W50:AM50"/>
    <mergeCell ref="S44:U44"/>
    <mergeCell ref="V44:X44"/>
    <mergeCell ref="Y44:AA44"/>
    <mergeCell ref="AB44:AD44"/>
    <mergeCell ref="S45:U45"/>
    <mergeCell ref="V45:X45"/>
    <mergeCell ref="Y45:AA45"/>
    <mergeCell ref="AB45:AD45"/>
    <mergeCell ref="AH45:AJ45"/>
    <mergeCell ref="AK45:AM45"/>
    <mergeCell ref="AN45:AP45"/>
    <mergeCell ref="AQ45:AS45"/>
    <mergeCell ref="AT45:AV45"/>
    <mergeCell ref="AW45:AY45"/>
    <mergeCell ref="F51:R51"/>
    <mergeCell ref="AA51:AM51"/>
    <mergeCell ref="AR51:BH51"/>
    <mergeCell ref="AK4:AV5"/>
    <mergeCell ref="B4:L5"/>
    <mergeCell ref="B17:J20"/>
    <mergeCell ref="K19:O20"/>
    <mergeCell ref="P19:T20"/>
    <mergeCell ref="U19:Y20"/>
    <mergeCell ref="Z19:AD20"/>
    <mergeCell ref="AE19:AI20"/>
    <mergeCell ref="AJ19:AN20"/>
    <mergeCell ref="AO19:AS20"/>
    <mergeCell ref="AT19:AX20"/>
    <mergeCell ref="AY19:BC20"/>
    <mergeCell ref="BD19:BH20"/>
    <mergeCell ref="B37:F40"/>
    <mergeCell ref="AE38:AG40"/>
    <mergeCell ref="BF38:BH40"/>
    <mergeCell ref="G39:I40"/>
    <mergeCell ref="J39:L40"/>
    <mergeCell ref="M39:O40"/>
    <mergeCell ref="AE43:AG43"/>
    <mergeCell ref="BF43:BH43"/>
    <mergeCell ref="G42:I42"/>
    <mergeCell ref="G43:I43"/>
    <mergeCell ref="G44:I44"/>
    <mergeCell ref="G45:I45"/>
    <mergeCell ref="J41:L41"/>
    <mergeCell ref="M41:O41"/>
    <mergeCell ref="P41:R41"/>
    <mergeCell ref="J42:L42"/>
    <mergeCell ref="M42:O42"/>
    <mergeCell ref="P42:R42"/>
    <mergeCell ref="J43:L43"/>
    <mergeCell ref="M43:O43"/>
    <mergeCell ref="P43:R43"/>
    <mergeCell ref="J44:L44"/>
    <mergeCell ref="M44:O44"/>
    <mergeCell ref="P44:R44"/>
    <mergeCell ref="J45:L45"/>
    <mergeCell ref="M45:O45"/>
    <mergeCell ref="P45:R45"/>
    <mergeCell ref="S41:U41"/>
    <mergeCell ref="V41:X41"/>
    <mergeCell ref="Y41:AA41"/>
    <mergeCell ref="AB41:AD41"/>
    <mergeCell ref="S42:U42"/>
    <mergeCell ref="V42:X42"/>
    <mergeCell ref="Y42:AA42"/>
    <mergeCell ref="AB42:AD42"/>
    <mergeCell ref="S43:U43"/>
    <mergeCell ref="V43:X43"/>
    <mergeCell ref="Y43:AA43"/>
    <mergeCell ref="AB43:AD43"/>
    <mergeCell ref="AH41:AJ41"/>
    <mergeCell ref="AK41:AM41"/>
    <mergeCell ref="AN41:AP41"/>
    <mergeCell ref="AQ41:AS41"/>
    <mergeCell ref="AT41:AV41"/>
    <mergeCell ref="AW41:AY41"/>
    <mergeCell ref="AZ41:BB41"/>
    <mergeCell ref="BC41:BE41"/>
    <mergeCell ref="AH42:AJ42"/>
    <mergeCell ref="AK42:AM42"/>
    <mergeCell ref="AN42:AP42"/>
    <mergeCell ref="AQ42:AS42"/>
    <mergeCell ref="AT42:AV42"/>
    <mergeCell ref="AW42:AY42"/>
    <mergeCell ref="AZ42:BB42"/>
    <mergeCell ref="BC42:BE42"/>
    <mergeCell ref="AZ45:BB45"/>
    <mergeCell ref="BC45:BE45"/>
    <mergeCell ref="AH43:AJ43"/>
    <mergeCell ref="AK43:AM43"/>
    <mergeCell ref="AN43:AP43"/>
    <mergeCell ref="AQ43:AS43"/>
    <mergeCell ref="AT43:AV43"/>
    <mergeCell ref="AW43:AY43"/>
    <mergeCell ref="AZ43:BB43"/>
    <mergeCell ref="BC43:BE43"/>
    <mergeCell ref="AH44:AJ44"/>
    <mergeCell ref="AK44:AM44"/>
    <mergeCell ref="AN44:AP44"/>
    <mergeCell ref="AQ44:AS44"/>
    <mergeCell ref="AT44:AV44"/>
    <mergeCell ref="AW44:AY44"/>
    <mergeCell ref="AZ44:BB44"/>
    <mergeCell ref="BC44:BE44"/>
  </mergeCells>
  <dataValidations count="1">
    <dataValidation type="whole" allowBlank="1" showInputMessage="1" showErrorMessage="1" errorTitle="GSHSP SY 2022-2023" error="Please enter valid number between 0-999." sqref="M6:T10 AW6:BD10 K21:BH29 G41:BH44" xr:uid="{5C60C7B2-2146-43CA-AB31-F6F0346C0168}">
      <formula1>0</formula1>
      <formula2>999</formula2>
    </dataValidation>
  </dataValidations>
  <printOptions horizontalCentered="1" verticalCentered="1"/>
  <pageMargins left="0.23622047244094491" right="0.23622047244094491" top="0.19685039370078741" bottom="0.19685039370078741" header="0" footer="0.11811023622047245"/>
  <pageSetup paperSize="5" scale="46" orientation="landscape" r:id="rId2"/>
  <headerFooter>
    <oddFooter>&amp;L&amp;10&amp;F &amp;A&amp;R&amp;10Page 11 of 61</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FFFF00"/>
    <pageSetUpPr fitToPage="1"/>
  </sheetPr>
  <dimension ref="A1:BC62"/>
  <sheetViews>
    <sheetView showGridLines="0" topLeftCell="G49" zoomScaleNormal="100" workbookViewId="0">
      <selection activeCell="AO49" sqref="AO49:AR49"/>
    </sheetView>
  </sheetViews>
  <sheetFormatPr defaultColWidth="9" defaultRowHeight="16.5"/>
  <cols>
    <col min="1" max="1" width="2.125" style="15" customWidth="1"/>
    <col min="2" max="48" width="3.625" style="15" customWidth="1"/>
    <col min="49" max="49" width="2.125" style="15" customWidth="1"/>
    <col min="50" max="87" width="4.625" style="15" customWidth="1"/>
    <col min="88" max="16384" width="9" style="15"/>
  </cols>
  <sheetData>
    <row r="1" spans="1:55" ht="12" customHeight="1">
      <c r="A1" s="337"/>
      <c r="B1" s="337"/>
      <c r="C1" s="337"/>
      <c r="D1" s="337"/>
      <c r="E1" s="337"/>
      <c r="F1" s="337"/>
      <c r="G1" s="337"/>
      <c r="H1" s="337"/>
      <c r="I1" s="337"/>
      <c r="J1" s="337"/>
      <c r="K1" s="337"/>
      <c r="L1" s="337"/>
      <c r="M1" s="337"/>
      <c r="N1" s="337"/>
      <c r="O1" s="337"/>
      <c r="P1" s="337"/>
      <c r="Q1" s="337"/>
      <c r="R1" s="337"/>
      <c r="S1" s="337"/>
      <c r="T1" s="337"/>
      <c r="U1" s="337"/>
      <c r="V1" s="337"/>
      <c r="W1" s="337"/>
      <c r="X1" s="337"/>
      <c r="Y1" s="337"/>
      <c r="Z1" s="337"/>
      <c r="AA1" s="337"/>
      <c r="AB1" s="337"/>
      <c r="AC1" s="337"/>
      <c r="AD1" s="337"/>
      <c r="AE1" s="337"/>
      <c r="AF1" s="337"/>
      <c r="AG1" s="337"/>
      <c r="AH1" s="337"/>
      <c r="AI1" s="337"/>
      <c r="AJ1" s="337"/>
      <c r="AK1" s="337"/>
      <c r="AL1" s="337"/>
      <c r="AM1" s="337"/>
      <c r="AN1" s="337"/>
      <c r="AO1" s="337"/>
      <c r="AP1" s="337"/>
      <c r="AQ1" s="337"/>
      <c r="AR1" s="337"/>
      <c r="AS1" s="337"/>
      <c r="AT1" s="337"/>
      <c r="AU1" s="337"/>
      <c r="AV1" s="337"/>
      <c r="AW1" s="337"/>
      <c r="AX1" s="337"/>
      <c r="AY1" s="337"/>
      <c r="AZ1" s="337"/>
      <c r="BA1" s="337"/>
      <c r="BB1" s="337"/>
      <c r="BC1" s="337"/>
    </row>
    <row r="2" spans="1:55" ht="17.25" customHeight="1" thickBot="1">
      <c r="A2" s="337"/>
      <c r="B2" s="354" t="s">
        <v>11385</v>
      </c>
      <c r="C2" s="436"/>
      <c r="D2" s="436"/>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c r="AE2" s="436"/>
      <c r="AF2" s="436"/>
      <c r="AG2" s="436"/>
      <c r="AH2" s="436"/>
      <c r="AI2" s="436"/>
      <c r="AJ2" s="436"/>
      <c r="AK2" s="436"/>
      <c r="AL2" s="436"/>
      <c r="AM2" s="436"/>
      <c r="AN2" s="436"/>
      <c r="AO2" s="436"/>
      <c r="AP2" s="436"/>
      <c r="AQ2" s="436"/>
      <c r="AR2" s="436"/>
      <c r="AS2" s="436"/>
      <c r="AT2" s="436"/>
      <c r="AU2" s="436"/>
      <c r="AV2" s="436"/>
      <c r="AW2" s="436"/>
      <c r="AX2" s="337"/>
      <c r="AY2" s="337"/>
      <c r="AZ2" s="337"/>
      <c r="BA2" s="337"/>
      <c r="BB2" s="337"/>
      <c r="BC2" s="337"/>
    </row>
    <row r="3" spans="1:55" ht="22.5" customHeight="1">
      <c r="A3" s="337"/>
      <c r="B3" s="1871" t="s">
        <v>81</v>
      </c>
      <c r="C3" s="1872"/>
      <c r="D3" s="1872"/>
      <c r="E3" s="1872"/>
      <c r="F3" s="1872"/>
      <c r="G3" s="1872"/>
      <c r="H3" s="1872"/>
      <c r="I3" s="1872"/>
      <c r="J3" s="1872"/>
      <c r="K3" s="1872"/>
      <c r="L3" s="1872"/>
      <c r="M3" s="1872"/>
      <c r="N3" s="1872"/>
      <c r="O3" s="1872"/>
      <c r="P3" s="1872"/>
      <c r="Q3" s="1872"/>
      <c r="R3" s="1872"/>
      <c r="S3" s="1872"/>
      <c r="T3" s="1873"/>
      <c r="U3" s="2595" t="s">
        <v>82</v>
      </c>
      <c r="V3" s="2596"/>
      <c r="W3" s="2596"/>
      <c r="X3" s="2597"/>
      <c r="Y3" s="2601" t="s">
        <v>83</v>
      </c>
      <c r="Z3" s="2596"/>
      <c r="AA3" s="2596"/>
      <c r="AB3" s="2597"/>
      <c r="AC3" s="2601" t="s">
        <v>84</v>
      </c>
      <c r="AD3" s="2596"/>
      <c r="AE3" s="2596"/>
      <c r="AF3" s="2597"/>
      <c r="AG3" s="2601" t="s">
        <v>85</v>
      </c>
      <c r="AH3" s="2596"/>
      <c r="AI3" s="2596"/>
      <c r="AJ3" s="2597"/>
      <c r="AK3" s="2603" t="s">
        <v>86</v>
      </c>
      <c r="AL3" s="1892"/>
      <c r="AM3" s="2604"/>
      <c r="AN3" s="2605"/>
      <c r="AO3" s="2603" t="s">
        <v>87</v>
      </c>
      <c r="AP3" s="1892"/>
      <c r="AQ3" s="1892"/>
      <c r="AR3" s="2609"/>
      <c r="AS3" s="2610" t="s">
        <v>88</v>
      </c>
      <c r="AT3" s="1892"/>
      <c r="AU3" s="1892"/>
      <c r="AV3" s="1893"/>
      <c r="AW3" s="561"/>
      <c r="AX3" s="337"/>
      <c r="AY3" s="337"/>
      <c r="AZ3" s="337"/>
      <c r="BA3" s="337"/>
      <c r="BB3" s="337"/>
      <c r="BC3" s="337"/>
    </row>
    <row r="4" spans="1:55" ht="22.5" customHeight="1" thickBot="1">
      <c r="A4" s="337"/>
      <c r="B4" s="1877"/>
      <c r="C4" s="1878"/>
      <c r="D4" s="1878"/>
      <c r="E4" s="1878"/>
      <c r="F4" s="1878"/>
      <c r="G4" s="1878"/>
      <c r="H4" s="1878"/>
      <c r="I4" s="1878"/>
      <c r="J4" s="1878"/>
      <c r="K4" s="1878"/>
      <c r="L4" s="1878"/>
      <c r="M4" s="1878"/>
      <c r="N4" s="1878"/>
      <c r="O4" s="1878"/>
      <c r="P4" s="1878"/>
      <c r="Q4" s="1878"/>
      <c r="R4" s="1878"/>
      <c r="S4" s="1878"/>
      <c r="T4" s="1879"/>
      <c r="U4" s="2598"/>
      <c r="V4" s="2599"/>
      <c r="W4" s="2599"/>
      <c r="X4" s="2600"/>
      <c r="Y4" s="2602"/>
      <c r="Z4" s="2599"/>
      <c r="AA4" s="2599"/>
      <c r="AB4" s="2600"/>
      <c r="AC4" s="2602"/>
      <c r="AD4" s="2599"/>
      <c r="AE4" s="2599"/>
      <c r="AF4" s="2600"/>
      <c r="AG4" s="2602"/>
      <c r="AH4" s="2599"/>
      <c r="AI4" s="2599"/>
      <c r="AJ4" s="2600"/>
      <c r="AK4" s="2606"/>
      <c r="AL4" s="2607"/>
      <c r="AM4" s="2607"/>
      <c r="AN4" s="2608"/>
      <c r="AO4" s="2428"/>
      <c r="AP4" s="2338"/>
      <c r="AQ4" s="2338"/>
      <c r="AR4" s="2429"/>
      <c r="AS4" s="2611"/>
      <c r="AT4" s="2338"/>
      <c r="AU4" s="2338"/>
      <c r="AV4" s="2339"/>
      <c r="AW4" s="337"/>
      <c r="AX4" s="337"/>
      <c r="AY4" s="337"/>
      <c r="AZ4" s="337"/>
      <c r="BA4" s="337"/>
      <c r="BB4" s="337"/>
      <c r="BC4" s="337"/>
    </row>
    <row r="5" spans="1:55" ht="27.95" customHeight="1">
      <c r="A5" s="337"/>
      <c r="B5" s="562" t="s">
        <v>67</v>
      </c>
      <c r="C5" s="563"/>
      <c r="D5" s="517"/>
      <c r="E5" s="517"/>
      <c r="F5" s="517"/>
      <c r="G5" s="517"/>
      <c r="H5" s="517"/>
      <c r="I5" s="517"/>
      <c r="J5" s="517"/>
      <c r="K5" s="517"/>
      <c r="L5" s="517"/>
      <c r="M5" s="517"/>
      <c r="N5" s="517"/>
      <c r="O5" s="517"/>
      <c r="P5" s="517"/>
      <c r="Q5" s="517"/>
      <c r="R5" s="517"/>
      <c r="S5" s="517"/>
      <c r="T5" s="518"/>
      <c r="U5" s="2583"/>
      <c r="V5" s="2584"/>
      <c r="W5" s="2584"/>
      <c r="X5" s="2584"/>
      <c r="Y5" s="2584"/>
      <c r="Z5" s="2584"/>
      <c r="AA5" s="2584"/>
      <c r="AB5" s="2584"/>
      <c r="AC5" s="2584"/>
      <c r="AD5" s="2584"/>
      <c r="AE5" s="2584"/>
      <c r="AF5" s="2584"/>
      <c r="AG5" s="2584"/>
      <c r="AH5" s="2584"/>
      <c r="AI5" s="2584"/>
      <c r="AJ5" s="2584"/>
      <c r="AK5" s="2584"/>
      <c r="AL5" s="2584"/>
      <c r="AM5" s="2584"/>
      <c r="AN5" s="2584"/>
      <c r="AO5" s="2584"/>
      <c r="AP5" s="2584"/>
      <c r="AQ5" s="2584"/>
      <c r="AR5" s="2584"/>
      <c r="AS5" s="2584"/>
      <c r="AT5" s="2584"/>
      <c r="AU5" s="2584"/>
      <c r="AV5" s="2585"/>
      <c r="AW5" s="337"/>
      <c r="AX5" s="337"/>
      <c r="AY5" s="337"/>
      <c r="AZ5" s="337"/>
      <c r="BA5" s="337"/>
      <c r="BB5" s="337"/>
      <c r="BC5" s="337"/>
    </row>
    <row r="6" spans="1:55" ht="27.95" customHeight="1">
      <c r="A6" s="337"/>
      <c r="B6" s="564"/>
      <c r="C6" s="537" t="s">
        <v>89</v>
      </c>
      <c r="D6" s="453"/>
      <c r="E6" s="539"/>
      <c r="F6" s="539"/>
      <c r="G6" s="539"/>
      <c r="H6" s="539"/>
      <c r="I6" s="539"/>
      <c r="J6" s="539"/>
      <c r="K6" s="539"/>
      <c r="L6" s="539"/>
      <c r="M6" s="539"/>
      <c r="N6" s="539"/>
      <c r="O6" s="539"/>
      <c r="P6" s="539"/>
      <c r="Q6" s="539"/>
      <c r="R6" s="539"/>
      <c r="S6" s="539"/>
      <c r="T6" s="522"/>
      <c r="U6" s="2526">
        <v>0</v>
      </c>
      <c r="V6" s="2527"/>
      <c r="W6" s="2527"/>
      <c r="X6" s="2568"/>
      <c r="Y6" s="2529">
        <v>0</v>
      </c>
      <c r="Z6" s="2527"/>
      <c r="AA6" s="2527"/>
      <c r="AB6" s="2568"/>
      <c r="AC6" s="2529">
        <v>0</v>
      </c>
      <c r="AD6" s="2527"/>
      <c r="AE6" s="2527"/>
      <c r="AF6" s="2568"/>
      <c r="AG6" s="2529">
        <v>0</v>
      </c>
      <c r="AH6" s="2527"/>
      <c r="AI6" s="2527"/>
      <c r="AJ6" s="2568"/>
      <c r="AK6" s="2529">
        <v>0</v>
      </c>
      <c r="AL6" s="2527"/>
      <c r="AM6" s="2527"/>
      <c r="AN6" s="2568"/>
      <c r="AO6" s="2529">
        <v>0</v>
      </c>
      <c r="AP6" s="2527"/>
      <c r="AQ6" s="2527"/>
      <c r="AR6" s="2569"/>
      <c r="AS6" s="2594">
        <f>SUM(U6:AR6)</f>
        <v>0</v>
      </c>
      <c r="AT6" s="2570"/>
      <c r="AU6" s="2570"/>
      <c r="AV6" s="2571"/>
      <c r="AW6" s="337"/>
      <c r="AX6" s="337"/>
      <c r="AY6" s="337"/>
      <c r="AZ6" s="337"/>
      <c r="BA6" s="337"/>
      <c r="BB6" s="337"/>
      <c r="BC6" s="337"/>
    </row>
    <row r="7" spans="1:55" ht="27.95" customHeight="1">
      <c r="A7" s="337"/>
      <c r="B7" s="564"/>
      <c r="C7" s="537" t="s">
        <v>90</v>
      </c>
      <c r="D7" s="453"/>
      <c r="E7" s="539"/>
      <c r="F7" s="539"/>
      <c r="G7" s="539"/>
      <c r="H7" s="539"/>
      <c r="I7" s="539"/>
      <c r="J7" s="539"/>
      <c r="K7" s="539"/>
      <c r="L7" s="539"/>
      <c r="M7" s="539"/>
      <c r="N7" s="539"/>
      <c r="O7" s="539"/>
      <c r="P7" s="539"/>
      <c r="Q7" s="539"/>
      <c r="R7" s="539"/>
      <c r="S7" s="539"/>
      <c r="T7" s="522"/>
      <c r="U7" s="2526">
        <v>0</v>
      </c>
      <c r="V7" s="2527"/>
      <c r="W7" s="2527"/>
      <c r="X7" s="2568"/>
      <c r="Y7" s="2529">
        <v>0</v>
      </c>
      <c r="Z7" s="2527"/>
      <c r="AA7" s="2527"/>
      <c r="AB7" s="2568"/>
      <c r="AC7" s="2529">
        <v>0</v>
      </c>
      <c r="AD7" s="2527"/>
      <c r="AE7" s="2527"/>
      <c r="AF7" s="2568"/>
      <c r="AG7" s="2529">
        <v>0</v>
      </c>
      <c r="AH7" s="2527"/>
      <c r="AI7" s="2527"/>
      <c r="AJ7" s="2568"/>
      <c r="AK7" s="2529">
        <v>0</v>
      </c>
      <c r="AL7" s="2527"/>
      <c r="AM7" s="2527"/>
      <c r="AN7" s="2568"/>
      <c r="AO7" s="2529">
        <v>0</v>
      </c>
      <c r="AP7" s="2527"/>
      <c r="AQ7" s="2527"/>
      <c r="AR7" s="2569"/>
      <c r="AS7" s="2594">
        <f t="shared" ref="AS7:AS29" si="0">SUM(U7:AR7)</f>
        <v>0</v>
      </c>
      <c r="AT7" s="2570"/>
      <c r="AU7" s="2570"/>
      <c r="AV7" s="2571"/>
      <c r="AW7" s="337"/>
      <c r="AX7" s="337"/>
      <c r="AY7" s="337"/>
      <c r="AZ7" s="337"/>
      <c r="BA7" s="337"/>
      <c r="BB7" s="337"/>
      <c r="BC7" s="337"/>
    </row>
    <row r="8" spans="1:55" ht="27.95" customHeight="1">
      <c r="A8" s="337"/>
      <c r="B8" s="564"/>
      <c r="C8" s="537" t="s">
        <v>91</v>
      </c>
      <c r="D8" s="539"/>
      <c r="E8" s="539"/>
      <c r="F8" s="539"/>
      <c r="G8" s="539"/>
      <c r="H8" s="539"/>
      <c r="I8" s="539"/>
      <c r="J8" s="539"/>
      <c r="K8" s="539"/>
      <c r="L8" s="539"/>
      <c r="M8" s="539"/>
      <c r="N8" s="539"/>
      <c r="O8" s="539"/>
      <c r="P8" s="539"/>
      <c r="Q8" s="539"/>
      <c r="R8" s="539"/>
      <c r="S8" s="539"/>
      <c r="T8" s="522"/>
      <c r="U8" s="2526">
        <v>0</v>
      </c>
      <c r="V8" s="2527"/>
      <c r="W8" s="2527"/>
      <c r="X8" s="2568"/>
      <c r="Y8" s="2529">
        <v>0</v>
      </c>
      <c r="Z8" s="2527"/>
      <c r="AA8" s="2527"/>
      <c r="AB8" s="2568"/>
      <c r="AC8" s="2529">
        <v>0</v>
      </c>
      <c r="AD8" s="2527"/>
      <c r="AE8" s="2527"/>
      <c r="AF8" s="2568"/>
      <c r="AG8" s="2529">
        <v>0</v>
      </c>
      <c r="AH8" s="2527"/>
      <c r="AI8" s="2527"/>
      <c r="AJ8" s="2568"/>
      <c r="AK8" s="2529">
        <v>0</v>
      </c>
      <c r="AL8" s="2527"/>
      <c r="AM8" s="2527"/>
      <c r="AN8" s="2568"/>
      <c r="AO8" s="2529">
        <v>0</v>
      </c>
      <c r="AP8" s="2527"/>
      <c r="AQ8" s="2527"/>
      <c r="AR8" s="2569"/>
      <c r="AS8" s="2594">
        <f t="shared" si="0"/>
        <v>0</v>
      </c>
      <c r="AT8" s="2570"/>
      <c r="AU8" s="2570"/>
      <c r="AV8" s="2571"/>
      <c r="AW8" s="337"/>
      <c r="AX8" s="337"/>
      <c r="AY8" s="337"/>
      <c r="AZ8" s="337"/>
      <c r="BA8" s="337"/>
      <c r="BB8" s="337"/>
      <c r="BC8" s="337"/>
    </row>
    <row r="9" spans="1:55" ht="27.95" customHeight="1">
      <c r="A9" s="337"/>
      <c r="B9" s="564"/>
      <c r="C9" s="537" t="s">
        <v>92</v>
      </c>
      <c r="D9" s="539"/>
      <c r="E9" s="539"/>
      <c r="F9" s="539"/>
      <c r="G9" s="539"/>
      <c r="H9" s="539"/>
      <c r="I9" s="539"/>
      <c r="J9" s="539"/>
      <c r="K9" s="539"/>
      <c r="L9" s="539"/>
      <c r="M9" s="539"/>
      <c r="N9" s="539"/>
      <c r="O9" s="539"/>
      <c r="P9" s="539"/>
      <c r="Q9" s="539"/>
      <c r="R9" s="539"/>
      <c r="S9" s="539"/>
      <c r="T9" s="522"/>
      <c r="U9" s="2526">
        <v>0</v>
      </c>
      <c r="V9" s="2527"/>
      <c r="W9" s="2527"/>
      <c r="X9" s="2568"/>
      <c r="Y9" s="2529">
        <v>1</v>
      </c>
      <c r="Z9" s="2527"/>
      <c r="AA9" s="2527"/>
      <c r="AB9" s="2568"/>
      <c r="AC9" s="2529">
        <v>0</v>
      </c>
      <c r="AD9" s="2527"/>
      <c r="AE9" s="2527"/>
      <c r="AF9" s="2568"/>
      <c r="AG9" s="2529">
        <v>0</v>
      </c>
      <c r="AH9" s="2527"/>
      <c r="AI9" s="2527"/>
      <c r="AJ9" s="2568"/>
      <c r="AK9" s="2529">
        <v>0</v>
      </c>
      <c r="AL9" s="2527"/>
      <c r="AM9" s="2527"/>
      <c r="AN9" s="2568"/>
      <c r="AO9" s="2529">
        <v>0</v>
      </c>
      <c r="AP9" s="2527"/>
      <c r="AQ9" s="2527"/>
      <c r="AR9" s="2569"/>
      <c r="AS9" s="2594">
        <f t="shared" si="0"/>
        <v>1</v>
      </c>
      <c r="AT9" s="2570"/>
      <c r="AU9" s="2570"/>
      <c r="AV9" s="2571"/>
      <c r="AW9" s="337"/>
      <c r="AX9" s="337"/>
      <c r="AY9" s="337"/>
      <c r="AZ9" s="337"/>
      <c r="BA9" s="337"/>
      <c r="BB9" s="337"/>
      <c r="BC9" s="337"/>
    </row>
    <row r="10" spans="1:55" ht="27.95" customHeight="1">
      <c r="A10" s="337"/>
      <c r="B10" s="564"/>
      <c r="C10" s="537" t="s">
        <v>93</v>
      </c>
      <c r="D10" s="453"/>
      <c r="E10" s="539"/>
      <c r="F10" s="539"/>
      <c r="G10" s="539"/>
      <c r="H10" s="539"/>
      <c r="I10" s="539"/>
      <c r="J10" s="539"/>
      <c r="K10" s="539"/>
      <c r="L10" s="539"/>
      <c r="M10" s="539"/>
      <c r="N10" s="539"/>
      <c r="O10" s="539"/>
      <c r="P10" s="539"/>
      <c r="Q10" s="539"/>
      <c r="R10" s="539"/>
      <c r="S10" s="539"/>
      <c r="T10" s="522"/>
      <c r="U10" s="2526">
        <v>0</v>
      </c>
      <c r="V10" s="2527"/>
      <c r="W10" s="2527"/>
      <c r="X10" s="2568"/>
      <c r="Y10" s="2529">
        <v>3</v>
      </c>
      <c r="Z10" s="2527"/>
      <c r="AA10" s="2527"/>
      <c r="AB10" s="2568"/>
      <c r="AC10" s="2529">
        <v>0</v>
      </c>
      <c r="AD10" s="2527"/>
      <c r="AE10" s="2527"/>
      <c r="AF10" s="2568"/>
      <c r="AG10" s="2529">
        <v>0</v>
      </c>
      <c r="AH10" s="2527"/>
      <c r="AI10" s="2527"/>
      <c r="AJ10" s="2568"/>
      <c r="AK10" s="2529">
        <v>0</v>
      </c>
      <c r="AL10" s="2527"/>
      <c r="AM10" s="2527"/>
      <c r="AN10" s="2568"/>
      <c r="AO10" s="2529">
        <v>0</v>
      </c>
      <c r="AP10" s="2527"/>
      <c r="AQ10" s="2527"/>
      <c r="AR10" s="2569"/>
      <c r="AS10" s="2594">
        <f t="shared" si="0"/>
        <v>3</v>
      </c>
      <c r="AT10" s="2570"/>
      <c r="AU10" s="2570"/>
      <c r="AV10" s="2571"/>
      <c r="AW10" s="337"/>
      <c r="AX10" s="337"/>
      <c r="AY10" s="337"/>
      <c r="AZ10" s="337"/>
      <c r="BA10" s="337"/>
      <c r="BB10" s="337"/>
      <c r="BC10" s="337"/>
    </row>
    <row r="11" spans="1:55" ht="27.95" customHeight="1">
      <c r="A11" s="337"/>
      <c r="B11" s="564"/>
      <c r="C11" s="537" t="s">
        <v>94</v>
      </c>
      <c r="D11" s="539"/>
      <c r="E11" s="539"/>
      <c r="F11" s="539"/>
      <c r="G11" s="539"/>
      <c r="H11" s="539"/>
      <c r="I11" s="539"/>
      <c r="J11" s="539"/>
      <c r="K11" s="539"/>
      <c r="L11" s="539"/>
      <c r="M11" s="539"/>
      <c r="N11" s="539"/>
      <c r="O11" s="539"/>
      <c r="P11" s="539"/>
      <c r="Q11" s="539"/>
      <c r="R11" s="539"/>
      <c r="S11" s="539"/>
      <c r="T11" s="522"/>
      <c r="U11" s="2526">
        <v>0</v>
      </c>
      <c r="V11" s="2527"/>
      <c r="W11" s="2527"/>
      <c r="X11" s="2568"/>
      <c r="Y11" s="2529">
        <v>0</v>
      </c>
      <c r="Z11" s="2527"/>
      <c r="AA11" s="2527"/>
      <c r="AB11" s="2568"/>
      <c r="AC11" s="2529">
        <v>0</v>
      </c>
      <c r="AD11" s="2527"/>
      <c r="AE11" s="2527"/>
      <c r="AF11" s="2568"/>
      <c r="AG11" s="2529">
        <v>0</v>
      </c>
      <c r="AH11" s="2527"/>
      <c r="AI11" s="2527"/>
      <c r="AJ11" s="2568"/>
      <c r="AK11" s="2529">
        <v>0</v>
      </c>
      <c r="AL11" s="2527"/>
      <c r="AM11" s="2527"/>
      <c r="AN11" s="2568"/>
      <c r="AO11" s="2529">
        <v>0</v>
      </c>
      <c r="AP11" s="2527"/>
      <c r="AQ11" s="2527"/>
      <c r="AR11" s="2569"/>
      <c r="AS11" s="2594">
        <f t="shared" si="0"/>
        <v>0</v>
      </c>
      <c r="AT11" s="2570"/>
      <c r="AU11" s="2570"/>
      <c r="AV11" s="2571"/>
      <c r="AW11" s="337"/>
      <c r="AX11" s="337"/>
      <c r="AY11" s="337"/>
      <c r="AZ11" s="565"/>
      <c r="BA11" s="337"/>
      <c r="BB11" s="337"/>
      <c r="BC11" s="337"/>
    </row>
    <row r="12" spans="1:55" ht="27.95" customHeight="1">
      <c r="A12" s="337"/>
      <c r="B12" s="566"/>
      <c r="C12" s="567" t="s">
        <v>95</v>
      </c>
      <c r="D12" s="568"/>
      <c r="E12" s="568"/>
      <c r="F12" s="568"/>
      <c r="G12" s="568"/>
      <c r="H12" s="568"/>
      <c r="I12" s="568"/>
      <c r="J12" s="568"/>
      <c r="K12" s="568"/>
      <c r="L12" s="568"/>
      <c r="M12" s="568"/>
      <c r="N12" s="568"/>
      <c r="O12" s="568"/>
      <c r="P12" s="568"/>
      <c r="Q12" s="568"/>
      <c r="R12" s="568"/>
      <c r="S12" s="568"/>
      <c r="T12" s="569"/>
      <c r="U12" s="2526">
        <v>0</v>
      </c>
      <c r="V12" s="2527"/>
      <c r="W12" s="2527"/>
      <c r="X12" s="2568"/>
      <c r="Y12" s="2529">
        <v>3</v>
      </c>
      <c r="Z12" s="2527"/>
      <c r="AA12" s="2527"/>
      <c r="AB12" s="2568"/>
      <c r="AC12" s="2529">
        <v>0</v>
      </c>
      <c r="AD12" s="2527"/>
      <c r="AE12" s="2527"/>
      <c r="AF12" s="2568"/>
      <c r="AG12" s="2529">
        <v>0</v>
      </c>
      <c r="AH12" s="2527"/>
      <c r="AI12" s="2527"/>
      <c r="AJ12" s="2568"/>
      <c r="AK12" s="2529">
        <v>0</v>
      </c>
      <c r="AL12" s="2527"/>
      <c r="AM12" s="2527"/>
      <c r="AN12" s="2568"/>
      <c r="AO12" s="2529">
        <v>0</v>
      </c>
      <c r="AP12" s="2527"/>
      <c r="AQ12" s="2527"/>
      <c r="AR12" s="2569"/>
      <c r="AS12" s="2594">
        <f t="shared" si="0"/>
        <v>3</v>
      </c>
      <c r="AT12" s="2570"/>
      <c r="AU12" s="2570"/>
      <c r="AV12" s="2571"/>
      <c r="AW12" s="337"/>
      <c r="AX12" s="337"/>
      <c r="AY12" s="337"/>
      <c r="AZ12" s="337"/>
      <c r="BA12" s="337"/>
      <c r="BB12" s="337"/>
      <c r="BC12" s="337"/>
    </row>
    <row r="13" spans="1:55" ht="27.95" customHeight="1">
      <c r="A13" s="337"/>
      <c r="B13" s="564"/>
      <c r="C13" s="537" t="s">
        <v>96</v>
      </c>
      <c r="D13" s="539"/>
      <c r="E13" s="539"/>
      <c r="F13" s="539"/>
      <c r="G13" s="539"/>
      <c r="H13" s="539"/>
      <c r="I13" s="539"/>
      <c r="J13" s="539"/>
      <c r="K13" s="539"/>
      <c r="L13" s="539"/>
      <c r="M13" s="539"/>
      <c r="N13" s="539"/>
      <c r="O13" s="539"/>
      <c r="P13" s="539"/>
      <c r="Q13" s="539"/>
      <c r="R13" s="539"/>
      <c r="S13" s="539"/>
      <c r="T13" s="522"/>
      <c r="U13" s="2526">
        <v>0</v>
      </c>
      <c r="V13" s="2527"/>
      <c r="W13" s="2527"/>
      <c r="X13" s="2568"/>
      <c r="Y13" s="2529">
        <v>0</v>
      </c>
      <c r="Z13" s="2527"/>
      <c r="AA13" s="2527"/>
      <c r="AB13" s="2568"/>
      <c r="AC13" s="2529">
        <v>0</v>
      </c>
      <c r="AD13" s="2527"/>
      <c r="AE13" s="2527"/>
      <c r="AF13" s="2568"/>
      <c r="AG13" s="2529">
        <v>0</v>
      </c>
      <c r="AH13" s="2527"/>
      <c r="AI13" s="2527"/>
      <c r="AJ13" s="2568"/>
      <c r="AK13" s="2529">
        <v>0</v>
      </c>
      <c r="AL13" s="2527"/>
      <c r="AM13" s="2527"/>
      <c r="AN13" s="2568"/>
      <c r="AO13" s="2529">
        <v>0</v>
      </c>
      <c r="AP13" s="2527"/>
      <c r="AQ13" s="2527"/>
      <c r="AR13" s="2569"/>
      <c r="AS13" s="2594">
        <f t="shared" si="0"/>
        <v>0</v>
      </c>
      <c r="AT13" s="2570"/>
      <c r="AU13" s="2570"/>
      <c r="AV13" s="2571"/>
      <c r="AW13" s="337"/>
      <c r="AX13" s="337"/>
      <c r="AY13" s="337"/>
      <c r="AZ13" s="565"/>
      <c r="BA13" s="337"/>
      <c r="BB13" s="337"/>
      <c r="BC13" s="337"/>
    </row>
    <row r="14" spans="1:55" ht="27.95" customHeight="1">
      <c r="A14" s="337"/>
      <c r="B14" s="566"/>
      <c r="C14" s="567" t="s">
        <v>97</v>
      </c>
      <c r="D14" s="568"/>
      <c r="E14" s="568"/>
      <c r="F14" s="568"/>
      <c r="G14" s="568"/>
      <c r="H14" s="568"/>
      <c r="I14" s="568"/>
      <c r="J14" s="568"/>
      <c r="K14" s="568"/>
      <c r="L14" s="568"/>
      <c r="M14" s="568"/>
      <c r="N14" s="568"/>
      <c r="O14" s="568"/>
      <c r="P14" s="568"/>
      <c r="Q14" s="568"/>
      <c r="R14" s="568"/>
      <c r="S14" s="568"/>
      <c r="T14" s="569"/>
      <c r="U14" s="2526">
        <v>0</v>
      </c>
      <c r="V14" s="2527"/>
      <c r="W14" s="2527"/>
      <c r="X14" s="2568"/>
      <c r="Y14" s="2529">
        <v>0</v>
      </c>
      <c r="Z14" s="2527"/>
      <c r="AA14" s="2527"/>
      <c r="AB14" s="2568"/>
      <c r="AC14" s="2529">
        <v>0</v>
      </c>
      <c r="AD14" s="2527"/>
      <c r="AE14" s="2527"/>
      <c r="AF14" s="2568"/>
      <c r="AG14" s="2529">
        <v>0</v>
      </c>
      <c r="AH14" s="2527"/>
      <c r="AI14" s="2527"/>
      <c r="AJ14" s="2568"/>
      <c r="AK14" s="2529">
        <v>0</v>
      </c>
      <c r="AL14" s="2527"/>
      <c r="AM14" s="2527"/>
      <c r="AN14" s="2568"/>
      <c r="AO14" s="2529">
        <v>0</v>
      </c>
      <c r="AP14" s="2527"/>
      <c r="AQ14" s="2527"/>
      <c r="AR14" s="2569"/>
      <c r="AS14" s="2594">
        <f t="shared" si="0"/>
        <v>0</v>
      </c>
      <c r="AT14" s="2570"/>
      <c r="AU14" s="2570"/>
      <c r="AV14" s="2571"/>
      <c r="AW14" s="337"/>
      <c r="AX14" s="337"/>
      <c r="AY14" s="337"/>
      <c r="AZ14" s="565"/>
      <c r="BA14" s="337"/>
      <c r="BB14" s="337"/>
      <c r="BC14" s="337"/>
    </row>
    <row r="15" spans="1:55" ht="27.95" customHeight="1">
      <c r="A15" s="337"/>
      <c r="B15" s="566"/>
      <c r="C15" s="567" t="s">
        <v>98</v>
      </c>
      <c r="D15" s="568"/>
      <c r="E15" s="568"/>
      <c r="F15" s="568"/>
      <c r="G15" s="568"/>
      <c r="H15" s="568"/>
      <c r="I15" s="568"/>
      <c r="J15" s="568"/>
      <c r="K15" s="568"/>
      <c r="L15" s="568"/>
      <c r="M15" s="568"/>
      <c r="N15" s="568"/>
      <c r="O15" s="568"/>
      <c r="P15" s="568"/>
      <c r="Q15" s="568"/>
      <c r="R15" s="568"/>
      <c r="S15" s="568"/>
      <c r="T15" s="569"/>
      <c r="U15" s="2526">
        <v>0</v>
      </c>
      <c r="V15" s="2527"/>
      <c r="W15" s="2527"/>
      <c r="X15" s="2568"/>
      <c r="Y15" s="2529">
        <v>0</v>
      </c>
      <c r="Z15" s="2527"/>
      <c r="AA15" s="2527"/>
      <c r="AB15" s="2568"/>
      <c r="AC15" s="2529">
        <v>2</v>
      </c>
      <c r="AD15" s="2527"/>
      <c r="AE15" s="2527"/>
      <c r="AF15" s="2568"/>
      <c r="AG15" s="2529">
        <v>0</v>
      </c>
      <c r="AH15" s="2527"/>
      <c r="AI15" s="2527"/>
      <c r="AJ15" s="2568"/>
      <c r="AK15" s="2529">
        <v>0</v>
      </c>
      <c r="AL15" s="2527"/>
      <c r="AM15" s="2527"/>
      <c r="AN15" s="2568"/>
      <c r="AO15" s="2529">
        <v>0</v>
      </c>
      <c r="AP15" s="2527"/>
      <c r="AQ15" s="2527"/>
      <c r="AR15" s="2569"/>
      <c r="AS15" s="2594">
        <f t="shared" si="0"/>
        <v>2</v>
      </c>
      <c r="AT15" s="2570"/>
      <c r="AU15" s="2570"/>
      <c r="AV15" s="2571"/>
      <c r="AW15" s="337"/>
      <c r="AX15" s="337"/>
      <c r="AY15" s="337"/>
      <c r="AZ15" s="565"/>
      <c r="BA15" s="337"/>
      <c r="BB15" s="337"/>
      <c r="BC15" s="337"/>
    </row>
    <row r="16" spans="1:55" ht="27.95" customHeight="1">
      <c r="A16" s="337"/>
      <c r="B16" s="566"/>
      <c r="C16" s="567" t="s">
        <v>99</v>
      </c>
      <c r="D16" s="568"/>
      <c r="E16" s="568"/>
      <c r="F16" s="568"/>
      <c r="G16" s="568"/>
      <c r="H16" s="568"/>
      <c r="I16" s="568"/>
      <c r="J16" s="568"/>
      <c r="K16" s="568"/>
      <c r="L16" s="568"/>
      <c r="M16" s="568"/>
      <c r="N16" s="568"/>
      <c r="O16" s="568"/>
      <c r="P16" s="568"/>
      <c r="Q16" s="568"/>
      <c r="R16" s="568"/>
      <c r="S16" s="568"/>
      <c r="T16" s="569"/>
      <c r="U16" s="2526">
        <v>0</v>
      </c>
      <c r="V16" s="2527"/>
      <c r="W16" s="2527"/>
      <c r="X16" s="2568"/>
      <c r="Y16" s="2529">
        <v>0</v>
      </c>
      <c r="Z16" s="2527"/>
      <c r="AA16" s="2527"/>
      <c r="AB16" s="2568"/>
      <c r="AC16" s="2529">
        <v>0</v>
      </c>
      <c r="AD16" s="2527"/>
      <c r="AE16" s="2527"/>
      <c r="AF16" s="2568"/>
      <c r="AG16" s="2529">
        <v>0</v>
      </c>
      <c r="AH16" s="2527"/>
      <c r="AI16" s="2527"/>
      <c r="AJ16" s="2568"/>
      <c r="AK16" s="2529">
        <v>0</v>
      </c>
      <c r="AL16" s="2527"/>
      <c r="AM16" s="2527"/>
      <c r="AN16" s="2568"/>
      <c r="AO16" s="2529">
        <v>0</v>
      </c>
      <c r="AP16" s="2527"/>
      <c r="AQ16" s="2527"/>
      <c r="AR16" s="2569"/>
      <c r="AS16" s="2594">
        <f t="shared" si="0"/>
        <v>0</v>
      </c>
      <c r="AT16" s="2570"/>
      <c r="AU16" s="2570"/>
      <c r="AV16" s="2571"/>
      <c r="AW16" s="337"/>
      <c r="AX16" s="337"/>
      <c r="AY16" s="337"/>
      <c r="AZ16" s="565"/>
      <c r="BA16" s="337"/>
      <c r="BB16" s="337"/>
      <c r="BC16" s="337"/>
    </row>
    <row r="17" spans="1:55" ht="27.95" customHeight="1">
      <c r="A17" s="337"/>
      <c r="B17" s="566"/>
      <c r="C17" s="567" t="s">
        <v>100</v>
      </c>
      <c r="D17" s="568"/>
      <c r="E17" s="568"/>
      <c r="F17" s="568"/>
      <c r="G17" s="568"/>
      <c r="H17" s="568"/>
      <c r="I17" s="568"/>
      <c r="J17" s="568"/>
      <c r="K17" s="568"/>
      <c r="L17" s="568"/>
      <c r="M17" s="568"/>
      <c r="N17" s="568"/>
      <c r="O17" s="568"/>
      <c r="P17" s="568"/>
      <c r="Q17" s="568"/>
      <c r="R17" s="568"/>
      <c r="S17" s="568"/>
      <c r="T17" s="569"/>
      <c r="U17" s="2526">
        <v>0</v>
      </c>
      <c r="V17" s="2527"/>
      <c r="W17" s="2527"/>
      <c r="X17" s="2568"/>
      <c r="Y17" s="2529">
        <v>1</v>
      </c>
      <c r="Z17" s="2527"/>
      <c r="AA17" s="2527"/>
      <c r="AB17" s="2568"/>
      <c r="AC17" s="2529">
        <v>0</v>
      </c>
      <c r="AD17" s="2527"/>
      <c r="AE17" s="2527"/>
      <c r="AF17" s="2568"/>
      <c r="AG17" s="2529">
        <v>0</v>
      </c>
      <c r="AH17" s="2527"/>
      <c r="AI17" s="2527"/>
      <c r="AJ17" s="2568"/>
      <c r="AK17" s="2529">
        <v>0</v>
      </c>
      <c r="AL17" s="2527"/>
      <c r="AM17" s="2527"/>
      <c r="AN17" s="2568"/>
      <c r="AO17" s="2529">
        <v>0</v>
      </c>
      <c r="AP17" s="2527"/>
      <c r="AQ17" s="2527"/>
      <c r="AR17" s="2569"/>
      <c r="AS17" s="2594">
        <f t="shared" si="0"/>
        <v>1</v>
      </c>
      <c r="AT17" s="2570"/>
      <c r="AU17" s="2570"/>
      <c r="AV17" s="2571"/>
      <c r="AW17" s="337"/>
      <c r="AX17" s="337"/>
      <c r="AY17" s="337"/>
      <c r="AZ17" s="565"/>
      <c r="BA17" s="337"/>
      <c r="BB17" s="337"/>
      <c r="BC17" s="337"/>
    </row>
    <row r="18" spans="1:55" ht="27.95" customHeight="1">
      <c r="A18" s="337"/>
      <c r="B18" s="566"/>
      <c r="C18" s="567" t="s">
        <v>101</v>
      </c>
      <c r="D18" s="568"/>
      <c r="E18" s="568"/>
      <c r="F18" s="568"/>
      <c r="G18" s="568"/>
      <c r="H18" s="568"/>
      <c r="I18" s="568"/>
      <c r="J18" s="568"/>
      <c r="K18" s="568"/>
      <c r="L18" s="568"/>
      <c r="M18" s="568"/>
      <c r="N18" s="568"/>
      <c r="O18" s="568"/>
      <c r="P18" s="568"/>
      <c r="Q18" s="568"/>
      <c r="R18" s="568"/>
      <c r="S18" s="568"/>
      <c r="T18" s="569"/>
      <c r="U18" s="2526">
        <v>0</v>
      </c>
      <c r="V18" s="2527"/>
      <c r="W18" s="2527"/>
      <c r="X18" s="2568"/>
      <c r="Y18" s="2529">
        <v>0</v>
      </c>
      <c r="Z18" s="2527"/>
      <c r="AA18" s="2527"/>
      <c r="AB18" s="2568"/>
      <c r="AC18" s="2529">
        <v>0</v>
      </c>
      <c r="AD18" s="2527"/>
      <c r="AE18" s="2527"/>
      <c r="AF18" s="2568"/>
      <c r="AG18" s="2529">
        <v>0</v>
      </c>
      <c r="AH18" s="2527"/>
      <c r="AI18" s="2527"/>
      <c r="AJ18" s="2568"/>
      <c r="AK18" s="2529">
        <v>0</v>
      </c>
      <c r="AL18" s="2527"/>
      <c r="AM18" s="2527"/>
      <c r="AN18" s="2568"/>
      <c r="AO18" s="2529">
        <v>0</v>
      </c>
      <c r="AP18" s="2527"/>
      <c r="AQ18" s="2527"/>
      <c r="AR18" s="2569"/>
      <c r="AS18" s="2594">
        <f t="shared" si="0"/>
        <v>0</v>
      </c>
      <c r="AT18" s="2570"/>
      <c r="AU18" s="2570"/>
      <c r="AV18" s="2571"/>
      <c r="AW18" s="337"/>
      <c r="AX18" s="337"/>
      <c r="AY18" s="337"/>
      <c r="AZ18" s="565"/>
      <c r="BA18" s="337"/>
      <c r="BB18" s="337"/>
      <c r="BC18" s="337"/>
    </row>
    <row r="19" spans="1:55" ht="27.95" customHeight="1">
      <c r="A19" s="337"/>
      <c r="B19" s="566"/>
      <c r="C19" s="567" t="s">
        <v>102</v>
      </c>
      <c r="D19" s="568"/>
      <c r="E19" s="568"/>
      <c r="F19" s="568"/>
      <c r="G19" s="568"/>
      <c r="H19" s="568"/>
      <c r="I19" s="568"/>
      <c r="J19" s="568"/>
      <c r="K19" s="568"/>
      <c r="L19" s="568"/>
      <c r="M19" s="568"/>
      <c r="N19" s="568"/>
      <c r="O19" s="568"/>
      <c r="P19" s="568"/>
      <c r="Q19" s="568"/>
      <c r="R19" s="568"/>
      <c r="S19" s="568"/>
      <c r="T19" s="569"/>
      <c r="U19" s="2526">
        <v>0</v>
      </c>
      <c r="V19" s="2527"/>
      <c r="W19" s="2527"/>
      <c r="X19" s="2568"/>
      <c r="Y19" s="2529">
        <v>1</v>
      </c>
      <c r="Z19" s="2527"/>
      <c r="AA19" s="2527"/>
      <c r="AB19" s="2568"/>
      <c r="AC19" s="2529">
        <v>0</v>
      </c>
      <c r="AD19" s="2527"/>
      <c r="AE19" s="2527"/>
      <c r="AF19" s="2568"/>
      <c r="AG19" s="2529">
        <v>0</v>
      </c>
      <c r="AH19" s="2527"/>
      <c r="AI19" s="2527"/>
      <c r="AJ19" s="2568"/>
      <c r="AK19" s="2529">
        <v>0</v>
      </c>
      <c r="AL19" s="2527"/>
      <c r="AM19" s="2527"/>
      <c r="AN19" s="2568"/>
      <c r="AO19" s="2529">
        <v>0</v>
      </c>
      <c r="AP19" s="2527"/>
      <c r="AQ19" s="2527"/>
      <c r="AR19" s="2569"/>
      <c r="AS19" s="2594">
        <f t="shared" si="0"/>
        <v>1</v>
      </c>
      <c r="AT19" s="2570"/>
      <c r="AU19" s="2570"/>
      <c r="AV19" s="2571"/>
      <c r="AW19" s="337"/>
      <c r="AX19" s="337"/>
      <c r="AY19" s="337"/>
      <c r="AZ19" s="565"/>
      <c r="BA19" s="337"/>
      <c r="BB19" s="337"/>
      <c r="BC19" s="337"/>
    </row>
    <row r="20" spans="1:55" ht="27.95" customHeight="1">
      <c r="A20" s="337"/>
      <c r="B20" s="566"/>
      <c r="C20" s="567" t="s">
        <v>103</v>
      </c>
      <c r="D20" s="568"/>
      <c r="E20" s="568"/>
      <c r="F20" s="568"/>
      <c r="G20" s="568"/>
      <c r="H20" s="568"/>
      <c r="I20" s="568"/>
      <c r="J20" s="568"/>
      <c r="K20" s="568"/>
      <c r="L20" s="568"/>
      <c r="M20" s="568"/>
      <c r="N20" s="568"/>
      <c r="O20" s="568"/>
      <c r="P20" s="568"/>
      <c r="Q20" s="568"/>
      <c r="R20" s="568"/>
      <c r="S20" s="568"/>
      <c r="T20" s="569"/>
      <c r="U20" s="2526">
        <v>0</v>
      </c>
      <c r="V20" s="2527"/>
      <c r="W20" s="2527"/>
      <c r="X20" s="2568"/>
      <c r="Y20" s="2529">
        <v>0</v>
      </c>
      <c r="Z20" s="2527"/>
      <c r="AA20" s="2527"/>
      <c r="AB20" s="2568"/>
      <c r="AC20" s="2529">
        <v>0</v>
      </c>
      <c r="AD20" s="2527"/>
      <c r="AE20" s="2527"/>
      <c r="AF20" s="2568"/>
      <c r="AG20" s="2529">
        <v>0</v>
      </c>
      <c r="AH20" s="2527"/>
      <c r="AI20" s="2527"/>
      <c r="AJ20" s="2568"/>
      <c r="AK20" s="2529">
        <v>0</v>
      </c>
      <c r="AL20" s="2527"/>
      <c r="AM20" s="2527"/>
      <c r="AN20" s="2568"/>
      <c r="AO20" s="2529">
        <v>0</v>
      </c>
      <c r="AP20" s="2527"/>
      <c r="AQ20" s="2527"/>
      <c r="AR20" s="2569"/>
      <c r="AS20" s="2594">
        <f t="shared" si="0"/>
        <v>0</v>
      </c>
      <c r="AT20" s="2570"/>
      <c r="AU20" s="2570"/>
      <c r="AV20" s="2571"/>
      <c r="AW20" s="337"/>
      <c r="AX20" s="337"/>
      <c r="AY20" s="337"/>
      <c r="AZ20" s="565"/>
      <c r="BA20" s="337"/>
      <c r="BB20" s="337"/>
      <c r="BC20" s="337"/>
    </row>
    <row r="21" spans="1:55" ht="27.95" customHeight="1">
      <c r="A21" s="337"/>
      <c r="B21" s="566"/>
      <c r="C21" s="537" t="s">
        <v>104</v>
      </c>
      <c r="D21" s="453"/>
      <c r="E21" s="453"/>
      <c r="F21" s="453"/>
      <c r="G21" s="453"/>
      <c r="H21" s="453"/>
      <c r="I21" s="453"/>
      <c r="J21" s="453"/>
      <c r="K21" s="453"/>
      <c r="L21" s="453"/>
      <c r="M21" s="453"/>
      <c r="N21" s="453"/>
      <c r="O21" s="453"/>
      <c r="P21" s="453"/>
      <c r="Q21" s="453"/>
      <c r="R21" s="453"/>
      <c r="S21" s="453"/>
      <c r="T21" s="522"/>
      <c r="U21" s="2526">
        <v>0</v>
      </c>
      <c r="V21" s="2527"/>
      <c r="W21" s="2527"/>
      <c r="X21" s="2568"/>
      <c r="Y21" s="2529">
        <v>0</v>
      </c>
      <c r="Z21" s="2527"/>
      <c r="AA21" s="2527"/>
      <c r="AB21" s="2568"/>
      <c r="AC21" s="2529">
        <v>0</v>
      </c>
      <c r="AD21" s="2527"/>
      <c r="AE21" s="2527"/>
      <c r="AF21" s="2568"/>
      <c r="AG21" s="2529">
        <v>0</v>
      </c>
      <c r="AH21" s="2527"/>
      <c r="AI21" s="2527"/>
      <c r="AJ21" s="2568"/>
      <c r="AK21" s="2529">
        <v>0</v>
      </c>
      <c r="AL21" s="2527"/>
      <c r="AM21" s="2527"/>
      <c r="AN21" s="2568"/>
      <c r="AO21" s="2529">
        <v>0</v>
      </c>
      <c r="AP21" s="2527"/>
      <c r="AQ21" s="2527"/>
      <c r="AR21" s="2569"/>
      <c r="AS21" s="2594">
        <f t="shared" si="0"/>
        <v>0</v>
      </c>
      <c r="AT21" s="2570"/>
      <c r="AU21" s="2570"/>
      <c r="AV21" s="2571"/>
      <c r="AW21" s="337"/>
      <c r="AX21" s="337"/>
      <c r="AY21" s="337"/>
      <c r="AZ21" s="565"/>
      <c r="BA21" s="337"/>
      <c r="BB21" s="337"/>
      <c r="BC21" s="337"/>
    </row>
    <row r="22" spans="1:55" ht="27.95" customHeight="1">
      <c r="A22" s="337"/>
      <c r="B22" s="566"/>
      <c r="C22" s="567" t="s">
        <v>105</v>
      </c>
      <c r="D22" s="568"/>
      <c r="E22" s="568"/>
      <c r="F22" s="568"/>
      <c r="G22" s="568"/>
      <c r="H22" s="568"/>
      <c r="I22" s="568"/>
      <c r="J22" s="568"/>
      <c r="K22" s="568"/>
      <c r="L22" s="568"/>
      <c r="M22" s="568"/>
      <c r="N22" s="568"/>
      <c r="O22" s="568"/>
      <c r="P22" s="568"/>
      <c r="Q22" s="568"/>
      <c r="R22" s="568"/>
      <c r="S22" s="568"/>
      <c r="T22" s="569"/>
      <c r="U22" s="2526">
        <v>0</v>
      </c>
      <c r="V22" s="2527"/>
      <c r="W22" s="2527"/>
      <c r="X22" s="2568"/>
      <c r="Y22" s="2529">
        <v>0</v>
      </c>
      <c r="Z22" s="2527"/>
      <c r="AA22" s="2527"/>
      <c r="AB22" s="2568"/>
      <c r="AC22" s="2529">
        <v>0</v>
      </c>
      <c r="AD22" s="2527"/>
      <c r="AE22" s="2527"/>
      <c r="AF22" s="2568"/>
      <c r="AG22" s="2529">
        <v>0</v>
      </c>
      <c r="AH22" s="2527"/>
      <c r="AI22" s="2527"/>
      <c r="AJ22" s="2568"/>
      <c r="AK22" s="2529">
        <v>0</v>
      </c>
      <c r="AL22" s="2527"/>
      <c r="AM22" s="2527"/>
      <c r="AN22" s="2568"/>
      <c r="AO22" s="2529">
        <v>0</v>
      </c>
      <c r="AP22" s="2527"/>
      <c r="AQ22" s="2527"/>
      <c r="AR22" s="2569"/>
      <c r="AS22" s="2594">
        <f t="shared" si="0"/>
        <v>0</v>
      </c>
      <c r="AT22" s="2570"/>
      <c r="AU22" s="2570"/>
      <c r="AV22" s="2571"/>
      <c r="AW22" s="337"/>
      <c r="AX22" s="337"/>
      <c r="AY22" s="337"/>
      <c r="AZ22" s="565"/>
      <c r="BA22" s="337"/>
      <c r="BB22" s="337"/>
      <c r="BC22" s="337"/>
    </row>
    <row r="23" spans="1:55" ht="27.95" customHeight="1">
      <c r="A23" s="337"/>
      <c r="B23" s="566"/>
      <c r="C23" s="567" t="s">
        <v>106</v>
      </c>
      <c r="D23" s="568"/>
      <c r="E23" s="568"/>
      <c r="F23" s="568"/>
      <c r="G23" s="568"/>
      <c r="H23" s="568"/>
      <c r="I23" s="568"/>
      <c r="J23" s="568"/>
      <c r="K23" s="568"/>
      <c r="L23" s="568"/>
      <c r="M23" s="568"/>
      <c r="N23" s="568"/>
      <c r="O23" s="568"/>
      <c r="P23" s="568"/>
      <c r="Q23" s="568"/>
      <c r="R23" s="568"/>
      <c r="S23" s="568"/>
      <c r="T23" s="569"/>
      <c r="U23" s="2526">
        <v>0</v>
      </c>
      <c r="V23" s="2527"/>
      <c r="W23" s="2527"/>
      <c r="X23" s="2568"/>
      <c r="Y23" s="2529">
        <v>0</v>
      </c>
      <c r="Z23" s="2527"/>
      <c r="AA23" s="2527"/>
      <c r="AB23" s="2568"/>
      <c r="AC23" s="2529">
        <v>0</v>
      </c>
      <c r="AD23" s="2527"/>
      <c r="AE23" s="2527"/>
      <c r="AF23" s="2568"/>
      <c r="AG23" s="2529">
        <v>0</v>
      </c>
      <c r="AH23" s="2527"/>
      <c r="AI23" s="2527"/>
      <c r="AJ23" s="2568"/>
      <c r="AK23" s="2529">
        <v>0</v>
      </c>
      <c r="AL23" s="2527"/>
      <c r="AM23" s="2527"/>
      <c r="AN23" s="2568"/>
      <c r="AO23" s="2529">
        <v>0</v>
      </c>
      <c r="AP23" s="2527"/>
      <c r="AQ23" s="2527"/>
      <c r="AR23" s="2569"/>
      <c r="AS23" s="2594">
        <f t="shared" si="0"/>
        <v>0</v>
      </c>
      <c r="AT23" s="2570"/>
      <c r="AU23" s="2570"/>
      <c r="AV23" s="2571"/>
      <c r="AW23" s="337"/>
      <c r="AX23" s="337"/>
      <c r="AY23" s="337"/>
      <c r="AZ23" s="565"/>
      <c r="BA23" s="337"/>
      <c r="BB23" s="337"/>
      <c r="BC23" s="337"/>
    </row>
    <row r="24" spans="1:55" ht="27.95" customHeight="1">
      <c r="A24" s="337"/>
      <c r="B24" s="566"/>
      <c r="C24" s="567" t="s">
        <v>107</v>
      </c>
      <c r="D24" s="568"/>
      <c r="E24" s="568"/>
      <c r="F24" s="568"/>
      <c r="G24" s="568"/>
      <c r="H24" s="568"/>
      <c r="I24" s="568"/>
      <c r="J24" s="568"/>
      <c r="K24" s="568"/>
      <c r="L24" s="568"/>
      <c r="M24" s="568"/>
      <c r="N24" s="568"/>
      <c r="O24" s="568"/>
      <c r="P24" s="568"/>
      <c r="Q24" s="568"/>
      <c r="R24" s="568"/>
      <c r="S24" s="568"/>
      <c r="T24" s="569"/>
      <c r="U24" s="2526">
        <v>0</v>
      </c>
      <c r="V24" s="2527"/>
      <c r="W24" s="2527"/>
      <c r="X24" s="2568"/>
      <c r="Y24" s="2529">
        <v>0</v>
      </c>
      <c r="Z24" s="2527"/>
      <c r="AA24" s="2527"/>
      <c r="AB24" s="2568"/>
      <c r="AC24" s="2529">
        <v>0</v>
      </c>
      <c r="AD24" s="2527"/>
      <c r="AE24" s="2527"/>
      <c r="AF24" s="2568"/>
      <c r="AG24" s="2529">
        <v>0</v>
      </c>
      <c r="AH24" s="2527"/>
      <c r="AI24" s="2527"/>
      <c r="AJ24" s="2568"/>
      <c r="AK24" s="2529">
        <v>0</v>
      </c>
      <c r="AL24" s="2527"/>
      <c r="AM24" s="2527"/>
      <c r="AN24" s="2568"/>
      <c r="AO24" s="2529">
        <v>0</v>
      </c>
      <c r="AP24" s="2527"/>
      <c r="AQ24" s="2527"/>
      <c r="AR24" s="2569"/>
      <c r="AS24" s="2594">
        <f t="shared" si="0"/>
        <v>0</v>
      </c>
      <c r="AT24" s="2570"/>
      <c r="AU24" s="2570"/>
      <c r="AV24" s="2571"/>
      <c r="AW24" s="337"/>
      <c r="AX24" s="337"/>
      <c r="AY24" s="337"/>
      <c r="AZ24" s="565"/>
      <c r="BA24" s="337"/>
      <c r="BB24" s="337"/>
      <c r="BC24" s="337"/>
    </row>
    <row r="25" spans="1:55" ht="27.95" customHeight="1">
      <c r="A25" s="337"/>
      <c r="B25" s="566"/>
      <c r="C25" s="567" t="s">
        <v>108</v>
      </c>
      <c r="D25" s="568"/>
      <c r="E25" s="568"/>
      <c r="F25" s="568"/>
      <c r="G25" s="568"/>
      <c r="H25" s="568"/>
      <c r="I25" s="568"/>
      <c r="J25" s="568"/>
      <c r="K25" s="568"/>
      <c r="L25" s="568"/>
      <c r="M25" s="568"/>
      <c r="N25" s="568"/>
      <c r="O25" s="568"/>
      <c r="P25" s="568"/>
      <c r="Q25" s="568"/>
      <c r="R25" s="568"/>
      <c r="S25" s="568"/>
      <c r="T25" s="569"/>
      <c r="U25" s="2526">
        <v>0</v>
      </c>
      <c r="V25" s="2527"/>
      <c r="W25" s="2527"/>
      <c r="X25" s="2568"/>
      <c r="Y25" s="2529">
        <v>1</v>
      </c>
      <c r="Z25" s="2527"/>
      <c r="AA25" s="2527"/>
      <c r="AB25" s="2568"/>
      <c r="AC25" s="2529">
        <v>0</v>
      </c>
      <c r="AD25" s="2527"/>
      <c r="AE25" s="2527"/>
      <c r="AF25" s="2568"/>
      <c r="AG25" s="2529">
        <v>0</v>
      </c>
      <c r="AH25" s="2527"/>
      <c r="AI25" s="2527"/>
      <c r="AJ25" s="2568"/>
      <c r="AK25" s="2529">
        <v>0</v>
      </c>
      <c r="AL25" s="2527"/>
      <c r="AM25" s="2527"/>
      <c r="AN25" s="2568"/>
      <c r="AO25" s="2529">
        <v>0</v>
      </c>
      <c r="AP25" s="2527"/>
      <c r="AQ25" s="2527"/>
      <c r="AR25" s="2569"/>
      <c r="AS25" s="2594">
        <f t="shared" si="0"/>
        <v>1</v>
      </c>
      <c r="AT25" s="2570"/>
      <c r="AU25" s="2570"/>
      <c r="AV25" s="2571"/>
      <c r="AW25" s="337"/>
      <c r="AX25" s="337"/>
      <c r="AY25" s="337"/>
      <c r="AZ25" s="565"/>
      <c r="BA25" s="337"/>
      <c r="BB25" s="337"/>
      <c r="BC25" s="337"/>
    </row>
    <row r="26" spans="1:55" ht="27.95" customHeight="1">
      <c r="A26" s="337"/>
      <c r="B26" s="566"/>
      <c r="C26" s="567" t="s">
        <v>109</v>
      </c>
      <c r="D26" s="568"/>
      <c r="E26" s="568"/>
      <c r="F26" s="568"/>
      <c r="G26" s="568"/>
      <c r="H26" s="568"/>
      <c r="I26" s="568"/>
      <c r="J26" s="568"/>
      <c r="K26" s="568"/>
      <c r="L26" s="568"/>
      <c r="M26" s="568"/>
      <c r="N26" s="568"/>
      <c r="O26" s="568"/>
      <c r="P26" s="568"/>
      <c r="Q26" s="568"/>
      <c r="R26" s="568"/>
      <c r="S26" s="568"/>
      <c r="T26" s="569"/>
      <c r="U26" s="2526">
        <v>0</v>
      </c>
      <c r="V26" s="2527"/>
      <c r="W26" s="2527"/>
      <c r="X26" s="2568"/>
      <c r="Y26" s="2529">
        <v>0</v>
      </c>
      <c r="Z26" s="2527"/>
      <c r="AA26" s="2527"/>
      <c r="AB26" s="2568"/>
      <c r="AC26" s="2529">
        <v>0</v>
      </c>
      <c r="AD26" s="2527"/>
      <c r="AE26" s="2527"/>
      <c r="AF26" s="2568"/>
      <c r="AG26" s="2529">
        <v>0</v>
      </c>
      <c r="AH26" s="2527"/>
      <c r="AI26" s="2527"/>
      <c r="AJ26" s="2568"/>
      <c r="AK26" s="2529">
        <v>0</v>
      </c>
      <c r="AL26" s="2527"/>
      <c r="AM26" s="2527"/>
      <c r="AN26" s="2568"/>
      <c r="AO26" s="2529">
        <v>0</v>
      </c>
      <c r="AP26" s="2527"/>
      <c r="AQ26" s="2527"/>
      <c r="AR26" s="2569"/>
      <c r="AS26" s="2594">
        <f t="shared" si="0"/>
        <v>0</v>
      </c>
      <c r="AT26" s="2570"/>
      <c r="AU26" s="2570"/>
      <c r="AV26" s="2571"/>
      <c r="AW26" s="337"/>
      <c r="AX26" s="337"/>
      <c r="AY26" s="337"/>
      <c r="AZ26" s="565"/>
      <c r="BA26" s="337"/>
      <c r="BB26" s="337"/>
      <c r="BC26" s="337"/>
    </row>
    <row r="27" spans="1:55" ht="27.95" customHeight="1">
      <c r="A27" s="337"/>
      <c r="B27" s="566"/>
      <c r="C27" s="567" t="s">
        <v>110</v>
      </c>
      <c r="D27" s="568"/>
      <c r="E27" s="568"/>
      <c r="F27" s="568"/>
      <c r="G27" s="568"/>
      <c r="H27" s="568"/>
      <c r="I27" s="568"/>
      <c r="J27" s="568"/>
      <c r="K27" s="568"/>
      <c r="L27" s="568"/>
      <c r="M27" s="568"/>
      <c r="N27" s="568"/>
      <c r="O27" s="568"/>
      <c r="P27" s="568"/>
      <c r="Q27" s="568"/>
      <c r="R27" s="568"/>
      <c r="S27" s="568"/>
      <c r="T27" s="569"/>
      <c r="U27" s="2526">
        <v>0</v>
      </c>
      <c r="V27" s="2527"/>
      <c r="W27" s="2527"/>
      <c r="X27" s="2568"/>
      <c r="Y27" s="2529">
        <v>0</v>
      </c>
      <c r="Z27" s="2527"/>
      <c r="AA27" s="2527"/>
      <c r="AB27" s="2568"/>
      <c r="AC27" s="2529">
        <v>0</v>
      </c>
      <c r="AD27" s="2527"/>
      <c r="AE27" s="2527"/>
      <c r="AF27" s="2568"/>
      <c r="AG27" s="2529">
        <v>0</v>
      </c>
      <c r="AH27" s="2527"/>
      <c r="AI27" s="2527"/>
      <c r="AJ27" s="2568"/>
      <c r="AK27" s="2529">
        <v>0</v>
      </c>
      <c r="AL27" s="2527"/>
      <c r="AM27" s="2527"/>
      <c r="AN27" s="2568"/>
      <c r="AO27" s="2529">
        <v>0</v>
      </c>
      <c r="AP27" s="2527"/>
      <c r="AQ27" s="2527"/>
      <c r="AR27" s="2569"/>
      <c r="AS27" s="2594">
        <f t="shared" si="0"/>
        <v>0</v>
      </c>
      <c r="AT27" s="2570"/>
      <c r="AU27" s="2570"/>
      <c r="AV27" s="2571"/>
      <c r="AW27" s="337"/>
      <c r="AX27" s="337"/>
      <c r="AY27" s="337"/>
      <c r="AZ27" s="565"/>
      <c r="BA27" s="337"/>
      <c r="BB27" s="337"/>
      <c r="BC27" s="337"/>
    </row>
    <row r="28" spans="1:55" ht="27.95" customHeight="1">
      <c r="A28" s="337"/>
      <c r="B28" s="566"/>
      <c r="C28" s="567" t="s">
        <v>111</v>
      </c>
      <c r="D28" s="568"/>
      <c r="E28" s="568"/>
      <c r="F28" s="568"/>
      <c r="G28" s="568"/>
      <c r="H28" s="568"/>
      <c r="I28" s="568"/>
      <c r="J28" s="568"/>
      <c r="K28" s="568"/>
      <c r="L28" s="568"/>
      <c r="M28" s="568"/>
      <c r="N28" s="568"/>
      <c r="O28" s="568"/>
      <c r="P28" s="568"/>
      <c r="Q28" s="568"/>
      <c r="R28" s="568"/>
      <c r="S28" s="568"/>
      <c r="T28" s="569"/>
      <c r="U28" s="2526">
        <v>0</v>
      </c>
      <c r="V28" s="2527"/>
      <c r="W28" s="2527"/>
      <c r="X28" s="2568"/>
      <c r="Y28" s="2529">
        <v>0</v>
      </c>
      <c r="Z28" s="2527"/>
      <c r="AA28" s="2527"/>
      <c r="AB28" s="2568"/>
      <c r="AC28" s="2529">
        <v>0</v>
      </c>
      <c r="AD28" s="2527"/>
      <c r="AE28" s="2527"/>
      <c r="AF28" s="2568"/>
      <c r="AG28" s="2529">
        <v>0</v>
      </c>
      <c r="AH28" s="2527"/>
      <c r="AI28" s="2527"/>
      <c r="AJ28" s="2568"/>
      <c r="AK28" s="2529">
        <v>0</v>
      </c>
      <c r="AL28" s="2527"/>
      <c r="AM28" s="2527"/>
      <c r="AN28" s="2568"/>
      <c r="AO28" s="2529">
        <v>0</v>
      </c>
      <c r="AP28" s="2527"/>
      <c r="AQ28" s="2527"/>
      <c r="AR28" s="2569"/>
      <c r="AS28" s="2594">
        <f t="shared" si="0"/>
        <v>0</v>
      </c>
      <c r="AT28" s="2570"/>
      <c r="AU28" s="2570"/>
      <c r="AV28" s="2571"/>
      <c r="AW28" s="337"/>
      <c r="AX28" s="337"/>
      <c r="AY28" s="337"/>
      <c r="AZ28" s="565"/>
      <c r="BA28" s="337"/>
      <c r="BB28" s="337"/>
      <c r="BC28" s="337"/>
    </row>
    <row r="29" spans="1:55" ht="27.95" customHeight="1">
      <c r="A29" s="337"/>
      <c r="B29" s="566"/>
      <c r="C29" s="567" t="s">
        <v>112</v>
      </c>
      <c r="D29" s="568"/>
      <c r="E29" s="568"/>
      <c r="F29" s="568"/>
      <c r="G29" s="568"/>
      <c r="H29" s="568"/>
      <c r="I29" s="568"/>
      <c r="J29" s="568"/>
      <c r="K29" s="568"/>
      <c r="L29" s="568"/>
      <c r="M29" s="568"/>
      <c r="N29" s="568"/>
      <c r="O29" s="568"/>
      <c r="P29" s="568"/>
      <c r="Q29" s="568"/>
      <c r="R29" s="568"/>
      <c r="S29" s="568"/>
      <c r="T29" s="569"/>
      <c r="U29" s="2526">
        <v>0</v>
      </c>
      <c r="V29" s="2527"/>
      <c r="W29" s="2527"/>
      <c r="X29" s="2568"/>
      <c r="Y29" s="2529">
        <v>0</v>
      </c>
      <c r="Z29" s="2527"/>
      <c r="AA29" s="2527"/>
      <c r="AB29" s="2568"/>
      <c r="AC29" s="2529">
        <v>0</v>
      </c>
      <c r="AD29" s="2527"/>
      <c r="AE29" s="2527"/>
      <c r="AF29" s="2568"/>
      <c r="AG29" s="2529">
        <v>0</v>
      </c>
      <c r="AH29" s="2527"/>
      <c r="AI29" s="2527"/>
      <c r="AJ29" s="2568"/>
      <c r="AK29" s="2529">
        <v>0</v>
      </c>
      <c r="AL29" s="2527"/>
      <c r="AM29" s="2527"/>
      <c r="AN29" s="2568"/>
      <c r="AO29" s="2529">
        <v>0</v>
      </c>
      <c r="AP29" s="2527"/>
      <c r="AQ29" s="2527"/>
      <c r="AR29" s="2569"/>
      <c r="AS29" s="2594">
        <f t="shared" si="0"/>
        <v>0</v>
      </c>
      <c r="AT29" s="2570"/>
      <c r="AU29" s="2570"/>
      <c r="AV29" s="2571"/>
      <c r="AW29" s="337"/>
      <c r="AX29" s="337"/>
      <c r="AY29" s="337"/>
      <c r="AZ29" s="565"/>
      <c r="BA29" s="337"/>
      <c r="BB29" s="337"/>
      <c r="BC29" s="337"/>
    </row>
    <row r="30" spans="1:55" ht="27.95" customHeight="1">
      <c r="A30" s="337"/>
      <c r="B30" s="570" t="s">
        <v>68</v>
      </c>
      <c r="C30" s="539"/>
      <c r="D30" s="453"/>
      <c r="E30" s="453"/>
      <c r="F30" s="453"/>
      <c r="G30" s="453"/>
      <c r="H30" s="453"/>
      <c r="I30" s="453"/>
      <c r="J30" s="453"/>
      <c r="K30" s="453"/>
      <c r="L30" s="453"/>
      <c r="M30" s="453"/>
      <c r="N30" s="453"/>
      <c r="O30" s="453"/>
      <c r="P30" s="453"/>
      <c r="Q30" s="453"/>
      <c r="R30" s="453"/>
      <c r="S30" s="453"/>
      <c r="T30" s="522"/>
      <c r="U30" s="2586"/>
      <c r="V30" s="2587"/>
      <c r="W30" s="2587"/>
      <c r="X30" s="2587"/>
      <c r="Y30" s="2587"/>
      <c r="Z30" s="2587"/>
      <c r="AA30" s="2587"/>
      <c r="AB30" s="2587"/>
      <c r="AC30" s="2587"/>
      <c r="AD30" s="2587"/>
      <c r="AE30" s="2587"/>
      <c r="AF30" s="2587"/>
      <c r="AG30" s="2587"/>
      <c r="AH30" s="2587"/>
      <c r="AI30" s="2587"/>
      <c r="AJ30" s="2587"/>
      <c r="AK30" s="2587"/>
      <c r="AL30" s="2587"/>
      <c r="AM30" s="2587"/>
      <c r="AN30" s="2587"/>
      <c r="AO30" s="2587"/>
      <c r="AP30" s="2587"/>
      <c r="AQ30" s="2587"/>
      <c r="AR30" s="2587"/>
      <c r="AS30" s="2587"/>
      <c r="AT30" s="2587"/>
      <c r="AU30" s="2587"/>
      <c r="AV30" s="2588"/>
      <c r="AW30" s="337"/>
      <c r="AX30" s="337"/>
      <c r="AY30" s="337"/>
      <c r="AZ30" s="337"/>
      <c r="BA30" s="337"/>
      <c r="BB30" s="337"/>
      <c r="BC30" s="337"/>
    </row>
    <row r="31" spans="1:55" ht="27.95" customHeight="1">
      <c r="A31" s="337"/>
      <c r="B31" s="564"/>
      <c r="C31" s="537" t="s">
        <v>113</v>
      </c>
      <c r="D31" s="453"/>
      <c r="E31" s="539"/>
      <c r="F31" s="539"/>
      <c r="G31" s="539"/>
      <c r="H31" s="539"/>
      <c r="I31" s="539"/>
      <c r="J31" s="539"/>
      <c r="K31" s="539"/>
      <c r="L31" s="539"/>
      <c r="M31" s="539"/>
      <c r="N31" s="539"/>
      <c r="O31" s="539"/>
      <c r="P31" s="539"/>
      <c r="Q31" s="539"/>
      <c r="R31" s="539"/>
      <c r="S31" s="539"/>
      <c r="T31" s="522"/>
      <c r="U31" s="2526">
        <v>0</v>
      </c>
      <c r="V31" s="2527"/>
      <c r="W31" s="2527"/>
      <c r="X31" s="2568"/>
      <c r="Y31" s="2529">
        <v>0</v>
      </c>
      <c r="Z31" s="2527"/>
      <c r="AA31" s="2527"/>
      <c r="AB31" s="2568"/>
      <c r="AC31" s="2529">
        <v>1</v>
      </c>
      <c r="AD31" s="2527"/>
      <c r="AE31" s="2527"/>
      <c r="AF31" s="2568"/>
      <c r="AG31" s="2529">
        <v>0</v>
      </c>
      <c r="AH31" s="2527"/>
      <c r="AI31" s="2527"/>
      <c r="AJ31" s="2568"/>
      <c r="AK31" s="2529">
        <v>0</v>
      </c>
      <c r="AL31" s="2527"/>
      <c r="AM31" s="2527"/>
      <c r="AN31" s="2568"/>
      <c r="AO31" s="2529">
        <v>0</v>
      </c>
      <c r="AP31" s="2527"/>
      <c r="AQ31" s="2527"/>
      <c r="AR31" s="2569"/>
      <c r="AS31" s="2594">
        <f t="shared" ref="AS31:AS49" si="1">SUM(U31:AR31)</f>
        <v>1</v>
      </c>
      <c r="AT31" s="2570"/>
      <c r="AU31" s="2570"/>
      <c r="AV31" s="2571"/>
      <c r="AW31" s="337"/>
      <c r="AX31" s="337"/>
      <c r="AY31" s="337"/>
      <c r="AZ31" s="337"/>
      <c r="BA31" s="337"/>
      <c r="BB31" s="337"/>
      <c r="BC31" s="337"/>
    </row>
    <row r="32" spans="1:55" ht="27.95" customHeight="1">
      <c r="A32" s="337"/>
      <c r="B32" s="564"/>
      <c r="C32" s="537" t="s">
        <v>114</v>
      </c>
      <c r="D32" s="453"/>
      <c r="E32" s="539"/>
      <c r="F32" s="539"/>
      <c r="G32" s="539"/>
      <c r="H32" s="539"/>
      <c r="I32" s="539"/>
      <c r="J32" s="539"/>
      <c r="K32" s="539"/>
      <c r="L32" s="539"/>
      <c r="M32" s="539"/>
      <c r="N32" s="539"/>
      <c r="O32" s="539"/>
      <c r="P32" s="539"/>
      <c r="Q32" s="539"/>
      <c r="R32" s="539"/>
      <c r="S32" s="539"/>
      <c r="T32" s="522"/>
      <c r="U32" s="2526">
        <v>0</v>
      </c>
      <c r="V32" s="2527"/>
      <c r="W32" s="2527"/>
      <c r="X32" s="2568"/>
      <c r="Y32" s="2529">
        <v>0</v>
      </c>
      <c r="Z32" s="2527"/>
      <c r="AA32" s="2527"/>
      <c r="AB32" s="2568"/>
      <c r="AC32" s="2529">
        <v>0</v>
      </c>
      <c r="AD32" s="2527"/>
      <c r="AE32" s="2527"/>
      <c r="AF32" s="2568"/>
      <c r="AG32" s="2529">
        <v>0</v>
      </c>
      <c r="AH32" s="2527"/>
      <c r="AI32" s="2527"/>
      <c r="AJ32" s="2568"/>
      <c r="AK32" s="2529">
        <v>0</v>
      </c>
      <c r="AL32" s="2527"/>
      <c r="AM32" s="2527"/>
      <c r="AN32" s="2568"/>
      <c r="AO32" s="2529">
        <v>0</v>
      </c>
      <c r="AP32" s="2527"/>
      <c r="AQ32" s="2527"/>
      <c r="AR32" s="2569"/>
      <c r="AS32" s="2594">
        <f t="shared" si="1"/>
        <v>0</v>
      </c>
      <c r="AT32" s="2570"/>
      <c r="AU32" s="2570"/>
      <c r="AV32" s="2571"/>
      <c r="AW32" s="337"/>
      <c r="AX32" s="337"/>
      <c r="AY32" s="337"/>
      <c r="AZ32" s="337"/>
      <c r="BA32" s="337"/>
      <c r="BB32" s="337"/>
      <c r="BC32" s="337"/>
    </row>
    <row r="33" spans="1:55" ht="27.95" customHeight="1">
      <c r="A33" s="337"/>
      <c r="B33" s="564"/>
      <c r="C33" s="537" t="s">
        <v>115</v>
      </c>
      <c r="D33" s="453"/>
      <c r="E33" s="539"/>
      <c r="F33" s="539"/>
      <c r="G33" s="539"/>
      <c r="H33" s="539"/>
      <c r="I33" s="539"/>
      <c r="J33" s="539"/>
      <c r="K33" s="539"/>
      <c r="L33" s="539"/>
      <c r="M33" s="539"/>
      <c r="N33" s="539"/>
      <c r="O33" s="539"/>
      <c r="P33" s="539"/>
      <c r="Q33" s="539"/>
      <c r="R33" s="539"/>
      <c r="S33" s="539"/>
      <c r="T33" s="522"/>
      <c r="U33" s="2526">
        <v>0</v>
      </c>
      <c r="V33" s="2527"/>
      <c r="W33" s="2527"/>
      <c r="X33" s="2568"/>
      <c r="Y33" s="2529">
        <v>0</v>
      </c>
      <c r="Z33" s="2527"/>
      <c r="AA33" s="2527"/>
      <c r="AB33" s="2568"/>
      <c r="AC33" s="2529">
        <v>0</v>
      </c>
      <c r="AD33" s="2527"/>
      <c r="AE33" s="2527"/>
      <c r="AF33" s="2568"/>
      <c r="AG33" s="2529">
        <v>0</v>
      </c>
      <c r="AH33" s="2527"/>
      <c r="AI33" s="2527"/>
      <c r="AJ33" s="2568"/>
      <c r="AK33" s="2529">
        <v>0</v>
      </c>
      <c r="AL33" s="2527"/>
      <c r="AM33" s="2527"/>
      <c r="AN33" s="2568"/>
      <c r="AO33" s="2529">
        <v>0</v>
      </c>
      <c r="AP33" s="2527"/>
      <c r="AQ33" s="2527"/>
      <c r="AR33" s="2569"/>
      <c r="AS33" s="2594">
        <f t="shared" si="1"/>
        <v>0</v>
      </c>
      <c r="AT33" s="2570"/>
      <c r="AU33" s="2570"/>
      <c r="AV33" s="2571"/>
      <c r="AW33" s="337"/>
      <c r="AX33" s="337"/>
      <c r="AY33" s="337"/>
      <c r="AZ33" s="337"/>
      <c r="BA33" s="337"/>
      <c r="BB33" s="337"/>
      <c r="BC33" s="337"/>
    </row>
    <row r="34" spans="1:55" ht="27.95" customHeight="1">
      <c r="A34" s="337"/>
      <c r="B34" s="564"/>
      <c r="C34" s="537" t="s">
        <v>116</v>
      </c>
      <c r="D34" s="539"/>
      <c r="E34" s="539"/>
      <c r="F34" s="539"/>
      <c r="G34" s="539"/>
      <c r="H34" s="539"/>
      <c r="I34" s="539"/>
      <c r="J34" s="539"/>
      <c r="K34" s="539"/>
      <c r="L34" s="539"/>
      <c r="M34" s="539"/>
      <c r="N34" s="539"/>
      <c r="O34" s="539"/>
      <c r="P34" s="539"/>
      <c r="Q34" s="539"/>
      <c r="R34" s="539"/>
      <c r="S34" s="539"/>
      <c r="T34" s="522"/>
      <c r="U34" s="2526">
        <v>0</v>
      </c>
      <c r="V34" s="2527"/>
      <c r="W34" s="2527"/>
      <c r="X34" s="2568"/>
      <c r="Y34" s="2529">
        <v>0</v>
      </c>
      <c r="Z34" s="2527"/>
      <c r="AA34" s="2527"/>
      <c r="AB34" s="2568"/>
      <c r="AC34" s="2529">
        <v>0</v>
      </c>
      <c r="AD34" s="2527"/>
      <c r="AE34" s="2527"/>
      <c r="AF34" s="2568"/>
      <c r="AG34" s="2529">
        <v>0</v>
      </c>
      <c r="AH34" s="2527"/>
      <c r="AI34" s="2527"/>
      <c r="AJ34" s="2568"/>
      <c r="AK34" s="2529">
        <v>0</v>
      </c>
      <c r="AL34" s="2527"/>
      <c r="AM34" s="2527"/>
      <c r="AN34" s="2568"/>
      <c r="AO34" s="2529">
        <v>0</v>
      </c>
      <c r="AP34" s="2527"/>
      <c r="AQ34" s="2527"/>
      <c r="AR34" s="2569"/>
      <c r="AS34" s="2594">
        <f t="shared" si="1"/>
        <v>0</v>
      </c>
      <c r="AT34" s="2570"/>
      <c r="AU34" s="2570"/>
      <c r="AV34" s="2571"/>
      <c r="AW34" s="337"/>
      <c r="AX34" s="337"/>
      <c r="AY34" s="337"/>
      <c r="AZ34" s="337"/>
      <c r="BA34" s="337"/>
      <c r="BB34" s="337"/>
      <c r="BC34" s="337"/>
    </row>
    <row r="35" spans="1:55" ht="27.95" customHeight="1">
      <c r="A35" s="337"/>
      <c r="B35" s="564"/>
      <c r="C35" s="537" t="s">
        <v>117</v>
      </c>
      <c r="D35" s="453"/>
      <c r="E35" s="539"/>
      <c r="F35" s="539"/>
      <c r="G35" s="539"/>
      <c r="H35" s="539"/>
      <c r="I35" s="539"/>
      <c r="J35" s="539"/>
      <c r="K35" s="539"/>
      <c r="L35" s="539"/>
      <c r="M35" s="539"/>
      <c r="N35" s="539"/>
      <c r="O35" s="539"/>
      <c r="P35" s="539"/>
      <c r="Q35" s="539"/>
      <c r="R35" s="539"/>
      <c r="S35" s="539"/>
      <c r="T35" s="522"/>
      <c r="U35" s="2526">
        <v>0</v>
      </c>
      <c r="V35" s="2527"/>
      <c r="W35" s="2527"/>
      <c r="X35" s="2568"/>
      <c r="Y35" s="2529">
        <v>0</v>
      </c>
      <c r="Z35" s="2527"/>
      <c r="AA35" s="2527"/>
      <c r="AB35" s="2568"/>
      <c r="AC35" s="2529">
        <v>0</v>
      </c>
      <c r="AD35" s="2527"/>
      <c r="AE35" s="2527"/>
      <c r="AF35" s="2568"/>
      <c r="AG35" s="2529">
        <v>0</v>
      </c>
      <c r="AH35" s="2527"/>
      <c r="AI35" s="2527"/>
      <c r="AJ35" s="2568"/>
      <c r="AK35" s="2529">
        <v>0</v>
      </c>
      <c r="AL35" s="2527"/>
      <c r="AM35" s="2527"/>
      <c r="AN35" s="2568"/>
      <c r="AO35" s="2529">
        <v>0</v>
      </c>
      <c r="AP35" s="2527"/>
      <c r="AQ35" s="2527"/>
      <c r="AR35" s="2569"/>
      <c r="AS35" s="2594">
        <f t="shared" si="1"/>
        <v>0</v>
      </c>
      <c r="AT35" s="2570"/>
      <c r="AU35" s="2570"/>
      <c r="AV35" s="2571"/>
      <c r="AW35" s="337"/>
      <c r="AX35" s="337"/>
      <c r="AY35" s="337"/>
      <c r="AZ35" s="337"/>
      <c r="BA35" s="337"/>
      <c r="BB35" s="337"/>
      <c r="BC35" s="337"/>
    </row>
    <row r="36" spans="1:55" ht="27.95" customHeight="1">
      <c r="A36" s="337"/>
      <c r="B36" s="564"/>
      <c r="C36" s="537" t="s">
        <v>118</v>
      </c>
      <c r="D36" s="453"/>
      <c r="E36" s="539"/>
      <c r="F36" s="539"/>
      <c r="G36" s="539"/>
      <c r="H36" s="539"/>
      <c r="I36" s="539"/>
      <c r="J36" s="539"/>
      <c r="K36" s="539"/>
      <c r="L36" s="539"/>
      <c r="M36" s="539"/>
      <c r="N36" s="539"/>
      <c r="O36" s="539"/>
      <c r="P36" s="539"/>
      <c r="Q36" s="539"/>
      <c r="R36" s="539"/>
      <c r="S36" s="539"/>
      <c r="T36" s="522"/>
      <c r="U36" s="2526">
        <v>0</v>
      </c>
      <c r="V36" s="2527"/>
      <c r="W36" s="2527"/>
      <c r="X36" s="2568"/>
      <c r="Y36" s="2529">
        <v>0</v>
      </c>
      <c r="Z36" s="2527"/>
      <c r="AA36" s="2527"/>
      <c r="AB36" s="2568"/>
      <c r="AC36" s="2529">
        <v>0</v>
      </c>
      <c r="AD36" s="2527"/>
      <c r="AE36" s="2527"/>
      <c r="AF36" s="2568"/>
      <c r="AG36" s="2529">
        <v>0</v>
      </c>
      <c r="AH36" s="2527"/>
      <c r="AI36" s="2527"/>
      <c r="AJ36" s="2568"/>
      <c r="AK36" s="2529">
        <v>0</v>
      </c>
      <c r="AL36" s="2527"/>
      <c r="AM36" s="2527"/>
      <c r="AN36" s="2568"/>
      <c r="AO36" s="2529">
        <v>0</v>
      </c>
      <c r="AP36" s="2527"/>
      <c r="AQ36" s="2527"/>
      <c r="AR36" s="2569"/>
      <c r="AS36" s="2594">
        <f t="shared" si="1"/>
        <v>0</v>
      </c>
      <c r="AT36" s="2570"/>
      <c r="AU36" s="2570"/>
      <c r="AV36" s="2571"/>
      <c r="AW36" s="337"/>
      <c r="AX36" s="337"/>
      <c r="AY36" s="337"/>
      <c r="AZ36" s="337"/>
      <c r="BA36" s="337"/>
      <c r="BB36" s="337"/>
      <c r="BC36" s="337"/>
    </row>
    <row r="37" spans="1:55" ht="27.95" customHeight="1">
      <c r="A37" s="337"/>
      <c r="B37" s="564"/>
      <c r="C37" s="537" t="s">
        <v>119</v>
      </c>
      <c r="D37" s="453"/>
      <c r="E37" s="539"/>
      <c r="F37" s="539"/>
      <c r="G37" s="539"/>
      <c r="H37" s="539"/>
      <c r="I37" s="539"/>
      <c r="J37" s="539"/>
      <c r="K37" s="539"/>
      <c r="L37" s="539"/>
      <c r="M37" s="539"/>
      <c r="N37" s="539"/>
      <c r="O37" s="539"/>
      <c r="P37" s="539"/>
      <c r="Q37" s="539"/>
      <c r="R37" s="539"/>
      <c r="S37" s="539"/>
      <c r="T37" s="522"/>
      <c r="U37" s="2526">
        <v>0</v>
      </c>
      <c r="V37" s="2527"/>
      <c r="W37" s="2527"/>
      <c r="X37" s="2568"/>
      <c r="Y37" s="2529">
        <v>0</v>
      </c>
      <c r="Z37" s="2527"/>
      <c r="AA37" s="2527"/>
      <c r="AB37" s="2568"/>
      <c r="AC37" s="2529">
        <v>0</v>
      </c>
      <c r="AD37" s="2527"/>
      <c r="AE37" s="2527"/>
      <c r="AF37" s="2568"/>
      <c r="AG37" s="2529">
        <v>0</v>
      </c>
      <c r="AH37" s="2527"/>
      <c r="AI37" s="2527"/>
      <c r="AJ37" s="2568"/>
      <c r="AK37" s="2529">
        <v>0</v>
      </c>
      <c r="AL37" s="2527"/>
      <c r="AM37" s="2527"/>
      <c r="AN37" s="2568"/>
      <c r="AO37" s="2529">
        <v>0</v>
      </c>
      <c r="AP37" s="2527"/>
      <c r="AQ37" s="2527"/>
      <c r="AR37" s="2569"/>
      <c r="AS37" s="2594">
        <f t="shared" si="1"/>
        <v>0</v>
      </c>
      <c r="AT37" s="2570"/>
      <c r="AU37" s="2570"/>
      <c r="AV37" s="2571"/>
      <c r="AW37" s="337"/>
      <c r="AX37" s="337"/>
      <c r="AY37" s="337"/>
      <c r="AZ37" s="337"/>
      <c r="BA37" s="337"/>
      <c r="BB37" s="337"/>
      <c r="BC37" s="337"/>
    </row>
    <row r="38" spans="1:55" ht="27.95" customHeight="1">
      <c r="A38" s="337"/>
      <c r="B38" s="564"/>
      <c r="C38" s="537" t="s">
        <v>120</v>
      </c>
      <c r="D38" s="453"/>
      <c r="E38" s="539"/>
      <c r="F38" s="539"/>
      <c r="G38" s="539"/>
      <c r="H38" s="539"/>
      <c r="I38" s="539"/>
      <c r="J38" s="539"/>
      <c r="K38" s="539"/>
      <c r="L38" s="539"/>
      <c r="M38" s="539"/>
      <c r="N38" s="539"/>
      <c r="O38" s="539"/>
      <c r="P38" s="539"/>
      <c r="Q38" s="539"/>
      <c r="R38" s="539"/>
      <c r="S38" s="539"/>
      <c r="T38" s="522"/>
      <c r="U38" s="2526">
        <v>0</v>
      </c>
      <c r="V38" s="2527"/>
      <c r="W38" s="2527"/>
      <c r="X38" s="2568"/>
      <c r="Y38" s="2529">
        <v>0</v>
      </c>
      <c r="Z38" s="2527"/>
      <c r="AA38" s="2527"/>
      <c r="AB38" s="2568"/>
      <c r="AC38" s="2529">
        <v>0</v>
      </c>
      <c r="AD38" s="2527"/>
      <c r="AE38" s="2527"/>
      <c r="AF38" s="2568"/>
      <c r="AG38" s="2529">
        <v>0</v>
      </c>
      <c r="AH38" s="2527"/>
      <c r="AI38" s="2527"/>
      <c r="AJ38" s="2568"/>
      <c r="AK38" s="2529">
        <v>0</v>
      </c>
      <c r="AL38" s="2527"/>
      <c r="AM38" s="2527"/>
      <c r="AN38" s="2568"/>
      <c r="AO38" s="2529">
        <v>0</v>
      </c>
      <c r="AP38" s="2527"/>
      <c r="AQ38" s="2527"/>
      <c r="AR38" s="2569"/>
      <c r="AS38" s="2594">
        <f t="shared" si="1"/>
        <v>0</v>
      </c>
      <c r="AT38" s="2570"/>
      <c r="AU38" s="2570"/>
      <c r="AV38" s="2571"/>
      <c r="AW38" s="337"/>
      <c r="AX38" s="337"/>
      <c r="AY38" s="337"/>
      <c r="AZ38" s="337"/>
      <c r="BA38" s="337"/>
      <c r="BB38" s="337"/>
      <c r="BC38" s="337"/>
    </row>
    <row r="39" spans="1:55" ht="27.95" customHeight="1">
      <c r="A39" s="337"/>
      <c r="B39" s="564"/>
      <c r="C39" s="537" t="s">
        <v>121</v>
      </c>
      <c r="D39" s="453"/>
      <c r="E39" s="539"/>
      <c r="F39" s="539"/>
      <c r="G39" s="539"/>
      <c r="H39" s="539"/>
      <c r="I39" s="539"/>
      <c r="J39" s="539"/>
      <c r="K39" s="539"/>
      <c r="L39" s="539"/>
      <c r="M39" s="539"/>
      <c r="N39" s="539"/>
      <c r="O39" s="539"/>
      <c r="P39" s="539"/>
      <c r="Q39" s="539"/>
      <c r="R39" s="539"/>
      <c r="S39" s="539"/>
      <c r="T39" s="522"/>
      <c r="U39" s="2526">
        <v>0</v>
      </c>
      <c r="V39" s="2527"/>
      <c r="W39" s="2527"/>
      <c r="X39" s="2568"/>
      <c r="Y39" s="2529">
        <v>0</v>
      </c>
      <c r="Z39" s="2527"/>
      <c r="AA39" s="2527"/>
      <c r="AB39" s="2568"/>
      <c r="AC39" s="2529">
        <v>0</v>
      </c>
      <c r="AD39" s="2527"/>
      <c r="AE39" s="2527"/>
      <c r="AF39" s="2568"/>
      <c r="AG39" s="2529">
        <v>0</v>
      </c>
      <c r="AH39" s="2527"/>
      <c r="AI39" s="2527"/>
      <c r="AJ39" s="2568"/>
      <c r="AK39" s="2529">
        <v>0</v>
      </c>
      <c r="AL39" s="2527"/>
      <c r="AM39" s="2527"/>
      <c r="AN39" s="2568"/>
      <c r="AO39" s="2529">
        <v>0</v>
      </c>
      <c r="AP39" s="2527"/>
      <c r="AQ39" s="2527"/>
      <c r="AR39" s="2569"/>
      <c r="AS39" s="2594">
        <f t="shared" si="1"/>
        <v>0</v>
      </c>
      <c r="AT39" s="2570"/>
      <c r="AU39" s="2570"/>
      <c r="AV39" s="2571"/>
      <c r="AW39" s="337"/>
      <c r="AX39" s="337"/>
      <c r="AY39" s="337"/>
      <c r="AZ39" s="337"/>
      <c r="BA39" s="337"/>
      <c r="BB39" s="337"/>
      <c r="BC39" s="337"/>
    </row>
    <row r="40" spans="1:55" ht="27.95" customHeight="1">
      <c r="A40" s="337"/>
      <c r="B40" s="564"/>
      <c r="C40" s="537" t="s">
        <v>122</v>
      </c>
      <c r="D40" s="453"/>
      <c r="E40" s="453"/>
      <c r="F40" s="453"/>
      <c r="G40" s="453"/>
      <c r="H40" s="453"/>
      <c r="I40" s="453"/>
      <c r="J40" s="453"/>
      <c r="K40" s="453"/>
      <c r="L40" s="453"/>
      <c r="M40" s="453"/>
      <c r="N40" s="453"/>
      <c r="O40" s="453"/>
      <c r="P40" s="453"/>
      <c r="Q40" s="453"/>
      <c r="R40" s="453"/>
      <c r="S40" s="453"/>
      <c r="T40" s="522"/>
      <c r="U40" s="2526">
        <v>0</v>
      </c>
      <c r="V40" s="2527"/>
      <c r="W40" s="2527"/>
      <c r="X40" s="2568"/>
      <c r="Y40" s="2529">
        <v>0</v>
      </c>
      <c r="Z40" s="2527"/>
      <c r="AA40" s="2527"/>
      <c r="AB40" s="2568"/>
      <c r="AC40" s="2529">
        <v>0</v>
      </c>
      <c r="AD40" s="2527"/>
      <c r="AE40" s="2527"/>
      <c r="AF40" s="2568"/>
      <c r="AG40" s="2529">
        <v>0</v>
      </c>
      <c r="AH40" s="2527"/>
      <c r="AI40" s="2527"/>
      <c r="AJ40" s="2568"/>
      <c r="AK40" s="2529">
        <v>0</v>
      </c>
      <c r="AL40" s="2527"/>
      <c r="AM40" s="2527"/>
      <c r="AN40" s="2568"/>
      <c r="AO40" s="2529">
        <v>0</v>
      </c>
      <c r="AP40" s="2527"/>
      <c r="AQ40" s="2527"/>
      <c r="AR40" s="2569"/>
      <c r="AS40" s="2594">
        <f t="shared" si="1"/>
        <v>0</v>
      </c>
      <c r="AT40" s="2570"/>
      <c r="AU40" s="2570"/>
      <c r="AV40" s="2571"/>
      <c r="AW40" s="337"/>
      <c r="AX40" s="337"/>
      <c r="AY40" s="337"/>
      <c r="AZ40" s="337"/>
      <c r="BA40" s="337"/>
      <c r="BB40" s="337"/>
      <c r="BC40" s="337"/>
    </row>
    <row r="41" spans="1:55" ht="27.95" customHeight="1">
      <c r="A41" s="337"/>
      <c r="B41" s="564"/>
      <c r="C41" s="537" t="s">
        <v>123</v>
      </c>
      <c r="D41" s="453"/>
      <c r="E41" s="539"/>
      <c r="F41" s="539"/>
      <c r="G41" s="539"/>
      <c r="H41" s="539"/>
      <c r="I41" s="539"/>
      <c r="J41" s="539"/>
      <c r="K41" s="539"/>
      <c r="L41" s="539"/>
      <c r="M41" s="539"/>
      <c r="N41" s="539"/>
      <c r="O41" s="539"/>
      <c r="P41" s="539"/>
      <c r="Q41" s="539"/>
      <c r="R41" s="539"/>
      <c r="S41" s="539"/>
      <c r="T41" s="522"/>
      <c r="U41" s="2526">
        <v>0</v>
      </c>
      <c r="V41" s="2527"/>
      <c r="W41" s="2527"/>
      <c r="X41" s="2568"/>
      <c r="Y41" s="2529">
        <v>1</v>
      </c>
      <c r="Z41" s="2527"/>
      <c r="AA41" s="2527"/>
      <c r="AB41" s="2568"/>
      <c r="AC41" s="2529">
        <v>0</v>
      </c>
      <c r="AD41" s="2527"/>
      <c r="AE41" s="2527"/>
      <c r="AF41" s="2568"/>
      <c r="AG41" s="2529">
        <v>0</v>
      </c>
      <c r="AH41" s="2527"/>
      <c r="AI41" s="2527"/>
      <c r="AJ41" s="2568"/>
      <c r="AK41" s="2529">
        <v>0</v>
      </c>
      <c r="AL41" s="2527"/>
      <c r="AM41" s="2527"/>
      <c r="AN41" s="2568"/>
      <c r="AO41" s="2529">
        <v>1</v>
      </c>
      <c r="AP41" s="2527"/>
      <c r="AQ41" s="2527"/>
      <c r="AR41" s="2569"/>
      <c r="AS41" s="2594">
        <f t="shared" si="1"/>
        <v>2</v>
      </c>
      <c r="AT41" s="2570"/>
      <c r="AU41" s="2570"/>
      <c r="AV41" s="2571"/>
      <c r="AW41" s="337"/>
      <c r="AX41" s="337"/>
      <c r="AY41" s="337"/>
      <c r="AZ41" s="337"/>
      <c r="BA41" s="337"/>
      <c r="BB41" s="337"/>
      <c r="BC41" s="337"/>
    </row>
    <row r="42" spans="1:55" ht="27.95" customHeight="1">
      <c r="A42" s="337"/>
      <c r="B42" s="564"/>
      <c r="C42" s="537" t="s">
        <v>124</v>
      </c>
      <c r="D42" s="453"/>
      <c r="E42" s="539"/>
      <c r="F42" s="539"/>
      <c r="G42" s="539"/>
      <c r="H42" s="539"/>
      <c r="I42" s="539"/>
      <c r="J42" s="539"/>
      <c r="K42" s="539"/>
      <c r="L42" s="539"/>
      <c r="M42" s="539"/>
      <c r="N42" s="539"/>
      <c r="O42" s="539"/>
      <c r="P42" s="539"/>
      <c r="Q42" s="539"/>
      <c r="R42" s="539"/>
      <c r="S42" s="539"/>
      <c r="T42" s="522"/>
      <c r="U42" s="2526">
        <v>0</v>
      </c>
      <c r="V42" s="2527"/>
      <c r="W42" s="2527"/>
      <c r="X42" s="2568"/>
      <c r="Y42" s="2529">
        <v>0</v>
      </c>
      <c r="Z42" s="2527"/>
      <c r="AA42" s="2527"/>
      <c r="AB42" s="2568"/>
      <c r="AC42" s="2529">
        <v>0</v>
      </c>
      <c r="AD42" s="2527"/>
      <c r="AE42" s="2527"/>
      <c r="AF42" s="2568"/>
      <c r="AG42" s="2529">
        <v>0</v>
      </c>
      <c r="AH42" s="2527"/>
      <c r="AI42" s="2527"/>
      <c r="AJ42" s="2568"/>
      <c r="AK42" s="2529">
        <v>0</v>
      </c>
      <c r="AL42" s="2527"/>
      <c r="AM42" s="2527"/>
      <c r="AN42" s="2568"/>
      <c r="AO42" s="2529">
        <v>0</v>
      </c>
      <c r="AP42" s="2527"/>
      <c r="AQ42" s="2527"/>
      <c r="AR42" s="2569"/>
      <c r="AS42" s="2594">
        <f t="shared" si="1"/>
        <v>0</v>
      </c>
      <c r="AT42" s="2570"/>
      <c r="AU42" s="2570"/>
      <c r="AV42" s="2571"/>
      <c r="AW42" s="337"/>
      <c r="AX42" s="337"/>
      <c r="AY42" s="337"/>
      <c r="AZ42" s="337"/>
      <c r="BA42" s="337"/>
      <c r="BB42" s="337"/>
      <c r="BC42" s="337"/>
    </row>
    <row r="43" spans="1:55" ht="27.95" customHeight="1">
      <c r="A43" s="337"/>
      <c r="B43" s="564"/>
      <c r="C43" s="537" t="s">
        <v>125</v>
      </c>
      <c r="D43" s="453"/>
      <c r="E43" s="453"/>
      <c r="F43" s="453"/>
      <c r="G43" s="453"/>
      <c r="H43" s="453"/>
      <c r="I43" s="453"/>
      <c r="J43" s="453"/>
      <c r="K43" s="453"/>
      <c r="L43" s="453"/>
      <c r="M43" s="453"/>
      <c r="N43" s="453"/>
      <c r="O43" s="453"/>
      <c r="P43" s="453"/>
      <c r="Q43" s="453"/>
      <c r="R43" s="453"/>
      <c r="S43" s="453"/>
      <c r="T43" s="522"/>
      <c r="U43" s="2526">
        <v>0</v>
      </c>
      <c r="V43" s="2527"/>
      <c r="W43" s="2527"/>
      <c r="X43" s="2568"/>
      <c r="Y43" s="2529">
        <v>0</v>
      </c>
      <c r="Z43" s="2527"/>
      <c r="AA43" s="2527"/>
      <c r="AB43" s="2568"/>
      <c r="AC43" s="2529">
        <v>0</v>
      </c>
      <c r="AD43" s="2527"/>
      <c r="AE43" s="2527"/>
      <c r="AF43" s="2568"/>
      <c r="AG43" s="2529">
        <v>0</v>
      </c>
      <c r="AH43" s="2527"/>
      <c r="AI43" s="2527"/>
      <c r="AJ43" s="2568"/>
      <c r="AK43" s="2529">
        <v>0</v>
      </c>
      <c r="AL43" s="2527"/>
      <c r="AM43" s="2527"/>
      <c r="AN43" s="2568"/>
      <c r="AO43" s="2529">
        <v>0</v>
      </c>
      <c r="AP43" s="2527"/>
      <c r="AQ43" s="2527"/>
      <c r="AR43" s="2569"/>
      <c r="AS43" s="2594">
        <f t="shared" si="1"/>
        <v>0</v>
      </c>
      <c r="AT43" s="2570"/>
      <c r="AU43" s="2570"/>
      <c r="AV43" s="2571"/>
      <c r="AW43" s="337"/>
      <c r="AX43" s="337"/>
      <c r="AY43" s="337"/>
      <c r="AZ43" s="337"/>
      <c r="BA43" s="337"/>
      <c r="BB43" s="337"/>
      <c r="BC43" s="337"/>
    </row>
    <row r="44" spans="1:55" ht="27.95" customHeight="1">
      <c r="A44" s="337"/>
      <c r="B44" s="564"/>
      <c r="C44" s="537" t="s">
        <v>126</v>
      </c>
      <c r="D44" s="453"/>
      <c r="E44" s="539"/>
      <c r="F44" s="539"/>
      <c r="G44" s="539"/>
      <c r="H44" s="539"/>
      <c r="I44" s="539"/>
      <c r="J44" s="539"/>
      <c r="K44" s="539"/>
      <c r="L44" s="539"/>
      <c r="M44" s="539"/>
      <c r="N44" s="539"/>
      <c r="O44" s="539"/>
      <c r="P44" s="539"/>
      <c r="Q44" s="539"/>
      <c r="R44" s="539"/>
      <c r="S44" s="539"/>
      <c r="T44" s="522"/>
      <c r="U44" s="2526">
        <v>0</v>
      </c>
      <c r="V44" s="2527"/>
      <c r="W44" s="2527"/>
      <c r="X44" s="2568"/>
      <c r="Y44" s="2529">
        <v>0</v>
      </c>
      <c r="Z44" s="2527"/>
      <c r="AA44" s="2527"/>
      <c r="AB44" s="2568"/>
      <c r="AC44" s="2529">
        <v>0</v>
      </c>
      <c r="AD44" s="2527"/>
      <c r="AE44" s="2527"/>
      <c r="AF44" s="2568"/>
      <c r="AG44" s="2529">
        <v>0</v>
      </c>
      <c r="AH44" s="2527"/>
      <c r="AI44" s="2527"/>
      <c r="AJ44" s="2568"/>
      <c r="AK44" s="2529">
        <v>0</v>
      </c>
      <c r="AL44" s="2527"/>
      <c r="AM44" s="2527"/>
      <c r="AN44" s="2568"/>
      <c r="AO44" s="2529">
        <v>0</v>
      </c>
      <c r="AP44" s="2527"/>
      <c r="AQ44" s="2527"/>
      <c r="AR44" s="2569"/>
      <c r="AS44" s="2594">
        <f t="shared" si="1"/>
        <v>0</v>
      </c>
      <c r="AT44" s="2570"/>
      <c r="AU44" s="2570"/>
      <c r="AV44" s="2571"/>
      <c r="AW44" s="337"/>
      <c r="AX44" s="337"/>
      <c r="AY44" s="337"/>
      <c r="AZ44" s="337"/>
      <c r="BA44" s="337"/>
      <c r="BB44" s="337"/>
      <c r="BC44" s="337"/>
    </row>
    <row r="45" spans="1:55" ht="27.95" customHeight="1">
      <c r="A45" s="337"/>
      <c r="B45" s="564"/>
      <c r="C45" s="537" t="s">
        <v>127</v>
      </c>
      <c r="D45" s="453"/>
      <c r="E45" s="539"/>
      <c r="F45" s="539"/>
      <c r="G45" s="539"/>
      <c r="H45" s="539"/>
      <c r="I45" s="539"/>
      <c r="J45" s="539"/>
      <c r="K45" s="539"/>
      <c r="L45" s="539"/>
      <c r="M45" s="539"/>
      <c r="N45" s="539"/>
      <c r="O45" s="539"/>
      <c r="P45" s="539"/>
      <c r="Q45" s="539"/>
      <c r="R45" s="539"/>
      <c r="S45" s="539"/>
      <c r="T45" s="522"/>
      <c r="U45" s="2526">
        <v>0</v>
      </c>
      <c r="V45" s="2527"/>
      <c r="W45" s="2527"/>
      <c r="X45" s="2568"/>
      <c r="Y45" s="2529">
        <v>0</v>
      </c>
      <c r="Z45" s="2527"/>
      <c r="AA45" s="2527"/>
      <c r="AB45" s="2568"/>
      <c r="AC45" s="2529">
        <v>0</v>
      </c>
      <c r="AD45" s="2527"/>
      <c r="AE45" s="2527"/>
      <c r="AF45" s="2568"/>
      <c r="AG45" s="2529">
        <v>0</v>
      </c>
      <c r="AH45" s="2527"/>
      <c r="AI45" s="2527"/>
      <c r="AJ45" s="2568"/>
      <c r="AK45" s="2529">
        <v>0</v>
      </c>
      <c r="AL45" s="2527"/>
      <c r="AM45" s="2527"/>
      <c r="AN45" s="2568"/>
      <c r="AO45" s="2529">
        <v>0</v>
      </c>
      <c r="AP45" s="2527"/>
      <c r="AQ45" s="2527"/>
      <c r="AR45" s="2569"/>
      <c r="AS45" s="2594">
        <f t="shared" si="1"/>
        <v>0</v>
      </c>
      <c r="AT45" s="2570"/>
      <c r="AU45" s="2570"/>
      <c r="AV45" s="2571"/>
      <c r="AW45" s="337"/>
      <c r="AX45" s="337"/>
      <c r="AY45" s="337"/>
      <c r="AZ45" s="337"/>
      <c r="BA45" s="337"/>
      <c r="BB45" s="337"/>
      <c r="BC45" s="337"/>
    </row>
    <row r="46" spans="1:55" ht="27.95" customHeight="1">
      <c r="A46" s="337"/>
      <c r="B46" s="564"/>
      <c r="C46" s="537" t="s">
        <v>128</v>
      </c>
      <c r="D46" s="453"/>
      <c r="E46" s="539"/>
      <c r="F46" s="539"/>
      <c r="G46" s="539"/>
      <c r="H46" s="539"/>
      <c r="I46" s="539"/>
      <c r="J46" s="539"/>
      <c r="K46" s="539"/>
      <c r="L46" s="539"/>
      <c r="M46" s="539"/>
      <c r="N46" s="539"/>
      <c r="O46" s="539"/>
      <c r="P46" s="539"/>
      <c r="Q46" s="539"/>
      <c r="R46" s="539"/>
      <c r="S46" s="539"/>
      <c r="T46" s="522"/>
      <c r="U46" s="2526">
        <v>0</v>
      </c>
      <c r="V46" s="2527"/>
      <c r="W46" s="2527"/>
      <c r="X46" s="2568"/>
      <c r="Y46" s="2529">
        <v>0</v>
      </c>
      <c r="Z46" s="2527"/>
      <c r="AA46" s="2527"/>
      <c r="AB46" s="2568"/>
      <c r="AC46" s="2529">
        <v>0</v>
      </c>
      <c r="AD46" s="2527"/>
      <c r="AE46" s="2527"/>
      <c r="AF46" s="2568"/>
      <c r="AG46" s="2529">
        <v>0</v>
      </c>
      <c r="AH46" s="2527"/>
      <c r="AI46" s="2527"/>
      <c r="AJ46" s="2568"/>
      <c r="AK46" s="2529">
        <v>0</v>
      </c>
      <c r="AL46" s="2527"/>
      <c r="AM46" s="2527"/>
      <c r="AN46" s="2568"/>
      <c r="AO46" s="2529">
        <v>0</v>
      </c>
      <c r="AP46" s="2527"/>
      <c r="AQ46" s="2527"/>
      <c r="AR46" s="2569"/>
      <c r="AS46" s="2594">
        <f t="shared" si="1"/>
        <v>0</v>
      </c>
      <c r="AT46" s="2570"/>
      <c r="AU46" s="2570"/>
      <c r="AV46" s="2571"/>
      <c r="AW46" s="337"/>
      <c r="AX46" s="337"/>
      <c r="AY46" s="337"/>
      <c r="AZ46" s="337"/>
      <c r="BA46" s="337"/>
      <c r="BB46" s="337"/>
      <c r="BC46" s="337"/>
    </row>
    <row r="47" spans="1:55" ht="27.95" customHeight="1">
      <c r="A47" s="337"/>
      <c r="B47" s="564"/>
      <c r="C47" s="537" t="s">
        <v>129</v>
      </c>
      <c r="D47" s="453"/>
      <c r="E47" s="539"/>
      <c r="F47" s="539"/>
      <c r="G47" s="539"/>
      <c r="H47" s="539"/>
      <c r="I47" s="539"/>
      <c r="J47" s="539"/>
      <c r="K47" s="539"/>
      <c r="L47" s="539"/>
      <c r="M47" s="539"/>
      <c r="N47" s="539"/>
      <c r="O47" s="539"/>
      <c r="P47" s="539"/>
      <c r="Q47" s="539"/>
      <c r="R47" s="539"/>
      <c r="S47" s="539"/>
      <c r="T47" s="522"/>
      <c r="U47" s="2526">
        <v>0</v>
      </c>
      <c r="V47" s="2527"/>
      <c r="W47" s="2527"/>
      <c r="X47" s="2568"/>
      <c r="Y47" s="2529">
        <v>0</v>
      </c>
      <c r="Z47" s="2527"/>
      <c r="AA47" s="2527"/>
      <c r="AB47" s="2568"/>
      <c r="AC47" s="2529">
        <v>0</v>
      </c>
      <c r="AD47" s="2527"/>
      <c r="AE47" s="2527"/>
      <c r="AF47" s="2568"/>
      <c r="AG47" s="2529">
        <v>0</v>
      </c>
      <c r="AH47" s="2527"/>
      <c r="AI47" s="2527"/>
      <c r="AJ47" s="2568"/>
      <c r="AK47" s="2529">
        <v>0</v>
      </c>
      <c r="AL47" s="2527"/>
      <c r="AM47" s="2527"/>
      <c r="AN47" s="2568"/>
      <c r="AO47" s="2529">
        <v>0</v>
      </c>
      <c r="AP47" s="2527"/>
      <c r="AQ47" s="2527"/>
      <c r="AR47" s="2569"/>
      <c r="AS47" s="2594">
        <f t="shared" si="1"/>
        <v>0</v>
      </c>
      <c r="AT47" s="2570"/>
      <c r="AU47" s="2570"/>
      <c r="AV47" s="2571"/>
      <c r="AW47" s="337"/>
      <c r="AX47" s="337"/>
      <c r="AY47" s="337"/>
      <c r="AZ47" s="337"/>
      <c r="BA47" s="337"/>
      <c r="BB47" s="337"/>
      <c r="BC47" s="337"/>
    </row>
    <row r="48" spans="1:55" ht="27.95" customHeight="1">
      <c r="A48" s="337"/>
      <c r="B48" s="564"/>
      <c r="C48" s="537" t="s">
        <v>130</v>
      </c>
      <c r="D48" s="453"/>
      <c r="E48" s="539"/>
      <c r="F48" s="539"/>
      <c r="G48" s="539"/>
      <c r="H48" s="539"/>
      <c r="I48" s="539"/>
      <c r="J48" s="539"/>
      <c r="K48" s="539"/>
      <c r="L48" s="539"/>
      <c r="M48" s="539"/>
      <c r="N48" s="539"/>
      <c r="O48" s="539"/>
      <c r="P48" s="539"/>
      <c r="Q48" s="539"/>
      <c r="R48" s="539"/>
      <c r="S48" s="539"/>
      <c r="T48" s="522"/>
      <c r="U48" s="2526">
        <v>0</v>
      </c>
      <c r="V48" s="2527"/>
      <c r="W48" s="2527"/>
      <c r="X48" s="2568"/>
      <c r="Y48" s="2529">
        <v>0</v>
      </c>
      <c r="Z48" s="2527"/>
      <c r="AA48" s="2527"/>
      <c r="AB48" s="2568"/>
      <c r="AC48" s="2529">
        <v>0</v>
      </c>
      <c r="AD48" s="2527"/>
      <c r="AE48" s="2527"/>
      <c r="AF48" s="2568"/>
      <c r="AG48" s="2529">
        <v>0</v>
      </c>
      <c r="AH48" s="2527"/>
      <c r="AI48" s="2527"/>
      <c r="AJ48" s="2568"/>
      <c r="AK48" s="2529">
        <v>0</v>
      </c>
      <c r="AL48" s="2527"/>
      <c r="AM48" s="2527"/>
      <c r="AN48" s="2568"/>
      <c r="AO48" s="2529">
        <v>0</v>
      </c>
      <c r="AP48" s="2527"/>
      <c r="AQ48" s="2527"/>
      <c r="AR48" s="2569"/>
      <c r="AS48" s="2594">
        <f t="shared" si="1"/>
        <v>0</v>
      </c>
      <c r="AT48" s="2570"/>
      <c r="AU48" s="2570"/>
      <c r="AV48" s="2571"/>
      <c r="AW48" s="337"/>
      <c r="AX48" s="337"/>
      <c r="AY48" s="337"/>
      <c r="AZ48" s="337"/>
      <c r="BA48" s="337"/>
      <c r="BB48" s="337"/>
      <c r="BC48" s="337"/>
    </row>
    <row r="49" spans="1:55" ht="27.95" customHeight="1" thickBot="1">
      <c r="A49" s="337"/>
      <c r="B49" s="571"/>
      <c r="C49" s="542" t="s">
        <v>131</v>
      </c>
      <c r="D49" s="544"/>
      <c r="E49" s="544"/>
      <c r="F49" s="544"/>
      <c r="G49" s="544"/>
      <c r="H49" s="544"/>
      <c r="I49" s="544"/>
      <c r="J49" s="544"/>
      <c r="K49" s="544"/>
      <c r="L49" s="544"/>
      <c r="M49" s="544"/>
      <c r="N49" s="544"/>
      <c r="O49" s="544"/>
      <c r="P49" s="544"/>
      <c r="Q49" s="544"/>
      <c r="R49" s="544"/>
      <c r="S49" s="544"/>
      <c r="T49" s="545"/>
      <c r="U49" s="2556">
        <v>0</v>
      </c>
      <c r="V49" s="2557"/>
      <c r="W49" s="2557"/>
      <c r="X49" s="2593"/>
      <c r="Y49" s="2558">
        <v>0</v>
      </c>
      <c r="Z49" s="2557"/>
      <c r="AA49" s="2557"/>
      <c r="AB49" s="2593"/>
      <c r="AC49" s="2558">
        <v>0</v>
      </c>
      <c r="AD49" s="2557"/>
      <c r="AE49" s="2557"/>
      <c r="AF49" s="2593"/>
      <c r="AG49" s="2558">
        <v>0</v>
      </c>
      <c r="AH49" s="2557"/>
      <c r="AI49" s="2557"/>
      <c r="AJ49" s="2593"/>
      <c r="AK49" s="2558">
        <v>0</v>
      </c>
      <c r="AL49" s="2557"/>
      <c r="AM49" s="2557"/>
      <c r="AN49" s="2593"/>
      <c r="AO49" s="2558">
        <v>0</v>
      </c>
      <c r="AP49" s="2557"/>
      <c r="AQ49" s="2557"/>
      <c r="AR49" s="2589"/>
      <c r="AS49" s="2590">
        <f t="shared" si="1"/>
        <v>0</v>
      </c>
      <c r="AT49" s="2591"/>
      <c r="AU49" s="2591"/>
      <c r="AV49" s="2592"/>
      <c r="AW49" s="337"/>
      <c r="AX49" s="337"/>
      <c r="AY49" s="337"/>
      <c r="AZ49" s="337"/>
      <c r="BA49" s="337"/>
      <c r="BB49" s="337"/>
      <c r="BC49" s="337"/>
    </row>
    <row r="50" spans="1:55" ht="17.25">
      <c r="A50" s="337"/>
      <c r="B50" s="302" t="s">
        <v>132</v>
      </c>
      <c r="C50" s="230"/>
      <c r="D50" s="572"/>
      <c r="E50" s="573" t="s">
        <v>47</v>
      </c>
      <c r="F50" s="239" t="s">
        <v>133</v>
      </c>
      <c r="G50" s="337"/>
      <c r="H50" s="337"/>
      <c r="I50" s="337"/>
      <c r="J50" s="337"/>
      <c r="K50" s="337"/>
      <c r="L50" s="337"/>
      <c r="M50" s="337"/>
      <c r="N50" s="337"/>
      <c r="O50" s="337"/>
      <c r="P50" s="337"/>
      <c r="Q50" s="337"/>
      <c r="R50" s="337"/>
      <c r="S50" s="337"/>
      <c r="T50" s="337"/>
      <c r="U50" s="337"/>
      <c r="V50" s="337"/>
      <c r="W50" s="337"/>
      <c r="X50" s="337"/>
      <c r="Y50" s="337"/>
      <c r="Z50" s="337"/>
      <c r="AA50" s="337"/>
      <c r="AB50" s="337"/>
      <c r="AC50" s="337"/>
      <c r="AD50" s="337"/>
      <c r="AE50" s="337"/>
      <c r="AF50" s="337"/>
      <c r="AG50" s="337"/>
      <c r="AH50" s="337"/>
      <c r="AI50" s="337"/>
      <c r="AJ50" s="337"/>
      <c r="AK50" s="337"/>
      <c r="AL50" s="337"/>
      <c r="AM50" s="337"/>
      <c r="AN50" s="337"/>
      <c r="AO50" s="337"/>
      <c r="AP50" s="337"/>
      <c r="AQ50" s="337"/>
      <c r="AR50" s="337"/>
      <c r="AS50" s="337"/>
      <c r="AT50" s="337"/>
      <c r="AU50" s="337"/>
      <c r="AV50" s="337"/>
      <c r="AW50" s="337"/>
      <c r="AX50" s="337"/>
      <c r="AY50" s="337"/>
      <c r="AZ50" s="337"/>
      <c r="BA50" s="337"/>
      <c r="BB50" s="337"/>
      <c r="BC50" s="337"/>
    </row>
    <row r="51" spans="1:55" ht="17.25">
      <c r="A51" s="337"/>
      <c r="B51" s="337"/>
      <c r="C51" s="274"/>
      <c r="D51" s="574"/>
      <c r="E51" s="573" t="s">
        <v>48</v>
      </c>
      <c r="F51" s="239" t="s">
        <v>1022</v>
      </c>
      <c r="G51" s="337"/>
      <c r="H51" s="337"/>
      <c r="I51" s="337"/>
      <c r="J51" s="337"/>
      <c r="K51" s="337"/>
      <c r="L51" s="337"/>
      <c r="M51" s="337"/>
      <c r="N51" s="337"/>
      <c r="O51" s="337"/>
      <c r="P51" s="337"/>
      <c r="Q51" s="337"/>
      <c r="R51" s="337"/>
      <c r="S51" s="337"/>
      <c r="T51" s="337"/>
      <c r="U51" s="337"/>
      <c r="V51" s="337"/>
      <c r="W51" s="337"/>
      <c r="X51" s="337"/>
      <c r="Y51" s="337"/>
      <c r="Z51" s="337"/>
      <c r="AA51" s="337"/>
      <c r="AB51" s="337"/>
      <c r="AC51" s="337"/>
      <c r="AD51" s="337"/>
      <c r="AE51" s="337"/>
      <c r="AF51" s="337"/>
      <c r="AG51" s="337"/>
      <c r="AH51" s="337"/>
      <c r="AI51" s="337"/>
      <c r="AJ51" s="337"/>
      <c r="AK51" s="337"/>
      <c r="AL51" s="337"/>
      <c r="AM51" s="337"/>
      <c r="AN51" s="337"/>
      <c r="AO51" s="337"/>
      <c r="AP51" s="337"/>
      <c r="AQ51" s="337"/>
      <c r="AR51" s="337"/>
      <c r="AS51" s="337"/>
      <c r="AT51" s="337"/>
      <c r="AU51" s="337"/>
      <c r="AV51" s="337"/>
      <c r="AW51" s="337"/>
      <c r="AX51" s="337"/>
      <c r="AY51" s="337"/>
      <c r="AZ51" s="337"/>
      <c r="BA51" s="337"/>
      <c r="BB51" s="337"/>
      <c r="BC51" s="337"/>
    </row>
    <row r="52" spans="1:55" s="3" customFormat="1" ht="33.75" customHeight="1">
      <c r="A52" s="240"/>
      <c r="B52" s="239"/>
      <c r="C52" s="240"/>
      <c r="D52" s="239"/>
      <c r="E52" s="240"/>
      <c r="F52" s="239"/>
      <c r="G52" s="240"/>
      <c r="H52" s="239"/>
      <c r="I52" s="240"/>
      <c r="J52" s="239"/>
      <c r="K52" s="240"/>
      <c r="L52" s="239"/>
      <c r="M52" s="240"/>
      <c r="N52" s="240"/>
      <c r="O52" s="240"/>
      <c r="P52" s="240"/>
      <c r="Q52" s="240"/>
      <c r="R52" s="239"/>
      <c r="S52" s="240"/>
      <c r="T52" s="239"/>
      <c r="U52" s="240"/>
      <c r="V52" s="239"/>
      <c r="W52" s="240"/>
      <c r="X52" s="239"/>
      <c r="Y52" s="240"/>
      <c r="Z52" s="239"/>
      <c r="AA52" s="240"/>
      <c r="AB52" s="239"/>
      <c r="AC52" s="240"/>
      <c r="AD52" s="240"/>
      <c r="AE52" s="239"/>
      <c r="AF52" s="239"/>
      <c r="AG52" s="239"/>
      <c r="AH52" s="240"/>
      <c r="AI52" s="239"/>
      <c r="AJ52" s="240"/>
      <c r="AK52" s="239"/>
      <c r="AL52" s="240"/>
      <c r="AM52" s="239"/>
      <c r="AN52" s="240"/>
      <c r="AO52" s="239"/>
      <c r="AP52" s="240"/>
      <c r="AQ52" s="239"/>
      <c r="AR52" s="240"/>
      <c r="AS52" s="240"/>
      <c r="AT52" s="240"/>
      <c r="AU52" s="240"/>
      <c r="AV52" s="240"/>
      <c r="AW52" s="240"/>
      <c r="AX52" s="240"/>
      <c r="AY52" s="240"/>
      <c r="AZ52" s="240"/>
      <c r="BA52" s="240"/>
      <c r="BB52" s="240"/>
      <c r="BC52" s="240"/>
    </row>
    <row r="53" spans="1:55" s="46" customFormat="1" ht="15.75">
      <c r="A53" s="222"/>
      <c r="B53" s="223" t="s">
        <v>32</v>
      </c>
      <c r="C53" s="222"/>
      <c r="D53" s="222"/>
      <c r="E53" s="222"/>
      <c r="F53" s="222"/>
      <c r="G53" s="222"/>
      <c r="H53" s="222"/>
      <c r="I53" s="222"/>
      <c r="J53" s="222"/>
      <c r="K53" s="222"/>
      <c r="L53" s="222"/>
      <c r="M53" s="222"/>
      <c r="N53" s="222"/>
      <c r="O53" s="222"/>
      <c r="P53" s="222"/>
      <c r="Q53" s="222"/>
      <c r="R53" s="222"/>
      <c r="S53" s="223" t="s">
        <v>134</v>
      </c>
      <c r="T53" s="222"/>
      <c r="U53" s="222"/>
      <c r="V53" s="222"/>
      <c r="W53" s="222"/>
      <c r="X53" s="222"/>
      <c r="Y53" s="222"/>
      <c r="Z53" s="222"/>
      <c r="AA53" s="222"/>
      <c r="AB53" s="222"/>
      <c r="AC53" s="222"/>
      <c r="AD53" s="222"/>
      <c r="AE53" s="222"/>
      <c r="AF53" s="222"/>
      <c r="AG53" s="222"/>
      <c r="AH53" s="222"/>
      <c r="AI53" s="222"/>
      <c r="AJ53" s="223" t="s">
        <v>33</v>
      </c>
      <c r="AK53" s="222"/>
      <c r="AL53" s="222"/>
      <c r="AM53" s="222"/>
      <c r="AN53" s="222"/>
      <c r="AO53" s="222"/>
      <c r="AP53" s="222"/>
      <c r="AQ53" s="222"/>
      <c r="AR53" s="222"/>
      <c r="AS53" s="222"/>
      <c r="AT53" s="222"/>
      <c r="AU53" s="222"/>
      <c r="AV53" s="222"/>
      <c r="AW53" s="222"/>
      <c r="AX53" s="222"/>
      <c r="AY53" s="222"/>
      <c r="AZ53" s="222"/>
      <c r="BA53" s="222"/>
      <c r="BB53" s="222"/>
      <c r="BC53" s="222"/>
    </row>
    <row r="54" spans="1:55" s="46" customFormat="1" ht="21.75" customHeight="1">
      <c r="A54" s="222"/>
      <c r="B54" s="223" t="s">
        <v>73</v>
      </c>
      <c r="C54" s="222"/>
      <c r="D54" s="222"/>
      <c r="E54" s="222"/>
      <c r="F54" s="2012" t="str">
        <f>activesheet!E21</f>
        <v>MELCHESIEDICK Q. BOLANIO / March 17, 2023</v>
      </c>
      <c r="G54" s="2012"/>
      <c r="H54" s="2012"/>
      <c r="I54" s="2012"/>
      <c r="J54" s="2012"/>
      <c r="K54" s="2012"/>
      <c r="L54" s="2012"/>
      <c r="M54" s="2012"/>
      <c r="N54" s="2012"/>
      <c r="O54" s="222"/>
      <c r="P54" s="222"/>
      <c r="Q54" s="222"/>
      <c r="R54" s="222"/>
      <c r="S54" s="2012" t="str">
        <f>activesheet!E438</f>
        <v>ELMA CEZARIE Y. ROMERO / March 17, 2023</v>
      </c>
      <c r="T54" s="2012"/>
      <c r="U54" s="2012"/>
      <c r="V54" s="2012"/>
      <c r="W54" s="2012"/>
      <c r="X54" s="2012"/>
      <c r="Y54" s="2012"/>
      <c r="Z54" s="2012"/>
      <c r="AA54" s="2012"/>
      <c r="AB54" s="2012"/>
      <c r="AC54" s="2012"/>
      <c r="AD54" s="2012"/>
      <c r="AE54" s="2012"/>
      <c r="AF54" s="222"/>
      <c r="AG54" s="222"/>
      <c r="AH54" s="222"/>
      <c r="AI54" s="222"/>
      <c r="AJ54" s="1819" t="str">
        <f>activesheet!E25</f>
        <v>MICHAEL T. JAMIS / March 17, 2023</v>
      </c>
      <c r="AK54" s="1819"/>
      <c r="AL54" s="1819"/>
      <c r="AM54" s="1819"/>
      <c r="AN54" s="1819"/>
      <c r="AO54" s="1819"/>
      <c r="AP54" s="1819"/>
      <c r="AQ54" s="1819"/>
      <c r="AR54" s="1819"/>
      <c r="AS54" s="1819"/>
      <c r="AT54" s="1819"/>
      <c r="AU54" s="1819"/>
      <c r="AV54" s="1819"/>
      <c r="AW54" s="222"/>
      <c r="AX54" s="222"/>
      <c r="AY54" s="222"/>
      <c r="AZ54" s="222"/>
      <c r="BA54" s="222"/>
      <c r="BB54" s="222"/>
      <c r="BC54" s="222"/>
    </row>
    <row r="55" spans="1:55" s="7" customFormat="1" ht="13.5">
      <c r="A55" s="334"/>
      <c r="B55" s="225"/>
      <c r="C55" s="334"/>
      <c r="D55" s="334"/>
      <c r="E55" s="334"/>
      <c r="F55" s="1811" t="s">
        <v>37</v>
      </c>
      <c r="G55" s="1811"/>
      <c r="H55" s="1811"/>
      <c r="I55" s="1811"/>
      <c r="J55" s="1811"/>
      <c r="K55" s="1811"/>
      <c r="L55" s="1811"/>
      <c r="M55" s="1811"/>
      <c r="N55" s="1811"/>
      <c r="O55" s="225"/>
      <c r="P55" s="225"/>
      <c r="Q55" s="225"/>
      <c r="R55" s="225"/>
      <c r="S55" s="1811" t="s">
        <v>37</v>
      </c>
      <c r="T55" s="1811"/>
      <c r="U55" s="1811"/>
      <c r="V55" s="1811"/>
      <c r="W55" s="1811"/>
      <c r="X55" s="1811"/>
      <c r="Y55" s="1811"/>
      <c r="Z55" s="1811"/>
      <c r="AA55" s="1811"/>
      <c r="AB55" s="1811"/>
      <c r="AC55" s="1811"/>
      <c r="AD55" s="1811"/>
      <c r="AE55" s="1811"/>
      <c r="AF55" s="361"/>
      <c r="AG55" s="361"/>
      <c r="AH55" s="361"/>
      <c r="AI55" s="361"/>
      <c r="AJ55" s="1820"/>
      <c r="AK55" s="1820"/>
      <c r="AL55" s="1820"/>
      <c r="AM55" s="1820"/>
      <c r="AN55" s="1820"/>
      <c r="AO55" s="1820"/>
      <c r="AP55" s="1820"/>
      <c r="AQ55" s="1820"/>
      <c r="AR55" s="1820"/>
      <c r="AS55" s="1820"/>
      <c r="AT55" s="1820"/>
      <c r="AU55" s="1820"/>
      <c r="AV55" s="1820"/>
      <c r="AW55" s="225"/>
      <c r="AX55" s="334"/>
      <c r="AY55" s="334"/>
      <c r="AZ55" s="334"/>
      <c r="BA55" s="334"/>
      <c r="BB55" s="334"/>
      <c r="BC55" s="334"/>
    </row>
    <row r="56" spans="1:55" s="1" customFormat="1" ht="21.75" customHeight="1">
      <c r="A56" s="331"/>
      <c r="B56" s="223" t="s">
        <v>58</v>
      </c>
      <c r="C56" s="222"/>
      <c r="D56" s="222"/>
      <c r="E56" s="222"/>
      <c r="F56" s="2012" t="str">
        <f>activesheet!E22</f>
        <v>SECONDARY SCHOOL PRINCIPAL IV</v>
      </c>
      <c r="G56" s="2012"/>
      <c r="H56" s="2012"/>
      <c r="I56" s="2012"/>
      <c r="J56" s="2012"/>
      <c r="K56" s="2012"/>
      <c r="L56" s="2012"/>
      <c r="M56" s="2012"/>
      <c r="N56" s="2012"/>
      <c r="O56" s="222"/>
      <c r="P56" s="222"/>
      <c r="Q56" s="222"/>
      <c r="R56" s="222"/>
      <c r="S56" s="223" t="s">
        <v>58</v>
      </c>
      <c r="T56" s="222"/>
      <c r="U56" s="222"/>
      <c r="V56" s="222"/>
      <c r="W56" s="2012" t="str">
        <f>activesheet!E439</f>
        <v>ADMINISTRATIVE OFFICER IV</v>
      </c>
      <c r="X56" s="2012"/>
      <c r="Y56" s="2012"/>
      <c r="Z56" s="2012"/>
      <c r="AA56" s="2012"/>
      <c r="AB56" s="2012"/>
      <c r="AC56" s="2012"/>
      <c r="AD56" s="2012"/>
      <c r="AE56" s="2012"/>
      <c r="AF56" s="281"/>
      <c r="AG56" s="281"/>
      <c r="AH56" s="281"/>
      <c r="AI56" s="281"/>
      <c r="AJ56" s="1811" t="s">
        <v>37</v>
      </c>
      <c r="AK56" s="1811"/>
      <c r="AL56" s="1811"/>
      <c r="AM56" s="1811"/>
      <c r="AN56" s="1811"/>
      <c r="AO56" s="1811"/>
      <c r="AP56" s="1811"/>
      <c r="AQ56" s="1811"/>
      <c r="AR56" s="1811"/>
      <c r="AS56" s="1811"/>
      <c r="AT56" s="1811"/>
      <c r="AU56" s="1811"/>
      <c r="AV56" s="1811"/>
      <c r="AW56" s="331"/>
      <c r="AX56" s="331"/>
      <c r="AY56" s="331"/>
      <c r="AZ56" s="331"/>
      <c r="BA56" s="331"/>
      <c r="BB56" s="331"/>
      <c r="BC56" s="331"/>
    </row>
    <row r="57" spans="1:55">
      <c r="A57" s="337"/>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c r="AA57" s="337"/>
      <c r="AB57" s="337"/>
      <c r="AC57" s="337"/>
      <c r="AD57" s="337"/>
      <c r="AE57" s="337"/>
      <c r="AF57" s="337"/>
      <c r="AG57" s="337"/>
      <c r="AH57" s="337"/>
      <c r="AI57" s="337"/>
      <c r="AJ57" s="337"/>
      <c r="AK57" s="337"/>
      <c r="AL57" s="337"/>
      <c r="AM57" s="337"/>
      <c r="AN57" s="337"/>
      <c r="AO57" s="337"/>
      <c r="AP57" s="337"/>
      <c r="AQ57" s="337"/>
      <c r="AR57" s="337"/>
      <c r="AS57" s="337"/>
      <c r="AT57" s="337"/>
      <c r="AU57" s="337"/>
      <c r="AV57" s="337"/>
      <c r="AW57" s="337"/>
      <c r="AX57" s="337"/>
      <c r="AY57" s="337"/>
      <c r="AZ57" s="337"/>
      <c r="BA57" s="337"/>
      <c r="BB57" s="337"/>
      <c r="BC57" s="337"/>
    </row>
    <row r="58" spans="1:55">
      <c r="A58" s="337"/>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c r="AA58" s="337"/>
      <c r="AB58" s="337"/>
      <c r="AC58" s="337"/>
      <c r="AD58" s="337"/>
      <c r="AE58" s="337"/>
      <c r="AF58" s="337"/>
      <c r="AG58" s="337"/>
      <c r="AH58" s="337"/>
      <c r="AI58" s="337"/>
      <c r="AJ58" s="337"/>
      <c r="AK58" s="337"/>
      <c r="AL58" s="337"/>
      <c r="AM58" s="337"/>
      <c r="AN58" s="337"/>
      <c r="AO58" s="337"/>
      <c r="AP58" s="337"/>
      <c r="AQ58" s="337"/>
      <c r="AR58" s="337"/>
      <c r="AS58" s="337"/>
      <c r="AT58" s="337"/>
      <c r="AU58" s="337"/>
      <c r="AV58" s="337"/>
      <c r="AW58" s="337"/>
      <c r="AX58" s="337"/>
      <c r="AY58" s="337"/>
      <c r="AZ58" s="337"/>
      <c r="BA58" s="337"/>
      <c r="BB58" s="337"/>
      <c r="BC58" s="337"/>
    </row>
    <row r="59" spans="1:55">
      <c r="A59" s="337"/>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c r="AA59" s="337"/>
      <c r="AB59" s="337"/>
      <c r="AC59" s="337"/>
      <c r="AD59" s="337"/>
      <c r="AE59" s="337"/>
      <c r="AF59" s="337"/>
      <c r="AG59" s="337"/>
      <c r="AH59" s="337"/>
      <c r="AI59" s="337"/>
      <c r="AJ59" s="337"/>
      <c r="AK59" s="337"/>
      <c r="AL59" s="337"/>
      <c r="AM59" s="337"/>
      <c r="AN59" s="337"/>
      <c r="AO59" s="337"/>
      <c r="AP59" s="337"/>
      <c r="AQ59" s="337"/>
      <c r="AR59" s="337"/>
      <c r="AS59" s="337"/>
      <c r="AT59" s="337"/>
      <c r="AU59" s="337"/>
      <c r="AV59" s="337"/>
      <c r="AW59" s="337"/>
      <c r="AX59" s="337"/>
      <c r="AY59" s="337"/>
      <c r="AZ59" s="337"/>
      <c r="BA59" s="337"/>
      <c r="BB59" s="337"/>
      <c r="BC59" s="337"/>
    </row>
    <row r="60" spans="1:55">
      <c r="A60" s="337"/>
      <c r="B60" s="337"/>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c r="AA60" s="337"/>
      <c r="AB60" s="337"/>
      <c r="AC60" s="337"/>
      <c r="AD60" s="337"/>
      <c r="AE60" s="337"/>
      <c r="AF60" s="337"/>
      <c r="AG60" s="337"/>
      <c r="AH60" s="337"/>
      <c r="AI60" s="337"/>
      <c r="AJ60" s="337"/>
      <c r="AK60" s="337"/>
      <c r="AL60" s="337"/>
      <c r="AM60" s="337"/>
      <c r="AN60" s="337"/>
      <c r="AO60" s="337"/>
      <c r="AP60" s="337"/>
      <c r="AQ60" s="337"/>
      <c r="AR60" s="337"/>
      <c r="AS60" s="337"/>
      <c r="AT60" s="337"/>
      <c r="AU60" s="337"/>
      <c r="AV60" s="337"/>
      <c r="AW60" s="337"/>
      <c r="AX60" s="337"/>
      <c r="AY60" s="337"/>
      <c r="AZ60" s="337"/>
      <c r="BA60" s="337"/>
      <c r="BB60" s="337"/>
      <c r="BC60" s="337"/>
    </row>
    <row r="61" spans="1:55">
      <c r="A61" s="337"/>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c r="AA61" s="337"/>
      <c r="AB61" s="337"/>
      <c r="AC61" s="337"/>
      <c r="AD61" s="337"/>
      <c r="AE61" s="337"/>
      <c r="AF61" s="337"/>
      <c r="AG61" s="337"/>
      <c r="AH61" s="337"/>
      <c r="AI61" s="337"/>
      <c r="AJ61" s="337"/>
      <c r="AK61" s="337"/>
      <c r="AL61" s="337"/>
      <c r="AM61" s="337"/>
      <c r="AN61" s="337"/>
      <c r="AO61" s="337"/>
      <c r="AP61" s="337"/>
      <c r="AQ61" s="337"/>
      <c r="AR61" s="337"/>
      <c r="AS61" s="337"/>
      <c r="AT61" s="337"/>
      <c r="AU61" s="337"/>
      <c r="AV61" s="337"/>
      <c r="AW61" s="337"/>
      <c r="AX61" s="337"/>
      <c r="AY61" s="337"/>
      <c r="AZ61" s="337"/>
      <c r="BA61" s="337"/>
      <c r="BB61" s="337"/>
      <c r="BC61" s="337"/>
    </row>
    <row r="62" spans="1:55">
      <c r="A62" s="337"/>
      <c r="B62" s="337"/>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c r="AC62" s="337"/>
      <c r="AD62" s="337"/>
      <c r="AE62" s="337"/>
      <c r="AF62" s="337"/>
      <c r="AG62" s="337"/>
      <c r="AH62" s="337"/>
      <c r="AI62" s="337"/>
      <c r="AJ62" s="337"/>
      <c r="AK62" s="337"/>
      <c r="AL62" s="337"/>
      <c r="AM62" s="337"/>
      <c r="AN62" s="337"/>
      <c r="AO62" s="337"/>
      <c r="AP62" s="337"/>
      <c r="AQ62" s="337"/>
      <c r="AR62" s="337"/>
      <c r="AS62" s="337"/>
      <c r="AT62" s="337"/>
      <c r="AU62" s="337"/>
      <c r="AV62" s="337"/>
      <c r="AW62" s="337"/>
      <c r="AX62" s="337"/>
      <c r="AY62" s="337"/>
      <c r="AZ62" s="337"/>
      <c r="BA62" s="337"/>
      <c r="BB62" s="337"/>
      <c r="BC62" s="337"/>
    </row>
  </sheetData>
  <sheetProtection algorithmName="SHA-512" hashValue="pO6MZ8bkRhyfspItQfkBccWCvepuYH0EYHWZYFZTv6HKecSjb4jLnmBmLxNfiyEwoWSG78tHelT+PGRexEB2gQ==" saltValue="O2urPGu0lZ6V0AM5GU4s+A==" spinCount="100000" sheet="1" objects="1" scenarios="1"/>
  <customSheetViews>
    <customSheetView guid="{6EFEFCA0-BF14-457A-85A3-29CBF2A862A5}" showGridLines="0" fitToPage="1" topLeftCell="G1">
      <selection activeCell="AO49" sqref="AO49:AR49"/>
      <pageMargins left="0.23622047244094491" right="0.23622047244094491" top="0.19685039370078741" bottom="0.19685039370078741" header="0" footer="0.11811023622047245"/>
      <printOptions horizontalCentered="1" verticalCentered="1"/>
      <pageSetup paperSize="9" scale="46" orientation="portrait" r:id="rId1"/>
      <headerFooter>
        <oddFooter>&amp;L&amp;10&amp;F &amp;A&amp;R&amp;10Page 12 of 61</oddFooter>
      </headerFooter>
    </customSheetView>
  </customSheetViews>
  <mergeCells count="319">
    <mergeCell ref="AJ56:AV56"/>
    <mergeCell ref="AJ54:AV55"/>
    <mergeCell ref="B3:T4"/>
    <mergeCell ref="U3:X4"/>
    <mergeCell ref="Y3:AB4"/>
    <mergeCell ref="AC3:AF4"/>
    <mergeCell ref="AG3:AJ4"/>
    <mergeCell ref="AK3:AN4"/>
    <mergeCell ref="AO3:AR4"/>
    <mergeCell ref="AS3:AV4"/>
    <mergeCell ref="F54:N54"/>
    <mergeCell ref="S54:AE54"/>
    <mergeCell ref="F55:N55"/>
    <mergeCell ref="S55:AE55"/>
    <mergeCell ref="F56:N56"/>
    <mergeCell ref="W56:AE56"/>
    <mergeCell ref="AO6:AR6"/>
    <mergeCell ref="AS6:AV6"/>
    <mergeCell ref="U7:X7"/>
    <mergeCell ref="Y7:AB7"/>
    <mergeCell ref="AC7:AF7"/>
    <mergeCell ref="AG7:AJ7"/>
    <mergeCell ref="AK7:AN7"/>
    <mergeCell ref="AO7:AR7"/>
    <mergeCell ref="AS7:AV7"/>
    <mergeCell ref="U6:X6"/>
    <mergeCell ref="Y6:AB6"/>
    <mergeCell ref="AC6:AF6"/>
    <mergeCell ref="AG6:AJ6"/>
    <mergeCell ref="AK6:AN6"/>
    <mergeCell ref="AO8:AR8"/>
    <mergeCell ref="AS8:AV8"/>
    <mergeCell ref="U9:X9"/>
    <mergeCell ref="Y9:AB9"/>
    <mergeCell ref="AC9:AF9"/>
    <mergeCell ref="AG9:AJ9"/>
    <mergeCell ref="AK9:AN9"/>
    <mergeCell ref="AO9:AR9"/>
    <mergeCell ref="AS9:AV9"/>
    <mergeCell ref="U8:X8"/>
    <mergeCell ref="Y8:AB8"/>
    <mergeCell ref="AC8:AF8"/>
    <mergeCell ref="AG8:AJ8"/>
    <mergeCell ref="AK8:AN8"/>
    <mergeCell ref="AO10:AR10"/>
    <mergeCell ref="AS10:AV10"/>
    <mergeCell ref="U11:X11"/>
    <mergeCell ref="Y11:AB11"/>
    <mergeCell ref="AC11:AF11"/>
    <mergeCell ref="AG11:AJ11"/>
    <mergeCell ref="AK11:AN11"/>
    <mergeCell ref="AO11:AR11"/>
    <mergeCell ref="AS11:AV11"/>
    <mergeCell ref="U10:X10"/>
    <mergeCell ref="Y10:AB10"/>
    <mergeCell ref="AC10:AF10"/>
    <mergeCell ref="AG10:AJ10"/>
    <mergeCell ref="AK10:AN10"/>
    <mergeCell ref="AO12:AR12"/>
    <mergeCell ref="AS12:AV12"/>
    <mergeCell ref="U13:X13"/>
    <mergeCell ref="Y13:AB13"/>
    <mergeCell ref="AC13:AF13"/>
    <mergeCell ref="AG13:AJ13"/>
    <mergeCell ref="AK13:AN13"/>
    <mergeCell ref="AO13:AR13"/>
    <mergeCell ref="AS13:AV13"/>
    <mergeCell ref="U12:X12"/>
    <mergeCell ref="Y12:AB12"/>
    <mergeCell ref="AC12:AF12"/>
    <mergeCell ref="AG12:AJ12"/>
    <mergeCell ref="AK12:AN12"/>
    <mergeCell ref="AO14:AR14"/>
    <mergeCell ref="AS14:AV14"/>
    <mergeCell ref="U15:X15"/>
    <mergeCell ref="Y15:AB15"/>
    <mergeCell ref="AC15:AF15"/>
    <mergeCell ref="AG15:AJ15"/>
    <mergeCell ref="AK15:AN15"/>
    <mergeCell ref="AO15:AR15"/>
    <mergeCell ref="AS15:AV15"/>
    <mergeCell ref="U14:X14"/>
    <mergeCell ref="Y14:AB14"/>
    <mergeCell ref="AC14:AF14"/>
    <mergeCell ref="AG14:AJ14"/>
    <mergeCell ref="AK14:AN14"/>
    <mergeCell ref="AO16:AR16"/>
    <mergeCell ref="AS16:AV16"/>
    <mergeCell ref="U17:X17"/>
    <mergeCell ref="Y17:AB17"/>
    <mergeCell ref="AC17:AF17"/>
    <mergeCell ref="AG17:AJ17"/>
    <mergeCell ref="AK17:AN17"/>
    <mergeCell ref="AO17:AR17"/>
    <mergeCell ref="AS17:AV17"/>
    <mergeCell ref="U16:X16"/>
    <mergeCell ref="Y16:AB16"/>
    <mergeCell ref="AC16:AF16"/>
    <mergeCell ref="AG16:AJ16"/>
    <mergeCell ref="AK16:AN16"/>
    <mergeCell ref="AO18:AR18"/>
    <mergeCell ref="AS18:AV18"/>
    <mergeCell ref="U19:X19"/>
    <mergeCell ref="Y19:AB19"/>
    <mergeCell ref="AC19:AF19"/>
    <mergeCell ref="AG19:AJ19"/>
    <mergeCell ref="AK19:AN19"/>
    <mergeCell ref="AO19:AR19"/>
    <mergeCell ref="AS19:AV19"/>
    <mergeCell ref="U18:X18"/>
    <mergeCell ref="Y18:AB18"/>
    <mergeCell ref="AC18:AF18"/>
    <mergeCell ref="AG18:AJ18"/>
    <mergeCell ref="AK18:AN18"/>
    <mergeCell ref="AO20:AR20"/>
    <mergeCell ref="AS20:AV20"/>
    <mergeCell ref="U21:X21"/>
    <mergeCell ref="Y21:AB21"/>
    <mergeCell ref="AC21:AF21"/>
    <mergeCell ref="AG21:AJ21"/>
    <mergeCell ref="AK21:AN21"/>
    <mergeCell ref="AO21:AR21"/>
    <mergeCell ref="AS21:AV21"/>
    <mergeCell ref="U20:X20"/>
    <mergeCell ref="Y20:AB20"/>
    <mergeCell ref="AC20:AF20"/>
    <mergeCell ref="AG20:AJ20"/>
    <mergeCell ref="AK20:AN20"/>
    <mergeCell ref="AO22:AR22"/>
    <mergeCell ref="AS22:AV22"/>
    <mergeCell ref="U23:X23"/>
    <mergeCell ref="Y23:AB23"/>
    <mergeCell ref="AC23:AF23"/>
    <mergeCell ref="AG23:AJ23"/>
    <mergeCell ref="AK23:AN23"/>
    <mergeCell ref="AO23:AR23"/>
    <mergeCell ref="AS23:AV23"/>
    <mergeCell ref="U22:X22"/>
    <mergeCell ref="Y22:AB22"/>
    <mergeCell ref="AC22:AF22"/>
    <mergeCell ref="AG22:AJ22"/>
    <mergeCell ref="AK22:AN22"/>
    <mergeCell ref="AO24:AR24"/>
    <mergeCell ref="AS24:AV24"/>
    <mergeCell ref="U25:X25"/>
    <mergeCell ref="Y25:AB25"/>
    <mergeCell ref="AC25:AF25"/>
    <mergeCell ref="AG25:AJ25"/>
    <mergeCell ref="AK25:AN25"/>
    <mergeCell ref="AO25:AR25"/>
    <mergeCell ref="AS25:AV25"/>
    <mergeCell ref="U24:X24"/>
    <mergeCell ref="Y24:AB24"/>
    <mergeCell ref="AC24:AF24"/>
    <mergeCell ref="AG24:AJ24"/>
    <mergeCell ref="AK24:AN24"/>
    <mergeCell ref="AO26:AR26"/>
    <mergeCell ref="AS26:AV26"/>
    <mergeCell ref="U27:X27"/>
    <mergeCell ref="Y27:AB27"/>
    <mergeCell ref="AC27:AF27"/>
    <mergeCell ref="AG27:AJ27"/>
    <mergeCell ref="AK27:AN27"/>
    <mergeCell ref="AO27:AR27"/>
    <mergeCell ref="AS27:AV27"/>
    <mergeCell ref="U26:X26"/>
    <mergeCell ref="Y26:AB26"/>
    <mergeCell ref="AC26:AF26"/>
    <mergeCell ref="AG26:AJ26"/>
    <mergeCell ref="AK26:AN26"/>
    <mergeCell ref="AO28:AR28"/>
    <mergeCell ref="AS28:AV28"/>
    <mergeCell ref="U29:X29"/>
    <mergeCell ref="Y29:AB29"/>
    <mergeCell ref="AC29:AF29"/>
    <mergeCell ref="AG29:AJ29"/>
    <mergeCell ref="AK29:AN29"/>
    <mergeCell ref="AO29:AR29"/>
    <mergeCell ref="AS29:AV29"/>
    <mergeCell ref="U28:X28"/>
    <mergeCell ref="Y28:AB28"/>
    <mergeCell ref="AC28:AF28"/>
    <mergeCell ref="AG28:AJ28"/>
    <mergeCell ref="AK28:AN28"/>
    <mergeCell ref="AO31:AR31"/>
    <mergeCell ref="AS31:AV31"/>
    <mergeCell ref="U32:X32"/>
    <mergeCell ref="Y32:AB32"/>
    <mergeCell ref="AC32:AF32"/>
    <mergeCell ref="AG32:AJ32"/>
    <mergeCell ref="AK32:AN32"/>
    <mergeCell ref="AO32:AR32"/>
    <mergeCell ref="AS32:AV32"/>
    <mergeCell ref="U31:X31"/>
    <mergeCell ref="Y31:AB31"/>
    <mergeCell ref="AC31:AF31"/>
    <mergeCell ref="AG31:AJ31"/>
    <mergeCell ref="AK31:AN31"/>
    <mergeCell ref="AO33:AR33"/>
    <mergeCell ref="AS33:AV33"/>
    <mergeCell ref="U34:X34"/>
    <mergeCell ref="Y34:AB34"/>
    <mergeCell ref="AC34:AF34"/>
    <mergeCell ref="AG34:AJ34"/>
    <mergeCell ref="AK34:AN34"/>
    <mergeCell ref="AO34:AR34"/>
    <mergeCell ref="AS34:AV34"/>
    <mergeCell ref="U33:X33"/>
    <mergeCell ref="Y33:AB33"/>
    <mergeCell ref="AC33:AF33"/>
    <mergeCell ref="AG33:AJ33"/>
    <mergeCell ref="AK33:AN33"/>
    <mergeCell ref="AO35:AR35"/>
    <mergeCell ref="AS35:AV35"/>
    <mergeCell ref="U36:X36"/>
    <mergeCell ref="Y36:AB36"/>
    <mergeCell ref="AC36:AF36"/>
    <mergeCell ref="AG36:AJ36"/>
    <mergeCell ref="AK36:AN36"/>
    <mergeCell ref="AO36:AR36"/>
    <mergeCell ref="AS36:AV36"/>
    <mergeCell ref="U35:X35"/>
    <mergeCell ref="Y35:AB35"/>
    <mergeCell ref="AC35:AF35"/>
    <mergeCell ref="AG35:AJ35"/>
    <mergeCell ref="AK35:AN35"/>
    <mergeCell ref="AO37:AR37"/>
    <mergeCell ref="AS37:AV37"/>
    <mergeCell ref="U38:X38"/>
    <mergeCell ref="Y38:AB38"/>
    <mergeCell ref="AC38:AF38"/>
    <mergeCell ref="AG38:AJ38"/>
    <mergeCell ref="AK38:AN38"/>
    <mergeCell ref="AO38:AR38"/>
    <mergeCell ref="AS38:AV38"/>
    <mergeCell ref="U37:X37"/>
    <mergeCell ref="Y37:AB37"/>
    <mergeCell ref="AC37:AF37"/>
    <mergeCell ref="AG37:AJ37"/>
    <mergeCell ref="AK37:AN37"/>
    <mergeCell ref="AO39:AR39"/>
    <mergeCell ref="AS39:AV39"/>
    <mergeCell ref="U40:X40"/>
    <mergeCell ref="Y40:AB40"/>
    <mergeCell ref="AC40:AF40"/>
    <mergeCell ref="AG40:AJ40"/>
    <mergeCell ref="AK40:AN40"/>
    <mergeCell ref="AO40:AR40"/>
    <mergeCell ref="AS40:AV40"/>
    <mergeCell ref="U39:X39"/>
    <mergeCell ref="Y39:AB39"/>
    <mergeCell ref="AC39:AF39"/>
    <mergeCell ref="AG39:AJ39"/>
    <mergeCell ref="AK39:AN39"/>
    <mergeCell ref="AO41:AR41"/>
    <mergeCell ref="AS41:AV41"/>
    <mergeCell ref="U42:X42"/>
    <mergeCell ref="Y42:AB42"/>
    <mergeCell ref="AC42:AF42"/>
    <mergeCell ref="AG42:AJ42"/>
    <mergeCell ref="AK42:AN42"/>
    <mergeCell ref="AO42:AR42"/>
    <mergeCell ref="AS42:AV42"/>
    <mergeCell ref="U41:X41"/>
    <mergeCell ref="Y41:AB41"/>
    <mergeCell ref="AC41:AF41"/>
    <mergeCell ref="AG41:AJ41"/>
    <mergeCell ref="AK41:AN41"/>
    <mergeCell ref="AO43:AR43"/>
    <mergeCell ref="AS43:AV43"/>
    <mergeCell ref="U44:X44"/>
    <mergeCell ref="Y44:AB44"/>
    <mergeCell ref="AC44:AF44"/>
    <mergeCell ref="AG44:AJ44"/>
    <mergeCell ref="AK44:AN44"/>
    <mergeCell ref="AO44:AR44"/>
    <mergeCell ref="AS44:AV44"/>
    <mergeCell ref="U43:X43"/>
    <mergeCell ref="Y43:AB43"/>
    <mergeCell ref="AC43:AF43"/>
    <mergeCell ref="AG43:AJ43"/>
    <mergeCell ref="AK43:AN43"/>
    <mergeCell ref="AS45:AV45"/>
    <mergeCell ref="U46:X46"/>
    <mergeCell ref="Y46:AB46"/>
    <mergeCell ref="AC46:AF46"/>
    <mergeCell ref="AG46:AJ46"/>
    <mergeCell ref="AK46:AN46"/>
    <mergeCell ref="AO46:AR46"/>
    <mergeCell ref="AS46:AV46"/>
    <mergeCell ref="U45:X45"/>
    <mergeCell ref="Y45:AB45"/>
    <mergeCell ref="AC45:AF45"/>
    <mergeCell ref="AG45:AJ45"/>
    <mergeCell ref="AK45:AN45"/>
    <mergeCell ref="U5:AV5"/>
    <mergeCell ref="U30:AV30"/>
    <mergeCell ref="AO49:AR49"/>
    <mergeCell ref="AS49:AV49"/>
    <mergeCell ref="U49:X49"/>
    <mergeCell ref="Y49:AB49"/>
    <mergeCell ref="AC49:AF49"/>
    <mergeCell ref="AG49:AJ49"/>
    <mergeCell ref="AK49:AN49"/>
    <mergeCell ref="AO47:AR47"/>
    <mergeCell ref="AS47:AV47"/>
    <mergeCell ref="U48:X48"/>
    <mergeCell ref="Y48:AB48"/>
    <mergeCell ref="AC48:AF48"/>
    <mergeCell ref="AG48:AJ48"/>
    <mergeCell ref="AK48:AN48"/>
    <mergeCell ref="AO48:AR48"/>
    <mergeCell ref="AS48:AV48"/>
    <mergeCell ref="U47:X47"/>
    <mergeCell ref="Y47:AB47"/>
    <mergeCell ref="AC47:AF47"/>
    <mergeCell ref="AG47:AJ47"/>
    <mergeCell ref="AK47:AN47"/>
    <mergeCell ref="AO45:AR45"/>
  </mergeCells>
  <dataValidations count="1">
    <dataValidation type="whole" allowBlank="1" showInputMessage="1" showErrorMessage="1" errorTitle="GSHSP SY 2022-2023" error="Please enter valid number between 0-999." sqref="U6:AR29 U31:AR49" xr:uid="{60E0839A-7500-41BD-904D-E713A2077C64}">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46" orientation="portrait" r:id="rId2"/>
  <headerFooter>
    <oddFooter>&amp;L&amp;10&amp;F &amp;A&amp;R&amp;10Page 12 of 61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FFFF00"/>
    <pageSetUpPr fitToPage="1"/>
  </sheetPr>
  <dimension ref="A1:BB59"/>
  <sheetViews>
    <sheetView showGridLines="0" topLeftCell="G45" zoomScaleNormal="100" workbookViewId="0">
      <selection activeCell="AS43" sqref="AS43:AV43"/>
    </sheetView>
  </sheetViews>
  <sheetFormatPr defaultColWidth="9" defaultRowHeight="16.5"/>
  <cols>
    <col min="1" max="1" width="2.125" style="15" customWidth="1"/>
    <col min="2" max="48" width="3.625" style="15" customWidth="1"/>
    <col min="49" max="49" width="2.125" style="15" customWidth="1"/>
    <col min="50" max="87" width="4.625" style="15" customWidth="1"/>
    <col min="88" max="16384" width="9" style="15"/>
  </cols>
  <sheetData>
    <row r="1" spans="1:54" ht="12" customHeight="1">
      <c r="A1" s="337"/>
      <c r="B1" s="337"/>
      <c r="C1" s="337"/>
      <c r="D1" s="337"/>
      <c r="E1" s="337"/>
      <c r="F1" s="337"/>
      <c r="G1" s="337"/>
      <c r="H1" s="337"/>
      <c r="I1" s="337"/>
      <c r="J1" s="337"/>
      <c r="K1" s="337"/>
      <c r="L1" s="337"/>
      <c r="M1" s="337"/>
      <c r="N1" s="337"/>
      <c r="O1" s="337"/>
      <c r="P1" s="337"/>
      <c r="Q1" s="337"/>
      <c r="R1" s="337"/>
      <c r="S1" s="337"/>
      <c r="T1" s="337"/>
      <c r="U1" s="337"/>
      <c r="V1" s="337"/>
      <c r="W1" s="337"/>
      <c r="X1" s="337"/>
      <c r="Y1" s="337"/>
      <c r="Z1" s="337"/>
      <c r="AA1" s="337"/>
      <c r="AB1" s="337"/>
      <c r="AC1" s="337"/>
      <c r="AD1" s="337"/>
      <c r="AE1" s="337"/>
      <c r="AF1" s="337"/>
      <c r="AG1" s="337"/>
      <c r="AH1" s="337"/>
      <c r="AI1" s="337"/>
      <c r="AJ1" s="337"/>
      <c r="AK1" s="337"/>
      <c r="AL1" s="337"/>
      <c r="AM1" s="337"/>
      <c r="AN1" s="337"/>
      <c r="AO1" s="337"/>
      <c r="AP1" s="337"/>
      <c r="AQ1" s="337"/>
      <c r="AR1" s="337"/>
      <c r="AS1" s="337"/>
      <c r="AT1" s="337"/>
      <c r="AU1" s="337"/>
      <c r="AV1" s="337"/>
      <c r="AW1" s="337"/>
      <c r="AX1" s="337"/>
      <c r="AY1" s="337"/>
      <c r="AZ1" s="337"/>
      <c r="BA1" s="337"/>
      <c r="BB1" s="337"/>
    </row>
    <row r="2" spans="1:54" ht="17.25" customHeight="1" thickBot="1">
      <c r="A2" s="337"/>
      <c r="B2" s="354" t="s">
        <v>11386</v>
      </c>
      <c r="C2" s="436"/>
      <c r="D2" s="436"/>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c r="AE2" s="436"/>
      <c r="AF2" s="436"/>
      <c r="AG2" s="436"/>
      <c r="AH2" s="436"/>
      <c r="AI2" s="436"/>
      <c r="AJ2" s="436"/>
      <c r="AK2" s="436"/>
      <c r="AL2" s="436"/>
      <c r="AM2" s="436"/>
      <c r="AN2" s="436"/>
      <c r="AO2" s="436"/>
      <c r="AP2" s="436"/>
      <c r="AQ2" s="436"/>
      <c r="AR2" s="436"/>
      <c r="AS2" s="436"/>
      <c r="AT2" s="436"/>
      <c r="AU2" s="436"/>
      <c r="AV2" s="436"/>
      <c r="AW2" s="436"/>
      <c r="AX2" s="337"/>
      <c r="AY2" s="337"/>
      <c r="AZ2" s="337"/>
      <c r="BA2" s="337"/>
      <c r="BB2" s="337"/>
    </row>
    <row r="3" spans="1:54" ht="22.5" customHeight="1">
      <c r="A3" s="337"/>
      <c r="B3" s="1871" t="s">
        <v>81</v>
      </c>
      <c r="C3" s="1872"/>
      <c r="D3" s="1872"/>
      <c r="E3" s="1872"/>
      <c r="F3" s="1872"/>
      <c r="G3" s="1872"/>
      <c r="H3" s="1872"/>
      <c r="I3" s="1872"/>
      <c r="J3" s="1872"/>
      <c r="K3" s="1872"/>
      <c r="L3" s="1872"/>
      <c r="M3" s="1872"/>
      <c r="N3" s="1872"/>
      <c r="O3" s="1872"/>
      <c r="P3" s="1872"/>
      <c r="Q3" s="1872"/>
      <c r="R3" s="1872"/>
      <c r="S3" s="1872"/>
      <c r="T3" s="1873"/>
      <c r="U3" s="2595" t="s">
        <v>82</v>
      </c>
      <c r="V3" s="2596"/>
      <c r="W3" s="2596"/>
      <c r="X3" s="2597"/>
      <c r="Y3" s="2601" t="s">
        <v>83</v>
      </c>
      <c r="Z3" s="2596"/>
      <c r="AA3" s="2596"/>
      <c r="AB3" s="2597"/>
      <c r="AC3" s="2601" t="s">
        <v>84</v>
      </c>
      <c r="AD3" s="2596"/>
      <c r="AE3" s="2596"/>
      <c r="AF3" s="2597"/>
      <c r="AG3" s="2601" t="s">
        <v>85</v>
      </c>
      <c r="AH3" s="2596"/>
      <c r="AI3" s="2596"/>
      <c r="AJ3" s="2597"/>
      <c r="AK3" s="2603" t="s">
        <v>86</v>
      </c>
      <c r="AL3" s="1892"/>
      <c r="AM3" s="2604"/>
      <c r="AN3" s="2605"/>
      <c r="AO3" s="2603" t="s">
        <v>87</v>
      </c>
      <c r="AP3" s="1892"/>
      <c r="AQ3" s="1892"/>
      <c r="AR3" s="2609"/>
      <c r="AS3" s="2610" t="s">
        <v>88</v>
      </c>
      <c r="AT3" s="1892"/>
      <c r="AU3" s="1892"/>
      <c r="AV3" s="1893"/>
      <c r="AW3" s="561"/>
      <c r="AX3" s="337"/>
      <c r="AY3" s="337"/>
      <c r="AZ3" s="337"/>
      <c r="BA3" s="337"/>
      <c r="BB3" s="337"/>
    </row>
    <row r="4" spans="1:54" ht="22.5" customHeight="1" thickBot="1">
      <c r="A4" s="337"/>
      <c r="B4" s="1877"/>
      <c r="C4" s="1878"/>
      <c r="D4" s="1878"/>
      <c r="E4" s="1878"/>
      <c r="F4" s="1878"/>
      <c r="G4" s="1878"/>
      <c r="H4" s="1878"/>
      <c r="I4" s="1878"/>
      <c r="J4" s="1878"/>
      <c r="K4" s="1878"/>
      <c r="L4" s="1878"/>
      <c r="M4" s="1878"/>
      <c r="N4" s="1878"/>
      <c r="O4" s="1878"/>
      <c r="P4" s="1878"/>
      <c r="Q4" s="1878"/>
      <c r="R4" s="1878"/>
      <c r="S4" s="1878"/>
      <c r="T4" s="1879"/>
      <c r="U4" s="2598"/>
      <c r="V4" s="2599"/>
      <c r="W4" s="2599"/>
      <c r="X4" s="2600"/>
      <c r="Y4" s="2602"/>
      <c r="Z4" s="2599"/>
      <c r="AA4" s="2599"/>
      <c r="AB4" s="2600"/>
      <c r="AC4" s="2602"/>
      <c r="AD4" s="2599"/>
      <c r="AE4" s="2599"/>
      <c r="AF4" s="2600"/>
      <c r="AG4" s="2602"/>
      <c r="AH4" s="2599"/>
      <c r="AI4" s="2599"/>
      <c r="AJ4" s="2600"/>
      <c r="AK4" s="2606"/>
      <c r="AL4" s="2607"/>
      <c r="AM4" s="2607"/>
      <c r="AN4" s="2608"/>
      <c r="AO4" s="2428"/>
      <c r="AP4" s="2338"/>
      <c r="AQ4" s="2338"/>
      <c r="AR4" s="2429"/>
      <c r="AS4" s="2611"/>
      <c r="AT4" s="2338"/>
      <c r="AU4" s="2338"/>
      <c r="AV4" s="2339"/>
      <c r="AW4" s="337"/>
      <c r="AX4" s="337"/>
      <c r="AY4" s="337"/>
      <c r="AZ4" s="337"/>
      <c r="BA4" s="337"/>
      <c r="BB4" s="337"/>
    </row>
    <row r="5" spans="1:54" ht="27.95" customHeight="1">
      <c r="A5" s="337"/>
      <c r="B5" s="562" t="s">
        <v>135</v>
      </c>
      <c r="C5" s="563"/>
      <c r="D5" s="517"/>
      <c r="E5" s="517"/>
      <c r="F5" s="517"/>
      <c r="G5" s="517"/>
      <c r="H5" s="517"/>
      <c r="I5" s="517"/>
      <c r="J5" s="517"/>
      <c r="K5" s="517"/>
      <c r="L5" s="517"/>
      <c r="M5" s="517"/>
      <c r="N5" s="517"/>
      <c r="O5" s="517"/>
      <c r="P5" s="517"/>
      <c r="Q5" s="517"/>
      <c r="R5" s="517"/>
      <c r="S5" s="517"/>
      <c r="T5" s="518"/>
      <c r="U5" s="2583"/>
      <c r="V5" s="2584"/>
      <c r="W5" s="2584"/>
      <c r="X5" s="2584"/>
      <c r="Y5" s="2584"/>
      <c r="Z5" s="2584"/>
      <c r="AA5" s="2584"/>
      <c r="AB5" s="2584"/>
      <c r="AC5" s="2584"/>
      <c r="AD5" s="2584"/>
      <c r="AE5" s="2584"/>
      <c r="AF5" s="2584"/>
      <c r="AG5" s="2584"/>
      <c r="AH5" s="2584"/>
      <c r="AI5" s="2584"/>
      <c r="AJ5" s="2584"/>
      <c r="AK5" s="2584"/>
      <c r="AL5" s="2584"/>
      <c r="AM5" s="2584"/>
      <c r="AN5" s="2584"/>
      <c r="AO5" s="2584"/>
      <c r="AP5" s="2584"/>
      <c r="AQ5" s="2584"/>
      <c r="AR5" s="2584"/>
      <c r="AS5" s="2584"/>
      <c r="AT5" s="2584"/>
      <c r="AU5" s="2584"/>
      <c r="AV5" s="2585"/>
      <c r="AW5" s="337"/>
      <c r="AX5" s="337"/>
      <c r="AY5" s="337"/>
      <c r="AZ5" s="337"/>
      <c r="BA5" s="337"/>
      <c r="BB5" s="337"/>
    </row>
    <row r="6" spans="1:54" ht="27.95" customHeight="1">
      <c r="A6" s="337"/>
      <c r="B6" s="564"/>
      <c r="C6" s="537" t="s">
        <v>136</v>
      </c>
      <c r="D6" s="453"/>
      <c r="E6" s="539"/>
      <c r="F6" s="539"/>
      <c r="G6" s="539"/>
      <c r="H6" s="539"/>
      <c r="I6" s="539"/>
      <c r="J6" s="539"/>
      <c r="K6" s="539"/>
      <c r="L6" s="539"/>
      <c r="M6" s="539"/>
      <c r="N6" s="539"/>
      <c r="O6" s="539"/>
      <c r="P6" s="539"/>
      <c r="Q6" s="539"/>
      <c r="R6" s="539"/>
      <c r="S6" s="539"/>
      <c r="T6" s="522"/>
      <c r="U6" s="2526">
        <v>0</v>
      </c>
      <c r="V6" s="2527"/>
      <c r="W6" s="2527"/>
      <c r="X6" s="2568"/>
      <c r="Y6" s="2529">
        <v>0</v>
      </c>
      <c r="Z6" s="2527"/>
      <c r="AA6" s="2527"/>
      <c r="AB6" s="2568"/>
      <c r="AC6" s="2529">
        <v>0</v>
      </c>
      <c r="AD6" s="2527"/>
      <c r="AE6" s="2527"/>
      <c r="AF6" s="2568"/>
      <c r="AG6" s="2529">
        <v>0</v>
      </c>
      <c r="AH6" s="2527"/>
      <c r="AI6" s="2527"/>
      <c r="AJ6" s="2568"/>
      <c r="AK6" s="2529">
        <v>0</v>
      </c>
      <c r="AL6" s="2527"/>
      <c r="AM6" s="2527"/>
      <c r="AN6" s="2568"/>
      <c r="AO6" s="2529">
        <v>0</v>
      </c>
      <c r="AP6" s="2527"/>
      <c r="AQ6" s="2527"/>
      <c r="AR6" s="2569"/>
      <c r="AS6" s="2594">
        <f>SUM(U6:AR6)</f>
        <v>0</v>
      </c>
      <c r="AT6" s="2570"/>
      <c r="AU6" s="2570"/>
      <c r="AV6" s="2571"/>
      <c r="AW6" s="337"/>
      <c r="AX6" s="337"/>
      <c r="AY6" s="337"/>
      <c r="AZ6" s="337"/>
      <c r="BA6" s="337"/>
      <c r="BB6" s="337"/>
    </row>
    <row r="7" spans="1:54" ht="27.95" customHeight="1">
      <c r="A7" s="337"/>
      <c r="B7" s="564"/>
      <c r="C7" s="537" t="s">
        <v>137</v>
      </c>
      <c r="D7" s="453"/>
      <c r="E7" s="539"/>
      <c r="F7" s="539"/>
      <c r="G7" s="539"/>
      <c r="H7" s="539"/>
      <c r="I7" s="539"/>
      <c r="J7" s="539"/>
      <c r="K7" s="539"/>
      <c r="L7" s="539"/>
      <c r="M7" s="539"/>
      <c r="N7" s="539"/>
      <c r="O7" s="539"/>
      <c r="P7" s="539"/>
      <c r="Q7" s="539"/>
      <c r="R7" s="539"/>
      <c r="S7" s="539"/>
      <c r="T7" s="522"/>
      <c r="U7" s="2526">
        <v>0</v>
      </c>
      <c r="V7" s="2527"/>
      <c r="W7" s="2527"/>
      <c r="X7" s="2568"/>
      <c r="Y7" s="2529">
        <v>1</v>
      </c>
      <c r="Z7" s="2527"/>
      <c r="AA7" s="2527"/>
      <c r="AB7" s="2568"/>
      <c r="AC7" s="2529">
        <v>0</v>
      </c>
      <c r="AD7" s="2527"/>
      <c r="AE7" s="2527"/>
      <c r="AF7" s="2568"/>
      <c r="AG7" s="2529">
        <v>0</v>
      </c>
      <c r="AH7" s="2527"/>
      <c r="AI7" s="2527"/>
      <c r="AJ7" s="2568"/>
      <c r="AK7" s="2529">
        <v>0</v>
      </c>
      <c r="AL7" s="2527"/>
      <c r="AM7" s="2527"/>
      <c r="AN7" s="2568"/>
      <c r="AO7" s="2529">
        <v>0</v>
      </c>
      <c r="AP7" s="2527"/>
      <c r="AQ7" s="2527"/>
      <c r="AR7" s="2569"/>
      <c r="AS7" s="2594">
        <f t="shared" ref="AS7:AS27" si="0">SUM(U7:AR7)</f>
        <v>1</v>
      </c>
      <c r="AT7" s="2570"/>
      <c r="AU7" s="2570"/>
      <c r="AV7" s="2571"/>
      <c r="AW7" s="337"/>
      <c r="AX7" s="337"/>
      <c r="AY7" s="337"/>
      <c r="AZ7" s="337"/>
      <c r="BA7" s="337"/>
      <c r="BB7" s="337"/>
    </row>
    <row r="8" spans="1:54" ht="27.95" customHeight="1">
      <c r="A8" s="337"/>
      <c r="B8" s="564"/>
      <c r="C8" s="537" t="s">
        <v>138</v>
      </c>
      <c r="D8" s="539"/>
      <c r="E8" s="539"/>
      <c r="F8" s="539"/>
      <c r="G8" s="539"/>
      <c r="H8" s="539"/>
      <c r="I8" s="539"/>
      <c r="J8" s="539"/>
      <c r="K8" s="539"/>
      <c r="L8" s="539"/>
      <c r="M8" s="539"/>
      <c r="N8" s="539"/>
      <c r="O8" s="539"/>
      <c r="P8" s="539"/>
      <c r="Q8" s="539"/>
      <c r="R8" s="539"/>
      <c r="S8" s="539"/>
      <c r="T8" s="522"/>
      <c r="U8" s="2526">
        <v>0</v>
      </c>
      <c r="V8" s="2527"/>
      <c r="W8" s="2527"/>
      <c r="X8" s="2568"/>
      <c r="Y8" s="2529">
        <v>1</v>
      </c>
      <c r="Z8" s="2527"/>
      <c r="AA8" s="2527"/>
      <c r="AB8" s="2568"/>
      <c r="AC8" s="2529">
        <v>0</v>
      </c>
      <c r="AD8" s="2527"/>
      <c r="AE8" s="2527"/>
      <c r="AF8" s="2568"/>
      <c r="AG8" s="2529">
        <v>0</v>
      </c>
      <c r="AH8" s="2527"/>
      <c r="AI8" s="2527"/>
      <c r="AJ8" s="2568"/>
      <c r="AK8" s="2529">
        <v>0</v>
      </c>
      <c r="AL8" s="2527"/>
      <c r="AM8" s="2527"/>
      <c r="AN8" s="2568"/>
      <c r="AO8" s="2529">
        <v>0</v>
      </c>
      <c r="AP8" s="2527"/>
      <c r="AQ8" s="2527"/>
      <c r="AR8" s="2569"/>
      <c r="AS8" s="2594">
        <f t="shared" si="0"/>
        <v>1</v>
      </c>
      <c r="AT8" s="2570"/>
      <c r="AU8" s="2570"/>
      <c r="AV8" s="2571"/>
      <c r="AW8" s="337"/>
      <c r="AX8" s="337"/>
      <c r="AY8" s="337"/>
      <c r="AZ8" s="337"/>
      <c r="BA8" s="337"/>
      <c r="BB8" s="337"/>
    </row>
    <row r="9" spans="1:54" ht="27.95" customHeight="1">
      <c r="A9" s="337"/>
      <c r="B9" s="564"/>
      <c r="C9" s="537" t="s">
        <v>139</v>
      </c>
      <c r="D9" s="539"/>
      <c r="E9" s="539"/>
      <c r="F9" s="539"/>
      <c r="G9" s="539"/>
      <c r="H9" s="539"/>
      <c r="I9" s="539"/>
      <c r="J9" s="539"/>
      <c r="K9" s="539"/>
      <c r="L9" s="539"/>
      <c r="M9" s="539"/>
      <c r="N9" s="539"/>
      <c r="O9" s="539"/>
      <c r="P9" s="539"/>
      <c r="Q9" s="539"/>
      <c r="R9" s="539"/>
      <c r="S9" s="539"/>
      <c r="T9" s="522"/>
      <c r="U9" s="2526">
        <v>0</v>
      </c>
      <c r="V9" s="2527"/>
      <c r="W9" s="2527"/>
      <c r="X9" s="2568"/>
      <c r="Y9" s="2529">
        <v>0</v>
      </c>
      <c r="Z9" s="2527"/>
      <c r="AA9" s="2527"/>
      <c r="AB9" s="2568"/>
      <c r="AC9" s="2529">
        <v>0</v>
      </c>
      <c r="AD9" s="2527"/>
      <c r="AE9" s="2527"/>
      <c r="AF9" s="2568"/>
      <c r="AG9" s="2529">
        <v>0</v>
      </c>
      <c r="AH9" s="2527"/>
      <c r="AI9" s="2527"/>
      <c r="AJ9" s="2568"/>
      <c r="AK9" s="2529">
        <v>0</v>
      </c>
      <c r="AL9" s="2527"/>
      <c r="AM9" s="2527"/>
      <c r="AN9" s="2568"/>
      <c r="AO9" s="2529">
        <v>0</v>
      </c>
      <c r="AP9" s="2527"/>
      <c r="AQ9" s="2527"/>
      <c r="AR9" s="2569"/>
      <c r="AS9" s="2594">
        <f t="shared" si="0"/>
        <v>0</v>
      </c>
      <c r="AT9" s="2570"/>
      <c r="AU9" s="2570"/>
      <c r="AV9" s="2571"/>
      <c r="AW9" s="337"/>
      <c r="AX9" s="337"/>
      <c r="AY9" s="337"/>
      <c r="AZ9" s="337"/>
      <c r="BA9" s="337"/>
      <c r="BB9" s="337"/>
    </row>
    <row r="10" spans="1:54" ht="35.1" customHeight="1">
      <c r="A10" s="337"/>
      <c r="B10" s="564"/>
      <c r="C10" s="2612" t="s">
        <v>140</v>
      </c>
      <c r="D10" s="2612"/>
      <c r="E10" s="2612"/>
      <c r="F10" s="2612"/>
      <c r="G10" s="2612"/>
      <c r="H10" s="2612"/>
      <c r="I10" s="2612"/>
      <c r="J10" s="2612"/>
      <c r="K10" s="2612"/>
      <c r="L10" s="2612"/>
      <c r="M10" s="2612"/>
      <c r="N10" s="2612"/>
      <c r="O10" s="2612"/>
      <c r="P10" s="2612"/>
      <c r="Q10" s="2612"/>
      <c r="R10" s="2612"/>
      <c r="S10" s="2612"/>
      <c r="T10" s="522"/>
      <c r="U10" s="2526">
        <v>0</v>
      </c>
      <c r="V10" s="2527"/>
      <c r="W10" s="2527"/>
      <c r="X10" s="2568"/>
      <c r="Y10" s="2529">
        <v>0</v>
      </c>
      <c r="Z10" s="2527"/>
      <c r="AA10" s="2527"/>
      <c r="AB10" s="2568"/>
      <c r="AC10" s="2529">
        <v>0</v>
      </c>
      <c r="AD10" s="2527"/>
      <c r="AE10" s="2527"/>
      <c r="AF10" s="2568"/>
      <c r="AG10" s="2529">
        <v>0</v>
      </c>
      <c r="AH10" s="2527"/>
      <c r="AI10" s="2527"/>
      <c r="AJ10" s="2568"/>
      <c r="AK10" s="2529">
        <v>0</v>
      </c>
      <c r="AL10" s="2527"/>
      <c r="AM10" s="2527"/>
      <c r="AN10" s="2568"/>
      <c r="AO10" s="2529">
        <v>0</v>
      </c>
      <c r="AP10" s="2527"/>
      <c r="AQ10" s="2527"/>
      <c r="AR10" s="2569"/>
      <c r="AS10" s="2594">
        <f t="shared" si="0"/>
        <v>0</v>
      </c>
      <c r="AT10" s="2570"/>
      <c r="AU10" s="2570"/>
      <c r="AV10" s="2571"/>
      <c r="AW10" s="337"/>
      <c r="AX10" s="337"/>
      <c r="AY10" s="337"/>
      <c r="AZ10" s="337"/>
      <c r="BA10" s="337"/>
      <c r="BB10" s="337"/>
    </row>
    <row r="11" spans="1:54" ht="27.95" customHeight="1">
      <c r="A11" s="337"/>
      <c r="B11" s="564"/>
      <c r="C11" s="537" t="s">
        <v>141</v>
      </c>
      <c r="D11" s="537"/>
      <c r="E11" s="537"/>
      <c r="F11" s="537"/>
      <c r="G11" s="537"/>
      <c r="H11" s="537"/>
      <c r="I11" s="537"/>
      <c r="J11" s="537"/>
      <c r="K11" s="537"/>
      <c r="L11" s="537"/>
      <c r="M11" s="537"/>
      <c r="N11" s="537"/>
      <c r="O11" s="537"/>
      <c r="P11" s="537"/>
      <c r="Q11" s="537"/>
      <c r="R11" s="537"/>
      <c r="S11" s="537"/>
      <c r="T11" s="522"/>
      <c r="U11" s="2526">
        <v>0</v>
      </c>
      <c r="V11" s="2527"/>
      <c r="W11" s="2527"/>
      <c r="X11" s="2568"/>
      <c r="Y11" s="2529">
        <v>2</v>
      </c>
      <c r="Z11" s="2527"/>
      <c r="AA11" s="2527"/>
      <c r="AB11" s="2568"/>
      <c r="AC11" s="2529">
        <v>0</v>
      </c>
      <c r="AD11" s="2527"/>
      <c r="AE11" s="2527"/>
      <c r="AF11" s="2568"/>
      <c r="AG11" s="2529">
        <v>0</v>
      </c>
      <c r="AH11" s="2527"/>
      <c r="AI11" s="2527"/>
      <c r="AJ11" s="2568"/>
      <c r="AK11" s="2529">
        <v>0</v>
      </c>
      <c r="AL11" s="2527"/>
      <c r="AM11" s="2527"/>
      <c r="AN11" s="2568"/>
      <c r="AO11" s="2529">
        <v>0</v>
      </c>
      <c r="AP11" s="2527"/>
      <c r="AQ11" s="2527"/>
      <c r="AR11" s="2569"/>
      <c r="AS11" s="2594">
        <f t="shared" si="0"/>
        <v>2</v>
      </c>
      <c r="AT11" s="2570"/>
      <c r="AU11" s="2570"/>
      <c r="AV11" s="2571"/>
      <c r="AW11" s="337"/>
      <c r="AX11" s="337"/>
      <c r="AY11" s="337"/>
      <c r="AZ11" s="337"/>
      <c r="BA11" s="337"/>
      <c r="BB11" s="337"/>
    </row>
    <row r="12" spans="1:54" ht="27.95" customHeight="1">
      <c r="A12" s="337"/>
      <c r="B12" s="564"/>
      <c r="C12" s="537" t="s">
        <v>142</v>
      </c>
      <c r="D12" s="537"/>
      <c r="E12" s="537"/>
      <c r="F12" s="537"/>
      <c r="G12" s="537"/>
      <c r="H12" s="537"/>
      <c r="I12" s="537"/>
      <c r="J12" s="537"/>
      <c r="K12" s="537"/>
      <c r="L12" s="537"/>
      <c r="M12" s="537"/>
      <c r="N12" s="537"/>
      <c r="O12" s="537"/>
      <c r="P12" s="537"/>
      <c r="Q12" s="537"/>
      <c r="R12" s="537"/>
      <c r="S12" s="537"/>
      <c r="T12" s="522"/>
      <c r="U12" s="2526">
        <v>0</v>
      </c>
      <c r="V12" s="2527"/>
      <c r="W12" s="2527"/>
      <c r="X12" s="2568"/>
      <c r="Y12" s="2529">
        <v>0</v>
      </c>
      <c r="Z12" s="2527"/>
      <c r="AA12" s="2527"/>
      <c r="AB12" s="2568"/>
      <c r="AC12" s="2529">
        <v>0</v>
      </c>
      <c r="AD12" s="2527"/>
      <c r="AE12" s="2527"/>
      <c r="AF12" s="2568"/>
      <c r="AG12" s="2529">
        <v>0</v>
      </c>
      <c r="AH12" s="2527"/>
      <c r="AI12" s="2527"/>
      <c r="AJ12" s="2568"/>
      <c r="AK12" s="2529">
        <v>0</v>
      </c>
      <c r="AL12" s="2527"/>
      <c r="AM12" s="2527"/>
      <c r="AN12" s="2568"/>
      <c r="AO12" s="2529">
        <v>0</v>
      </c>
      <c r="AP12" s="2527"/>
      <c r="AQ12" s="2527"/>
      <c r="AR12" s="2569"/>
      <c r="AS12" s="2594">
        <f t="shared" si="0"/>
        <v>0</v>
      </c>
      <c r="AT12" s="2570"/>
      <c r="AU12" s="2570"/>
      <c r="AV12" s="2571"/>
      <c r="AW12" s="337"/>
      <c r="AX12" s="337"/>
      <c r="AY12" s="337"/>
      <c r="AZ12" s="337"/>
      <c r="BA12" s="337"/>
      <c r="BB12" s="337"/>
    </row>
    <row r="13" spans="1:54" ht="27.95" customHeight="1">
      <c r="A13" s="337"/>
      <c r="B13" s="564"/>
      <c r="C13" s="537" t="s">
        <v>143</v>
      </c>
      <c r="D13" s="537"/>
      <c r="E13" s="537"/>
      <c r="F13" s="537"/>
      <c r="G13" s="537"/>
      <c r="H13" s="537"/>
      <c r="I13" s="537"/>
      <c r="J13" s="537"/>
      <c r="K13" s="537"/>
      <c r="L13" s="537"/>
      <c r="M13" s="537"/>
      <c r="N13" s="537"/>
      <c r="O13" s="537"/>
      <c r="P13" s="537"/>
      <c r="Q13" s="537"/>
      <c r="R13" s="537"/>
      <c r="S13" s="537"/>
      <c r="T13" s="522"/>
      <c r="U13" s="2526">
        <v>0</v>
      </c>
      <c r="V13" s="2527"/>
      <c r="W13" s="2527"/>
      <c r="X13" s="2568"/>
      <c r="Y13" s="2529">
        <v>2</v>
      </c>
      <c r="Z13" s="2527"/>
      <c r="AA13" s="2527"/>
      <c r="AB13" s="2568"/>
      <c r="AC13" s="2529">
        <v>0</v>
      </c>
      <c r="AD13" s="2527"/>
      <c r="AE13" s="2527"/>
      <c r="AF13" s="2568"/>
      <c r="AG13" s="2529">
        <v>0</v>
      </c>
      <c r="AH13" s="2527"/>
      <c r="AI13" s="2527"/>
      <c r="AJ13" s="2568"/>
      <c r="AK13" s="2529">
        <v>0</v>
      </c>
      <c r="AL13" s="2527"/>
      <c r="AM13" s="2527"/>
      <c r="AN13" s="2568"/>
      <c r="AO13" s="2529">
        <v>0</v>
      </c>
      <c r="AP13" s="2527"/>
      <c r="AQ13" s="2527"/>
      <c r="AR13" s="2569"/>
      <c r="AS13" s="2594">
        <f t="shared" si="0"/>
        <v>2</v>
      </c>
      <c r="AT13" s="2570"/>
      <c r="AU13" s="2570"/>
      <c r="AV13" s="2571"/>
      <c r="AW13" s="337"/>
      <c r="AX13" s="337"/>
      <c r="AY13" s="337"/>
      <c r="AZ13" s="337"/>
      <c r="BA13" s="337"/>
      <c r="BB13" s="337"/>
    </row>
    <row r="14" spans="1:54" ht="27.95" customHeight="1">
      <c r="A14" s="337"/>
      <c r="B14" s="564"/>
      <c r="C14" s="537" t="s">
        <v>144</v>
      </c>
      <c r="D14" s="537"/>
      <c r="E14" s="537"/>
      <c r="F14" s="537"/>
      <c r="G14" s="537"/>
      <c r="H14" s="537"/>
      <c r="I14" s="537"/>
      <c r="J14" s="537"/>
      <c r="K14" s="537"/>
      <c r="L14" s="537"/>
      <c r="M14" s="537"/>
      <c r="N14" s="537"/>
      <c r="O14" s="537"/>
      <c r="P14" s="537"/>
      <c r="Q14" s="537"/>
      <c r="R14" s="537"/>
      <c r="S14" s="537"/>
      <c r="T14" s="522"/>
      <c r="U14" s="2526">
        <v>0</v>
      </c>
      <c r="V14" s="2527"/>
      <c r="W14" s="2527"/>
      <c r="X14" s="2568"/>
      <c r="Y14" s="2529">
        <v>2</v>
      </c>
      <c r="Z14" s="2527"/>
      <c r="AA14" s="2527"/>
      <c r="AB14" s="2568"/>
      <c r="AC14" s="2529">
        <v>0</v>
      </c>
      <c r="AD14" s="2527"/>
      <c r="AE14" s="2527"/>
      <c r="AF14" s="2568"/>
      <c r="AG14" s="2529">
        <v>0</v>
      </c>
      <c r="AH14" s="2527"/>
      <c r="AI14" s="2527"/>
      <c r="AJ14" s="2568"/>
      <c r="AK14" s="2529">
        <v>0</v>
      </c>
      <c r="AL14" s="2527"/>
      <c r="AM14" s="2527"/>
      <c r="AN14" s="2568"/>
      <c r="AO14" s="2529">
        <v>0</v>
      </c>
      <c r="AP14" s="2527"/>
      <c r="AQ14" s="2527"/>
      <c r="AR14" s="2569"/>
      <c r="AS14" s="2594">
        <f t="shared" si="0"/>
        <v>2</v>
      </c>
      <c r="AT14" s="2570"/>
      <c r="AU14" s="2570"/>
      <c r="AV14" s="2571"/>
      <c r="AW14" s="337"/>
      <c r="AX14" s="337"/>
      <c r="AY14" s="337"/>
      <c r="AZ14" s="337"/>
      <c r="BA14" s="337"/>
      <c r="BB14" s="337"/>
    </row>
    <row r="15" spans="1:54" ht="27.95" customHeight="1">
      <c r="A15" s="337"/>
      <c r="B15" s="564"/>
      <c r="C15" s="537" t="s">
        <v>145</v>
      </c>
      <c r="D15" s="537"/>
      <c r="E15" s="537"/>
      <c r="F15" s="537"/>
      <c r="G15" s="537"/>
      <c r="H15" s="537"/>
      <c r="I15" s="537"/>
      <c r="J15" s="537"/>
      <c r="K15" s="537"/>
      <c r="L15" s="537"/>
      <c r="M15" s="537"/>
      <c r="N15" s="537"/>
      <c r="O15" s="537"/>
      <c r="P15" s="537"/>
      <c r="Q15" s="537"/>
      <c r="R15" s="537"/>
      <c r="S15" s="537"/>
      <c r="T15" s="522"/>
      <c r="U15" s="2526">
        <v>0</v>
      </c>
      <c r="V15" s="2527"/>
      <c r="W15" s="2527"/>
      <c r="X15" s="2568"/>
      <c r="Y15" s="2529">
        <v>0</v>
      </c>
      <c r="Z15" s="2527"/>
      <c r="AA15" s="2527"/>
      <c r="AB15" s="2568"/>
      <c r="AC15" s="2529">
        <v>0</v>
      </c>
      <c r="AD15" s="2527"/>
      <c r="AE15" s="2527"/>
      <c r="AF15" s="2568"/>
      <c r="AG15" s="2529">
        <v>0</v>
      </c>
      <c r="AH15" s="2527"/>
      <c r="AI15" s="2527"/>
      <c r="AJ15" s="2568"/>
      <c r="AK15" s="2529">
        <v>0</v>
      </c>
      <c r="AL15" s="2527"/>
      <c r="AM15" s="2527"/>
      <c r="AN15" s="2568"/>
      <c r="AO15" s="2529">
        <v>0</v>
      </c>
      <c r="AP15" s="2527"/>
      <c r="AQ15" s="2527"/>
      <c r="AR15" s="2569"/>
      <c r="AS15" s="2594">
        <f t="shared" si="0"/>
        <v>0</v>
      </c>
      <c r="AT15" s="2570"/>
      <c r="AU15" s="2570"/>
      <c r="AV15" s="2571"/>
      <c r="AW15" s="337"/>
      <c r="AX15" s="337"/>
      <c r="AY15" s="337"/>
      <c r="AZ15" s="337"/>
      <c r="BA15" s="337"/>
      <c r="BB15" s="337"/>
    </row>
    <row r="16" spans="1:54" ht="27.95" customHeight="1">
      <c r="A16" s="337"/>
      <c r="B16" s="564"/>
      <c r="C16" s="537" t="s">
        <v>146</v>
      </c>
      <c r="D16" s="537"/>
      <c r="E16" s="537"/>
      <c r="F16" s="537"/>
      <c r="G16" s="537"/>
      <c r="H16" s="537"/>
      <c r="I16" s="537"/>
      <c r="J16" s="537"/>
      <c r="K16" s="537"/>
      <c r="L16" s="537"/>
      <c r="M16" s="537"/>
      <c r="N16" s="537"/>
      <c r="O16" s="537"/>
      <c r="P16" s="537"/>
      <c r="Q16" s="537"/>
      <c r="R16" s="537"/>
      <c r="S16" s="537"/>
      <c r="T16" s="522"/>
      <c r="U16" s="2526">
        <v>0</v>
      </c>
      <c r="V16" s="2527"/>
      <c r="W16" s="2527"/>
      <c r="X16" s="2568"/>
      <c r="Y16" s="2529">
        <v>0</v>
      </c>
      <c r="Z16" s="2527"/>
      <c r="AA16" s="2527"/>
      <c r="AB16" s="2568"/>
      <c r="AC16" s="2529">
        <v>0</v>
      </c>
      <c r="AD16" s="2527"/>
      <c r="AE16" s="2527"/>
      <c r="AF16" s="2568"/>
      <c r="AG16" s="2529">
        <v>0</v>
      </c>
      <c r="AH16" s="2527"/>
      <c r="AI16" s="2527"/>
      <c r="AJ16" s="2568"/>
      <c r="AK16" s="2529">
        <v>0</v>
      </c>
      <c r="AL16" s="2527"/>
      <c r="AM16" s="2527"/>
      <c r="AN16" s="2568"/>
      <c r="AO16" s="2529">
        <v>0</v>
      </c>
      <c r="AP16" s="2527"/>
      <c r="AQ16" s="2527"/>
      <c r="AR16" s="2569"/>
      <c r="AS16" s="2594">
        <f t="shared" si="0"/>
        <v>0</v>
      </c>
      <c r="AT16" s="2570"/>
      <c r="AU16" s="2570"/>
      <c r="AV16" s="2571"/>
      <c r="AW16" s="337"/>
      <c r="AX16" s="337"/>
      <c r="AY16" s="337"/>
      <c r="AZ16" s="337"/>
      <c r="BA16" s="337"/>
      <c r="BB16" s="337"/>
    </row>
    <row r="17" spans="1:54" ht="27.95" customHeight="1">
      <c r="A17" s="337"/>
      <c r="B17" s="564"/>
      <c r="C17" s="537" t="s">
        <v>147</v>
      </c>
      <c r="D17" s="537"/>
      <c r="E17" s="537"/>
      <c r="F17" s="537"/>
      <c r="G17" s="537"/>
      <c r="H17" s="537"/>
      <c r="I17" s="537"/>
      <c r="J17" s="537"/>
      <c r="K17" s="537"/>
      <c r="L17" s="537"/>
      <c r="M17" s="537"/>
      <c r="N17" s="537"/>
      <c r="O17" s="537"/>
      <c r="P17" s="537"/>
      <c r="Q17" s="537"/>
      <c r="R17" s="537"/>
      <c r="S17" s="537"/>
      <c r="T17" s="522"/>
      <c r="U17" s="2526">
        <v>0</v>
      </c>
      <c r="V17" s="2527"/>
      <c r="W17" s="2527"/>
      <c r="X17" s="2568"/>
      <c r="Y17" s="2529">
        <v>0</v>
      </c>
      <c r="Z17" s="2527"/>
      <c r="AA17" s="2527"/>
      <c r="AB17" s="2568"/>
      <c r="AC17" s="2529">
        <v>0</v>
      </c>
      <c r="AD17" s="2527"/>
      <c r="AE17" s="2527"/>
      <c r="AF17" s="2568"/>
      <c r="AG17" s="2529">
        <v>0</v>
      </c>
      <c r="AH17" s="2527"/>
      <c r="AI17" s="2527"/>
      <c r="AJ17" s="2568"/>
      <c r="AK17" s="2529">
        <v>0</v>
      </c>
      <c r="AL17" s="2527"/>
      <c r="AM17" s="2527"/>
      <c r="AN17" s="2568"/>
      <c r="AO17" s="2529">
        <v>0</v>
      </c>
      <c r="AP17" s="2527"/>
      <c r="AQ17" s="2527"/>
      <c r="AR17" s="2569"/>
      <c r="AS17" s="2594">
        <f t="shared" si="0"/>
        <v>0</v>
      </c>
      <c r="AT17" s="2570"/>
      <c r="AU17" s="2570"/>
      <c r="AV17" s="2571"/>
      <c r="AW17" s="337"/>
      <c r="AX17" s="337"/>
      <c r="AY17" s="337"/>
      <c r="AZ17" s="337"/>
      <c r="BA17" s="337"/>
      <c r="BB17" s="337"/>
    </row>
    <row r="18" spans="1:54" ht="27.95" customHeight="1">
      <c r="A18" s="337"/>
      <c r="B18" s="564"/>
      <c r="C18" s="537" t="s">
        <v>148</v>
      </c>
      <c r="D18" s="537"/>
      <c r="E18" s="537"/>
      <c r="F18" s="537"/>
      <c r="G18" s="537"/>
      <c r="H18" s="537"/>
      <c r="I18" s="537"/>
      <c r="J18" s="537"/>
      <c r="K18" s="537"/>
      <c r="L18" s="537"/>
      <c r="M18" s="537"/>
      <c r="N18" s="537"/>
      <c r="O18" s="537"/>
      <c r="P18" s="537"/>
      <c r="Q18" s="537"/>
      <c r="R18" s="537"/>
      <c r="S18" s="537"/>
      <c r="T18" s="522"/>
      <c r="U18" s="2526">
        <v>0</v>
      </c>
      <c r="V18" s="2527"/>
      <c r="W18" s="2527"/>
      <c r="X18" s="2568"/>
      <c r="Y18" s="2529">
        <v>0</v>
      </c>
      <c r="Z18" s="2527"/>
      <c r="AA18" s="2527"/>
      <c r="AB18" s="2568"/>
      <c r="AC18" s="2529">
        <v>0</v>
      </c>
      <c r="AD18" s="2527"/>
      <c r="AE18" s="2527"/>
      <c r="AF18" s="2568"/>
      <c r="AG18" s="2529">
        <v>0</v>
      </c>
      <c r="AH18" s="2527"/>
      <c r="AI18" s="2527"/>
      <c r="AJ18" s="2568"/>
      <c r="AK18" s="2529">
        <v>0</v>
      </c>
      <c r="AL18" s="2527"/>
      <c r="AM18" s="2527"/>
      <c r="AN18" s="2568"/>
      <c r="AO18" s="2529">
        <v>0</v>
      </c>
      <c r="AP18" s="2527"/>
      <c r="AQ18" s="2527"/>
      <c r="AR18" s="2569"/>
      <c r="AS18" s="2594">
        <f t="shared" si="0"/>
        <v>0</v>
      </c>
      <c r="AT18" s="2570"/>
      <c r="AU18" s="2570"/>
      <c r="AV18" s="2571"/>
      <c r="AW18" s="337"/>
      <c r="AX18" s="337"/>
      <c r="AY18" s="337"/>
      <c r="AZ18" s="337"/>
      <c r="BA18" s="337"/>
      <c r="BB18" s="337"/>
    </row>
    <row r="19" spans="1:54" ht="27.95" customHeight="1">
      <c r="A19" s="337"/>
      <c r="B19" s="564"/>
      <c r="C19" s="537" t="s">
        <v>149</v>
      </c>
      <c r="D19" s="537"/>
      <c r="E19" s="537"/>
      <c r="F19" s="537"/>
      <c r="G19" s="537"/>
      <c r="H19" s="537"/>
      <c r="I19" s="537"/>
      <c r="J19" s="537"/>
      <c r="K19" s="537"/>
      <c r="L19" s="537"/>
      <c r="M19" s="537"/>
      <c r="N19" s="537"/>
      <c r="O19" s="537"/>
      <c r="P19" s="537"/>
      <c r="Q19" s="537"/>
      <c r="R19" s="537"/>
      <c r="S19" s="537"/>
      <c r="T19" s="522"/>
      <c r="U19" s="2526">
        <v>0</v>
      </c>
      <c r="V19" s="2527"/>
      <c r="W19" s="2527"/>
      <c r="X19" s="2568"/>
      <c r="Y19" s="2529">
        <v>0</v>
      </c>
      <c r="Z19" s="2527"/>
      <c r="AA19" s="2527"/>
      <c r="AB19" s="2568"/>
      <c r="AC19" s="2529">
        <v>0</v>
      </c>
      <c r="AD19" s="2527"/>
      <c r="AE19" s="2527"/>
      <c r="AF19" s="2568"/>
      <c r="AG19" s="2529">
        <v>0</v>
      </c>
      <c r="AH19" s="2527"/>
      <c r="AI19" s="2527"/>
      <c r="AJ19" s="2568"/>
      <c r="AK19" s="2529">
        <v>0</v>
      </c>
      <c r="AL19" s="2527"/>
      <c r="AM19" s="2527"/>
      <c r="AN19" s="2568"/>
      <c r="AO19" s="2529">
        <v>0</v>
      </c>
      <c r="AP19" s="2527"/>
      <c r="AQ19" s="2527"/>
      <c r="AR19" s="2569"/>
      <c r="AS19" s="2594">
        <f t="shared" si="0"/>
        <v>0</v>
      </c>
      <c r="AT19" s="2570"/>
      <c r="AU19" s="2570"/>
      <c r="AV19" s="2571"/>
      <c r="AW19" s="337"/>
      <c r="AX19" s="337"/>
      <c r="AY19" s="337"/>
      <c r="AZ19" s="337"/>
      <c r="BA19" s="337"/>
      <c r="BB19" s="337"/>
    </row>
    <row r="20" spans="1:54" ht="27.95" customHeight="1">
      <c r="A20" s="337"/>
      <c r="B20" s="564"/>
      <c r="C20" s="537" t="s">
        <v>150</v>
      </c>
      <c r="D20" s="537"/>
      <c r="E20" s="537"/>
      <c r="F20" s="537"/>
      <c r="G20" s="537"/>
      <c r="H20" s="537"/>
      <c r="I20" s="537"/>
      <c r="J20" s="537"/>
      <c r="K20" s="537"/>
      <c r="L20" s="537"/>
      <c r="M20" s="537"/>
      <c r="N20" s="537"/>
      <c r="O20" s="537"/>
      <c r="P20" s="537"/>
      <c r="Q20" s="537"/>
      <c r="R20" s="537"/>
      <c r="S20" s="537"/>
      <c r="T20" s="522"/>
      <c r="U20" s="2526">
        <v>0</v>
      </c>
      <c r="V20" s="2527"/>
      <c r="W20" s="2527"/>
      <c r="X20" s="2568"/>
      <c r="Y20" s="2529">
        <v>1</v>
      </c>
      <c r="Z20" s="2527"/>
      <c r="AA20" s="2527"/>
      <c r="AB20" s="2568"/>
      <c r="AC20" s="2529">
        <v>0</v>
      </c>
      <c r="AD20" s="2527"/>
      <c r="AE20" s="2527"/>
      <c r="AF20" s="2568"/>
      <c r="AG20" s="2529">
        <v>0</v>
      </c>
      <c r="AH20" s="2527"/>
      <c r="AI20" s="2527"/>
      <c r="AJ20" s="2568"/>
      <c r="AK20" s="2529">
        <v>0</v>
      </c>
      <c r="AL20" s="2527"/>
      <c r="AM20" s="2527"/>
      <c r="AN20" s="2568"/>
      <c r="AO20" s="2529">
        <v>0</v>
      </c>
      <c r="AP20" s="2527"/>
      <c r="AQ20" s="2527"/>
      <c r="AR20" s="2569"/>
      <c r="AS20" s="2594">
        <f t="shared" si="0"/>
        <v>1</v>
      </c>
      <c r="AT20" s="2570"/>
      <c r="AU20" s="2570"/>
      <c r="AV20" s="2571"/>
      <c r="AW20" s="337"/>
      <c r="AX20" s="337"/>
      <c r="AY20" s="337"/>
      <c r="AZ20" s="337"/>
      <c r="BA20" s="337"/>
      <c r="BB20" s="337"/>
    </row>
    <row r="21" spans="1:54" ht="27.95" customHeight="1">
      <c r="A21" s="337"/>
      <c r="B21" s="564"/>
      <c r="C21" s="537" t="s">
        <v>151</v>
      </c>
      <c r="D21" s="537"/>
      <c r="E21" s="537"/>
      <c r="F21" s="537"/>
      <c r="G21" s="537"/>
      <c r="H21" s="537"/>
      <c r="I21" s="537"/>
      <c r="J21" s="537"/>
      <c r="K21" s="537"/>
      <c r="L21" s="537"/>
      <c r="M21" s="537"/>
      <c r="N21" s="537"/>
      <c r="O21" s="537"/>
      <c r="P21" s="537"/>
      <c r="Q21" s="537"/>
      <c r="R21" s="537"/>
      <c r="S21" s="537"/>
      <c r="T21" s="522"/>
      <c r="U21" s="2526">
        <v>0</v>
      </c>
      <c r="V21" s="2527"/>
      <c r="W21" s="2527"/>
      <c r="X21" s="2568"/>
      <c r="Y21" s="2529">
        <v>0</v>
      </c>
      <c r="Z21" s="2527"/>
      <c r="AA21" s="2527"/>
      <c r="AB21" s="2568"/>
      <c r="AC21" s="2529">
        <v>0</v>
      </c>
      <c r="AD21" s="2527"/>
      <c r="AE21" s="2527"/>
      <c r="AF21" s="2568"/>
      <c r="AG21" s="2529">
        <v>0</v>
      </c>
      <c r="AH21" s="2527"/>
      <c r="AI21" s="2527"/>
      <c r="AJ21" s="2568"/>
      <c r="AK21" s="2529">
        <v>0</v>
      </c>
      <c r="AL21" s="2527"/>
      <c r="AM21" s="2527"/>
      <c r="AN21" s="2568"/>
      <c r="AO21" s="2529">
        <v>0</v>
      </c>
      <c r="AP21" s="2527"/>
      <c r="AQ21" s="2527"/>
      <c r="AR21" s="2569"/>
      <c r="AS21" s="2594">
        <f t="shared" si="0"/>
        <v>0</v>
      </c>
      <c r="AT21" s="2570"/>
      <c r="AU21" s="2570"/>
      <c r="AV21" s="2571"/>
      <c r="AW21" s="337"/>
      <c r="AX21" s="337"/>
      <c r="AY21" s="337"/>
      <c r="AZ21" s="337"/>
      <c r="BA21" s="337"/>
      <c r="BB21" s="337"/>
    </row>
    <row r="22" spans="1:54" ht="27.95" customHeight="1">
      <c r="A22" s="337"/>
      <c r="B22" s="564"/>
      <c r="C22" s="537" t="s">
        <v>152</v>
      </c>
      <c r="D22" s="537"/>
      <c r="E22" s="537"/>
      <c r="F22" s="537"/>
      <c r="G22" s="537"/>
      <c r="H22" s="537"/>
      <c r="I22" s="537"/>
      <c r="J22" s="537"/>
      <c r="K22" s="537"/>
      <c r="L22" s="537"/>
      <c r="M22" s="537"/>
      <c r="N22" s="537"/>
      <c r="O22" s="537"/>
      <c r="P22" s="537"/>
      <c r="Q22" s="537"/>
      <c r="R22" s="537"/>
      <c r="S22" s="537"/>
      <c r="T22" s="522"/>
      <c r="U22" s="2526">
        <v>0</v>
      </c>
      <c r="V22" s="2527"/>
      <c r="W22" s="2527"/>
      <c r="X22" s="2568"/>
      <c r="Y22" s="2529">
        <v>0</v>
      </c>
      <c r="Z22" s="2527"/>
      <c r="AA22" s="2527"/>
      <c r="AB22" s="2568"/>
      <c r="AC22" s="2529">
        <v>0</v>
      </c>
      <c r="AD22" s="2527"/>
      <c r="AE22" s="2527"/>
      <c r="AF22" s="2568"/>
      <c r="AG22" s="2529">
        <v>0</v>
      </c>
      <c r="AH22" s="2527"/>
      <c r="AI22" s="2527"/>
      <c r="AJ22" s="2568"/>
      <c r="AK22" s="2529">
        <v>0</v>
      </c>
      <c r="AL22" s="2527"/>
      <c r="AM22" s="2527"/>
      <c r="AN22" s="2568"/>
      <c r="AO22" s="2529">
        <v>0</v>
      </c>
      <c r="AP22" s="2527"/>
      <c r="AQ22" s="2527"/>
      <c r="AR22" s="2569"/>
      <c r="AS22" s="2594">
        <f t="shared" si="0"/>
        <v>0</v>
      </c>
      <c r="AT22" s="2570"/>
      <c r="AU22" s="2570"/>
      <c r="AV22" s="2571"/>
      <c r="AW22" s="337"/>
      <c r="AX22" s="337"/>
      <c r="AY22" s="337"/>
      <c r="AZ22" s="337"/>
      <c r="BA22" s="337"/>
      <c r="BB22" s="337"/>
    </row>
    <row r="23" spans="1:54" ht="27.95" customHeight="1">
      <c r="A23" s="337"/>
      <c r="B23" s="564"/>
      <c r="C23" s="537" t="s">
        <v>153</v>
      </c>
      <c r="D23" s="537"/>
      <c r="E23" s="537"/>
      <c r="F23" s="537"/>
      <c r="G23" s="537"/>
      <c r="H23" s="537"/>
      <c r="I23" s="537"/>
      <c r="J23" s="537"/>
      <c r="K23" s="537"/>
      <c r="L23" s="537"/>
      <c r="M23" s="537"/>
      <c r="N23" s="537"/>
      <c r="O23" s="537"/>
      <c r="P23" s="537"/>
      <c r="Q23" s="537"/>
      <c r="R23" s="537"/>
      <c r="S23" s="537"/>
      <c r="T23" s="522"/>
      <c r="U23" s="2526">
        <v>1</v>
      </c>
      <c r="V23" s="2527"/>
      <c r="W23" s="2527"/>
      <c r="X23" s="2568"/>
      <c r="Y23" s="2529">
        <v>2</v>
      </c>
      <c r="Z23" s="2527"/>
      <c r="AA23" s="2527"/>
      <c r="AB23" s="2568"/>
      <c r="AC23" s="2529">
        <v>0</v>
      </c>
      <c r="AD23" s="2527"/>
      <c r="AE23" s="2527"/>
      <c r="AF23" s="2568"/>
      <c r="AG23" s="2529">
        <v>0</v>
      </c>
      <c r="AH23" s="2527"/>
      <c r="AI23" s="2527"/>
      <c r="AJ23" s="2568"/>
      <c r="AK23" s="2529">
        <v>0</v>
      </c>
      <c r="AL23" s="2527"/>
      <c r="AM23" s="2527"/>
      <c r="AN23" s="2568"/>
      <c r="AO23" s="2529">
        <v>0</v>
      </c>
      <c r="AP23" s="2527"/>
      <c r="AQ23" s="2527"/>
      <c r="AR23" s="2569"/>
      <c r="AS23" s="2594">
        <f t="shared" si="0"/>
        <v>3</v>
      </c>
      <c r="AT23" s="2570"/>
      <c r="AU23" s="2570"/>
      <c r="AV23" s="2571"/>
      <c r="AW23" s="337"/>
      <c r="AX23" s="337"/>
      <c r="AY23" s="337"/>
      <c r="AZ23" s="337"/>
      <c r="BA23" s="337"/>
      <c r="BB23" s="337"/>
    </row>
    <row r="24" spans="1:54" ht="53.45" customHeight="1">
      <c r="A24" s="337"/>
      <c r="B24" s="564"/>
      <c r="C24" s="2612" t="s">
        <v>154</v>
      </c>
      <c r="D24" s="2612"/>
      <c r="E24" s="2612"/>
      <c r="F24" s="2612"/>
      <c r="G24" s="2612"/>
      <c r="H24" s="2612"/>
      <c r="I24" s="2612"/>
      <c r="J24" s="2612"/>
      <c r="K24" s="2612"/>
      <c r="L24" s="2612"/>
      <c r="M24" s="2612"/>
      <c r="N24" s="2612"/>
      <c r="O24" s="2612"/>
      <c r="P24" s="2612"/>
      <c r="Q24" s="2612"/>
      <c r="R24" s="2612"/>
      <c r="S24" s="2612"/>
      <c r="T24" s="522"/>
      <c r="U24" s="2526">
        <v>0</v>
      </c>
      <c r="V24" s="2527"/>
      <c r="W24" s="2527"/>
      <c r="X24" s="2568"/>
      <c r="Y24" s="2529">
        <v>0</v>
      </c>
      <c r="Z24" s="2527"/>
      <c r="AA24" s="2527"/>
      <c r="AB24" s="2568"/>
      <c r="AC24" s="2529">
        <v>0</v>
      </c>
      <c r="AD24" s="2527"/>
      <c r="AE24" s="2527"/>
      <c r="AF24" s="2568"/>
      <c r="AG24" s="2529">
        <v>0</v>
      </c>
      <c r="AH24" s="2527"/>
      <c r="AI24" s="2527"/>
      <c r="AJ24" s="2568"/>
      <c r="AK24" s="2529">
        <v>0</v>
      </c>
      <c r="AL24" s="2527"/>
      <c r="AM24" s="2527"/>
      <c r="AN24" s="2568"/>
      <c r="AO24" s="2529">
        <v>0</v>
      </c>
      <c r="AP24" s="2527"/>
      <c r="AQ24" s="2527"/>
      <c r="AR24" s="2569"/>
      <c r="AS24" s="2594">
        <f t="shared" si="0"/>
        <v>0</v>
      </c>
      <c r="AT24" s="2570"/>
      <c r="AU24" s="2570"/>
      <c r="AV24" s="2571"/>
      <c r="AW24" s="337"/>
      <c r="AX24" s="337"/>
      <c r="AY24" s="337"/>
      <c r="AZ24" s="337"/>
      <c r="BA24" s="337"/>
      <c r="BB24" s="337"/>
    </row>
    <row r="25" spans="1:54" ht="27.95" customHeight="1">
      <c r="A25" s="337"/>
      <c r="B25" s="564"/>
      <c r="C25" s="537" t="s">
        <v>155</v>
      </c>
      <c r="D25" s="537"/>
      <c r="E25" s="537"/>
      <c r="F25" s="537"/>
      <c r="G25" s="537"/>
      <c r="H25" s="537"/>
      <c r="I25" s="537"/>
      <c r="J25" s="537"/>
      <c r="K25" s="537"/>
      <c r="L25" s="537"/>
      <c r="M25" s="537"/>
      <c r="N25" s="537"/>
      <c r="O25" s="537"/>
      <c r="P25" s="537"/>
      <c r="Q25" s="537"/>
      <c r="R25" s="537"/>
      <c r="S25" s="537"/>
      <c r="T25" s="522"/>
      <c r="U25" s="2526">
        <v>1</v>
      </c>
      <c r="V25" s="2527"/>
      <c r="W25" s="2527"/>
      <c r="X25" s="2568"/>
      <c r="Y25" s="2529">
        <v>2</v>
      </c>
      <c r="Z25" s="2527"/>
      <c r="AA25" s="2527"/>
      <c r="AB25" s="2568"/>
      <c r="AC25" s="2529">
        <v>0</v>
      </c>
      <c r="AD25" s="2527"/>
      <c r="AE25" s="2527"/>
      <c r="AF25" s="2568"/>
      <c r="AG25" s="2529">
        <v>0</v>
      </c>
      <c r="AH25" s="2527"/>
      <c r="AI25" s="2527"/>
      <c r="AJ25" s="2568"/>
      <c r="AK25" s="2529">
        <v>0</v>
      </c>
      <c r="AL25" s="2527"/>
      <c r="AM25" s="2527"/>
      <c r="AN25" s="2568"/>
      <c r="AO25" s="2529">
        <v>1</v>
      </c>
      <c r="AP25" s="2527"/>
      <c r="AQ25" s="2527"/>
      <c r="AR25" s="2569"/>
      <c r="AS25" s="2594">
        <f t="shared" si="0"/>
        <v>4</v>
      </c>
      <c r="AT25" s="2570"/>
      <c r="AU25" s="2570"/>
      <c r="AV25" s="2571"/>
      <c r="AW25" s="337"/>
      <c r="AX25" s="337"/>
      <c r="AY25" s="337"/>
      <c r="AZ25" s="337"/>
      <c r="BA25" s="337"/>
      <c r="BB25" s="337"/>
    </row>
    <row r="26" spans="1:54" ht="27.95" customHeight="1">
      <c r="A26" s="337"/>
      <c r="B26" s="564"/>
      <c r="C26" s="537" t="s">
        <v>156</v>
      </c>
      <c r="D26" s="537"/>
      <c r="E26" s="537"/>
      <c r="F26" s="537"/>
      <c r="G26" s="537"/>
      <c r="H26" s="537"/>
      <c r="I26" s="537"/>
      <c r="J26" s="537"/>
      <c r="K26" s="537"/>
      <c r="L26" s="537"/>
      <c r="M26" s="537"/>
      <c r="N26" s="537"/>
      <c r="O26" s="537"/>
      <c r="P26" s="537"/>
      <c r="Q26" s="537"/>
      <c r="R26" s="537"/>
      <c r="S26" s="537"/>
      <c r="T26" s="522"/>
      <c r="U26" s="2526">
        <v>0</v>
      </c>
      <c r="V26" s="2527"/>
      <c r="W26" s="2527"/>
      <c r="X26" s="2568"/>
      <c r="Y26" s="2529">
        <v>0</v>
      </c>
      <c r="Z26" s="2527"/>
      <c r="AA26" s="2527"/>
      <c r="AB26" s="2568"/>
      <c r="AC26" s="2529">
        <v>0</v>
      </c>
      <c r="AD26" s="2527"/>
      <c r="AE26" s="2527"/>
      <c r="AF26" s="2568"/>
      <c r="AG26" s="2529">
        <v>0</v>
      </c>
      <c r="AH26" s="2527"/>
      <c r="AI26" s="2527"/>
      <c r="AJ26" s="2568"/>
      <c r="AK26" s="2529">
        <v>0</v>
      </c>
      <c r="AL26" s="2527"/>
      <c r="AM26" s="2527"/>
      <c r="AN26" s="2568"/>
      <c r="AO26" s="2529">
        <v>0</v>
      </c>
      <c r="AP26" s="2527"/>
      <c r="AQ26" s="2527"/>
      <c r="AR26" s="2569"/>
      <c r="AS26" s="2594">
        <f t="shared" si="0"/>
        <v>0</v>
      </c>
      <c r="AT26" s="2570"/>
      <c r="AU26" s="2570"/>
      <c r="AV26" s="2571"/>
      <c r="AW26" s="337"/>
      <c r="AX26" s="337"/>
      <c r="AY26" s="337"/>
      <c r="AZ26" s="337"/>
      <c r="BA26" s="337"/>
      <c r="BB26" s="337"/>
    </row>
    <row r="27" spans="1:54" ht="27.95" customHeight="1">
      <c r="A27" s="337"/>
      <c r="B27" s="564"/>
      <c r="C27" s="537" t="s">
        <v>157</v>
      </c>
      <c r="D27" s="537"/>
      <c r="E27" s="537"/>
      <c r="F27" s="537"/>
      <c r="G27" s="537"/>
      <c r="H27" s="537"/>
      <c r="I27" s="537"/>
      <c r="J27" s="537"/>
      <c r="K27" s="537"/>
      <c r="L27" s="537"/>
      <c r="M27" s="537"/>
      <c r="N27" s="537"/>
      <c r="O27" s="537"/>
      <c r="P27" s="537"/>
      <c r="Q27" s="537"/>
      <c r="R27" s="537"/>
      <c r="S27" s="537"/>
      <c r="T27" s="522"/>
      <c r="U27" s="2526">
        <v>0</v>
      </c>
      <c r="V27" s="2527"/>
      <c r="W27" s="2527"/>
      <c r="X27" s="2568"/>
      <c r="Y27" s="2529">
        <v>0</v>
      </c>
      <c r="Z27" s="2527"/>
      <c r="AA27" s="2527"/>
      <c r="AB27" s="2568"/>
      <c r="AC27" s="2529">
        <v>0</v>
      </c>
      <c r="AD27" s="2527"/>
      <c r="AE27" s="2527"/>
      <c r="AF27" s="2568"/>
      <c r="AG27" s="2529">
        <v>0</v>
      </c>
      <c r="AH27" s="2527"/>
      <c r="AI27" s="2527"/>
      <c r="AJ27" s="2568"/>
      <c r="AK27" s="2529">
        <v>0</v>
      </c>
      <c r="AL27" s="2527"/>
      <c r="AM27" s="2527"/>
      <c r="AN27" s="2568"/>
      <c r="AO27" s="2529">
        <v>0</v>
      </c>
      <c r="AP27" s="2527"/>
      <c r="AQ27" s="2527"/>
      <c r="AR27" s="2569"/>
      <c r="AS27" s="2594">
        <f t="shared" si="0"/>
        <v>0</v>
      </c>
      <c r="AT27" s="2570"/>
      <c r="AU27" s="2570"/>
      <c r="AV27" s="2571"/>
      <c r="AW27" s="337"/>
      <c r="AX27" s="337"/>
      <c r="AY27" s="337"/>
      <c r="AZ27" s="337"/>
      <c r="BA27" s="337"/>
      <c r="BB27" s="337"/>
    </row>
    <row r="28" spans="1:54" ht="27.95" customHeight="1">
      <c r="A28" s="337"/>
      <c r="B28" s="570" t="s">
        <v>69</v>
      </c>
      <c r="C28" s="575"/>
      <c r="D28" s="575"/>
      <c r="E28" s="575"/>
      <c r="F28" s="575"/>
      <c r="G28" s="575"/>
      <c r="H28" s="575"/>
      <c r="I28" s="575"/>
      <c r="J28" s="575"/>
      <c r="K28" s="575"/>
      <c r="L28" s="575"/>
      <c r="M28" s="575"/>
      <c r="N28" s="575"/>
      <c r="O28" s="575"/>
      <c r="P28" s="575"/>
      <c r="Q28" s="575"/>
      <c r="R28" s="575"/>
      <c r="S28" s="575"/>
      <c r="T28" s="576"/>
      <c r="U28" s="2586"/>
      <c r="V28" s="2587"/>
      <c r="W28" s="2587"/>
      <c r="X28" s="2587"/>
      <c r="Y28" s="2587"/>
      <c r="Z28" s="2587"/>
      <c r="AA28" s="2587"/>
      <c r="AB28" s="2587"/>
      <c r="AC28" s="2587"/>
      <c r="AD28" s="2587"/>
      <c r="AE28" s="2587"/>
      <c r="AF28" s="2587"/>
      <c r="AG28" s="2587"/>
      <c r="AH28" s="2587"/>
      <c r="AI28" s="2587"/>
      <c r="AJ28" s="2587"/>
      <c r="AK28" s="2587"/>
      <c r="AL28" s="2587"/>
      <c r="AM28" s="2587"/>
      <c r="AN28" s="2587"/>
      <c r="AO28" s="2587"/>
      <c r="AP28" s="2587"/>
      <c r="AQ28" s="2587"/>
      <c r="AR28" s="2587"/>
      <c r="AS28" s="2587"/>
      <c r="AT28" s="2587"/>
      <c r="AU28" s="2587"/>
      <c r="AV28" s="2588"/>
      <c r="AW28" s="337"/>
      <c r="AX28" s="337"/>
      <c r="AY28" s="337"/>
      <c r="AZ28" s="337"/>
      <c r="BA28" s="337"/>
      <c r="BB28" s="337"/>
    </row>
    <row r="29" spans="1:54" ht="27.95" customHeight="1">
      <c r="A29" s="337"/>
      <c r="B29" s="564"/>
      <c r="C29" s="537" t="s">
        <v>158</v>
      </c>
      <c r="D29" s="537"/>
      <c r="E29" s="537"/>
      <c r="F29" s="537"/>
      <c r="G29" s="537"/>
      <c r="H29" s="537"/>
      <c r="I29" s="537"/>
      <c r="J29" s="537"/>
      <c r="K29" s="537"/>
      <c r="L29" s="537"/>
      <c r="M29" s="537"/>
      <c r="N29" s="537"/>
      <c r="O29" s="537"/>
      <c r="P29" s="537"/>
      <c r="Q29" s="537"/>
      <c r="R29" s="537"/>
      <c r="S29" s="537"/>
      <c r="T29" s="522"/>
      <c r="U29" s="2526">
        <v>0</v>
      </c>
      <c r="V29" s="2527"/>
      <c r="W29" s="2527"/>
      <c r="X29" s="2568"/>
      <c r="Y29" s="2529">
        <v>0</v>
      </c>
      <c r="Z29" s="2527"/>
      <c r="AA29" s="2527"/>
      <c r="AB29" s="2568"/>
      <c r="AC29" s="2529">
        <v>0</v>
      </c>
      <c r="AD29" s="2527"/>
      <c r="AE29" s="2527"/>
      <c r="AF29" s="2568"/>
      <c r="AG29" s="2529">
        <v>0</v>
      </c>
      <c r="AH29" s="2527"/>
      <c r="AI29" s="2527"/>
      <c r="AJ29" s="2568"/>
      <c r="AK29" s="2529">
        <v>0</v>
      </c>
      <c r="AL29" s="2527"/>
      <c r="AM29" s="2527"/>
      <c r="AN29" s="2568"/>
      <c r="AO29" s="2529">
        <v>0</v>
      </c>
      <c r="AP29" s="2527"/>
      <c r="AQ29" s="2527"/>
      <c r="AR29" s="2569"/>
      <c r="AS29" s="2594">
        <f t="shared" ref="AS29:AS38" si="1">SUM(U29:AR29)</f>
        <v>0</v>
      </c>
      <c r="AT29" s="2570"/>
      <c r="AU29" s="2570"/>
      <c r="AV29" s="2571"/>
      <c r="AW29" s="337"/>
      <c r="AX29" s="337"/>
      <c r="AY29" s="337"/>
      <c r="AZ29" s="337"/>
      <c r="BA29" s="337"/>
      <c r="BB29" s="337"/>
    </row>
    <row r="30" spans="1:54" ht="27.95" customHeight="1">
      <c r="A30" s="337"/>
      <c r="B30" s="564"/>
      <c r="C30" s="537" t="s">
        <v>159</v>
      </c>
      <c r="D30" s="537"/>
      <c r="E30" s="537"/>
      <c r="F30" s="537"/>
      <c r="G30" s="537"/>
      <c r="H30" s="537"/>
      <c r="I30" s="537"/>
      <c r="J30" s="537"/>
      <c r="K30" s="537"/>
      <c r="L30" s="537"/>
      <c r="M30" s="537"/>
      <c r="N30" s="537"/>
      <c r="O30" s="537"/>
      <c r="P30" s="537"/>
      <c r="Q30" s="537"/>
      <c r="R30" s="537"/>
      <c r="S30" s="537"/>
      <c r="T30" s="522"/>
      <c r="U30" s="2526">
        <v>0</v>
      </c>
      <c r="V30" s="2527"/>
      <c r="W30" s="2527"/>
      <c r="X30" s="2568"/>
      <c r="Y30" s="2529">
        <v>0</v>
      </c>
      <c r="Z30" s="2527"/>
      <c r="AA30" s="2527"/>
      <c r="AB30" s="2568"/>
      <c r="AC30" s="2529">
        <v>0</v>
      </c>
      <c r="AD30" s="2527"/>
      <c r="AE30" s="2527"/>
      <c r="AF30" s="2568"/>
      <c r="AG30" s="2529">
        <v>0</v>
      </c>
      <c r="AH30" s="2527"/>
      <c r="AI30" s="2527"/>
      <c r="AJ30" s="2568"/>
      <c r="AK30" s="2529">
        <v>0</v>
      </c>
      <c r="AL30" s="2527"/>
      <c r="AM30" s="2527"/>
      <c r="AN30" s="2568"/>
      <c r="AO30" s="2529">
        <v>0</v>
      </c>
      <c r="AP30" s="2527"/>
      <c r="AQ30" s="2527"/>
      <c r="AR30" s="2569"/>
      <c r="AS30" s="2594">
        <f t="shared" si="1"/>
        <v>0</v>
      </c>
      <c r="AT30" s="2570"/>
      <c r="AU30" s="2570"/>
      <c r="AV30" s="2571"/>
      <c r="AW30" s="337"/>
      <c r="AX30" s="337"/>
      <c r="AY30" s="337"/>
      <c r="AZ30" s="337"/>
      <c r="BA30" s="337"/>
      <c r="BB30" s="337"/>
    </row>
    <row r="31" spans="1:54" ht="27.95" customHeight="1">
      <c r="A31" s="337"/>
      <c r="B31" s="564"/>
      <c r="C31" s="537" t="s">
        <v>160</v>
      </c>
      <c r="D31" s="537"/>
      <c r="E31" s="537"/>
      <c r="F31" s="537"/>
      <c r="G31" s="537"/>
      <c r="H31" s="537"/>
      <c r="I31" s="537"/>
      <c r="J31" s="537"/>
      <c r="K31" s="537"/>
      <c r="L31" s="537"/>
      <c r="M31" s="537"/>
      <c r="N31" s="537"/>
      <c r="O31" s="537"/>
      <c r="P31" s="537"/>
      <c r="Q31" s="537"/>
      <c r="R31" s="537"/>
      <c r="S31" s="537"/>
      <c r="T31" s="522"/>
      <c r="U31" s="2526">
        <v>0</v>
      </c>
      <c r="V31" s="2527"/>
      <c r="W31" s="2527"/>
      <c r="X31" s="2568"/>
      <c r="Y31" s="2529">
        <v>2</v>
      </c>
      <c r="Z31" s="2527"/>
      <c r="AA31" s="2527"/>
      <c r="AB31" s="2568"/>
      <c r="AC31" s="2529">
        <v>0</v>
      </c>
      <c r="AD31" s="2527"/>
      <c r="AE31" s="2527"/>
      <c r="AF31" s="2568"/>
      <c r="AG31" s="2529">
        <v>0</v>
      </c>
      <c r="AH31" s="2527"/>
      <c r="AI31" s="2527"/>
      <c r="AJ31" s="2568"/>
      <c r="AK31" s="2529">
        <v>0</v>
      </c>
      <c r="AL31" s="2527"/>
      <c r="AM31" s="2527"/>
      <c r="AN31" s="2568"/>
      <c r="AO31" s="2529">
        <v>0</v>
      </c>
      <c r="AP31" s="2527"/>
      <c r="AQ31" s="2527"/>
      <c r="AR31" s="2569"/>
      <c r="AS31" s="2594">
        <f t="shared" si="1"/>
        <v>2</v>
      </c>
      <c r="AT31" s="2570"/>
      <c r="AU31" s="2570"/>
      <c r="AV31" s="2571"/>
      <c r="AW31" s="337"/>
      <c r="AX31" s="337"/>
      <c r="AY31" s="337"/>
      <c r="AZ31" s="337"/>
      <c r="BA31" s="337"/>
      <c r="BB31" s="337"/>
    </row>
    <row r="32" spans="1:54" ht="27.95" customHeight="1">
      <c r="A32" s="337"/>
      <c r="B32" s="566"/>
      <c r="C32" s="537" t="s">
        <v>161</v>
      </c>
      <c r="D32" s="567"/>
      <c r="E32" s="567"/>
      <c r="F32" s="567"/>
      <c r="G32" s="567"/>
      <c r="H32" s="567"/>
      <c r="I32" s="567"/>
      <c r="J32" s="567"/>
      <c r="K32" s="567"/>
      <c r="L32" s="567"/>
      <c r="M32" s="567"/>
      <c r="N32" s="567"/>
      <c r="O32" s="567"/>
      <c r="P32" s="567"/>
      <c r="Q32" s="567"/>
      <c r="R32" s="567"/>
      <c r="S32" s="567"/>
      <c r="T32" s="569"/>
      <c r="U32" s="2526">
        <v>0</v>
      </c>
      <c r="V32" s="2527"/>
      <c r="W32" s="2527"/>
      <c r="X32" s="2568"/>
      <c r="Y32" s="2529">
        <v>0</v>
      </c>
      <c r="Z32" s="2527"/>
      <c r="AA32" s="2527"/>
      <c r="AB32" s="2568"/>
      <c r="AC32" s="2529">
        <v>0</v>
      </c>
      <c r="AD32" s="2527"/>
      <c r="AE32" s="2527"/>
      <c r="AF32" s="2568"/>
      <c r="AG32" s="2529">
        <v>0</v>
      </c>
      <c r="AH32" s="2527"/>
      <c r="AI32" s="2527"/>
      <c r="AJ32" s="2568"/>
      <c r="AK32" s="2529">
        <v>0</v>
      </c>
      <c r="AL32" s="2527"/>
      <c r="AM32" s="2527"/>
      <c r="AN32" s="2568"/>
      <c r="AO32" s="2529">
        <v>0</v>
      </c>
      <c r="AP32" s="2527"/>
      <c r="AQ32" s="2527"/>
      <c r="AR32" s="2569"/>
      <c r="AS32" s="2594">
        <f t="shared" si="1"/>
        <v>0</v>
      </c>
      <c r="AT32" s="2570"/>
      <c r="AU32" s="2570"/>
      <c r="AV32" s="2571"/>
      <c r="AW32" s="337"/>
      <c r="AX32" s="337"/>
      <c r="AY32" s="337"/>
      <c r="AZ32" s="337"/>
      <c r="BA32" s="337"/>
      <c r="BB32" s="337"/>
    </row>
    <row r="33" spans="1:54" ht="27.95" customHeight="1">
      <c r="A33" s="337"/>
      <c r="B33" s="566"/>
      <c r="C33" s="537" t="s">
        <v>162</v>
      </c>
      <c r="D33" s="567"/>
      <c r="E33" s="567"/>
      <c r="F33" s="567"/>
      <c r="G33" s="567"/>
      <c r="H33" s="567"/>
      <c r="I33" s="567"/>
      <c r="J33" s="567"/>
      <c r="K33" s="567"/>
      <c r="L33" s="567"/>
      <c r="M33" s="567"/>
      <c r="N33" s="567"/>
      <c r="O33" s="567"/>
      <c r="P33" s="567"/>
      <c r="Q33" s="567"/>
      <c r="R33" s="567"/>
      <c r="S33" s="567"/>
      <c r="T33" s="569"/>
      <c r="U33" s="2526">
        <v>0</v>
      </c>
      <c r="V33" s="2527"/>
      <c r="W33" s="2527"/>
      <c r="X33" s="2568"/>
      <c r="Y33" s="2529">
        <v>0</v>
      </c>
      <c r="Z33" s="2527"/>
      <c r="AA33" s="2527"/>
      <c r="AB33" s="2568"/>
      <c r="AC33" s="2529">
        <v>0</v>
      </c>
      <c r="AD33" s="2527"/>
      <c r="AE33" s="2527"/>
      <c r="AF33" s="2568"/>
      <c r="AG33" s="2529">
        <v>0</v>
      </c>
      <c r="AH33" s="2527"/>
      <c r="AI33" s="2527"/>
      <c r="AJ33" s="2568"/>
      <c r="AK33" s="2529">
        <v>0</v>
      </c>
      <c r="AL33" s="2527"/>
      <c r="AM33" s="2527"/>
      <c r="AN33" s="2568"/>
      <c r="AO33" s="2529">
        <v>0</v>
      </c>
      <c r="AP33" s="2527"/>
      <c r="AQ33" s="2527"/>
      <c r="AR33" s="2569"/>
      <c r="AS33" s="2594">
        <f t="shared" si="1"/>
        <v>0</v>
      </c>
      <c r="AT33" s="2570"/>
      <c r="AU33" s="2570"/>
      <c r="AV33" s="2571"/>
      <c r="AW33" s="337"/>
      <c r="AX33" s="337"/>
      <c r="AY33" s="337"/>
      <c r="AZ33" s="337"/>
      <c r="BA33" s="337"/>
      <c r="BB33" s="337"/>
    </row>
    <row r="34" spans="1:54" ht="27.95" customHeight="1">
      <c r="A34" s="337"/>
      <c r="B34" s="566"/>
      <c r="C34" s="537" t="s">
        <v>163</v>
      </c>
      <c r="D34" s="567"/>
      <c r="E34" s="567"/>
      <c r="F34" s="567"/>
      <c r="G34" s="567"/>
      <c r="H34" s="567"/>
      <c r="I34" s="567"/>
      <c r="J34" s="567"/>
      <c r="K34" s="567"/>
      <c r="L34" s="567"/>
      <c r="M34" s="567"/>
      <c r="N34" s="567"/>
      <c r="O34" s="567"/>
      <c r="P34" s="567"/>
      <c r="Q34" s="567"/>
      <c r="R34" s="567"/>
      <c r="S34" s="567"/>
      <c r="T34" s="569"/>
      <c r="U34" s="2526">
        <v>0</v>
      </c>
      <c r="V34" s="2527"/>
      <c r="W34" s="2527"/>
      <c r="X34" s="2568"/>
      <c r="Y34" s="2529">
        <v>0</v>
      </c>
      <c r="Z34" s="2527"/>
      <c r="AA34" s="2527"/>
      <c r="AB34" s="2568"/>
      <c r="AC34" s="2529">
        <v>0</v>
      </c>
      <c r="AD34" s="2527"/>
      <c r="AE34" s="2527"/>
      <c r="AF34" s="2568"/>
      <c r="AG34" s="2529">
        <v>0</v>
      </c>
      <c r="AH34" s="2527"/>
      <c r="AI34" s="2527"/>
      <c r="AJ34" s="2568"/>
      <c r="AK34" s="2529">
        <v>0</v>
      </c>
      <c r="AL34" s="2527"/>
      <c r="AM34" s="2527"/>
      <c r="AN34" s="2568"/>
      <c r="AO34" s="2529">
        <v>0</v>
      </c>
      <c r="AP34" s="2527"/>
      <c r="AQ34" s="2527"/>
      <c r="AR34" s="2569"/>
      <c r="AS34" s="2594">
        <f t="shared" si="1"/>
        <v>0</v>
      </c>
      <c r="AT34" s="2570"/>
      <c r="AU34" s="2570"/>
      <c r="AV34" s="2571"/>
      <c r="AW34" s="337"/>
      <c r="AX34" s="337"/>
      <c r="AY34" s="337"/>
      <c r="AZ34" s="337"/>
      <c r="BA34" s="337"/>
      <c r="BB34" s="337"/>
    </row>
    <row r="35" spans="1:54" ht="27.95" customHeight="1">
      <c r="A35" s="337"/>
      <c r="B35" s="566"/>
      <c r="C35" s="537" t="s">
        <v>164</v>
      </c>
      <c r="D35" s="567"/>
      <c r="E35" s="567"/>
      <c r="F35" s="567"/>
      <c r="G35" s="567"/>
      <c r="H35" s="567"/>
      <c r="I35" s="567"/>
      <c r="J35" s="567"/>
      <c r="K35" s="567"/>
      <c r="L35" s="567"/>
      <c r="M35" s="567"/>
      <c r="N35" s="567"/>
      <c r="O35" s="567"/>
      <c r="P35" s="567"/>
      <c r="Q35" s="567"/>
      <c r="R35" s="567"/>
      <c r="S35" s="567"/>
      <c r="T35" s="569"/>
      <c r="U35" s="2526">
        <v>0</v>
      </c>
      <c r="V35" s="2527"/>
      <c r="W35" s="2527"/>
      <c r="X35" s="2568"/>
      <c r="Y35" s="2529">
        <v>0</v>
      </c>
      <c r="Z35" s="2527"/>
      <c r="AA35" s="2527"/>
      <c r="AB35" s="2568"/>
      <c r="AC35" s="2529">
        <v>0</v>
      </c>
      <c r="AD35" s="2527"/>
      <c r="AE35" s="2527"/>
      <c r="AF35" s="2568"/>
      <c r="AG35" s="2529">
        <v>0</v>
      </c>
      <c r="AH35" s="2527"/>
      <c r="AI35" s="2527"/>
      <c r="AJ35" s="2568"/>
      <c r="AK35" s="2529">
        <v>0</v>
      </c>
      <c r="AL35" s="2527"/>
      <c r="AM35" s="2527"/>
      <c r="AN35" s="2568"/>
      <c r="AO35" s="2529">
        <v>0</v>
      </c>
      <c r="AP35" s="2527"/>
      <c r="AQ35" s="2527"/>
      <c r="AR35" s="2569"/>
      <c r="AS35" s="2594">
        <f t="shared" si="1"/>
        <v>0</v>
      </c>
      <c r="AT35" s="2570"/>
      <c r="AU35" s="2570"/>
      <c r="AV35" s="2571"/>
      <c r="AW35" s="337"/>
      <c r="AX35" s="337"/>
      <c r="AY35" s="337"/>
      <c r="AZ35" s="337"/>
      <c r="BA35" s="337"/>
      <c r="BB35" s="337"/>
    </row>
    <row r="36" spans="1:54" ht="27.95" customHeight="1">
      <c r="A36" s="337"/>
      <c r="B36" s="566"/>
      <c r="C36" s="537" t="s">
        <v>165</v>
      </c>
      <c r="D36" s="567"/>
      <c r="E36" s="567"/>
      <c r="F36" s="567"/>
      <c r="G36" s="567"/>
      <c r="H36" s="567"/>
      <c r="I36" s="567"/>
      <c r="J36" s="567"/>
      <c r="K36" s="567"/>
      <c r="L36" s="567"/>
      <c r="M36" s="567"/>
      <c r="N36" s="567"/>
      <c r="O36" s="567"/>
      <c r="P36" s="567"/>
      <c r="Q36" s="567"/>
      <c r="R36" s="567"/>
      <c r="S36" s="567"/>
      <c r="T36" s="569"/>
      <c r="U36" s="2526">
        <v>0</v>
      </c>
      <c r="V36" s="2527"/>
      <c r="W36" s="2527"/>
      <c r="X36" s="2568"/>
      <c r="Y36" s="2529">
        <v>0</v>
      </c>
      <c r="Z36" s="2527"/>
      <c r="AA36" s="2527"/>
      <c r="AB36" s="2568"/>
      <c r="AC36" s="2529">
        <v>0</v>
      </c>
      <c r="AD36" s="2527"/>
      <c r="AE36" s="2527"/>
      <c r="AF36" s="2568"/>
      <c r="AG36" s="2529">
        <v>0</v>
      </c>
      <c r="AH36" s="2527"/>
      <c r="AI36" s="2527"/>
      <c r="AJ36" s="2568"/>
      <c r="AK36" s="2529">
        <v>0</v>
      </c>
      <c r="AL36" s="2527"/>
      <c r="AM36" s="2527"/>
      <c r="AN36" s="2568"/>
      <c r="AO36" s="2529">
        <v>0</v>
      </c>
      <c r="AP36" s="2527"/>
      <c r="AQ36" s="2527"/>
      <c r="AR36" s="2569"/>
      <c r="AS36" s="2594">
        <f t="shared" si="1"/>
        <v>0</v>
      </c>
      <c r="AT36" s="2570"/>
      <c r="AU36" s="2570"/>
      <c r="AV36" s="2571"/>
      <c r="AW36" s="337"/>
      <c r="AX36" s="337"/>
      <c r="AY36" s="337"/>
      <c r="AZ36" s="337"/>
      <c r="BA36" s="337"/>
      <c r="BB36" s="337"/>
    </row>
    <row r="37" spans="1:54" ht="33.6" customHeight="1">
      <c r="A37" s="337"/>
      <c r="B37" s="566"/>
      <c r="C37" s="2612" t="s">
        <v>166</v>
      </c>
      <c r="D37" s="2612"/>
      <c r="E37" s="2612"/>
      <c r="F37" s="2612"/>
      <c r="G37" s="2612"/>
      <c r="H37" s="2612"/>
      <c r="I37" s="2612"/>
      <c r="J37" s="2612"/>
      <c r="K37" s="2612"/>
      <c r="L37" s="2612"/>
      <c r="M37" s="2612"/>
      <c r="N37" s="2612"/>
      <c r="O37" s="2612"/>
      <c r="P37" s="2612"/>
      <c r="Q37" s="2612"/>
      <c r="R37" s="2612"/>
      <c r="S37" s="2612"/>
      <c r="T37" s="522"/>
      <c r="U37" s="2526">
        <v>0</v>
      </c>
      <c r="V37" s="2527"/>
      <c r="W37" s="2527"/>
      <c r="X37" s="2568"/>
      <c r="Y37" s="2529">
        <v>0</v>
      </c>
      <c r="Z37" s="2527"/>
      <c r="AA37" s="2527"/>
      <c r="AB37" s="2568"/>
      <c r="AC37" s="2529">
        <v>0</v>
      </c>
      <c r="AD37" s="2527"/>
      <c r="AE37" s="2527"/>
      <c r="AF37" s="2568"/>
      <c r="AG37" s="2529">
        <v>0</v>
      </c>
      <c r="AH37" s="2527"/>
      <c r="AI37" s="2527"/>
      <c r="AJ37" s="2568"/>
      <c r="AK37" s="2529">
        <v>0</v>
      </c>
      <c r="AL37" s="2527"/>
      <c r="AM37" s="2527"/>
      <c r="AN37" s="2568"/>
      <c r="AO37" s="2529">
        <v>0</v>
      </c>
      <c r="AP37" s="2527"/>
      <c r="AQ37" s="2527"/>
      <c r="AR37" s="2569"/>
      <c r="AS37" s="2594">
        <f t="shared" si="1"/>
        <v>0</v>
      </c>
      <c r="AT37" s="2570"/>
      <c r="AU37" s="2570"/>
      <c r="AV37" s="2571"/>
      <c r="AW37" s="337"/>
      <c r="AX37" s="337"/>
      <c r="AY37" s="337"/>
      <c r="AZ37" s="337"/>
      <c r="BA37" s="337"/>
      <c r="BB37" s="337"/>
    </row>
    <row r="38" spans="1:54" ht="27.95" customHeight="1">
      <c r="A38" s="337"/>
      <c r="B38" s="577"/>
      <c r="C38" s="567" t="s">
        <v>167</v>
      </c>
      <c r="D38" s="567"/>
      <c r="E38" s="567"/>
      <c r="F38" s="567"/>
      <c r="G38" s="567"/>
      <c r="H38" s="567"/>
      <c r="I38" s="567"/>
      <c r="J38" s="567"/>
      <c r="K38" s="567"/>
      <c r="L38" s="567"/>
      <c r="M38" s="567"/>
      <c r="N38" s="567"/>
      <c r="O38" s="567"/>
      <c r="P38" s="567"/>
      <c r="Q38" s="567"/>
      <c r="R38" s="567"/>
      <c r="S38" s="567"/>
      <c r="T38" s="569"/>
      <c r="U38" s="2526">
        <v>0</v>
      </c>
      <c r="V38" s="2527"/>
      <c r="W38" s="2527"/>
      <c r="X38" s="2568"/>
      <c r="Y38" s="2529">
        <v>0</v>
      </c>
      <c r="Z38" s="2527"/>
      <c r="AA38" s="2527"/>
      <c r="AB38" s="2568"/>
      <c r="AC38" s="2529">
        <v>0</v>
      </c>
      <c r="AD38" s="2527"/>
      <c r="AE38" s="2527"/>
      <c r="AF38" s="2568"/>
      <c r="AG38" s="2529">
        <v>0</v>
      </c>
      <c r="AH38" s="2527"/>
      <c r="AI38" s="2527"/>
      <c r="AJ38" s="2568"/>
      <c r="AK38" s="2529">
        <v>0</v>
      </c>
      <c r="AL38" s="2527"/>
      <c r="AM38" s="2527"/>
      <c r="AN38" s="2568"/>
      <c r="AO38" s="2529">
        <v>0</v>
      </c>
      <c r="AP38" s="2527"/>
      <c r="AQ38" s="2527"/>
      <c r="AR38" s="2569"/>
      <c r="AS38" s="2594">
        <f t="shared" si="1"/>
        <v>0</v>
      </c>
      <c r="AT38" s="2570"/>
      <c r="AU38" s="2570"/>
      <c r="AV38" s="2571"/>
      <c r="AW38" s="337"/>
      <c r="AX38" s="337"/>
      <c r="AY38" s="337"/>
      <c r="AZ38" s="337"/>
      <c r="BA38" s="337"/>
      <c r="BB38" s="337"/>
    </row>
    <row r="39" spans="1:54" ht="27.95" customHeight="1">
      <c r="A39" s="337"/>
      <c r="B39" s="570" t="s">
        <v>70</v>
      </c>
      <c r="C39" s="575"/>
      <c r="D39" s="575"/>
      <c r="E39" s="575"/>
      <c r="F39" s="575"/>
      <c r="G39" s="575"/>
      <c r="H39" s="575"/>
      <c r="I39" s="575"/>
      <c r="J39" s="575"/>
      <c r="K39" s="575"/>
      <c r="L39" s="575"/>
      <c r="M39" s="575"/>
      <c r="N39" s="575"/>
      <c r="O39" s="575"/>
      <c r="P39" s="575"/>
      <c r="Q39" s="575"/>
      <c r="R39" s="575"/>
      <c r="S39" s="575"/>
      <c r="T39" s="576"/>
      <c r="U39" s="2586"/>
      <c r="V39" s="2587"/>
      <c r="W39" s="2587"/>
      <c r="X39" s="2587"/>
      <c r="Y39" s="2587"/>
      <c r="Z39" s="2587"/>
      <c r="AA39" s="2587"/>
      <c r="AB39" s="2587"/>
      <c r="AC39" s="2587"/>
      <c r="AD39" s="2587"/>
      <c r="AE39" s="2587"/>
      <c r="AF39" s="2587"/>
      <c r="AG39" s="2587"/>
      <c r="AH39" s="2587"/>
      <c r="AI39" s="2587"/>
      <c r="AJ39" s="2587"/>
      <c r="AK39" s="2587"/>
      <c r="AL39" s="2587"/>
      <c r="AM39" s="2587"/>
      <c r="AN39" s="2587"/>
      <c r="AO39" s="2587"/>
      <c r="AP39" s="2587"/>
      <c r="AQ39" s="2587"/>
      <c r="AR39" s="2587"/>
      <c r="AS39" s="2587"/>
      <c r="AT39" s="2587"/>
      <c r="AU39" s="2587"/>
      <c r="AV39" s="2588"/>
      <c r="AW39" s="337"/>
      <c r="AX39" s="337"/>
      <c r="AY39" s="337"/>
      <c r="AZ39" s="337"/>
      <c r="BA39" s="337"/>
      <c r="BB39" s="337"/>
    </row>
    <row r="40" spans="1:54" ht="27.95" customHeight="1">
      <c r="A40" s="337"/>
      <c r="B40" s="564"/>
      <c r="C40" s="537" t="s">
        <v>168</v>
      </c>
      <c r="D40" s="453"/>
      <c r="E40" s="539"/>
      <c r="F40" s="539"/>
      <c r="G40" s="539"/>
      <c r="H40" s="539"/>
      <c r="I40" s="539"/>
      <c r="J40" s="539"/>
      <c r="K40" s="539"/>
      <c r="L40" s="539"/>
      <c r="M40" s="539"/>
      <c r="N40" s="539"/>
      <c r="O40" s="539"/>
      <c r="P40" s="539"/>
      <c r="Q40" s="539"/>
      <c r="R40" s="539"/>
      <c r="S40" s="539"/>
      <c r="T40" s="522"/>
      <c r="U40" s="2526">
        <v>0</v>
      </c>
      <c r="V40" s="2527"/>
      <c r="W40" s="2527"/>
      <c r="X40" s="2568"/>
      <c r="Y40" s="2529">
        <v>0</v>
      </c>
      <c r="Z40" s="2527"/>
      <c r="AA40" s="2527"/>
      <c r="AB40" s="2568"/>
      <c r="AC40" s="2529">
        <v>0</v>
      </c>
      <c r="AD40" s="2527"/>
      <c r="AE40" s="2527"/>
      <c r="AF40" s="2568"/>
      <c r="AG40" s="2529">
        <v>0</v>
      </c>
      <c r="AH40" s="2527"/>
      <c r="AI40" s="2527"/>
      <c r="AJ40" s="2568"/>
      <c r="AK40" s="2529">
        <v>0</v>
      </c>
      <c r="AL40" s="2527"/>
      <c r="AM40" s="2527"/>
      <c r="AN40" s="2568"/>
      <c r="AO40" s="2529">
        <v>0</v>
      </c>
      <c r="AP40" s="2527"/>
      <c r="AQ40" s="2527"/>
      <c r="AR40" s="2569"/>
      <c r="AS40" s="2594">
        <f t="shared" ref="AS40:AS43" si="2">SUM(U40:AR40)</f>
        <v>0</v>
      </c>
      <c r="AT40" s="2570"/>
      <c r="AU40" s="2570"/>
      <c r="AV40" s="2571"/>
      <c r="AW40" s="337"/>
      <c r="AX40" s="337"/>
      <c r="AY40" s="337"/>
      <c r="AZ40" s="337"/>
      <c r="BA40" s="337"/>
      <c r="BB40" s="337"/>
    </row>
    <row r="41" spans="1:54" ht="27.95" customHeight="1">
      <c r="A41" s="337"/>
      <c r="B41" s="564"/>
      <c r="C41" s="537" t="s">
        <v>169</v>
      </c>
      <c r="D41" s="453"/>
      <c r="E41" s="453"/>
      <c r="F41" s="453"/>
      <c r="G41" s="453"/>
      <c r="H41" s="453"/>
      <c r="I41" s="453"/>
      <c r="J41" s="453"/>
      <c r="K41" s="453"/>
      <c r="L41" s="453"/>
      <c r="M41" s="453"/>
      <c r="N41" s="453"/>
      <c r="O41" s="453"/>
      <c r="P41" s="453"/>
      <c r="Q41" s="453"/>
      <c r="R41" s="453"/>
      <c r="S41" s="453"/>
      <c r="T41" s="522"/>
      <c r="U41" s="2526">
        <v>0</v>
      </c>
      <c r="V41" s="2527"/>
      <c r="W41" s="2527"/>
      <c r="X41" s="2568"/>
      <c r="Y41" s="2529">
        <v>0</v>
      </c>
      <c r="Z41" s="2527"/>
      <c r="AA41" s="2527"/>
      <c r="AB41" s="2568"/>
      <c r="AC41" s="2529">
        <v>0</v>
      </c>
      <c r="AD41" s="2527"/>
      <c r="AE41" s="2527"/>
      <c r="AF41" s="2568"/>
      <c r="AG41" s="2529">
        <v>0</v>
      </c>
      <c r="AH41" s="2527"/>
      <c r="AI41" s="2527"/>
      <c r="AJ41" s="2568"/>
      <c r="AK41" s="2529">
        <v>0</v>
      </c>
      <c r="AL41" s="2527"/>
      <c r="AM41" s="2527"/>
      <c r="AN41" s="2568"/>
      <c r="AO41" s="2529">
        <v>0</v>
      </c>
      <c r="AP41" s="2527"/>
      <c r="AQ41" s="2527"/>
      <c r="AR41" s="2569"/>
      <c r="AS41" s="2594">
        <f t="shared" si="2"/>
        <v>0</v>
      </c>
      <c r="AT41" s="2570"/>
      <c r="AU41" s="2570"/>
      <c r="AV41" s="2571"/>
      <c r="AW41" s="337"/>
      <c r="AX41" s="337"/>
      <c r="AY41" s="337"/>
      <c r="AZ41" s="337"/>
      <c r="BA41" s="337"/>
      <c r="BB41" s="337"/>
    </row>
    <row r="42" spans="1:54" ht="27.95" customHeight="1">
      <c r="A42" s="337"/>
      <c r="B42" s="564"/>
      <c r="C42" s="537" t="s">
        <v>170</v>
      </c>
      <c r="D42" s="453"/>
      <c r="E42" s="539"/>
      <c r="F42" s="539"/>
      <c r="G42" s="539"/>
      <c r="H42" s="539"/>
      <c r="I42" s="539"/>
      <c r="J42" s="539"/>
      <c r="K42" s="539"/>
      <c r="L42" s="539"/>
      <c r="M42" s="539"/>
      <c r="N42" s="539"/>
      <c r="O42" s="539"/>
      <c r="P42" s="539"/>
      <c r="Q42" s="539"/>
      <c r="R42" s="539"/>
      <c r="S42" s="539"/>
      <c r="T42" s="522"/>
      <c r="U42" s="2526">
        <v>0</v>
      </c>
      <c r="V42" s="2527"/>
      <c r="W42" s="2527"/>
      <c r="X42" s="2568"/>
      <c r="Y42" s="2529">
        <v>0</v>
      </c>
      <c r="Z42" s="2527"/>
      <c r="AA42" s="2527"/>
      <c r="AB42" s="2568"/>
      <c r="AC42" s="2529">
        <v>0</v>
      </c>
      <c r="AD42" s="2527"/>
      <c r="AE42" s="2527"/>
      <c r="AF42" s="2568"/>
      <c r="AG42" s="2529">
        <v>0</v>
      </c>
      <c r="AH42" s="2527"/>
      <c r="AI42" s="2527"/>
      <c r="AJ42" s="2568"/>
      <c r="AK42" s="2529">
        <v>0</v>
      </c>
      <c r="AL42" s="2527"/>
      <c r="AM42" s="2527"/>
      <c r="AN42" s="2568"/>
      <c r="AO42" s="2529">
        <v>0</v>
      </c>
      <c r="AP42" s="2527"/>
      <c r="AQ42" s="2527"/>
      <c r="AR42" s="2569"/>
      <c r="AS42" s="2594">
        <f t="shared" si="2"/>
        <v>0</v>
      </c>
      <c r="AT42" s="2570"/>
      <c r="AU42" s="2570"/>
      <c r="AV42" s="2571"/>
      <c r="AW42" s="337"/>
      <c r="AX42" s="337"/>
      <c r="AY42" s="337"/>
      <c r="AZ42" s="337"/>
      <c r="BA42" s="337"/>
      <c r="BB42" s="337"/>
    </row>
    <row r="43" spans="1:54" ht="27.95" customHeight="1" thickBot="1">
      <c r="A43" s="337"/>
      <c r="B43" s="578"/>
      <c r="C43" s="542" t="s">
        <v>171</v>
      </c>
      <c r="D43" s="579"/>
      <c r="E43" s="544"/>
      <c r="F43" s="544"/>
      <c r="G43" s="544"/>
      <c r="H43" s="544"/>
      <c r="I43" s="544"/>
      <c r="J43" s="544"/>
      <c r="K43" s="544"/>
      <c r="L43" s="544"/>
      <c r="M43" s="544"/>
      <c r="N43" s="544"/>
      <c r="O43" s="544"/>
      <c r="P43" s="544"/>
      <c r="Q43" s="544"/>
      <c r="R43" s="544"/>
      <c r="S43" s="544"/>
      <c r="T43" s="545"/>
      <c r="U43" s="2556">
        <v>0</v>
      </c>
      <c r="V43" s="2557"/>
      <c r="W43" s="2557"/>
      <c r="X43" s="2593"/>
      <c r="Y43" s="2558">
        <v>0</v>
      </c>
      <c r="Z43" s="2557"/>
      <c r="AA43" s="2557"/>
      <c r="AB43" s="2593"/>
      <c r="AC43" s="2558">
        <v>0</v>
      </c>
      <c r="AD43" s="2557"/>
      <c r="AE43" s="2557"/>
      <c r="AF43" s="2593"/>
      <c r="AG43" s="2558">
        <v>0</v>
      </c>
      <c r="AH43" s="2557"/>
      <c r="AI43" s="2557"/>
      <c r="AJ43" s="2593"/>
      <c r="AK43" s="2558">
        <v>0</v>
      </c>
      <c r="AL43" s="2557"/>
      <c r="AM43" s="2557"/>
      <c r="AN43" s="2593"/>
      <c r="AO43" s="2558">
        <v>0</v>
      </c>
      <c r="AP43" s="2557"/>
      <c r="AQ43" s="2557"/>
      <c r="AR43" s="2589"/>
      <c r="AS43" s="2590">
        <f t="shared" si="2"/>
        <v>0</v>
      </c>
      <c r="AT43" s="2591"/>
      <c r="AU43" s="2591"/>
      <c r="AV43" s="2592"/>
      <c r="AW43" s="337"/>
      <c r="AX43" s="337"/>
      <c r="AY43" s="337"/>
      <c r="AZ43" s="337"/>
      <c r="BA43" s="337"/>
      <c r="BB43" s="337"/>
    </row>
    <row r="44" spans="1:54" ht="17.25">
      <c r="A44" s="337"/>
      <c r="B44" s="302" t="s">
        <v>132</v>
      </c>
      <c r="C44" s="230"/>
      <c r="D44" s="572"/>
      <c r="E44" s="573" t="s">
        <v>47</v>
      </c>
      <c r="F44" s="239" t="s">
        <v>133</v>
      </c>
      <c r="G44" s="337"/>
      <c r="H44" s="337"/>
      <c r="I44" s="337"/>
      <c r="J44" s="337"/>
      <c r="K44" s="337"/>
      <c r="L44" s="337"/>
      <c r="M44" s="337"/>
      <c r="N44" s="337"/>
      <c r="O44" s="337"/>
      <c r="P44" s="337"/>
      <c r="Q44" s="337"/>
      <c r="R44" s="337"/>
      <c r="S44" s="337"/>
      <c r="T44" s="337"/>
      <c r="U44" s="337"/>
      <c r="V44" s="337"/>
      <c r="W44" s="337"/>
      <c r="X44" s="337"/>
      <c r="Y44" s="337"/>
      <c r="Z44" s="337"/>
      <c r="AA44" s="337"/>
      <c r="AB44" s="337"/>
      <c r="AC44" s="337"/>
      <c r="AD44" s="337"/>
      <c r="AE44" s="337"/>
      <c r="AF44" s="337"/>
      <c r="AG44" s="337"/>
      <c r="AH44" s="337"/>
      <c r="AI44" s="337"/>
      <c r="AJ44" s="337"/>
      <c r="AK44" s="337"/>
      <c r="AL44" s="337"/>
      <c r="AM44" s="337"/>
      <c r="AN44" s="337"/>
      <c r="AO44" s="337"/>
      <c r="AP44" s="337"/>
      <c r="AQ44" s="337"/>
      <c r="AR44" s="337"/>
      <c r="AS44" s="337"/>
      <c r="AT44" s="337"/>
      <c r="AU44" s="337"/>
      <c r="AV44" s="337"/>
      <c r="AW44" s="337"/>
      <c r="AX44" s="337"/>
      <c r="AY44" s="337"/>
      <c r="AZ44" s="337"/>
      <c r="BA44" s="337"/>
      <c r="BB44" s="337"/>
    </row>
    <row r="45" spans="1:54" ht="17.25">
      <c r="A45" s="337"/>
      <c r="B45" s="337"/>
      <c r="C45" s="274"/>
      <c r="D45" s="574"/>
      <c r="E45" s="573" t="s">
        <v>48</v>
      </c>
      <c r="F45" s="239" t="s">
        <v>1022</v>
      </c>
      <c r="G45" s="337"/>
      <c r="H45" s="337"/>
      <c r="I45" s="337"/>
      <c r="J45" s="337"/>
      <c r="K45" s="337"/>
      <c r="L45" s="337"/>
      <c r="M45" s="337"/>
      <c r="N45" s="337"/>
      <c r="O45" s="337"/>
      <c r="P45" s="337"/>
      <c r="Q45" s="337"/>
      <c r="R45" s="337"/>
      <c r="S45" s="337"/>
      <c r="T45" s="337"/>
      <c r="U45" s="337"/>
      <c r="V45" s="337"/>
      <c r="W45" s="337"/>
      <c r="X45" s="337"/>
      <c r="Y45" s="337"/>
      <c r="Z45" s="337"/>
      <c r="AA45" s="337"/>
      <c r="AB45" s="337"/>
      <c r="AC45" s="337"/>
      <c r="AD45" s="337"/>
      <c r="AE45" s="337"/>
      <c r="AF45" s="337"/>
      <c r="AG45" s="337"/>
      <c r="AH45" s="337"/>
      <c r="AI45" s="337"/>
      <c r="AJ45" s="337"/>
      <c r="AK45" s="337"/>
      <c r="AL45" s="337"/>
      <c r="AM45" s="337"/>
      <c r="AN45" s="337"/>
      <c r="AO45" s="337"/>
      <c r="AP45" s="337"/>
      <c r="AQ45" s="337"/>
      <c r="AR45" s="337"/>
      <c r="AS45" s="337"/>
      <c r="AT45" s="337"/>
      <c r="AU45" s="337"/>
      <c r="AV45" s="337"/>
      <c r="AW45" s="337"/>
      <c r="AX45" s="337"/>
      <c r="AY45" s="337"/>
      <c r="AZ45" s="337"/>
      <c r="BA45" s="337"/>
      <c r="BB45" s="337"/>
    </row>
    <row r="46" spans="1:54" s="3" customFormat="1" ht="33.75" customHeight="1">
      <c r="A46" s="240"/>
      <c r="B46" s="239"/>
      <c r="C46" s="240"/>
      <c r="D46" s="239"/>
      <c r="E46" s="240"/>
      <c r="F46" s="239"/>
      <c r="G46" s="240"/>
      <c r="H46" s="239"/>
      <c r="I46" s="240"/>
      <c r="J46" s="239"/>
      <c r="K46" s="240"/>
      <c r="L46" s="239"/>
      <c r="M46" s="240"/>
      <c r="N46" s="240"/>
      <c r="O46" s="240"/>
      <c r="P46" s="240"/>
      <c r="Q46" s="240"/>
      <c r="R46" s="239"/>
      <c r="S46" s="240"/>
      <c r="T46" s="239"/>
      <c r="U46" s="240"/>
      <c r="V46" s="239"/>
      <c r="W46" s="240"/>
      <c r="X46" s="239"/>
      <c r="Y46" s="240"/>
      <c r="Z46" s="239"/>
      <c r="AA46" s="240"/>
      <c r="AB46" s="239"/>
      <c r="AC46" s="240"/>
      <c r="AD46" s="240"/>
      <c r="AE46" s="239"/>
      <c r="AF46" s="239"/>
      <c r="AG46" s="239"/>
      <c r="AH46" s="239"/>
      <c r="AI46" s="240"/>
      <c r="AJ46" s="239"/>
      <c r="AK46" s="240"/>
      <c r="AL46" s="239"/>
      <c r="AM46" s="240"/>
      <c r="AN46" s="239"/>
      <c r="AO46" s="240"/>
      <c r="AP46" s="239"/>
      <c r="AQ46" s="240"/>
      <c r="AR46" s="239"/>
      <c r="AS46" s="240"/>
      <c r="AT46" s="240"/>
      <c r="AU46" s="240"/>
      <c r="AV46" s="240"/>
      <c r="AW46" s="240"/>
      <c r="AX46" s="240"/>
      <c r="AY46" s="240"/>
      <c r="AZ46" s="240"/>
      <c r="BA46" s="240"/>
      <c r="BB46" s="240"/>
    </row>
    <row r="47" spans="1:54" s="46" customFormat="1" ht="15.75">
      <c r="A47" s="222"/>
      <c r="B47" s="223" t="s">
        <v>32</v>
      </c>
      <c r="C47" s="222"/>
      <c r="D47" s="222"/>
      <c r="E47" s="222"/>
      <c r="F47" s="222"/>
      <c r="G47" s="222"/>
      <c r="H47" s="222"/>
      <c r="I47" s="222"/>
      <c r="J47" s="222"/>
      <c r="K47" s="222"/>
      <c r="L47" s="222"/>
      <c r="M47" s="222"/>
      <c r="N47" s="222"/>
      <c r="O47" s="222"/>
      <c r="P47" s="222"/>
      <c r="Q47" s="222"/>
      <c r="R47" s="222"/>
      <c r="S47" s="223" t="s">
        <v>134</v>
      </c>
      <c r="T47" s="222"/>
      <c r="U47" s="222"/>
      <c r="V47" s="222"/>
      <c r="W47" s="222"/>
      <c r="X47" s="222"/>
      <c r="Y47" s="222"/>
      <c r="Z47" s="222"/>
      <c r="AA47" s="222"/>
      <c r="AB47" s="222"/>
      <c r="AC47" s="222"/>
      <c r="AD47" s="222"/>
      <c r="AE47" s="222"/>
      <c r="AF47" s="222"/>
      <c r="AG47" s="222"/>
      <c r="AH47" s="222"/>
      <c r="AI47" s="222"/>
      <c r="AJ47" s="223" t="s">
        <v>33</v>
      </c>
      <c r="AK47" s="222"/>
      <c r="AL47" s="222"/>
      <c r="AM47" s="222"/>
      <c r="AN47" s="222"/>
      <c r="AO47" s="222"/>
      <c r="AP47" s="222"/>
      <c r="AQ47" s="222"/>
      <c r="AR47" s="222"/>
      <c r="AS47" s="222"/>
      <c r="AT47" s="222"/>
      <c r="AU47" s="222"/>
      <c r="AV47" s="222"/>
      <c r="AW47" s="222"/>
      <c r="AX47" s="222"/>
      <c r="AY47" s="222"/>
      <c r="AZ47" s="222"/>
      <c r="BA47" s="222"/>
      <c r="BB47" s="222"/>
    </row>
    <row r="48" spans="1:54" s="46" customFormat="1" ht="21.75" customHeight="1">
      <c r="A48" s="222"/>
      <c r="B48" s="223" t="s">
        <v>73</v>
      </c>
      <c r="C48" s="222"/>
      <c r="D48" s="222"/>
      <c r="E48" s="222"/>
      <c r="F48" s="2012" t="str">
        <f>activesheet!E21</f>
        <v>MELCHESIEDICK Q. BOLANIO / March 17, 2023</v>
      </c>
      <c r="G48" s="2012"/>
      <c r="H48" s="2012"/>
      <c r="I48" s="2012"/>
      <c r="J48" s="2012"/>
      <c r="K48" s="2012"/>
      <c r="L48" s="2012"/>
      <c r="M48" s="2012"/>
      <c r="N48" s="2012"/>
      <c r="O48" s="222"/>
      <c r="P48" s="222"/>
      <c r="Q48" s="222"/>
      <c r="R48" s="222"/>
      <c r="S48" s="2012" t="str">
        <f>activesheet!E438</f>
        <v>ELMA CEZARIE Y. ROMERO / March 17, 2023</v>
      </c>
      <c r="T48" s="2012"/>
      <c r="U48" s="2012"/>
      <c r="V48" s="2012"/>
      <c r="W48" s="2012"/>
      <c r="X48" s="2012"/>
      <c r="Y48" s="2012"/>
      <c r="Z48" s="2012"/>
      <c r="AA48" s="2012"/>
      <c r="AB48" s="2012"/>
      <c r="AC48" s="2012"/>
      <c r="AD48" s="2012"/>
      <c r="AE48" s="2012"/>
      <c r="AF48" s="222"/>
      <c r="AG48" s="222"/>
      <c r="AH48" s="222"/>
      <c r="AI48" s="222"/>
      <c r="AJ48" s="1819" t="str">
        <f>activesheet!E25</f>
        <v>MICHAEL T. JAMIS / March 17, 2023</v>
      </c>
      <c r="AK48" s="1819"/>
      <c r="AL48" s="1819"/>
      <c r="AM48" s="1819"/>
      <c r="AN48" s="1819"/>
      <c r="AO48" s="1819"/>
      <c r="AP48" s="1819"/>
      <c r="AQ48" s="1819"/>
      <c r="AR48" s="1819"/>
      <c r="AS48" s="1819"/>
      <c r="AT48" s="1819"/>
      <c r="AU48" s="1819"/>
      <c r="AV48" s="1819"/>
      <c r="AW48" s="222"/>
      <c r="AX48" s="222"/>
      <c r="AY48" s="222"/>
      <c r="AZ48" s="222"/>
      <c r="BA48" s="222"/>
      <c r="BB48" s="222"/>
    </row>
    <row r="49" spans="1:54" s="7" customFormat="1" ht="13.5">
      <c r="A49" s="334"/>
      <c r="B49" s="225"/>
      <c r="C49" s="334"/>
      <c r="D49" s="334"/>
      <c r="E49" s="334"/>
      <c r="F49" s="1811" t="s">
        <v>37</v>
      </c>
      <c r="G49" s="1811"/>
      <c r="H49" s="1811"/>
      <c r="I49" s="1811"/>
      <c r="J49" s="1811"/>
      <c r="K49" s="1811"/>
      <c r="L49" s="1811"/>
      <c r="M49" s="1811"/>
      <c r="N49" s="1811"/>
      <c r="O49" s="225"/>
      <c r="P49" s="225"/>
      <c r="Q49" s="225"/>
      <c r="R49" s="225"/>
      <c r="S49" s="1811" t="s">
        <v>37</v>
      </c>
      <c r="T49" s="1811"/>
      <c r="U49" s="1811"/>
      <c r="V49" s="1811"/>
      <c r="W49" s="1811"/>
      <c r="X49" s="1811"/>
      <c r="Y49" s="1811"/>
      <c r="Z49" s="1811"/>
      <c r="AA49" s="1811"/>
      <c r="AB49" s="1811"/>
      <c r="AC49" s="1811"/>
      <c r="AD49" s="1811"/>
      <c r="AE49" s="1811"/>
      <c r="AF49" s="361"/>
      <c r="AG49" s="361"/>
      <c r="AH49" s="361"/>
      <c r="AI49" s="361"/>
      <c r="AJ49" s="1820"/>
      <c r="AK49" s="1820"/>
      <c r="AL49" s="1820"/>
      <c r="AM49" s="1820"/>
      <c r="AN49" s="1820"/>
      <c r="AO49" s="1820"/>
      <c r="AP49" s="1820"/>
      <c r="AQ49" s="1820"/>
      <c r="AR49" s="1820"/>
      <c r="AS49" s="1820"/>
      <c r="AT49" s="1820"/>
      <c r="AU49" s="1820"/>
      <c r="AV49" s="1820"/>
      <c r="AW49" s="225"/>
      <c r="AX49" s="334"/>
      <c r="AY49" s="334"/>
      <c r="AZ49" s="334"/>
      <c r="BA49" s="334"/>
      <c r="BB49" s="334"/>
    </row>
    <row r="50" spans="1:54" s="1" customFormat="1" ht="21.75" customHeight="1">
      <c r="A50" s="331"/>
      <c r="B50" s="223" t="s">
        <v>58</v>
      </c>
      <c r="C50" s="222"/>
      <c r="D50" s="222"/>
      <c r="E50" s="222"/>
      <c r="F50" s="2012" t="str">
        <f>activesheet!E22</f>
        <v>SECONDARY SCHOOL PRINCIPAL IV</v>
      </c>
      <c r="G50" s="2012"/>
      <c r="H50" s="2012"/>
      <c r="I50" s="2012"/>
      <c r="J50" s="2012"/>
      <c r="K50" s="2012"/>
      <c r="L50" s="2012"/>
      <c r="M50" s="2012"/>
      <c r="N50" s="2012"/>
      <c r="O50" s="222"/>
      <c r="P50" s="222"/>
      <c r="Q50" s="222"/>
      <c r="R50" s="222"/>
      <c r="S50" s="223" t="s">
        <v>58</v>
      </c>
      <c r="T50" s="222"/>
      <c r="U50" s="222"/>
      <c r="V50" s="222"/>
      <c r="W50" s="2012" t="str">
        <f>activesheet!E439</f>
        <v>ADMINISTRATIVE OFFICER IV</v>
      </c>
      <c r="X50" s="2012"/>
      <c r="Y50" s="2012"/>
      <c r="Z50" s="2012"/>
      <c r="AA50" s="2012"/>
      <c r="AB50" s="2012"/>
      <c r="AC50" s="2012"/>
      <c r="AD50" s="2012"/>
      <c r="AE50" s="2012"/>
      <c r="AF50" s="281"/>
      <c r="AG50" s="281"/>
      <c r="AH50" s="281"/>
      <c r="AI50" s="281"/>
      <c r="AJ50" s="1811" t="s">
        <v>37</v>
      </c>
      <c r="AK50" s="1811"/>
      <c r="AL50" s="1811"/>
      <c r="AM50" s="1811"/>
      <c r="AN50" s="1811"/>
      <c r="AO50" s="1811"/>
      <c r="AP50" s="1811"/>
      <c r="AQ50" s="1811"/>
      <c r="AR50" s="1811"/>
      <c r="AS50" s="1811"/>
      <c r="AT50" s="1811"/>
      <c r="AU50" s="1811"/>
      <c r="AV50" s="1811"/>
      <c r="AW50" s="331"/>
      <c r="AX50" s="331"/>
      <c r="AY50" s="331"/>
      <c r="AZ50" s="331"/>
      <c r="BA50" s="331"/>
      <c r="BB50" s="331"/>
    </row>
    <row r="51" spans="1:54">
      <c r="A51" s="337"/>
      <c r="B51" s="337"/>
      <c r="C51" s="337"/>
      <c r="D51" s="337"/>
      <c r="E51" s="337"/>
      <c r="F51" s="337"/>
      <c r="G51" s="337"/>
      <c r="H51" s="337"/>
      <c r="I51" s="337"/>
      <c r="J51" s="337"/>
      <c r="K51" s="337"/>
      <c r="L51" s="337"/>
      <c r="M51" s="337"/>
      <c r="N51" s="337"/>
      <c r="O51" s="337"/>
      <c r="P51" s="337"/>
      <c r="Q51" s="337"/>
      <c r="R51" s="337"/>
      <c r="S51" s="337"/>
      <c r="T51" s="337"/>
      <c r="U51" s="337"/>
      <c r="V51" s="337"/>
      <c r="W51" s="337"/>
      <c r="X51" s="337"/>
      <c r="Y51" s="337"/>
      <c r="Z51" s="337"/>
      <c r="AA51" s="337"/>
      <c r="AB51" s="337"/>
      <c r="AC51" s="337"/>
      <c r="AD51" s="337"/>
      <c r="AE51" s="337"/>
      <c r="AF51" s="337"/>
      <c r="AG51" s="337"/>
      <c r="AH51" s="337"/>
      <c r="AI51" s="337"/>
      <c r="AJ51" s="337"/>
      <c r="AK51" s="337"/>
      <c r="AL51" s="337"/>
      <c r="AM51" s="337"/>
      <c r="AN51" s="337"/>
      <c r="AO51" s="337"/>
      <c r="AP51" s="337"/>
      <c r="AQ51" s="337"/>
      <c r="AR51" s="337"/>
      <c r="AS51" s="337"/>
      <c r="AT51" s="337"/>
      <c r="AU51" s="337"/>
      <c r="AV51" s="337"/>
      <c r="AW51" s="337"/>
      <c r="AX51" s="337"/>
      <c r="AY51" s="337"/>
      <c r="AZ51" s="337"/>
      <c r="BA51" s="337"/>
      <c r="BB51" s="337"/>
    </row>
    <row r="52" spans="1:54">
      <c r="A52" s="337"/>
      <c r="B52" s="337"/>
      <c r="C52" s="337"/>
      <c r="D52" s="337"/>
      <c r="E52" s="337"/>
      <c r="F52" s="337"/>
      <c r="G52" s="337"/>
      <c r="H52" s="337"/>
      <c r="I52" s="337"/>
      <c r="J52" s="337"/>
      <c r="K52" s="337"/>
      <c r="L52" s="337"/>
      <c r="M52" s="337"/>
      <c r="N52" s="337"/>
      <c r="O52" s="337"/>
      <c r="P52" s="337"/>
      <c r="Q52" s="337"/>
      <c r="R52" s="337"/>
      <c r="S52" s="337"/>
      <c r="T52" s="337"/>
      <c r="U52" s="337"/>
      <c r="V52" s="337"/>
      <c r="W52" s="337"/>
      <c r="X52" s="337"/>
      <c r="Y52" s="337"/>
      <c r="Z52" s="337"/>
      <c r="AA52" s="337"/>
      <c r="AB52" s="337"/>
      <c r="AC52" s="337"/>
      <c r="AD52" s="337"/>
      <c r="AE52" s="337"/>
      <c r="AF52" s="337"/>
      <c r="AG52" s="337"/>
      <c r="AH52" s="337"/>
      <c r="AI52" s="337"/>
      <c r="AJ52" s="337"/>
      <c r="AK52" s="337"/>
      <c r="AL52" s="337"/>
      <c r="AM52" s="337"/>
      <c r="AN52" s="337"/>
      <c r="AO52" s="337"/>
      <c r="AP52" s="337"/>
      <c r="AQ52" s="337"/>
      <c r="AR52" s="337"/>
      <c r="AS52" s="337"/>
      <c r="AT52" s="337"/>
      <c r="AU52" s="337"/>
      <c r="AV52" s="337"/>
      <c r="AW52" s="337"/>
      <c r="AX52" s="337"/>
      <c r="AY52" s="337"/>
      <c r="AZ52" s="337"/>
      <c r="BA52" s="337"/>
      <c r="BB52" s="337"/>
    </row>
    <row r="53" spans="1:54">
      <c r="A53" s="337"/>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c r="AA53" s="337"/>
      <c r="AB53" s="337"/>
      <c r="AC53" s="337"/>
      <c r="AD53" s="337"/>
      <c r="AE53" s="337"/>
      <c r="AF53" s="337"/>
      <c r="AG53" s="337"/>
      <c r="AH53" s="337"/>
      <c r="AI53" s="337"/>
      <c r="AJ53" s="337"/>
      <c r="AK53" s="337"/>
      <c r="AL53" s="337"/>
      <c r="AM53" s="337"/>
      <c r="AN53" s="337"/>
      <c r="AO53" s="337"/>
      <c r="AP53" s="337"/>
      <c r="AQ53" s="337"/>
      <c r="AR53" s="337"/>
      <c r="AS53" s="337"/>
      <c r="AT53" s="337"/>
      <c r="AU53" s="337"/>
      <c r="AV53" s="337"/>
      <c r="AW53" s="337"/>
      <c r="AX53" s="337"/>
      <c r="AY53" s="337"/>
      <c r="AZ53" s="337"/>
      <c r="BA53" s="337"/>
      <c r="BB53" s="337"/>
    </row>
    <row r="54" spans="1:54">
      <c r="A54" s="337"/>
      <c r="B54" s="337"/>
      <c r="C54" s="337"/>
      <c r="D54" s="337"/>
      <c r="E54" s="337"/>
      <c r="F54" s="337"/>
      <c r="G54" s="337"/>
      <c r="H54" s="337"/>
      <c r="I54" s="337"/>
      <c r="J54" s="337"/>
      <c r="K54" s="337"/>
      <c r="L54" s="337"/>
      <c r="M54" s="337"/>
      <c r="N54" s="337"/>
      <c r="O54" s="337"/>
      <c r="P54" s="337"/>
      <c r="Q54" s="337"/>
      <c r="R54" s="337"/>
      <c r="S54" s="337"/>
      <c r="T54" s="337"/>
      <c r="U54" s="337"/>
      <c r="V54" s="337"/>
      <c r="W54" s="337"/>
      <c r="X54" s="337"/>
      <c r="Y54" s="337"/>
      <c r="Z54" s="337"/>
      <c r="AA54" s="337"/>
      <c r="AB54" s="337"/>
      <c r="AC54" s="337"/>
      <c r="AD54" s="337"/>
      <c r="AE54" s="337"/>
      <c r="AF54" s="337"/>
      <c r="AG54" s="337"/>
      <c r="AH54" s="337"/>
      <c r="AI54" s="337"/>
      <c r="AJ54" s="337"/>
      <c r="AK54" s="337"/>
      <c r="AL54" s="337"/>
      <c r="AM54" s="337"/>
      <c r="AN54" s="337"/>
      <c r="AO54" s="337"/>
      <c r="AP54" s="337"/>
      <c r="AQ54" s="337"/>
      <c r="AR54" s="337"/>
      <c r="AS54" s="337"/>
      <c r="AT54" s="337"/>
      <c r="AU54" s="337"/>
      <c r="AV54" s="337"/>
      <c r="AW54" s="337"/>
      <c r="AX54" s="337"/>
      <c r="AY54" s="337"/>
      <c r="AZ54" s="337"/>
      <c r="BA54" s="337"/>
      <c r="BB54" s="337"/>
    </row>
    <row r="55" spans="1:54">
      <c r="A55" s="337"/>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c r="AC55" s="337"/>
      <c r="AD55" s="337"/>
      <c r="AE55" s="337"/>
      <c r="AF55" s="337"/>
      <c r="AG55" s="337"/>
      <c r="AH55" s="337"/>
      <c r="AI55" s="337"/>
      <c r="AJ55" s="337"/>
      <c r="AK55" s="337"/>
      <c r="AL55" s="337"/>
      <c r="AM55" s="337"/>
      <c r="AN55" s="337"/>
      <c r="AO55" s="337"/>
      <c r="AP55" s="337"/>
      <c r="AQ55" s="337"/>
      <c r="AR55" s="337"/>
      <c r="AS55" s="337"/>
      <c r="AT55" s="337"/>
      <c r="AU55" s="337"/>
      <c r="AV55" s="337"/>
      <c r="AW55" s="337"/>
      <c r="AX55" s="337"/>
      <c r="AY55" s="337"/>
      <c r="AZ55" s="337"/>
      <c r="BA55" s="337"/>
      <c r="BB55" s="337"/>
    </row>
    <row r="56" spans="1:54">
      <c r="A56" s="337"/>
      <c r="B56" s="337"/>
      <c r="C56" s="337"/>
      <c r="D56" s="337"/>
      <c r="E56" s="337"/>
      <c r="F56" s="337"/>
      <c r="G56" s="337"/>
      <c r="H56" s="337"/>
      <c r="I56" s="337"/>
      <c r="J56" s="337"/>
      <c r="K56" s="337"/>
      <c r="L56" s="337"/>
      <c r="M56" s="337"/>
      <c r="N56" s="337"/>
      <c r="O56" s="337"/>
      <c r="P56" s="337"/>
      <c r="Q56" s="337"/>
      <c r="R56" s="337"/>
      <c r="S56" s="337"/>
      <c r="T56" s="337"/>
      <c r="U56" s="337"/>
      <c r="V56" s="337"/>
      <c r="W56" s="337"/>
      <c r="X56" s="337"/>
      <c r="Y56" s="337"/>
      <c r="Z56" s="337"/>
      <c r="AA56" s="337"/>
      <c r="AB56" s="337"/>
      <c r="AC56" s="337"/>
      <c r="AD56" s="337"/>
      <c r="AE56" s="337"/>
      <c r="AF56" s="337"/>
      <c r="AG56" s="337"/>
      <c r="AH56" s="337"/>
      <c r="AI56" s="337"/>
      <c r="AJ56" s="337"/>
      <c r="AK56" s="337"/>
      <c r="AL56" s="337"/>
      <c r="AM56" s="337"/>
      <c r="AN56" s="337"/>
      <c r="AO56" s="337"/>
      <c r="AP56" s="337"/>
      <c r="AQ56" s="337"/>
      <c r="AR56" s="337"/>
      <c r="AS56" s="337"/>
      <c r="AT56" s="337"/>
      <c r="AU56" s="337"/>
      <c r="AV56" s="337"/>
      <c r="AW56" s="337"/>
      <c r="AX56" s="337"/>
      <c r="AY56" s="337"/>
      <c r="AZ56" s="337"/>
      <c r="BA56" s="337"/>
      <c r="BB56" s="337"/>
    </row>
    <row r="57" spans="1:54">
      <c r="A57" s="337"/>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c r="AA57" s="337"/>
      <c r="AB57" s="337"/>
      <c r="AC57" s="337"/>
      <c r="AD57" s="337"/>
      <c r="AE57" s="337"/>
      <c r="AF57" s="337"/>
      <c r="AG57" s="337"/>
      <c r="AH57" s="337"/>
      <c r="AI57" s="337"/>
      <c r="AJ57" s="337"/>
      <c r="AK57" s="337"/>
      <c r="AL57" s="337"/>
      <c r="AM57" s="337"/>
      <c r="AN57" s="337"/>
      <c r="AO57" s="337"/>
      <c r="AP57" s="337"/>
      <c r="AQ57" s="337"/>
      <c r="AR57" s="337"/>
      <c r="AS57" s="337"/>
      <c r="AT57" s="337"/>
      <c r="AU57" s="337"/>
      <c r="AV57" s="337"/>
      <c r="AW57" s="337"/>
      <c r="AX57" s="337"/>
      <c r="AY57" s="337"/>
      <c r="AZ57" s="337"/>
      <c r="BA57" s="337"/>
      <c r="BB57" s="337"/>
    </row>
    <row r="58" spans="1:54">
      <c r="A58" s="337"/>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c r="AA58" s="337"/>
      <c r="AB58" s="337"/>
      <c r="AC58" s="337"/>
      <c r="AD58" s="337"/>
      <c r="AE58" s="337"/>
      <c r="AF58" s="337"/>
      <c r="AG58" s="337"/>
      <c r="AH58" s="337"/>
      <c r="AI58" s="337"/>
      <c r="AJ58" s="337"/>
      <c r="AK58" s="337"/>
      <c r="AL58" s="337"/>
      <c r="AM58" s="337"/>
      <c r="AN58" s="337"/>
      <c r="AO58" s="337"/>
      <c r="AP58" s="337"/>
      <c r="AQ58" s="337"/>
      <c r="AR58" s="337"/>
      <c r="AS58" s="337"/>
      <c r="AT58" s="337"/>
      <c r="AU58" s="337"/>
      <c r="AV58" s="337"/>
      <c r="AW58" s="337"/>
      <c r="AX58" s="337"/>
      <c r="AY58" s="337"/>
      <c r="AZ58" s="337"/>
      <c r="BA58" s="337"/>
      <c r="BB58" s="337"/>
    </row>
    <row r="59" spans="1:54">
      <c r="A59" s="337"/>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c r="AA59" s="337"/>
      <c r="AB59" s="337"/>
      <c r="AC59" s="337"/>
      <c r="AD59" s="337"/>
      <c r="AE59" s="337"/>
      <c r="AF59" s="337"/>
      <c r="AG59" s="337"/>
      <c r="AH59" s="337"/>
      <c r="AI59" s="337"/>
      <c r="AJ59" s="337"/>
      <c r="AK59" s="337"/>
      <c r="AL59" s="337"/>
      <c r="AM59" s="337"/>
      <c r="AN59" s="337"/>
      <c r="AO59" s="337"/>
      <c r="AP59" s="337"/>
      <c r="AQ59" s="337"/>
      <c r="AR59" s="337"/>
      <c r="AS59" s="337"/>
      <c r="AT59" s="337"/>
      <c r="AU59" s="337"/>
      <c r="AV59" s="337"/>
      <c r="AW59" s="337"/>
      <c r="AX59" s="337"/>
      <c r="AY59" s="337"/>
      <c r="AZ59" s="337"/>
      <c r="BA59" s="337"/>
      <c r="BB59" s="337"/>
    </row>
  </sheetData>
  <sheetProtection algorithmName="SHA-512" hashValue="9+V+ntVF533OFbCQCYOAEFwUQR7tKDgCxEMHs6oVuBrFI9NmTO4dv0tUJx2MTv1ri97kQtoqYrJHksR33t0n3A==" saltValue="Ro5gUkvDpDfVCsFeWTXXNw==" spinCount="100000" sheet="1" objects="1" scenarios="1"/>
  <customSheetViews>
    <customSheetView guid="{6EFEFCA0-BF14-457A-85A3-29CBF2A862A5}" showGridLines="0" fitToPage="1" topLeftCell="G37">
      <selection activeCell="AS43" sqref="AS43:AV43"/>
      <pageMargins left="0.23622047244094491" right="0.23622047244094491" top="0.39370078740157483" bottom="0.19685039370078741" header="0" footer="0.11811023622047245"/>
      <printOptions horizontalCentered="1" verticalCentered="1"/>
      <pageSetup paperSize="5" scale="48" orientation="portrait" r:id="rId1"/>
      <headerFooter>
        <oddFooter>&amp;L&amp;10&amp;F &amp;A&amp;R&amp;10Page 13 of 61</oddFooter>
      </headerFooter>
    </customSheetView>
  </customSheetViews>
  <mergeCells count="274">
    <mergeCell ref="F50:N50"/>
    <mergeCell ref="W50:AE50"/>
    <mergeCell ref="AJ50:AV50"/>
    <mergeCell ref="AJ48:AV49"/>
    <mergeCell ref="C10:S10"/>
    <mergeCell ref="C24:S24"/>
    <mergeCell ref="C37:S37"/>
    <mergeCell ref="F48:N48"/>
    <mergeCell ref="S48:AE48"/>
    <mergeCell ref="U10:X10"/>
    <mergeCell ref="Y10:AB10"/>
    <mergeCell ref="AC10:AF10"/>
    <mergeCell ref="U12:X12"/>
    <mergeCell ref="Y12:AB12"/>
    <mergeCell ref="AC12:AF12"/>
    <mergeCell ref="U14:X14"/>
    <mergeCell ref="Y14:AB14"/>
    <mergeCell ref="AC14:AF14"/>
    <mergeCell ref="U16:X16"/>
    <mergeCell ref="Y16:AB16"/>
    <mergeCell ref="AG10:AJ10"/>
    <mergeCell ref="AK10:AN10"/>
    <mergeCell ref="AO10:AR10"/>
    <mergeCell ref="AS10:AV10"/>
    <mergeCell ref="AK3:AN4"/>
    <mergeCell ref="AO3:AR4"/>
    <mergeCell ref="AS3:AV4"/>
    <mergeCell ref="B3:T4"/>
    <mergeCell ref="U3:X4"/>
    <mergeCell ref="Y3:AB4"/>
    <mergeCell ref="AC3:AF4"/>
    <mergeCell ref="AG3:AJ4"/>
    <mergeCell ref="F49:N49"/>
    <mergeCell ref="S49:AE49"/>
    <mergeCell ref="AO6:AR6"/>
    <mergeCell ref="AS6:AV6"/>
    <mergeCell ref="U7:X7"/>
    <mergeCell ref="Y7:AB7"/>
    <mergeCell ref="AC7:AF7"/>
    <mergeCell ref="AG7:AJ7"/>
    <mergeCell ref="AK7:AN7"/>
    <mergeCell ref="AO7:AR7"/>
    <mergeCell ref="AS7:AV7"/>
    <mergeCell ref="U6:X6"/>
    <mergeCell ref="Y6:AB6"/>
    <mergeCell ref="AC6:AF6"/>
    <mergeCell ref="AG6:AJ6"/>
    <mergeCell ref="AK6:AN6"/>
    <mergeCell ref="AO8:AR8"/>
    <mergeCell ref="AS8:AV8"/>
    <mergeCell ref="U9:X9"/>
    <mergeCell ref="Y9:AB9"/>
    <mergeCell ref="AC9:AF9"/>
    <mergeCell ref="AG9:AJ9"/>
    <mergeCell ref="AK9:AN9"/>
    <mergeCell ref="AO9:AR9"/>
    <mergeCell ref="AS9:AV9"/>
    <mergeCell ref="U8:X8"/>
    <mergeCell ref="Y8:AB8"/>
    <mergeCell ref="AC8:AF8"/>
    <mergeCell ref="AG8:AJ8"/>
    <mergeCell ref="AK8:AN8"/>
    <mergeCell ref="U11:X11"/>
    <mergeCell ref="Y11:AB11"/>
    <mergeCell ref="AC11:AF11"/>
    <mergeCell ref="AG11:AJ11"/>
    <mergeCell ref="AK11:AN11"/>
    <mergeCell ref="AO11:AR11"/>
    <mergeCell ref="AS11:AV11"/>
    <mergeCell ref="U15:X15"/>
    <mergeCell ref="Y15:AB15"/>
    <mergeCell ref="AC15:AF15"/>
    <mergeCell ref="AG15:AJ15"/>
    <mergeCell ref="AK15:AN15"/>
    <mergeCell ref="AO15:AR15"/>
    <mergeCell ref="AS15:AV15"/>
    <mergeCell ref="AG12:AJ12"/>
    <mergeCell ref="AK12:AN12"/>
    <mergeCell ref="AO12:AR12"/>
    <mergeCell ref="AS12:AV12"/>
    <mergeCell ref="U13:X13"/>
    <mergeCell ref="Y13:AB13"/>
    <mergeCell ref="AC13:AF13"/>
    <mergeCell ref="AG13:AJ13"/>
    <mergeCell ref="AK13:AN13"/>
    <mergeCell ref="AO13:AR13"/>
    <mergeCell ref="AS13:AV13"/>
    <mergeCell ref="AC16:AF16"/>
    <mergeCell ref="AG16:AJ16"/>
    <mergeCell ref="AK16:AN16"/>
    <mergeCell ref="AO16:AR16"/>
    <mergeCell ref="AS16:AV16"/>
    <mergeCell ref="AG14:AJ14"/>
    <mergeCell ref="AK14:AN14"/>
    <mergeCell ref="AO14:AR14"/>
    <mergeCell ref="AS14:AV14"/>
    <mergeCell ref="AO17:AR17"/>
    <mergeCell ref="AS17:AV17"/>
    <mergeCell ref="U18:X18"/>
    <mergeCell ref="Y18:AB18"/>
    <mergeCell ref="AC18:AF18"/>
    <mergeCell ref="AG18:AJ18"/>
    <mergeCell ref="AK18:AN18"/>
    <mergeCell ref="AO18:AR18"/>
    <mergeCell ref="AS18:AV18"/>
    <mergeCell ref="U17:X17"/>
    <mergeCell ref="Y17:AB17"/>
    <mergeCell ref="AC17:AF17"/>
    <mergeCell ref="AG17:AJ17"/>
    <mergeCell ref="AK17:AN17"/>
    <mergeCell ref="AO19:AR19"/>
    <mergeCell ref="AS19:AV19"/>
    <mergeCell ref="U20:X20"/>
    <mergeCell ref="Y20:AB20"/>
    <mergeCell ref="AC20:AF20"/>
    <mergeCell ref="AG20:AJ20"/>
    <mergeCell ref="AK20:AN20"/>
    <mergeCell ref="AO20:AR20"/>
    <mergeCell ref="AS20:AV20"/>
    <mergeCell ref="U19:X19"/>
    <mergeCell ref="Y19:AB19"/>
    <mergeCell ref="AC19:AF19"/>
    <mergeCell ref="AG19:AJ19"/>
    <mergeCell ref="AK19:AN19"/>
    <mergeCell ref="AO21:AR21"/>
    <mergeCell ref="AS21:AV21"/>
    <mergeCell ref="U22:X22"/>
    <mergeCell ref="Y22:AB22"/>
    <mergeCell ref="AC22:AF22"/>
    <mergeCell ref="AG22:AJ22"/>
    <mergeCell ref="AK22:AN22"/>
    <mergeCell ref="AO22:AR22"/>
    <mergeCell ref="AS22:AV22"/>
    <mergeCell ref="U21:X21"/>
    <mergeCell ref="Y21:AB21"/>
    <mergeCell ref="AC21:AF21"/>
    <mergeCell ref="AG21:AJ21"/>
    <mergeCell ref="AK21:AN21"/>
    <mergeCell ref="AO23:AR23"/>
    <mergeCell ref="AS23:AV23"/>
    <mergeCell ref="U24:X24"/>
    <mergeCell ref="Y24:AB24"/>
    <mergeCell ref="AC24:AF24"/>
    <mergeCell ref="AG24:AJ24"/>
    <mergeCell ref="AK24:AN24"/>
    <mergeCell ref="AO24:AR24"/>
    <mergeCell ref="AS24:AV24"/>
    <mergeCell ref="U23:X23"/>
    <mergeCell ref="Y23:AB23"/>
    <mergeCell ref="AC23:AF23"/>
    <mergeCell ref="AG23:AJ23"/>
    <mergeCell ref="AK23:AN23"/>
    <mergeCell ref="AO25:AR25"/>
    <mergeCell ref="AS25:AV25"/>
    <mergeCell ref="U26:X26"/>
    <mergeCell ref="Y26:AB26"/>
    <mergeCell ref="AC26:AF26"/>
    <mergeCell ref="AG26:AJ26"/>
    <mergeCell ref="AK26:AN26"/>
    <mergeCell ref="AO26:AR26"/>
    <mergeCell ref="AS26:AV26"/>
    <mergeCell ref="U25:X25"/>
    <mergeCell ref="Y25:AB25"/>
    <mergeCell ref="AC25:AF25"/>
    <mergeCell ref="AG25:AJ25"/>
    <mergeCell ref="AK25:AN25"/>
    <mergeCell ref="AO27:AR27"/>
    <mergeCell ref="AS27:AV27"/>
    <mergeCell ref="U29:X29"/>
    <mergeCell ref="Y29:AB29"/>
    <mergeCell ref="AC29:AF29"/>
    <mergeCell ref="AG29:AJ29"/>
    <mergeCell ref="AK29:AN29"/>
    <mergeCell ref="AO29:AR29"/>
    <mergeCell ref="AS29:AV29"/>
    <mergeCell ref="U27:X27"/>
    <mergeCell ref="Y27:AB27"/>
    <mergeCell ref="AC27:AF27"/>
    <mergeCell ref="AG27:AJ27"/>
    <mergeCell ref="AK27:AN27"/>
    <mergeCell ref="AO30:AR30"/>
    <mergeCell ref="AS30:AV30"/>
    <mergeCell ref="U31:X31"/>
    <mergeCell ref="Y31:AB31"/>
    <mergeCell ref="AC31:AF31"/>
    <mergeCell ref="AG31:AJ31"/>
    <mergeCell ref="AK31:AN31"/>
    <mergeCell ref="AO31:AR31"/>
    <mergeCell ref="AS31:AV31"/>
    <mergeCell ref="U30:X30"/>
    <mergeCell ref="Y30:AB30"/>
    <mergeCell ref="AC30:AF30"/>
    <mergeCell ref="AG30:AJ30"/>
    <mergeCell ref="AK30:AN30"/>
    <mergeCell ref="AO32:AR32"/>
    <mergeCell ref="AS32:AV32"/>
    <mergeCell ref="U33:X33"/>
    <mergeCell ref="Y33:AB33"/>
    <mergeCell ref="AC33:AF33"/>
    <mergeCell ref="AG33:AJ33"/>
    <mergeCell ref="AK33:AN33"/>
    <mergeCell ref="AO33:AR33"/>
    <mergeCell ref="AS33:AV33"/>
    <mergeCell ref="U32:X32"/>
    <mergeCell ref="Y32:AB32"/>
    <mergeCell ref="AC32:AF32"/>
    <mergeCell ref="AG32:AJ32"/>
    <mergeCell ref="AK32:AN32"/>
    <mergeCell ref="AO34:AR34"/>
    <mergeCell ref="AS34:AV34"/>
    <mergeCell ref="U35:X35"/>
    <mergeCell ref="Y35:AB35"/>
    <mergeCell ref="AC35:AF35"/>
    <mergeCell ref="AG35:AJ35"/>
    <mergeCell ref="AK35:AN35"/>
    <mergeCell ref="AO35:AR35"/>
    <mergeCell ref="AS35:AV35"/>
    <mergeCell ref="U34:X34"/>
    <mergeCell ref="Y34:AB34"/>
    <mergeCell ref="AC34:AF34"/>
    <mergeCell ref="AG34:AJ34"/>
    <mergeCell ref="AK34:AN34"/>
    <mergeCell ref="AO36:AR36"/>
    <mergeCell ref="AS36:AV36"/>
    <mergeCell ref="U37:X37"/>
    <mergeCell ref="Y37:AB37"/>
    <mergeCell ref="AC37:AF37"/>
    <mergeCell ref="AG37:AJ37"/>
    <mergeCell ref="AK37:AN37"/>
    <mergeCell ref="AO37:AR37"/>
    <mergeCell ref="AS37:AV37"/>
    <mergeCell ref="U36:X36"/>
    <mergeCell ref="Y36:AB36"/>
    <mergeCell ref="AC36:AF36"/>
    <mergeCell ref="AG36:AJ36"/>
    <mergeCell ref="AK36:AN36"/>
    <mergeCell ref="AO38:AR38"/>
    <mergeCell ref="AS38:AV38"/>
    <mergeCell ref="U40:X40"/>
    <mergeCell ref="Y40:AB40"/>
    <mergeCell ref="AC40:AF40"/>
    <mergeCell ref="AG40:AJ40"/>
    <mergeCell ref="AK40:AN40"/>
    <mergeCell ref="AO40:AR40"/>
    <mergeCell ref="AS40:AV40"/>
    <mergeCell ref="U38:X38"/>
    <mergeCell ref="Y38:AB38"/>
    <mergeCell ref="AC38:AF38"/>
    <mergeCell ref="AG38:AJ38"/>
    <mergeCell ref="AK38:AN38"/>
    <mergeCell ref="AO43:AR43"/>
    <mergeCell ref="AS43:AV43"/>
    <mergeCell ref="U28:AV28"/>
    <mergeCell ref="U39:AV39"/>
    <mergeCell ref="U5:AV5"/>
    <mergeCell ref="U43:X43"/>
    <mergeCell ref="Y43:AB43"/>
    <mergeCell ref="AC43:AF43"/>
    <mergeCell ref="AG43:AJ43"/>
    <mergeCell ref="AK43:AN43"/>
    <mergeCell ref="AO41:AR41"/>
    <mergeCell ref="AS41:AV41"/>
    <mergeCell ref="U42:X42"/>
    <mergeCell ref="Y42:AB42"/>
    <mergeCell ref="AC42:AF42"/>
    <mergeCell ref="AG42:AJ42"/>
    <mergeCell ref="AK42:AN42"/>
    <mergeCell ref="AO42:AR42"/>
    <mergeCell ref="AS42:AV42"/>
    <mergeCell ref="U41:X41"/>
    <mergeCell ref="Y41:AB41"/>
    <mergeCell ref="AC41:AF41"/>
    <mergeCell ref="AG41:AJ41"/>
    <mergeCell ref="AK41:AN41"/>
  </mergeCells>
  <dataValidations count="1">
    <dataValidation type="whole" allowBlank="1" showInputMessage="1" showErrorMessage="1" errorTitle="GSHSP SY 2022-2023" error="Please enter valid number between 0-999." sqref="U6:AR27 U29:AR38 U40:AR43" xr:uid="{F27A2FE4-EB05-447A-A9E9-4F40F0D4B577}">
      <formula1>0</formula1>
      <formula2>999</formula2>
    </dataValidation>
  </dataValidations>
  <printOptions horizontalCentered="1" verticalCentered="1"/>
  <pageMargins left="0.23622047244094491" right="0.23622047244094491" top="0.39370078740157483" bottom="0.19685039370078741" header="0" footer="0.11811023622047245"/>
  <pageSetup paperSize="5" scale="48" orientation="portrait" r:id="rId2"/>
  <headerFooter>
    <oddFooter>&amp;L&amp;10&amp;F &amp;A&amp;R&amp;10Page 13 of 61</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82CAB-1EC7-4888-A84C-293B6C6ED893}">
  <sheetPr codeName="Sheet9">
    <tabColor rgb="FFFFFF00"/>
    <pageSetUpPr fitToPage="1"/>
  </sheetPr>
  <dimension ref="A1:BJ41"/>
  <sheetViews>
    <sheetView showGridLines="0" topLeftCell="C25" zoomScaleNormal="100" workbookViewId="0">
      <selection activeCell="AD7" sqref="AD7:AS7"/>
    </sheetView>
  </sheetViews>
  <sheetFormatPr defaultColWidth="9" defaultRowHeight="15.75"/>
  <cols>
    <col min="1" max="1" width="2.125" style="164" customWidth="1"/>
    <col min="2" max="45" width="3.625" style="164" customWidth="1"/>
    <col min="46" max="46" width="2.125" style="164" customWidth="1"/>
    <col min="47" max="49" width="3.625" style="164" customWidth="1"/>
    <col min="50" max="50" width="2.125" style="164" customWidth="1"/>
    <col min="51" max="52" width="3.625" style="164" customWidth="1"/>
    <col min="53" max="53" width="2.125" style="164" customWidth="1"/>
    <col min="54" max="62" width="3.625" style="164" customWidth="1"/>
    <col min="63" max="16384" width="9" style="164"/>
  </cols>
  <sheetData>
    <row r="1" spans="1:53" ht="12" customHeight="1">
      <c r="A1" s="260"/>
      <c r="B1" s="260"/>
      <c r="C1" s="260"/>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0"/>
      <c r="AP1" s="260"/>
      <c r="AQ1" s="260"/>
      <c r="AR1" s="260"/>
      <c r="AS1" s="260"/>
      <c r="AT1" s="260"/>
      <c r="AU1" s="260"/>
      <c r="AV1" s="260"/>
      <c r="AW1" s="260"/>
      <c r="AX1" s="260"/>
      <c r="AY1" s="260"/>
      <c r="AZ1" s="260"/>
      <c r="BA1" s="260"/>
    </row>
    <row r="2" spans="1:53" s="101" customFormat="1">
      <c r="A2" s="580"/>
      <c r="B2" s="581" t="s">
        <v>11387</v>
      </c>
      <c r="C2" s="581"/>
      <c r="D2" s="581"/>
      <c r="E2" s="581"/>
      <c r="F2" s="581"/>
      <c r="G2" s="581"/>
      <c r="H2" s="581"/>
      <c r="I2" s="581"/>
      <c r="J2" s="581"/>
      <c r="K2" s="581"/>
      <c r="L2" s="581"/>
      <c r="M2" s="580"/>
      <c r="N2" s="580"/>
      <c r="O2" s="580"/>
      <c r="P2" s="580"/>
      <c r="Q2" s="580"/>
      <c r="R2" s="580"/>
      <c r="S2" s="580"/>
      <c r="T2" s="580"/>
      <c r="U2" s="580"/>
      <c r="V2" s="580"/>
      <c r="W2" s="580"/>
      <c r="X2" s="580"/>
      <c r="Y2" s="580"/>
      <c r="Z2" s="580"/>
      <c r="AA2" s="580"/>
      <c r="AB2" s="580"/>
      <c r="AC2" s="580"/>
      <c r="AD2" s="580"/>
      <c r="AE2" s="580"/>
      <c r="AF2" s="580"/>
      <c r="AG2" s="580"/>
      <c r="AH2" s="580"/>
      <c r="AI2" s="580"/>
      <c r="AJ2" s="580"/>
      <c r="AK2" s="580"/>
      <c r="AL2" s="580"/>
      <c r="AM2" s="580"/>
      <c r="AN2" s="580"/>
      <c r="AO2" s="580"/>
      <c r="AP2" s="580"/>
      <c r="AQ2" s="580"/>
      <c r="AR2" s="580"/>
      <c r="AS2" s="580"/>
      <c r="AT2" s="580"/>
      <c r="AU2" s="580"/>
      <c r="AV2" s="580"/>
      <c r="AW2" s="580"/>
      <c r="AX2" s="580"/>
      <c r="AY2" s="580"/>
      <c r="AZ2" s="580"/>
      <c r="BA2" s="580"/>
    </row>
    <row r="3" spans="1:53" s="40" customFormat="1" ht="16.5" thickBot="1">
      <c r="A3" s="582"/>
      <c r="B3" s="583" t="s">
        <v>1017</v>
      </c>
      <c r="C3" s="582"/>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row>
    <row r="4" spans="1:53" s="40" customFormat="1" ht="14.45" customHeight="1">
      <c r="A4" s="582"/>
      <c r="B4" s="584"/>
      <c r="C4" s="585"/>
      <c r="D4" s="585"/>
      <c r="E4" s="585"/>
      <c r="F4" s="585"/>
      <c r="G4" s="585"/>
      <c r="H4" s="585"/>
      <c r="I4" s="585"/>
      <c r="J4" s="585"/>
      <c r="K4" s="585"/>
      <c r="L4" s="585"/>
      <c r="M4" s="586"/>
      <c r="N4" s="586"/>
      <c r="O4" s="586"/>
      <c r="P4" s="586"/>
      <c r="Q4" s="586"/>
      <c r="R4" s="586"/>
      <c r="S4" s="586"/>
      <c r="T4" s="586"/>
      <c r="U4" s="586"/>
      <c r="V4" s="586"/>
      <c r="W4" s="586"/>
      <c r="X4" s="587"/>
      <c r="Y4" s="582"/>
      <c r="Z4" s="582"/>
      <c r="AA4" s="582"/>
      <c r="AB4" s="582"/>
      <c r="AC4" s="582"/>
      <c r="AD4" s="223" t="s">
        <v>1106</v>
      </c>
      <c r="AE4" s="582"/>
      <c r="AF4" s="582"/>
      <c r="AG4" s="582"/>
      <c r="AH4" s="582"/>
      <c r="AI4" s="582"/>
      <c r="AJ4" s="582"/>
      <c r="AK4" s="582"/>
      <c r="AL4" s="582"/>
      <c r="AM4" s="582"/>
      <c r="AN4" s="582"/>
      <c r="AO4" s="582"/>
      <c r="AP4" s="582"/>
      <c r="AQ4" s="582"/>
      <c r="AR4" s="582"/>
      <c r="AS4" s="582"/>
      <c r="AT4" s="582"/>
      <c r="AU4" s="582"/>
      <c r="AV4" s="582"/>
      <c r="AW4" s="582"/>
      <c r="AX4" s="582"/>
      <c r="AY4" s="582"/>
      <c r="AZ4" s="582"/>
      <c r="BA4" s="582"/>
    </row>
    <row r="5" spans="1:53" s="40" customFormat="1" ht="16.5" customHeight="1">
      <c r="A5" s="582"/>
      <c r="B5" s="588"/>
      <c r="C5" s="582"/>
      <c r="D5" s="589" t="s">
        <v>47</v>
      </c>
      <c r="E5" s="582" t="s">
        <v>390</v>
      </c>
      <c r="F5" s="582"/>
      <c r="G5" s="582"/>
      <c r="H5" s="582"/>
      <c r="I5" s="582"/>
      <c r="J5" s="582"/>
      <c r="K5" s="582"/>
      <c r="L5" s="582"/>
      <c r="M5" s="582"/>
      <c r="N5" s="590"/>
      <c r="O5" s="582"/>
      <c r="P5" s="582"/>
      <c r="Q5" s="610" t="b">
        <v>1</v>
      </c>
      <c r="R5" s="582" t="s">
        <v>391</v>
      </c>
      <c r="S5" s="591"/>
      <c r="T5" s="591"/>
      <c r="U5" s="610"/>
      <c r="V5" s="582" t="s">
        <v>392</v>
      </c>
      <c r="W5" s="582"/>
      <c r="X5" s="592"/>
      <c r="Y5" s="582"/>
      <c r="Z5" s="582"/>
      <c r="AA5" s="582"/>
      <c r="AB5" s="582"/>
      <c r="AC5" s="582"/>
      <c r="AD5" s="582"/>
      <c r="AE5" s="260"/>
      <c r="AF5" s="260"/>
      <c r="AG5" s="260"/>
      <c r="AH5" s="260"/>
      <c r="AI5" s="260"/>
      <c r="AJ5" s="260"/>
      <c r="AK5" s="260"/>
      <c r="AL5" s="260"/>
      <c r="AM5" s="260"/>
      <c r="AN5" s="260"/>
      <c r="AO5" s="260"/>
      <c r="AP5" s="260"/>
      <c r="AQ5" s="260"/>
      <c r="AR5" s="260"/>
      <c r="AS5" s="260"/>
      <c r="AT5" s="260"/>
      <c r="AU5" s="260"/>
      <c r="AV5" s="582"/>
      <c r="AW5" s="582"/>
      <c r="AX5" s="582"/>
      <c r="AY5" s="582"/>
      <c r="AZ5" s="582"/>
      <c r="BA5" s="582"/>
    </row>
    <row r="6" spans="1:53" s="40" customFormat="1" ht="17.45" customHeight="1">
      <c r="A6" s="582"/>
      <c r="B6" s="588"/>
      <c r="C6" s="582"/>
      <c r="D6" s="589"/>
      <c r="E6" s="582" t="s">
        <v>394</v>
      </c>
      <c r="F6" s="582"/>
      <c r="G6" s="582"/>
      <c r="H6" s="582"/>
      <c r="I6" s="582"/>
      <c r="J6" s="582"/>
      <c r="K6" s="582"/>
      <c r="L6" s="582"/>
      <c r="M6" s="582"/>
      <c r="N6" s="582"/>
      <c r="O6" s="590"/>
      <c r="P6" s="582"/>
      <c r="Q6" s="582"/>
      <c r="R6" s="582"/>
      <c r="S6" s="582"/>
      <c r="T6" s="582"/>
      <c r="U6" s="593"/>
      <c r="V6" s="582"/>
      <c r="W6" s="582"/>
      <c r="X6" s="592"/>
      <c r="Y6" s="582"/>
      <c r="Z6" s="582"/>
      <c r="AA6" s="582"/>
      <c r="AB6" s="582"/>
      <c r="AC6" s="582"/>
      <c r="AD6" s="1970" t="s">
        <v>11911</v>
      </c>
      <c r="AE6" s="1970"/>
      <c r="AF6" s="1970"/>
      <c r="AG6" s="1970"/>
      <c r="AH6" s="1970"/>
      <c r="AI6" s="1970"/>
      <c r="AJ6" s="1970"/>
      <c r="AK6" s="1970"/>
      <c r="AL6" s="1970"/>
      <c r="AM6" s="1970"/>
      <c r="AN6" s="1970"/>
      <c r="AO6" s="1970"/>
      <c r="AP6" s="1970"/>
      <c r="AQ6" s="1970"/>
      <c r="AR6" s="1970"/>
      <c r="AS6" s="1970"/>
      <c r="AT6" s="263"/>
      <c r="AU6" s="263"/>
      <c r="AV6" s="582"/>
      <c r="AW6" s="582"/>
      <c r="AX6" s="582"/>
      <c r="AY6" s="582"/>
      <c r="AZ6" s="582"/>
      <c r="BA6" s="582"/>
    </row>
    <row r="7" spans="1:53" s="40" customFormat="1" ht="25.5" customHeight="1">
      <c r="A7" s="582"/>
      <c r="B7" s="588"/>
      <c r="C7" s="582"/>
      <c r="D7" s="589"/>
      <c r="E7" s="582"/>
      <c r="F7" s="582" t="s">
        <v>396</v>
      </c>
      <c r="G7" s="582" t="s">
        <v>11875</v>
      </c>
      <c r="H7" s="582"/>
      <c r="I7" s="582"/>
      <c r="J7" s="582"/>
      <c r="K7" s="582"/>
      <c r="L7" s="582"/>
      <c r="M7" s="582"/>
      <c r="N7" s="582"/>
      <c r="O7" s="582"/>
      <c r="P7" s="582"/>
      <c r="Q7" s="2615">
        <v>7</v>
      </c>
      <c r="R7" s="2615"/>
      <c r="S7" s="2615"/>
      <c r="T7" s="2615"/>
      <c r="U7" s="2615"/>
      <c r="V7" s="582"/>
      <c r="W7" s="582"/>
      <c r="X7" s="592"/>
      <c r="Y7" s="582"/>
      <c r="Z7" s="582"/>
      <c r="AA7" s="582"/>
      <c r="AB7" s="582"/>
      <c r="AC7" s="582"/>
      <c r="AD7" s="1811" t="s">
        <v>37</v>
      </c>
      <c r="AE7" s="1811"/>
      <c r="AF7" s="1811"/>
      <c r="AG7" s="1811"/>
      <c r="AH7" s="1811"/>
      <c r="AI7" s="1811"/>
      <c r="AJ7" s="1811"/>
      <c r="AK7" s="1811"/>
      <c r="AL7" s="1811"/>
      <c r="AM7" s="1811"/>
      <c r="AN7" s="1811"/>
      <c r="AO7" s="1811"/>
      <c r="AP7" s="1811"/>
      <c r="AQ7" s="1811"/>
      <c r="AR7" s="1811"/>
      <c r="AS7" s="1811"/>
      <c r="AT7" s="281"/>
      <c r="AU7" s="281"/>
      <c r="AV7" s="582"/>
      <c r="AW7" s="582"/>
      <c r="AX7" s="582"/>
      <c r="AY7" s="582"/>
      <c r="AZ7" s="582"/>
      <c r="BA7" s="582"/>
    </row>
    <row r="8" spans="1:53" s="40" customFormat="1" ht="25.5" customHeight="1">
      <c r="A8" s="582"/>
      <c r="B8" s="588"/>
      <c r="C8" s="582"/>
      <c r="D8" s="589"/>
      <c r="E8" s="582"/>
      <c r="F8" s="582" t="s">
        <v>397</v>
      </c>
      <c r="G8" s="582" t="s">
        <v>11876</v>
      </c>
      <c r="H8" s="582"/>
      <c r="I8" s="582"/>
      <c r="J8" s="582"/>
      <c r="K8" s="582"/>
      <c r="L8" s="582"/>
      <c r="M8" s="582"/>
      <c r="N8" s="582"/>
      <c r="O8" s="590"/>
      <c r="P8" s="582"/>
      <c r="Q8" s="2615">
        <v>7</v>
      </c>
      <c r="R8" s="2615"/>
      <c r="S8" s="2615"/>
      <c r="T8" s="2615"/>
      <c r="U8" s="2615"/>
      <c r="V8" s="582"/>
      <c r="W8" s="582"/>
      <c r="X8" s="592"/>
      <c r="Y8" s="582"/>
      <c r="Z8" s="582"/>
      <c r="AA8" s="582"/>
      <c r="AB8" s="582"/>
      <c r="AC8" s="582"/>
      <c r="AD8" s="223" t="s">
        <v>58</v>
      </c>
      <c r="AE8" s="260"/>
      <c r="AF8" s="260"/>
      <c r="AG8" s="260"/>
      <c r="AH8" s="1970" t="s">
        <v>11897</v>
      </c>
      <c r="AI8" s="1970"/>
      <c r="AJ8" s="1970"/>
      <c r="AK8" s="1970"/>
      <c r="AL8" s="1970"/>
      <c r="AM8" s="1970"/>
      <c r="AN8" s="1970"/>
      <c r="AO8" s="1970"/>
      <c r="AP8" s="1970"/>
      <c r="AQ8" s="1970"/>
      <c r="AR8" s="1970"/>
      <c r="AS8" s="1970"/>
      <c r="AT8" s="260"/>
      <c r="AU8" s="260"/>
      <c r="AV8" s="582"/>
      <c r="AW8" s="582"/>
      <c r="AX8" s="582"/>
      <c r="AY8" s="582"/>
      <c r="AZ8" s="582"/>
      <c r="BA8" s="582"/>
    </row>
    <row r="9" spans="1:53" s="40" customFormat="1" ht="12.95" customHeight="1" thickBot="1">
      <c r="A9" s="582"/>
      <c r="B9" s="594"/>
      <c r="C9" s="595"/>
      <c r="D9" s="595"/>
      <c r="E9" s="595"/>
      <c r="F9" s="595"/>
      <c r="G9" s="595"/>
      <c r="H9" s="595"/>
      <c r="I9" s="595"/>
      <c r="J9" s="595"/>
      <c r="K9" s="595"/>
      <c r="L9" s="595"/>
      <c r="M9" s="595"/>
      <c r="N9" s="596"/>
      <c r="O9" s="596"/>
      <c r="P9" s="596"/>
      <c r="Q9" s="596"/>
      <c r="R9" s="596"/>
      <c r="S9" s="596"/>
      <c r="T9" s="596"/>
      <c r="U9" s="596"/>
      <c r="V9" s="596"/>
      <c r="W9" s="596"/>
      <c r="X9" s="597"/>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row>
    <row r="10" spans="1:53" ht="12.95" customHeight="1">
      <c r="A10" s="260"/>
      <c r="B10" s="260"/>
      <c r="C10" s="260"/>
      <c r="D10" s="260"/>
      <c r="E10" s="260"/>
      <c r="F10" s="260"/>
      <c r="G10" s="260"/>
      <c r="H10" s="260"/>
      <c r="I10" s="260"/>
      <c r="J10" s="260"/>
      <c r="K10" s="260"/>
      <c r="L10" s="260"/>
      <c r="M10" s="260"/>
      <c r="N10" s="260"/>
      <c r="O10" s="260"/>
      <c r="P10" s="260"/>
      <c r="Q10" s="260"/>
      <c r="R10" s="260"/>
      <c r="S10" s="260"/>
      <c r="T10" s="260"/>
      <c r="U10" s="260"/>
      <c r="V10" s="260"/>
      <c r="W10" s="260"/>
      <c r="X10" s="260"/>
      <c r="Y10" s="260"/>
      <c r="Z10" s="260"/>
      <c r="AA10" s="260"/>
      <c r="AB10" s="260"/>
      <c r="AC10" s="260"/>
      <c r="AD10" s="260"/>
      <c r="AE10" s="260"/>
      <c r="AF10" s="260"/>
      <c r="AG10" s="260"/>
      <c r="AH10" s="260"/>
      <c r="AI10" s="260"/>
      <c r="AJ10" s="260"/>
      <c r="AK10" s="260"/>
      <c r="AL10" s="260"/>
      <c r="AM10" s="260"/>
      <c r="AN10" s="260"/>
      <c r="AO10" s="260"/>
      <c r="AP10" s="260"/>
      <c r="AQ10" s="260"/>
      <c r="AR10" s="260"/>
      <c r="AS10" s="260"/>
      <c r="AT10" s="260"/>
      <c r="AU10" s="260"/>
      <c r="AV10" s="260"/>
      <c r="AW10" s="260"/>
      <c r="AX10" s="260"/>
      <c r="AY10" s="260"/>
      <c r="AZ10" s="260"/>
      <c r="BA10" s="260"/>
    </row>
    <row r="11" spans="1:53" ht="7.5" customHeight="1">
      <c r="A11" s="260"/>
      <c r="B11" s="260"/>
      <c r="C11" s="260"/>
      <c r="D11" s="260"/>
      <c r="E11" s="260"/>
      <c r="F11" s="260"/>
      <c r="G11" s="260"/>
      <c r="H11" s="260"/>
      <c r="I11" s="260"/>
      <c r="J11" s="260"/>
      <c r="K11" s="260"/>
      <c r="L11" s="260"/>
      <c r="M11" s="260"/>
      <c r="N11" s="260"/>
      <c r="O11" s="260"/>
      <c r="P11" s="260"/>
      <c r="Q11" s="260"/>
      <c r="R11" s="260"/>
      <c r="S11" s="260"/>
      <c r="T11" s="260"/>
      <c r="U11" s="260"/>
      <c r="V11" s="260"/>
      <c r="W11" s="260"/>
      <c r="X11" s="260"/>
      <c r="Y11" s="260"/>
      <c r="Z11" s="260"/>
      <c r="AA11" s="260"/>
      <c r="AB11" s="260"/>
      <c r="AC11" s="260"/>
      <c r="AD11" s="260"/>
      <c r="AE11" s="260"/>
      <c r="AF11" s="260"/>
      <c r="AG11" s="260"/>
      <c r="AH11" s="260"/>
      <c r="AI11" s="260"/>
      <c r="AJ11" s="260"/>
      <c r="AK11" s="260"/>
      <c r="AL11" s="260"/>
      <c r="AM11" s="260"/>
      <c r="AN11" s="260"/>
      <c r="AO11" s="260"/>
      <c r="AP11" s="260"/>
      <c r="AQ11" s="260"/>
      <c r="AR11" s="260"/>
      <c r="AS11" s="260"/>
      <c r="AT11" s="260"/>
      <c r="AU11" s="260"/>
      <c r="AV11" s="260"/>
      <c r="AW11" s="260"/>
      <c r="AX11" s="260"/>
      <c r="AY11" s="260"/>
      <c r="AZ11" s="260"/>
      <c r="BA11" s="260"/>
    </row>
    <row r="12" spans="1:53" ht="18" customHeight="1">
      <c r="A12" s="260"/>
      <c r="B12" s="598"/>
      <c r="C12" s="260"/>
      <c r="D12" s="598"/>
      <c r="E12" s="260"/>
      <c r="F12" s="598"/>
      <c r="G12" s="260"/>
      <c r="H12" s="598"/>
      <c r="I12" s="260"/>
      <c r="J12" s="598"/>
      <c r="K12" s="260"/>
      <c r="L12" s="598"/>
      <c r="M12" s="260"/>
      <c r="N12" s="598"/>
      <c r="O12" s="260"/>
      <c r="P12" s="598"/>
      <c r="Q12" s="599"/>
      <c r="R12" s="580"/>
      <c r="S12" s="580"/>
      <c r="T12" s="580"/>
      <c r="U12" s="580"/>
      <c r="V12" s="580"/>
      <c r="W12" s="580"/>
      <c r="X12" s="600"/>
      <c r="Y12" s="601"/>
      <c r="Z12" s="601"/>
      <c r="AA12" s="260"/>
      <c r="AB12" s="260"/>
      <c r="AC12" s="260"/>
      <c r="AD12" s="260"/>
      <c r="AE12" s="260"/>
      <c r="AF12" s="260"/>
      <c r="AG12" s="260"/>
      <c r="AH12" s="260"/>
      <c r="AI12" s="260"/>
      <c r="AJ12" s="260"/>
      <c r="AK12" s="260"/>
      <c r="AL12" s="260"/>
      <c r="AM12" s="260"/>
      <c r="AN12" s="260"/>
      <c r="AO12" s="260"/>
      <c r="AP12" s="260"/>
      <c r="AQ12" s="260"/>
      <c r="AR12" s="260"/>
      <c r="AS12" s="260"/>
      <c r="AT12" s="260"/>
      <c r="AU12" s="260"/>
      <c r="AV12" s="260"/>
      <c r="AW12" s="260"/>
      <c r="AX12" s="260"/>
      <c r="AY12" s="260"/>
      <c r="AZ12" s="260"/>
      <c r="BA12" s="260"/>
    </row>
    <row r="13" spans="1:53" s="101" customFormat="1">
      <c r="A13" s="580"/>
      <c r="B13" s="581" t="s">
        <v>11388</v>
      </c>
      <c r="C13" s="581"/>
      <c r="D13" s="581"/>
      <c r="E13" s="581"/>
      <c r="F13" s="581"/>
      <c r="G13" s="581"/>
      <c r="H13" s="581"/>
      <c r="I13" s="581"/>
      <c r="J13" s="581"/>
      <c r="K13" s="581"/>
      <c r="L13" s="581"/>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row>
    <row r="14" spans="1:53" s="40" customFormat="1" ht="16.5" thickBot="1">
      <c r="A14" s="582"/>
      <c r="B14" s="583" t="s">
        <v>1017</v>
      </c>
      <c r="C14" s="582"/>
      <c r="D14" s="582"/>
      <c r="E14" s="582"/>
      <c r="F14" s="582"/>
      <c r="G14" s="582"/>
      <c r="H14" s="582"/>
      <c r="I14" s="582"/>
      <c r="J14" s="582"/>
      <c r="K14" s="582"/>
      <c r="L14" s="582"/>
      <c r="M14" s="582"/>
      <c r="N14" s="582"/>
      <c r="O14" s="582"/>
      <c r="P14" s="582"/>
      <c r="Q14" s="582"/>
      <c r="R14" s="582"/>
      <c r="S14" s="582"/>
      <c r="T14" s="582"/>
      <c r="U14" s="582"/>
      <c r="V14" s="582"/>
      <c r="W14" s="582"/>
      <c r="X14" s="582"/>
      <c r="Y14" s="582"/>
      <c r="Z14" s="582"/>
      <c r="AA14" s="582"/>
      <c r="AB14" s="582"/>
      <c r="AC14" s="582"/>
      <c r="AD14" s="582"/>
      <c r="AE14" s="582"/>
      <c r="AF14" s="582"/>
      <c r="AG14" s="582"/>
      <c r="AH14" s="582"/>
      <c r="AI14" s="582"/>
      <c r="AJ14" s="582"/>
      <c r="AK14" s="582"/>
      <c r="AL14" s="582"/>
      <c r="AM14" s="582"/>
      <c r="AN14" s="582"/>
      <c r="AO14" s="582"/>
      <c r="AP14" s="582"/>
      <c r="AQ14" s="582"/>
      <c r="AR14" s="582"/>
      <c r="AS14" s="582"/>
      <c r="AT14" s="582"/>
      <c r="AU14" s="582"/>
      <c r="AV14" s="582"/>
      <c r="AW14" s="582"/>
      <c r="AX14" s="582"/>
      <c r="AY14" s="582"/>
      <c r="AZ14" s="582"/>
      <c r="BA14" s="582"/>
    </row>
    <row r="15" spans="1:53" s="40" customFormat="1" ht="7.5" customHeight="1">
      <c r="A15" s="582"/>
      <c r="B15" s="602"/>
      <c r="C15" s="585"/>
      <c r="D15" s="585"/>
      <c r="E15" s="585"/>
      <c r="F15" s="585"/>
      <c r="G15" s="585"/>
      <c r="H15" s="585"/>
      <c r="I15" s="585"/>
      <c r="J15" s="585"/>
      <c r="K15" s="585"/>
      <c r="L15" s="585"/>
      <c r="M15" s="585"/>
      <c r="N15" s="586"/>
      <c r="O15" s="586"/>
      <c r="P15" s="586"/>
      <c r="Q15" s="586"/>
      <c r="R15" s="586"/>
      <c r="S15" s="586"/>
      <c r="T15" s="586"/>
      <c r="U15" s="586"/>
      <c r="V15" s="586"/>
      <c r="W15" s="586"/>
      <c r="X15" s="587"/>
      <c r="Y15" s="582"/>
      <c r="Z15" s="582"/>
      <c r="AA15" s="582"/>
      <c r="AB15" s="582"/>
      <c r="AC15" s="582"/>
      <c r="AD15" s="582"/>
      <c r="AE15" s="582"/>
      <c r="AF15" s="582"/>
      <c r="AG15" s="582"/>
      <c r="AH15" s="582"/>
      <c r="AI15" s="582"/>
      <c r="AJ15" s="582"/>
      <c r="AK15" s="582"/>
      <c r="AL15" s="582"/>
      <c r="AM15" s="582"/>
      <c r="AN15" s="582"/>
      <c r="AO15" s="582"/>
      <c r="AP15" s="582"/>
      <c r="AQ15" s="582"/>
      <c r="AR15" s="582"/>
      <c r="AS15" s="582"/>
      <c r="AT15" s="582"/>
      <c r="AU15" s="582"/>
      <c r="AV15" s="582"/>
      <c r="AW15" s="582"/>
      <c r="AX15" s="582"/>
      <c r="AY15" s="582"/>
      <c r="AZ15" s="582"/>
      <c r="BA15" s="582"/>
    </row>
    <row r="16" spans="1:53" s="40" customFormat="1" ht="25.5" customHeight="1">
      <c r="A16" s="582"/>
      <c r="B16" s="588"/>
      <c r="C16" s="582"/>
      <c r="D16" s="589" t="s">
        <v>47</v>
      </c>
      <c r="E16" s="582" t="s">
        <v>393</v>
      </c>
      <c r="F16" s="582"/>
      <c r="G16" s="582"/>
      <c r="H16" s="582"/>
      <c r="I16" s="582"/>
      <c r="J16" s="582"/>
      <c r="K16" s="582"/>
      <c r="L16" s="582"/>
      <c r="M16" s="582"/>
      <c r="N16" s="582"/>
      <c r="O16" s="582"/>
      <c r="P16" s="582"/>
      <c r="Q16" s="610" t="b">
        <v>1</v>
      </c>
      <c r="R16" s="582" t="s">
        <v>391</v>
      </c>
      <c r="S16" s="591"/>
      <c r="T16" s="591"/>
      <c r="U16" s="610"/>
      <c r="V16" s="582" t="s">
        <v>392</v>
      </c>
      <c r="W16" s="582"/>
      <c r="X16" s="592"/>
      <c r="Y16" s="582"/>
      <c r="Z16" s="582"/>
      <c r="AA16" s="582"/>
      <c r="AB16" s="582"/>
      <c r="AC16" s="582"/>
      <c r="AD16" s="223" t="s">
        <v>401</v>
      </c>
      <c r="AE16" s="260"/>
      <c r="AF16" s="260"/>
      <c r="AG16" s="260"/>
      <c r="AH16" s="260"/>
      <c r="AI16" s="260"/>
      <c r="AJ16" s="260"/>
      <c r="AK16" s="260"/>
      <c r="AL16" s="260"/>
      <c r="AM16" s="260"/>
      <c r="AN16" s="260"/>
      <c r="AO16" s="260"/>
      <c r="AP16" s="260"/>
      <c r="AQ16" s="260"/>
      <c r="AR16" s="260"/>
      <c r="AS16" s="260"/>
      <c r="AT16" s="582"/>
      <c r="AU16" s="582"/>
      <c r="AV16" s="582"/>
      <c r="AW16" s="582"/>
      <c r="AX16" s="582"/>
      <c r="AY16" s="582"/>
      <c r="AZ16" s="582"/>
      <c r="BA16" s="582"/>
    </row>
    <row r="17" spans="1:62" s="40" customFormat="1">
      <c r="A17" s="582"/>
      <c r="B17" s="588"/>
      <c r="C17" s="582"/>
      <c r="D17" s="589"/>
      <c r="E17" s="582" t="s">
        <v>395</v>
      </c>
      <c r="F17" s="582"/>
      <c r="G17" s="582"/>
      <c r="H17" s="582"/>
      <c r="I17" s="582"/>
      <c r="J17" s="582"/>
      <c r="K17" s="582"/>
      <c r="L17" s="582"/>
      <c r="M17" s="582"/>
      <c r="N17" s="582"/>
      <c r="O17" s="590"/>
      <c r="P17" s="582"/>
      <c r="Q17" s="582"/>
      <c r="R17" s="582"/>
      <c r="S17" s="582"/>
      <c r="T17" s="582"/>
      <c r="U17" s="593"/>
      <c r="V17" s="582"/>
      <c r="W17" s="582"/>
      <c r="X17" s="592"/>
      <c r="Y17" s="582"/>
      <c r="Z17" s="582"/>
      <c r="AA17" s="582"/>
      <c r="AB17" s="582"/>
      <c r="AC17" s="582"/>
      <c r="AD17" s="2616" t="s">
        <v>11911</v>
      </c>
      <c r="AE17" s="2616"/>
      <c r="AF17" s="2616"/>
      <c r="AG17" s="2616"/>
      <c r="AH17" s="2616"/>
      <c r="AI17" s="2616"/>
      <c r="AJ17" s="2616"/>
      <c r="AK17" s="2616"/>
      <c r="AL17" s="2616"/>
      <c r="AM17" s="2616"/>
      <c r="AN17" s="2616"/>
      <c r="AO17" s="2616"/>
      <c r="AP17" s="2616"/>
      <c r="AQ17" s="2616"/>
      <c r="AR17" s="2616"/>
      <c r="AS17" s="2616"/>
      <c r="AT17" s="582"/>
      <c r="AU17" s="582"/>
      <c r="AV17" s="582"/>
      <c r="AW17" s="582"/>
      <c r="AX17" s="582"/>
      <c r="AY17" s="582"/>
      <c r="AZ17" s="582"/>
      <c r="BA17" s="582"/>
    </row>
    <row r="18" spans="1:62" s="40" customFormat="1" ht="25.5" customHeight="1">
      <c r="A18" s="582"/>
      <c r="B18" s="588"/>
      <c r="C18" s="582"/>
      <c r="D18" s="589"/>
      <c r="E18" s="582"/>
      <c r="F18" s="582" t="s">
        <v>396</v>
      </c>
      <c r="G18" s="582" t="s">
        <v>11877</v>
      </c>
      <c r="H18" s="582"/>
      <c r="I18" s="582"/>
      <c r="J18" s="582"/>
      <c r="K18" s="582"/>
      <c r="L18" s="582"/>
      <c r="M18" s="582"/>
      <c r="N18" s="2615">
        <v>2</v>
      </c>
      <c r="O18" s="2615"/>
      <c r="P18" s="2615"/>
      <c r="Q18" s="2615"/>
      <c r="R18" s="2615"/>
      <c r="S18" s="582"/>
      <c r="T18" s="593"/>
      <c r="U18" s="582"/>
      <c r="V18" s="582"/>
      <c r="W18" s="582"/>
      <c r="X18" s="592"/>
      <c r="Y18" s="582"/>
      <c r="Z18" s="582"/>
      <c r="AA18" s="582"/>
      <c r="AB18" s="582"/>
      <c r="AC18" s="582"/>
      <c r="AD18" s="1970"/>
      <c r="AE18" s="1970"/>
      <c r="AF18" s="1970"/>
      <c r="AG18" s="1970"/>
      <c r="AH18" s="1970"/>
      <c r="AI18" s="1970"/>
      <c r="AJ18" s="1970"/>
      <c r="AK18" s="1970"/>
      <c r="AL18" s="1970"/>
      <c r="AM18" s="1970"/>
      <c r="AN18" s="1970"/>
      <c r="AO18" s="1970"/>
      <c r="AP18" s="1970"/>
      <c r="AQ18" s="1970"/>
      <c r="AR18" s="1970"/>
      <c r="AS18" s="1970"/>
      <c r="AT18" s="582"/>
      <c r="AU18" s="582"/>
      <c r="AV18" s="582"/>
      <c r="AW18" s="582"/>
      <c r="AX18" s="582"/>
      <c r="AY18" s="582"/>
      <c r="AZ18" s="582"/>
      <c r="BA18" s="582"/>
    </row>
    <row r="19" spans="1:62" s="40" customFormat="1" ht="25.5" customHeight="1">
      <c r="A19" s="582"/>
      <c r="B19" s="588"/>
      <c r="C19" s="582"/>
      <c r="D19" s="589"/>
      <c r="E19" s="582"/>
      <c r="F19" s="582" t="s">
        <v>397</v>
      </c>
      <c r="G19" s="582" t="s">
        <v>398</v>
      </c>
      <c r="H19" s="582"/>
      <c r="I19" s="582"/>
      <c r="J19" s="582"/>
      <c r="K19" s="582"/>
      <c r="L19" s="582"/>
      <c r="M19" s="582"/>
      <c r="N19" s="2615">
        <v>7</v>
      </c>
      <c r="O19" s="2615"/>
      <c r="P19" s="2615"/>
      <c r="Q19" s="2615"/>
      <c r="R19" s="2615"/>
      <c r="S19" s="582"/>
      <c r="T19" s="582"/>
      <c r="U19" s="582"/>
      <c r="V19" s="582"/>
      <c r="W19" s="582"/>
      <c r="X19" s="592"/>
      <c r="Y19" s="582"/>
      <c r="Z19" s="582"/>
      <c r="AA19" s="582"/>
      <c r="AB19" s="582"/>
      <c r="AC19" s="582"/>
      <c r="AD19" s="1811" t="s">
        <v>37</v>
      </c>
      <c r="AE19" s="1811"/>
      <c r="AF19" s="1811"/>
      <c r="AG19" s="1811"/>
      <c r="AH19" s="1811"/>
      <c r="AI19" s="1811"/>
      <c r="AJ19" s="1811"/>
      <c r="AK19" s="1811"/>
      <c r="AL19" s="1811"/>
      <c r="AM19" s="1811"/>
      <c r="AN19" s="1811"/>
      <c r="AO19" s="1811"/>
      <c r="AP19" s="1811"/>
      <c r="AQ19" s="1811"/>
      <c r="AR19" s="1811"/>
      <c r="AS19" s="1811"/>
      <c r="AT19" s="582"/>
      <c r="AU19" s="582"/>
      <c r="AV19" s="582"/>
      <c r="AW19" s="582"/>
      <c r="AX19" s="582"/>
      <c r="AY19" s="582"/>
      <c r="AZ19" s="582"/>
      <c r="BA19" s="582"/>
    </row>
    <row r="20" spans="1:62" s="40" customFormat="1" ht="12.95" customHeight="1">
      <c r="A20" s="582"/>
      <c r="B20" s="588"/>
      <c r="C20" s="582"/>
      <c r="D20" s="589"/>
      <c r="E20" s="582"/>
      <c r="F20" s="2613" t="s">
        <v>399</v>
      </c>
      <c r="G20" s="2613" t="s">
        <v>400</v>
      </c>
      <c r="H20" s="2613"/>
      <c r="I20" s="2613"/>
      <c r="J20" s="2613"/>
      <c r="K20" s="582"/>
      <c r="L20" s="582"/>
      <c r="M20" s="582"/>
      <c r="N20" s="2614">
        <v>2</v>
      </c>
      <c r="O20" s="2614"/>
      <c r="P20" s="2614"/>
      <c r="Q20" s="2614"/>
      <c r="R20" s="2614"/>
      <c r="S20" s="582"/>
      <c r="T20" s="593"/>
      <c r="U20" s="582"/>
      <c r="V20" s="582"/>
      <c r="W20" s="582"/>
      <c r="X20" s="592"/>
      <c r="Y20" s="582"/>
      <c r="Z20" s="582"/>
      <c r="AA20" s="582"/>
      <c r="AB20" s="582"/>
      <c r="AC20" s="582"/>
      <c r="AD20" s="582"/>
      <c r="AE20" s="582"/>
      <c r="AF20" s="582"/>
      <c r="AG20" s="582"/>
      <c r="AH20" s="582"/>
      <c r="AI20" s="582"/>
      <c r="AJ20" s="582"/>
      <c r="AK20" s="582"/>
      <c r="AL20" s="582"/>
      <c r="AM20" s="582"/>
      <c r="AN20" s="582"/>
      <c r="AO20" s="582"/>
      <c r="AP20" s="582"/>
      <c r="AQ20" s="582"/>
      <c r="AR20" s="582"/>
      <c r="AS20" s="582"/>
      <c r="AT20" s="582"/>
      <c r="AU20" s="582"/>
      <c r="AV20" s="582"/>
      <c r="AW20" s="582"/>
      <c r="AX20" s="582"/>
      <c r="AY20" s="582"/>
      <c r="AZ20" s="582"/>
      <c r="BA20" s="582"/>
    </row>
    <row r="21" spans="1:62" ht="12.95" customHeight="1">
      <c r="A21" s="260"/>
      <c r="B21" s="603"/>
      <c r="C21" s="582"/>
      <c r="D21" s="604"/>
      <c r="E21" s="604"/>
      <c r="F21" s="2613"/>
      <c r="G21" s="2613"/>
      <c r="H21" s="2613"/>
      <c r="I21" s="2613"/>
      <c r="J21" s="2613"/>
      <c r="K21" s="582"/>
      <c r="L21" s="582"/>
      <c r="M21" s="582"/>
      <c r="N21" s="2615"/>
      <c r="O21" s="2615"/>
      <c r="P21" s="2615"/>
      <c r="Q21" s="2615"/>
      <c r="R21" s="2615"/>
      <c r="S21" s="582"/>
      <c r="T21" s="582"/>
      <c r="U21" s="582"/>
      <c r="V21" s="582"/>
      <c r="W21" s="582"/>
      <c r="X21" s="605"/>
      <c r="Y21" s="260"/>
      <c r="Z21" s="260"/>
      <c r="AA21" s="260"/>
      <c r="AB21" s="260"/>
      <c r="AC21" s="260"/>
      <c r="AD21" s="260"/>
      <c r="AE21" s="260"/>
      <c r="AF21" s="260"/>
      <c r="AG21" s="260"/>
      <c r="AH21" s="260"/>
      <c r="AI21" s="260"/>
      <c r="AJ21" s="260"/>
      <c r="AK21" s="260"/>
      <c r="AL21" s="260"/>
      <c r="AM21" s="260"/>
      <c r="AN21" s="260"/>
      <c r="AO21" s="260"/>
      <c r="AP21" s="260"/>
      <c r="AQ21" s="260"/>
      <c r="AR21" s="260"/>
      <c r="AS21" s="260"/>
      <c r="AT21" s="260"/>
      <c r="AU21" s="260"/>
      <c r="AV21" s="260"/>
      <c r="AW21" s="260"/>
      <c r="AX21" s="260"/>
      <c r="AY21" s="260"/>
      <c r="AZ21" s="260"/>
      <c r="BA21" s="260"/>
    </row>
    <row r="22" spans="1:62" ht="7.5" customHeight="1" thickBot="1">
      <c r="A22" s="260"/>
      <c r="B22" s="606"/>
      <c r="C22" s="607"/>
      <c r="D22" s="607"/>
      <c r="E22" s="607"/>
      <c r="F22" s="607"/>
      <c r="G22" s="607"/>
      <c r="H22" s="607"/>
      <c r="I22" s="607"/>
      <c r="J22" s="607"/>
      <c r="K22" s="607"/>
      <c r="L22" s="607"/>
      <c r="M22" s="607"/>
      <c r="N22" s="607"/>
      <c r="O22" s="607"/>
      <c r="P22" s="607"/>
      <c r="Q22" s="607"/>
      <c r="R22" s="607"/>
      <c r="S22" s="607"/>
      <c r="T22" s="607"/>
      <c r="U22" s="607"/>
      <c r="V22" s="607"/>
      <c r="W22" s="607"/>
      <c r="X22" s="608"/>
      <c r="Y22" s="260"/>
      <c r="Z22" s="260"/>
      <c r="AA22" s="260"/>
      <c r="AB22" s="260"/>
      <c r="AC22" s="260"/>
      <c r="AD22" s="260"/>
      <c r="AE22" s="260"/>
      <c r="AF22" s="260"/>
      <c r="AG22" s="260"/>
      <c r="AH22" s="260"/>
      <c r="AI22" s="260"/>
      <c r="AJ22" s="260"/>
      <c r="AK22" s="260"/>
      <c r="AL22" s="260"/>
      <c r="AM22" s="260"/>
      <c r="AN22" s="260"/>
      <c r="AO22" s="260"/>
      <c r="AP22" s="260"/>
      <c r="AQ22" s="260"/>
      <c r="AR22" s="260"/>
      <c r="AS22" s="260"/>
      <c r="AT22" s="260"/>
      <c r="AU22" s="260"/>
      <c r="AV22" s="260"/>
      <c r="AW22" s="260"/>
      <c r="AX22" s="260"/>
      <c r="AY22" s="260"/>
      <c r="AZ22" s="260"/>
      <c r="BA22" s="260"/>
    </row>
    <row r="23" spans="1:62" ht="21.75" customHeight="1">
      <c r="A23" s="260"/>
      <c r="B23" s="223"/>
      <c r="C23" s="260"/>
      <c r="D23" s="260"/>
      <c r="E23" s="260"/>
      <c r="F23" s="609"/>
      <c r="G23" s="609"/>
      <c r="H23" s="609"/>
      <c r="I23" s="609"/>
      <c r="J23" s="609"/>
      <c r="K23" s="609"/>
      <c r="L23" s="609"/>
      <c r="M23" s="609"/>
      <c r="N23" s="609"/>
      <c r="O23" s="609"/>
      <c r="P23" s="609"/>
      <c r="Q23" s="260"/>
      <c r="R23" s="260"/>
      <c r="S23" s="260"/>
      <c r="T23" s="260"/>
      <c r="U23" s="260"/>
      <c r="V23" s="260"/>
      <c r="W23" s="260"/>
      <c r="X23" s="260"/>
      <c r="Y23" s="260"/>
      <c r="Z23" s="260"/>
      <c r="AA23" s="247"/>
      <c r="AB23" s="247"/>
      <c r="AC23" s="247"/>
      <c r="AD23" s="247"/>
      <c r="AE23" s="247"/>
      <c r="AF23" s="247"/>
      <c r="AG23" s="247"/>
      <c r="AH23" s="247"/>
      <c r="AI23" s="247"/>
      <c r="AJ23" s="247"/>
      <c r="AK23" s="247"/>
      <c r="AL23" s="247"/>
      <c r="AM23" s="247"/>
      <c r="AN23" s="247"/>
      <c r="AO23" s="247"/>
      <c r="AP23" s="247"/>
      <c r="AQ23" s="247"/>
      <c r="AR23" s="260"/>
      <c r="AS23" s="260"/>
      <c r="AT23" s="260"/>
      <c r="AU23" s="260"/>
      <c r="AV23" s="260"/>
      <c r="AW23" s="260"/>
      <c r="AX23" s="260"/>
      <c r="AY23" s="260"/>
      <c r="AZ23" s="260"/>
      <c r="BA23" s="260"/>
    </row>
    <row r="24" spans="1:62" ht="30" customHeight="1">
      <c r="A24" s="260"/>
      <c r="B24" s="260"/>
      <c r="C24" s="260"/>
      <c r="D24" s="260"/>
      <c r="E24" s="260"/>
      <c r="F24" s="260"/>
      <c r="G24" s="260"/>
      <c r="H24" s="260"/>
      <c r="I24" s="260"/>
      <c r="J24" s="260"/>
      <c r="K24" s="260"/>
      <c r="L24" s="260"/>
      <c r="M24" s="260"/>
      <c r="N24" s="260"/>
      <c r="O24" s="260"/>
      <c r="P24" s="260"/>
      <c r="Q24" s="260"/>
      <c r="R24" s="260"/>
      <c r="S24" s="260"/>
      <c r="T24" s="260"/>
      <c r="U24" s="260"/>
      <c r="V24" s="260"/>
      <c r="W24" s="260"/>
      <c r="X24" s="260"/>
      <c r="Y24" s="260"/>
      <c r="Z24" s="260"/>
      <c r="AA24" s="260"/>
      <c r="AB24" s="260"/>
      <c r="AC24" s="260"/>
      <c r="AD24" s="260"/>
      <c r="AE24" s="260"/>
      <c r="AF24" s="260"/>
      <c r="AG24" s="260"/>
      <c r="AH24" s="260"/>
      <c r="AI24" s="260"/>
      <c r="AJ24" s="260"/>
      <c r="AK24" s="260"/>
      <c r="AL24" s="260"/>
      <c r="AM24" s="260"/>
      <c r="AN24" s="260"/>
      <c r="AO24" s="260"/>
      <c r="AP24" s="260"/>
      <c r="AQ24" s="260"/>
      <c r="AR24" s="260"/>
      <c r="AS24" s="260"/>
      <c r="AT24" s="260"/>
      <c r="AU24" s="260"/>
      <c r="AV24" s="260"/>
      <c r="AW24" s="260"/>
      <c r="AX24" s="260"/>
      <c r="AY24" s="260"/>
      <c r="AZ24" s="260"/>
      <c r="BA24" s="260"/>
    </row>
    <row r="25" spans="1:62">
      <c r="A25" s="260"/>
      <c r="B25" s="223" t="s">
        <v>32</v>
      </c>
      <c r="C25" s="260"/>
      <c r="D25" s="260"/>
      <c r="E25" s="260"/>
      <c r="F25" s="260"/>
      <c r="G25" s="260"/>
      <c r="H25" s="260"/>
      <c r="I25" s="260"/>
      <c r="J25" s="260"/>
      <c r="K25" s="260"/>
      <c r="L25" s="260"/>
      <c r="M25" s="260"/>
      <c r="N25" s="260"/>
      <c r="O25" s="260"/>
      <c r="P25" s="260"/>
      <c r="Q25" s="260"/>
      <c r="R25" s="260"/>
      <c r="S25" s="260"/>
      <c r="T25" s="223"/>
      <c r="U25" s="263"/>
      <c r="V25" s="263"/>
      <c r="W25" s="263"/>
      <c r="X25" s="263"/>
      <c r="Y25" s="263"/>
      <c r="Z25" s="263"/>
      <c r="AA25" s="263"/>
      <c r="AB25" s="263"/>
      <c r="AC25" s="263"/>
      <c r="AD25" s="223" t="s">
        <v>33</v>
      </c>
      <c r="AE25" s="260"/>
      <c r="AF25" s="260"/>
      <c r="AG25" s="260"/>
      <c r="AH25" s="260"/>
      <c r="AI25" s="260"/>
      <c r="AJ25" s="260"/>
      <c r="AK25" s="260"/>
      <c r="AL25" s="260"/>
      <c r="AM25" s="260"/>
      <c r="AN25" s="260"/>
      <c r="AO25" s="260"/>
      <c r="AP25" s="260"/>
      <c r="AQ25" s="260"/>
      <c r="AR25" s="260"/>
      <c r="AS25" s="260"/>
      <c r="AT25" s="260"/>
      <c r="AU25" s="260"/>
      <c r="AV25" s="260"/>
      <c r="AW25" s="260"/>
      <c r="AX25" s="260"/>
      <c r="AY25" s="260"/>
      <c r="AZ25" s="260"/>
      <c r="BA25" s="260"/>
    </row>
    <row r="26" spans="1:62" ht="21.75" customHeight="1">
      <c r="A26" s="260"/>
      <c r="B26" s="223" t="s">
        <v>73</v>
      </c>
      <c r="C26" s="260"/>
      <c r="D26" s="260"/>
      <c r="E26" s="260"/>
      <c r="F26" s="2001" t="str">
        <f>activesheet!E21</f>
        <v>MELCHESIEDICK Q. BOLANIO / March 17, 2023</v>
      </c>
      <c r="G26" s="2001"/>
      <c r="H26" s="2001"/>
      <c r="I26" s="2001"/>
      <c r="J26" s="2001"/>
      <c r="K26" s="2001"/>
      <c r="L26" s="2001"/>
      <c r="M26" s="2001"/>
      <c r="N26" s="2001"/>
      <c r="O26" s="2001"/>
      <c r="P26" s="2001"/>
      <c r="Q26" s="2001"/>
      <c r="R26" s="260"/>
      <c r="S26" s="260"/>
      <c r="T26" s="260"/>
      <c r="U26" s="260"/>
      <c r="V26" s="260"/>
      <c r="W26" s="260"/>
      <c r="X26" s="260"/>
      <c r="Y26" s="260"/>
      <c r="Z26" s="260"/>
      <c r="AA26" s="260"/>
      <c r="AB26" s="260"/>
      <c r="AC26" s="260"/>
      <c r="AD26" s="1940" t="str">
        <f>activesheet!E25</f>
        <v>MICHAEL T. JAMIS / March 17, 2023</v>
      </c>
      <c r="AE26" s="1940"/>
      <c r="AF26" s="1940"/>
      <c r="AG26" s="1940"/>
      <c r="AH26" s="1940"/>
      <c r="AI26" s="1940"/>
      <c r="AJ26" s="1940"/>
      <c r="AK26" s="1940"/>
      <c r="AL26" s="1940"/>
      <c r="AM26" s="1940"/>
      <c r="AN26" s="1940"/>
      <c r="AO26" s="1940"/>
      <c r="AP26" s="1940"/>
      <c r="AQ26" s="1940"/>
      <c r="AR26" s="1940"/>
      <c r="AS26" s="1940"/>
      <c r="AT26" s="260"/>
      <c r="AU26" s="260"/>
      <c r="AV26" s="260"/>
      <c r="AW26" s="260"/>
      <c r="AX26" s="260"/>
      <c r="AY26" s="260"/>
      <c r="AZ26" s="260"/>
      <c r="BA26" s="260"/>
    </row>
    <row r="27" spans="1:62" s="39" customFormat="1" ht="15.75" customHeight="1">
      <c r="A27" s="280"/>
      <c r="B27" s="228"/>
      <c r="C27" s="280"/>
      <c r="D27" s="280"/>
      <c r="E27" s="280"/>
      <c r="F27" s="1811" t="s">
        <v>37</v>
      </c>
      <c r="G27" s="1811"/>
      <c r="H27" s="1811"/>
      <c r="I27" s="1811"/>
      <c r="J27" s="1811"/>
      <c r="K27" s="1811"/>
      <c r="L27" s="1811"/>
      <c r="M27" s="1811"/>
      <c r="N27" s="1811"/>
      <c r="O27" s="1811"/>
      <c r="P27" s="1811"/>
      <c r="Q27" s="1811"/>
      <c r="R27" s="281"/>
      <c r="S27" s="281"/>
      <c r="T27" s="358"/>
      <c r="U27" s="358"/>
      <c r="V27" s="358"/>
      <c r="W27" s="358"/>
      <c r="X27" s="358"/>
      <c r="Y27" s="358"/>
      <c r="Z27" s="358"/>
      <c r="AA27" s="358"/>
      <c r="AB27" s="358"/>
      <c r="AC27" s="358"/>
      <c r="AD27" s="1941"/>
      <c r="AE27" s="1941"/>
      <c r="AF27" s="1941"/>
      <c r="AG27" s="1941"/>
      <c r="AH27" s="1941"/>
      <c r="AI27" s="1941"/>
      <c r="AJ27" s="1941"/>
      <c r="AK27" s="1941"/>
      <c r="AL27" s="1941"/>
      <c r="AM27" s="1941"/>
      <c r="AN27" s="1941"/>
      <c r="AO27" s="1941"/>
      <c r="AP27" s="1941"/>
      <c r="AQ27" s="1941"/>
      <c r="AR27" s="1941"/>
      <c r="AS27" s="1941"/>
      <c r="AT27" s="282"/>
      <c r="AU27" s="282"/>
      <c r="AV27" s="282"/>
      <c r="AW27" s="282"/>
      <c r="AX27" s="282"/>
      <c r="AY27" s="282"/>
      <c r="AZ27" s="282"/>
      <c r="BA27" s="282"/>
      <c r="BB27" s="103"/>
      <c r="BC27" s="103"/>
      <c r="BD27" s="103"/>
      <c r="BE27" s="103"/>
      <c r="BF27" s="103"/>
      <c r="BG27" s="103"/>
      <c r="BH27" s="103"/>
      <c r="BI27" s="103"/>
      <c r="BJ27" s="103"/>
    </row>
    <row r="28" spans="1:62" ht="21.75" customHeight="1">
      <c r="A28" s="260"/>
      <c r="B28" s="223" t="s">
        <v>240</v>
      </c>
      <c r="C28" s="260"/>
      <c r="D28" s="260"/>
      <c r="E28" s="260"/>
      <c r="F28" s="2001" t="str">
        <f>activesheet!E22</f>
        <v>SECONDARY SCHOOL PRINCIPAL IV</v>
      </c>
      <c r="G28" s="2001"/>
      <c r="H28" s="2001"/>
      <c r="I28" s="2001"/>
      <c r="J28" s="2001"/>
      <c r="K28" s="2001"/>
      <c r="L28" s="2001"/>
      <c r="M28" s="2001"/>
      <c r="N28" s="2001"/>
      <c r="O28" s="2001"/>
      <c r="P28" s="2001"/>
      <c r="Q28" s="2001"/>
      <c r="R28" s="260"/>
      <c r="S28" s="260"/>
      <c r="T28" s="223"/>
      <c r="U28" s="260"/>
      <c r="V28" s="260"/>
      <c r="W28" s="260"/>
      <c r="X28" s="260"/>
      <c r="Y28" s="260"/>
      <c r="Z28" s="260"/>
      <c r="AA28" s="260"/>
      <c r="AB28" s="260"/>
      <c r="AC28" s="260"/>
      <c r="AD28" s="1811" t="s">
        <v>37</v>
      </c>
      <c r="AE28" s="1811"/>
      <c r="AF28" s="1811"/>
      <c r="AG28" s="1811"/>
      <c r="AH28" s="1811"/>
      <c r="AI28" s="1811"/>
      <c r="AJ28" s="1811"/>
      <c r="AK28" s="1811"/>
      <c r="AL28" s="1811"/>
      <c r="AM28" s="1811"/>
      <c r="AN28" s="1811"/>
      <c r="AO28" s="1811"/>
      <c r="AP28" s="1811"/>
      <c r="AQ28" s="1811"/>
      <c r="AR28" s="1811"/>
      <c r="AS28" s="1811"/>
      <c r="AT28" s="260"/>
      <c r="AU28" s="260"/>
      <c r="AV28" s="260"/>
      <c r="AW28" s="260"/>
      <c r="AX28" s="260"/>
      <c r="AY28" s="260"/>
      <c r="AZ28" s="260"/>
      <c r="BA28" s="260"/>
    </row>
    <row r="29" spans="1:62">
      <c r="A29" s="260"/>
      <c r="B29" s="260"/>
      <c r="C29" s="260"/>
      <c r="D29" s="260"/>
      <c r="E29" s="260"/>
      <c r="F29" s="260"/>
      <c r="G29" s="260"/>
      <c r="H29" s="260"/>
      <c r="I29" s="260"/>
      <c r="J29" s="260"/>
      <c r="K29" s="260"/>
      <c r="L29" s="260"/>
      <c r="M29" s="260"/>
      <c r="N29" s="260"/>
      <c r="O29" s="260"/>
      <c r="P29" s="260"/>
      <c r="Q29" s="260"/>
      <c r="R29" s="260"/>
      <c r="S29" s="260"/>
      <c r="T29" s="260"/>
      <c r="U29" s="260"/>
      <c r="V29" s="260"/>
      <c r="W29" s="260"/>
      <c r="X29" s="260"/>
      <c r="Y29" s="260"/>
      <c r="Z29" s="260"/>
      <c r="AA29" s="260"/>
      <c r="AB29" s="260"/>
      <c r="AC29" s="260"/>
      <c r="AD29" s="260"/>
      <c r="AE29" s="260"/>
      <c r="AF29" s="260"/>
      <c r="AG29" s="260"/>
      <c r="AH29" s="260"/>
      <c r="AI29" s="260"/>
      <c r="AJ29" s="260"/>
      <c r="AK29" s="260"/>
      <c r="AL29" s="260"/>
      <c r="AM29" s="260"/>
      <c r="AN29" s="260"/>
      <c r="AO29" s="260"/>
      <c r="AP29" s="260"/>
      <c r="AQ29" s="260"/>
      <c r="AR29" s="260"/>
      <c r="AS29" s="260"/>
      <c r="AT29" s="260"/>
      <c r="AU29" s="260"/>
      <c r="AV29" s="260"/>
      <c r="AW29" s="260"/>
      <c r="AX29" s="260"/>
      <c r="AY29" s="260"/>
      <c r="AZ29" s="260"/>
      <c r="BA29" s="260"/>
    </row>
    <row r="30" spans="1:62">
      <c r="A30" s="260"/>
      <c r="B30" s="260"/>
      <c r="C30" s="260"/>
      <c r="D30" s="260"/>
      <c r="E30" s="260"/>
      <c r="F30" s="260"/>
      <c r="G30" s="260"/>
      <c r="H30" s="260"/>
      <c r="I30" s="260"/>
      <c r="J30" s="260"/>
      <c r="K30" s="260"/>
      <c r="L30" s="260"/>
      <c r="M30" s="260"/>
      <c r="N30" s="260"/>
      <c r="O30" s="260"/>
      <c r="P30" s="260"/>
      <c r="Q30" s="260"/>
      <c r="R30" s="260"/>
      <c r="S30" s="260"/>
      <c r="T30" s="260"/>
      <c r="U30" s="260"/>
      <c r="V30" s="260"/>
      <c r="W30" s="260"/>
      <c r="X30" s="260"/>
      <c r="Y30" s="260"/>
      <c r="Z30" s="260"/>
      <c r="AA30" s="260"/>
      <c r="AB30" s="260"/>
      <c r="AC30" s="260"/>
      <c r="AD30" s="260"/>
      <c r="AE30" s="260"/>
      <c r="AF30" s="260"/>
      <c r="AG30" s="260"/>
      <c r="AH30" s="260"/>
      <c r="AI30" s="260"/>
      <c r="AJ30" s="260"/>
      <c r="AK30" s="260"/>
      <c r="AL30" s="260"/>
      <c r="AM30" s="260"/>
      <c r="AN30" s="260"/>
      <c r="AO30" s="260"/>
      <c r="AP30" s="260"/>
      <c r="AQ30" s="260"/>
      <c r="AR30" s="260"/>
      <c r="AS30" s="260"/>
      <c r="AT30" s="260"/>
      <c r="AU30" s="260"/>
      <c r="AV30" s="260"/>
      <c r="AW30" s="260"/>
      <c r="AX30" s="260"/>
      <c r="AY30" s="260"/>
      <c r="AZ30" s="260"/>
      <c r="BA30" s="260"/>
    </row>
    <row r="31" spans="1:62">
      <c r="A31" s="260"/>
      <c r="B31" s="260"/>
      <c r="C31" s="260"/>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row>
    <row r="32" spans="1:62">
      <c r="A32" s="260"/>
      <c r="B32" s="260"/>
      <c r="C32" s="260"/>
      <c r="D32" s="260"/>
      <c r="E32" s="260"/>
      <c r="F32" s="260"/>
      <c r="G32" s="260"/>
      <c r="H32" s="260"/>
      <c r="I32" s="260"/>
      <c r="J32" s="260"/>
      <c r="K32" s="260"/>
      <c r="L32" s="260"/>
      <c r="M32" s="260"/>
      <c r="N32" s="260"/>
      <c r="O32" s="260"/>
      <c r="P32" s="260"/>
      <c r="Q32" s="260"/>
      <c r="R32" s="260"/>
      <c r="S32" s="260"/>
      <c r="T32" s="260"/>
      <c r="U32" s="260"/>
      <c r="V32" s="260"/>
      <c r="W32" s="260"/>
      <c r="X32" s="260"/>
      <c r="Y32" s="260"/>
      <c r="Z32" s="260"/>
      <c r="AA32" s="260"/>
      <c r="AB32" s="260"/>
      <c r="AC32" s="260"/>
      <c r="AD32" s="260"/>
      <c r="AE32" s="260"/>
      <c r="AF32" s="260"/>
      <c r="AG32" s="260"/>
      <c r="AH32" s="260"/>
      <c r="AI32" s="260"/>
      <c r="AJ32" s="260"/>
      <c r="AK32" s="260"/>
      <c r="AL32" s="260"/>
      <c r="AM32" s="260"/>
      <c r="AN32" s="260"/>
      <c r="AO32" s="260"/>
      <c r="AP32" s="260"/>
      <c r="AQ32" s="260"/>
      <c r="AR32" s="260"/>
      <c r="AS32" s="260"/>
      <c r="AT32" s="260"/>
      <c r="AU32" s="260"/>
      <c r="AV32" s="260"/>
      <c r="AW32" s="260"/>
      <c r="AX32" s="260"/>
      <c r="AY32" s="260"/>
      <c r="AZ32" s="260"/>
      <c r="BA32" s="260"/>
    </row>
    <row r="33" spans="1:53">
      <c r="A33" s="260"/>
      <c r="B33" s="260"/>
      <c r="C33" s="260"/>
      <c r="D33" s="260"/>
      <c r="E33" s="260"/>
      <c r="F33" s="260"/>
      <c r="G33" s="260"/>
      <c r="H33" s="260"/>
      <c r="I33" s="260"/>
      <c r="J33" s="260"/>
      <c r="K33" s="260"/>
      <c r="L33" s="260"/>
      <c r="M33" s="260"/>
      <c r="N33" s="260"/>
      <c r="O33" s="260"/>
      <c r="P33" s="260"/>
      <c r="Q33" s="260"/>
      <c r="R33" s="260"/>
      <c r="S33" s="260"/>
      <c r="T33" s="260"/>
      <c r="U33" s="260"/>
      <c r="V33" s="260"/>
      <c r="W33" s="260"/>
      <c r="X33" s="260"/>
      <c r="Y33" s="260"/>
      <c r="Z33" s="260"/>
      <c r="AA33" s="260"/>
      <c r="AB33" s="260"/>
      <c r="AC33" s="260"/>
      <c r="AD33" s="260"/>
      <c r="AE33" s="260"/>
      <c r="AF33" s="260"/>
      <c r="AG33" s="260"/>
      <c r="AH33" s="260"/>
      <c r="AI33" s="260"/>
      <c r="AJ33" s="260"/>
      <c r="AK33" s="260"/>
      <c r="AL33" s="260"/>
      <c r="AM33" s="260"/>
      <c r="AN33" s="260"/>
      <c r="AO33" s="260"/>
      <c r="AP33" s="260"/>
      <c r="AQ33" s="260"/>
      <c r="AR33" s="260"/>
      <c r="AS33" s="260"/>
      <c r="AT33" s="260"/>
      <c r="AU33" s="260"/>
      <c r="AV33" s="260"/>
      <c r="AW33" s="260"/>
      <c r="AX33" s="260"/>
      <c r="AY33" s="260"/>
      <c r="AZ33" s="260"/>
      <c r="BA33" s="260"/>
    </row>
    <row r="34" spans="1:53">
      <c r="A34" s="260"/>
      <c r="B34" s="260"/>
      <c r="C34" s="260"/>
      <c r="D34" s="260"/>
      <c r="E34" s="260"/>
      <c r="F34" s="260"/>
      <c r="G34" s="260"/>
      <c r="H34" s="260"/>
      <c r="I34" s="260"/>
      <c r="J34" s="260"/>
      <c r="K34" s="260"/>
      <c r="L34" s="260"/>
      <c r="M34" s="260"/>
      <c r="N34" s="260"/>
      <c r="O34" s="260"/>
      <c r="P34" s="260"/>
      <c r="Q34" s="260"/>
      <c r="R34" s="260"/>
      <c r="S34" s="260"/>
      <c r="T34" s="260"/>
      <c r="U34" s="260"/>
      <c r="V34" s="260"/>
      <c r="W34" s="260"/>
      <c r="X34" s="260"/>
      <c r="Y34" s="260"/>
      <c r="Z34" s="260"/>
      <c r="AA34" s="260"/>
      <c r="AB34" s="260"/>
      <c r="AC34" s="260"/>
      <c r="AD34" s="260"/>
      <c r="AE34" s="260"/>
      <c r="AF34" s="260"/>
      <c r="AG34" s="260"/>
      <c r="AH34" s="260"/>
      <c r="AI34" s="260"/>
      <c r="AJ34" s="260"/>
      <c r="AK34" s="260"/>
      <c r="AL34" s="260"/>
      <c r="AM34" s="260"/>
      <c r="AN34" s="260"/>
      <c r="AO34" s="260"/>
      <c r="AP34" s="260"/>
      <c r="AQ34" s="260"/>
      <c r="AR34" s="260"/>
      <c r="AS34" s="260"/>
      <c r="AT34" s="260"/>
      <c r="AU34" s="260"/>
      <c r="AV34" s="260"/>
      <c r="AW34" s="260"/>
      <c r="AX34" s="260"/>
      <c r="AY34" s="260"/>
      <c r="AZ34" s="260"/>
      <c r="BA34" s="260"/>
    </row>
    <row r="35" spans="1:53">
      <c r="A35" s="260"/>
      <c r="B35" s="260"/>
      <c r="C35" s="260"/>
      <c r="D35" s="260"/>
      <c r="E35" s="260"/>
      <c r="F35" s="260"/>
      <c r="G35" s="260"/>
      <c r="H35" s="260"/>
      <c r="I35" s="260"/>
      <c r="J35" s="260"/>
      <c r="K35" s="260"/>
      <c r="L35" s="260"/>
      <c r="M35" s="260"/>
      <c r="N35" s="260"/>
      <c r="O35" s="260"/>
      <c r="P35" s="260"/>
      <c r="Q35" s="260"/>
      <c r="R35" s="260"/>
      <c r="S35" s="260"/>
      <c r="T35" s="260"/>
      <c r="U35" s="260"/>
      <c r="V35" s="260"/>
      <c r="W35" s="260"/>
      <c r="X35" s="260"/>
      <c r="Y35" s="260"/>
      <c r="Z35" s="260"/>
      <c r="AA35" s="260"/>
      <c r="AB35" s="260"/>
      <c r="AC35" s="260"/>
      <c r="AD35" s="260"/>
      <c r="AE35" s="260"/>
      <c r="AF35" s="260"/>
      <c r="AG35" s="260"/>
      <c r="AH35" s="260"/>
      <c r="AI35" s="260"/>
      <c r="AJ35" s="260"/>
      <c r="AK35" s="260"/>
      <c r="AL35" s="260"/>
      <c r="AM35" s="260"/>
      <c r="AN35" s="260"/>
      <c r="AO35" s="260"/>
      <c r="AP35" s="260"/>
      <c r="AQ35" s="260"/>
      <c r="AR35" s="260"/>
      <c r="AS35" s="260"/>
      <c r="AT35" s="260"/>
      <c r="AU35" s="260"/>
      <c r="AV35" s="260"/>
      <c r="AW35" s="260"/>
      <c r="AX35" s="260"/>
      <c r="AY35" s="260"/>
      <c r="AZ35" s="260"/>
      <c r="BA35" s="260"/>
    </row>
    <row r="36" spans="1:53">
      <c r="A36" s="260"/>
      <c r="B36" s="260"/>
      <c r="C36" s="260"/>
      <c r="D36" s="260"/>
      <c r="E36" s="260"/>
      <c r="F36" s="260"/>
      <c r="G36" s="260"/>
      <c r="H36" s="260"/>
      <c r="I36" s="260"/>
      <c r="J36" s="260"/>
      <c r="K36" s="260"/>
      <c r="L36" s="260"/>
      <c r="M36" s="260"/>
      <c r="N36" s="260"/>
      <c r="O36" s="260"/>
      <c r="P36" s="260"/>
      <c r="Q36" s="260"/>
      <c r="R36" s="260"/>
      <c r="S36" s="260"/>
      <c r="T36" s="260"/>
      <c r="U36" s="260"/>
      <c r="V36" s="260"/>
      <c r="W36" s="260"/>
      <c r="X36" s="260"/>
      <c r="Y36" s="260"/>
      <c r="Z36" s="260"/>
      <c r="AA36" s="260"/>
      <c r="AB36" s="260"/>
      <c r="AC36" s="260"/>
      <c r="AD36" s="260"/>
      <c r="AE36" s="260"/>
      <c r="AF36" s="260"/>
      <c r="AG36" s="260"/>
      <c r="AH36" s="260"/>
      <c r="AI36" s="260"/>
      <c r="AJ36" s="260"/>
      <c r="AK36" s="260"/>
      <c r="AL36" s="260"/>
      <c r="AM36" s="260"/>
      <c r="AN36" s="260"/>
      <c r="AO36" s="260"/>
      <c r="AP36" s="260"/>
      <c r="AQ36" s="260"/>
      <c r="AR36" s="260"/>
      <c r="AS36" s="260"/>
      <c r="AT36" s="260"/>
      <c r="AU36" s="260"/>
      <c r="AV36" s="260"/>
      <c r="AW36" s="260"/>
      <c r="AX36" s="260"/>
      <c r="AY36" s="260"/>
      <c r="AZ36" s="260"/>
      <c r="BA36" s="260"/>
    </row>
    <row r="37" spans="1:53">
      <c r="A37" s="260"/>
      <c r="B37" s="260"/>
      <c r="C37" s="260"/>
      <c r="D37" s="260"/>
      <c r="E37" s="260"/>
      <c r="F37" s="260"/>
      <c r="G37" s="260"/>
      <c r="H37" s="260"/>
      <c r="I37" s="260"/>
      <c r="J37" s="260"/>
      <c r="K37" s="260"/>
      <c r="L37" s="260"/>
      <c r="M37" s="260"/>
      <c r="N37" s="260"/>
      <c r="O37" s="260"/>
      <c r="P37" s="260"/>
      <c r="Q37" s="260"/>
      <c r="R37" s="260"/>
      <c r="S37" s="260"/>
      <c r="T37" s="260"/>
      <c r="U37" s="260"/>
      <c r="V37" s="260"/>
      <c r="W37" s="260"/>
      <c r="X37" s="260"/>
      <c r="Y37" s="260"/>
      <c r="Z37" s="260"/>
      <c r="AA37" s="260"/>
      <c r="AB37" s="260"/>
      <c r="AC37" s="260"/>
      <c r="AD37" s="260"/>
      <c r="AE37" s="260"/>
      <c r="AF37" s="260"/>
      <c r="AG37" s="260"/>
      <c r="AH37" s="260"/>
      <c r="AI37" s="260"/>
      <c r="AJ37" s="260"/>
      <c r="AK37" s="260"/>
      <c r="AL37" s="260"/>
      <c r="AM37" s="260"/>
      <c r="AN37" s="260"/>
      <c r="AO37" s="260"/>
      <c r="AP37" s="260"/>
      <c r="AQ37" s="260"/>
      <c r="AR37" s="260"/>
      <c r="AS37" s="260"/>
      <c r="AT37" s="260"/>
      <c r="AU37" s="260"/>
      <c r="AV37" s="260"/>
      <c r="AW37" s="260"/>
      <c r="AX37" s="260"/>
      <c r="AY37" s="260"/>
      <c r="AZ37" s="260"/>
      <c r="BA37" s="260"/>
    </row>
    <row r="38" spans="1:53">
      <c r="A38" s="260"/>
      <c r="B38" s="260"/>
      <c r="C38" s="260"/>
      <c r="D38" s="260"/>
      <c r="E38" s="260"/>
      <c r="F38" s="260"/>
      <c r="G38" s="260"/>
      <c r="H38" s="260"/>
      <c r="I38" s="260"/>
      <c r="J38" s="260"/>
      <c r="K38" s="260"/>
      <c r="L38" s="260"/>
      <c r="M38" s="260"/>
      <c r="N38" s="260"/>
      <c r="O38" s="260"/>
      <c r="P38" s="260"/>
      <c r="Q38" s="260"/>
      <c r="R38" s="260"/>
      <c r="S38" s="260"/>
      <c r="T38" s="260"/>
      <c r="U38" s="260"/>
      <c r="V38" s="260"/>
      <c r="W38" s="260"/>
      <c r="X38" s="260"/>
      <c r="Y38" s="260"/>
      <c r="Z38" s="260"/>
      <c r="AA38" s="260"/>
      <c r="AB38" s="260"/>
      <c r="AC38" s="260"/>
      <c r="AD38" s="260"/>
      <c r="AE38" s="260"/>
      <c r="AF38" s="260"/>
      <c r="AG38" s="260"/>
      <c r="AH38" s="260"/>
      <c r="AI38" s="260"/>
      <c r="AJ38" s="260"/>
      <c r="AK38" s="260"/>
      <c r="AL38" s="260"/>
      <c r="AM38" s="260"/>
      <c r="AN38" s="260"/>
      <c r="AO38" s="260"/>
      <c r="AP38" s="260"/>
      <c r="AQ38" s="260"/>
      <c r="AR38" s="260"/>
      <c r="AS38" s="260"/>
      <c r="AT38" s="260"/>
      <c r="AU38" s="260"/>
      <c r="AV38" s="260"/>
      <c r="AW38" s="260"/>
      <c r="AX38" s="260"/>
      <c r="AY38" s="260"/>
      <c r="AZ38" s="260"/>
      <c r="BA38" s="260"/>
    </row>
    <row r="39" spans="1:53">
      <c r="A39" s="260"/>
      <c r="B39" s="260"/>
      <c r="C39" s="260"/>
      <c r="D39" s="260"/>
      <c r="E39" s="260"/>
      <c r="F39" s="260"/>
      <c r="G39" s="260"/>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row>
    <row r="40" spans="1:53">
      <c r="A40" s="260"/>
      <c r="B40" s="260"/>
      <c r="C40" s="260"/>
      <c r="D40" s="260"/>
      <c r="E40" s="260"/>
      <c r="F40" s="260"/>
      <c r="G40" s="260"/>
      <c r="H40" s="260"/>
      <c r="I40" s="260"/>
      <c r="J40" s="260"/>
      <c r="K40" s="260"/>
      <c r="L40" s="260"/>
      <c r="M40" s="260"/>
      <c r="N40" s="260"/>
      <c r="O40" s="260"/>
      <c r="P40" s="260"/>
      <c r="Q40" s="260"/>
      <c r="R40" s="260"/>
      <c r="S40" s="260"/>
      <c r="T40" s="260"/>
      <c r="U40" s="260"/>
      <c r="V40" s="260"/>
      <c r="W40" s="260"/>
      <c r="X40" s="260"/>
      <c r="Y40" s="260"/>
      <c r="Z40" s="260"/>
      <c r="AA40" s="260"/>
      <c r="AB40" s="260"/>
      <c r="AC40" s="260"/>
      <c r="AD40" s="260"/>
      <c r="AE40" s="260"/>
      <c r="AF40" s="260"/>
      <c r="AG40" s="260"/>
      <c r="AH40" s="260"/>
      <c r="AI40" s="260"/>
      <c r="AJ40" s="260"/>
      <c r="AK40" s="260"/>
      <c r="AL40" s="260"/>
      <c r="AM40" s="260"/>
      <c r="AN40" s="260"/>
      <c r="AO40" s="260"/>
      <c r="AP40" s="260"/>
      <c r="AQ40" s="260"/>
      <c r="AR40" s="260"/>
      <c r="AS40" s="260"/>
      <c r="AT40" s="260"/>
      <c r="AU40" s="260"/>
      <c r="AV40" s="260"/>
      <c r="AW40" s="260"/>
      <c r="AX40" s="260"/>
      <c r="AY40" s="260"/>
      <c r="AZ40" s="260"/>
      <c r="BA40" s="260"/>
    </row>
    <row r="41" spans="1:53">
      <c r="A41" s="260"/>
      <c r="B41" s="260"/>
      <c r="C41" s="260"/>
      <c r="D41" s="260"/>
      <c r="E41" s="260"/>
      <c r="F41" s="260"/>
      <c r="G41" s="260"/>
      <c r="H41" s="260"/>
      <c r="I41" s="260"/>
      <c r="J41" s="260"/>
      <c r="K41" s="260"/>
      <c r="L41" s="260"/>
      <c r="M41" s="260"/>
      <c r="N41" s="260"/>
      <c r="O41" s="260"/>
      <c r="P41" s="260"/>
      <c r="Q41" s="260"/>
      <c r="R41" s="260"/>
      <c r="S41" s="260"/>
      <c r="T41" s="260"/>
      <c r="U41" s="260"/>
      <c r="V41" s="260"/>
      <c r="W41" s="260"/>
      <c r="X41" s="260"/>
      <c r="Y41" s="260"/>
      <c r="Z41" s="260"/>
      <c r="AA41" s="260"/>
      <c r="AB41" s="260"/>
      <c r="AC41" s="260"/>
      <c r="AD41" s="260"/>
      <c r="AE41" s="260"/>
      <c r="AF41" s="260"/>
      <c r="AG41" s="260"/>
      <c r="AH41" s="260"/>
      <c r="AI41" s="260"/>
      <c r="AJ41" s="260"/>
      <c r="AK41" s="260"/>
      <c r="AL41" s="260"/>
      <c r="AM41" s="260"/>
      <c r="AN41" s="260"/>
      <c r="AO41" s="260"/>
      <c r="AP41" s="260"/>
      <c r="AQ41" s="260"/>
      <c r="AR41" s="260"/>
      <c r="AS41" s="260"/>
      <c r="AT41" s="260"/>
      <c r="AU41" s="260"/>
      <c r="AV41" s="260"/>
      <c r="AW41" s="260"/>
      <c r="AX41" s="260"/>
      <c r="AY41" s="260"/>
      <c r="AZ41" s="260"/>
      <c r="BA41" s="260"/>
    </row>
  </sheetData>
  <sheetProtection algorithmName="SHA-512" hashValue="EnhFoVS8laRHuaoyqKUm4b1eg6bp3Fh0nfSzMo2jrlyeMjFpxFTZGDyu3Fz7AMu9eUsP7MBW48L7lj1j6+VWlQ==" saltValue="emUnsReR+A6vpRG+Wbh4yA==" spinCount="100000" sheet="1" objects="1" scenarios="1"/>
  <customSheetViews>
    <customSheetView guid="{6EFEFCA0-BF14-457A-85A3-29CBF2A862A5}" showGridLines="0" fitToPage="1" topLeftCell="C1">
      <selection activeCell="AD7" sqref="AD7:AS7"/>
      <pageMargins left="0.43307086614173229" right="0.43307086614173229" top="0.19685039370078741" bottom="0.19685039370078741" header="0" footer="0.11811023622047245"/>
      <printOptions horizontalCentered="1" verticalCentered="1"/>
      <pageSetup paperSize="9" scale="69" orientation="landscape" r:id="rId1"/>
      <headerFooter>
        <oddFooter>&amp;L&amp;10&amp;F &amp;A&amp;R&amp;10Page 14 of 61</oddFooter>
      </headerFooter>
    </customSheetView>
  </customSheetViews>
  <mergeCells count="17">
    <mergeCell ref="AD7:AS7"/>
    <mergeCell ref="AD6:AS6"/>
    <mergeCell ref="AH8:AS8"/>
    <mergeCell ref="Q7:U7"/>
    <mergeCell ref="Q8:U8"/>
    <mergeCell ref="F20:F21"/>
    <mergeCell ref="G20:J21"/>
    <mergeCell ref="N20:R21"/>
    <mergeCell ref="AD17:AS18"/>
    <mergeCell ref="AD19:AS19"/>
    <mergeCell ref="N18:R18"/>
    <mergeCell ref="N19:R19"/>
    <mergeCell ref="AD26:AS27"/>
    <mergeCell ref="AD28:AS28"/>
    <mergeCell ref="F26:Q26"/>
    <mergeCell ref="F27:Q27"/>
    <mergeCell ref="F28:Q28"/>
  </mergeCells>
  <conditionalFormatting sqref="A1">
    <cfRule type="expression" dxfId="75" priority="16">
      <formula>$D$5</formula>
    </cfRule>
  </conditionalFormatting>
  <conditionalFormatting sqref="E6">
    <cfRule type="expression" dxfId="74" priority="9">
      <formula>$Q$8</formula>
    </cfRule>
    <cfRule type="expression" dxfId="73" priority="10">
      <formula>$Q$7</formula>
    </cfRule>
    <cfRule type="expression" dxfId="72" priority="11">
      <formula>$Q$5</formula>
    </cfRule>
  </conditionalFormatting>
  <conditionalFormatting sqref="E17">
    <cfRule type="expression" dxfId="71" priority="1">
      <formula>$N$20</formula>
    </cfRule>
    <cfRule type="expression" dxfId="70" priority="3">
      <formula>$N$19</formula>
    </cfRule>
    <cfRule type="expression" dxfId="69" priority="4">
      <formula>$N$18</formula>
    </cfRule>
    <cfRule type="expression" dxfId="68" priority="8">
      <formula>$Q$16</formula>
    </cfRule>
  </conditionalFormatting>
  <dataValidations count="1">
    <dataValidation type="whole" allowBlank="1" showInputMessage="1" showErrorMessage="1" errorTitle="GSHSP SY 2022-2023" error="Please enter a valid number from 0 to 2,000." sqref="Q7:U8 N18:R21" xr:uid="{C5FB0BB8-38F4-4700-AB29-B826D6E06702}">
      <formula1>0</formula1>
      <formula2>2000</formula2>
    </dataValidation>
  </dataValidations>
  <printOptions horizontalCentered="1" verticalCentered="1"/>
  <pageMargins left="0.43307086614173229" right="0.43307086614173229" top="0.19685039370078741" bottom="0.19685039370078741" header="0" footer="0.11811023622047245"/>
  <pageSetup paperSize="9" scale="69" orientation="landscape" r:id="rId2"/>
  <headerFooter>
    <oddFooter>&amp;L&amp;10&amp;F &amp;A&amp;R&amp;10Page 14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1265" r:id="rId5" name="Check Box 1">
              <controlPr defaultSize="0" autoFill="0" autoLine="0" autoPict="0">
                <anchor moveWithCells="1">
                  <from>
                    <xdr:col>16</xdr:col>
                    <xdr:colOff>28575</xdr:colOff>
                    <xdr:row>3</xdr:row>
                    <xdr:rowOff>180975</xdr:rowOff>
                  </from>
                  <to>
                    <xdr:col>17</xdr:col>
                    <xdr:colOff>28575</xdr:colOff>
                    <xdr:row>5</xdr:row>
                    <xdr:rowOff>9525</xdr:rowOff>
                  </to>
                </anchor>
              </controlPr>
            </control>
          </mc:Choice>
        </mc:AlternateContent>
        <mc:AlternateContent xmlns:mc="http://schemas.openxmlformats.org/markup-compatibility/2006">
          <mc:Choice Requires="x14">
            <control shapeId="11266" r:id="rId6" name="Check Box 2">
              <controlPr defaultSize="0" autoFill="0" autoLine="0" autoPict="0">
                <anchor moveWithCells="1">
                  <from>
                    <xdr:col>16</xdr:col>
                    <xdr:colOff>28575</xdr:colOff>
                    <xdr:row>15</xdr:row>
                    <xdr:rowOff>47625</xdr:rowOff>
                  </from>
                  <to>
                    <xdr:col>16</xdr:col>
                    <xdr:colOff>238125</xdr:colOff>
                    <xdr:row>15</xdr:row>
                    <xdr:rowOff>276225</xdr:rowOff>
                  </to>
                </anchor>
              </controlPr>
            </control>
          </mc:Choice>
        </mc:AlternateContent>
        <mc:AlternateContent xmlns:mc="http://schemas.openxmlformats.org/markup-compatibility/2006">
          <mc:Choice Requires="x14">
            <control shapeId="11267" r:id="rId7" name="Check Box 3">
              <controlPr defaultSize="0" autoFill="0" autoLine="0" autoPict="0">
                <anchor moveWithCells="1">
                  <from>
                    <xdr:col>20</xdr:col>
                    <xdr:colOff>28575</xdr:colOff>
                    <xdr:row>3</xdr:row>
                    <xdr:rowOff>180975</xdr:rowOff>
                  </from>
                  <to>
                    <xdr:col>21</xdr:col>
                    <xdr:colOff>0</xdr:colOff>
                    <xdr:row>5</xdr:row>
                    <xdr:rowOff>0</xdr:rowOff>
                  </to>
                </anchor>
              </controlPr>
            </control>
          </mc:Choice>
        </mc:AlternateContent>
        <mc:AlternateContent xmlns:mc="http://schemas.openxmlformats.org/markup-compatibility/2006">
          <mc:Choice Requires="x14">
            <control shapeId="11268" r:id="rId8" name="Check Box 4">
              <controlPr defaultSize="0" autoFill="0" autoLine="0" autoPict="0">
                <anchor moveWithCells="1">
                  <from>
                    <xdr:col>20</xdr:col>
                    <xdr:colOff>28575</xdr:colOff>
                    <xdr:row>15</xdr:row>
                    <xdr:rowOff>47625</xdr:rowOff>
                  </from>
                  <to>
                    <xdr:col>20</xdr:col>
                    <xdr:colOff>238125</xdr:colOff>
                    <xdr:row>15</xdr:row>
                    <xdr:rowOff>257175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4">
    <tabColor rgb="FFFFFF00"/>
    <pageSetUpPr fitToPage="1"/>
  </sheetPr>
  <dimension ref="A1:AZ64"/>
  <sheetViews>
    <sheetView showGridLines="0" topLeftCell="A50" zoomScaleNormal="100" workbookViewId="0">
      <selection sqref="A1:AP61"/>
    </sheetView>
  </sheetViews>
  <sheetFormatPr defaultColWidth="9" defaultRowHeight="15.75"/>
  <cols>
    <col min="1" max="1" width="2.125" style="44" customWidth="1"/>
    <col min="2" max="39" width="3.625" style="44" customWidth="1"/>
    <col min="40" max="40" width="2.125" style="44" customWidth="1"/>
    <col min="41" max="43" width="3.625" style="44" customWidth="1"/>
    <col min="44" max="44" width="2.125" style="44" customWidth="1"/>
    <col min="45" max="45" width="3.625" style="44" customWidth="1"/>
    <col min="46" max="46" width="3.625" style="434" customWidth="1"/>
    <col min="47" max="16384" width="9" style="434"/>
  </cols>
  <sheetData>
    <row r="1" spans="1:52"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row>
    <row r="2" spans="1:52">
      <c r="A2" s="434"/>
      <c r="B2" s="611" t="s">
        <v>11389</v>
      </c>
      <c r="C2" s="611"/>
      <c r="D2" s="611"/>
      <c r="E2" s="611"/>
      <c r="F2" s="611"/>
      <c r="G2" s="611"/>
      <c r="H2" s="611"/>
      <c r="I2" s="611"/>
      <c r="J2" s="611"/>
      <c r="K2" s="611"/>
      <c r="L2" s="612"/>
      <c r="M2" s="612"/>
      <c r="N2" s="612"/>
      <c r="O2" s="612"/>
      <c r="P2" s="612"/>
      <c r="Q2" s="612"/>
      <c r="R2" s="612"/>
      <c r="S2" s="612"/>
      <c r="T2" s="612"/>
      <c r="U2" s="612"/>
      <c r="V2" s="613"/>
      <c r="W2" s="612"/>
      <c r="X2" s="612"/>
      <c r="Y2" s="612"/>
      <c r="Z2" s="612"/>
      <c r="AA2" s="612"/>
      <c r="AB2" s="612"/>
      <c r="AC2" s="612"/>
      <c r="AD2" s="612"/>
      <c r="AE2" s="612"/>
      <c r="AF2" s="612"/>
      <c r="AG2" s="612"/>
      <c r="AH2" s="612"/>
      <c r="AI2" s="612"/>
      <c r="AJ2" s="612"/>
      <c r="AK2" s="612"/>
      <c r="AL2" s="611"/>
      <c r="AM2" s="434"/>
      <c r="AN2" s="434"/>
      <c r="AO2" s="434"/>
      <c r="AP2" s="434"/>
      <c r="AQ2" s="434"/>
      <c r="AR2" s="434"/>
      <c r="AS2" s="434"/>
    </row>
    <row r="3" spans="1:52" s="582" customFormat="1">
      <c r="B3" s="583" t="s">
        <v>1017</v>
      </c>
      <c r="V3" s="583"/>
    </row>
    <row r="4" spans="1:52" ht="5.25" customHeight="1">
      <c r="A4" s="434"/>
      <c r="B4" s="614"/>
      <c r="C4" s="615"/>
      <c r="D4" s="615"/>
      <c r="E4" s="615"/>
      <c r="F4" s="615"/>
      <c r="G4" s="615"/>
      <c r="H4" s="615"/>
      <c r="I4" s="615"/>
      <c r="J4" s="615"/>
      <c r="K4" s="615"/>
      <c r="L4" s="615"/>
      <c r="M4" s="616"/>
      <c r="N4" s="616"/>
      <c r="O4" s="616"/>
      <c r="P4" s="616"/>
      <c r="Q4" s="616"/>
      <c r="R4" s="616"/>
      <c r="S4" s="586"/>
      <c r="T4" s="617"/>
      <c r="U4" s="617"/>
      <c r="V4" s="617"/>
      <c r="W4" s="617"/>
      <c r="X4" s="617"/>
      <c r="Y4" s="617"/>
      <c r="Z4" s="616"/>
      <c r="AA4" s="616"/>
      <c r="AB4" s="616"/>
      <c r="AC4" s="616"/>
      <c r="AD4" s="616"/>
      <c r="AE4" s="616"/>
      <c r="AF4" s="616"/>
      <c r="AG4" s="616"/>
      <c r="AH4" s="616"/>
      <c r="AI4" s="616"/>
      <c r="AJ4" s="616"/>
      <c r="AK4" s="616"/>
      <c r="AL4" s="616"/>
      <c r="AM4" s="618"/>
      <c r="AN4" s="434"/>
      <c r="AO4" s="434"/>
      <c r="AP4" s="434"/>
      <c r="AQ4" s="434"/>
      <c r="AR4" s="434"/>
      <c r="AS4" s="434"/>
      <c r="AW4" s="593"/>
      <c r="AX4" s="593"/>
      <c r="AY4" s="593"/>
      <c r="AZ4" s="593"/>
    </row>
    <row r="5" spans="1:52" s="619" customFormat="1" ht="20.25">
      <c r="B5" s="620"/>
      <c r="C5" s="591"/>
      <c r="D5" s="621" t="s">
        <v>47</v>
      </c>
      <c r="E5" s="622" t="s">
        <v>738</v>
      </c>
      <c r="F5" s="591"/>
      <c r="G5" s="591"/>
      <c r="H5" s="623"/>
      <c r="I5" s="623"/>
      <c r="J5" s="623"/>
      <c r="K5" s="623"/>
      <c r="L5" s="623"/>
      <c r="M5" s="623"/>
      <c r="N5" s="623"/>
      <c r="O5" s="623"/>
      <c r="P5" s="623"/>
      <c r="Q5" s="623"/>
      <c r="R5" s="624"/>
      <c r="S5" s="591"/>
      <c r="T5" s="624"/>
      <c r="U5" s="582"/>
      <c r="V5" s="582"/>
      <c r="W5" s="591"/>
      <c r="X5" s="591"/>
      <c r="Y5" s="624"/>
      <c r="Z5" s="610" t="b">
        <v>1</v>
      </c>
      <c r="AA5" s="582" t="s">
        <v>484</v>
      </c>
      <c r="AB5" s="582"/>
      <c r="AC5" s="591"/>
      <c r="AD5" s="591"/>
      <c r="AE5" s="610"/>
      <c r="AF5" s="582" t="s">
        <v>485</v>
      </c>
      <c r="AG5" s="582"/>
      <c r="AH5" s="591"/>
      <c r="AI5" s="626"/>
      <c r="AJ5" s="582"/>
      <c r="AK5" s="591"/>
      <c r="AL5" s="624"/>
      <c r="AM5" s="627"/>
      <c r="AN5" s="591"/>
      <c r="AW5" s="604"/>
      <c r="AX5" s="604"/>
      <c r="AY5" s="604"/>
      <c r="AZ5" s="604"/>
    </row>
    <row r="6" spans="1:52" s="619" customFormat="1" ht="20.25">
      <c r="B6" s="620"/>
      <c r="C6" s="591"/>
      <c r="D6" s="621" t="s">
        <v>48</v>
      </c>
      <c r="E6" s="622" t="s">
        <v>739</v>
      </c>
      <c r="F6" s="591"/>
      <c r="G6" s="591"/>
      <c r="H6" s="623"/>
      <c r="I6" s="623"/>
      <c r="J6" s="623"/>
      <c r="K6" s="623"/>
      <c r="L6" s="623"/>
      <c r="M6" s="623"/>
      <c r="N6" s="623"/>
      <c r="O6" s="623"/>
      <c r="P6" s="623"/>
      <c r="Q6" s="623"/>
      <c r="R6" s="591"/>
      <c r="T6" s="582"/>
      <c r="U6" s="591"/>
      <c r="V6" s="591"/>
      <c r="W6" s="591"/>
      <c r="X6" s="591"/>
      <c r="Y6" s="1715" t="str">
        <f>IF(AND(sch_sgp_spgadviser_yes=FALSE,sch_sgp_spgadviser_yes_num_advisers&gt;0),"Please check Yes if you have entries.","")</f>
        <v/>
      </c>
      <c r="Z6" s="610" t="b">
        <v>1</v>
      </c>
      <c r="AA6" s="582" t="s">
        <v>484</v>
      </c>
      <c r="AB6" s="582"/>
      <c r="AC6" s="591"/>
      <c r="AD6" s="591"/>
      <c r="AE6" s="610"/>
      <c r="AF6" s="582" t="s">
        <v>485</v>
      </c>
      <c r="AG6" s="582"/>
      <c r="AH6" s="624"/>
      <c r="AI6" s="626"/>
      <c r="AJ6" s="582"/>
      <c r="AK6" s="624"/>
      <c r="AL6" s="624"/>
      <c r="AM6" s="627"/>
      <c r="AN6" s="591"/>
      <c r="AW6" s="604"/>
      <c r="AX6" s="604"/>
      <c r="AY6" s="604"/>
      <c r="AZ6" s="604"/>
    </row>
    <row r="7" spans="1:52" s="619" customFormat="1" ht="19.5" customHeight="1">
      <c r="B7" s="628"/>
      <c r="C7" s="591"/>
      <c r="D7" s="629"/>
      <c r="E7" s="630" t="s">
        <v>464</v>
      </c>
      <c r="F7" s="591" t="s">
        <v>740</v>
      </c>
      <c r="G7" s="591"/>
      <c r="H7" s="591"/>
      <c r="I7" s="591"/>
      <c r="J7" s="591"/>
      <c r="K7" s="631"/>
      <c r="L7" s="582"/>
      <c r="M7" s="591"/>
      <c r="N7" s="591"/>
      <c r="O7" s="624"/>
      <c r="P7" s="591"/>
      <c r="Q7" s="624"/>
      <c r="R7" s="624"/>
      <c r="V7" s="624"/>
      <c r="W7" s="624"/>
      <c r="X7" s="582"/>
      <c r="Y7" s="1714" t="str">
        <f>IF(AND(sch_sgp_spgadviser_yes=TRUE,ISBLANK(sch_sgp_spgadviser_yes_num_advisers)), "Please indicate no. of years.", "")</f>
        <v/>
      </c>
      <c r="Z7" s="2617">
        <v>3</v>
      </c>
      <c r="AA7" s="2617"/>
      <c r="AB7" s="2617"/>
      <c r="AC7" s="2617"/>
      <c r="AD7" s="2617"/>
      <c r="AE7" s="2617"/>
      <c r="AF7" s="2617"/>
      <c r="AG7" s="624"/>
      <c r="AI7" s="591"/>
      <c r="AJ7" s="591"/>
      <c r="AK7" s="591"/>
      <c r="AL7" s="591"/>
      <c r="AM7" s="632"/>
      <c r="AN7" s="591"/>
    </row>
    <row r="8" spans="1:52" s="619" customFormat="1">
      <c r="B8" s="620"/>
      <c r="C8" s="591"/>
      <c r="D8" s="621" t="s">
        <v>49</v>
      </c>
      <c r="E8" s="622" t="s">
        <v>741</v>
      </c>
      <c r="F8" s="591"/>
      <c r="G8" s="591"/>
      <c r="H8" s="633"/>
      <c r="I8" s="634"/>
      <c r="J8" s="634"/>
      <c r="K8" s="634"/>
      <c r="L8" s="634"/>
      <c r="M8" s="634"/>
      <c r="N8" s="634"/>
      <c r="O8" s="634"/>
      <c r="P8" s="634"/>
      <c r="Q8" s="634"/>
      <c r="R8" s="624"/>
      <c r="S8" s="582"/>
      <c r="T8" s="582"/>
      <c r="U8" s="582"/>
      <c r="V8" s="582"/>
      <c r="W8" s="582"/>
      <c r="X8" s="635"/>
      <c r="Y8" s="624"/>
      <c r="Z8" s="624"/>
      <c r="AA8" s="624"/>
      <c r="AB8" s="624"/>
      <c r="AC8" s="624"/>
      <c r="AD8" s="624"/>
      <c r="AE8" s="582"/>
      <c r="AF8" s="582"/>
      <c r="AG8" s="582"/>
      <c r="AH8" s="582"/>
      <c r="AI8" s="582"/>
      <c r="AJ8" s="582"/>
      <c r="AK8" s="582"/>
      <c r="AL8" s="582"/>
      <c r="AM8" s="592"/>
      <c r="AN8" s="591"/>
      <c r="AW8" s="604"/>
      <c r="AX8" s="604"/>
      <c r="AY8" s="604"/>
      <c r="AZ8" s="604"/>
    </row>
    <row r="9" spans="1:52" s="619" customFormat="1" ht="20.25">
      <c r="B9" s="636"/>
      <c r="C9" s="591"/>
      <c r="D9" s="629"/>
      <c r="E9" s="623"/>
      <c r="F9" s="591"/>
      <c r="G9" s="610" t="b">
        <v>0</v>
      </c>
      <c r="H9" s="582" t="s">
        <v>353</v>
      </c>
      <c r="I9" s="582"/>
      <c r="J9" s="582"/>
      <c r="K9" s="626"/>
      <c r="L9" s="582"/>
      <c r="M9" s="582"/>
      <c r="N9" s="625"/>
      <c r="O9" s="582"/>
      <c r="P9" s="610" t="b">
        <v>0</v>
      </c>
      <c r="Q9" s="582" t="s">
        <v>352</v>
      </c>
      <c r="R9" s="591"/>
      <c r="S9" s="582"/>
      <c r="T9" s="582"/>
      <c r="U9" s="582"/>
      <c r="V9" s="626"/>
      <c r="W9" s="582"/>
      <c r="X9" s="582"/>
      <c r="Y9" s="582"/>
      <c r="Z9" s="663" t="b">
        <v>1</v>
      </c>
      <c r="AA9" s="637" t="s">
        <v>1021</v>
      </c>
      <c r="AB9" s="591"/>
      <c r="AC9" s="591"/>
      <c r="AD9" s="591"/>
      <c r="AE9" s="2620" t="s">
        <v>11899</v>
      </c>
      <c r="AF9" s="2620"/>
      <c r="AG9" s="2620"/>
      <c r="AH9" s="2620"/>
      <c r="AI9" s="2620"/>
      <c r="AJ9" s="2620"/>
      <c r="AK9" s="582"/>
      <c r="AL9" s="582"/>
      <c r="AM9" s="632"/>
      <c r="AN9" s="591"/>
      <c r="AR9" s="604"/>
      <c r="AS9" s="604"/>
      <c r="AT9" s="604"/>
      <c r="AU9" s="604"/>
    </row>
    <row r="10" spans="1:52" s="619" customFormat="1" ht="20.25" customHeight="1">
      <c r="B10" s="636"/>
      <c r="C10" s="591"/>
      <c r="D10" s="629"/>
      <c r="E10" s="623"/>
      <c r="F10" s="591"/>
      <c r="G10" s="610" t="b">
        <v>0</v>
      </c>
      <c r="H10" s="582" t="s">
        <v>351</v>
      </c>
      <c r="I10" s="582"/>
      <c r="J10" s="582"/>
      <c r="K10" s="626"/>
      <c r="L10" s="582"/>
      <c r="M10" s="582"/>
      <c r="N10" s="625"/>
      <c r="O10" s="582"/>
      <c r="P10" s="610" t="b">
        <v>0</v>
      </c>
      <c r="Q10" s="582" t="s">
        <v>742</v>
      </c>
      <c r="R10" s="591"/>
      <c r="S10" s="582"/>
      <c r="T10" s="582"/>
      <c r="U10" s="582"/>
      <c r="V10" s="626"/>
      <c r="W10" s="582"/>
      <c r="X10" s="582"/>
      <c r="Y10" s="582"/>
      <c r="Z10" s="582"/>
      <c r="AA10" s="662"/>
      <c r="AB10" s="582"/>
      <c r="AC10" s="624"/>
      <c r="AD10" s="582"/>
      <c r="AE10" s="1716" t="str">
        <f>IF(AND(sch_spgadviser_subjhandle_otherspec=FALSE,sch_spgadviser_subjhandle_others&gt;0),"Please check Others if you have entries.",IF(AND(sch_spgadviser_subjhandle_otherspec=TRUE,ISBLANK(sch_spgadviser_subjhandle_others)),"Please specify.",""))</f>
        <v/>
      </c>
      <c r="AF10" s="582"/>
      <c r="AG10" s="624"/>
      <c r="AH10" s="582"/>
      <c r="AI10" s="582"/>
      <c r="AJ10" s="591"/>
      <c r="AK10" s="582"/>
      <c r="AL10" s="582"/>
      <c r="AM10" s="632"/>
      <c r="AN10" s="591"/>
      <c r="AR10" s="604"/>
      <c r="AS10" s="604"/>
      <c r="AT10" s="604"/>
      <c r="AU10" s="604"/>
    </row>
    <row r="11" spans="1:52" s="619" customFormat="1" ht="19.5" customHeight="1">
      <c r="B11" s="620"/>
      <c r="C11" s="591"/>
      <c r="D11" s="621" t="s">
        <v>50</v>
      </c>
      <c r="E11" s="622" t="s">
        <v>743</v>
      </c>
      <c r="F11" s="591"/>
      <c r="G11" s="591"/>
      <c r="H11" s="623"/>
      <c r="I11" s="623"/>
      <c r="J11" s="623"/>
      <c r="K11" s="623"/>
      <c r="L11" s="623"/>
      <c r="M11" s="623"/>
      <c r="N11" s="623"/>
      <c r="O11" s="623"/>
      <c r="P11" s="623"/>
      <c r="Q11" s="623"/>
      <c r="R11" s="624"/>
      <c r="S11" s="591"/>
      <c r="T11" s="624"/>
      <c r="U11" s="582"/>
      <c r="V11" s="582"/>
      <c r="W11" s="591"/>
      <c r="X11" s="591"/>
      <c r="Y11" s="624"/>
      <c r="Z11" s="582"/>
      <c r="AA11" s="624"/>
      <c r="AB11" s="582"/>
      <c r="AC11" s="582"/>
      <c r="AD11" s="591"/>
      <c r="AE11" s="591"/>
      <c r="AF11" s="624"/>
      <c r="AG11" s="582"/>
      <c r="AH11" s="624"/>
      <c r="AI11" s="624"/>
      <c r="AJ11" s="624"/>
      <c r="AK11" s="624"/>
      <c r="AL11" s="624"/>
      <c r="AM11" s="627"/>
      <c r="AN11" s="591"/>
      <c r="AW11" s="604"/>
      <c r="AX11" s="604"/>
      <c r="AY11" s="604"/>
      <c r="AZ11" s="604"/>
    </row>
    <row r="12" spans="1:52" s="619" customFormat="1" ht="20.25">
      <c r="B12" s="636"/>
      <c r="C12" s="591"/>
      <c r="D12" s="629"/>
      <c r="E12" s="623"/>
      <c r="F12" s="591"/>
      <c r="G12" s="610" t="b">
        <v>0</v>
      </c>
      <c r="H12" s="582" t="s">
        <v>317</v>
      </c>
      <c r="I12" s="582"/>
      <c r="J12" s="582"/>
      <c r="K12" s="626"/>
      <c r="L12" s="591"/>
      <c r="M12" s="582"/>
      <c r="N12" s="582"/>
      <c r="O12" s="582"/>
      <c r="P12" s="610" t="b">
        <v>0</v>
      </c>
      <c r="Q12" s="582" t="s">
        <v>744</v>
      </c>
      <c r="R12" s="591"/>
      <c r="S12" s="626"/>
      <c r="T12" s="582"/>
      <c r="U12" s="582"/>
      <c r="V12" s="582"/>
      <c r="W12" s="582"/>
      <c r="X12" s="582"/>
      <c r="Y12" s="582"/>
      <c r="Z12" s="610" t="b">
        <v>0</v>
      </c>
      <c r="AA12" s="582" t="s">
        <v>325</v>
      </c>
      <c r="AB12" s="591"/>
      <c r="AC12" s="591"/>
      <c r="AD12" s="582"/>
      <c r="AE12" s="582"/>
      <c r="AF12" s="582"/>
      <c r="AG12" s="582"/>
      <c r="AH12" s="582"/>
      <c r="AI12" s="582"/>
      <c r="AJ12" s="591"/>
      <c r="AK12" s="582"/>
      <c r="AL12" s="582"/>
      <c r="AM12" s="632"/>
      <c r="AN12" s="591"/>
      <c r="AR12" s="604"/>
      <c r="AS12" s="604"/>
      <c r="AT12" s="604"/>
      <c r="AU12" s="604"/>
    </row>
    <row r="13" spans="1:52" s="619" customFormat="1" ht="20.25">
      <c r="B13" s="636"/>
      <c r="C13" s="591"/>
      <c r="D13" s="629"/>
      <c r="E13" s="623"/>
      <c r="F13" s="591"/>
      <c r="G13" s="610" t="b">
        <v>0</v>
      </c>
      <c r="H13" s="582" t="s">
        <v>319</v>
      </c>
      <c r="I13" s="582"/>
      <c r="J13" s="582"/>
      <c r="K13" s="626"/>
      <c r="L13" s="591"/>
      <c r="M13" s="582"/>
      <c r="N13" s="582"/>
      <c r="O13" s="582"/>
      <c r="P13" s="610" t="b">
        <v>1</v>
      </c>
      <c r="Q13" s="582" t="s">
        <v>323</v>
      </c>
      <c r="R13" s="591"/>
      <c r="S13" s="626"/>
      <c r="T13" s="582"/>
      <c r="U13" s="582"/>
      <c r="V13" s="582"/>
      <c r="W13" s="582"/>
      <c r="X13" s="582"/>
      <c r="Y13" s="582"/>
      <c r="Z13" s="624"/>
      <c r="AA13" s="582"/>
      <c r="AB13" s="582"/>
      <c r="AC13" s="582"/>
      <c r="AD13" s="582"/>
      <c r="AE13" s="582"/>
      <c r="AF13" s="582"/>
      <c r="AG13" s="624"/>
      <c r="AH13" s="582"/>
      <c r="AI13" s="582"/>
      <c r="AJ13" s="591"/>
      <c r="AK13" s="582"/>
      <c r="AL13" s="582"/>
      <c r="AM13" s="632"/>
      <c r="AN13" s="591"/>
      <c r="AR13" s="604"/>
      <c r="AS13" s="604"/>
      <c r="AT13" s="604"/>
      <c r="AU13" s="604"/>
    </row>
    <row r="14" spans="1:52" s="619" customFormat="1" ht="20.25">
      <c r="B14" s="620"/>
      <c r="C14" s="591"/>
      <c r="D14" s="621" t="s">
        <v>51</v>
      </c>
      <c r="E14" s="622" t="s">
        <v>745</v>
      </c>
      <c r="F14" s="591"/>
      <c r="G14" s="591"/>
      <c r="H14" s="623"/>
      <c r="I14" s="623"/>
      <c r="J14" s="623"/>
      <c r="K14" s="623"/>
      <c r="L14" s="623"/>
      <c r="M14" s="623"/>
      <c r="N14" s="623"/>
      <c r="O14" s="623"/>
      <c r="P14" s="623"/>
      <c r="Q14" s="623"/>
      <c r="R14" s="624"/>
      <c r="S14" s="591"/>
      <c r="T14" s="624"/>
      <c r="U14" s="582"/>
      <c r="V14" s="582"/>
      <c r="W14" s="591"/>
      <c r="X14" s="591"/>
      <c r="Y14" s="624"/>
      <c r="Z14" s="610" t="b">
        <v>0</v>
      </c>
      <c r="AA14" s="582" t="s">
        <v>484</v>
      </c>
      <c r="AB14" s="582"/>
      <c r="AC14" s="591"/>
      <c r="AD14" s="591"/>
      <c r="AE14" s="610"/>
      <c r="AF14" s="582" t="s">
        <v>485</v>
      </c>
      <c r="AG14" s="582"/>
      <c r="AH14" s="624"/>
      <c r="AI14" s="626"/>
      <c r="AJ14" s="582"/>
      <c r="AK14" s="624"/>
      <c r="AL14" s="624"/>
      <c r="AM14" s="627"/>
      <c r="AN14" s="591"/>
      <c r="AW14" s="604"/>
      <c r="AX14" s="604"/>
      <c r="AY14" s="604"/>
      <c r="AZ14" s="604"/>
    </row>
    <row r="15" spans="1:52" s="619" customFormat="1" ht="20.25">
      <c r="B15" s="620"/>
      <c r="C15" s="591"/>
      <c r="D15" s="621" t="s">
        <v>52</v>
      </c>
      <c r="E15" s="622" t="s">
        <v>746</v>
      </c>
      <c r="F15" s="591"/>
      <c r="G15" s="591"/>
      <c r="H15" s="623"/>
      <c r="I15" s="623"/>
      <c r="J15" s="623"/>
      <c r="K15" s="623"/>
      <c r="L15" s="623"/>
      <c r="M15" s="623"/>
      <c r="N15" s="623"/>
      <c r="O15" s="623"/>
      <c r="P15" s="623"/>
      <c r="Q15" s="623"/>
      <c r="R15" s="624"/>
      <c r="S15" s="591"/>
      <c r="T15" s="624"/>
      <c r="U15" s="582"/>
      <c r="V15" s="582"/>
      <c r="W15" s="591"/>
      <c r="X15" s="591"/>
      <c r="Y15" s="582"/>
      <c r="Z15" s="610" t="b">
        <v>0</v>
      </c>
      <c r="AA15" s="582" t="s">
        <v>484</v>
      </c>
      <c r="AB15" s="582"/>
      <c r="AC15" s="591"/>
      <c r="AD15" s="591"/>
      <c r="AE15" s="610"/>
      <c r="AF15" s="582" t="s">
        <v>485</v>
      </c>
      <c r="AG15" s="582"/>
      <c r="AH15" s="624"/>
      <c r="AI15" s="626"/>
      <c r="AJ15" s="582"/>
      <c r="AK15" s="624"/>
      <c r="AL15" s="624"/>
      <c r="AM15" s="627"/>
      <c r="AN15" s="591"/>
      <c r="AW15" s="604"/>
      <c r="AX15" s="604"/>
      <c r="AY15" s="604"/>
      <c r="AZ15" s="604"/>
    </row>
    <row r="16" spans="1:52" s="619" customFormat="1" ht="20.25">
      <c r="B16" s="620"/>
      <c r="C16" s="591"/>
      <c r="D16" s="621" t="s">
        <v>53</v>
      </c>
      <c r="E16" s="622" t="s">
        <v>747</v>
      </c>
      <c r="F16" s="591"/>
      <c r="G16" s="591"/>
      <c r="H16" s="623"/>
      <c r="I16" s="623"/>
      <c r="J16" s="623"/>
      <c r="K16" s="623"/>
      <c r="L16" s="623"/>
      <c r="M16" s="623"/>
      <c r="N16" s="623"/>
      <c r="O16" s="623"/>
      <c r="P16" s="623"/>
      <c r="Q16" s="623"/>
      <c r="R16" s="624"/>
      <c r="S16" s="591"/>
      <c r="T16" s="624"/>
      <c r="U16" s="582"/>
      <c r="V16" s="582"/>
      <c r="W16" s="591"/>
      <c r="X16" s="591"/>
      <c r="Y16" s="624"/>
      <c r="Z16" s="610" t="b">
        <v>1</v>
      </c>
      <c r="AA16" s="582" t="s">
        <v>484</v>
      </c>
      <c r="AB16" s="582"/>
      <c r="AC16" s="591"/>
      <c r="AD16" s="591"/>
      <c r="AE16" s="610"/>
      <c r="AF16" s="582" t="s">
        <v>485</v>
      </c>
      <c r="AG16" s="582"/>
      <c r="AH16" s="624"/>
      <c r="AI16" s="626"/>
      <c r="AJ16" s="582"/>
      <c r="AK16" s="624"/>
      <c r="AL16" s="624"/>
      <c r="AM16" s="627"/>
      <c r="AN16" s="591"/>
      <c r="AW16" s="604"/>
      <c r="AX16" s="604"/>
      <c r="AY16" s="604"/>
      <c r="AZ16" s="604"/>
    </row>
    <row r="17" spans="1:52" s="619" customFormat="1" ht="20.25">
      <c r="B17" s="620"/>
      <c r="C17" s="591"/>
      <c r="D17" s="621" t="s">
        <v>54</v>
      </c>
      <c r="E17" s="622" t="s">
        <v>748</v>
      </c>
      <c r="F17" s="591"/>
      <c r="G17" s="591"/>
      <c r="H17" s="623"/>
      <c r="I17" s="623"/>
      <c r="J17" s="623"/>
      <c r="K17" s="623"/>
      <c r="L17" s="623"/>
      <c r="M17" s="623"/>
      <c r="N17" s="623"/>
      <c r="O17" s="623"/>
      <c r="P17" s="623"/>
      <c r="Q17" s="623"/>
      <c r="R17" s="624"/>
      <c r="S17" s="591"/>
      <c r="T17" s="624"/>
      <c r="U17" s="582"/>
      <c r="V17" s="582"/>
      <c r="W17" s="591"/>
      <c r="X17" s="591"/>
      <c r="Y17" s="624"/>
      <c r="Z17" s="610" t="b">
        <v>0</v>
      </c>
      <c r="AA17" s="582" t="s">
        <v>484</v>
      </c>
      <c r="AB17" s="582"/>
      <c r="AC17" s="591"/>
      <c r="AD17" s="591"/>
      <c r="AE17" s="610"/>
      <c r="AF17" s="582" t="s">
        <v>485</v>
      </c>
      <c r="AG17" s="582"/>
      <c r="AH17" s="624"/>
      <c r="AI17" s="626"/>
      <c r="AJ17" s="582"/>
      <c r="AK17" s="624"/>
      <c r="AL17" s="624"/>
      <c r="AM17" s="627"/>
      <c r="AN17" s="591"/>
      <c r="AW17" s="604"/>
      <c r="AX17" s="604"/>
      <c r="AY17" s="604"/>
      <c r="AZ17" s="604"/>
    </row>
    <row r="18" spans="1:52" s="619" customFormat="1" ht="20.25">
      <c r="B18" s="620"/>
      <c r="C18" s="591"/>
      <c r="D18" s="621" t="s">
        <v>55</v>
      </c>
      <c r="E18" s="622" t="s">
        <v>749</v>
      </c>
      <c r="F18" s="591"/>
      <c r="G18" s="591"/>
      <c r="H18" s="623"/>
      <c r="I18" s="623"/>
      <c r="J18" s="623"/>
      <c r="K18" s="623"/>
      <c r="L18" s="623"/>
      <c r="M18" s="623"/>
      <c r="N18" s="623"/>
      <c r="O18" s="623"/>
      <c r="P18" s="623"/>
      <c r="Q18" s="623"/>
      <c r="R18" s="624"/>
      <c r="S18" s="591"/>
      <c r="T18" s="624"/>
      <c r="U18" s="582"/>
      <c r="V18" s="582"/>
      <c r="W18" s="591"/>
      <c r="X18" s="591"/>
      <c r="Y18" s="624"/>
      <c r="Z18" s="610" t="b">
        <v>0</v>
      </c>
      <c r="AA18" s="582" t="s">
        <v>484</v>
      </c>
      <c r="AB18" s="582"/>
      <c r="AC18" s="591"/>
      <c r="AD18" s="591"/>
      <c r="AE18" s="610"/>
      <c r="AF18" s="582" t="s">
        <v>485</v>
      </c>
      <c r="AG18" s="582"/>
      <c r="AH18" s="591"/>
      <c r="AI18" s="626"/>
      <c r="AJ18" s="582"/>
      <c r="AK18" s="624"/>
      <c r="AL18" s="624"/>
      <c r="AM18" s="627"/>
      <c r="AN18" s="591"/>
      <c r="AW18" s="604"/>
      <c r="AX18" s="604"/>
      <c r="AY18" s="604"/>
      <c r="AZ18" s="604"/>
    </row>
    <row r="19" spans="1:52" s="619" customFormat="1" ht="20.25">
      <c r="B19" s="620"/>
      <c r="C19" s="591"/>
      <c r="D19" s="621" t="s">
        <v>56</v>
      </c>
      <c r="E19" s="622" t="s">
        <v>750</v>
      </c>
      <c r="F19" s="591"/>
      <c r="G19" s="591"/>
      <c r="H19" s="623"/>
      <c r="I19" s="623"/>
      <c r="J19" s="623"/>
      <c r="K19" s="623"/>
      <c r="L19" s="623"/>
      <c r="M19" s="623"/>
      <c r="N19" s="623"/>
      <c r="O19" s="623"/>
      <c r="P19" s="623"/>
      <c r="Q19" s="623"/>
      <c r="R19" s="624"/>
      <c r="S19" s="591"/>
      <c r="T19" s="624"/>
      <c r="U19" s="591"/>
      <c r="V19" s="591"/>
      <c r="W19" s="582"/>
      <c r="X19" s="591"/>
      <c r="Y19" s="591"/>
      <c r="Z19" s="610" t="b">
        <v>0</v>
      </c>
      <c r="AA19" s="582" t="s">
        <v>484</v>
      </c>
      <c r="AB19" s="582"/>
      <c r="AC19" s="591"/>
      <c r="AD19" s="591"/>
      <c r="AE19" s="610"/>
      <c r="AF19" s="582" t="s">
        <v>485</v>
      </c>
      <c r="AG19" s="582"/>
      <c r="AH19" s="624"/>
      <c r="AI19" s="626"/>
      <c r="AJ19" s="582"/>
      <c r="AK19" s="624"/>
      <c r="AL19" s="624"/>
      <c r="AM19" s="627"/>
      <c r="AN19" s="591"/>
      <c r="AW19" s="604"/>
      <c r="AX19" s="604"/>
      <c r="AY19" s="604"/>
      <c r="AZ19" s="604"/>
    </row>
    <row r="20" spans="1:52" s="619" customFormat="1" ht="34.5" customHeight="1">
      <c r="B20" s="620"/>
      <c r="C20" s="591"/>
      <c r="D20" s="638" t="s">
        <v>57</v>
      </c>
      <c r="E20" s="2619" t="s">
        <v>751</v>
      </c>
      <c r="F20" s="2619"/>
      <c r="G20" s="2619"/>
      <c r="H20" s="2619"/>
      <c r="I20" s="2619"/>
      <c r="J20" s="2619"/>
      <c r="K20" s="2619"/>
      <c r="L20" s="2619"/>
      <c r="M20" s="2619"/>
      <c r="N20" s="2619"/>
      <c r="O20" s="2619"/>
      <c r="P20" s="2619"/>
      <c r="Q20" s="2619"/>
      <c r="R20" s="2619"/>
      <c r="S20" s="2619"/>
      <c r="T20" s="2619"/>
      <c r="U20" s="2619"/>
      <c r="V20" s="2619"/>
      <c r="W20" s="2619"/>
      <c r="X20" s="2619"/>
      <c r="Y20" s="591"/>
      <c r="Z20" s="2615"/>
      <c r="AA20" s="2615"/>
      <c r="AB20" s="2615"/>
      <c r="AC20" s="2615"/>
      <c r="AD20" s="2615"/>
      <c r="AE20" s="2615"/>
      <c r="AF20" s="2615"/>
      <c r="AG20" s="582"/>
      <c r="AH20" s="582"/>
      <c r="AI20" s="624"/>
      <c r="AJ20" s="624"/>
      <c r="AK20" s="624"/>
      <c r="AL20" s="624"/>
      <c r="AM20" s="627"/>
      <c r="AN20" s="591"/>
      <c r="AW20" s="604"/>
      <c r="AX20" s="604"/>
      <c r="AY20" s="604"/>
      <c r="AZ20" s="604"/>
    </row>
    <row r="21" spans="1:52" s="619" customFormat="1" ht="33" customHeight="1">
      <c r="B21" s="620"/>
      <c r="C21" s="591"/>
      <c r="D21" s="638" t="s">
        <v>752</v>
      </c>
      <c r="E21" s="2619" t="s">
        <v>753</v>
      </c>
      <c r="F21" s="2619"/>
      <c r="G21" s="2619"/>
      <c r="H21" s="2619"/>
      <c r="I21" s="2619"/>
      <c r="J21" s="2619"/>
      <c r="K21" s="2619"/>
      <c r="L21" s="2619"/>
      <c r="M21" s="2619"/>
      <c r="N21" s="2619"/>
      <c r="O21" s="2619"/>
      <c r="P21" s="2619"/>
      <c r="Q21" s="2619"/>
      <c r="R21" s="2619"/>
      <c r="S21" s="2619"/>
      <c r="T21" s="2619"/>
      <c r="U21" s="2619"/>
      <c r="V21" s="2619"/>
      <c r="W21" s="2619"/>
      <c r="X21" s="2619"/>
      <c r="Y21" s="591"/>
      <c r="Z21" s="610" t="b">
        <v>0</v>
      </c>
      <c r="AA21" s="582" t="s">
        <v>484</v>
      </c>
      <c r="AB21" s="582"/>
      <c r="AC21" s="591"/>
      <c r="AD21" s="591"/>
      <c r="AE21" s="610"/>
      <c r="AF21" s="582" t="s">
        <v>485</v>
      </c>
      <c r="AG21" s="582"/>
      <c r="AH21" s="582"/>
      <c r="AI21" s="624"/>
      <c r="AJ21" s="624"/>
      <c r="AK21" s="624"/>
      <c r="AL21" s="624"/>
      <c r="AM21" s="627"/>
      <c r="AN21" s="591"/>
      <c r="AW21" s="604"/>
      <c r="AX21" s="604"/>
      <c r="AY21" s="604"/>
      <c r="AZ21" s="604"/>
    </row>
    <row r="22" spans="1:52" ht="2.25" customHeight="1">
      <c r="A22" s="434"/>
      <c r="B22" s="639"/>
      <c r="C22" s="640"/>
      <c r="D22" s="582"/>
      <c r="E22" s="582"/>
      <c r="F22" s="582"/>
      <c r="G22" s="582"/>
      <c r="H22" s="582"/>
      <c r="I22" s="582"/>
      <c r="J22" s="582"/>
      <c r="K22" s="582"/>
      <c r="L22" s="582"/>
      <c r="M22" s="582"/>
      <c r="N22" s="624"/>
      <c r="O22" s="624"/>
      <c r="P22" s="624"/>
      <c r="Q22" s="624"/>
      <c r="R22" s="624"/>
      <c r="S22" s="582"/>
      <c r="T22" s="624"/>
      <c r="U22" s="624"/>
      <c r="V22" s="624"/>
      <c r="W22" s="624"/>
      <c r="X22" s="624"/>
      <c r="Y22" s="624"/>
      <c r="Z22" s="582"/>
      <c r="AA22" s="582"/>
      <c r="AB22" s="582"/>
      <c r="AC22" s="582"/>
      <c r="AD22" s="582"/>
      <c r="AE22" s="582"/>
      <c r="AF22" s="582"/>
      <c r="AG22" s="582"/>
      <c r="AH22" s="582"/>
      <c r="AI22" s="582"/>
      <c r="AJ22" s="582"/>
      <c r="AK22" s="582"/>
      <c r="AL22" s="582"/>
      <c r="AM22" s="592"/>
      <c r="AN22" s="434"/>
      <c r="AO22" s="434"/>
      <c r="AP22" s="434"/>
      <c r="AQ22" s="434"/>
      <c r="AR22" s="434"/>
      <c r="AS22" s="434"/>
      <c r="AW22" s="593"/>
      <c r="AX22" s="593"/>
      <c r="AY22" s="593"/>
      <c r="AZ22" s="593"/>
    </row>
    <row r="23" spans="1:52" ht="7.5" customHeight="1">
      <c r="A23" s="434"/>
      <c r="B23" s="641"/>
      <c r="C23" s="642"/>
      <c r="D23" s="596"/>
      <c r="E23" s="596"/>
      <c r="F23" s="596"/>
      <c r="G23" s="596"/>
      <c r="H23" s="596"/>
      <c r="I23" s="596"/>
      <c r="J23" s="596"/>
      <c r="K23" s="596"/>
      <c r="L23" s="596"/>
      <c r="M23" s="596"/>
      <c r="N23" s="643"/>
      <c r="O23" s="643"/>
      <c r="P23" s="643"/>
      <c r="Q23" s="643"/>
      <c r="R23" s="643"/>
      <c r="S23" s="596"/>
      <c r="T23" s="643"/>
      <c r="U23" s="643"/>
      <c r="V23" s="643"/>
      <c r="W23" s="643"/>
      <c r="X23" s="643"/>
      <c r="Y23" s="643"/>
      <c r="Z23" s="596"/>
      <c r="AA23" s="596"/>
      <c r="AB23" s="596"/>
      <c r="AC23" s="596"/>
      <c r="AD23" s="596"/>
      <c r="AE23" s="596"/>
      <c r="AF23" s="596"/>
      <c r="AG23" s="596"/>
      <c r="AH23" s="596"/>
      <c r="AI23" s="596"/>
      <c r="AJ23" s="596"/>
      <c r="AK23" s="596"/>
      <c r="AL23" s="596"/>
      <c r="AM23" s="597"/>
      <c r="AN23" s="434"/>
      <c r="AO23" s="434"/>
      <c r="AP23" s="434"/>
      <c r="AQ23" s="434"/>
      <c r="AR23" s="434"/>
      <c r="AS23" s="434"/>
    </row>
    <row r="24" spans="1:52" s="593" customFormat="1" ht="27.75" customHeight="1">
      <c r="B24" s="644"/>
      <c r="C24" s="645"/>
      <c r="D24" s="645"/>
      <c r="E24" s="645"/>
      <c r="F24" s="645"/>
      <c r="G24" s="645"/>
      <c r="H24" s="582"/>
      <c r="I24" s="582"/>
      <c r="J24" s="582"/>
      <c r="K24" s="582"/>
      <c r="L24" s="635"/>
      <c r="M24" s="635"/>
      <c r="N24" s="635"/>
      <c r="O24" s="635"/>
      <c r="P24" s="582"/>
      <c r="Q24" s="635"/>
      <c r="R24" s="635"/>
      <c r="S24" s="635"/>
      <c r="T24" s="635"/>
      <c r="U24" s="582"/>
      <c r="V24" s="635"/>
      <c r="W24" s="635"/>
      <c r="X24" s="635"/>
      <c r="Y24" s="635"/>
    </row>
    <row r="25" spans="1:52">
      <c r="A25" s="434"/>
      <c r="B25" s="611" t="s">
        <v>11390</v>
      </c>
      <c r="C25" s="611"/>
      <c r="D25" s="611"/>
      <c r="E25" s="611"/>
      <c r="F25" s="611"/>
      <c r="G25" s="611"/>
      <c r="H25" s="611"/>
      <c r="I25" s="611"/>
      <c r="J25" s="611"/>
      <c r="K25" s="611"/>
      <c r="L25" s="612"/>
      <c r="M25" s="612"/>
      <c r="N25" s="612"/>
      <c r="O25" s="612"/>
      <c r="P25" s="612"/>
      <c r="Q25" s="612"/>
      <c r="R25" s="612"/>
      <c r="S25" s="612"/>
      <c r="T25" s="612"/>
      <c r="U25" s="612"/>
      <c r="V25" s="612"/>
      <c r="W25" s="612"/>
      <c r="X25" s="612"/>
      <c r="Y25" s="612"/>
      <c r="Z25" s="612"/>
      <c r="AA25" s="612"/>
      <c r="AB25" s="612"/>
      <c r="AC25" s="612"/>
      <c r="AD25" s="612"/>
      <c r="AE25" s="612"/>
      <c r="AF25" s="612"/>
      <c r="AG25" s="612"/>
      <c r="AH25" s="612"/>
      <c r="AI25" s="612"/>
      <c r="AJ25" s="612"/>
      <c r="AK25" s="612"/>
      <c r="AL25" s="611"/>
      <c r="AM25" s="434"/>
      <c r="AN25" s="434"/>
      <c r="AO25" s="434"/>
      <c r="AP25" s="434"/>
      <c r="AQ25" s="434"/>
      <c r="AR25" s="434"/>
      <c r="AS25" s="434"/>
    </row>
    <row r="26" spans="1:52" s="582" customFormat="1" ht="15.75" customHeight="1">
      <c r="B26" s="583" t="s">
        <v>402</v>
      </c>
    </row>
    <row r="27" spans="1:52" ht="5.25" customHeight="1">
      <c r="A27" s="434"/>
      <c r="B27" s="614"/>
      <c r="C27" s="615"/>
      <c r="D27" s="615"/>
      <c r="E27" s="615"/>
      <c r="F27" s="615"/>
      <c r="G27" s="615"/>
      <c r="H27" s="615"/>
      <c r="I27" s="615"/>
      <c r="J27" s="615"/>
      <c r="K27" s="615"/>
      <c r="L27" s="615"/>
      <c r="M27" s="616"/>
      <c r="N27" s="616"/>
      <c r="O27" s="616"/>
      <c r="P27" s="616"/>
      <c r="Q27" s="616"/>
      <c r="R27" s="616"/>
      <c r="S27" s="586"/>
      <c r="T27" s="617"/>
      <c r="U27" s="617"/>
      <c r="V27" s="617"/>
      <c r="W27" s="617"/>
      <c r="X27" s="617"/>
      <c r="Y27" s="617"/>
      <c r="Z27" s="616"/>
      <c r="AA27" s="616"/>
      <c r="AB27" s="616"/>
      <c r="AC27" s="616"/>
      <c r="AD27" s="616"/>
      <c r="AE27" s="616"/>
      <c r="AF27" s="616"/>
      <c r="AG27" s="616"/>
      <c r="AH27" s="616"/>
      <c r="AI27" s="616"/>
      <c r="AJ27" s="616"/>
      <c r="AK27" s="616"/>
      <c r="AL27" s="616"/>
      <c r="AM27" s="618"/>
      <c r="AN27" s="434"/>
      <c r="AO27" s="434"/>
      <c r="AP27" s="434"/>
      <c r="AQ27" s="434"/>
      <c r="AR27" s="434"/>
      <c r="AS27" s="434"/>
      <c r="AW27" s="593"/>
      <c r="AX27" s="593"/>
      <c r="AY27" s="593"/>
      <c r="AZ27" s="593"/>
    </row>
    <row r="28" spans="1:52" s="591" customFormat="1" ht="19.5">
      <c r="B28" s="628"/>
      <c r="C28" s="623"/>
      <c r="D28" s="621" t="s">
        <v>47</v>
      </c>
      <c r="E28" s="633" t="s">
        <v>754</v>
      </c>
      <c r="F28" s="623"/>
      <c r="G28" s="623"/>
      <c r="H28" s="623"/>
      <c r="I28" s="623"/>
      <c r="J28" s="623"/>
      <c r="K28" s="623"/>
      <c r="L28" s="623"/>
      <c r="M28" s="624"/>
      <c r="O28" s="624"/>
      <c r="P28" s="582"/>
      <c r="Q28" s="582"/>
      <c r="S28" s="624"/>
      <c r="T28" s="582"/>
      <c r="U28" s="582"/>
      <c r="X28" s="624"/>
      <c r="Y28" s="582"/>
      <c r="Z28" s="582"/>
      <c r="AC28" s="582"/>
      <c r="AD28" s="610" t="b">
        <v>1</v>
      </c>
      <c r="AE28" s="582" t="s">
        <v>484</v>
      </c>
      <c r="AF28" s="582"/>
      <c r="AI28" s="610"/>
      <c r="AJ28" s="582" t="s">
        <v>485</v>
      </c>
      <c r="AK28" s="624"/>
      <c r="AL28" s="624"/>
      <c r="AM28" s="627"/>
      <c r="AW28" s="582"/>
      <c r="AX28" s="582"/>
      <c r="AY28" s="582"/>
      <c r="AZ28" s="582"/>
    </row>
    <row r="29" spans="1:52" s="591" customFormat="1" ht="19.5">
      <c r="B29" s="628"/>
      <c r="C29" s="623"/>
      <c r="D29" s="621" t="s">
        <v>48</v>
      </c>
      <c r="E29" s="633" t="s">
        <v>755</v>
      </c>
      <c r="F29" s="623"/>
      <c r="G29" s="623"/>
      <c r="H29" s="623"/>
      <c r="I29" s="623"/>
      <c r="J29" s="623"/>
      <c r="K29" s="623"/>
      <c r="L29" s="623"/>
      <c r="M29" s="624"/>
      <c r="O29" s="624"/>
      <c r="P29" s="582"/>
      <c r="Q29" s="582"/>
      <c r="T29" s="582"/>
      <c r="Z29" s="582"/>
      <c r="AA29" s="624"/>
      <c r="AB29" s="582"/>
      <c r="AC29" s="582"/>
      <c r="AD29" s="610" t="b">
        <v>0</v>
      </c>
      <c r="AE29" s="582" t="s">
        <v>484</v>
      </c>
      <c r="AF29" s="582"/>
      <c r="AI29" s="610"/>
      <c r="AJ29" s="582" t="s">
        <v>485</v>
      </c>
      <c r="AK29" s="624"/>
      <c r="AL29" s="624"/>
      <c r="AM29" s="627"/>
      <c r="AW29" s="582"/>
      <c r="AX29" s="582"/>
      <c r="AY29" s="582"/>
      <c r="AZ29" s="582"/>
    </row>
    <row r="30" spans="1:52" s="591" customFormat="1" ht="33.75" customHeight="1">
      <c r="B30" s="628"/>
      <c r="C30" s="623"/>
      <c r="D30" s="638" t="s">
        <v>49</v>
      </c>
      <c r="E30" s="2619" t="s">
        <v>756</v>
      </c>
      <c r="F30" s="2619"/>
      <c r="G30" s="2619"/>
      <c r="H30" s="2619"/>
      <c r="I30" s="2619"/>
      <c r="J30" s="2619"/>
      <c r="K30" s="2619"/>
      <c r="L30" s="2619"/>
      <c r="M30" s="2619"/>
      <c r="N30" s="2619"/>
      <c r="O30" s="2619"/>
      <c r="P30" s="2619"/>
      <c r="Q30" s="2619"/>
      <c r="R30" s="2619"/>
      <c r="S30" s="2619"/>
      <c r="T30" s="2619"/>
      <c r="U30" s="2619"/>
      <c r="V30" s="2619"/>
      <c r="W30" s="2619"/>
      <c r="X30" s="2619"/>
      <c r="Y30" s="582"/>
      <c r="Z30" s="582"/>
      <c r="AA30" s="624"/>
      <c r="AB30" s="582"/>
      <c r="AC30" s="582"/>
      <c r="AD30" s="610" t="b">
        <v>1</v>
      </c>
      <c r="AE30" s="582" t="s">
        <v>484</v>
      </c>
      <c r="AF30" s="582"/>
      <c r="AI30" s="610"/>
      <c r="AJ30" s="582" t="s">
        <v>485</v>
      </c>
      <c r="AK30" s="582"/>
      <c r="AL30" s="624"/>
      <c r="AM30" s="627"/>
      <c r="AW30" s="582"/>
      <c r="AX30" s="582"/>
      <c r="AY30" s="582"/>
      <c r="AZ30" s="582"/>
    </row>
    <row r="31" spans="1:52" s="591" customFormat="1" ht="31.5" customHeight="1">
      <c r="B31" s="628"/>
      <c r="C31" s="623"/>
      <c r="D31" s="638" t="s">
        <v>50</v>
      </c>
      <c r="E31" s="2618" t="s">
        <v>757</v>
      </c>
      <c r="F31" s="2618"/>
      <c r="G31" s="2618"/>
      <c r="H31" s="2618"/>
      <c r="I31" s="2618"/>
      <c r="J31" s="2618"/>
      <c r="K31" s="2618"/>
      <c r="L31" s="2618"/>
      <c r="M31" s="2618"/>
      <c r="N31" s="2618"/>
      <c r="O31" s="2618"/>
      <c r="P31" s="2618"/>
      <c r="Q31" s="2618"/>
      <c r="R31" s="2618"/>
      <c r="S31" s="2618"/>
      <c r="T31" s="2618"/>
      <c r="U31" s="2618"/>
      <c r="V31" s="2618"/>
      <c r="W31" s="2618"/>
      <c r="X31" s="2618"/>
      <c r="Y31" s="582"/>
      <c r="Z31" s="582"/>
      <c r="AA31" s="624"/>
      <c r="AB31" s="582"/>
      <c r="AC31" s="582"/>
      <c r="AD31" s="610" t="b">
        <v>1</v>
      </c>
      <c r="AE31" s="582" t="s">
        <v>484</v>
      </c>
      <c r="AF31" s="582"/>
      <c r="AI31" s="610"/>
      <c r="AJ31" s="582" t="s">
        <v>485</v>
      </c>
      <c r="AM31" s="627"/>
      <c r="AW31" s="582"/>
      <c r="AX31" s="582"/>
      <c r="AY31" s="582"/>
      <c r="AZ31" s="582"/>
    </row>
    <row r="32" spans="1:52" s="591" customFormat="1" ht="33.75" customHeight="1">
      <c r="B32" s="628"/>
      <c r="C32" s="623"/>
      <c r="D32" s="638" t="s">
        <v>51</v>
      </c>
      <c r="E32" s="2619" t="s">
        <v>758</v>
      </c>
      <c r="F32" s="2619"/>
      <c r="G32" s="2619"/>
      <c r="H32" s="2619"/>
      <c r="I32" s="2619"/>
      <c r="J32" s="2619"/>
      <c r="K32" s="2619"/>
      <c r="L32" s="2619"/>
      <c r="M32" s="2619"/>
      <c r="N32" s="2619"/>
      <c r="O32" s="2619"/>
      <c r="P32" s="2619"/>
      <c r="Q32" s="2619"/>
      <c r="R32" s="2619"/>
      <c r="S32" s="2619"/>
      <c r="T32" s="2619"/>
      <c r="U32" s="2619"/>
      <c r="V32" s="2619"/>
      <c r="W32" s="2619"/>
      <c r="X32" s="2619"/>
      <c r="Y32" s="582"/>
      <c r="Z32" s="582"/>
      <c r="AA32" s="624"/>
      <c r="AB32" s="582"/>
      <c r="AC32" s="582"/>
      <c r="AD32" s="610" t="b">
        <v>1</v>
      </c>
      <c r="AE32" s="582" t="s">
        <v>484</v>
      </c>
      <c r="AF32" s="582"/>
      <c r="AI32" s="610"/>
      <c r="AJ32" s="582" t="s">
        <v>485</v>
      </c>
      <c r="AK32" s="582"/>
      <c r="AL32" s="624"/>
      <c r="AM32" s="627"/>
      <c r="AW32" s="582"/>
      <c r="AX32" s="582"/>
      <c r="AY32" s="582"/>
      <c r="AZ32" s="582"/>
    </row>
    <row r="33" spans="1:52" s="591" customFormat="1" ht="31.5" customHeight="1">
      <c r="B33" s="628"/>
      <c r="C33" s="623"/>
      <c r="D33" s="638" t="s">
        <v>52</v>
      </c>
      <c r="E33" s="2618" t="s">
        <v>759</v>
      </c>
      <c r="F33" s="2618"/>
      <c r="G33" s="2618"/>
      <c r="H33" s="2618"/>
      <c r="I33" s="2618"/>
      <c r="J33" s="2618"/>
      <c r="K33" s="2618"/>
      <c r="L33" s="2618"/>
      <c r="M33" s="2618"/>
      <c r="N33" s="2618"/>
      <c r="O33" s="2618"/>
      <c r="P33" s="2618"/>
      <c r="Q33" s="2618"/>
      <c r="R33" s="2618"/>
      <c r="S33" s="2618"/>
      <c r="T33" s="2618"/>
      <c r="U33" s="2618"/>
      <c r="V33" s="2618"/>
      <c r="W33" s="2618"/>
      <c r="X33" s="2618"/>
      <c r="Y33" s="582"/>
      <c r="Z33" s="582"/>
      <c r="AA33" s="624"/>
      <c r="AB33" s="582"/>
      <c r="AC33" s="582"/>
      <c r="AD33" s="610" t="b">
        <v>1</v>
      </c>
      <c r="AE33" s="582" t="s">
        <v>484</v>
      </c>
      <c r="AF33" s="582"/>
      <c r="AI33" s="610"/>
      <c r="AJ33" s="582" t="s">
        <v>485</v>
      </c>
      <c r="AM33" s="627"/>
      <c r="AW33" s="582"/>
      <c r="AX33" s="582"/>
      <c r="AY33" s="582"/>
      <c r="AZ33" s="582"/>
    </row>
    <row r="34" spans="1:52" s="591" customFormat="1" ht="51" customHeight="1">
      <c r="B34" s="628"/>
      <c r="C34" s="623"/>
      <c r="D34" s="638" t="s">
        <v>53</v>
      </c>
      <c r="E34" s="2619" t="s">
        <v>760</v>
      </c>
      <c r="F34" s="2619"/>
      <c r="G34" s="2619"/>
      <c r="H34" s="2619"/>
      <c r="I34" s="2619"/>
      <c r="J34" s="2619"/>
      <c r="K34" s="2619"/>
      <c r="L34" s="2619"/>
      <c r="M34" s="2619"/>
      <c r="N34" s="2619"/>
      <c r="O34" s="2619"/>
      <c r="P34" s="2619"/>
      <c r="Q34" s="2619"/>
      <c r="R34" s="2619"/>
      <c r="S34" s="2619"/>
      <c r="T34" s="2619"/>
      <c r="U34" s="2619"/>
      <c r="V34" s="2619"/>
      <c r="W34" s="2619"/>
      <c r="X34" s="2619"/>
      <c r="Y34" s="582"/>
      <c r="Z34" s="582"/>
      <c r="AA34" s="624"/>
      <c r="AB34" s="582"/>
      <c r="AC34" s="582"/>
      <c r="AD34" s="610" t="b">
        <v>1</v>
      </c>
      <c r="AE34" s="582" t="s">
        <v>484</v>
      </c>
      <c r="AF34" s="582"/>
      <c r="AI34" s="610"/>
      <c r="AJ34" s="582" t="s">
        <v>485</v>
      </c>
      <c r="AK34" s="582"/>
      <c r="AL34" s="624"/>
      <c r="AM34" s="627"/>
      <c r="AW34" s="582"/>
      <c r="AX34" s="582"/>
      <c r="AY34" s="582"/>
      <c r="AZ34" s="582"/>
    </row>
    <row r="35" spans="1:52" s="591" customFormat="1" ht="31.5" customHeight="1">
      <c r="B35" s="628"/>
      <c r="C35" s="623"/>
      <c r="D35" s="638" t="s">
        <v>54</v>
      </c>
      <c r="E35" s="2618" t="s">
        <v>761</v>
      </c>
      <c r="F35" s="2618"/>
      <c r="G35" s="2618"/>
      <c r="H35" s="2618"/>
      <c r="I35" s="2618"/>
      <c r="J35" s="2618"/>
      <c r="K35" s="2618"/>
      <c r="L35" s="2618"/>
      <c r="M35" s="2618"/>
      <c r="N35" s="2618"/>
      <c r="O35" s="2618"/>
      <c r="P35" s="2618"/>
      <c r="Q35" s="2618"/>
      <c r="R35" s="2618"/>
      <c r="S35" s="2618"/>
      <c r="T35" s="2618"/>
      <c r="U35" s="2618"/>
      <c r="V35" s="2618"/>
      <c r="W35" s="2618"/>
      <c r="X35" s="2618"/>
      <c r="Y35" s="582"/>
      <c r="Z35" s="582"/>
      <c r="AA35" s="624"/>
      <c r="AB35" s="582"/>
      <c r="AC35" s="582"/>
      <c r="AD35" s="610" t="b">
        <v>1</v>
      </c>
      <c r="AE35" s="582" t="s">
        <v>484</v>
      </c>
      <c r="AF35" s="582"/>
      <c r="AI35" s="610"/>
      <c r="AJ35" s="582" t="s">
        <v>485</v>
      </c>
      <c r="AM35" s="627"/>
      <c r="AW35" s="582"/>
      <c r="AX35" s="582"/>
      <c r="AY35" s="582"/>
      <c r="AZ35" s="582"/>
    </row>
    <row r="36" spans="1:52" ht="7.5" customHeight="1">
      <c r="A36" s="434"/>
      <c r="B36" s="646"/>
      <c r="C36" s="642"/>
      <c r="D36" s="596"/>
      <c r="E36" s="596"/>
      <c r="F36" s="596"/>
      <c r="G36" s="596"/>
      <c r="H36" s="596"/>
      <c r="I36" s="596"/>
      <c r="J36" s="596"/>
      <c r="K36" s="596"/>
      <c r="L36" s="596"/>
      <c r="M36" s="596"/>
      <c r="N36" s="643"/>
      <c r="O36" s="643"/>
      <c r="P36" s="643"/>
      <c r="Q36" s="643"/>
      <c r="R36" s="643"/>
      <c r="S36" s="596"/>
      <c r="T36" s="643"/>
      <c r="U36" s="643"/>
      <c r="V36" s="643"/>
      <c r="W36" s="643"/>
      <c r="X36" s="643"/>
      <c r="Y36" s="643"/>
      <c r="Z36" s="596"/>
      <c r="AA36" s="596"/>
      <c r="AB36" s="596"/>
      <c r="AC36" s="596"/>
      <c r="AD36" s="596"/>
      <c r="AE36" s="596"/>
      <c r="AF36" s="596"/>
      <c r="AG36" s="596"/>
      <c r="AH36" s="596"/>
      <c r="AI36" s="596"/>
      <c r="AJ36" s="596"/>
      <c r="AK36" s="596"/>
      <c r="AL36" s="596"/>
      <c r="AM36" s="597"/>
      <c r="AN36" s="434"/>
      <c r="AO36" s="434"/>
      <c r="AP36" s="434"/>
      <c r="AQ36" s="434"/>
      <c r="AR36" s="434"/>
      <c r="AS36" s="434"/>
    </row>
    <row r="37" spans="1:52" s="593" customFormat="1" ht="27.75" customHeight="1">
      <c r="C37" s="645"/>
      <c r="D37" s="645"/>
      <c r="E37" s="645"/>
      <c r="F37" s="645"/>
      <c r="G37" s="645"/>
      <c r="H37" s="582"/>
      <c r="I37" s="582"/>
      <c r="J37" s="582"/>
      <c r="K37" s="582"/>
      <c r="L37" s="635"/>
      <c r="M37" s="635"/>
      <c r="N37" s="635"/>
      <c r="O37" s="635"/>
      <c r="P37" s="582"/>
      <c r="Q37" s="635"/>
      <c r="R37" s="635"/>
      <c r="S37" s="635"/>
      <c r="T37" s="635"/>
      <c r="U37" s="582"/>
      <c r="V37" s="635"/>
      <c r="W37" s="635"/>
      <c r="X37" s="635"/>
      <c r="Y37" s="635"/>
    </row>
    <row r="38" spans="1:52">
      <c r="A38" s="434"/>
      <c r="B38" s="611" t="s">
        <v>11391</v>
      </c>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row>
    <row r="39" spans="1:52" s="582" customFormat="1" ht="18.75" customHeight="1">
      <c r="B39" s="647" t="s">
        <v>1017</v>
      </c>
    </row>
    <row r="40" spans="1:52" ht="8.1" customHeight="1">
      <c r="A40" s="434"/>
      <c r="B40" s="648"/>
      <c r="C40" s="649"/>
      <c r="D40" s="649"/>
      <c r="E40" s="649"/>
      <c r="F40" s="649"/>
      <c r="G40" s="649"/>
      <c r="H40" s="650"/>
      <c r="I40" s="650"/>
      <c r="J40" s="650"/>
      <c r="K40" s="650"/>
      <c r="L40" s="650"/>
      <c r="M40" s="650"/>
      <c r="N40" s="650"/>
      <c r="O40" s="650"/>
      <c r="P40" s="650"/>
      <c r="Q40" s="650"/>
      <c r="R40" s="650"/>
      <c r="S40" s="650"/>
      <c r="T40" s="650"/>
      <c r="U40" s="650"/>
      <c r="V40" s="650"/>
      <c r="W40" s="650"/>
      <c r="X40" s="650"/>
      <c r="Y40" s="586"/>
      <c r="Z40" s="650"/>
      <c r="AA40" s="650"/>
      <c r="AB40" s="650"/>
      <c r="AC40" s="650"/>
      <c r="AD40" s="616"/>
      <c r="AE40" s="650"/>
      <c r="AF40" s="650"/>
      <c r="AG40" s="650"/>
      <c r="AH40" s="650"/>
      <c r="AI40" s="650"/>
      <c r="AJ40" s="650"/>
      <c r="AK40" s="650"/>
      <c r="AL40" s="650"/>
      <c r="AM40" s="651"/>
      <c r="AN40" s="434"/>
      <c r="AO40" s="434"/>
      <c r="AP40" s="434"/>
      <c r="AQ40" s="434"/>
      <c r="AR40" s="434"/>
      <c r="AS40" s="434"/>
    </row>
    <row r="41" spans="1:52" ht="19.5">
      <c r="A41" s="434"/>
      <c r="B41" s="652"/>
      <c r="C41" s="623"/>
      <c r="D41" s="621" t="s">
        <v>47</v>
      </c>
      <c r="E41" s="653" t="s">
        <v>762</v>
      </c>
      <c r="F41" s="623"/>
      <c r="G41" s="623"/>
      <c r="H41" s="623"/>
      <c r="I41" s="623"/>
      <c r="J41" s="623"/>
      <c r="K41" s="623"/>
      <c r="L41" s="623"/>
      <c r="M41" s="654"/>
      <c r="N41" s="434"/>
      <c r="O41" s="654"/>
      <c r="P41" s="434"/>
      <c r="Q41" s="434"/>
      <c r="R41" s="434"/>
      <c r="S41" s="625"/>
      <c r="T41" s="582"/>
      <c r="U41" s="434"/>
      <c r="V41" s="434"/>
      <c r="W41" s="625"/>
      <c r="X41" s="582"/>
      <c r="Y41" s="582"/>
      <c r="Z41" s="610" t="b">
        <v>1</v>
      </c>
      <c r="AA41" s="582" t="s">
        <v>484</v>
      </c>
      <c r="AB41" s="582"/>
      <c r="AC41" s="591"/>
      <c r="AD41" s="591"/>
      <c r="AE41" s="610"/>
      <c r="AF41" s="582" t="s">
        <v>485</v>
      </c>
      <c r="AG41" s="434"/>
      <c r="AH41" s="434"/>
      <c r="AI41" s="654"/>
      <c r="AJ41" s="654"/>
      <c r="AK41" s="654"/>
      <c r="AL41" s="654"/>
      <c r="AM41" s="655"/>
      <c r="AN41" s="434"/>
      <c r="AO41" s="434"/>
      <c r="AP41" s="434"/>
      <c r="AQ41" s="434"/>
      <c r="AR41" s="434"/>
      <c r="AS41" s="434"/>
      <c r="AW41" s="593"/>
      <c r="AX41" s="593"/>
      <c r="AY41" s="593"/>
      <c r="AZ41" s="593"/>
    </row>
    <row r="42" spans="1:52" ht="15.75" customHeight="1">
      <c r="A42" s="434"/>
      <c r="B42" s="656"/>
      <c r="C42" s="623"/>
      <c r="D42" s="623"/>
      <c r="E42" s="657" t="s">
        <v>1482</v>
      </c>
      <c r="F42" s="623"/>
      <c r="G42" s="623"/>
      <c r="H42" s="623"/>
      <c r="I42" s="623"/>
      <c r="J42" s="623"/>
      <c r="K42" s="623"/>
      <c r="L42" s="623"/>
      <c r="M42" s="654"/>
      <c r="N42" s="434"/>
      <c r="O42" s="654"/>
      <c r="P42" s="434"/>
      <c r="Q42" s="434"/>
      <c r="R42" s="434"/>
      <c r="S42" s="625"/>
      <c r="T42" s="582"/>
      <c r="U42" s="434"/>
      <c r="V42" s="434"/>
      <c r="W42" s="625"/>
      <c r="X42" s="582"/>
      <c r="Y42" s="582"/>
      <c r="Z42" s="582"/>
      <c r="AA42" s="434"/>
      <c r="AB42" s="434"/>
      <c r="AC42" s="434"/>
      <c r="AD42" s="434"/>
      <c r="AE42" s="434"/>
      <c r="AF42" s="434"/>
      <c r="AG42" s="434"/>
      <c r="AH42" s="434"/>
      <c r="AI42" s="654"/>
      <c r="AJ42" s="654"/>
      <c r="AK42" s="654"/>
      <c r="AL42" s="654"/>
      <c r="AM42" s="655"/>
      <c r="AN42" s="434"/>
      <c r="AO42" s="434"/>
      <c r="AP42" s="434"/>
      <c r="AQ42" s="434"/>
      <c r="AR42" s="434"/>
      <c r="AS42" s="434"/>
      <c r="AW42" s="593"/>
      <c r="AX42" s="593"/>
      <c r="AY42" s="593"/>
      <c r="AZ42" s="593"/>
    </row>
    <row r="43" spans="1:52" ht="20.25">
      <c r="A43" s="434"/>
      <c r="B43" s="652"/>
      <c r="C43" s="623"/>
      <c r="D43" s="621" t="s">
        <v>48</v>
      </c>
      <c r="E43" s="653" t="s">
        <v>763</v>
      </c>
      <c r="F43" s="623"/>
      <c r="G43" s="623"/>
      <c r="H43" s="623"/>
      <c r="I43" s="623"/>
      <c r="J43" s="623"/>
      <c r="K43" s="623"/>
      <c r="L43" s="623"/>
      <c r="M43" s="654"/>
      <c r="N43" s="434"/>
      <c r="O43" s="654"/>
      <c r="P43" s="582"/>
      <c r="Q43" s="582"/>
      <c r="R43" s="434"/>
      <c r="S43" s="658"/>
      <c r="T43" s="654"/>
      <c r="U43" s="582"/>
      <c r="V43" s="434"/>
      <c r="W43" s="658"/>
      <c r="X43" s="654"/>
      <c r="Y43" s="582"/>
      <c r="Z43" s="2617">
        <v>21</v>
      </c>
      <c r="AA43" s="2617"/>
      <c r="AB43" s="2617"/>
      <c r="AC43" s="2617"/>
      <c r="AD43" s="2617"/>
      <c r="AE43" s="2617"/>
      <c r="AF43" s="2617"/>
      <c r="AG43" s="582"/>
      <c r="AH43" s="434"/>
      <c r="AI43" s="654"/>
      <c r="AJ43" s="654"/>
      <c r="AK43" s="654"/>
      <c r="AL43" s="654"/>
      <c r="AM43" s="655"/>
      <c r="AN43" s="434"/>
      <c r="AO43" s="434"/>
      <c r="AP43" s="434"/>
      <c r="AQ43" s="434"/>
      <c r="AR43" s="434"/>
      <c r="AS43" s="434"/>
      <c r="AW43" s="593"/>
      <c r="AX43" s="593"/>
      <c r="AY43" s="593"/>
      <c r="AZ43" s="593"/>
    </row>
    <row r="44" spans="1:52" ht="19.5">
      <c r="A44" s="434"/>
      <c r="B44" s="652"/>
      <c r="C44" s="623"/>
      <c r="D44" s="621" t="s">
        <v>49</v>
      </c>
      <c r="E44" s="653" t="s">
        <v>764</v>
      </c>
      <c r="F44" s="623"/>
      <c r="G44" s="623"/>
      <c r="H44" s="623"/>
      <c r="I44" s="623"/>
      <c r="J44" s="623"/>
      <c r="K44" s="623"/>
      <c r="L44" s="623"/>
      <c r="M44" s="434"/>
      <c r="N44" s="434"/>
      <c r="O44" s="582"/>
      <c r="P44" s="434"/>
      <c r="Q44" s="434"/>
      <c r="R44" s="434"/>
      <c r="S44" s="625"/>
      <c r="T44" s="582"/>
      <c r="U44" s="582"/>
      <c r="V44" s="434"/>
      <c r="W44" s="625"/>
      <c r="X44" s="582"/>
      <c r="Y44" s="582"/>
      <c r="Z44" s="610" t="b">
        <v>1</v>
      </c>
      <c r="AA44" s="582" t="s">
        <v>484</v>
      </c>
      <c r="AB44" s="582"/>
      <c r="AC44" s="591"/>
      <c r="AD44" s="591"/>
      <c r="AE44" s="610"/>
      <c r="AF44" s="582" t="s">
        <v>485</v>
      </c>
      <c r="AG44" s="582"/>
      <c r="AH44" s="434"/>
      <c r="AI44" s="654"/>
      <c r="AJ44" s="654"/>
      <c r="AK44" s="654"/>
      <c r="AL44" s="654"/>
      <c r="AM44" s="655"/>
      <c r="AN44" s="434"/>
      <c r="AO44" s="434"/>
      <c r="AP44" s="434"/>
      <c r="AQ44" s="434"/>
      <c r="AR44" s="434"/>
      <c r="AS44" s="434"/>
      <c r="AW44" s="593"/>
      <c r="AX44" s="593"/>
      <c r="AY44" s="593"/>
      <c r="AZ44" s="593"/>
    </row>
    <row r="45" spans="1:52" ht="20.25">
      <c r="A45" s="434"/>
      <c r="B45" s="652"/>
      <c r="C45" s="623"/>
      <c r="D45" s="621" t="s">
        <v>50</v>
      </c>
      <c r="E45" s="653" t="s">
        <v>765</v>
      </c>
      <c r="F45" s="623"/>
      <c r="G45" s="623"/>
      <c r="H45" s="623"/>
      <c r="I45" s="623"/>
      <c r="J45" s="623"/>
      <c r="K45" s="623"/>
      <c r="L45" s="623"/>
      <c r="M45" s="654"/>
      <c r="N45" s="434"/>
      <c r="O45" s="654"/>
      <c r="P45" s="582"/>
      <c r="Q45" s="582"/>
      <c r="R45" s="434"/>
      <c r="S45" s="658"/>
      <c r="T45" s="654"/>
      <c r="U45" s="582"/>
      <c r="V45" s="434"/>
      <c r="W45" s="658"/>
      <c r="X45" s="654"/>
      <c r="Y45" s="582"/>
      <c r="Z45" s="2617">
        <v>21</v>
      </c>
      <c r="AA45" s="2617"/>
      <c r="AB45" s="2617"/>
      <c r="AC45" s="2617"/>
      <c r="AD45" s="2617"/>
      <c r="AE45" s="2617"/>
      <c r="AF45" s="2617"/>
      <c r="AG45" s="582"/>
      <c r="AH45" s="434"/>
      <c r="AI45" s="654"/>
      <c r="AJ45" s="654"/>
      <c r="AK45" s="654"/>
      <c r="AL45" s="654"/>
      <c r="AM45" s="655"/>
      <c r="AN45" s="434"/>
      <c r="AO45" s="434"/>
      <c r="AP45" s="434"/>
      <c r="AQ45" s="434"/>
      <c r="AR45" s="434"/>
      <c r="AS45" s="434"/>
      <c r="AW45" s="593"/>
      <c r="AX45" s="593"/>
      <c r="AY45" s="593"/>
      <c r="AZ45" s="593"/>
    </row>
    <row r="46" spans="1:52" ht="19.5">
      <c r="A46" s="434"/>
      <c r="B46" s="652"/>
      <c r="C46" s="623"/>
      <c r="D46" s="621" t="s">
        <v>51</v>
      </c>
      <c r="E46" s="653" t="s">
        <v>766</v>
      </c>
      <c r="F46" s="623"/>
      <c r="G46" s="623"/>
      <c r="H46" s="623"/>
      <c r="I46" s="623"/>
      <c r="J46" s="623"/>
      <c r="K46" s="623"/>
      <c r="L46" s="623"/>
      <c r="M46" s="654"/>
      <c r="N46" s="434"/>
      <c r="O46" s="654"/>
      <c r="P46" s="582"/>
      <c r="Q46" s="582"/>
      <c r="R46" s="434"/>
      <c r="S46" s="625"/>
      <c r="T46" s="582"/>
      <c r="U46" s="434"/>
      <c r="V46" s="434"/>
      <c r="W46" s="625"/>
      <c r="X46" s="582"/>
      <c r="Y46" s="434"/>
      <c r="Z46" s="610" t="b">
        <v>1</v>
      </c>
      <c r="AA46" s="582" t="s">
        <v>484</v>
      </c>
      <c r="AB46" s="582"/>
      <c r="AC46" s="591"/>
      <c r="AD46" s="591"/>
      <c r="AE46" s="610"/>
      <c r="AF46" s="582" t="s">
        <v>485</v>
      </c>
      <c r="AG46" s="582"/>
      <c r="AH46" s="434"/>
      <c r="AI46" s="654"/>
      <c r="AJ46" s="654"/>
      <c r="AK46" s="654"/>
      <c r="AL46" s="654"/>
      <c r="AM46" s="655"/>
      <c r="AN46" s="434"/>
      <c r="AO46" s="434"/>
      <c r="AP46" s="434"/>
      <c r="AQ46" s="434"/>
      <c r="AR46" s="434"/>
      <c r="AS46" s="434"/>
      <c r="AW46" s="593"/>
      <c r="AX46" s="593"/>
      <c r="AY46" s="593"/>
      <c r="AZ46" s="593"/>
    </row>
    <row r="47" spans="1:52" ht="19.5">
      <c r="A47" s="434"/>
      <c r="B47" s="652"/>
      <c r="C47" s="623"/>
      <c r="D47" s="621" t="s">
        <v>52</v>
      </c>
      <c r="E47" s="653" t="s">
        <v>767</v>
      </c>
      <c r="F47" s="623"/>
      <c r="G47" s="623"/>
      <c r="H47" s="623"/>
      <c r="I47" s="623"/>
      <c r="J47" s="623"/>
      <c r="K47" s="623"/>
      <c r="L47" s="623"/>
      <c r="M47" s="654"/>
      <c r="N47" s="434"/>
      <c r="O47" s="654"/>
      <c r="P47" s="582"/>
      <c r="Q47" s="582"/>
      <c r="R47" s="434"/>
      <c r="S47" s="625"/>
      <c r="T47" s="582"/>
      <c r="U47" s="434"/>
      <c r="V47" s="434"/>
      <c r="W47" s="625"/>
      <c r="X47" s="582"/>
      <c r="Y47" s="434"/>
      <c r="Z47" s="610" t="b">
        <v>1</v>
      </c>
      <c r="AA47" s="582" t="s">
        <v>484</v>
      </c>
      <c r="AB47" s="582"/>
      <c r="AC47" s="591"/>
      <c r="AD47" s="591"/>
      <c r="AE47" s="610"/>
      <c r="AF47" s="582" t="s">
        <v>485</v>
      </c>
      <c r="AG47" s="582"/>
      <c r="AH47" s="434"/>
      <c r="AI47" s="654"/>
      <c r="AJ47" s="654"/>
      <c r="AK47" s="654"/>
      <c r="AL47" s="654"/>
      <c r="AM47" s="655"/>
      <c r="AN47" s="434"/>
      <c r="AO47" s="434"/>
      <c r="AP47" s="434"/>
      <c r="AQ47" s="434"/>
      <c r="AR47" s="434"/>
      <c r="AS47" s="434"/>
      <c r="AW47" s="593"/>
      <c r="AX47" s="593"/>
      <c r="AY47" s="593"/>
      <c r="AZ47" s="593"/>
    </row>
    <row r="48" spans="1:52" ht="19.5">
      <c r="A48" s="434"/>
      <c r="B48" s="652"/>
      <c r="C48" s="623"/>
      <c r="D48" s="621" t="s">
        <v>53</v>
      </c>
      <c r="E48" s="653" t="s">
        <v>768</v>
      </c>
      <c r="F48" s="623"/>
      <c r="G48" s="623"/>
      <c r="H48" s="623"/>
      <c r="I48" s="623"/>
      <c r="J48" s="623"/>
      <c r="K48" s="623"/>
      <c r="L48" s="623"/>
      <c r="M48" s="654"/>
      <c r="N48" s="434"/>
      <c r="O48" s="654"/>
      <c r="P48" s="582"/>
      <c r="Q48" s="582"/>
      <c r="R48" s="434"/>
      <c r="S48" s="625"/>
      <c r="T48" s="582"/>
      <c r="U48" s="434"/>
      <c r="V48" s="434"/>
      <c r="W48" s="625"/>
      <c r="X48" s="582"/>
      <c r="Y48" s="434"/>
      <c r="Z48" s="610" t="b">
        <v>1</v>
      </c>
      <c r="AA48" s="582" t="s">
        <v>484</v>
      </c>
      <c r="AB48" s="582"/>
      <c r="AC48" s="591"/>
      <c r="AD48" s="591"/>
      <c r="AE48" s="610"/>
      <c r="AF48" s="582" t="s">
        <v>485</v>
      </c>
      <c r="AG48" s="582"/>
      <c r="AH48" s="434"/>
      <c r="AI48" s="654"/>
      <c r="AJ48" s="654"/>
      <c r="AK48" s="654"/>
      <c r="AL48" s="654"/>
      <c r="AM48" s="655"/>
      <c r="AN48" s="434"/>
      <c r="AO48" s="434"/>
      <c r="AP48" s="434"/>
      <c r="AQ48" s="434"/>
      <c r="AR48" s="434"/>
      <c r="AS48" s="434"/>
      <c r="AW48" s="593"/>
      <c r="AX48" s="593"/>
      <c r="AY48" s="593"/>
      <c r="AZ48" s="593"/>
    </row>
    <row r="49" spans="2:40" s="434" customFormat="1" ht="8.1" customHeight="1">
      <c r="B49" s="646"/>
      <c r="C49" s="659"/>
      <c r="D49" s="659"/>
      <c r="E49" s="659"/>
      <c r="F49" s="659"/>
      <c r="G49" s="659"/>
      <c r="H49" s="659"/>
      <c r="I49" s="659"/>
      <c r="J49" s="659"/>
      <c r="K49" s="659"/>
      <c r="L49" s="659"/>
      <c r="M49" s="659"/>
      <c r="N49" s="659"/>
      <c r="O49" s="659"/>
      <c r="P49" s="659"/>
      <c r="Q49" s="659"/>
      <c r="R49" s="659"/>
      <c r="S49" s="659"/>
      <c r="T49" s="659"/>
      <c r="U49" s="659"/>
      <c r="V49" s="659"/>
      <c r="W49" s="659"/>
      <c r="X49" s="659"/>
      <c r="Y49" s="596"/>
      <c r="Z49" s="659"/>
      <c r="AA49" s="659"/>
      <c r="AB49" s="659"/>
      <c r="AC49" s="659"/>
      <c r="AD49" s="659"/>
      <c r="AE49" s="659"/>
      <c r="AF49" s="659"/>
      <c r="AG49" s="659"/>
      <c r="AH49" s="659"/>
      <c r="AI49" s="659"/>
      <c r="AJ49" s="659"/>
      <c r="AK49" s="659"/>
      <c r="AL49" s="659"/>
      <c r="AM49" s="660"/>
    </row>
    <row r="50" spans="2:40" s="222" customFormat="1" ht="30.75" customHeight="1">
      <c r="B50" s="227"/>
      <c r="D50" s="227"/>
      <c r="F50" s="227"/>
      <c r="H50" s="227"/>
      <c r="J50" s="227"/>
      <c r="L50" s="227"/>
      <c r="N50" s="227"/>
      <c r="Q50" s="227"/>
      <c r="T50" s="227"/>
      <c r="V50" s="227"/>
      <c r="X50" s="227"/>
      <c r="Z50" s="227"/>
      <c r="AB50" s="227"/>
      <c r="AD50" s="227"/>
      <c r="AG50" s="227"/>
    </row>
    <row r="51" spans="2:40" s="331" customFormat="1" ht="15">
      <c r="B51" s="332" t="s">
        <v>74</v>
      </c>
      <c r="AA51" s="332" t="s">
        <v>769</v>
      </c>
    </row>
    <row r="52" spans="2:40" s="331" customFormat="1" ht="21.75" customHeight="1">
      <c r="B52" s="332" t="s">
        <v>75</v>
      </c>
      <c r="F52" s="1891" t="str">
        <f>activesheet!E21</f>
        <v>MELCHESIEDICK Q. BOLANIO / March 17, 2023</v>
      </c>
      <c r="G52" s="1891"/>
      <c r="H52" s="1891"/>
      <c r="I52" s="1891"/>
      <c r="J52" s="1891"/>
      <c r="K52" s="1891"/>
      <c r="L52" s="1891"/>
      <c r="M52" s="1891"/>
      <c r="N52" s="1891"/>
      <c r="O52" s="1891"/>
      <c r="P52" s="1891"/>
      <c r="Q52" s="1891"/>
      <c r="R52" s="360"/>
      <c r="S52" s="360"/>
      <c r="T52" s="360"/>
      <c r="U52" s="360"/>
      <c r="AA52" s="1810" t="s">
        <v>11916</v>
      </c>
      <c r="AB52" s="1810"/>
      <c r="AC52" s="1810"/>
      <c r="AD52" s="1810"/>
      <c r="AE52" s="1810"/>
      <c r="AF52" s="1810"/>
      <c r="AG52" s="1810"/>
      <c r="AH52" s="1810"/>
      <c r="AI52" s="1810"/>
      <c r="AJ52" s="1810"/>
      <c r="AK52" s="1810"/>
      <c r="AL52" s="1810"/>
      <c r="AM52" s="1810"/>
    </row>
    <row r="53" spans="2:40" s="325" customFormat="1" ht="13.5">
      <c r="B53" s="228"/>
      <c r="F53" s="1811" t="s">
        <v>37</v>
      </c>
      <c r="G53" s="1811"/>
      <c r="H53" s="1811"/>
      <c r="I53" s="1811"/>
      <c r="J53" s="1811"/>
      <c r="K53" s="1811"/>
      <c r="L53" s="1811"/>
      <c r="M53" s="1811"/>
      <c r="N53" s="1811"/>
      <c r="O53" s="1811"/>
      <c r="P53" s="1811"/>
      <c r="Q53" s="1811"/>
      <c r="R53" s="247"/>
      <c r="S53" s="247"/>
      <c r="T53" s="247"/>
      <c r="U53" s="247"/>
      <c r="V53" s="281"/>
      <c r="W53" s="281"/>
      <c r="X53" s="281"/>
      <c r="Y53" s="281"/>
      <c r="Z53" s="281"/>
      <c r="AA53" s="1811" t="s">
        <v>37</v>
      </c>
      <c r="AB53" s="1811"/>
      <c r="AC53" s="1811"/>
      <c r="AD53" s="1811"/>
      <c r="AE53" s="1811"/>
      <c r="AF53" s="1811"/>
      <c r="AG53" s="1811"/>
      <c r="AH53" s="1811"/>
      <c r="AI53" s="1811"/>
      <c r="AJ53" s="1811"/>
      <c r="AK53" s="1811"/>
      <c r="AL53" s="1811"/>
      <c r="AM53" s="1811"/>
    </row>
    <row r="54" spans="2:40" s="331" customFormat="1" ht="21.75" customHeight="1">
      <c r="B54" s="332" t="s">
        <v>58</v>
      </c>
      <c r="F54" s="1891" t="str">
        <f>activesheet!E22</f>
        <v>SECONDARY SCHOOL PRINCIPAL IV</v>
      </c>
      <c r="G54" s="1891"/>
      <c r="H54" s="1891"/>
      <c r="I54" s="1891"/>
      <c r="J54" s="1891"/>
      <c r="K54" s="1891"/>
      <c r="L54" s="1891"/>
      <c r="M54" s="1891"/>
      <c r="N54" s="1891"/>
      <c r="O54" s="1891"/>
      <c r="P54" s="1891"/>
      <c r="Q54" s="1891"/>
      <c r="R54" s="360"/>
      <c r="S54" s="360"/>
      <c r="T54" s="360"/>
      <c r="U54" s="360"/>
      <c r="AA54" s="332" t="s">
        <v>58</v>
      </c>
      <c r="AE54" s="1810" t="s">
        <v>11900</v>
      </c>
      <c r="AF54" s="1810"/>
      <c r="AG54" s="1810"/>
      <c r="AH54" s="1810"/>
      <c r="AI54" s="1810"/>
      <c r="AJ54" s="1810"/>
      <c r="AK54" s="1810"/>
      <c r="AL54" s="1810"/>
      <c r="AM54" s="1810"/>
    </row>
    <row r="55" spans="2:40" s="240" customFormat="1" ht="30.75" customHeight="1">
      <c r="B55" s="239"/>
      <c r="D55" s="239"/>
      <c r="F55" s="239"/>
      <c r="H55" s="239"/>
      <c r="J55" s="239"/>
      <c r="L55" s="239"/>
      <c r="N55" s="222"/>
      <c r="O55" s="227"/>
      <c r="P55" s="222"/>
      <c r="Q55" s="227"/>
      <c r="R55" s="222"/>
      <c r="S55" s="227"/>
      <c r="T55" s="222"/>
      <c r="U55" s="227"/>
      <c r="V55" s="222"/>
      <c r="W55" s="227"/>
      <c r="X55" s="222"/>
      <c r="Y55" s="227"/>
      <c r="Z55" s="227"/>
      <c r="AA55" s="222"/>
      <c r="AB55" s="239"/>
      <c r="AD55" s="239"/>
      <c r="AF55" s="239"/>
      <c r="AH55" s="239"/>
      <c r="AJ55" s="239"/>
      <c r="AL55" s="239"/>
      <c r="AN55" s="239"/>
    </row>
    <row r="56" spans="2:40" s="331" customFormat="1" ht="15">
      <c r="N56" s="332" t="s">
        <v>33</v>
      </c>
    </row>
    <row r="57" spans="2:40" s="331" customFormat="1" ht="21.75" customHeight="1">
      <c r="N57" s="1819" t="str">
        <f>activesheet!E25</f>
        <v>MICHAEL T. JAMIS / March 17, 2023</v>
      </c>
      <c r="O57" s="1819"/>
      <c r="P57" s="1819"/>
      <c r="Q57" s="1819"/>
      <c r="R57" s="1819"/>
      <c r="S57" s="1819"/>
      <c r="T57" s="1819"/>
      <c r="U57" s="1819"/>
      <c r="V57" s="1819"/>
      <c r="W57" s="1819"/>
      <c r="X57" s="1819"/>
      <c r="Y57" s="1819"/>
      <c r="Z57" s="1819"/>
      <c r="AA57" s="1819"/>
      <c r="AB57" s="332"/>
      <c r="AC57" s="332"/>
    </row>
    <row r="58" spans="2:40" s="325" customFormat="1" ht="15" customHeight="1">
      <c r="N58" s="1820"/>
      <c r="O58" s="1820"/>
      <c r="P58" s="1820"/>
      <c r="Q58" s="1820"/>
      <c r="R58" s="1820"/>
      <c r="S58" s="1820"/>
      <c r="T58" s="1820"/>
      <c r="U58" s="1820"/>
      <c r="V58" s="1820"/>
      <c r="W58" s="1820"/>
      <c r="X58" s="1820"/>
      <c r="Y58" s="1820"/>
      <c r="Z58" s="1820"/>
      <c r="AA58" s="1820"/>
      <c r="AB58" s="332"/>
      <c r="AC58" s="332"/>
    </row>
    <row r="59" spans="2:40" s="434" customFormat="1">
      <c r="N59" s="1811" t="s">
        <v>37</v>
      </c>
      <c r="O59" s="1811"/>
      <c r="P59" s="1811"/>
      <c r="Q59" s="1811"/>
      <c r="R59" s="1811"/>
      <c r="S59" s="1811"/>
      <c r="T59" s="1811"/>
      <c r="U59" s="1811"/>
      <c r="V59" s="1811"/>
      <c r="W59" s="1811"/>
      <c r="X59" s="1811"/>
      <c r="Y59" s="1811"/>
      <c r="Z59" s="1811"/>
      <c r="AA59" s="1811"/>
      <c r="AB59" s="358"/>
      <c r="AC59" s="358"/>
    </row>
    <row r="60" spans="2:40" s="434" customFormat="1">
      <c r="B60" s="661"/>
      <c r="C60" s="661"/>
      <c r="N60" s="661"/>
      <c r="O60" s="661"/>
      <c r="P60" s="661"/>
      <c r="Z60" s="661"/>
      <c r="AA60" s="661"/>
    </row>
    <row r="61" spans="2:40" s="434" customFormat="1"/>
    <row r="62" spans="2:40" s="434" customFormat="1"/>
    <row r="63" spans="2:40" s="434" customFormat="1"/>
    <row r="64" spans="2:40" s="434" customFormat="1"/>
  </sheetData>
  <sheetProtection algorithmName="SHA-512" hashValue="/LeCCPrR3K7teyUOo88kZkZwBaHvTLpIkcSmexYMVhzZRusrLjyr5TJHSV592fjOngggBuG5U2IShyDBrbLMfA==" saltValue="FZFBPF25BVhUhx+qy4Q6Og==" spinCount="100000" sheet="1" objects="1" scenarios="1"/>
  <customSheetViews>
    <customSheetView guid="{6EFEFCA0-BF14-457A-85A3-29CBF2A862A5}" showGridLines="0" fitToPage="1" topLeftCell="A37">
      <selection sqref="A1:AP61"/>
      <pageMargins left="0.23622047244094491" right="0.23622047244094491" top="0.39370078740157483" bottom="0.39370078740157483" header="0" footer="0.11811023622047245"/>
      <printOptions horizontalCentered="1" verticalCentered="1"/>
      <pageSetup paperSize="5" scale="65" orientation="portrait" r:id="rId1"/>
      <headerFooter>
        <oddFooter>&amp;L&amp;10&amp;F &amp;A&amp;R&amp;10Page 15 of 61</oddFooter>
      </headerFooter>
    </customSheetView>
  </customSheetViews>
  <mergeCells count="21">
    <mergeCell ref="Z7:AF7"/>
    <mergeCell ref="E20:X20"/>
    <mergeCell ref="Z20:AF20"/>
    <mergeCell ref="E21:X21"/>
    <mergeCell ref="E30:X30"/>
    <mergeCell ref="AE9:AJ9"/>
    <mergeCell ref="E31:X31"/>
    <mergeCell ref="E32:X32"/>
    <mergeCell ref="E33:X33"/>
    <mergeCell ref="E34:X34"/>
    <mergeCell ref="E35:X35"/>
    <mergeCell ref="F54:Q54"/>
    <mergeCell ref="AE54:AM54"/>
    <mergeCell ref="N59:AA59"/>
    <mergeCell ref="N57:AA58"/>
    <mergeCell ref="Z43:AF43"/>
    <mergeCell ref="Z45:AF45"/>
    <mergeCell ref="F52:Q52"/>
    <mergeCell ref="AA52:AM52"/>
    <mergeCell ref="F53:Q53"/>
    <mergeCell ref="AA53:AM53"/>
  </mergeCells>
  <dataValidations count="2">
    <dataValidation type="whole" allowBlank="1" showInputMessage="1" showErrorMessage="1" errorTitle="GSHSP SY 2022-2023" error="Please enter valid number between 0-2,000." sqref="Z20:AF20" xr:uid="{D1DC04CD-10AD-4C6D-9B6E-64F4CE3726DE}">
      <formula1>0</formula1>
      <formula2>2000</formula2>
    </dataValidation>
    <dataValidation type="whole" allowBlank="1" showInputMessage="1" showErrorMessage="1" errorTitle="GSHSP SY 2022-2023" error="Please enter valid number between 0-40." sqref="Z7:AF7 Z43:AF43 Z45:AF45" xr:uid="{6E9E87CF-E631-49FA-9BC7-948DA63E8A57}">
      <formula1>0</formula1>
      <formula2>40</formula2>
    </dataValidation>
  </dataValidations>
  <printOptions horizontalCentered="1" verticalCentered="1"/>
  <pageMargins left="0.23622047244094491" right="0.23622047244094491" top="0.39370078740157483" bottom="0.39370078740157483" header="0" footer="0.11811023622047245"/>
  <pageSetup paperSize="5" scale="65" orientation="portrait" r:id="rId2"/>
  <headerFooter>
    <oddFooter>&amp;L&amp;10&amp;F &amp;A&amp;R&amp;10Page 15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25601" r:id="rId5" name="Check Box 1">
              <controlPr defaultSize="0" autoFill="0" autoLine="0" autoPict="0">
                <anchor moveWithCells="1">
                  <from>
                    <xdr:col>25</xdr:col>
                    <xdr:colOff>28575</xdr:colOff>
                    <xdr:row>4</xdr:row>
                    <xdr:rowOff>28575</xdr:rowOff>
                  </from>
                  <to>
                    <xdr:col>26</xdr:col>
                    <xdr:colOff>0</xdr:colOff>
                    <xdr:row>5</xdr:row>
                    <xdr:rowOff>9525</xdr:rowOff>
                  </to>
                </anchor>
              </controlPr>
            </control>
          </mc:Choice>
        </mc:AlternateContent>
        <mc:AlternateContent xmlns:mc="http://schemas.openxmlformats.org/markup-compatibility/2006">
          <mc:Choice Requires="x14">
            <control shapeId="25602" r:id="rId6" name="Check Box 2">
              <controlPr defaultSize="0" autoFill="0" autoLine="0" autoPict="0">
                <anchor moveWithCells="1">
                  <from>
                    <xdr:col>25</xdr:col>
                    <xdr:colOff>28575</xdr:colOff>
                    <xdr:row>5</xdr:row>
                    <xdr:rowOff>28575</xdr:rowOff>
                  </from>
                  <to>
                    <xdr:col>25</xdr:col>
                    <xdr:colOff>257175</xdr:colOff>
                    <xdr:row>5</xdr:row>
                    <xdr:rowOff>238125</xdr:rowOff>
                  </to>
                </anchor>
              </controlPr>
            </control>
          </mc:Choice>
        </mc:AlternateContent>
        <mc:AlternateContent xmlns:mc="http://schemas.openxmlformats.org/markup-compatibility/2006">
          <mc:Choice Requires="x14">
            <control shapeId="25603" r:id="rId7" name="Check Box 3">
              <controlPr defaultSize="0" autoFill="0" autoLine="0" autoPict="0">
                <anchor moveWithCells="1">
                  <from>
                    <xdr:col>6</xdr:col>
                    <xdr:colOff>28575</xdr:colOff>
                    <xdr:row>8</xdr:row>
                    <xdr:rowOff>28575</xdr:rowOff>
                  </from>
                  <to>
                    <xdr:col>7</xdr:col>
                    <xdr:colOff>9525</xdr:colOff>
                    <xdr:row>8</xdr:row>
                    <xdr:rowOff>238125</xdr:rowOff>
                  </to>
                </anchor>
              </controlPr>
            </control>
          </mc:Choice>
        </mc:AlternateContent>
        <mc:AlternateContent xmlns:mc="http://schemas.openxmlformats.org/markup-compatibility/2006">
          <mc:Choice Requires="x14">
            <control shapeId="25604" r:id="rId8" name="Check Box 4">
              <controlPr defaultSize="0" autoFill="0" autoLine="0" autoPict="0">
                <anchor moveWithCells="1">
                  <from>
                    <xdr:col>15</xdr:col>
                    <xdr:colOff>28575</xdr:colOff>
                    <xdr:row>8</xdr:row>
                    <xdr:rowOff>28575</xdr:rowOff>
                  </from>
                  <to>
                    <xdr:col>16</xdr:col>
                    <xdr:colOff>9525</xdr:colOff>
                    <xdr:row>8</xdr:row>
                    <xdr:rowOff>219075</xdr:rowOff>
                  </to>
                </anchor>
              </controlPr>
            </control>
          </mc:Choice>
        </mc:AlternateContent>
        <mc:AlternateContent xmlns:mc="http://schemas.openxmlformats.org/markup-compatibility/2006">
          <mc:Choice Requires="x14">
            <control shapeId="25605" r:id="rId9" name="Check Box 5">
              <controlPr defaultSize="0" autoFill="0" autoLine="0" autoPict="0">
                <anchor moveWithCells="1">
                  <from>
                    <xdr:col>25</xdr:col>
                    <xdr:colOff>28575</xdr:colOff>
                    <xdr:row>8</xdr:row>
                    <xdr:rowOff>28575</xdr:rowOff>
                  </from>
                  <to>
                    <xdr:col>25</xdr:col>
                    <xdr:colOff>200025</xdr:colOff>
                    <xdr:row>8</xdr:row>
                    <xdr:rowOff>257175</xdr:rowOff>
                  </to>
                </anchor>
              </controlPr>
            </control>
          </mc:Choice>
        </mc:AlternateContent>
        <mc:AlternateContent xmlns:mc="http://schemas.openxmlformats.org/markup-compatibility/2006">
          <mc:Choice Requires="x14">
            <control shapeId="25606" r:id="rId10" name="Check Box 6">
              <controlPr defaultSize="0" autoFill="0" autoLine="0" autoPict="0">
                <anchor moveWithCells="1">
                  <from>
                    <xdr:col>6</xdr:col>
                    <xdr:colOff>28575</xdr:colOff>
                    <xdr:row>8</xdr:row>
                    <xdr:rowOff>257175</xdr:rowOff>
                  </from>
                  <to>
                    <xdr:col>7</xdr:col>
                    <xdr:colOff>28575</xdr:colOff>
                    <xdr:row>9</xdr:row>
                    <xdr:rowOff>238125</xdr:rowOff>
                  </to>
                </anchor>
              </controlPr>
            </control>
          </mc:Choice>
        </mc:AlternateContent>
        <mc:AlternateContent xmlns:mc="http://schemas.openxmlformats.org/markup-compatibility/2006">
          <mc:Choice Requires="x14">
            <control shapeId="25607" r:id="rId11" name="Check Box 7">
              <controlPr defaultSize="0" autoFill="0" autoLine="0" autoPict="0">
                <anchor moveWithCells="1">
                  <from>
                    <xdr:col>15</xdr:col>
                    <xdr:colOff>28575</xdr:colOff>
                    <xdr:row>9</xdr:row>
                    <xdr:rowOff>9525</xdr:rowOff>
                  </from>
                  <to>
                    <xdr:col>16</xdr:col>
                    <xdr:colOff>66675</xdr:colOff>
                    <xdr:row>9</xdr:row>
                    <xdr:rowOff>228600</xdr:rowOff>
                  </to>
                </anchor>
              </controlPr>
            </control>
          </mc:Choice>
        </mc:AlternateContent>
        <mc:AlternateContent xmlns:mc="http://schemas.openxmlformats.org/markup-compatibility/2006">
          <mc:Choice Requires="x14">
            <control shapeId="25608" r:id="rId12" name="Check Box 8">
              <controlPr defaultSize="0" autoFill="0" autoLine="0" autoPict="0">
                <anchor moveWithCells="1">
                  <from>
                    <xdr:col>6</xdr:col>
                    <xdr:colOff>28575</xdr:colOff>
                    <xdr:row>10</xdr:row>
                    <xdr:rowOff>238125</xdr:rowOff>
                  </from>
                  <to>
                    <xdr:col>7</xdr:col>
                    <xdr:colOff>9525</xdr:colOff>
                    <xdr:row>12</xdr:row>
                    <xdr:rowOff>9525</xdr:rowOff>
                  </to>
                </anchor>
              </controlPr>
            </control>
          </mc:Choice>
        </mc:AlternateContent>
        <mc:AlternateContent xmlns:mc="http://schemas.openxmlformats.org/markup-compatibility/2006">
          <mc:Choice Requires="x14">
            <control shapeId="25609" r:id="rId13" name="Check Box 9">
              <controlPr defaultSize="0" autoFill="0" autoLine="0" autoPict="0">
                <anchor moveWithCells="1">
                  <from>
                    <xdr:col>15</xdr:col>
                    <xdr:colOff>28575</xdr:colOff>
                    <xdr:row>11</xdr:row>
                    <xdr:rowOff>9525</xdr:rowOff>
                  </from>
                  <to>
                    <xdr:col>16</xdr:col>
                    <xdr:colOff>9525</xdr:colOff>
                    <xdr:row>11</xdr:row>
                    <xdr:rowOff>238125</xdr:rowOff>
                  </to>
                </anchor>
              </controlPr>
            </control>
          </mc:Choice>
        </mc:AlternateContent>
        <mc:AlternateContent xmlns:mc="http://schemas.openxmlformats.org/markup-compatibility/2006">
          <mc:Choice Requires="x14">
            <control shapeId="25610" r:id="rId14" name="Check Box 10">
              <controlPr defaultSize="0" autoFill="0" autoLine="0" autoPict="0">
                <anchor moveWithCells="1">
                  <from>
                    <xdr:col>25</xdr:col>
                    <xdr:colOff>38100</xdr:colOff>
                    <xdr:row>11</xdr:row>
                    <xdr:rowOff>28575</xdr:rowOff>
                  </from>
                  <to>
                    <xdr:col>25</xdr:col>
                    <xdr:colOff>257175</xdr:colOff>
                    <xdr:row>11</xdr:row>
                    <xdr:rowOff>238125</xdr:rowOff>
                  </to>
                </anchor>
              </controlPr>
            </control>
          </mc:Choice>
        </mc:AlternateContent>
        <mc:AlternateContent xmlns:mc="http://schemas.openxmlformats.org/markup-compatibility/2006">
          <mc:Choice Requires="x14">
            <control shapeId="25611" r:id="rId15" name="Check Box 11">
              <controlPr defaultSize="0" autoFill="0" autoLine="0" autoPict="0">
                <anchor moveWithCells="1">
                  <from>
                    <xdr:col>6</xdr:col>
                    <xdr:colOff>28575</xdr:colOff>
                    <xdr:row>12</xdr:row>
                    <xdr:rowOff>28575</xdr:rowOff>
                  </from>
                  <to>
                    <xdr:col>6</xdr:col>
                    <xdr:colOff>257175</xdr:colOff>
                    <xdr:row>12</xdr:row>
                    <xdr:rowOff>219075</xdr:rowOff>
                  </to>
                </anchor>
              </controlPr>
            </control>
          </mc:Choice>
        </mc:AlternateContent>
        <mc:AlternateContent xmlns:mc="http://schemas.openxmlformats.org/markup-compatibility/2006">
          <mc:Choice Requires="x14">
            <control shapeId="25612" r:id="rId16" name="Check Box 12">
              <controlPr defaultSize="0" autoFill="0" autoLine="0" autoPict="0">
                <anchor moveWithCells="1">
                  <from>
                    <xdr:col>15</xdr:col>
                    <xdr:colOff>28575</xdr:colOff>
                    <xdr:row>12</xdr:row>
                    <xdr:rowOff>28575</xdr:rowOff>
                  </from>
                  <to>
                    <xdr:col>16</xdr:col>
                    <xdr:colOff>9525</xdr:colOff>
                    <xdr:row>12</xdr:row>
                    <xdr:rowOff>219075</xdr:rowOff>
                  </to>
                </anchor>
              </controlPr>
            </control>
          </mc:Choice>
        </mc:AlternateContent>
        <mc:AlternateContent xmlns:mc="http://schemas.openxmlformats.org/markup-compatibility/2006">
          <mc:Choice Requires="x14">
            <control shapeId="25613" r:id="rId17" name="Check Box 13">
              <controlPr defaultSize="0" autoFill="0" autoLine="0" autoPict="0">
                <anchor moveWithCells="1">
                  <from>
                    <xdr:col>25</xdr:col>
                    <xdr:colOff>28575</xdr:colOff>
                    <xdr:row>13</xdr:row>
                    <xdr:rowOff>47625</xdr:rowOff>
                  </from>
                  <to>
                    <xdr:col>25</xdr:col>
                    <xdr:colOff>257175</xdr:colOff>
                    <xdr:row>13</xdr:row>
                    <xdr:rowOff>219075</xdr:rowOff>
                  </to>
                </anchor>
              </controlPr>
            </control>
          </mc:Choice>
        </mc:AlternateContent>
        <mc:AlternateContent xmlns:mc="http://schemas.openxmlformats.org/markup-compatibility/2006">
          <mc:Choice Requires="x14">
            <control shapeId="25614" r:id="rId18" name="Check Box 14">
              <controlPr defaultSize="0" autoFill="0" autoLine="0" autoPict="0">
                <anchor moveWithCells="1">
                  <from>
                    <xdr:col>25</xdr:col>
                    <xdr:colOff>28575</xdr:colOff>
                    <xdr:row>14</xdr:row>
                    <xdr:rowOff>28575</xdr:rowOff>
                  </from>
                  <to>
                    <xdr:col>25</xdr:col>
                    <xdr:colOff>257175</xdr:colOff>
                    <xdr:row>14</xdr:row>
                    <xdr:rowOff>238125</xdr:rowOff>
                  </to>
                </anchor>
              </controlPr>
            </control>
          </mc:Choice>
        </mc:AlternateContent>
        <mc:AlternateContent xmlns:mc="http://schemas.openxmlformats.org/markup-compatibility/2006">
          <mc:Choice Requires="x14">
            <control shapeId="25615" r:id="rId19" name="Check Box 15">
              <controlPr defaultSize="0" autoFill="0" autoLine="0" autoPict="0">
                <anchor moveWithCells="1">
                  <from>
                    <xdr:col>25</xdr:col>
                    <xdr:colOff>28575</xdr:colOff>
                    <xdr:row>15</xdr:row>
                    <xdr:rowOff>9525</xdr:rowOff>
                  </from>
                  <to>
                    <xdr:col>26</xdr:col>
                    <xdr:colOff>9525</xdr:colOff>
                    <xdr:row>15</xdr:row>
                    <xdr:rowOff>257175</xdr:rowOff>
                  </to>
                </anchor>
              </controlPr>
            </control>
          </mc:Choice>
        </mc:AlternateContent>
        <mc:AlternateContent xmlns:mc="http://schemas.openxmlformats.org/markup-compatibility/2006">
          <mc:Choice Requires="x14">
            <control shapeId="25617" r:id="rId20" name="Check Box 17">
              <controlPr defaultSize="0" autoFill="0" autoLine="0" autoPict="0">
                <anchor moveWithCells="1">
                  <from>
                    <xdr:col>25</xdr:col>
                    <xdr:colOff>28575</xdr:colOff>
                    <xdr:row>17</xdr:row>
                    <xdr:rowOff>9525</xdr:rowOff>
                  </from>
                  <to>
                    <xdr:col>25</xdr:col>
                    <xdr:colOff>266700</xdr:colOff>
                    <xdr:row>17</xdr:row>
                    <xdr:rowOff>257175</xdr:rowOff>
                  </to>
                </anchor>
              </controlPr>
            </control>
          </mc:Choice>
        </mc:AlternateContent>
        <mc:AlternateContent xmlns:mc="http://schemas.openxmlformats.org/markup-compatibility/2006">
          <mc:Choice Requires="x14">
            <control shapeId="25618" r:id="rId21" name="Check Box 18">
              <controlPr defaultSize="0" autoFill="0" autoLine="0" autoPict="0">
                <anchor moveWithCells="1">
                  <from>
                    <xdr:col>25</xdr:col>
                    <xdr:colOff>28575</xdr:colOff>
                    <xdr:row>18</xdr:row>
                    <xdr:rowOff>38100</xdr:rowOff>
                  </from>
                  <to>
                    <xdr:col>25</xdr:col>
                    <xdr:colOff>257175</xdr:colOff>
                    <xdr:row>18</xdr:row>
                    <xdr:rowOff>219075</xdr:rowOff>
                  </to>
                </anchor>
              </controlPr>
            </control>
          </mc:Choice>
        </mc:AlternateContent>
        <mc:AlternateContent xmlns:mc="http://schemas.openxmlformats.org/markup-compatibility/2006">
          <mc:Choice Requires="x14">
            <control shapeId="25619" r:id="rId22" name="Check Box 19">
              <controlPr defaultSize="0" autoFill="0" autoLine="0" autoPict="0">
                <anchor moveWithCells="1">
                  <from>
                    <xdr:col>25</xdr:col>
                    <xdr:colOff>28575</xdr:colOff>
                    <xdr:row>20</xdr:row>
                    <xdr:rowOff>85725</xdr:rowOff>
                  </from>
                  <to>
                    <xdr:col>26</xdr:col>
                    <xdr:colOff>28575</xdr:colOff>
                    <xdr:row>20</xdr:row>
                    <xdr:rowOff>333375</xdr:rowOff>
                  </to>
                </anchor>
              </controlPr>
            </control>
          </mc:Choice>
        </mc:AlternateContent>
        <mc:AlternateContent xmlns:mc="http://schemas.openxmlformats.org/markup-compatibility/2006">
          <mc:Choice Requires="x14">
            <control shapeId="25620" r:id="rId23" name="Check Box 20">
              <controlPr defaultSize="0" autoFill="0" autoLine="0" autoPict="0">
                <anchor moveWithCells="1">
                  <from>
                    <xdr:col>25</xdr:col>
                    <xdr:colOff>28575</xdr:colOff>
                    <xdr:row>16</xdr:row>
                    <xdr:rowOff>28575</xdr:rowOff>
                  </from>
                  <to>
                    <xdr:col>26</xdr:col>
                    <xdr:colOff>9525</xdr:colOff>
                    <xdr:row>16</xdr:row>
                    <xdr:rowOff>257175</xdr:rowOff>
                  </to>
                </anchor>
              </controlPr>
            </control>
          </mc:Choice>
        </mc:AlternateContent>
        <mc:AlternateContent xmlns:mc="http://schemas.openxmlformats.org/markup-compatibility/2006">
          <mc:Choice Requires="x14">
            <control shapeId="25621" r:id="rId24" name="Check Box 21">
              <controlPr defaultSize="0" autoFill="0" autoLine="0" autoPict="0">
                <anchor moveWithCells="1">
                  <from>
                    <xdr:col>30</xdr:col>
                    <xdr:colOff>28575</xdr:colOff>
                    <xdr:row>4</xdr:row>
                    <xdr:rowOff>9525</xdr:rowOff>
                  </from>
                  <to>
                    <xdr:col>31</xdr:col>
                    <xdr:colOff>9525</xdr:colOff>
                    <xdr:row>4</xdr:row>
                    <xdr:rowOff>257175</xdr:rowOff>
                  </to>
                </anchor>
              </controlPr>
            </control>
          </mc:Choice>
        </mc:AlternateContent>
        <mc:AlternateContent xmlns:mc="http://schemas.openxmlformats.org/markup-compatibility/2006">
          <mc:Choice Requires="x14">
            <control shapeId="25622" r:id="rId25" name="Check Box 22">
              <controlPr defaultSize="0" autoFill="0" autoLine="0" autoPict="0">
                <anchor moveWithCells="1">
                  <from>
                    <xdr:col>30</xdr:col>
                    <xdr:colOff>28575</xdr:colOff>
                    <xdr:row>5</xdr:row>
                    <xdr:rowOff>9525</xdr:rowOff>
                  </from>
                  <to>
                    <xdr:col>31</xdr:col>
                    <xdr:colOff>28575</xdr:colOff>
                    <xdr:row>6</xdr:row>
                    <xdr:rowOff>9525</xdr:rowOff>
                  </to>
                </anchor>
              </controlPr>
            </control>
          </mc:Choice>
        </mc:AlternateContent>
        <mc:AlternateContent xmlns:mc="http://schemas.openxmlformats.org/markup-compatibility/2006">
          <mc:Choice Requires="x14">
            <control shapeId="25623" r:id="rId26" name="Check Box 23">
              <controlPr defaultSize="0" autoFill="0" autoLine="0" autoPict="0">
                <anchor moveWithCells="1">
                  <from>
                    <xdr:col>30</xdr:col>
                    <xdr:colOff>38100</xdr:colOff>
                    <xdr:row>13</xdr:row>
                    <xdr:rowOff>28575</xdr:rowOff>
                  </from>
                  <to>
                    <xdr:col>31</xdr:col>
                    <xdr:colOff>47625</xdr:colOff>
                    <xdr:row>13</xdr:row>
                    <xdr:rowOff>257175</xdr:rowOff>
                  </to>
                </anchor>
              </controlPr>
            </control>
          </mc:Choice>
        </mc:AlternateContent>
        <mc:AlternateContent xmlns:mc="http://schemas.openxmlformats.org/markup-compatibility/2006">
          <mc:Choice Requires="x14">
            <control shapeId="25624" r:id="rId27" name="Check Box 24">
              <controlPr defaultSize="0" autoFill="0" autoLine="0" autoPict="0">
                <anchor moveWithCells="1">
                  <from>
                    <xdr:col>30</xdr:col>
                    <xdr:colOff>38100</xdr:colOff>
                    <xdr:row>14</xdr:row>
                    <xdr:rowOff>9525</xdr:rowOff>
                  </from>
                  <to>
                    <xdr:col>31</xdr:col>
                    <xdr:colOff>9525</xdr:colOff>
                    <xdr:row>14</xdr:row>
                    <xdr:rowOff>257175</xdr:rowOff>
                  </to>
                </anchor>
              </controlPr>
            </control>
          </mc:Choice>
        </mc:AlternateContent>
        <mc:AlternateContent xmlns:mc="http://schemas.openxmlformats.org/markup-compatibility/2006">
          <mc:Choice Requires="x14">
            <control shapeId="25625" r:id="rId28" name="Check Box 25">
              <controlPr defaultSize="0" autoFill="0" autoLine="0" autoPict="0">
                <anchor moveWithCells="1">
                  <from>
                    <xdr:col>30</xdr:col>
                    <xdr:colOff>28575</xdr:colOff>
                    <xdr:row>15</xdr:row>
                    <xdr:rowOff>28575</xdr:rowOff>
                  </from>
                  <to>
                    <xdr:col>31</xdr:col>
                    <xdr:colOff>9525</xdr:colOff>
                    <xdr:row>15</xdr:row>
                    <xdr:rowOff>238125</xdr:rowOff>
                  </to>
                </anchor>
              </controlPr>
            </control>
          </mc:Choice>
        </mc:AlternateContent>
        <mc:AlternateContent xmlns:mc="http://schemas.openxmlformats.org/markup-compatibility/2006">
          <mc:Choice Requires="x14">
            <control shapeId="25626" r:id="rId29" name="Check Box 26">
              <controlPr defaultSize="0" autoFill="0" autoLine="0" autoPict="0">
                <anchor moveWithCells="1">
                  <from>
                    <xdr:col>30</xdr:col>
                    <xdr:colOff>28575</xdr:colOff>
                    <xdr:row>16</xdr:row>
                    <xdr:rowOff>28575</xdr:rowOff>
                  </from>
                  <to>
                    <xdr:col>30</xdr:col>
                    <xdr:colOff>238125</xdr:colOff>
                    <xdr:row>16</xdr:row>
                    <xdr:rowOff>238125</xdr:rowOff>
                  </to>
                </anchor>
              </controlPr>
            </control>
          </mc:Choice>
        </mc:AlternateContent>
        <mc:AlternateContent xmlns:mc="http://schemas.openxmlformats.org/markup-compatibility/2006">
          <mc:Choice Requires="x14">
            <control shapeId="25627" r:id="rId30" name="Check Box 27">
              <controlPr defaultSize="0" autoFill="0" autoLine="0" autoPict="0">
                <anchor moveWithCells="1">
                  <from>
                    <xdr:col>30</xdr:col>
                    <xdr:colOff>28575</xdr:colOff>
                    <xdr:row>17</xdr:row>
                    <xdr:rowOff>28575</xdr:rowOff>
                  </from>
                  <to>
                    <xdr:col>30</xdr:col>
                    <xdr:colOff>266700</xdr:colOff>
                    <xdr:row>17</xdr:row>
                    <xdr:rowOff>238125</xdr:rowOff>
                  </to>
                </anchor>
              </controlPr>
            </control>
          </mc:Choice>
        </mc:AlternateContent>
        <mc:AlternateContent xmlns:mc="http://schemas.openxmlformats.org/markup-compatibility/2006">
          <mc:Choice Requires="x14">
            <control shapeId="25628" r:id="rId31" name="Check Box 28">
              <controlPr defaultSize="0" autoFill="0" autoLine="0" autoPict="0">
                <anchor moveWithCells="1">
                  <from>
                    <xdr:col>30</xdr:col>
                    <xdr:colOff>38100</xdr:colOff>
                    <xdr:row>18</xdr:row>
                    <xdr:rowOff>9525</xdr:rowOff>
                  </from>
                  <to>
                    <xdr:col>31</xdr:col>
                    <xdr:colOff>9525</xdr:colOff>
                    <xdr:row>18</xdr:row>
                    <xdr:rowOff>257175</xdr:rowOff>
                  </to>
                </anchor>
              </controlPr>
            </control>
          </mc:Choice>
        </mc:AlternateContent>
        <mc:AlternateContent xmlns:mc="http://schemas.openxmlformats.org/markup-compatibility/2006">
          <mc:Choice Requires="x14">
            <control shapeId="25629" r:id="rId32" name="Check Box 29">
              <controlPr defaultSize="0" autoFill="0" autoLine="0" autoPict="0">
                <anchor moveWithCells="1">
                  <from>
                    <xdr:col>30</xdr:col>
                    <xdr:colOff>38100</xdr:colOff>
                    <xdr:row>20</xdr:row>
                    <xdr:rowOff>104775</xdr:rowOff>
                  </from>
                  <to>
                    <xdr:col>30</xdr:col>
                    <xdr:colOff>257175</xdr:colOff>
                    <xdr:row>20</xdr:row>
                    <xdr:rowOff>333375</xdr:rowOff>
                  </to>
                </anchor>
              </controlPr>
            </control>
          </mc:Choice>
        </mc:AlternateContent>
        <mc:AlternateContent xmlns:mc="http://schemas.openxmlformats.org/markup-compatibility/2006">
          <mc:Choice Requires="x14">
            <control shapeId="25630" r:id="rId33" name="Check Box 30">
              <controlPr defaultSize="0" autoFill="0" autoLine="0" autoPict="0">
                <anchor moveWithCells="1">
                  <from>
                    <xdr:col>29</xdr:col>
                    <xdr:colOff>28575</xdr:colOff>
                    <xdr:row>27</xdr:row>
                    <xdr:rowOff>9525</xdr:rowOff>
                  </from>
                  <to>
                    <xdr:col>29</xdr:col>
                    <xdr:colOff>266700</xdr:colOff>
                    <xdr:row>28</xdr:row>
                    <xdr:rowOff>0</xdr:rowOff>
                  </to>
                </anchor>
              </controlPr>
            </control>
          </mc:Choice>
        </mc:AlternateContent>
        <mc:AlternateContent xmlns:mc="http://schemas.openxmlformats.org/markup-compatibility/2006">
          <mc:Choice Requires="x14">
            <control shapeId="25631" r:id="rId34" name="Check Box 31">
              <controlPr defaultSize="0" autoFill="0" autoLine="0" autoPict="0">
                <anchor moveWithCells="1">
                  <from>
                    <xdr:col>29</xdr:col>
                    <xdr:colOff>28575</xdr:colOff>
                    <xdr:row>28</xdr:row>
                    <xdr:rowOff>9525</xdr:rowOff>
                  </from>
                  <to>
                    <xdr:col>30</xdr:col>
                    <xdr:colOff>9525</xdr:colOff>
                    <xdr:row>28</xdr:row>
                    <xdr:rowOff>238125</xdr:rowOff>
                  </to>
                </anchor>
              </controlPr>
            </control>
          </mc:Choice>
        </mc:AlternateContent>
        <mc:AlternateContent xmlns:mc="http://schemas.openxmlformats.org/markup-compatibility/2006">
          <mc:Choice Requires="x14">
            <control shapeId="25632" r:id="rId35" name="Check Box 32">
              <controlPr defaultSize="0" autoFill="0" autoLine="0" autoPict="0">
                <anchor moveWithCells="1">
                  <from>
                    <xdr:col>29</xdr:col>
                    <xdr:colOff>28575</xdr:colOff>
                    <xdr:row>29</xdr:row>
                    <xdr:rowOff>123825</xdr:rowOff>
                  </from>
                  <to>
                    <xdr:col>29</xdr:col>
                    <xdr:colOff>266700</xdr:colOff>
                    <xdr:row>29</xdr:row>
                    <xdr:rowOff>314325</xdr:rowOff>
                  </to>
                </anchor>
              </controlPr>
            </control>
          </mc:Choice>
        </mc:AlternateContent>
        <mc:AlternateContent xmlns:mc="http://schemas.openxmlformats.org/markup-compatibility/2006">
          <mc:Choice Requires="x14">
            <control shapeId="25633" r:id="rId36" name="Check Box 33">
              <controlPr defaultSize="0" autoFill="0" autoLine="0" autoPict="0">
                <anchor moveWithCells="1">
                  <from>
                    <xdr:col>29</xdr:col>
                    <xdr:colOff>28575</xdr:colOff>
                    <xdr:row>30</xdr:row>
                    <xdr:rowOff>66675</xdr:rowOff>
                  </from>
                  <to>
                    <xdr:col>29</xdr:col>
                    <xdr:colOff>228600</xdr:colOff>
                    <xdr:row>30</xdr:row>
                    <xdr:rowOff>333375</xdr:rowOff>
                  </to>
                </anchor>
              </controlPr>
            </control>
          </mc:Choice>
        </mc:AlternateContent>
        <mc:AlternateContent xmlns:mc="http://schemas.openxmlformats.org/markup-compatibility/2006">
          <mc:Choice Requires="x14">
            <control shapeId="25634" r:id="rId37" name="Check Box 34">
              <controlPr defaultSize="0" autoFill="0" autoLine="0" autoPict="0">
                <anchor moveWithCells="1">
                  <from>
                    <xdr:col>29</xdr:col>
                    <xdr:colOff>28575</xdr:colOff>
                    <xdr:row>31</xdr:row>
                    <xdr:rowOff>123825</xdr:rowOff>
                  </from>
                  <to>
                    <xdr:col>29</xdr:col>
                    <xdr:colOff>257175</xdr:colOff>
                    <xdr:row>31</xdr:row>
                    <xdr:rowOff>314325</xdr:rowOff>
                  </to>
                </anchor>
              </controlPr>
            </control>
          </mc:Choice>
        </mc:AlternateContent>
        <mc:AlternateContent xmlns:mc="http://schemas.openxmlformats.org/markup-compatibility/2006">
          <mc:Choice Requires="x14">
            <control shapeId="25635" r:id="rId38" name="Check Box 35">
              <controlPr defaultSize="0" autoFill="0" autoLine="0" autoPict="0">
                <anchor moveWithCells="1">
                  <from>
                    <xdr:col>29</xdr:col>
                    <xdr:colOff>28575</xdr:colOff>
                    <xdr:row>32</xdr:row>
                    <xdr:rowOff>76200</xdr:rowOff>
                  </from>
                  <to>
                    <xdr:col>30</xdr:col>
                    <xdr:colOff>28575</xdr:colOff>
                    <xdr:row>32</xdr:row>
                    <xdr:rowOff>314325</xdr:rowOff>
                  </to>
                </anchor>
              </controlPr>
            </control>
          </mc:Choice>
        </mc:AlternateContent>
        <mc:AlternateContent xmlns:mc="http://schemas.openxmlformats.org/markup-compatibility/2006">
          <mc:Choice Requires="x14">
            <control shapeId="25636" r:id="rId39" name="Check Box 36">
              <controlPr defaultSize="0" autoFill="0" autoLine="0" autoPict="0">
                <anchor moveWithCells="1">
                  <from>
                    <xdr:col>29</xdr:col>
                    <xdr:colOff>28575</xdr:colOff>
                    <xdr:row>33</xdr:row>
                    <xdr:rowOff>219075</xdr:rowOff>
                  </from>
                  <to>
                    <xdr:col>30</xdr:col>
                    <xdr:colOff>0</xdr:colOff>
                    <xdr:row>33</xdr:row>
                    <xdr:rowOff>447675</xdr:rowOff>
                  </to>
                </anchor>
              </controlPr>
            </control>
          </mc:Choice>
        </mc:AlternateContent>
        <mc:AlternateContent xmlns:mc="http://schemas.openxmlformats.org/markup-compatibility/2006">
          <mc:Choice Requires="x14">
            <control shapeId="25637" r:id="rId40" name="Check Box 37">
              <controlPr defaultSize="0" autoFill="0" autoLine="0" autoPict="0">
                <anchor moveWithCells="1">
                  <from>
                    <xdr:col>29</xdr:col>
                    <xdr:colOff>28575</xdr:colOff>
                    <xdr:row>34</xdr:row>
                    <xdr:rowOff>85725</xdr:rowOff>
                  </from>
                  <to>
                    <xdr:col>30</xdr:col>
                    <xdr:colOff>9525</xdr:colOff>
                    <xdr:row>34</xdr:row>
                    <xdr:rowOff>314325</xdr:rowOff>
                  </to>
                </anchor>
              </controlPr>
            </control>
          </mc:Choice>
        </mc:AlternateContent>
        <mc:AlternateContent xmlns:mc="http://schemas.openxmlformats.org/markup-compatibility/2006">
          <mc:Choice Requires="x14">
            <control shapeId="25638" r:id="rId41" name="Check Box 38">
              <controlPr defaultSize="0" autoFill="0" autoLine="0" autoPict="0">
                <anchor moveWithCells="1">
                  <from>
                    <xdr:col>25</xdr:col>
                    <xdr:colOff>28575</xdr:colOff>
                    <xdr:row>40</xdr:row>
                    <xdr:rowOff>9525</xdr:rowOff>
                  </from>
                  <to>
                    <xdr:col>26</xdr:col>
                    <xdr:colOff>9525</xdr:colOff>
                    <xdr:row>40</xdr:row>
                    <xdr:rowOff>238125</xdr:rowOff>
                  </to>
                </anchor>
              </controlPr>
            </control>
          </mc:Choice>
        </mc:AlternateContent>
        <mc:AlternateContent xmlns:mc="http://schemas.openxmlformats.org/markup-compatibility/2006">
          <mc:Choice Requires="x14">
            <control shapeId="25639" r:id="rId42" name="Check Box 39">
              <controlPr defaultSize="0" autoFill="0" autoLine="0" autoPict="0">
                <anchor moveWithCells="1">
                  <from>
                    <xdr:col>25</xdr:col>
                    <xdr:colOff>28575</xdr:colOff>
                    <xdr:row>43</xdr:row>
                    <xdr:rowOff>9525</xdr:rowOff>
                  </from>
                  <to>
                    <xdr:col>26</xdr:col>
                    <xdr:colOff>9525</xdr:colOff>
                    <xdr:row>43</xdr:row>
                    <xdr:rowOff>238125</xdr:rowOff>
                  </to>
                </anchor>
              </controlPr>
            </control>
          </mc:Choice>
        </mc:AlternateContent>
        <mc:AlternateContent xmlns:mc="http://schemas.openxmlformats.org/markup-compatibility/2006">
          <mc:Choice Requires="x14">
            <control shapeId="25640" r:id="rId43" name="Check Box 40">
              <controlPr defaultSize="0" autoFill="0" autoLine="0" autoPict="0">
                <anchor moveWithCells="1">
                  <from>
                    <xdr:col>25</xdr:col>
                    <xdr:colOff>38100</xdr:colOff>
                    <xdr:row>45</xdr:row>
                    <xdr:rowOff>28575</xdr:rowOff>
                  </from>
                  <to>
                    <xdr:col>26</xdr:col>
                    <xdr:colOff>28575</xdr:colOff>
                    <xdr:row>45</xdr:row>
                    <xdr:rowOff>228600</xdr:rowOff>
                  </to>
                </anchor>
              </controlPr>
            </control>
          </mc:Choice>
        </mc:AlternateContent>
        <mc:AlternateContent xmlns:mc="http://schemas.openxmlformats.org/markup-compatibility/2006">
          <mc:Choice Requires="x14">
            <control shapeId="25641" r:id="rId44" name="Check Box 41">
              <controlPr defaultSize="0" autoFill="0" autoLine="0" autoPict="0">
                <anchor moveWithCells="1">
                  <from>
                    <xdr:col>25</xdr:col>
                    <xdr:colOff>28575</xdr:colOff>
                    <xdr:row>46</xdr:row>
                    <xdr:rowOff>9525</xdr:rowOff>
                  </from>
                  <to>
                    <xdr:col>25</xdr:col>
                    <xdr:colOff>238125</xdr:colOff>
                    <xdr:row>46</xdr:row>
                    <xdr:rowOff>219075</xdr:rowOff>
                  </to>
                </anchor>
              </controlPr>
            </control>
          </mc:Choice>
        </mc:AlternateContent>
        <mc:AlternateContent xmlns:mc="http://schemas.openxmlformats.org/markup-compatibility/2006">
          <mc:Choice Requires="x14">
            <control shapeId="25642" r:id="rId45" name="Check Box 42">
              <controlPr defaultSize="0" autoFill="0" autoLine="0" autoPict="0">
                <anchor moveWithCells="1">
                  <from>
                    <xdr:col>25</xdr:col>
                    <xdr:colOff>28575</xdr:colOff>
                    <xdr:row>47</xdr:row>
                    <xdr:rowOff>0</xdr:rowOff>
                  </from>
                  <to>
                    <xdr:col>26</xdr:col>
                    <xdr:colOff>28575</xdr:colOff>
                    <xdr:row>47</xdr:row>
                    <xdr:rowOff>200025</xdr:rowOff>
                  </to>
                </anchor>
              </controlPr>
            </control>
          </mc:Choice>
        </mc:AlternateContent>
        <mc:AlternateContent xmlns:mc="http://schemas.openxmlformats.org/markup-compatibility/2006">
          <mc:Choice Requires="x14">
            <control shapeId="25643" r:id="rId46" name="Check Box 43">
              <controlPr defaultSize="0" autoFill="0" autoLine="0" autoPict="0">
                <anchor moveWithCells="1">
                  <from>
                    <xdr:col>34</xdr:col>
                    <xdr:colOff>28575</xdr:colOff>
                    <xdr:row>27</xdr:row>
                    <xdr:rowOff>28575</xdr:rowOff>
                  </from>
                  <to>
                    <xdr:col>35</xdr:col>
                    <xdr:colOff>0</xdr:colOff>
                    <xdr:row>27</xdr:row>
                    <xdr:rowOff>257175</xdr:rowOff>
                  </to>
                </anchor>
              </controlPr>
            </control>
          </mc:Choice>
        </mc:AlternateContent>
        <mc:AlternateContent xmlns:mc="http://schemas.openxmlformats.org/markup-compatibility/2006">
          <mc:Choice Requires="x14">
            <control shapeId="25644" r:id="rId47" name="Check Box 44">
              <controlPr defaultSize="0" autoFill="0" autoLine="0" autoPict="0">
                <anchor moveWithCells="1">
                  <from>
                    <xdr:col>34</xdr:col>
                    <xdr:colOff>28575</xdr:colOff>
                    <xdr:row>28</xdr:row>
                    <xdr:rowOff>38100</xdr:rowOff>
                  </from>
                  <to>
                    <xdr:col>35</xdr:col>
                    <xdr:colOff>0</xdr:colOff>
                    <xdr:row>28</xdr:row>
                    <xdr:rowOff>228600</xdr:rowOff>
                  </to>
                </anchor>
              </controlPr>
            </control>
          </mc:Choice>
        </mc:AlternateContent>
        <mc:AlternateContent xmlns:mc="http://schemas.openxmlformats.org/markup-compatibility/2006">
          <mc:Choice Requires="x14">
            <control shapeId="25645" r:id="rId48" name="Check Box 45">
              <controlPr defaultSize="0" autoFill="0" autoLine="0" autoPict="0">
                <anchor moveWithCells="1">
                  <from>
                    <xdr:col>34</xdr:col>
                    <xdr:colOff>28575</xdr:colOff>
                    <xdr:row>29</xdr:row>
                    <xdr:rowOff>104775</xdr:rowOff>
                  </from>
                  <to>
                    <xdr:col>34</xdr:col>
                    <xdr:colOff>257175</xdr:colOff>
                    <xdr:row>29</xdr:row>
                    <xdr:rowOff>333375</xdr:rowOff>
                  </to>
                </anchor>
              </controlPr>
            </control>
          </mc:Choice>
        </mc:AlternateContent>
        <mc:AlternateContent xmlns:mc="http://schemas.openxmlformats.org/markup-compatibility/2006">
          <mc:Choice Requires="x14">
            <control shapeId="25646" r:id="rId49" name="Check Box 46">
              <controlPr defaultSize="0" autoFill="0" autoLine="0" autoPict="0">
                <anchor moveWithCells="1">
                  <from>
                    <xdr:col>34</xdr:col>
                    <xdr:colOff>28575</xdr:colOff>
                    <xdr:row>30</xdr:row>
                    <xdr:rowOff>85725</xdr:rowOff>
                  </from>
                  <to>
                    <xdr:col>34</xdr:col>
                    <xdr:colOff>257175</xdr:colOff>
                    <xdr:row>30</xdr:row>
                    <xdr:rowOff>333375</xdr:rowOff>
                  </to>
                </anchor>
              </controlPr>
            </control>
          </mc:Choice>
        </mc:AlternateContent>
        <mc:AlternateContent xmlns:mc="http://schemas.openxmlformats.org/markup-compatibility/2006">
          <mc:Choice Requires="x14">
            <control shapeId="25647" r:id="rId50" name="Check Box 47">
              <controlPr defaultSize="0" autoFill="0" autoLine="0" autoPict="0">
                <anchor moveWithCells="1">
                  <from>
                    <xdr:col>34</xdr:col>
                    <xdr:colOff>28575</xdr:colOff>
                    <xdr:row>31</xdr:row>
                    <xdr:rowOff>104775</xdr:rowOff>
                  </from>
                  <to>
                    <xdr:col>34</xdr:col>
                    <xdr:colOff>238125</xdr:colOff>
                    <xdr:row>31</xdr:row>
                    <xdr:rowOff>333375</xdr:rowOff>
                  </to>
                </anchor>
              </controlPr>
            </control>
          </mc:Choice>
        </mc:AlternateContent>
        <mc:AlternateContent xmlns:mc="http://schemas.openxmlformats.org/markup-compatibility/2006">
          <mc:Choice Requires="x14">
            <control shapeId="25648" r:id="rId51" name="Check Box 48">
              <controlPr defaultSize="0" autoFill="0" autoLine="0" autoPict="0">
                <anchor moveWithCells="1">
                  <from>
                    <xdr:col>34</xdr:col>
                    <xdr:colOff>28575</xdr:colOff>
                    <xdr:row>32</xdr:row>
                    <xdr:rowOff>85725</xdr:rowOff>
                  </from>
                  <to>
                    <xdr:col>35</xdr:col>
                    <xdr:colOff>9525</xdr:colOff>
                    <xdr:row>32</xdr:row>
                    <xdr:rowOff>333375</xdr:rowOff>
                  </to>
                </anchor>
              </controlPr>
            </control>
          </mc:Choice>
        </mc:AlternateContent>
        <mc:AlternateContent xmlns:mc="http://schemas.openxmlformats.org/markup-compatibility/2006">
          <mc:Choice Requires="x14">
            <control shapeId="25649" r:id="rId52" name="Check Box 49">
              <controlPr defaultSize="0" autoFill="0" autoLine="0" autoPict="0">
                <anchor moveWithCells="1">
                  <from>
                    <xdr:col>34</xdr:col>
                    <xdr:colOff>28575</xdr:colOff>
                    <xdr:row>33</xdr:row>
                    <xdr:rowOff>219075</xdr:rowOff>
                  </from>
                  <to>
                    <xdr:col>35</xdr:col>
                    <xdr:colOff>9525</xdr:colOff>
                    <xdr:row>33</xdr:row>
                    <xdr:rowOff>447675</xdr:rowOff>
                  </to>
                </anchor>
              </controlPr>
            </control>
          </mc:Choice>
        </mc:AlternateContent>
        <mc:AlternateContent xmlns:mc="http://schemas.openxmlformats.org/markup-compatibility/2006">
          <mc:Choice Requires="x14">
            <control shapeId="25650" r:id="rId53" name="Check Box 50">
              <controlPr defaultSize="0" autoFill="0" autoLine="0" autoPict="0">
                <anchor moveWithCells="1">
                  <from>
                    <xdr:col>34</xdr:col>
                    <xdr:colOff>38100</xdr:colOff>
                    <xdr:row>34</xdr:row>
                    <xdr:rowOff>104775</xdr:rowOff>
                  </from>
                  <to>
                    <xdr:col>35</xdr:col>
                    <xdr:colOff>9525</xdr:colOff>
                    <xdr:row>34</xdr:row>
                    <xdr:rowOff>333375</xdr:rowOff>
                  </to>
                </anchor>
              </controlPr>
            </control>
          </mc:Choice>
        </mc:AlternateContent>
        <mc:AlternateContent xmlns:mc="http://schemas.openxmlformats.org/markup-compatibility/2006">
          <mc:Choice Requires="x14">
            <control shapeId="25651" r:id="rId54" name="Check Box 51">
              <controlPr defaultSize="0" autoFill="0" autoLine="0" autoPict="0">
                <anchor moveWithCells="1">
                  <from>
                    <xdr:col>30</xdr:col>
                    <xdr:colOff>38100</xdr:colOff>
                    <xdr:row>40</xdr:row>
                    <xdr:rowOff>9525</xdr:rowOff>
                  </from>
                  <to>
                    <xdr:col>31</xdr:col>
                    <xdr:colOff>28575</xdr:colOff>
                    <xdr:row>40</xdr:row>
                    <xdr:rowOff>238125</xdr:rowOff>
                  </to>
                </anchor>
              </controlPr>
            </control>
          </mc:Choice>
        </mc:AlternateContent>
        <mc:AlternateContent xmlns:mc="http://schemas.openxmlformats.org/markup-compatibility/2006">
          <mc:Choice Requires="x14">
            <control shapeId="25652" r:id="rId55" name="Check Box 52">
              <controlPr defaultSize="0" autoFill="0" autoLine="0" autoPict="0">
                <anchor moveWithCells="1">
                  <from>
                    <xdr:col>30</xdr:col>
                    <xdr:colOff>28575</xdr:colOff>
                    <xdr:row>43</xdr:row>
                    <xdr:rowOff>9525</xdr:rowOff>
                  </from>
                  <to>
                    <xdr:col>31</xdr:col>
                    <xdr:colOff>0</xdr:colOff>
                    <xdr:row>43</xdr:row>
                    <xdr:rowOff>257175</xdr:rowOff>
                  </to>
                </anchor>
              </controlPr>
            </control>
          </mc:Choice>
        </mc:AlternateContent>
        <mc:AlternateContent xmlns:mc="http://schemas.openxmlformats.org/markup-compatibility/2006">
          <mc:Choice Requires="x14">
            <control shapeId="25653" r:id="rId56" name="Check Box 53">
              <controlPr defaultSize="0" autoFill="0" autoLine="0" autoPict="0">
                <anchor moveWithCells="1">
                  <from>
                    <xdr:col>30</xdr:col>
                    <xdr:colOff>28575</xdr:colOff>
                    <xdr:row>45</xdr:row>
                    <xdr:rowOff>28575</xdr:rowOff>
                  </from>
                  <to>
                    <xdr:col>31</xdr:col>
                    <xdr:colOff>9525</xdr:colOff>
                    <xdr:row>45</xdr:row>
                    <xdr:rowOff>238125</xdr:rowOff>
                  </to>
                </anchor>
              </controlPr>
            </control>
          </mc:Choice>
        </mc:AlternateContent>
        <mc:AlternateContent xmlns:mc="http://schemas.openxmlformats.org/markup-compatibility/2006">
          <mc:Choice Requires="x14">
            <control shapeId="25654" r:id="rId57" name="Check Box 54">
              <controlPr defaultSize="0" autoFill="0" autoLine="0" autoPict="0">
                <anchor moveWithCells="1">
                  <from>
                    <xdr:col>30</xdr:col>
                    <xdr:colOff>28575</xdr:colOff>
                    <xdr:row>46</xdr:row>
                    <xdr:rowOff>9525</xdr:rowOff>
                  </from>
                  <to>
                    <xdr:col>31</xdr:col>
                    <xdr:colOff>0</xdr:colOff>
                    <xdr:row>47</xdr:row>
                    <xdr:rowOff>0</xdr:rowOff>
                  </to>
                </anchor>
              </controlPr>
            </control>
          </mc:Choice>
        </mc:AlternateContent>
        <mc:AlternateContent xmlns:mc="http://schemas.openxmlformats.org/markup-compatibility/2006">
          <mc:Choice Requires="x14">
            <control shapeId="25655" r:id="rId58" name="Check Box 55">
              <controlPr defaultSize="0" autoFill="0" autoLine="0" autoPict="0">
                <anchor moveWithCells="1">
                  <from>
                    <xdr:col>30</xdr:col>
                    <xdr:colOff>28575</xdr:colOff>
                    <xdr:row>47</xdr:row>
                    <xdr:rowOff>9525</xdr:rowOff>
                  </from>
                  <to>
                    <xdr:col>31</xdr:col>
                    <xdr:colOff>0</xdr:colOff>
                    <xdr:row>47</xdr:row>
                    <xdr:rowOff>238125</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A30A0-AB74-44BD-8BA6-65E2E9471D9B}">
  <sheetPr codeName="Sheet10">
    <tabColor rgb="FFFFFF00"/>
    <pageSetUpPr fitToPage="1"/>
  </sheetPr>
  <dimension ref="A1:CA49"/>
  <sheetViews>
    <sheetView showGridLines="0" topLeftCell="A34" zoomScaleNormal="100" workbookViewId="0">
      <selection sqref="A1:BC41"/>
    </sheetView>
  </sheetViews>
  <sheetFormatPr defaultColWidth="9" defaultRowHeight="15.75"/>
  <cols>
    <col min="1" max="1" width="2.125" style="164" customWidth="1"/>
    <col min="2" max="57" width="3.625" style="164" customWidth="1"/>
    <col min="58" max="58" width="2.125" style="164" customWidth="1"/>
    <col min="59" max="73" width="3.625" style="164" customWidth="1"/>
    <col min="74" max="16384" width="9" style="164"/>
  </cols>
  <sheetData>
    <row r="1" spans="1:61" ht="12" customHeight="1">
      <c r="A1" s="260"/>
      <c r="B1" s="260"/>
      <c r="C1" s="260"/>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0"/>
      <c r="AP1" s="260"/>
      <c r="AQ1" s="260"/>
      <c r="AR1" s="260"/>
      <c r="AS1" s="260"/>
      <c r="AT1" s="260"/>
      <c r="AU1" s="260"/>
      <c r="AV1" s="260"/>
      <c r="AW1" s="260"/>
      <c r="AX1" s="260"/>
      <c r="AY1" s="260"/>
      <c r="AZ1" s="260"/>
      <c r="BA1" s="260"/>
      <c r="BB1" s="260"/>
      <c r="BC1" s="260"/>
      <c r="BD1" s="260"/>
      <c r="BE1" s="260"/>
      <c r="BF1" s="260"/>
    </row>
    <row r="2" spans="1:61" ht="15.75" customHeight="1">
      <c r="A2" s="260"/>
      <c r="B2" s="261" t="s">
        <v>1810</v>
      </c>
      <c r="C2" s="261"/>
      <c r="D2" s="261"/>
      <c r="E2" s="261"/>
      <c r="F2" s="261"/>
      <c r="G2" s="261"/>
      <c r="H2" s="261"/>
      <c r="I2" s="261"/>
      <c r="J2" s="261"/>
      <c r="K2" s="261"/>
      <c r="L2" s="261"/>
      <c r="M2" s="261"/>
      <c r="N2" s="261"/>
      <c r="O2" s="261"/>
      <c r="P2" s="261"/>
      <c r="Q2" s="261"/>
      <c r="R2" s="261"/>
      <c r="S2" s="261"/>
      <c r="T2" s="261"/>
      <c r="U2" s="261"/>
      <c r="V2" s="261"/>
      <c r="W2" s="261"/>
      <c r="X2" s="261"/>
      <c r="Y2" s="261"/>
      <c r="Z2" s="261"/>
      <c r="AA2" s="261"/>
      <c r="AB2" s="261"/>
      <c r="AC2" s="260"/>
      <c r="AD2" s="260"/>
      <c r="AE2" s="260"/>
      <c r="AF2" s="260"/>
      <c r="AG2" s="260"/>
      <c r="AH2" s="260"/>
      <c r="AI2" s="260"/>
      <c r="AJ2" s="260"/>
      <c r="AK2" s="260"/>
      <c r="AL2" s="260"/>
      <c r="AM2" s="260"/>
      <c r="AN2" s="260"/>
      <c r="AO2" s="260"/>
      <c r="AP2" s="260"/>
      <c r="AQ2" s="260"/>
      <c r="AR2" s="260"/>
      <c r="AS2" s="260"/>
      <c r="AT2" s="260"/>
      <c r="AU2" s="260"/>
      <c r="AV2" s="260"/>
      <c r="AW2" s="260"/>
      <c r="AX2" s="260"/>
      <c r="AY2" s="260"/>
      <c r="AZ2" s="260"/>
      <c r="BA2" s="260"/>
      <c r="BB2" s="260"/>
      <c r="BC2" s="260"/>
      <c r="BD2" s="260"/>
      <c r="BE2" s="260"/>
      <c r="BF2" s="260"/>
    </row>
    <row r="3" spans="1:61" ht="15.75" customHeight="1">
      <c r="A3" s="260"/>
      <c r="B3" s="261" t="s">
        <v>11392</v>
      </c>
      <c r="C3" s="261"/>
      <c r="D3" s="261"/>
      <c r="E3" s="261"/>
      <c r="F3" s="261"/>
      <c r="G3" s="261"/>
      <c r="H3" s="261"/>
      <c r="I3" s="261"/>
      <c r="J3" s="261"/>
      <c r="K3" s="261"/>
      <c r="L3" s="261"/>
      <c r="M3" s="261"/>
      <c r="N3" s="261"/>
      <c r="O3" s="261"/>
      <c r="P3" s="261"/>
      <c r="Q3" s="261"/>
      <c r="R3" s="261"/>
      <c r="S3" s="261"/>
      <c r="T3" s="261"/>
      <c r="U3" s="261"/>
      <c r="V3" s="261"/>
      <c r="W3" s="261"/>
      <c r="X3" s="261"/>
      <c r="Y3" s="261"/>
      <c r="Z3" s="261"/>
      <c r="AA3" s="261"/>
      <c r="AB3" s="261"/>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0"/>
      <c r="BF3" s="260"/>
    </row>
    <row r="4" spans="1:61" s="102" customFormat="1" ht="16.5" thickBot="1">
      <c r="A4" s="593"/>
      <c r="B4" s="583" t="s">
        <v>1016</v>
      </c>
      <c r="C4" s="665"/>
      <c r="D4" s="259"/>
      <c r="E4" s="259"/>
      <c r="F4" s="259"/>
      <c r="G4" s="259"/>
      <c r="H4" s="259"/>
      <c r="I4" s="259"/>
      <c r="J4" s="259"/>
      <c r="K4" s="259"/>
      <c r="L4" s="259"/>
      <c r="M4" s="259"/>
      <c r="N4" s="259"/>
      <c r="O4" s="259"/>
      <c r="P4" s="259"/>
      <c r="Q4" s="259"/>
      <c r="R4" s="666"/>
      <c r="S4" s="666"/>
      <c r="T4" s="240"/>
      <c r="U4" s="240"/>
      <c r="V4" s="666"/>
      <c r="W4" s="666"/>
      <c r="X4" s="666"/>
      <c r="Y4" s="599"/>
      <c r="Z4" s="599"/>
      <c r="AA4" s="599"/>
      <c r="AB4" s="599"/>
      <c r="AC4" s="599"/>
      <c r="AD4" s="599"/>
      <c r="AE4" s="599"/>
      <c r="AF4" s="599"/>
      <c r="AG4" s="599"/>
      <c r="AH4" s="599"/>
      <c r="AI4" s="599"/>
      <c r="AJ4" s="599"/>
      <c r="AK4" s="599"/>
      <c r="AL4" s="599"/>
      <c r="AM4" s="599"/>
      <c r="AN4" s="599"/>
      <c r="AO4" s="599"/>
      <c r="AP4" s="599"/>
      <c r="AQ4" s="599"/>
      <c r="AR4" s="599"/>
      <c r="AS4" s="599"/>
      <c r="AT4" s="599"/>
      <c r="AU4" s="599"/>
      <c r="AV4" s="599"/>
      <c r="AW4" s="599"/>
      <c r="AX4" s="599"/>
      <c r="AY4" s="599"/>
      <c r="AZ4" s="599"/>
      <c r="BA4" s="599"/>
      <c r="BB4" s="599"/>
      <c r="BC4" s="599"/>
      <c r="BD4" s="599"/>
      <c r="BE4" s="599"/>
      <c r="BF4" s="599"/>
    </row>
    <row r="5" spans="1:61" ht="31.5" customHeight="1">
      <c r="A5" s="260"/>
      <c r="B5" s="2698" t="s">
        <v>281</v>
      </c>
      <c r="C5" s="2007"/>
      <c r="D5" s="2007"/>
      <c r="E5" s="2007"/>
      <c r="F5" s="2008"/>
      <c r="G5" s="2700" t="s">
        <v>1683</v>
      </c>
      <c r="H5" s="2701"/>
      <c r="I5" s="2701"/>
      <c r="J5" s="2701"/>
      <c r="K5" s="2701"/>
      <c r="L5" s="2701"/>
      <c r="M5" s="2701"/>
      <c r="N5" s="2701"/>
      <c r="O5" s="2701"/>
      <c r="P5" s="2701"/>
      <c r="Q5" s="2701"/>
      <c r="R5" s="2701"/>
      <c r="S5" s="2701"/>
      <c r="T5" s="2701"/>
      <c r="U5" s="2702"/>
      <c r="V5" s="2703" t="s">
        <v>1684</v>
      </c>
      <c r="W5" s="2704"/>
      <c r="X5" s="2704"/>
      <c r="Y5" s="2704"/>
      <c r="Z5" s="2704"/>
      <c r="AA5" s="2704"/>
      <c r="AB5" s="2704"/>
      <c r="AC5" s="2704"/>
      <c r="AD5" s="2704"/>
      <c r="AE5" s="2704"/>
      <c r="AF5" s="2704"/>
      <c r="AG5" s="2704"/>
      <c r="AH5" s="2704"/>
      <c r="AI5" s="2704"/>
      <c r="AJ5" s="2705"/>
      <c r="AK5" s="239"/>
      <c r="AL5" s="260"/>
      <c r="AM5" s="260"/>
      <c r="AN5" s="260"/>
      <c r="AO5" s="260"/>
      <c r="AP5" s="260"/>
      <c r="AQ5" s="260"/>
      <c r="AR5" s="260"/>
      <c r="AS5" s="260"/>
      <c r="AT5" s="260"/>
      <c r="AU5" s="260"/>
      <c r="AV5" s="260"/>
      <c r="AW5" s="260"/>
      <c r="AX5" s="260"/>
      <c r="AY5" s="260"/>
      <c r="AZ5" s="260"/>
      <c r="BA5" s="260"/>
      <c r="BB5" s="260"/>
      <c r="BC5" s="260"/>
      <c r="BD5" s="260"/>
      <c r="BE5" s="260"/>
      <c r="BF5" s="260"/>
    </row>
    <row r="6" spans="1:61" ht="15.75" customHeight="1" thickBot="1">
      <c r="A6" s="260"/>
      <c r="B6" s="2699"/>
      <c r="C6" s="2010"/>
      <c r="D6" s="2010"/>
      <c r="E6" s="2010"/>
      <c r="F6" s="2011"/>
      <c r="G6" s="2706" t="s">
        <v>1267</v>
      </c>
      <c r="H6" s="2707"/>
      <c r="I6" s="2708"/>
      <c r="J6" s="2709" t="s">
        <v>1268</v>
      </c>
      <c r="K6" s="2707"/>
      <c r="L6" s="2707"/>
      <c r="M6" s="2709" t="s">
        <v>1269</v>
      </c>
      <c r="N6" s="2707"/>
      <c r="O6" s="2708"/>
      <c r="P6" s="2707" t="s">
        <v>1270</v>
      </c>
      <c r="Q6" s="2707"/>
      <c r="R6" s="2710"/>
      <c r="S6" s="2711" t="s">
        <v>42</v>
      </c>
      <c r="T6" s="2707"/>
      <c r="U6" s="2712"/>
      <c r="V6" s="2706" t="s">
        <v>1267</v>
      </c>
      <c r="W6" s="2707"/>
      <c r="X6" s="2708"/>
      <c r="Y6" s="2709" t="s">
        <v>1268</v>
      </c>
      <c r="Z6" s="2707"/>
      <c r="AA6" s="2707"/>
      <c r="AB6" s="2709" t="s">
        <v>1269</v>
      </c>
      <c r="AC6" s="2707"/>
      <c r="AD6" s="2708"/>
      <c r="AE6" s="2707" t="s">
        <v>1270</v>
      </c>
      <c r="AF6" s="2707"/>
      <c r="AG6" s="2710"/>
      <c r="AH6" s="2711" t="s">
        <v>42</v>
      </c>
      <c r="AI6" s="2707"/>
      <c r="AJ6" s="2712"/>
      <c r="AK6" s="260"/>
      <c r="AL6" s="260"/>
      <c r="AM6" s="485"/>
      <c r="AN6" s="485"/>
      <c r="AO6" s="485"/>
      <c r="AP6" s="485"/>
      <c r="AQ6" s="485"/>
      <c r="AR6" s="485"/>
      <c r="AS6" s="485"/>
      <c r="AT6" s="485"/>
      <c r="AU6" s="485"/>
      <c r="AV6" s="485"/>
      <c r="AW6" s="485"/>
      <c r="AX6" s="485"/>
      <c r="AY6" s="485"/>
      <c r="AZ6" s="485"/>
      <c r="BA6" s="485"/>
      <c r="BB6" s="485"/>
      <c r="BC6" s="485"/>
      <c r="BD6" s="485"/>
      <c r="BE6" s="485"/>
      <c r="BF6" s="485"/>
      <c r="BG6" s="22"/>
      <c r="BH6" s="22"/>
      <c r="BI6" s="22"/>
    </row>
    <row r="7" spans="1:61" ht="24.95" customHeight="1">
      <c r="A7" s="260"/>
      <c r="B7" s="667"/>
      <c r="C7" s="668" t="s">
        <v>43</v>
      </c>
      <c r="D7" s="668"/>
      <c r="E7" s="668"/>
      <c r="F7" s="669"/>
      <c r="G7" s="2690">
        <v>0</v>
      </c>
      <c r="H7" s="2691"/>
      <c r="I7" s="2692"/>
      <c r="J7" s="2693">
        <v>0</v>
      </c>
      <c r="K7" s="2691"/>
      <c r="L7" s="2691"/>
      <c r="M7" s="2693">
        <v>0</v>
      </c>
      <c r="N7" s="2691"/>
      <c r="O7" s="2692"/>
      <c r="P7" s="2691">
        <v>0</v>
      </c>
      <c r="Q7" s="2691"/>
      <c r="R7" s="2694"/>
      <c r="S7" s="2695">
        <f>SUM(G7:R7)</f>
        <v>0</v>
      </c>
      <c r="T7" s="2696"/>
      <c r="U7" s="2697"/>
      <c r="V7" s="2690">
        <v>0</v>
      </c>
      <c r="W7" s="2691"/>
      <c r="X7" s="2692"/>
      <c r="Y7" s="2693">
        <v>0</v>
      </c>
      <c r="Z7" s="2691"/>
      <c r="AA7" s="2691"/>
      <c r="AB7" s="2693">
        <v>0</v>
      </c>
      <c r="AC7" s="2691"/>
      <c r="AD7" s="2692"/>
      <c r="AE7" s="2691">
        <v>0</v>
      </c>
      <c r="AF7" s="2691"/>
      <c r="AG7" s="2694"/>
      <c r="AH7" s="2695">
        <f>SUM(V7:AG7)</f>
        <v>0</v>
      </c>
      <c r="AI7" s="2696"/>
      <c r="AJ7" s="2697"/>
      <c r="AK7" s="260"/>
      <c r="AL7" s="260"/>
      <c r="AM7" s="485"/>
      <c r="AN7" s="485"/>
      <c r="AO7" s="485"/>
      <c r="AP7" s="485"/>
      <c r="AQ7" s="485"/>
      <c r="AR7" s="485"/>
      <c r="AS7" s="485"/>
      <c r="AT7" s="485"/>
      <c r="AU7" s="485"/>
      <c r="AV7" s="485"/>
      <c r="AW7" s="485"/>
      <c r="AX7" s="485"/>
      <c r="AY7" s="485"/>
      <c r="AZ7" s="485"/>
      <c r="BA7" s="485"/>
      <c r="BB7" s="485"/>
      <c r="BC7" s="485"/>
      <c r="BD7" s="485"/>
      <c r="BE7" s="485"/>
      <c r="BF7" s="485"/>
      <c r="BG7" s="22"/>
      <c r="BH7" s="22"/>
      <c r="BI7" s="22"/>
    </row>
    <row r="8" spans="1:61" ht="24.95" customHeight="1" thickBot="1">
      <c r="A8" s="260"/>
      <c r="B8" s="670"/>
      <c r="C8" s="671" t="s">
        <v>44</v>
      </c>
      <c r="D8" s="671"/>
      <c r="E8" s="671"/>
      <c r="F8" s="672"/>
      <c r="G8" s="2689">
        <v>0</v>
      </c>
      <c r="H8" s="2656"/>
      <c r="I8" s="2657"/>
      <c r="J8" s="2655">
        <v>0</v>
      </c>
      <c r="K8" s="2656"/>
      <c r="L8" s="2656"/>
      <c r="M8" s="2655">
        <v>0</v>
      </c>
      <c r="N8" s="2656"/>
      <c r="O8" s="2657"/>
      <c r="P8" s="2656">
        <v>0</v>
      </c>
      <c r="Q8" s="2656"/>
      <c r="R8" s="2682"/>
      <c r="S8" s="2695">
        <f>SUM(G8:R8)</f>
        <v>0</v>
      </c>
      <c r="T8" s="2696"/>
      <c r="U8" s="2697"/>
      <c r="V8" s="2689">
        <v>0</v>
      </c>
      <c r="W8" s="2656"/>
      <c r="X8" s="2657"/>
      <c r="Y8" s="2655">
        <v>0</v>
      </c>
      <c r="Z8" s="2656"/>
      <c r="AA8" s="2656"/>
      <c r="AB8" s="2655">
        <v>0</v>
      </c>
      <c r="AC8" s="2656"/>
      <c r="AD8" s="2657"/>
      <c r="AE8" s="2656">
        <v>0</v>
      </c>
      <c r="AF8" s="2656"/>
      <c r="AG8" s="2682"/>
      <c r="AH8" s="2683">
        <f>SUM(V8:AG8)</f>
        <v>0</v>
      </c>
      <c r="AI8" s="2684"/>
      <c r="AJ8" s="2685"/>
      <c r="AK8" s="261"/>
      <c r="AL8" s="487"/>
      <c r="AM8" s="489"/>
      <c r="AN8" s="489"/>
      <c r="AO8" s="489"/>
      <c r="AP8" s="489"/>
      <c r="AQ8" s="489"/>
      <c r="AR8" s="489"/>
      <c r="AS8" s="489"/>
      <c r="AT8" s="489"/>
      <c r="AU8" s="489"/>
      <c r="AV8" s="489"/>
      <c r="AW8" s="489"/>
      <c r="AX8" s="489"/>
      <c r="AY8" s="489"/>
      <c r="AZ8" s="489"/>
      <c r="BA8" s="489"/>
      <c r="BB8" s="489"/>
      <c r="BC8" s="489"/>
      <c r="BD8" s="489"/>
      <c r="BE8" s="489"/>
      <c r="BF8" s="489"/>
      <c r="BG8" s="24"/>
      <c r="BH8" s="24"/>
      <c r="BI8" s="24"/>
    </row>
    <row r="9" spans="1:61" s="125" customFormat="1" ht="24.95" customHeight="1" thickTop="1" thickBot="1">
      <c r="A9" s="261"/>
      <c r="B9" s="673"/>
      <c r="C9" s="674" t="s">
        <v>285</v>
      </c>
      <c r="D9" s="674"/>
      <c r="E9" s="674"/>
      <c r="F9" s="675"/>
      <c r="G9" s="2686">
        <f>SUM(G7:I8)</f>
        <v>0</v>
      </c>
      <c r="H9" s="2680"/>
      <c r="I9" s="2681"/>
      <c r="J9" s="2679">
        <f>SUM(J7:L8)</f>
        <v>0</v>
      </c>
      <c r="K9" s="2680"/>
      <c r="L9" s="2680"/>
      <c r="M9" s="2679">
        <f>SUM(M7:O8)</f>
        <v>0</v>
      </c>
      <c r="N9" s="2680"/>
      <c r="O9" s="2681"/>
      <c r="P9" s="2680">
        <f>SUM(P7:R8)</f>
        <v>0</v>
      </c>
      <c r="Q9" s="2680"/>
      <c r="R9" s="2687"/>
      <c r="S9" s="2686">
        <f>SUM(S7:U8)</f>
        <v>0</v>
      </c>
      <c r="T9" s="2680"/>
      <c r="U9" s="2688"/>
      <c r="V9" s="2686">
        <f>SUM(V7:X8)</f>
        <v>0</v>
      </c>
      <c r="W9" s="2680"/>
      <c r="X9" s="2681"/>
      <c r="Y9" s="2679">
        <f>SUM(Y7:AA8)</f>
        <v>0</v>
      </c>
      <c r="Z9" s="2680"/>
      <c r="AA9" s="2680"/>
      <c r="AB9" s="2679">
        <f>SUM(AB7:AD8)</f>
        <v>0</v>
      </c>
      <c r="AC9" s="2680"/>
      <c r="AD9" s="2681"/>
      <c r="AE9" s="2680">
        <f>SUM(AE7:AG8)</f>
        <v>0</v>
      </c>
      <c r="AF9" s="2680"/>
      <c r="AG9" s="2687"/>
      <c r="AH9" s="2686">
        <f>SUM(AH7:AJ8)</f>
        <v>0</v>
      </c>
      <c r="AI9" s="2680"/>
      <c r="AJ9" s="2688"/>
      <c r="AK9" s="676"/>
      <c r="AL9" s="347"/>
      <c r="AM9" s="677"/>
      <c r="AN9" s="677"/>
      <c r="AO9" s="677"/>
      <c r="AP9" s="677"/>
      <c r="AQ9" s="677"/>
      <c r="AR9" s="677"/>
      <c r="AS9" s="677"/>
      <c r="AT9" s="677"/>
      <c r="AU9" s="677"/>
      <c r="AV9" s="677"/>
      <c r="AW9" s="677"/>
      <c r="AX9" s="677"/>
      <c r="AY9" s="677"/>
      <c r="AZ9" s="677"/>
      <c r="BA9" s="677"/>
      <c r="BB9" s="677"/>
      <c r="BC9" s="677"/>
      <c r="BD9" s="677"/>
      <c r="BE9" s="677"/>
      <c r="BF9" s="677"/>
      <c r="BG9" s="143"/>
      <c r="BH9" s="143"/>
      <c r="BI9" s="143"/>
    </row>
    <row r="10" spans="1:61" s="102" customFormat="1" ht="45.6" customHeight="1">
      <c r="A10" s="678"/>
      <c r="B10" s="679" t="s">
        <v>47</v>
      </c>
      <c r="C10" s="2658" t="s">
        <v>1685</v>
      </c>
      <c r="D10" s="2658"/>
      <c r="E10" s="2658"/>
      <c r="F10" s="2658"/>
      <c r="G10" s="2658"/>
      <c r="H10" s="2658"/>
      <c r="I10" s="2658"/>
      <c r="J10" s="2658"/>
      <c r="K10" s="2658"/>
      <c r="L10" s="2658"/>
      <c r="M10" s="2658"/>
      <c r="N10" s="2658"/>
      <c r="O10" s="2658"/>
      <c r="P10" s="2658"/>
      <c r="Q10" s="2658"/>
      <c r="R10" s="2658"/>
      <c r="S10" s="2658"/>
      <c r="T10" s="2658"/>
      <c r="U10" s="2658"/>
      <c r="V10" s="2658"/>
      <c r="W10" s="2658"/>
      <c r="X10" s="2658"/>
      <c r="Y10" s="2658"/>
      <c r="Z10" s="2658"/>
      <c r="AA10" s="2658"/>
      <c r="AB10" s="2658"/>
      <c r="AC10" s="2658"/>
      <c r="AD10" s="2658"/>
      <c r="AE10" s="2658"/>
      <c r="AF10" s="2658"/>
      <c r="AG10" s="2658"/>
      <c r="AH10" s="2658"/>
      <c r="AI10" s="2658"/>
      <c r="AJ10" s="2658"/>
      <c r="AK10" s="680"/>
      <c r="AL10" s="680"/>
      <c r="AM10" s="680"/>
      <c r="AN10" s="680"/>
      <c r="AO10" s="599"/>
      <c r="AP10" s="599"/>
      <c r="AQ10" s="599"/>
      <c r="AR10" s="599"/>
      <c r="AS10" s="599"/>
      <c r="AT10" s="599"/>
      <c r="AU10" s="599"/>
      <c r="AV10" s="599"/>
      <c r="AW10" s="599"/>
      <c r="AX10" s="599"/>
      <c r="AY10" s="599"/>
      <c r="AZ10" s="599"/>
      <c r="BA10" s="599"/>
      <c r="BB10" s="599"/>
      <c r="BC10" s="599"/>
      <c r="BD10" s="599"/>
      <c r="BE10" s="599"/>
      <c r="BF10" s="599"/>
    </row>
    <row r="11" spans="1:61" s="102" customFormat="1" ht="20.100000000000001" customHeight="1">
      <c r="A11" s="678"/>
      <c r="B11" s="679" t="s">
        <v>48</v>
      </c>
      <c r="C11" s="2650" t="s">
        <v>1656</v>
      </c>
      <c r="D11" s="2650"/>
      <c r="E11" s="2650"/>
      <c r="F11" s="2650"/>
      <c r="G11" s="2650"/>
      <c r="H11" s="2650"/>
      <c r="I11" s="2650"/>
      <c r="J11" s="2650"/>
      <c r="K11" s="2650"/>
      <c r="L11" s="2650"/>
      <c r="M11" s="2650"/>
      <c r="N11" s="2650"/>
      <c r="O11" s="2650"/>
      <c r="P11" s="2650"/>
      <c r="Q11" s="2650"/>
      <c r="R11" s="2650"/>
      <c r="S11" s="2650"/>
      <c r="T11" s="2650"/>
      <c r="U11" s="2650"/>
      <c r="V11" s="2650"/>
      <c r="W11" s="2650"/>
      <c r="X11" s="2650"/>
      <c r="Y11" s="2650"/>
      <c r="Z11" s="2650"/>
      <c r="AA11" s="2650"/>
      <c r="AB11" s="2650"/>
      <c r="AC11" s="2650"/>
      <c r="AD11" s="2650"/>
      <c r="AE11" s="2650"/>
      <c r="AF11" s="2650"/>
      <c r="AG11" s="2650"/>
      <c r="AH11" s="2650"/>
      <c r="AI11" s="2650"/>
      <c r="AJ11" s="2650"/>
      <c r="AK11" s="680"/>
      <c r="AL11" s="680"/>
      <c r="AM11" s="680"/>
      <c r="AN11" s="599"/>
      <c r="AO11" s="599"/>
      <c r="AP11" s="599"/>
      <c r="AQ11" s="599"/>
      <c r="AR11" s="599"/>
      <c r="AS11" s="599"/>
      <c r="AT11" s="599"/>
      <c r="AU11" s="599"/>
      <c r="AV11" s="599"/>
      <c r="AW11" s="599"/>
      <c r="AX11" s="599"/>
      <c r="AY11" s="599"/>
      <c r="AZ11" s="599"/>
      <c r="BA11" s="599"/>
      <c r="BB11" s="599"/>
      <c r="BC11" s="599"/>
      <c r="BD11" s="599"/>
      <c r="BE11" s="599"/>
      <c r="BF11" s="599"/>
    </row>
    <row r="12" spans="1:61" s="102" customFormat="1" ht="20.100000000000001" customHeight="1">
      <c r="A12" s="678"/>
      <c r="B12" s="679" t="s">
        <v>49</v>
      </c>
      <c r="C12" s="2650" t="s">
        <v>1686</v>
      </c>
      <c r="D12" s="2650"/>
      <c r="E12" s="2650"/>
      <c r="F12" s="2650"/>
      <c r="G12" s="2650"/>
      <c r="H12" s="2650"/>
      <c r="I12" s="2650"/>
      <c r="J12" s="2650"/>
      <c r="K12" s="2650"/>
      <c r="L12" s="2650"/>
      <c r="M12" s="2650"/>
      <c r="N12" s="2650"/>
      <c r="O12" s="2650"/>
      <c r="P12" s="2650"/>
      <c r="Q12" s="2650"/>
      <c r="R12" s="2650"/>
      <c r="S12" s="2650"/>
      <c r="T12" s="2650"/>
      <c r="U12" s="2650"/>
      <c r="V12" s="2650"/>
      <c r="W12" s="2650"/>
      <c r="X12" s="2650"/>
      <c r="Y12" s="2650"/>
      <c r="Z12" s="2650"/>
      <c r="AA12" s="2650"/>
      <c r="AB12" s="2650"/>
      <c r="AC12" s="2650"/>
      <c r="AD12" s="2650"/>
      <c r="AE12" s="2650"/>
      <c r="AF12" s="2650"/>
      <c r="AG12" s="2650"/>
      <c r="AH12" s="2650"/>
      <c r="AI12" s="2650"/>
      <c r="AJ12" s="2650"/>
      <c r="AK12" s="680"/>
      <c r="AL12" s="680"/>
      <c r="AM12" s="680"/>
      <c r="AN12" s="599"/>
      <c r="AO12" s="599"/>
      <c r="AP12" s="599"/>
      <c r="AQ12" s="599"/>
      <c r="AR12" s="599"/>
      <c r="AS12" s="599"/>
      <c r="AT12" s="599"/>
      <c r="AU12" s="599"/>
      <c r="AV12" s="599"/>
      <c r="AW12" s="599"/>
      <c r="AX12" s="599"/>
      <c r="AY12" s="599"/>
      <c r="AZ12" s="599"/>
      <c r="BA12" s="599"/>
      <c r="BB12" s="599"/>
      <c r="BC12" s="599"/>
      <c r="BD12" s="599"/>
      <c r="BE12" s="599"/>
      <c r="BF12" s="599"/>
    </row>
    <row r="13" spans="1:61" s="102" customFormat="1" ht="20.100000000000001" customHeight="1">
      <c r="A13" s="678"/>
      <c r="B13" s="679" t="s">
        <v>50</v>
      </c>
      <c r="C13" s="2650" t="s">
        <v>1687</v>
      </c>
      <c r="D13" s="2650"/>
      <c r="E13" s="2650"/>
      <c r="F13" s="2650"/>
      <c r="G13" s="2650"/>
      <c r="H13" s="2650"/>
      <c r="I13" s="2650"/>
      <c r="J13" s="2650"/>
      <c r="K13" s="2650"/>
      <c r="L13" s="2650"/>
      <c r="M13" s="2650"/>
      <c r="N13" s="2650"/>
      <c r="O13" s="2650"/>
      <c r="P13" s="2650"/>
      <c r="Q13" s="2650"/>
      <c r="R13" s="2650"/>
      <c r="S13" s="2650"/>
      <c r="T13" s="2650"/>
      <c r="U13" s="2650"/>
      <c r="V13" s="2650"/>
      <c r="W13" s="2650"/>
      <c r="X13" s="2650"/>
      <c r="Y13" s="2650"/>
      <c r="Z13" s="2650"/>
      <c r="AA13" s="2650"/>
      <c r="AB13" s="2650"/>
      <c r="AC13" s="2650"/>
      <c r="AD13" s="2650"/>
      <c r="AE13" s="2650"/>
      <c r="AF13" s="2650"/>
      <c r="AG13" s="2650"/>
      <c r="AH13" s="2650"/>
      <c r="AI13" s="2650"/>
      <c r="AJ13" s="2650"/>
      <c r="AK13" s="680"/>
      <c r="AL13" s="680"/>
      <c r="AM13" s="680"/>
      <c r="AN13" s="680"/>
      <c r="AO13" s="599"/>
      <c r="AP13" s="599"/>
      <c r="AQ13" s="599"/>
      <c r="AR13" s="599"/>
      <c r="AS13" s="599"/>
      <c r="AT13" s="599"/>
      <c r="AU13" s="599"/>
      <c r="AV13" s="599"/>
      <c r="AW13" s="599"/>
      <c r="AX13" s="599"/>
      <c r="AY13" s="599"/>
      <c r="AZ13" s="599"/>
      <c r="BA13" s="599"/>
      <c r="BB13" s="599"/>
      <c r="BC13" s="599"/>
      <c r="BD13" s="599"/>
      <c r="BE13" s="599"/>
      <c r="BF13" s="599"/>
    </row>
    <row r="14" spans="1:61" s="102" customFormat="1" ht="32.1" customHeight="1">
      <c r="A14" s="678"/>
      <c r="B14" s="679" t="s">
        <v>51</v>
      </c>
      <c r="C14" s="2650" t="s">
        <v>1688</v>
      </c>
      <c r="D14" s="2650"/>
      <c r="E14" s="2650"/>
      <c r="F14" s="2650"/>
      <c r="G14" s="2650"/>
      <c r="H14" s="2650"/>
      <c r="I14" s="2650"/>
      <c r="J14" s="2650"/>
      <c r="K14" s="2650"/>
      <c r="L14" s="2650"/>
      <c r="M14" s="2650"/>
      <c r="N14" s="2650"/>
      <c r="O14" s="2650"/>
      <c r="P14" s="2650"/>
      <c r="Q14" s="2650"/>
      <c r="R14" s="2650"/>
      <c r="S14" s="2650"/>
      <c r="T14" s="2650"/>
      <c r="U14" s="2650"/>
      <c r="V14" s="2650"/>
      <c r="W14" s="2650"/>
      <c r="X14" s="2650"/>
      <c r="Y14" s="2650"/>
      <c r="Z14" s="2650"/>
      <c r="AA14" s="2650"/>
      <c r="AB14" s="2650"/>
      <c r="AC14" s="2650"/>
      <c r="AD14" s="2650"/>
      <c r="AE14" s="2650"/>
      <c r="AF14" s="2650"/>
      <c r="AG14" s="2650"/>
      <c r="AH14" s="2650"/>
      <c r="AI14" s="2650"/>
      <c r="AJ14" s="2650"/>
      <c r="AK14" s="680"/>
      <c r="AL14" s="680"/>
      <c r="AM14" s="680"/>
      <c r="AN14" s="680"/>
      <c r="AO14" s="599"/>
      <c r="AP14" s="599"/>
      <c r="AQ14" s="599"/>
      <c r="AR14" s="599"/>
      <c r="AS14" s="599"/>
      <c r="AT14" s="599"/>
      <c r="AU14" s="599"/>
      <c r="AV14" s="599"/>
      <c r="AW14" s="599"/>
      <c r="AX14" s="599"/>
      <c r="AY14" s="599"/>
      <c r="AZ14" s="599"/>
      <c r="BA14" s="599"/>
      <c r="BB14" s="599"/>
      <c r="BC14" s="599"/>
      <c r="BD14" s="599"/>
      <c r="BE14" s="599"/>
      <c r="BF14" s="599"/>
    </row>
    <row r="15" spans="1:61" s="102" customFormat="1" ht="20.100000000000001" customHeight="1">
      <c r="A15" s="678"/>
      <c r="B15" s="679" t="s">
        <v>52</v>
      </c>
      <c r="C15" s="2644" t="s">
        <v>1689</v>
      </c>
      <c r="D15" s="2644"/>
      <c r="E15" s="2644"/>
      <c r="F15" s="2644"/>
      <c r="G15" s="2644"/>
      <c r="H15" s="2644"/>
      <c r="I15" s="2644"/>
      <c r="J15" s="2644"/>
      <c r="K15" s="2644"/>
      <c r="L15" s="2644"/>
      <c r="M15" s="2644"/>
      <c r="N15" s="2644"/>
      <c r="O15" s="2644"/>
      <c r="P15" s="2644"/>
      <c r="Q15" s="2644"/>
      <c r="R15" s="2644"/>
      <c r="S15" s="2644"/>
      <c r="T15" s="2644"/>
      <c r="U15" s="2644"/>
      <c r="V15" s="2644"/>
      <c r="W15" s="2644"/>
      <c r="X15" s="2644"/>
      <c r="Y15" s="2644"/>
      <c r="Z15" s="2644"/>
      <c r="AA15" s="2644"/>
      <c r="AB15" s="2644"/>
      <c r="AC15" s="2644"/>
      <c r="AD15" s="2644"/>
      <c r="AE15" s="2644"/>
      <c r="AF15" s="2644"/>
      <c r="AG15" s="2644"/>
      <c r="AH15" s="2644"/>
      <c r="AI15" s="2644"/>
      <c r="AJ15" s="2644"/>
      <c r="AK15" s="680"/>
      <c r="AL15" s="680"/>
      <c r="AM15" s="680"/>
      <c r="AN15" s="680"/>
      <c r="AO15" s="599"/>
      <c r="AP15" s="599"/>
      <c r="AQ15" s="599"/>
      <c r="AR15" s="599"/>
      <c r="AS15" s="599"/>
      <c r="AT15" s="599"/>
      <c r="AU15" s="599"/>
      <c r="AV15" s="599"/>
      <c r="AW15" s="599"/>
      <c r="AX15" s="599"/>
      <c r="AY15" s="599"/>
      <c r="AZ15" s="599"/>
      <c r="BA15" s="599"/>
      <c r="BB15" s="599"/>
      <c r="BC15" s="599"/>
      <c r="BD15" s="599"/>
      <c r="BE15" s="599"/>
      <c r="BF15" s="599"/>
    </row>
    <row r="16" spans="1:61" s="102" customFormat="1" ht="72" customHeight="1">
      <c r="A16" s="678"/>
      <c r="B16" s="679" t="s">
        <v>53</v>
      </c>
      <c r="C16" s="2676" t="s">
        <v>1831</v>
      </c>
      <c r="D16" s="2676"/>
      <c r="E16" s="2676"/>
      <c r="F16" s="2676"/>
      <c r="G16" s="2676"/>
      <c r="H16" s="2676"/>
      <c r="I16" s="2676"/>
      <c r="J16" s="2676"/>
      <c r="K16" s="2676"/>
      <c r="L16" s="2676"/>
      <c r="M16" s="2676"/>
      <c r="N16" s="2676"/>
      <c r="O16" s="2676"/>
      <c r="P16" s="2676"/>
      <c r="Q16" s="2676"/>
      <c r="R16" s="2676"/>
      <c r="S16" s="2676"/>
      <c r="T16" s="2676"/>
      <c r="U16" s="2676"/>
      <c r="V16" s="2676"/>
      <c r="W16" s="2676"/>
      <c r="X16" s="2676"/>
      <c r="Y16" s="2676"/>
      <c r="Z16" s="2676"/>
      <c r="AA16" s="2676"/>
      <c r="AB16" s="2676"/>
      <c r="AC16" s="2676"/>
      <c r="AD16" s="2676"/>
      <c r="AE16" s="2676"/>
      <c r="AF16" s="2676"/>
      <c r="AG16" s="2676"/>
      <c r="AH16" s="2676"/>
      <c r="AI16" s="2676"/>
      <c r="AJ16" s="2676"/>
      <c r="AK16" s="680"/>
      <c r="AL16" s="680"/>
      <c r="AM16" s="680"/>
      <c r="AN16" s="680"/>
      <c r="AO16" s="599"/>
      <c r="AP16" s="599"/>
      <c r="AQ16" s="599"/>
      <c r="AR16" s="599"/>
      <c r="AS16" s="599"/>
      <c r="AT16" s="599"/>
      <c r="AU16" s="599"/>
      <c r="AV16" s="599"/>
      <c r="AW16" s="599"/>
      <c r="AX16" s="599"/>
      <c r="AY16" s="599"/>
      <c r="AZ16" s="599"/>
      <c r="BA16" s="599"/>
      <c r="BB16" s="599"/>
      <c r="BC16" s="599"/>
      <c r="BD16" s="599"/>
      <c r="BE16" s="599"/>
      <c r="BF16" s="599"/>
    </row>
    <row r="17" spans="1:79" s="102" customFormat="1" ht="18.600000000000001" customHeight="1">
      <c r="A17" s="678"/>
      <c r="B17" s="679" t="s">
        <v>54</v>
      </c>
      <c r="C17" s="2650" t="s">
        <v>1690</v>
      </c>
      <c r="D17" s="2650"/>
      <c r="E17" s="2650"/>
      <c r="F17" s="2650"/>
      <c r="G17" s="2650"/>
      <c r="H17" s="2650"/>
      <c r="I17" s="2650"/>
      <c r="J17" s="2650"/>
      <c r="K17" s="2650"/>
      <c r="L17" s="2650"/>
      <c r="M17" s="2650"/>
      <c r="N17" s="2650"/>
      <c r="O17" s="2650"/>
      <c r="P17" s="2650"/>
      <c r="Q17" s="2650"/>
      <c r="R17" s="2650"/>
      <c r="S17" s="2650"/>
      <c r="T17" s="2650"/>
      <c r="U17" s="2650"/>
      <c r="V17" s="2650"/>
      <c r="W17" s="2650"/>
      <c r="X17" s="2650"/>
      <c r="Y17" s="2650"/>
      <c r="Z17" s="2650"/>
      <c r="AA17" s="2650"/>
      <c r="AB17" s="2650"/>
      <c r="AC17" s="2650"/>
      <c r="AD17" s="2650"/>
      <c r="AE17" s="2650"/>
      <c r="AF17" s="2650"/>
      <c r="AG17" s="2650"/>
      <c r="AH17" s="2650"/>
      <c r="AI17" s="2650"/>
      <c r="AJ17" s="2650"/>
      <c r="AK17" s="680"/>
      <c r="AL17" s="680"/>
      <c r="AM17" s="680"/>
      <c r="AN17" s="680"/>
      <c r="AO17" s="599"/>
      <c r="AP17" s="599"/>
      <c r="AQ17" s="599"/>
      <c r="AR17" s="599"/>
      <c r="AS17" s="599"/>
      <c r="AT17" s="599"/>
      <c r="AU17" s="599"/>
      <c r="AV17" s="599"/>
      <c r="AW17" s="599"/>
      <c r="AX17" s="599"/>
      <c r="AY17" s="599"/>
      <c r="AZ17" s="599"/>
      <c r="BA17" s="599"/>
      <c r="BB17" s="599"/>
      <c r="BC17" s="599"/>
      <c r="BD17" s="599"/>
      <c r="BE17" s="599"/>
      <c r="BF17" s="599"/>
    </row>
    <row r="18" spans="1:79" s="102" customFormat="1" ht="30.6" customHeight="1">
      <c r="A18" s="678"/>
      <c r="B18" s="679"/>
      <c r="C18" s="681"/>
      <c r="D18" s="682"/>
      <c r="E18" s="682"/>
      <c r="F18" s="682"/>
      <c r="G18" s="682"/>
      <c r="H18" s="682"/>
      <c r="I18" s="682"/>
      <c r="J18" s="682"/>
      <c r="K18" s="682"/>
      <c r="L18" s="682"/>
      <c r="M18" s="682"/>
      <c r="N18" s="682"/>
      <c r="O18" s="682"/>
      <c r="P18" s="682"/>
      <c r="Q18" s="682"/>
      <c r="R18" s="682"/>
      <c r="S18" s="682"/>
      <c r="T18" s="682"/>
      <c r="U18" s="682"/>
      <c r="V18" s="682"/>
      <c r="W18" s="682"/>
      <c r="X18" s="682"/>
      <c r="Y18" s="682"/>
      <c r="Z18" s="682"/>
      <c r="AA18" s="682"/>
      <c r="AB18" s="682"/>
      <c r="AC18" s="682"/>
      <c r="AD18" s="682"/>
      <c r="AE18" s="682"/>
      <c r="AF18" s="682"/>
      <c r="AG18" s="682"/>
      <c r="AH18" s="682"/>
      <c r="AI18" s="682"/>
      <c r="AJ18" s="682"/>
      <c r="AK18" s="682"/>
      <c r="AL18" s="682"/>
      <c r="AM18" s="682"/>
      <c r="AN18" s="682"/>
      <c r="AO18" s="599"/>
      <c r="AP18" s="599"/>
      <c r="AQ18" s="599"/>
      <c r="AR18" s="599"/>
      <c r="AS18" s="599"/>
      <c r="AT18" s="599"/>
      <c r="AU18" s="599"/>
      <c r="AV18" s="599"/>
      <c r="AW18" s="599"/>
      <c r="AX18" s="599"/>
      <c r="AY18" s="599"/>
      <c r="AZ18" s="599"/>
      <c r="BA18" s="599"/>
      <c r="BB18" s="599"/>
      <c r="BC18" s="599"/>
      <c r="BD18" s="599"/>
      <c r="BE18" s="599"/>
      <c r="BF18" s="599"/>
    </row>
    <row r="19" spans="1:79" s="102" customFormat="1" ht="16.5" customHeight="1">
      <c r="A19" s="599"/>
      <c r="B19" s="683" t="s">
        <v>11393</v>
      </c>
      <c r="C19" s="683"/>
      <c r="D19" s="683"/>
      <c r="E19" s="683"/>
      <c r="F19" s="683"/>
      <c r="G19" s="684"/>
      <c r="H19" s="684"/>
      <c r="I19" s="684"/>
      <c r="J19" s="684"/>
      <c r="K19" s="684"/>
      <c r="L19" s="684"/>
      <c r="M19" s="684"/>
      <c r="N19" s="684"/>
      <c r="O19" s="684"/>
      <c r="P19" s="684"/>
      <c r="Q19" s="599"/>
      <c r="R19" s="599"/>
      <c r="S19" s="599"/>
      <c r="T19" s="599"/>
      <c r="U19" s="599"/>
      <c r="V19" s="599"/>
      <c r="W19" s="599"/>
      <c r="X19" s="599"/>
      <c r="Y19" s="599"/>
      <c r="Z19" s="599"/>
      <c r="AA19" s="599"/>
      <c r="AB19" s="599"/>
      <c r="AC19" s="599"/>
      <c r="AD19" s="599"/>
      <c r="AE19" s="599"/>
      <c r="AF19" s="599"/>
      <c r="AG19" s="599"/>
      <c r="AH19" s="599"/>
      <c r="AI19" s="599"/>
      <c r="AJ19" s="599"/>
      <c r="AK19" s="599"/>
      <c r="AL19" s="599"/>
      <c r="AM19" s="599"/>
      <c r="AN19" s="599"/>
      <c r="AO19" s="599"/>
      <c r="AP19" s="599"/>
      <c r="AQ19" s="599"/>
      <c r="AR19" s="599"/>
      <c r="AS19" s="599"/>
      <c r="AT19" s="599"/>
      <c r="AU19" s="599"/>
      <c r="AV19" s="599"/>
      <c r="AW19" s="599"/>
      <c r="AX19" s="599"/>
      <c r="AY19" s="599"/>
      <c r="AZ19" s="599"/>
      <c r="BA19" s="599"/>
      <c r="BB19" s="599"/>
      <c r="BC19" s="599"/>
      <c r="BD19" s="599"/>
      <c r="BE19" s="599"/>
      <c r="BF19" s="599"/>
    </row>
    <row r="20" spans="1:79" s="102" customFormat="1" ht="16.5" customHeight="1" thickBot="1">
      <c r="A20" s="599"/>
      <c r="B20" s="665" t="s">
        <v>1017</v>
      </c>
      <c r="C20" s="683"/>
      <c r="D20" s="683"/>
      <c r="E20" s="683"/>
      <c r="F20" s="683"/>
      <c r="G20" s="684"/>
      <c r="H20" s="684"/>
      <c r="I20" s="684"/>
      <c r="J20" s="684"/>
      <c r="K20" s="684"/>
      <c r="L20" s="684"/>
      <c r="M20" s="684"/>
      <c r="N20" s="684"/>
      <c r="O20" s="684"/>
      <c r="P20" s="684"/>
      <c r="Q20" s="599"/>
      <c r="R20" s="599"/>
      <c r="S20" s="599"/>
      <c r="T20" s="599"/>
      <c r="U20" s="599"/>
      <c r="V20" s="599"/>
      <c r="W20" s="599"/>
      <c r="X20" s="599"/>
      <c r="Y20" s="599"/>
      <c r="Z20" s="599"/>
      <c r="AA20" s="599"/>
      <c r="AB20" s="599"/>
      <c r="AC20" s="599"/>
      <c r="AD20" s="599"/>
      <c r="AE20" s="599"/>
      <c r="AF20" s="599"/>
      <c r="AG20" s="599"/>
      <c r="AH20" s="599"/>
      <c r="AI20" s="599"/>
      <c r="AJ20" s="599"/>
      <c r="AK20" s="599"/>
      <c r="AL20" s="599"/>
      <c r="AM20" s="599"/>
      <c r="AN20" s="599"/>
      <c r="AO20" s="599"/>
      <c r="AP20" s="599"/>
      <c r="AQ20" s="599"/>
      <c r="AR20" s="599"/>
      <c r="AS20" s="599"/>
      <c r="AT20" s="599"/>
      <c r="AU20" s="599"/>
      <c r="AV20" s="599"/>
      <c r="AW20" s="599"/>
      <c r="AX20" s="599"/>
      <c r="AY20" s="599"/>
      <c r="AZ20" s="599"/>
      <c r="BA20" s="599"/>
      <c r="BB20" s="599"/>
      <c r="BC20" s="599"/>
      <c r="BD20" s="599"/>
      <c r="BE20" s="599"/>
      <c r="BF20" s="599"/>
    </row>
    <row r="21" spans="1:79" s="40" customFormat="1" ht="33" customHeight="1" thickBot="1">
      <c r="A21" s="582"/>
      <c r="B21" s="602"/>
      <c r="C21" s="585" t="s">
        <v>1271</v>
      </c>
      <c r="D21" s="585"/>
      <c r="E21" s="586"/>
      <c r="F21" s="586"/>
      <c r="G21" s="586"/>
      <c r="H21" s="586"/>
      <c r="I21" s="586"/>
      <c r="J21" s="586"/>
      <c r="K21" s="586"/>
      <c r="L21" s="586"/>
      <c r="M21" s="685"/>
      <c r="N21" s="586"/>
      <c r="O21" s="685"/>
      <c r="P21" s="586"/>
      <c r="Q21" s="586"/>
      <c r="R21" s="586"/>
      <c r="S21" s="586"/>
      <c r="T21" s="586"/>
      <c r="U21" s="586"/>
      <c r="V21" s="586"/>
      <c r="W21" s="586"/>
      <c r="X21" s="586"/>
      <c r="Y21" s="586"/>
      <c r="Z21" s="586"/>
      <c r="AA21" s="586"/>
      <c r="AB21" s="586"/>
      <c r="AC21" s="586"/>
      <c r="AD21" s="586"/>
      <c r="AE21" s="586"/>
      <c r="AF21" s="586"/>
      <c r="AG21" s="2677" t="s">
        <v>1837</v>
      </c>
      <c r="AH21" s="2678"/>
      <c r="AI21" s="2678"/>
      <c r="AJ21" s="2678"/>
      <c r="AK21" s="2678"/>
      <c r="AL21" s="2678"/>
      <c r="AM21" s="2678"/>
      <c r="AN21" s="2678"/>
      <c r="AO21" s="2678"/>
      <c r="AP21" s="2678"/>
      <c r="AQ21" s="2678"/>
      <c r="AR21" s="2678"/>
      <c r="AS21" s="2678"/>
      <c r="AT21" s="2678"/>
      <c r="AU21" s="2678"/>
      <c r="AV21" s="2678"/>
      <c r="AW21" s="2678"/>
      <c r="AX21" s="2678"/>
      <c r="AY21" s="586"/>
      <c r="AZ21" s="586"/>
      <c r="BA21" s="586"/>
      <c r="BB21" s="587"/>
      <c r="BC21" s="582"/>
      <c r="BD21" s="582"/>
      <c r="BE21" s="582"/>
      <c r="BF21" s="582"/>
    </row>
    <row r="22" spans="1:79" s="40" customFormat="1" ht="24.95" customHeight="1">
      <c r="A22" s="582"/>
      <c r="B22" s="588"/>
      <c r="C22" s="2660" t="s">
        <v>1691</v>
      </c>
      <c r="D22" s="2661"/>
      <c r="E22" s="2661"/>
      <c r="F22" s="2661"/>
      <c r="G22" s="2661"/>
      <c r="H22" s="2661"/>
      <c r="I22" s="2662"/>
      <c r="J22" s="2666" t="s">
        <v>282</v>
      </c>
      <c r="K22" s="2667"/>
      <c r="L22" s="2667"/>
      <c r="M22" s="2667"/>
      <c r="N22" s="2667"/>
      <c r="O22" s="2667"/>
      <c r="P22" s="2667"/>
      <c r="Q22" s="2667"/>
      <c r="R22" s="2667"/>
      <c r="S22" s="2667"/>
      <c r="T22" s="2667"/>
      <c r="U22" s="2667"/>
      <c r="V22" s="2667"/>
      <c r="W22" s="2667"/>
      <c r="X22" s="2668"/>
      <c r="Y22" s="582"/>
      <c r="Z22" s="582"/>
      <c r="AA22" s="582"/>
      <c r="AB22" s="582"/>
      <c r="AC22" s="582"/>
      <c r="AD22" s="582"/>
      <c r="AE22" s="582"/>
      <c r="AF22" s="582"/>
      <c r="AG22" s="686"/>
      <c r="AH22" s="1689" t="b">
        <v>0</v>
      </c>
      <c r="AI22" s="586" t="s">
        <v>1275</v>
      </c>
      <c r="AJ22" s="586"/>
      <c r="AK22" s="687"/>
      <c r="AL22" s="687"/>
      <c r="AM22" s="687"/>
      <c r="AN22" s="687"/>
      <c r="AO22" s="687"/>
      <c r="AP22" s="688"/>
      <c r="AQ22" s="1689" t="b">
        <v>0</v>
      </c>
      <c r="AR22" s="586" t="s">
        <v>1276</v>
      </c>
      <c r="AS22" s="687"/>
      <c r="AT22" s="687"/>
      <c r="AU22" s="687"/>
      <c r="AV22" s="687"/>
      <c r="AW22" s="687"/>
      <c r="AX22" s="689"/>
      <c r="AY22" s="690"/>
      <c r="AZ22" s="593"/>
      <c r="BA22" s="593"/>
      <c r="BB22" s="691"/>
      <c r="BC22" s="593"/>
      <c r="BD22" s="593"/>
      <c r="BE22" s="593"/>
      <c r="BF22" s="593"/>
      <c r="BG22" s="41"/>
      <c r="BH22" s="41"/>
      <c r="BI22" s="41"/>
      <c r="BJ22" s="41"/>
      <c r="BK22" s="41"/>
      <c r="BL22" s="41"/>
      <c r="BM22" s="41"/>
      <c r="BN22" s="41"/>
      <c r="BO22" s="41"/>
    </row>
    <row r="23" spans="1:79" s="40" customFormat="1" ht="24.95" customHeight="1" thickBot="1">
      <c r="A23" s="582"/>
      <c r="B23" s="588"/>
      <c r="C23" s="2663"/>
      <c r="D23" s="2664"/>
      <c r="E23" s="2664"/>
      <c r="F23" s="2664"/>
      <c r="G23" s="2664"/>
      <c r="H23" s="2664"/>
      <c r="I23" s="2665"/>
      <c r="J23" s="2669" t="s">
        <v>45</v>
      </c>
      <c r="K23" s="2670"/>
      <c r="L23" s="2670"/>
      <c r="M23" s="2670"/>
      <c r="N23" s="2671"/>
      <c r="O23" s="2670" t="s">
        <v>46</v>
      </c>
      <c r="P23" s="2670"/>
      <c r="Q23" s="2670"/>
      <c r="R23" s="2670"/>
      <c r="S23" s="2672"/>
      <c r="T23" s="2673" t="s">
        <v>42</v>
      </c>
      <c r="U23" s="2674"/>
      <c r="V23" s="2674"/>
      <c r="W23" s="2674"/>
      <c r="X23" s="2675"/>
      <c r="Y23" s="582"/>
      <c r="Z23" s="582"/>
      <c r="AA23" s="582"/>
      <c r="AB23" s="582"/>
      <c r="AC23" s="582"/>
      <c r="AD23" s="582"/>
      <c r="AE23" s="582"/>
      <c r="AF23" s="582"/>
      <c r="AG23" s="692"/>
      <c r="AH23" s="1690" t="b">
        <v>0</v>
      </c>
      <c r="AI23" s="596" t="s">
        <v>1277</v>
      </c>
      <c r="AJ23" s="596"/>
      <c r="AK23" s="693"/>
      <c r="AL23" s="693"/>
      <c r="AM23" s="693"/>
      <c r="AN23" s="693"/>
      <c r="AO23" s="693"/>
      <c r="AP23" s="694"/>
      <c r="AQ23" s="1690" t="b">
        <v>1</v>
      </c>
      <c r="AR23" s="596" t="s">
        <v>1278</v>
      </c>
      <c r="AS23" s="693"/>
      <c r="AT23" s="693"/>
      <c r="AU23" s="693"/>
      <c r="AV23" s="693"/>
      <c r="AW23" s="693"/>
      <c r="AX23" s="695"/>
      <c r="AY23" s="690"/>
      <c r="AZ23" s="593"/>
      <c r="BA23" s="593"/>
      <c r="BB23" s="691"/>
      <c r="BC23" s="593"/>
      <c r="BD23" s="593"/>
      <c r="BE23" s="593"/>
      <c r="BF23" s="593"/>
      <c r="BG23" s="41"/>
      <c r="BH23" s="41"/>
      <c r="BI23" s="41"/>
      <c r="BJ23" s="41"/>
      <c r="BK23" s="41"/>
      <c r="BL23" s="41"/>
      <c r="BM23" s="41"/>
      <c r="BN23" s="41"/>
      <c r="BO23" s="41"/>
      <c r="BP23" s="41"/>
      <c r="BQ23" s="41"/>
      <c r="BR23" s="41"/>
      <c r="BS23" s="41"/>
      <c r="BT23" s="41"/>
      <c r="BU23" s="41"/>
      <c r="BV23" s="41"/>
      <c r="BW23" s="41"/>
      <c r="BX23" s="41"/>
      <c r="BY23" s="41"/>
      <c r="BZ23" s="41"/>
      <c r="CA23" s="41"/>
    </row>
    <row r="24" spans="1:79" s="41" customFormat="1" ht="24.95" customHeight="1">
      <c r="A24" s="593"/>
      <c r="B24" s="690"/>
      <c r="C24" s="584"/>
      <c r="D24" s="585"/>
      <c r="E24" s="585" t="s">
        <v>1272</v>
      </c>
      <c r="F24" s="585"/>
      <c r="G24" s="585"/>
      <c r="H24" s="585"/>
      <c r="I24" s="1787"/>
      <c r="J24" s="2630">
        <v>0</v>
      </c>
      <c r="K24" s="2631"/>
      <c r="L24" s="2631"/>
      <c r="M24" s="2631"/>
      <c r="N24" s="2632"/>
      <c r="O24" s="2633">
        <v>0</v>
      </c>
      <c r="P24" s="2631"/>
      <c r="Q24" s="2631"/>
      <c r="R24" s="2631"/>
      <c r="S24" s="2634"/>
      <c r="T24" s="2635">
        <f t="shared" ref="T24" si="0">SUM(J24:S24)</f>
        <v>0</v>
      </c>
      <c r="U24" s="2636"/>
      <c r="V24" s="2636"/>
      <c r="W24" s="2636"/>
      <c r="X24" s="2637"/>
      <c r="Y24" s="593"/>
      <c r="Z24" s="593"/>
      <c r="AA24" s="593"/>
      <c r="AB24" s="593"/>
      <c r="AC24" s="593"/>
      <c r="AD24" s="593"/>
      <c r="AE24" s="593"/>
      <c r="AF24" s="593"/>
      <c r="AG24" s="2658" t="s">
        <v>1692</v>
      </c>
      <c r="AH24" s="2658"/>
      <c r="AI24" s="2658"/>
      <c r="AJ24" s="2658"/>
      <c r="AK24" s="2658"/>
      <c r="AL24" s="2658"/>
      <c r="AM24" s="2658"/>
      <c r="AN24" s="2658"/>
      <c r="AO24" s="2658"/>
      <c r="AP24" s="2658"/>
      <c r="AQ24" s="2658"/>
      <c r="AR24" s="2658"/>
      <c r="AS24" s="2658"/>
      <c r="AT24" s="2658"/>
      <c r="AU24" s="2658"/>
      <c r="AV24" s="2658"/>
      <c r="AW24" s="2658"/>
      <c r="AX24" s="2658"/>
      <c r="AY24" s="680"/>
      <c r="AZ24" s="680"/>
      <c r="BA24" s="680"/>
      <c r="BB24" s="696"/>
      <c r="BC24" s="680"/>
      <c r="BD24" s="680"/>
      <c r="BE24" s="680"/>
      <c r="BF24" s="680"/>
      <c r="BG24" s="121"/>
      <c r="BH24" s="121"/>
      <c r="BI24" s="121"/>
      <c r="BJ24" s="121"/>
      <c r="BK24" s="121"/>
      <c r="BL24" s="121"/>
      <c r="BM24" s="121"/>
      <c r="BN24" s="121"/>
      <c r="BO24" s="121"/>
    </row>
    <row r="25" spans="1:79" s="41" customFormat="1" ht="24.95" customHeight="1">
      <c r="A25" s="593"/>
      <c r="B25" s="690"/>
      <c r="C25" s="1788"/>
      <c r="D25" s="1789"/>
      <c r="E25" s="1789" t="s">
        <v>1273</v>
      </c>
      <c r="F25" s="1789"/>
      <c r="G25" s="1789"/>
      <c r="H25" s="1789"/>
      <c r="I25" s="1790"/>
      <c r="J25" s="2638">
        <v>0</v>
      </c>
      <c r="K25" s="2639"/>
      <c r="L25" s="2639"/>
      <c r="M25" s="2639"/>
      <c r="N25" s="2640"/>
      <c r="O25" s="2641">
        <v>0</v>
      </c>
      <c r="P25" s="2639"/>
      <c r="Q25" s="2639"/>
      <c r="R25" s="2639"/>
      <c r="S25" s="2642"/>
      <c r="T25" s="2635">
        <f t="shared" ref="T25:T26" si="1">SUM(J25:S25)</f>
        <v>0</v>
      </c>
      <c r="U25" s="2636"/>
      <c r="V25" s="2636"/>
      <c r="W25" s="2636"/>
      <c r="X25" s="2637"/>
      <c r="Y25" s="593"/>
      <c r="Z25" s="593"/>
      <c r="AA25" s="593"/>
      <c r="AB25" s="593"/>
      <c r="AC25" s="593"/>
      <c r="AD25" s="593"/>
      <c r="AE25" s="593"/>
      <c r="AF25" s="593"/>
      <c r="AG25" s="2652"/>
      <c r="AH25" s="2652"/>
      <c r="AI25" s="2652"/>
      <c r="AJ25" s="2652"/>
      <c r="AK25" s="2652"/>
      <c r="AL25" s="2652"/>
      <c r="AM25" s="2652"/>
      <c r="AN25" s="2652"/>
      <c r="AO25" s="2652"/>
      <c r="AP25" s="2652"/>
      <c r="AQ25" s="2652"/>
      <c r="AR25" s="2652"/>
      <c r="AS25" s="2652"/>
      <c r="AT25" s="2652"/>
      <c r="AU25" s="2652"/>
      <c r="AV25" s="2652"/>
      <c r="AW25" s="2652"/>
      <c r="AX25" s="2652"/>
      <c r="AY25" s="593"/>
      <c r="AZ25" s="593"/>
      <c r="BA25" s="593"/>
      <c r="BB25" s="691"/>
      <c r="BC25" s="593"/>
      <c r="BD25" s="593"/>
      <c r="BE25" s="593"/>
      <c r="BF25" s="593"/>
      <c r="BP25" s="121"/>
      <c r="BQ25" s="121"/>
      <c r="BR25" s="121"/>
      <c r="BS25" s="121"/>
      <c r="BT25" s="121"/>
      <c r="BU25" s="121"/>
      <c r="BV25" s="121"/>
      <c r="BW25" s="121"/>
      <c r="BX25" s="121"/>
      <c r="BY25" s="121"/>
      <c r="BZ25" s="121"/>
      <c r="CA25" s="121"/>
    </row>
    <row r="26" spans="1:79" s="41" customFormat="1" ht="24.95" customHeight="1" thickBot="1">
      <c r="A26" s="593"/>
      <c r="B26" s="690"/>
      <c r="C26" s="1659"/>
      <c r="D26" s="595"/>
      <c r="E26" s="595" t="s">
        <v>1274</v>
      </c>
      <c r="F26" s="595"/>
      <c r="G26" s="595"/>
      <c r="H26" s="595"/>
      <c r="I26" s="1662"/>
      <c r="J26" s="2621">
        <v>0</v>
      </c>
      <c r="K26" s="2622"/>
      <c r="L26" s="2622"/>
      <c r="M26" s="2622"/>
      <c r="N26" s="2623"/>
      <c r="O26" s="2624">
        <v>0</v>
      </c>
      <c r="P26" s="2622"/>
      <c r="Q26" s="2622"/>
      <c r="R26" s="2622"/>
      <c r="S26" s="2625"/>
      <c r="T26" s="2626">
        <f t="shared" si="1"/>
        <v>0</v>
      </c>
      <c r="U26" s="2627"/>
      <c r="V26" s="2627"/>
      <c r="W26" s="2627"/>
      <c r="X26" s="2628"/>
      <c r="Y26" s="593"/>
      <c r="Z26" s="593"/>
      <c r="AA26" s="593"/>
      <c r="AB26" s="593"/>
      <c r="AC26" s="593"/>
      <c r="AD26" s="593"/>
      <c r="AE26" s="593"/>
      <c r="AF26" s="593"/>
      <c r="AG26" s="2645" t="s">
        <v>1832</v>
      </c>
      <c r="AH26" s="2645"/>
      <c r="AI26" s="2645"/>
      <c r="AJ26" s="2645"/>
      <c r="AK26" s="2645"/>
      <c r="AL26" s="2645"/>
      <c r="AM26" s="2645"/>
      <c r="AN26" s="2645"/>
      <c r="AO26" s="2645"/>
      <c r="AP26" s="2645"/>
      <c r="AQ26" s="2645"/>
      <c r="AR26" s="2645"/>
      <c r="AS26" s="2645"/>
      <c r="AT26" s="2645"/>
      <c r="AU26" s="2645"/>
      <c r="AV26" s="2645"/>
      <c r="AW26" s="2645"/>
      <c r="AX26" s="2645"/>
      <c r="AY26" s="2645"/>
      <c r="AZ26" s="582"/>
      <c r="BA26" s="582"/>
      <c r="BB26" s="592"/>
      <c r="BC26" s="582"/>
      <c r="BD26" s="582"/>
      <c r="BE26" s="582"/>
      <c r="BF26" s="582"/>
      <c r="BG26" s="40"/>
      <c r="BH26" s="40"/>
      <c r="BI26" s="40"/>
      <c r="BJ26" s="40"/>
      <c r="BK26" s="40"/>
      <c r="BL26" s="40"/>
      <c r="BM26" s="40"/>
      <c r="BN26" s="40"/>
      <c r="BO26" s="40"/>
    </row>
    <row r="27" spans="1:79" s="102" customFormat="1" ht="21.95" customHeight="1" thickBot="1">
      <c r="A27" s="599"/>
      <c r="B27" s="697"/>
      <c r="C27" s="679" t="s">
        <v>47</v>
      </c>
      <c r="D27" s="2658" t="s">
        <v>1693</v>
      </c>
      <c r="E27" s="2658"/>
      <c r="F27" s="2658"/>
      <c r="G27" s="2658"/>
      <c r="H27" s="2658"/>
      <c r="I27" s="2658"/>
      <c r="J27" s="2658"/>
      <c r="K27" s="2658"/>
      <c r="L27" s="2658"/>
      <c r="M27" s="2658"/>
      <c r="N27" s="2658"/>
      <c r="O27" s="2658"/>
      <c r="P27" s="2658"/>
      <c r="Q27" s="2658"/>
      <c r="R27" s="2658"/>
      <c r="S27" s="2658"/>
      <c r="T27" s="2658"/>
      <c r="U27" s="2658"/>
      <c r="V27" s="2658"/>
      <c r="W27" s="2658"/>
      <c r="X27" s="2658"/>
      <c r="Y27" s="680"/>
      <c r="Z27" s="680"/>
      <c r="AA27" s="680"/>
      <c r="AB27" s="680"/>
      <c r="AC27" s="680"/>
      <c r="AD27" s="680"/>
      <c r="AE27" s="680"/>
      <c r="AF27" s="680"/>
      <c r="AG27" s="2647" t="s">
        <v>1836</v>
      </c>
      <c r="AH27" s="2648"/>
      <c r="AI27" s="2648"/>
      <c r="AJ27" s="2648"/>
      <c r="AK27" s="2648"/>
      <c r="AL27" s="2648"/>
      <c r="AM27" s="2648"/>
      <c r="AN27" s="2648"/>
      <c r="AO27" s="2648"/>
      <c r="AP27" s="2648"/>
      <c r="AQ27" s="2648"/>
      <c r="AR27" s="2648"/>
      <c r="AS27" s="2648"/>
      <c r="AT27" s="2648"/>
      <c r="AU27" s="2648"/>
      <c r="AV27" s="2648"/>
      <c r="AW27" s="2648"/>
      <c r="AX27" s="2648"/>
      <c r="AY27" s="2648"/>
      <c r="AZ27" s="645"/>
      <c r="BA27" s="645"/>
      <c r="BB27" s="698"/>
      <c r="BC27" s="645"/>
      <c r="BD27" s="582"/>
      <c r="BE27" s="582"/>
      <c r="BF27" s="582"/>
      <c r="BG27" s="40"/>
      <c r="BH27" s="40"/>
      <c r="BI27" s="40"/>
      <c r="BJ27" s="40"/>
      <c r="BK27" s="40"/>
    </row>
    <row r="28" spans="1:79" s="102" customFormat="1" ht="21.6" customHeight="1">
      <c r="A28" s="599"/>
      <c r="B28" s="697"/>
      <c r="C28" s="679"/>
      <c r="D28" s="2652"/>
      <c r="E28" s="2652"/>
      <c r="F28" s="2652"/>
      <c r="G28" s="2652"/>
      <c r="H28" s="2652"/>
      <c r="I28" s="2652"/>
      <c r="J28" s="2652"/>
      <c r="K28" s="2652"/>
      <c r="L28" s="2652"/>
      <c r="M28" s="2652"/>
      <c r="N28" s="2652"/>
      <c r="O28" s="2652"/>
      <c r="P28" s="2652"/>
      <c r="Q28" s="2652"/>
      <c r="R28" s="2652"/>
      <c r="S28" s="2652"/>
      <c r="T28" s="2652"/>
      <c r="U28" s="2652"/>
      <c r="V28" s="2652"/>
      <c r="W28" s="2652"/>
      <c r="X28" s="2652"/>
      <c r="Y28" s="680"/>
      <c r="Z28" s="680"/>
      <c r="AA28" s="680"/>
      <c r="AB28" s="680"/>
      <c r="AC28" s="680"/>
      <c r="AD28" s="680"/>
      <c r="AE28" s="680"/>
      <c r="AF28" s="680"/>
      <c r="AG28" s="699"/>
      <c r="AH28" s="1691" t="b">
        <v>0</v>
      </c>
      <c r="AI28" s="2659" t="s">
        <v>1279</v>
      </c>
      <c r="AJ28" s="2659"/>
      <c r="AK28" s="2659"/>
      <c r="AL28" s="2659"/>
      <c r="AM28" s="2659"/>
      <c r="AN28" s="2659"/>
      <c r="AO28" s="2659"/>
      <c r="AP28" s="1693" t="b">
        <v>0</v>
      </c>
      <c r="AQ28" s="586" t="s">
        <v>1281</v>
      </c>
      <c r="AR28" s="586"/>
      <c r="AS28" s="586"/>
      <c r="AT28" s="586"/>
      <c r="AU28" s="587"/>
      <c r="AV28" s="582"/>
      <c r="AW28" s="582"/>
      <c r="AX28" s="645"/>
      <c r="AY28" s="645"/>
      <c r="AZ28" s="645"/>
      <c r="BA28" s="645"/>
      <c r="BB28" s="698"/>
      <c r="BC28" s="645"/>
      <c r="BD28" s="582"/>
      <c r="BE28" s="582"/>
      <c r="BF28" s="582"/>
      <c r="BG28" s="40"/>
      <c r="BH28" s="40"/>
      <c r="BI28" s="40"/>
      <c r="BJ28" s="40"/>
      <c r="BK28" s="40"/>
    </row>
    <row r="29" spans="1:79" s="102" customFormat="1" ht="30.95" customHeight="1">
      <c r="A29" s="599"/>
      <c r="B29" s="697"/>
      <c r="C29" s="679" t="s">
        <v>48</v>
      </c>
      <c r="D29" s="2652" t="s">
        <v>1814</v>
      </c>
      <c r="E29" s="2652"/>
      <c r="F29" s="2652"/>
      <c r="G29" s="2652"/>
      <c r="H29" s="2652"/>
      <c r="I29" s="2652"/>
      <c r="J29" s="2652"/>
      <c r="K29" s="2652"/>
      <c r="L29" s="2652"/>
      <c r="M29" s="2652"/>
      <c r="N29" s="2652"/>
      <c r="O29" s="2652"/>
      <c r="P29" s="2652"/>
      <c r="Q29" s="2652"/>
      <c r="R29" s="2652"/>
      <c r="S29" s="2652"/>
      <c r="T29" s="2652"/>
      <c r="U29" s="2652"/>
      <c r="V29" s="2652"/>
      <c r="W29" s="2652"/>
      <c r="X29" s="2652"/>
      <c r="Y29" s="680"/>
      <c r="Z29" s="680"/>
      <c r="AA29" s="680"/>
      <c r="AB29" s="680"/>
      <c r="AC29" s="680"/>
      <c r="AD29" s="680"/>
      <c r="AE29" s="680"/>
      <c r="AF29" s="680"/>
      <c r="AG29" s="700"/>
      <c r="AH29" s="1692" t="b">
        <v>0</v>
      </c>
      <c r="AI29" s="2643" t="s">
        <v>1280</v>
      </c>
      <c r="AJ29" s="2643"/>
      <c r="AK29" s="2643"/>
      <c r="AL29" s="2643"/>
      <c r="AM29" s="2643"/>
      <c r="AN29" s="2643"/>
      <c r="AO29" s="701"/>
      <c r="AP29" s="1694" t="b">
        <v>0</v>
      </c>
      <c r="AQ29" s="2643" t="s">
        <v>1283</v>
      </c>
      <c r="AR29" s="2643"/>
      <c r="AS29" s="2643"/>
      <c r="AT29" s="635"/>
      <c r="AU29" s="702"/>
      <c r="AV29" s="635"/>
      <c r="AW29" s="635"/>
      <c r="AX29" s="645"/>
      <c r="AY29" s="645"/>
      <c r="AZ29" s="645"/>
      <c r="BA29" s="645"/>
      <c r="BB29" s="703"/>
      <c r="BC29" s="582"/>
      <c r="BD29" s="2613"/>
      <c r="BE29" s="582"/>
      <c r="BF29" s="582"/>
      <c r="BG29" s="40"/>
      <c r="BH29" s="40"/>
      <c r="BI29" s="40"/>
      <c r="BJ29" s="40"/>
      <c r="BK29" s="40"/>
    </row>
    <row r="30" spans="1:79" s="102" customFormat="1" ht="17.100000000000001" customHeight="1">
      <c r="A30" s="599"/>
      <c r="B30" s="697"/>
      <c r="C30" s="679" t="s">
        <v>49</v>
      </c>
      <c r="D30" s="2650" t="s">
        <v>1653</v>
      </c>
      <c r="E30" s="2650"/>
      <c r="F30" s="2650"/>
      <c r="G30" s="2650"/>
      <c r="H30" s="2650"/>
      <c r="I30" s="2650"/>
      <c r="J30" s="2650"/>
      <c r="K30" s="2650"/>
      <c r="L30" s="2650"/>
      <c r="M30" s="2650"/>
      <c r="N30" s="2650"/>
      <c r="O30" s="2650"/>
      <c r="P30" s="2650"/>
      <c r="Q30" s="2650"/>
      <c r="R30" s="2650"/>
      <c r="S30" s="2650"/>
      <c r="T30" s="2650"/>
      <c r="U30" s="2650"/>
      <c r="V30" s="2650"/>
      <c r="W30" s="2650"/>
      <c r="X30" s="2650"/>
      <c r="Y30" s="680"/>
      <c r="Z30" s="680"/>
      <c r="AA30" s="680"/>
      <c r="AB30" s="680"/>
      <c r="AC30" s="680"/>
      <c r="AD30" s="680"/>
      <c r="AE30" s="680"/>
      <c r="AF30" s="680"/>
      <c r="AG30" s="700"/>
      <c r="AH30" s="1692" t="b">
        <v>0</v>
      </c>
      <c r="AI30" s="2646" t="s">
        <v>1282</v>
      </c>
      <c r="AJ30" s="2646"/>
      <c r="AK30" s="704"/>
      <c r="AL30" s="704"/>
      <c r="AM30" s="704"/>
      <c r="AN30" s="704"/>
      <c r="AO30" s="704"/>
      <c r="AP30" s="1694" t="b">
        <v>0</v>
      </c>
      <c r="AQ30" s="2613" t="s">
        <v>1021</v>
      </c>
      <c r="AR30" s="2613"/>
      <c r="AS30" s="2613"/>
      <c r="AT30" s="2613"/>
      <c r="AU30" s="698"/>
      <c r="AV30" s="599"/>
      <c r="AW30" s="582"/>
      <c r="AX30" s="582"/>
      <c r="AY30" s="582"/>
      <c r="AZ30" s="582"/>
      <c r="BA30" s="582"/>
      <c r="BB30" s="705"/>
      <c r="BC30" s="599"/>
      <c r="BD30" s="2613"/>
      <c r="BE30" s="599"/>
      <c r="BF30" s="599"/>
    </row>
    <row r="31" spans="1:79" s="102" customFormat="1" ht="5.0999999999999996" customHeight="1">
      <c r="A31" s="599"/>
      <c r="B31" s="697"/>
      <c r="C31" s="679"/>
      <c r="D31" s="2650"/>
      <c r="E31" s="2650"/>
      <c r="F31" s="2650"/>
      <c r="G31" s="2650"/>
      <c r="H31" s="2650"/>
      <c r="I31" s="2650"/>
      <c r="J31" s="2650"/>
      <c r="K31" s="2650"/>
      <c r="L31" s="2650"/>
      <c r="M31" s="2650"/>
      <c r="N31" s="2650"/>
      <c r="O31" s="2650"/>
      <c r="P31" s="2650"/>
      <c r="Q31" s="2650"/>
      <c r="R31" s="2650"/>
      <c r="S31" s="2650"/>
      <c r="T31" s="2650"/>
      <c r="U31" s="2650"/>
      <c r="V31" s="2650"/>
      <c r="W31" s="2650"/>
      <c r="X31" s="2650"/>
      <c r="Y31" s="680"/>
      <c r="Z31" s="680"/>
      <c r="AA31" s="680"/>
      <c r="AB31" s="680"/>
      <c r="AC31" s="680"/>
      <c r="AD31" s="680"/>
      <c r="AE31" s="680"/>
      <c r="AF31" s="680"/>
      <c r="AG31" s="700"/>
      <c r="AH31" s="706"/>
      <c r="AI31" s="704"/>
      <c r="AJ31" s="704"/>
      <c r="AK31" s="704"/>
      <c r="AL31" s="704"/>
      <c r="AM31" s="704"/>
      <c r="AN31" s="704"/>
      <c r="AO31" s="704"/>
      <c r="AP31" s="706"/>
      <c r="AQ31" s="645"/>
      <c r="AR31" s="645"/>
      <c r="AS31" s="645"/>
      <c r="AT31" s="645"/>
      <c r="AU31" s="698"/>
      <c r="AV31" s="599"/>
      <c r="AW31" s="599"/>
      <c r="AX31" s="599"/>
      <c r="AY31" s="599"/>
      <c r="AZ31" s="599"/>
      <c r="BA31" s="599"/>
      <c r="BB31" s="592"/>
      <c r="BC31" s="582"/>
      <c r="BD31" s="599"/>
      <c r="BE31" s="599"/>
      <c r="BF31" s="599"/>
    </row>
    <row r="32" spans="1:79" s="102" customFormat="1" ht="18.95" customHeight="1">
      <c r="A32" s="599"/>
      <c r="B32" s="697"/>
      <c r="C32" s="679" t="s">
        <v>50</v>
      </c>
      <c r="D32" s="2652" t="s">
        <v>1654</v>
      </c>
      <c r="E32" s="2652"/>
      <c r="F32" s="2652"/>
      <c r="G32" s="2652"/>
      <c r="H32" s="2652"/>
      <c r="I32" s="2652"/>
      <c r="J32" s="2652"/>
      <c r="K32" s="2652"/>
      <c r="L32" s="2652"/>
      <c r="M32" s="2652"/>
      <c r="N32" s="2652"/>
      <c r="O32" s="2652"/>
      <c r="P32" s="2652"/>
      <c r="Q32" s="2652"/>
      <c r="R32" s="2652"/>
      <c r="S32" s="2652"/>
      <c r="T32" s="2652"/>
      <c r="U32" s="2652"/>
      <c r="V32" s="2652"/>
      <c r="W32" s="2652"/>
      <c r="X32" s="2652"/>
      <c r="Y32" s="680"/>
      <c r="Z32" s="680"/>
      <c r="AA32" s="680"/>
      <c r="AB32" s="680"/>
      <c r="AC32" s="680"/>
      <c r="AD32" s="680"/>
      <c r="AE32" s="680"/>
      <c r="AF32" s="680"/>
      <c r="AG32" s="700"/>
      <c r="AH32" s="1692" t="b">
        <v>0</v>
      </c>
      <c r="AI32" s="2643" t="s">
        <v>1694</v>
      </c>
      <c r="AJ32" s="2643"/>
      <c r="AK32" s="2643"/>
      <c r="AL32" s="701"/>
      <c r="AM32" s="701"/>
      <c r="AN32" s="701"/>
      <c r="AO32" s="701"/>
      <c r="AP32" s="707"/>
      <c r="AQ32" s="2629"/>
      <c r="AR32" s="2629"/>
      <c r="AS32" s="2629"/>
      <c r="AT32" s="2629"/>
      <c r="AU32" s="592"/>
      <c r="AV32" s="2653"/>
      <c r="AW32" s="2654"/>
      <c r="AX32" s="2654"/>
      <c r="AY32" s="2654"/>
      <c r="AZ32" s="2654"/>
      <c r="BA32" s="2654"/>
      <c r="BB32" s="592"/>
      <c r="BC32" s="582"/>
      <c r="BD32" s="599"/>
      <c r="BE32" s="599"/>
      <c r="BF32" s="599"/>
    </row>
    <row r="33" spans="1:74" s="102" customFormat="1" ht="15.95" customHeight="1" thickBot="1">
      <c r="A33" s="599"/>
      <c r="B33" s="697"/>
      <c r="C33" s="679" t="s">
        <v>51</v>
      </c>
      <c r="D33" s="2650" t="s">
        <v>1655</v>
      </c>
      <c r="E33" s="2650"/>
      <c r="F33" s="2650"/>
      <c r="G33" s="2650"/>
      <c r="H33" s="2650"/>
      <c r="I33" s="2650"/>
      <c r="J33" s="2650"/>
      <c r="K33" s="2650"/>
      <c r="L33" s="2650"/>
      <c r="M33" s="2650"/>
      <c r="N33" s="2650"/>
      <c r="O33" s="2650"/>
      <c r="P33" s="2650"/>
      <c r="Q33" s="2650"/>
      <c r="R33" s="2650"/>
      <c r="S33" s="2650"/>
      <c r="T33" s="2650"/>
      <c r="U33" s="2650"/>
      <c r="V33" s="2650"/>
      <c r="W33" s="2650"/>
      <c r="X33" s="2650"/>
      <c r="Y33" s="680"/>
      <c r="Z33" s="680"/>
      <c r="AA33" s="680"/>
      <c r="AB33" s="680"/>
      <c r="AC33" s="680"/>
      <c r="AD33" s="680"/>
      <c r="AE33" s="680"/>
      <c r="AF33" s="680"/>
      <c r="AG33" s="708"/>
      <c r="AH33" s="709"/>
      <c r="AI33" s="709"/>
      <c r="AJ33" s="709"/>
      <c r="AK33" s="709"/>
      <c r="AL33" s="709"/>
      <c r="AM33" s="709"/>
      <c r="AN33" s="709"/>
      <c r="AO33" s="709"/>
      <c r="AP33" s="709"/>
      <c r="AQ33" s="1717" t="str">
        <f>IF(AND(need_more_otherspec=FALSE,need_more_others&gt;0),"Please check Others if you have entries.", IF(AND(need_more_otherspec=TRUE,ISBLANK(need_more_others)), "Please specify.", ""))</f>
        <v/>
      </c>
      <c r="AR33" s="709"/>
      <c r="AS33" s="709"/>
      <c r="AT33" s="709"/>
      <c r="AU33" s="710"/>
      <c r="AV33" s="599"/>
      <c r="AW33" s="599"/>
      <c r="AX33" s="599"/>
      <c r="AY33" s="599"/>
      <c r="AZ33" s="599"/>
      <c r="BA33" s="599"/>
      <c r="BB33" s="705"/>
      <c r="BC33" s="599"/>
      <c r="BD33" s="599"/>
      <c r="BE33" s="599"/>
      <c r="BF33" s="599"/>
    </row>
    <row r="34" spans="1:74" s="40" customFormat="1" ht="12.2" customHeight="1" thickBot="1">
      <c r="A34" s="582"/>
      <c r="B34" s="594"/>
      <c r="C34" s="596"/>
      <c r="D34" s="2651"/>
      <c r="E34" s="2651"/>
      <c r="F34" s="2651"/>
      <c r="G34" s="2651"/>
      <c r="H34" s="2651"/>
      <c r="I34" s="2651"/>
      <c r="J34" s="2651"/>
      <c r="K34" s="2651"/>
      <c r="L34" s="2651"/>
      <c r="M34" s="2651"/>
      <c r="N34" s="2651"/>
      <c r="O34" s="2651"/>
      <c r="P34" s="2651"/>
      <c r="Q34" s="2651"/>
      <c r="R34" s="2651"/>
      <c r="S34" s="2651"/>
      <c r="T34" s="2651"/>
      <c r="U34" s="2651"/>
      <c r="V34" s="2651"/>
      <c r="W34" s="2651"/>
      <c r="X34" s="2651"/>
      <c r="Y34" s="596"/>
      <c r="Z34" s="596"/>
      <c r="AA34" s="596"/>
      <c r="AB34" s="596"/>
      <c r="AC34" s="596"/>
      <c r="AD34" s="596"/>
      <c r="AE34" s="596"/>
      <c r="AF34" s="596"/>
      <c r="AG34" s="596"/>
      <c r="AH34" s="596"/>
      <c r="AI34" s="596"/>
      <c r="AJ34" s="596"/>
      <c r="AK34" s="596"/>
      <c r="AL34" s="596"/>
      <c r="AM34" s="596"/>
      <c r="AN34" s="596"/>
      <c r="AO34" s="596"/>
      <c r="AP34" s="596"/>
      <c r="AQ34" s="596"/>
      <c r="AR34" s="596"/>
      <c r="AS34" s="596"/>
      <c r="AT34" s="596"/>
      <c r="AU34" s="596"/>
      <c r="AV34" s="596"/>
      <c r="AW34" s="596"/>
      <c r="AX34" s="596"/>
      <c r="AY34" s="596"/>
      <c r="AZ34" s="596"/>
      <c r="BA34" s="596"/>
      <c r="BB34" s="597"/>
      <c r="BC34" s="582"/>
      <c r="BD34" s="582"/>
      <c r="BE34" s="582"/>
      <c r="BF34" s="582"/>
    </row>
    <row r="35" spans="1:74" ht="30" customHeight="1">
      <c r="A35" s="260"/>
      <c r="B35" s="260"/>
      <c r="C35" s="239"/>
      <c r="D35" s="260"/>
      <c r="E35" s="260"/>
      <c r="F35" s="260"/>
      <c r="G35" s="260"/>
      <c r="H35" s="260"/>
      <c r="I35" s="260"/>
      <c r="J35" s="260"/>
      <c r="K35" s="260"/>
      <c r="L35" s="260"/>
      <c r="M35" s="260"/>
      <c r="N35" s="260"/>
      <c r="O35" s="260"/>
      <c r="P35" s="260"/>
      <c r="Q35" s="260"/>
      <c r="R35" s="260"/>
      <c r="S35" s="260"/>
      <c r="T35" s="260"/>
      <c r="U35" s="260"/>
      <c r="V35" s="260"/>
      <c r="W35" s="260"/>
      <c r="X35" s="260"/>
      <c r="Y35" s="260"/>
      <c r="Z35" s="260"/>
      <c r="AA35" s="260"/>
      <c r="AB35" s="260"/>
      <c r="AC35" s="260"/>
      <c r="AD35" s="260"/>
      <c r="AE35" s="260"/>
      <c r="AF35" s="260"/>
      <c r="AG35" s="260"/>
      <c r="AH35" s="260"/>
      <c r="AI35" s="260"/>
      <c r="AJ35" s="260"/>
      <c r="AK35" s="260"/>
      <c r="AL35" s="260"/>
      <c r="AM35" s="260"/>
      <c r="AN35" s="260"/>
      <c r="AO35" s="260"/>
      <c r="AP35" s="260"/>
      <c r="AQ35" s="260"/>
      <c r="AR35" s="260"/>
      <c r="AS35" s="260"/>
      <c r="AT35" s="260"/>
      <c r="AU35" s="260"/>
      <c r="AV35" s="260"/>
      <c r="AW35" s="260"/>
      <c r="AX35" s="260"/>
      <c r="AY35" s="260"/>
      <c r="AZ35" s="260"/>
      <c r="BA35" s="260"/>
      <c r="BB35" s="260"/>
      <c r="BC35" s="260"/>
      <c r="BD35" s="260"/>
      <c r="BE35" s="260"/>
      <c r="BF35" s="260"/>
    </row>
    <row r="36" spans="1:74">
      <c r="A36" s="260"/>
      <c r="B36" s="223" t="s">
        <v>32</v>
      </c>
      <c r="C36" s="260"/>
      <c r="D36" s="260"/>
      <c r="E36" s="260"/>
      <c r="F36" s="260"/>
      <c r="G36" s="260"/>
      <c r="H36" s="260"/>
      <c r="I36" s="260"/>
      <c r="J36" s="260"/>
      <c r="K36" s="260"/>
      <c r="L36" s="260"/>
      <c r="M36" s="260"/>
      <c r="N36" s="260"/>
      <c r="O36" s="260"/>
      <c r="P36" s="260"/>
      <c r="Q36" s="260"/>
      <c r="R36" s="260"/>
      <c r="S36" s="260"/>
      <c r="T36" s="260"/>
      <c r="U36" s="260"/>
      <c r="V36" s="223" t="s">
        <v>5554</v>
      </c>
      <c r="W36" s="263"/>
      <c r="X36" s="263"/>
      <c r="Y36" s="263"/>
      <c r="Z36" s="263"/>
      <c r="AA36" s="263"/>
      <c r="AB36" s="263"/>
      <c r="AC36" s="263"/>
      <c r="AD36" s="263"/>
      <c r="AE36" s="263"/>
      <c r="AF36" s="263"/>
      <c r="AG36" s="263"/>
      <c r="AH36" s="263"/>
      <c r="AI36" s="263"/>
      <c r="AJ36" s="260"/>
      <c r="AK36" s="260"/>
      <c r="AL36" s="260"/>
      <c r="AM36" s="260"/>
      <c r="AN36" s="260"/>
      <c r="AO36" s="260"/>
      <c r="AP36" s="223" t="s">
        <v>33</v>
      </c>
      <c r="AQ36" s="260"/>
      <c r="AR36" s="260"/>
      <c r="AS36" s="260"/>
      <c r="AT36" s="260"/>
      <c r="AU36" s="260"/>
      <c r="AV36" s="260"/>
      <c r="AW36" s="260"/>
      <c r="AX36" s="260"/>
      <c r="AY36" s="260"/>
      <c r="AZ36" s="260"/>
      <c r="BA36" s="260"/>
      <c r="BB36" s="260"/>
      <c r="BC36" s="260"/>
      <c r="BD36" s="260"/>
      <c r="BE36" s="260"/>
      <c r="BF36" s="260"/>
    </row>
    <row r="37" spans="1:74" ht="21.75" customHeight="1">
      <c r="A37" s="260"/>
      <c r="B37" s="223" t="s">
        <v>73</v>
      </c>
      <c r="C37" s="260"/>
      <c r="D37" s="260"/>
      <c r="E37" s="260"/>
      <c r="F37" s="2001" t="str">
        <f>activesheet!E21</f>
        <v>MELCHESIEDICK Q. BOLANIO / March 17, 2023</v>
      </c>
      <c r="G37" s="2001"/>
      <c r="H37" s="2001"/>
      <c r="I37" s="2001"/>
      <c r="J37" s="2001"/>
      <c r="K37" s="2001"/>
      <c r="L37" s="2001"/>
      <c r="M37" s="2001"/>
      <c r="N37" s="2001"/>
      <c r="O37" s="2001"/>
      <c r="P37" s="2001"/>
      <c r="Q37" s="2001"/>
      <c r="R37" s="260"/>
      <c r="S37" s="260"/>
      <c r="T37" s="260"/>
      <c r="U37" s="260"/>
      <c r="V37" s="2649" t="s">
        <v>11911</v>
      </c>
      <c r="W37" s="2649"/>
      <c r="X37" s="2649"/>
      <c r="Y37" s="2649"/>
      <c r="Z37" s="2649"/>
      <c r="AA37" s="2649"/>
      <c r="AB37" s="2649"/>
      <c r="AC37" s="2649"/>
      <c r="AD37" s="2649"/>
      <c r="AE37" s="2649"/>
      <c r="AF37" s="2649"/>
      <c r="AG37" s="2649"/>
      <c r="AH37" s="2649"/>
      <c r="AI37" s="2649"/>
      <c r="AJ37" s="2649"/>
      <c r="AK37" s="2649"/>
      <c r="AL37" s="260"/>
      <c r="AM37" s="260"/>
      <c r="AN37" s="260"/>
      <c r="AO37" s="260"/>
      <c r="AP37" s="1940" t="str">
        <f>activesheet!E25</f>
        <v>MICHAEL T. JAMIS / March 17, 2023</v>
      </c>
      <c r="AQ37" s="1940"/>
      <c r="AR37" s="1940"/>
      <c r="AS37" s="1940"/>
      <c r="AT37" s="1940"/>
      <c r="AU37" s="1940"/>
      <c r="AV37" s="1940"/>
      <c r="AW37" s="1940"/>
      <c r="AX37" s="1940"/>
      <c r="AY37" s="1940"/>
      <c r="AZ37" s="1940"/>
      <c r="BA37" s="1940"/>
      <c r="BB37" s="1940"/>
      <c r="BC37" s="223"/>
      <c r="BD37" s="223"/>
      <c r="BE37" s="223"/>
      <c r="BF37" s="260"/>
    </row>
    <row r="38" spans="1:74" s="39" customFormat="1" ht="15.75" customHeight="1">
      <c r="A38" s="280"/>
      <c r="B38" s="228"/>
      <c r="C38" s="280"/>
      <c r="D38" s="280"/>
      <c r="E38" s="280"/>
      <c r="F38" s="1811" t="s">
        <v>37</v>
      </c>
      <c r="G38" s="1811"/>
      <c r="H38" s="1811"/>
      <c r="I38" s="1811"/>
      <c r="J38" s="1811"/>
      <c r="K38" s="1811"/>
      <c r="L38" s="1811"/>
      <c r="M38" s="1811"/>
      <c r="N38" s="1811"/>
      <c r="O38" s="1811"/>
      <c r="P38" s="1811"/>
      <c r="Q38" s="1811"/>
      <c r="R38" s="281"/>
      <c r="S38" s="281"/>
      <c r="T38" s="281"/>
      <c r="U38" s="281"/>
      <c r="V38" s="1811" t="s">
        <v>37</v>
      </c>
      <c r="W38" s="1811"/>
      <c r="X38" s="1811"/>
      <c r="Y38" s="1811"/>
      <c r="Z38" s="1811"/>
      <c r="AA38" s="1811"/>
      <c r="AB38" s="1811"/>
      <c r="AC38" s="1811"/>
      <c r="AD38" s="1811"/>
      <c r="AE38" s="1811"/>
      <c r="AF38" s="1811"/>
      <c r="AG38" s="1811"/>
      <c r="AH38" s="1811"/>
      <c r="AI38" s="1811"/>
      <c r="AJ38" s="1811"/>
      <c r="AK38" s="1811"/>
      <c r="AL38" s="281"/>
      <c r="AM38" s="281"/>
      <c r="AN38" s="281"/>
      <c r="AO38" s="281"/>
      <c r="AP38" s="1941"/>
      <c r="AQ38" s="1941"/>
      <c r="AR38" s="1941"/>
      <c r="AS38" s="1941"/>
      <c r="AT38" s="1941"/>
      <c r="AU38" s="1941"/>
      <c r="AV38" s="1941"/>
      <c r="AW38" s="1941"/>
      <c r="AX38" s="1941"/>
      <c r="AY38" s="1941"/>
      <c r="AZ38" s="1941"/>
      <c r="BA38" s="1941"/>
      <c r="BB38" s="1941"/>
      <c r="BC38" s="223"/>
      <c r="BD38" s="223"/>
      <c r="BE38" s="223"/>
      <c r="BF38" s="282"/>
      <c r="BG38" s="103"/>
      <c r="BH38" s="103"/>
      <c r="BI38" s="103"/>
      <c r="BJ38" s="103"/>
      <c r="BK38" s="103"/>
      <c r="BL38" s="103"/>
      <c r="BM38" s="103"/>
      <c r="BN38" s="103"/>
      <c r="BO38" s="103"/>
      <c r="BP38" s="103"/>
      <c r="BQ38" s="103"/>
      <c r="BR38" s="103"/>
      <c r="BS38" s="103"/>
      <c r="BT38" s="103"/>
      <c r="BU38" s="103"/>
      <c r="BV38" s="103"/>
    </row>
    <row r="39" spans="1:74" ht="21.75" customHeight="1">
      <c r="A39" s="260"/>
      <c r="B39" s="223" t="s">
        <v>240</v>
      </c>
      <c r="C39" s="260"/>
      <c r="D39" s="260"/>
      <c r="E39" s="260"/>
      <c r="F39" s="2001" t="str">
        <f>activesheet!E22</f>
        <v>SECONDARY SCHOOL PRINCIPAL IV</v>
      </c>
      <c r="G39" s="2001"/>
      <c r="H39" s="2001"/>
      <c r="I39" s="2001"/>
      <c r="J39" s="2001"/>
      <c r="K39" s="2001"/>
      <c r="L39" s="2001"/>
      <c r="M39" s="2001"/>
      <c r="N39" s="2001"/>
      <c r="O39" s="2001"/>
      <c r="P39" s="2001"/>
      <c r="Q39" s="2001"/>
      <c r="R39" s="260"/>
      <c r="S39" s="260"/>
      <c r="T39" s="260"/>
      <c r="U39" s="260"/>
      <c r="V39" s="223" t="s">
        <v>240</v>
      </c>
      <c r="W39" s="260"/>
      <c r="X39" s="260"/>
      <c r="Y39" s="260"/>
      <c r="Z39" s="2649" t="s">
        <v>11897</v>
      </c>
      <c r="AA39" s="2649"/>
      <c r="AB39" s="2649"/>
      <c r="AC39" s="2649"/>
      <c r="AD39" s="2649"/>
      <c r="AE39" s="2649"/>
      <c r="AF39" s="2649"/>
      <c r="AG39" s="2649"/>
      <c r="AH39" s="2649"/>
      <c r="AI39" s="2649"/>
      <c r="AJ39" s="2649"/>
      <c r="AK39" s="2649"/>
      <c r="AL39" s="260"/>
      <c r="AM39" s="260"/>
      <c r="AN39" s="260"/>
      <c r="AO39" s="260"/>
      <c r="AP39" s="1811" t="s">
        <v>37</v>
      </c>
      <c r="AQ39" s="1811"/>
      <c r="AR39" s="1811"/>
      <c r="AS39" s="1811"/>
      <c r="AT39" s="1811"/>
      <c r="AU39" s="1811"/>
      <c r="AV39" s="1811"/>
      <c r="AW39" s="1811"/>
      <c r="AX39" s="1811"/>
      <c r="AY39" s="1811"/>
      <c r="AZ39" s="1811"/>
      <c r="BA39" s="1811"/>
      <c r="BB39" s="1811"/>
      <c r="BC39" s="358"/>
      <c r="BD39" s="358"/>
      <c r="BE39" s="358"/>
      <c r="BF39" s="260"/>
    </row>
    <row r="40" spans="1:74">
      <c r="A40" s="260"/>
      <c r="B40" s="260"/>
      <c r="C40" s="260"/>
      <c r="D40" s="260"/>
      <c r="E40" s="260"/>
      <c r="F40" s="260"/>
      <c r="G40" s="260"/>
      <c r="H40" s="260"/>
      <c r="I40" s="260"/>
      <c r="J40" s="260"/>
      <c r="K40" s="260"/>
      <c r="L40" s="260"/>
      <c r="M40" s="260"/>
      <c r="N40" s="260"/>
      <c r="O40" s="260"/>
      <c r="P40" s="260"/>
      <c r="Q40" s="260"/>
      <c r="R40" s="260"/>
      <c r="S40" s="260"/>
      <c r="T40" s="260"/>
      <c r="U40" s="260"/>
      <c r="V40" s="260"/>
      <c r="W40" s="260"/>
      <c r="X40" s="260"/>
      <c r="Y40" s="260"/>
      <c r="Z40" s="260"/>
      <c r="AA40" s="260"/>
      <c r="AB40" s="260"/>
      <c r="AC40" s="260"/>
      <c r="AD40" s="260"/>
      <c r="AE40" s="260"/>
      <c r="AF40" s="260"/>
      <c r="AG40" s="260"/>
      <c r="AH40" s="260"/>
      <c r="AI40" s="260"/>
      <c r="AJ40" s="260"/>
      <c r="AK40" s="260"/>
      <c r="AL40" s="260"/>
      <c r="AM40" s="260"/>
      <c r="AN40" s="260"/>
      <c r="AO40" s="260"/>
      <c r="AP40" s="260"/>
      <c r="AQ40" s="260"/>
      <c r="AR40" s="260"/>
      <c r="AS40" s="260"/>
      <c r="AT40" s="260"/>
      <c r="AU40" s="260"/>
      <c r="AV40" s="260"/>
      <c r="AW40" s="260"/>
      <c r="AX40" s="260"/>
      <c r="AY40" s="260"/>
      <c r="AZ40" s="260"/>
      <c r="BA40" s="260"/>
      <c r="BB40" s="260"/>
      <c r="BC40" s="260"/>
      <c r="BD40" s="260"/>
      <c r="BE40" s="260"/>
      <c r="BF40" s="260"/>
    </row>
    <row r="41" spans="1:74">
      <c r="A41" s="260"/>
      <c r="B41" s="260"/>
      <c r="C41" s="260"/>
      <c r="D41" s="260"/>
      <c r="E41" s="260"/>
      <c r="F41" s="260"/>
      <c r="G41" s="260"/>
      <c r="H41" s="260"/>
      <c r="I41" s="260"/>
      <c r="J41" s="260"/>
      <c r="K41" s="260"/>
      <c r="L41" s="260"/>
      <c r="M41" s="260"/>
      <c r="N41" s="260"/>
      <c r="O41" s="260"/>
      <c r="P41" s="260"/>
      <c r="Q41" s="260"/>
      <c r="R41" s="260"/>
      <c r="S41" s="260"/>
      <c r="T41" s="260"/>
      <c r="U41" s="260"/>
      <c r="V41" s="260"/>
      <c r="W41" s="260"/>
      <c r="X41" s="260"/>
      <c r="Y41" s="260"/>
      <c r="Z41" s="260"/>
      <c r="AA41" s="260"/>
      <c r="AB41" s="260"/>
      <c r="AC41" s="260"/>
      <c r="AD41" s="260"/>
      <c r="AE41" s="260"/>
      <c r="AF41" s="260"/>
      <c r="AG41" s="260"/>
      <c r="AH41" s="260"/>
      <c r="AI41" s="260"/>
      <c r="AJ41" s="260"/>
      <c r="AK41" s="260"/>
      <c r="AL41" s="260"/>
      <c r="AM41" s="260"/>
      <c r="AN41" s="260"/>
      <c r="AO41" s="260"/>
      <c r="AP41" s="260"/>
      <c r="AQ41" s="260"/>
      <c r="AR41" s="260"/>
      <c r="AS41" s="260"/>
      <c r="AT41" s="260"/>
      <c r="AU41" s="260"/>
      <c r="AV41" s="260"/>
      <c r="AW41" s="260"/>
      <c r="AX41" s="260"/>
      <c r="AY41" s="260"/>
      <c r="AZ41" s="260"/>
      <c r="BA41" s="260"/>
      <c r="BB41" s="260"/>
      <c r="BC41" s="260"/>
      <c r="BD41" s="260"/>
      <c r="BE41" s="260"/>
      <c r="BF41" s="260"/>
    </row>
    <row r="42" spans="1:74">
      <c r="A42" s="260"/>
      <c r="B42" s="260"/>
      <c r="C42" s="260"/>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row>
    <row r="43" spans="1:74">
      <c r="A43" s="260"/>
      <c r="B43" s="260"/>
      <c r="C43" s="260"/>
      <c r="D43" s="260"/>
      <c r="E43" s="260"/>
      <c r="F43" s="260"/>
      <c r="G43" s="260"/>
      <c r="H43" s="260"/>
      <c r="I43" s="260"/>
      <c r="J43" s="260"/>
      <c r="K43" s="260"/>
      <c r="L43" s="260"/>
      <c r="M43" s="260"/>
      <c r="N43" s="260"/>
      <c r="O43" s="26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260"/>
      <c r="AU43" s="260"/>
      <c r="AV43" s="260"/>
      <c r="AW43" s="260"/>
      <c r="AX43" s="260"/>
      <c r="AY43" s="260"/>
      <c r="AZ43" s="260"/>
      <c r="BA43" s="260"/>
      <c r="BB43" s="260"/>
      <c r="BC43" s="260"/>
      <c r="BD43" s="260"/>
      <c r="BE43" s="260"/>
      <c r="BF43" s="260"/>
    </row>
    <row r="44" spans="1:74">
      <c r="A44" s="260"/>
      <c r="B44" s="260"/>
      <c r="C44" s="260"/>
      <c r="D44" s="260"/>
      <c r="E44" s="260"/>
      <c r="F44" s="260"/>
      <c r="G44" s="260"/>
      <c r="H44" s="260"/>
      <c r="I44" s="260"/>
      <c r="J44" s="260"/>
      <c r="K44" s="260"/>
      <c r="L44" s="260"/>
      <c r="M44" s="260"/>
      <c r="N44" s="260"/>
      <c r="O44" s="26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c r="AP44" s="260"/>
      <c r="AQ44" s="260"/>
      <c r="AR44" s="260"/>
      <c r="AS44" s="260"/>
      <c r="AT44" s="260"/>
      <c r="AU44" s="260"/>
      <c r="AV44" s="260"/>
      <c r="AW44" s="260"/>
      <c r="AX44" s="260"/>
      <c r="AY44" s="260"/>
      <c r="AZ44" s="260"/>
      <c r="BA44" s="260"/>
      <c r="BB44" s="260"/>
      <c r="BC44" s="260"/>
      <c r="BD44" s="260"/>
      <c r="BE44" s="260"/>
      <c r="BF44" s="260"/>
    </row>
    <row r="45" spans="1:74">
      <c r="A45" s="260"/>
      <c r="B45" s="260"/>
      <c r="C45" s="260"/>
      <c r="D45" s="260"/>
      <c r="E45" s="260"/>
      <c r="F45" s="260"/>
      <c r="G45" s="260"/>
      <c r="H45" s="260"/>
      <c r="I45" s="260"/>
      <c r="J45" s="260"/>
      <c r="K45" s="260"/>
      <c r="L45" s="260"/>
      <c r="M45" s="260"/>
      <c r="N45" s="260"/>
      <c r="O45" s="260"/>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c r="AP45" s="260"/>
      <c r="AQ45" s="260"/>
      <c r="AR45" s="260"/>
      <c r="AS45" s="260"/>
      <c r="AT45" s="260"/>
      <c r="AU45" s="260"/>
      <c r="AV45" s="260"/>
      <c r="AW45" s="260"/>
      <c r="AX45" s="260"/>
      <c r="AY45" s="260"/>
      <c r="AZ45" s="260"/>
      <c r="BA45" s="260"/>
      <c r="BB45" s="260"/>
      <c r="BC45" s="260"/>
      <c r="BD45" s="260"/>
      <c r="BE45" s="260"/>
      <c r="BF45" s="260"/>
    </row>
    <row r="46" spans="1:74">
      <c r="A46" s="260"/>
      <c r="B46" s="260"/>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s="260"/>
      <c r="AY46" s="260"/>
      <c r="AZ46" s="260"/>
      <c r="BA46" s="260"/>
      <c r="BB46" s="260"/>
      <c r="BC46" s="260"/>
      <c r="BD46" s="260"/>
      <c r="BE46" s="260"/>
      <c r="BF46" s="260"/>
    </row>
    <row r="47" spans="1:74">
      <c r="A47" s="260"/>
      <c r="B47" s="260"/>
      <c r="C47" s="260"/>
      <c r="D47" s="260"/>
      <c r="E47" s="260"/>
      <c r="F47" s="260"/>
      <c r="G47" s="260"/>
      <c r="H47" s="260"/>
      <c r="I47" s="260"/>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s="260"/>
      <c r="AY47" s="260"/>
      <c r="AZ47" s="260"/>
      <c r="BA47" s="260"/>
      <c r="BB47" s="260"/>
      <c r="BC47" s="260"/>
      <c r="BD47" s="260"/>
      <c r="BE47" s="260"/>
      <c r="BF47" s="260"/>
    </row>
    <row r="48" spans="1:74">
      <c r="A48" s="260"/>
      <c r="B48" s="260"/>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s="260"/>
      <c r="AY48" s="260"/>
      <c r="AZ48" s="260"/>
      <c r="BA48" s="260"/>
      <c r="BB48" s="260"/>
      <c r="BC48" s="260"/>
      <c r="BD48" s="260"/>
      <c r="BE48" s="260"/>
      <c r="BF48" s="260"/>
    </row>
    <row r="49" spans="1:58">
      <c r="A49" s="260"/>
      <c r="B49" s="260"/>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s="260"/>
      <c r="AY49" s="260"/>
      <c r="AZ49" s="260"/>
      <c r="BA49" s="260"/>
      <c r="BB49" s="260"/>
      <c r="BC49" s="260"/>
      <c r="BD49" s="260"/>
      <c r="BE49" s="260"/>
      <c r="BF49" s="260"/>
    </row>
  </sheetData>
  <sheetProtection algorithmName="SHA-512" hashValue="P3ju+Kjef+O/RcFrC7XBjVepqS3Ttzowsxbkm3HaoSvXa61MnNTieyEZ0SCyr6Hwx1/XzcUr3h9Qll1J5Pir5A==" saltValue="ne43LoDL7jowEPVlp1AoNg==" spinCount="100000" sheet="1" objects="1" scenarios="1"/>
  <customSheetViews>
    <customSheetView guid="{6EFEFCA0-BF14-457A-85A3-29CBF2A862A5}" showGridLines="0" fitToPage="1" topLeftCell="A34">
      <selection sqref="A1:BC41"/>
      <pageMargins left="0.23622047244094491" right="0.23622047244094491" top="0.19685039370078741" bottom="0.19685039370078741" header="0" footer="0.11811023622047245"/>
      <printOptions horizontalCentered="1" verticalCentered="1"/>
      <pageSetup paperSize="5" scale="64" orientation="landscape" r:id="rId1"/>
      <headerFooter>
        <oddFooter>&amp;L&amp;10&amp;F &amp;A&amp;R&amp;10Page 16 of 61</oddFooter>
      </headerFooter>
    </customSheetView>
  </customSheetViews>
  <mergeCells count="91">
    <mergeCell ref="B5:F6"/>
    <mergeCell ref="G5:U5"/>
    <mergeCell ref="V5:AJ5"/>
    <mergeCell ref="G6:I6"/>
    <mergeCell ref="J6:L6"/>
    <mergeCell ref="M6:O6"/>
    <mergeCell ref="P6:R6"/>
    <mergeCell ref="S6:U6"/>
    <mergeCell ref="V6:X6"/>
    <mergeCell ref="Y6:AA6"/>
    <mergeCell ref="AB6:AD6"/>
    <mergeCell ref="AE6:AG6"/>
    <mergeCell ref="AH6:AJ6"/>
    <mergeCell ref="P8:R8"/>
    <mergeCell ref="S8:U8"/>
    <mergeCell ref="V8:X8"/>
    <mergeCell ref="Y8:AA8"/>
    <mergeCell ref="AH7:AJ7"/>
    <mergeCell ref="V7:X7"/>
    <mergeCell ref="Y7:AA7"/>
    <mergeCell ref="AB7:AD7"/>
    <mergeCell ref="AE7:AG7"/>
    <mergeCell ref="G7:I7"/>
    <mergeCell ref="J7:L7"/>
    <mergeCell ref="M7:O7"/>
    <mergeCell ref="P7:R7"/>
    <mergeCell ref="S7:U7"/>
    <mergeCell ref="C11:AJ11"/>
    <mergeCell ref="C12:AJ12"/>
    <mergeCell ref="AB8:AD8"/>
    <mergeCell ref="AE8:AG8"/>
    <mergeCell ref="AH8:AJ8"/>
    <mergeCell ref="G9:I9"/>
    <mergeCell ref="J9:L9"/>
    <mergeCell ref="M9:O9"/>
    <mergeCell ref="P9:R9"/>
    <mergeCell ref="S9:U9"/>
    <mergeCell ref="V9:X9"/>
    <mergeCell ref="Y9:AA9"/>
    <mergeCell ref="G8:I8"/>
    <mergeCell ref="J8:L8"/>
    <mergeCell ref="AE9:AG9"/>
    <mergeCell ref="AH9:AJ9"/>
    <mergeCell ref="M8:O8"/>
    <mergeCell ref="AG24:AX25"/>
    <mergeCell ref="D27:X28"/>
    <mergeCell ref="AI28:AO28"/>
    <mergeCell ref="C13:AJ13"/>
    <mergeCell ref="C14:AJ14"/>
    <mergeCell ref="C17:AJ17"/>
    <mergeCell ref="C22:I23"/>
    <mergeCell ref="J22:X22"/>
    <mergeCell ref="J23:N23"/>
    <mergeCell ref="O23:S23"/>
    <mergeCell ref="T23:X23"/>
    <mergeCell ref="C16:AJ16"/>
    <mergeCell ref="AG21:AX21"/>
    <mergeCell ref="AB9:AD9"/>
    <mergeCell ref="C10:AJ10"/>
    <mergeCell ref="BD29:BD30"/>
    <mergeCell ref="D30:X31"/>
    <mergeCell ref="D32:X32"/>
    <mergeCell ref="D29:X29"/>
    <mergeCell ref="AV32:BA32"/>
    <mergeCell ref="AP39:BB39"/>
    <mergeCell ref="C15:AJ15"/>
    <mergeCell ref="AG26:AY26"/>
    <mergeCell ref="AI29:AN29"/>
    <mergeCell ref="AI30:AJ30"/>
    <mergeCell ref="AQ29:AS29"/>
    <mergeCell ref="AQ30:AT30"/>
    <mergeCell ref="AG27:AY27"/>
    <mergeCell ref="F39:Q39"/>
    <mergeCell ref="Z39:AK39"/>
    <mergeCell ref="D33:X34"/>
    <mergeCell ref="F37:Q37"/>
    <mergeCell ref="V37:AK37"/>
    <mergeCell ref="F38:Q38"/>
    <mergeCell ref="V38:AK38"/>
    <mergeCell ref="AP37:BB38"/>
    <mergeCell ref="J26:N26"/>
    <mergeCell ref="O26:S26"/>
    <mergeCell ref="T26:X26"/>
    <mergeCell ref="AQ32:AT32"/>
    <mergeCell ref="J24:N24"/>
    <mergeCell ref="O24:S24"/>
    <mergeCell ref="T24:X24"/>
    <mergeCell ref="J25:N25"/>
    <mergeCell ref="O25:S25"/>
    <mergeCell ref="T25:X25"/>
    <mergeCell ref="AI32:AK32"/>
  </mergeCells>
  <dataValidations count="1">
    <dataValidation type="whole" allowBlank="1" showInputMessage="1" showErrorMessage="1" errorTitle="GSHSP SY 2022-2023" error="Please enter valid number between 0-999." sqref="G7:R8 V7:AG8 J24:S26" xr:uid="{662E25C4-3B91-4E03-87D7-209D370F2799}">
      <formula1>0</formula1>
      <formula2>999</formula2>
    </dataValidation>
  </dataValidations>
  <printOptions horizontalCentered="1" verticalCentered="1"/>
  <pageMargins left="0.23622047244094491" right="0.23622047244094491" top="0.19685039370078741" bottom="0.19685039370078741" header="0" footer="0.11811023622047245"/>
  <pageSetup paperSize="5" scale="64" orientation="landscape" r:id="rId2"/>
  <headerFooter>
    <oddFooter>&amp;L&amp;10&amp;F &amp;A&amp;R&amp;10Page 16 of 61</oddFooter>
  </headerFooter>
  <ignoredErrors>
    <ignoredError sqref="T25:X26" unlockedFormula="1"/>
  </ignoredErrors>
  <drawing r:id="rId3"/>
  <legacyDrawing r:id="rId4"/>
  <mc:AlternateContent xmlns:mc="http://schemas.openxmlformats.org/markup-compatibility/2006">
    <mc:Choice Requires="x14">
      <controls>
        <mc:AlternateContent xmlns:mc="http://schemas.openxmlformats.org/markup-compatibility/2006">
          <mc:Choice Requires="x14">
            <control shapeId="38913" r:id="rId5" name="Check Box 1">
              <controlPr locked="0" defaultSize="0" autoFill="0" autoLine="0" autoPict="0">
                <anchor moveWithCells="1">
                  <from>
                    <xdr:col>33</xdr:col>
                    <xdr:colOff>28575</xdr:colOff>
                    <xdr:row>21</xdr:row>
                    <xdr:rowOff>47625</xdr:rowOff>
                  </from>
                  <to>
                    <xdr:col>33</xdr:col>
                    <xdr:colOff>219075</xdr:colOff>
                    <xdr:row>21</xdr:row>
                    <xdr:rowOff>238125</xdr:rowOff>
                  </to>
                </anchor>
              </controlPr>
            </control>
          </mc:Choice>
        </mc:AlternateContent>
        <mc:AlternateContent xmlns:mc="http://schemas.openxmlformats.org/markup-compatibility/2006">
          <mc:Choice Requires="x14">
            <control shapeId="38914" r:id="rId6" name="Check Box 2">
              <controlPr defaultSize="0" autoFill="0" autoLine="0" autoPict="0">
                <anchor moveWithCells="1">
                  <from>
                    <xdr:col>42</xdr:col>
                    <xdr:colOff>28575</xdr:colOff>
                    <xdr:row>21</xdr:row>
                    <xdr:rowOff>66675</xdr:rowOff>
                  </from>
                  <to>
                    <xdr:col>43</xdr:col>
                    <xdr:colOff>0</xdr:colOff>
                    <xdr:row>21</xdr:row>
                    <xdr:rowOff>295275</xdr:rowOff>
                  </to>
                </anchor>
              </controlPr>
            </control>
          </mc:Choice>
        </mc:AlternateContent>
        <mc:AlternateContent xmlns:mc="http://schemas.openxmlformats.org/markup-compatibility/2006">
          <mc:Choice Requires="x14">
            <control shapeId="38915" r:id="rId7" name="Check Box 3">
              <controlPr defaultSize="0" autoFill="0" autoLine="0" autoPict="0">
                <anchor moveWithCells="1">
                  <from>
                    <xdr:col>33</xdr:col>
                    <xdr:colOff>28575</xdr:colOff>
                    <xdr:row>22</xdr:row>
                    <xdr:rowOff>66675</xdr:rowOff>
                  </from>
                  <to>
                    <xdr:col>34</xdr:col>
                    <xdr:colOff>38100</xdr:colOff>
                    <xdr:row>22</xdr:row>
                    <xdr:rowOff>257175</xdr:rowOff>
                  </to>
                </anchor>
              </controlPr>
            </control>
          </mc:Choice>
        </mc:AlternateContent>
        <mc:AlternateContent xmlns:mc="http://schemas.openxmlformats.org/markup-compatibility/2006">
          <mc:Choice Requires="x14">
            <control shapeId="38916" r:id="rId8" name="Check Box 4">
              <controlPr defaultSize="0" autoFill="0" autoLine="0" autoPict="0">
                <anchor moveWithCells="1">
                  <from>
                    <xdr:col>42</xdr:col>
                    <xdr:colOff>38100</xdr:colOff>
                    <xdr:row>22</xdr:row>
                    <xdr:rowOff>47625</xdr:rowOff>
                  </from>
                  <to>
                    <xdr:col>43</xdr:col>
                    <xdr:colOff>0</xdr:colOff>
                    <xdr:row>22</xdr:row>
                    <xdr:rowOff>276225</xdr:rowOff>
                  </to>
                </anchor>
              </controlPr>
            </control>
          </mc:Choice>
        </mc:AlternateContent>
        <mc:AlternateContent xmlns:mc="http://schemas.openxmlformats.org/markup-compatibility/2006">
          <mc:Choice Requires="x14">
            <control shapeId="38917" r:id="rId9" name="Check Box 5">
              <controlPr defaultSize="0" autoFill="0" autoLine="0" autoPict="0">
                <anchor moveWithCells="1">
                  <from>
                    <xdr:col>33</xdr:col>
                    <xdr:colOff>28575</xdr:colOff>
                    <xdr:row>27</xdr:row>
                    <xdr:rowOff>28575</xdr:rowOff>
                  </from>
                  <to>
                    <xdr:col>33</xdr:col>
                    <xdr:colOff>228600</xdr:colOff>
                    <xdr:row>27</xdr:row>
                    <xdr:rowOff>266700</xdr:rowOff>
                  </to>
                </anchor>
              </controlPr>
            </control>
          </mc:Choice>
        </mc:AlternateContent>
        <mc:AlternateContent xmlns:mc="http://schemas.openxmlformats.org/markup-compatibility/2006">
          <mc:Choice Requires="x14">
            <control shapeId="38918" r:id="rId10" name="Check Box 6">
              <controlPr defaultSize="0" autoFill="0" autoLine="0" autoPict="0">
                <anchor moveWithCells="1">
                  <from>
                    <xdr:col>33</xdr:col>
                    <xdr:colOff>38100</xdr:colOff>
                    <xdr:row>28</xdr:row>
                    <xdr:rowOff>66675</xdr:rowOff>
                  </from>
                  <to>
                    <xdr:col>34</xdr:col>
                    <xdr:colOff>28575</xdr:colOff>
                    <xdr:row>28</xdr:row>
                    <xdr:rowOff>333375</xdr:rowOff>
                  </to>
                </anchor>
              </controlPr>
            </control>
          </mc:Choice>
        </mc:AlternateContent>
        <mc:AlternateContent xmlns:mc="http://schemas.openxmlformats.org/markup-compatibility/2006">
          <mc:Choice Requires="x14">
            <control shapeId="38919" r:id="rId11" name="Check Box 7">
              <controlPr defaultSize="0" autoFill="0" autoLine="0" autoPict="0">
                <anchor moveWithCells="1">
                  <from>
                    <xdr:col>33</xdr:col>
                    <xdr:colOff>28575</xdr:colOff>
                    <xdr:row>28</xdr:row>
                    <xdr:rowOff>371475</xdr:rowOff>
                  </from>
                  <to>
                    <xdr:col>34</xdr:col>
                    <xdr:colOff>0</xdr:colOff>
                    <xdr:row>30</xdr:row>
                    <xdr:rowOff>9525</xdr:rowOff>
                  </to>
                </anchor>
              </controlPr>
            </control>
          </mc:Choice>
        </mc:AlternateContent>
        <mc:AlternateContent xmlns:mc="http://schemas.openxmlformats.org/markup-compatibility/2006">
          <mc:Choice Requires="x14">
            <control shapeId="38920" r:id="rId12" name="Check Box 8">
              <controlPr defaultSize="0" autoFill="0" autoLine="0" autoPict="0">
                <anchor moveWithCells="1">
                  <from>
                    <xdr:col>33</xdr:col>
                    <xdr:colOff>28575</xdr:colOff>
                    <xdr:row>31</xdr:row>
                    <xdr:rowOff>9525</xdr:rowOff>
                  </from>
                  <to>
                    <xdr:col>34</xdr:col>
                    <xdr:colOff>28575</xdr:colOff>
                    <xdr:row>32</xdr:row>
                    <xdr:rowOff>9525</xdr:rowOff>
                  </to>
                </anchor>
              </controlPr>
            </control>
          </mc:Choice>
        </mc:AlternateContent>
        <mc:AlternateContent xmlns:mc="http://schemas.openxmlformats.org/markup-compatibility/2006">
          <mc:Choice Requires="x14">
            <control shapeId="38921" r:id="rId13" name="Check Box 9">
              <controlPr defaultSize="0" autoFill="0" autoLine="0" autoPict="0">
                <anchor moveWithCells="1">
                  <from>
                    <xdr:col>41</xdr:col>
                    <xdr:colOff>28575</xdr:colOff>
                    <xdr:row>27</xdr:row>
                    <xdr:rowOff>28575</xdr:rowOff>
                  </from>
                  <to>
                    <xdr:col>42</xdr:col>
                    <xdr:colOff>9525</xdr:colOff>
                    <xdr:row>27</xdr:row>
                    <xdr:rowOff>257175</xdr:rowOff>
                  </to>
                </anchor>
              </controlPr>
            </control>
          </mc:Choice>
        </mc:AlternateContent>
        <mc:AlternateContent xmlns:mc="http://schemas.openxmlformats.org/markup-compatibility/2006">
          <mc:Choice Requires="x14">
            <control shapeId="38922" r:id="rId14" name="Check Box 10">
              <controlPr defaultSize="0" autoFill="0" autoLine="0" autoPict="0">
                <anchor moveWithCells="1">
                  <from>
                    <xdr:col>41</xdr:col>
                    <xdr:colOff>28575</xdr:colOff>
                    <xdr:row>28</xdr:row>
                    <xdr:rowOff>66675</xdr:rowOff>
                  </from>
                  <to>
                    <xdr:col>42</xdr:col>
                    <xdr:colOff>47625</xdr:colOff>
                    <xdr:row>28</xdr:row>
                    <xdr:rowOff>333375</xdr:rowOff>
                  </to>
                </anchor>
              </controlPr>
            </control>
          </mc:Choice>
        </mc:AlternateContent>
        <mc:AlternateContent xmlns:mc="http://schemas.openxmlformats.org/markup-compatibility/2006">
          <mc:Choice Requires="x14">
            <control shapeId="38923" r:id="rId15" name="Check Box 11">
              <controlPr defaultSize="0" autoFill="0" autoLine="0" autoPict="0">
                <anchor moveWithCells="1">
                  <from>
                    <xdr:col>41</xdr:col>
                    <xdr:colOff>28575</xdr:colOff>
                    <xdr:row>28</xdr:row>
                    <xdr:rowOff>381000</xdr:rowOff>
                  </from>
                  <to>
                    <xdr:col>42</xdr:col>
                    <xdr:colOff>38100</xdr:colOff>
                    <xdr:row>29</xdr:row>
                    <xdr:rowOff>190500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54578-4280-427C-A612-266266CA9FC0}">
  <sheetPr codeName="Sheet11">
    <tabColor rgb="FFFFFF00"/>
    <pageSetUpPr fitToPage="1"/>
  </sheetPr>
  <dimension ref="A1:CF53"/>
  <sheetViews>
    <sheetView showGridLines="0" topLeftCell="A37" zoomScaleNormal="100" workbookViewId="0">
      <selection sqref="A1:BD47"/>
    </sheetView>
  </sheetViews>
  <sheetFormatPr defaultColWidth="8" defaultRowHeight="15"/>
  <cols>
    <col min="1" max="1" width="2.125" style="102" customWidth="1"/>
    <col min="2" max="50" width="3.625" style="102" customWidth="1"/>
    <col min="51" max="51" width="2.125" style="102" customWidth="1"/>
    <col min="52" max="57" width="4.125" style="102" customWidth="1"/>
    <col min="58" max="59" width="4.625" style="102" customWidth="1"/>
    <col min="60" max="16384" width="8" style="102"/>
  </cols>
  <sheetData>
    <row r="1" spans="1:56" ht="12" customHeight="1">
      <c r="A1" s="599"/>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599"/>
      <c r="AC1" s="599"/>
      <c r="AD1" s="599"/>
      <c r="AE1" s="599"/>
      <c r="AF1" s="599"/>
      <c r="AG1" s="599"/>
      <c r="AH1" s="599"/>
      <c r="AI1" s="599"/>
      <c r="AJ1" s="599"/>
      <c r="AK1" s="599"/>
      <c r="AL1" s="599"/>
      <c r="AM1" s="599"/>
      <c r="AN1" s="599"/>
      <c r="AO1" s="599"/>
      <c r="AP1" s="599"/>
      <c r="AQ1" s="599"/>
      <c r="AR1" s="599"/>
      <c r="AS1" s="599"/>
      <c r="AT1" s="599"/>
      <c r="AU1" s="599"/>
      <c r="AV1" s="599"/>
      <c r="AW1" s="599"/>
      <c r="AX1" s="599"/>
      <c r="AY1" s="599"/>
      <c r="AZ1" s="599"/>
      <c r="BA1" s="599"/>
      <c r="BB1" s="599"/>
      <c r="BC1" s="599"/>
      <c r="BD1" s="599"/>
    </row>
    <row r="2" spans="1:56" ht="15.75">
      <c r="A2" s="593"/>
      <c r="B2" s="261" t="s">
        <v>11463</v>
      </c>
      <c r="C2" s="261"/>
      <c r="D2" s="261"/>
      <c r="E2" s="261"/>
      <c r="F2" s="261"/>
      <c r="G2" s="261"/>
      <c r="H2" s="261"/>
      <c r="I2" s="261"/>
      <c r="J2" s="261"/>
      <c r="K2" s="261"/>
      <c r="L2" s="261"/>
      <c r="M2" s="261"/>
      <c r="N2" s="261"/>
      <c r="O2" s="261"/>
      <c r="P2" s="261"/>
      <c r="Q2" s="261"/>
      <c r="R2" s="261"/>
      <c r="S2" s="261"/>
      <c r="T2" s="261"/>
      <c r="U2" s="261"/>
      <c r="V2" s="261"/>
      <c r="W2" s="261"/>
      <c r="X2" s="261"/>
      <c r="Y2" s="261"/>
      <c r="Z2" s="711"/>
      <c r="AA2" s="711"/>
      <c r="AB2" s="711"/>
      <c r="AC2" s="711"/>
      <c r="AD2" s="240"/>
      <c r="AE2" s="240"/>
      <c r="AF2" s="240"/>
      <c r="AG2" s="240"/>
      <c r="AH2" s="711"/>
      <c r="AI2" s="711"/>
      <c r="AJ2" s="711"/>
      <c r="AK2" s="711"/>
      <c r="AL2" s="711"/>
      <c r="AM2" s="599"/>
      <c r="AN2" s="599"/>
      <c r="AO2" s="599"/>
      <c r="AP2" s="599"/>
      <c r="AQ2" s="599"/>
      <c r="AR2" s="599"/>
      <c r="AS2" s="599"/>
      <c r="AT2" s="599"/>
      <c r="AU2" s="599"/>
      <c r="AV2" s="599"/>
      <c r="AW2" s="599"/>
      <c r="AX2" s="599"/>
      <c r="AY2" s="599"/>
      <c r="AZ2" s="599"/>
      <c r="BA2" s="599"/>
      <c r="BB2" s="599"/>
      <c r="BC2" s="599"/>
      <c r="BD2" s="599"/>
    </row>
    <row r="3" spans="1:56" ht="16.5" thickBot="1">
      <c r="A3" s="593"/>
      <c r="B3" s="583" t="s">
        <v>1016</v>
      </c>
      <c r="C3" s="261"/>
      <c r="D3" s="261"/>
      <c r="E3" s="261"/>
      <c r="F3" s="261"/>
      <c r="G3" s="261"/>
      <c r="H3" s="261"/>
      <c r="I3" s="261"/>
      <c r="J3" s="261"/>
      <c r="K3" s="261"/>
      <c r="L3" s="261"/>
      <c r="M3" s="261"/>
      <c r="N3" s="261"/>
      <c r="O3" s="261"/>
      <c r="P3" s="261"/>
      <c r="Q3" s="261"/>
      <c r="R3" s="711"/>
      <c r="S3" s="711"/>
      <c r="T3" s="240"/>
      <c r="U3" s="240"/>
      <c r="V3" s="711"/>
      <c r="W3" s="711"/>
      <c r="X3" s="711"/>
      <c r="Y3" s="599"/>
      <c r="Z3" s="599"/>
      <c r="AA3" s="599"/>
      <c r="AB3" s="599"/>
      <c r="AC3" s="599"/>
      <c r="AD3" s="599"/>
      <c r="AE3" s="599"/>
      <c r="AF3" s="599"/>
      <c r="AG3" s="599"/>
      <c r="AH3" s="599"/>
      <c r="AI3" s="599"/>
      <c r="AJ3" s="599"/>
      <c r="AK3" s="599"/>
      <c r="AL3" s="599"/>
      <c r="AM3" s="599"/>
      <c r="AN3" s="599"/>
      <c r="AO3" s="599"/>
      <c r="AP3" s="599"/>
      <c r="AQ3" s="599"/>
      <c r="AR3" s="599"/>
      <c r="AS3" s="599"/>
      <c r="AT3" s="599"/>
      <c r="AU3" s="599"/>
      <c r="AV3" s="599"/>
      <c r="AW3" s="599"/>
      <c r="AX3" s="599"/>
      <c r="AY3" s="599"/>
      <c r="AZ3" s="599"/>
      <c r="BA3" s="599"/>
      <c r="BB3" s="599"/>
      <c r="BC3" s="599"/>
      <c r="BD3" s="599"/>
    </row>
    <row r="4" spans="1:56" ht="15.75" customHeight="1">
      <c r="A4" s="599"/>
      <c r="B4" s="2660" t="s">
        <v>422</v>
      </c>
      <c r="C4" s="2661"/>
      <c r="D4" s="2661"/>
      <c r="E4" s="2661"/>
      <c r="F4" s="2661"/>
      <c r="G4" s="2661"/>
      <c r="H4" s="2661"/>
      <c r="I4" s="2661"/>
      <c r="J4" s="2662"/>
      <c r="K4" s="2760" t="s">
        <v>423</v>
      </c>
      <c r="L4" s="2761"/>
      <c r="M4" s="2761"/>
      <c r="N4" s="2761"/>
      <c r="O4" s="2761"/>
      <c r="P4" s="2761"/>
      <c r="Q4" s="2761"/>
      <c r="R4" s="2761"/>
      <c r="S4" s="2761"/>
      <c r="T4" s="2761"/>
      <c r="U4" s="2761"/>
      <c r="V4" s="2761"/>
      <c r="W4" s="2761"/>
      <c r="X4" s="2761"/>
      <c r="Y4" s="2761"/>
      <c r="Z4" s="2761"/>
      <c r="AA4" s="2761"/>
      <c r="AB4" s="2761"/>
      <c r="AC4" s="2761"/>
      <c r="AD4" s="2761"/>
      <c r="AE4" s="2761"/>
      <c r="AF4" s="2761"/>
      <c r="AG4" s="2761"/>
      <c r="AH4" s="2761"/>
      <c r="AI4" s="2761"/>
      <c r="AJ4" s="2761"/>
      <c r="AK4" s="2761"/>
      <c r="AL4" s="2761"/>
      <c r="AM4" s="2761"/>
      <c r="AN4" s="2761"/>
      <c r="AO4" s="2761"/>
      <c r="AP4" s="2761"/>
      <c r="AQ4" s="2761"/>
      <c r="AR4" s="2761"/>
      <c r="AS4" s="2761"/>
      <c r="AT4" s="2761"/>
      <c r="AU4" s="2761"/>
      <c r="AV4" s="2761"/>
      <c r="AW4" s="2761"/>
      <c r="AX4" s="2762"/>
      <c r="AY4" s="599"/>
      <c r="AZ4" s="599"/>
      <c r="BA4" s="599"/>
      <c r="BB4" s="599"/>
      <c r="BC4" s="599"/>
      <c r="BD4" s="599"/>
    </row>
    <row r="5" spans="1:56" ht="51" customHeight="1" thickBot="1">
      <c r="A5" s="599"/>
      <c r="B5" s="2663"/>
      <c r="C5" s="2664"/>
      <c r="D5" s="2664"/>
      <c r="E5" s="2664"/>
      <c r="F5" s="2664"/>
      <c r="G5" s="2664"/>
      <c r="H5" s="2664"/>
      <c r="I5" s="2664"/>
      <c r="J5" s="2665"/>
      <c r="K5" s="2763" t="s">
        <v>424</v>
      </c>
      <c r="L5" s="2764"/>
      <c r="M5" s="2764"/>
      <c r="N5" s="2764"/>
      <c r="O5" s="2765"/>
      <c r="P5" s="2766" t="s">
        <v>425</v>
      </c>
      <c r="Q5" s="2764"/>
      <c r="R5" s="2764"/>
      <c r="S5" s="2764"/>
      <c r="T5" s="2765"/>
      <c r="U5" s="2767" t="s">
        <v>426</v>
      </c>
      <c r="V5" s="2768"/>
      <c r="W5" s="2768"/>
      <c r="X5" s="2768"/>
      <c r="Y5" s="2769"/>
      <c r="Z5" s="2767" t="s">
        <v>419</v>
      </c>
      <c r="AA5" s="2768"/>
      <c r="AB5" s="2768"/>
      <c r="AC5" s="2768"/>
      <c r="AD5" s="2769"/>
      <c r="AE5" s="2766" t="s">
        <v>427</v>
      </c>
      <c r="AF5" s="2764"/>
      <c r="AG5" s="2764"/>
      <c r="AH5" s="2764"/>
      <c r="AI5" s="2765"/>
      <c r="AJ5" s="2766" t="s">
        <v>428</v>
      </c>
      <c r="AK5" s="2764"/>
      <c r="AL5" s="2764"/>
      <c r="AM5" s="2764"/>
      <c r="AN5" s="2765"/>
      <c r="AO5" s="2766" t="s">
        <v>272</v>
      </c>
      <c r="AP5" s="2764"/>
      <c r="AQ5" s="2764"/>
      <c r="AR5" s="2764"/>
      <c r="AS5" s="2770"/>
      <c r="AT5" s="2764" t="s">
        <v>42</v>
      </c>
      <c r="AU5" s="2764"/>
      <c r="AV5" s="2764"/>
      <c r="AW5" s="2764"/>
      <c r="AX5" s="2771"/>
      <c r="AY5" s="599"/>
      <c r="AZ5" s="599"/>
      <c r="BA5" s="599"/>
      <c r="BB5" s="599"/>
      <c r="BC5" s="599"/>
      <c r="BD5" s="599"/>
    </row>
    <row r="6" spans="1:56" s="101" customFormat="1" ht="24.95" customHeight="1">
      <c r="A6" s="580"/>
      <c r="B6" s="2751" t="s">
        <v>429</v>
      </c>
      <c r="C6" s="2752"/>
      <c r="D6" s="2752"/>
      <c r="E6" s="2752"/>
      <c r="F6" s="2752"/>
      <c r="G6" s="2752"/>
      <c r="H6" s="2752"/>
      <c r="I6" s="2752"/>
      <c r="J6" s="2753"/>
      <c r="K6" s="2754"/>
      <c r="L6" s="2755"/>
      <c r="M6" s="2755"/>
      <c r="N6" s="2755"/>
      <c r="O6" s="2755"/>
      <c r="P6" s="2755"/>
      <c r="Q6" s="2755"/>
      <c r="R6" s="2755"/>
      <c r="S6" s="2755"/>
      <c r="T6" s="2755"/>
      <c r="U6" s="2755"/>
      <c r="V6" s="2755"/>
      <c r="W6" s="2755"/>
      <c r="X6" s="2755"/>
      <c r="Y6" s="2755"/>
      <c r="Z6" s="2755"/>
      <c r="AA6" s="2755"/>
      <c r="AB6" s="2755"/>
      <c r="AC6" s="2755"/>
      <c r="AD6" s="2755"/>
      <c r="AE6" s="2755"/>
      <c r="AF6" s="2755"/>
      <c r="AG6" s="2755"/>
      <c r="AH6" s="2755"/>
      <c r="AI6" s="2755"/>
      <c r="AJ6" s="2755"/>
      <c r="AK6" s="2755"/>
      <c r="AL6" s="2755"/>
      <c r="AM6" s="2755"/>
      <c r="AN6" s="2755"/>
      <c r="AO6" s="2755"/>
      <c r="AP6" s="2755"/>
      <c r="AQ6" s="2755"/>
      <c r="AR6" s="2755"/>
      <c r="AS6" s="2755"/>
      <c r="AT6" s="2755"/>
      <c r="AU6" s="2755"/>
      <c r="AV6" s="2755"/>
      <c r="AW6" s="2755"/>
      <c r="AX6" s="2756"/>
      <c r="AY6" s="580"/>
      <c r="AZ6" s="580"/>
      <c r="BA6" s="580"/>
      <c r="BB6" s="580"/>
      <c r="BC6" s="580"/>
      <c r="BD6" s="580"/>
    </row>
    <row r="7" spans="1:56" s="40" customFormat="1" ht="30" customHeight="1">
      <c r="A7" s="582"/>
      <c r="B7" s="712" t="s">
        <v>430</v>
      </c>
      <c r="C7" s="713"/>
      <c r="D7" s="713"/>
      <c r="E7" s="713"/>
      <c r="F7" s="713"/>
      <c r="G7" s="713"/>
      <c r="H7" s="713"/>
      <c r="I7" s="713"/>
      <c r="J7" s="714"/>
      <c r="K7" s="2731">
        <v>53</v>
      </c>
      <c r="L7" s="2732"/>
      <c r="M7" s="2732"/>
      <c r="N7" s="2732"/>
      <c r="O7" s="2733"/>
      <c r="P7" s="2734">
        <v>0</v>
      </c>
      <c r="Q7" s="2732"/>
      <c r="R7" s="2732"/>
      <c r="S7" s="2732"/>
      <c r="T7" s="2733"/>
      <c r="U7" s="2734">
        <v>0</v>
      </c>
      <c r="V7" s="2732"/>
      <c r="W7" s="2732"/>
      <c r="X7" s="2732"/>
      <c r="Y7" s="2733"/>
      <c r="Z7" s="2734">
        <v>0</v>
      </c>
      <c r="AA7" s="2732"/>
      <c r="AB7" s="2732"/>
      <c r="AC7" s="2732"/>
      <c r="AD7" s="2733"/>
      <c r="AE7" s="2734">
        <v>0</v>
      </c>
      <c r="AF7" s="2732"/>
      <c r="AG7" s="2732"/>
      <c r="AH7" s="2732"/>
      <c r="AI7" s="2733"/>
      <c r="AJ7" s="2734">
        <v>5</v>
      </c>
      <c r="AK7" s="2732"/>
      <c r="AL7" s="2732"/>
      <c r="AM7" s="2732"/>
      <c r="AN7" s="2733"/>
      <c r="AO7" s="2734">
        <v>0</v>
      </c>
      <c r="AP7" s="2732"/>
      <c r="AQ7" s="2732"/>
      <c r="AR7" s="2732"/>
      <c r="AS7" s="2735"/>
      <c r="AT7" s="2757">
        <f>SUM(K7:AS7)</f>
        <v>58</v>
      </c>
      <c r="AU7" s="2758"/>
      <c r="AV7" s="2758"/>
      <c r="AW7" s="2758"/>
      <c r="AX7" s="2759"/>
      <c r="AY7" s="582"/>
      <c r="AZ7" s="582"/>
      <c r="BA7" s="582"/>
      <c r="BB7" s="582"/>
      <c r="BC7" s="582"/>
      <c r="BD7" s="582"/>
    </row>
    <row r="8" spans="1:56" s="40" customFormat="1" ht="30" customHeight="1">
      <c r="A8" s="582"/>
      <c r="B8" s="715" t="s">
        <v>1243</v>
      </c>
      <c r="C8" s="716"/>
      <c r="D8" s="716"/>
      <c r="E8" s="716"/>
      <c r="F8" s="716"/>
      <c r="G8" s="716"/>
      <c r="H8" s="716"/>
      <c r="I8" s="716"/>
      <c r="J8" s="717"/>
      <c r="K8" s="2731">
        <v>0</v>
      </c>
      <c r="L8" s="2732"/>
      <c r="M8" s="2732"/>
      <c r="N8" s="2732"/>
      <c r="O8" s="2733"/>
      <c r="P8" s="2734">
        <v>0</v>
      </c>
      <c r="Q8" s="2732"/>
      <c r="R8" s="2732"/>
      <c r="S8" s="2732"/>
      <c r="T8" s="2733"/>
      <c r="U8" s="2734">
        <v>0</v>
      </c>
      <c r="V8" s="2732"/>
      <c r="W8" s="2732"/>
      <c r="X8" s="2732"/>
      <c r="Y8" s="2733"/>
      <c r="Z8" s="2734">
        <v>0</v>
      </c>
      <c r="AA8" s="2732"/>
      <c r="AB8" s="2732"/>
      <c r="AC8" s="2732"/>
      <c r="AD8" s="2733"/>
      <c r="AE8" s="2734">
        <v>0</v>
      </c>
      <c r="AF8" s="2732"/>
      <c r="AG8" s="2732"/>
      <c r="AH8" s="2732"/>
      <c r="AI8" s="2733"/>
      <c r="AJ8" s="2734">
        <v>0</v>
      </c>
      <c r="AK8" s="2732"/>
      <c r="AL8" s="2732"/>
      <c r="AM8" s="2732"/>
      <c r="AN8" s="2733"/>
      <c r="AO8" s="2734">
        <v>0</v>
      </c>
      <c r="AP8" s="2732"/>
      <c r="AQ8" s="2732"/>
      <c r="AR8" s="2732"/>
      <c r="AS8" s="2735"/>
      <c r="AT8" s="2736">
        <f>SUM(K8:AS8)</f>
        <v>0</v>
      </c>
      <c r="AU8" s="2696"/>
      <c r="AV8" s="2696"/>
      <c r="AW8" s="2696"/>
      <c r="AX8" s="2697"/>
      <c r="AY8" s="582"/>
      <c r="AZ8" s="582"/>
      <c r="BA8" s="582"/>
      <c r="BB8" s="582"/>
      <c r="BC8" s="582"/>
      <c r="BD8" s="582"/>
    </row>
    <row r="9" spans="1:56" s="40" customFormat="1" ht="30" customHeight="1">
      <c r="A9" s="582"/>
      <c r="B9" s="715" t="s">
        <v>1695</v>
      </c>
      <c r="C9" s="716"/>
      <c r="D9" s="716"/>
      <c r="E9" s="716"/>
      <c r="F9" s="716"/>
      <c r="G9" s="716"/>
      <c r="H9" s="716"/>
      <c r="I9" s="716"/>
      <c r="J9" s="717"/>
      <c r="K9" s="2731">
        <v>100</v>
      </c>
      <c r="L9" s="2732"/>
      <c r="M9" s="2732"/>
      <c r="N9" s="2732"/>
      <c r="O9" s="2733"/>
      <c r="P9" s="2734">
        <v>0</v>
      </c>
      <c r="Q9" s="2732"/>
      <c r="R9" s="2732"/>
      <c r="S9" s="2732"/>
      <c r="T9" s="2733"/>
      <c r="U9" s="2734">
        <v>0</v>
      </c>
      <c r="V9" s="2732"/>
      <c r="W9" s="2732"/>
      <c r="X9" s="2732"/>
      <c r="Y9" s="2733"/>
      <c r="Z9" s="2734">
        <v>0</v>
      </c>
      <c r="AA9" s="2732"/>
      <c r="AB9" s="2732"/>
      <c r="AC9" s="2732"/>
      <c r="AD9" s="2733"/>
      <c r="AE9" s="2734">
        <v>0</v>
      </c>
      <c r="AF9" s="2732"/>
      <c r="AG9" s="2732"/>
      <c r="AH9" s="2732"/>
      <c r="AI9" s="2733"/>
      <c r="AJ9" s="2734">
        <v>0</v>
      </c>
      <c r="AK9" s="2732"/>
      <c r="AL9" s="2732"/>
      <c r="AM9" s="2732"/>
      <c r="AN9" s="2733"/>
      <c r="AO9" s="2734">
        <v>0</v>
      </c>
      <c r="AP9" s="2732"/>
      <c r="AQ9" s="2732"/>
      <c r="AR9" s="2732"/>
      <c r="AS9" s="2735"/>
      <c r="AT9" s="2736">
        <f>SUM(K9:AS9)</f>
        <v>100</v>
      </c>
      <c r="AU9" s="2696"/>
      <c r="AV9" s="2696"/>
      <c r="AW9" s="2696"/>
      <c r="AX9" s="2697"/>
      <c r="AY9" s="582"/>
      <c r="AZ9" s="582"/>
      <c r="BA9" s="582"/>
      <c r="BB9" s="582"/>
      <c r="BC9" s="582"/>
      <c r="BD9" s="582"/>
    </row>
    <row r="10" spans="1:56" s="40" customFormat="1" ht="30" customHeight="1">
      <c r="A10" s="582"/>
      <c r="B10" s="715" t="s">
        <v>1242</v>
      </c>
      <c r="C10" s="716"/>
      <c r="D10" s="716"/>
      <c r="E10" s="716"/>
      <c r="F10" s="716"/>
      <c r="G10" s="716"/>
      <c r="H10" s="716"/>
      <c r="I10" s="716"/>
      <c r="J10" s="717"/>
      <c r="K10" s="2731">
        <v>0</v>
      </c>
      <c r="L10" s="2732"/>
      <c r="M10" s="2732"/>
      <c r="N10" s="2732"/>
      <c r="O10" s="2733"/>
      <c r="P10" s="2734">
        <v>0</v>
      </c>
      <c r="Q10" s="2732"/>
      <c r="R10" s="2732"/>
      <c r="S10" s="2732"/>
      <c r="T10" s="2733"/>
      <c r="U10" s="2734">
        <v>0</v>
      </c>
      <c r="V10" s="2732"/>
      <c r="W10" s="2732"/>
      <c r="X10" s="2732"/>
      <c r="Y10" s="2733"/>
      <c r="Z10" s="2734">
        <v>0</v>
      </c>
      <c r="AA10" s="2732"/>
      <c r="AB10" s="2732"/>
      <c r="AC10" s="2732"/>
      <c r="AD10" s="2733"/>
      <c r="AE10" s="2734">
        <v>0</v>
      </c>
      <c r="AF10" s="2732"/>
      <c r="AG10" s="2732"/>
      <c r="AH10" s="2732"/>
      <c r="AI10" s="2733"/>
      <c r="AJ10" s="2734">
        <v>0</v>
      </c>
      <c r="AK10" s="2732"/>
      <c r="AL10" s="2732"/>
      <c r="AM10" s="2732"/>
      <c r="AN10" s="2733"/>
      <c r="AO10" s="2734">
        <v>0</v>
      </c>
      <c r="AP10" s="2732"/>
      <c r="AQ10" s="2732"/>
      <c r="AR10" s="2732"/>
      <c r="AS10" s="2735"/>
      <c r="AT10" s="2736">
        <f>SUM(K10:AS10)</f>
        <v>0</v>
      </c>
      <c r="AU10" s="2696"/>
      <c r="AV10" s="2696"/>
      <c r="AW10" s="2696"/>
      <c r="AX10" s="2697"/>
      <c r="AY10" s="582"/>
      <c r="AZ10" s="582"/>
      <c r="BA10" s="582"/>
      <c r="BB10" s="582"/>
      <c r="BC10" s="582"/>
      <c r="BD10" s="582"/>
    </row>
    <row r="11" spans="1:56" s="40" customFormat="1" ht="30" customHeight="1">
      <c r="A11" s="582"/>
      <c r="B11" s="718" t="s">
        <v>431</v>
      </c>
      <c r="C11" s="719"/>
      <c r="D11" s="719"/>
      <c r="E11" s="719"/>
      <c r="F11" s="719"/>
      <c r="G11" s="719"/>
      <c r="H11" s="719"/>
      <c r="I11" s="719"/>
      <c r="J11" s="720"/>
      <c r="K11" s="2731">
        <v>0</v>
      </c>
      <c r="L11" s="2732"/>
      <c r="M11" s="2732"/>
      <c r="N11" s="2732"/>
      <c r="O11" s="2733"/>
      <c r="P11" s="2734">
        <v>0</v>
      </c>
      <c r="Q11" s="2732"/>
      <c r="R11" s="2732"/>
      <c r="S11" s="2732"/>
      <c r="T11" s="2733"/>
      <c r="U11" s="2734">
        <v>0</v>
      </c>
      <c r="V11" s="2732"/>
      <c r="W11" s="2732"/>
      <c r="X11" s="2732"/>
      <c r="Y11" s="2733"/>
      <c r="Z11" s="2734">
        <v>0</v>
      </c>
      <c r="AA11" s="2732"/>
      <c r="AB11" s="2732"/>
      <c r="AC11" s="2732"/>
      <c r="AD11" s="2733"/>
      <c r="AE11" s="2734">
        <v>0</v>
      </c>
      <c r="AF11" s="2732"/>
      <c r="AG11" s="2732"/>
      <c r="AH11" s="2732"/>
      <c r="AI11" s="2733"/>
      <c r="AJ11" s="2734">
        <v>0</v>
      </c>
      <c r="AK11" s="2732"/>
      <c r="AL11" s="2732"/>
      <c r="AM11" s="2732"/>
      <c r="AN11" s="2733"/>
      <c r="AO11" s="2734">
        <v>0</v>
      </c>
      <c r="AP11" s="2732"/>
      <c r="AQ11" s="2732"/>
      <c r="AR11" s="2732"/>
      <c r="AS11" s="2735"/>
      <c r="AT11" s="2742">
        <f>SUM(K11:AS11)</f>
        <v>0</v>
      </c>
      <c r="AU11" s="2743"/>
      <c r="AV11" s="2743"/>
      <c r="AW11" s="2743"/>
      <c r="AX11" s="2744"/>
      <c r="AY11" s="582"/>
      <c r="AZ11" s="582"/>
      <c r="BA11" s="582"/>
      <c r="BB11" s="582"/>
      <c r="BC11" s="582"/>
      <c r="BD11" s="582"/>
    </row>
    <row r="12" spans="1:56" s="101" customFormat="1" ht="24.95" customHeight="1">
      <c r="A12" s="580"/>
      <c r="B12" s="2745" t="s">
        <v>432</v>
      </c>
      <c r="C12" s="2746"/>
      <c r="D12" s="2746"/>
      <c r="E12" s="2746"/>
      <c r="F12" s="2746"/>
      <c r="G12" s="2746"/>
      <c r="H12" s="2746"/>
      <c r="I12" s="2746"/>
      <c r="J12" s="2747"/>
      <c r="K12" s="2748"/>
      <c r="L12" s="2749"/>
      <c r="M12" s="2749"/>
      <c r="N12" s="2749"/>
      <c r="O12" s="2749"/>
      <c r="P12" s="2749"/>
      <c r="Q12" s="2749"/>
      <c r="R12" s="2749"/>
      <c r="S12" s="2749"/>
      <c r="T12" s="2749"/>
      <c r="U12" s="2749"/>
      <c r="V12" s="2749"/>
      <c r="W12" s="2749"/>
      <c r="X12" s="2749"/>
      <c r="Y12" s="2749"/>
      <c r="Z12" s="2749"/>
      <c r="AA12" s="2749"/>
      <c r="AB12" s="2749"/>
      <c r="AC12" s="2749"/>
      <c r="AD12" s="2749"/>
      <c r="AE12" s="2749"/>
      <c r="AF12" s="2749"/>
      <c r="AG12" s="2749"/>
      <c r="AH12" s="2749"/>
      <c r="AI12" s="2749"/>
      <c r="AJ12" s="2749"/>
      <c r="AK12" s="2749"/>
      <c r="AL12" s="2749"/>
      <c r="AM12" s="2749"/>
      <c r="AN12" s="2749"/>
      <c r="AO12" s="2749"/>
      <c r="AP12" s="2749"/>
      <c r="AQ12" s="2749"/>
      <c r="AR12" s="2749"/>
      <c r="AS12" s="2749"/>
      <c r="AT12" s="2749"/>
      <c r="AU12" s="2749"/>
      <c r="AV12" s="2749"/>
      <c r="AW12" s="2749"/>
      <c r="AX12" s="2750"/>
      <c r="AY12" s="580"/>
      <c r="AZ12" s="580"/>
      <c r="BA12" s="580"/>
      <c r="BB12" s="580"/>
      <c r="BC12" s="580"/>
      <c r="BD12" s="580"/>
    </row>
    <row r="13" spans="1:56" s="40" customFormat="1" ht="30" customHeight="1">
      <c r="A13" s="582"/>
      <c r="B13" s="712" t="s">
        <v>430</v>
      </c>
      <c r="C13" s="713"/>
      <c r="D13" s="713"/>
      <c r="E13" s="713"/>
      <c r="F13" s="713"/>
      <c r="G13" s="713"/>
      <c r="H13" s="713"/>
      <c r="I13" s="713"/>
      <c r="J13" s="714"/>
      <c r="K13" s="2731">
        <v>0</v>
      </c>
      <c r="L13" s="2732"/>
      <c r="M13" s="2732"/>
      <c r="N13" s="2732"/>
      <c r="O13" s="2733"/>
      <c r="P13" s="2734">
        <v>3</v>
      </c>
      <c r="Q13" s="2732"/>
      <c r="R13" s="2732"/>
      <c r="S13" s="2732"/>
      <c r="T13" s="2733"/>
      <c r="U13" s="2734">
        <v>0</v>
      </c>
      <c r="V13" s="2732"/>
      <c r="W13" s="2732"/>
      <c r="X13" s="2732"/>
      <c r="Y13" s="2733"/>
      <c r="Z13" s="2734">
        <v>0</v>
      </c>
      <c r="AA13" s="2732"/>
      <c r="AB13" s="2732"/>
      <c r="AC13" s="2732"/>
      <c r="AD13" s="2733"/>
      <c r="AE13" s="2734">
        <v>0</v>
      </c>
      <c r="AF13" s="2732"/>
      <c r="AG13" s="2732"/>
      <c r="AH13" s="2732"/>
      <c r="AI13" s="2733"/>
      <c r="AJ13" s="2734">
        <v>5</v>
      </c>
      <c r="AK13" s="2732"/>
      <c r="AL13" s="2732"/>
      <c r="AM13" s="2732"/>
      <c r="AN13" s="2733"/>
      <c r="AO13" s="2734">
        <v>0</v>
      </c>
      <c r="AP13" s="2732"/>
      <c r="AQ13" s="2732"/>
      <c r="AR13" s="2732"/>
      <c r="AS13" s="2735"/>
      <c r="AT13" s="2736">
        <f>SUM(K13:AS13)</f>
        <v>8</v>
      </c>
      <c r="AU13" s="2696"/>
      <c r="AV13" s="2696"/>
      <c r="AW13" s="2696"/>
      <c r="AX13" s="2697"/>
      <c r="AY13" s="582"/>
      <c r="AZ13" s="582"/>
      <c r="BA13" s="582"/>
      <c r="BB13" s="582"/>
      <c r="BC13" s="582"/>
      <c r="BD13" s="582"/>
    </row>
    <row r="14" spans="1:56" s="40" customFormat="1" ht="30" customHeight="1">
      <c r="A14" s="582"/>
      <c r="B14" s="715" t="s">
        <v>1243</v>
      </c>
      <c r="C14" s="716"/>
      <c r="D14" s="716"/>
      <c r="E14" s="716"/>
      <c r="F14" s="716"/>
      <c r="G14" s="716"/>
      <c r="H14" s="716"/>
      <c r="I14" s="716"/>
      <c r="J14" s="717"/>
      <c r="K14" s="2731">
        <v>0</v>
      </c>
      <c r="L14" s="2732"/>
      <c r="M14" s="2732"/>
      <c r="N14" s="2732"/>
      <c r="O14" s="2733"/>
      <c r="P14" s="2734">
        <v>0</v>
      </c>
      <c r="Q14" s="2732"/>
      <c r="R14" s="2732"/>
      <c r="S14" s="2732"/>
      <c r="T14" s="2733"/>
      <c r="U14" s="2734">
        <v>0</v>
      </c>
      <c r="V14" s="2732"/>
      <c r="W14" s="2732"/>
      <c r="X14" s="2732"/>
      <c r="Y14" s="2733"/>
      <c r="Z14" s="2734">
        <v>0</v>
      </c>
      <c r="AA14" s="2732"/>
      <c r="AB14" s="2732"/>
      <c r="AC14" s="2732"/>
      <c r="AD14" s="2733"/>
      <c r="AE14" s="2734">
        <v>0</v>
      </c>
      <c r="AF14" s="2732"/>
      <c r="AG14" s="2732"/>
      <c r="AH14" s="2732"/>
      <c r="AI14" s="2733"/>
      <c r="AJ14" s="2734">
        <v>0</v>
      </c>
      <c r="AK14" s="2732"/>
      <c r="AL14" s="2732"/>
      <c r="AM14" s="2732"/>
      <c r="AN14" s="2733"/>
      <c r="AO14" s="2734">
        <v>0</v>
      </c>
      <c r="AP14" s="2732"/>
      <c r="AQ14" s="2732"/>
      <c r="AR14" s="2732"/>
      <c r="AS14" s="2735"/>
      <c r="AT14" s="2736">
        <f>SUM(K14:AS14)</f>
        <v>0</v>
      </c>
      <c r="AU14" s="2696"/>
      <c r="AV14" s="2696"/>
      <c r="AW14" s="2696"/>
      <c r="AX14" s="2697"/>
      <c r="AY14" s="582"/>
      <c r="AZ14" s="582"/>
      <c r="BA14" s="582"/>
      <c r="BB14" s="582"/>
      <c r="BC14" s="582"/>
      <c r="BD14" s="582"/>
    </row>
    <row r="15" spans="1:56" s="40" customFormat="1" ht="30" customHeight="1">
      <c r="A15" s="582"/>
      <c r="B15" s="715" t="s">
        <v>1695</v>
      </c>
      <c r="C15" s="716"/>
      <c r="D15" s="716"/>
      <c r="E15" s="716"/>
      <c r="F15" s="716"/>
      <c r="G15" s="716"/>
      <c r="H15" s="716"/>
      <c r="I15" s="716"/>
      <c r="J15" s="717"/>
      <c r="K15" s="2737">
        <v>0</v>
      </c>
      <c r="L15" s="2738"/>
      <c r="M15" s="2738"/>
      <c r="N15" s="2738"/>
      <c r="O15" s="2739"/>
      <c r="P15" s="2740">
        <v>0</v>
      </c>
      <c r="Q15" s="2738"/>
      <c r="R15" s="2738"/>
      <c r="S15" s="2738"/>
      <c r="T15" s="2739"/>
      <c r="U15" s="2740">
        <v>0</v>
      </c>
      <c r="V15" s="2738"/>
      <c r="W15" s="2738"/>
      <c r="X15" s="2738"/>
      <c r="Y15" s="2739"/>
      <c r="Z15" s="2740">
        <v>0</v>
      </c>
      <c r="AA15" s="2738"/>
      <c r="AB15" s="2738"/>
      <c r="AC15" s="2738"/>
      <c r="AD15" s="2739"/>
      <c r="AE15" s="2740">
        <v>0</v>
      </c>
      <c r="AF15" s="2738"/>
      <c r="AG15" s="2738"/>
      <c r="AH15" s="2738"/>
      <c r="AI15" s="2739"/>
      <c r="AJ15" s="2740">
        <v>0</v>
      </c>
      <c r="AK15" s="2738"/>
      <c r="AL15" s="2738"/>
      <c r="AM15" s="2738"/>
      <c r="AN15" s="2739"/>
      <c r="AO15" s="2740">
        <v>0</v>
      </c>
      <c r="AP15" s="2738"/>
      <c r="AQ15" s="2738"/>
      <c r="AR15" s="2738"/>
      <c r="AS15" s="2741"/>
      <c r="AT15" s="2736">
        <f>SUM(K15:AS15)</f>
        <v>0</v>
      </c>
      <c r="AU15" s="2696"/>
      <c r="AV15" s="2696"/>
      <c r="AW15" s="2696"/>
      <c r="AX15" s="2697"/>
      <c r="AY15" s="582"/>
      <c r="AZ15" s="582"/>
      <c r="BA15" s="582"/>
      <c r="BB15" s="582"/>
      <c r="BC15" s="582"/>
      <c r="BD15" s="582"/>
    </row>
    <row r="16" spans="1:56" s="40" customFormat="1" ht="30" customHeight="1">
      <c r="A16" s="582"/>
      <c r="B16" s="715" t="s">
        <v>1242</v>
      </c>
      <c r="C16" s="716"/>
      <c r="D16" s="716"/>
      <c r="E16" s="716"/>
      <c r="F16" s="716"/>
      <c r="G16" s="716"/>
      <c r="H16" s="716"/>
      <c r="I16" s="716"/>
      <c r="J16" s="717"/>
      <c r="K16" s="2731">
        <v>0</v>
      </c>
      <c r="L16" s="2732"/>
      <c r="M16" s="2732"/>
      <c r="N16" s="2732"/>
      <c r="O16" s="2733"/>
      <c r="P16" s="2734">
        <v>0</v>
      </c>
      <c r="Q16" s="2732"/>
      <c r="R16" s="2732"/>
      <c r="S16" s="2732"/>
      <c r="T16" s="2733"/>
      <c r="U16" s="2734">
        <v>0</v>
      </c>
      <c r="V16" s="2732"/>
      <c r="W16" s="2732"/>
      <c r="X16" s="2732"/>
      <c r="Y16" s="2733"/>
      <c r="Z16" s="2734">
        <v>0</v>
      </c>
      <c r="AA16" s="2732"/>
      <c r="AB16" s="2732"/>
      <c r="AC16" s="2732"/>
      <c r="AD16" s="2733"/>
      <c r="AE16" s="2734">
        <v>0</v>
      </c>
      <c r="AF16" s="2732"/>
      <c r="AG16" s="2732"/>
      <c r="AH16" s="2732"/>
      <c r="AI16" s="2733"/>
      <c r="AJ16" s="2734">
        <v>0</v>
      </c>
      <c r="AK16" s="2732"/>
      <c r="AL16" s="2732"/>
      <c r="AM16" s="2732"/>
      <c r="AN16" s="2733"/>
      <c r="AO16" s="2734">
        <v>0</v>
      </c>
      <c r="AP16" s="2732"/>
      <c r="AQ16" s="2732"/>
      <c r="AR16" s="2732"/>
      <c r="AS16" s="2735"/>
      <c r="AT16" s="2736">
        <f>SUM(K16:AS16)</f>
        <v>0</v>
      </c>
      <c r="AU16" s="2696"/>
      <c r="AV16" s="2696"/>
      <c r="AW16" s="2696"/>
      <c r="AX16" s="2697"/>
      <c r="AY16" s="582"/>
      <c r="AZ16" s="582"/>
      <c r="BA16" s="582"/>
      <c r="BB16" s="582"/>
      <c r="BC16" s="582"/>
      <c r="BD16" s="582"/>
    </row>
    <row r="17" spans="1:84" s="40" customFormat="1" ht="30" customHeight="1" thickBot="1">
      <c r="A17" s="582"/>
      <c r="B17" s="718" t="s">
        <v>431</v>
      </c>
      <c r="C17" s="721"/>
      <c r="D17" s="721"/>
      <c r="E17" s="721"/>
      <c r="F17" s="721"/>
      <c r="G17" s="721"/>
      <c r="H17" s="721"/>
      <c r="I17" s="721"/>
      <c r="J17" s="722"/>
      <c r="K17" s="2723">
        <v>0</v>
      </c>
      <c r="L17" s="2724"/>
      <c r="M17" s="2724"/>
      <c r="N17" s="2724"/>
      <c r="O17" s="2725"/>
      <c r="P17" s="2726">
        <v>0</v>
      </c>
      <c r="Q17" s="2724"/>
      <c r="R17" s="2724"/>
      <c r="S17" s="2724"/>
      <c r="T17" s="2725"/>
      <c r="U17" s="2726">
        <v>0</v>
      </c>
      <c r="V17" s="2724"/>
      <c r="W17" s="2724"/>
      <c r="X17" s="2724"/>
      <c r="Y17" s="2725"/>
      <c r="Z17" s="2726">
        <v>0</v>
      </c>
      <c r="AA17" s="2724"/>
      <c r="AB17" s="2724"/>
      <c r="AC17" s="2724"/>
      <c r="AD17" s="2725"/>
      <c r="AE17" s="2726">
        <v>0</v>
      </c>
      <c r="AF17" s="2724"/>
      <c r="AG17" s="2724"/>
      <c r="AH17" s="2724"/>
      <c r="AI17" s="2725"/>
      <c r="AJ17" s="2726">
        <v>0</v>
      </c>
      <c r="AK17" s="2724"/>
      <c r="AL17" s="2724"/>
      <c r="AM17" s="2724"/>
      <c r="AN17" s="2725"/>
      <c r="AO17" s="2726">
        <v>0</v>
      </c>
      <c r="AP17" s="2724"/>
      <c r="AQ17" s="2724"/>
      <c r="AR17" s="2724"/>
      <c r="AS17" s="2727"/>
      <c r="AT17" s="2728">
        <f>SUM(K17:AS17)</f>
        <v>0</v>
      </c>
      <c r="AU17" s="2729"/>
      <c r="AV17" s="2729"/>
      <c r="AW17" s="2729"/>
      <c r="AX17" s="2730"/>
      <c r="AY17" s="582"/>
      <c r="AZ17" s="582"/>
      <c r="BA17" s="582"/>
      <c r="BB17" s="582"/>
      <c r="BC17" s="582"/>
      <c r="BD17" s="582"/>
    </row>
    <row r="18" spans="1:84" s="101" customFormat="1" ht="30" customHeight="1" thickTop="1" thickBot="1">
      <c r="A18" s="580"/>
      <c r="B18" s="723" t="s">
        <v>433</v>
      </c>
      <c r="C18" s="724"/>
      <c r="D18" s="724"/>
      <c r="E18" s="724"/>
      <c r="F18" s="724"/>
      <c r="G18" s="724"/>
      <c r="H18" s="724"/>
      <c r="I18" s="724"/>
      <c r="J18" s="725"/>
      <c r="K18" s="2686">
        <f>SUM(K13:O17)+sch_num_funct_computers_acad_dvt_depeddcp+sch_num_funct_computers_acad_tabletpc_depeddcp+sch_num_funct_computers_acad_tablet_depeddcp+sch_num_funct_computers_acad_notnetbook_depeddcp+sch_num_funct_computers_acad_desktop_depeddcp</f>
        <v>153</v>
      </c>
      <c r="L18" s="2680"/>
      <c r="M18" s="2680"/>
      <c r="N18" s="2680"/>
      <c r="O18" s="2681"/>
      <c r="P18" s="2679">
        <f>SUM(P13:T17)+sch_num_funct_computers_acad_dvt_depednondcp+sch_num_funct_computers_acad_tabletpc_depednondcp+sch_num_funct_computers_acad_tablet_depednondcp+sch_num_funct_computers_acad_notnetbook_depednondcp+sch_num_funct_computers_acad_sgs_desktop_depednondcp</f>
        <v>3</v>
      </c>
      <c r="Q18" s="2680"/>
      <c r="R18" s="2680"/>
      <c r="S18" s="2680"/>
      <c r="T18" s="2681"/>
      <c r="U18" s="2679">
        <f>SUM(U13:Y17)+sch_num_funct_computers_acad_dvt_lgusef+sch_num_funct_computers_acad_tabletpc_lgusef+sch_num_funct_computers_acad_tablet_lgusef+sch_num_funct_computers_acad_notnetbook_lgusef+sch_num_funct_computers_acad_desktop_lgusef</f>
        <v>0</v>
      </c>
      <c r="V18" s="2680"/>
      <c r="W18" s="2680"/>
      <c r="X18" s="2680"/>
      <c r="Y18" s="2681"/>
      <c r="Z18" s="2679">
        <f>SUM(Z13:AD17)+sch_num_funct_computers_acad_dvt_pta+sch_num_funct_computers_acad_tabletpc_pta+sch_num_funct_computers_acad_tablet_pta+sch_num_funct_computers_acad_notnetbook_pta+sch_num_funct_computers_acad_desktop_pta</f>
        <v>0</v>
      </c>
      <c r="AA18" s="2680"/>
      <c r="AB18" s="2680"/>
      <c r="AC18" s="2680"/>
      <c r="AD18" s="2681"/>
      <c r="AE18" s="2679">
        <f>SUM(AE13:AI17)+sch_num_funct_computers_acad_dvt_privatedon+sch_num_funct_computers_acad_tabletpc_privatedon+sch_num_funct_computers_acad_tablet_privatedon+sch_num_funct_computers_acad_notnetbook_privatedon+sch_num_funct_computers_acad_desktop_privatedon</f>
        <v>0</v>
      </c>
      <c r="AF18" s="2680"/>
      <c r="AG18" s="2680"/>
      <c r="AH18" s="2680"/>
      <c r="AI18" s="2681"/>
      <c r="AJ18" s="2679">
        <f>SUM(AJ13:AN17)+sch_num_funct_computers_acad_dvt_othergov+sch_num_funct_computers_acad_tabletpc_othergov+sch_num_funct_computers_acad_tablet_othergov+sch_num_funct_computers_acad_notnetbook_othergov+sch_num_funct_computers_acad_desktop_othergov</f>
        <v>10</v>
      </c>
      <c r="AK18" s="2680"/>
      <c r="AL18" s="2680"/>
      <c r="AM18" s="2680"/>
      <c r="AN18" s="2681"/>
      <c r="AO18" s="2720">
        <f>SUM(AO13:AS17)+sch_num_funct_computers_acad_dvt_others+sch_num_funct_computers_acad_tabletpc_others+sch_num_funct_computers_acad_tablet_others+sch_num_funct_computers_acad_notnetbook_others+sch_num_funct_computers_acad_desktop_others</f>
        <v>0</v>
      </c>
      <c r="AP18" s="2720"/>
      <c r="AQ18" s="2720"/>
      <c r="AR18" s="2720"/>
      <c r="AS18" s="2720"/>
      <c r="AT18" s="2721">
        <f>SUM(AT13:AX17)+AT11+AT10+AT9+AT8+AT7</f>
        <v>166</v>
      </c>
      <c r="AU18" s="2680"/>
      <c r="AV18" s="2680"/>
      <c r="AW18" s="2680"/>
      <c r="AX18" s="2688"/>
      <c r="AY18" s="580"/>
      <c r="AZ18" s="580"/>
      <c r="BA18" s="580"/>
      <c r="BB18" s="580"/>
      <c r="BC18" s="580"/>
      <c r="BD18" s="580"/>
      <c r="BN18" s="165"/>
      <c r="BO18" s="165"/>
      <c r="BP18" s="165"/>
      <c r="BQ18" s="165"/>
      <c r="BR18" s="165"/>
      <c r="BS18" s="165"/>
      <c r="BT18" s="165"/>
      <c r="BU18" s="165"/>
      <c r="BV18" s="165"/>
      <c r="BW18" s="165"/>
      <c r="BX18" s="165"/>
      <c r="BY18" s="165"/>
      <c r="BZ18" s="165"/>
      <c r="CA18" s="165"/>
      <c r="CB18" s="165"/>
      <c r="CC18" s="165"/>
      <c r="CD18" s="165"/>
      <c r="CE18" s="165"/>
      <c r="CF18" s="165"/>
    </row>
    <row r="19" spans="1:84" s="101" customFormat="1" ht="5.0999999999999996" customHeight="1">
      <c r="A19" s="580"/>
      <c r="B19" s="604"/>
      <c r="C19" s="604"/>
      <c r="D19" s="604"/>
      <c r="E19" s="726"/>
      <c r="F19" s="726"/>
      <c r="G19" s="726"/>
      <c r="H19" s="726"/>
      <c r="I19" s="726"/>
      <c r="J19" s="727"/>
      <c r="K19" s="726"/>
      <c r="L19" s="726"/>
      <c r="M19" s="726"/>
      <c r="N19" s="728"/>
      <c r="O19" s="728"/>
      <c r="P19" s="728"/>
      <c r="Q19" s="728"/>
      <c r="R19" s="728"/>
      <c r="S19" s="728"/>
      <c r="T19" s="728"/>
      <c r="U19" s="729"/>
      <c r="V19" s="729"/>
      <c r="W19" s="729"/>
      <c r="X19" s="729"/>
      <c r="Y19" s="580"/>
      <c r="Z19" s="580"/>
      <c r="AA19" s="580"/>
      <c r="AB19" s="580"/>
      <c r="AC19" s="580"/>
      <c r="AD19" s="580"/>
      <c r="AE19" s="580"/>
      <c r="AF19" s="580"/>
      <c r="AG19" s="580"/>
      <c r="AH19" s="580"/>
      <c r="AI19" s="580"/>
      <c r="AJ19" s="580"/>
      <c r="AK19" s="580"/>
      <c r="AL19" s="580"/>
      <c r="AM19" s="580"/>
      <c r="AN19" s="580"/>
      <c r="AO19" s="580"/>
      <c r="AP19" s="580"/>
      <c r="AQ19" s="580"/>
      <c r="AR19" s="580"/>
      <c r="AS19" s="580"/>
      <c r="AT19" s="580"/>
      <c r="AU19" s="580"/>
      <c r="AV19" s="580"/>
      <c r="AW19" s="580"/>
      <c r="AX19" s="580"/>
      <c r="AY19" s="729"/>
      <c r="AZ19" s="729"/>
      <c r="BA19" s="729"/>
      <c r="BB19" s="729"/>
      <c r="BC19" s="729"/>
      <c r="BD19" s="729"/>
      <c r="BE19" s="165"/>
      <c r="BF19" s="165"/>
      <c r="BG19" s="165"/>
      <c r="BH19" s="165"/>
      <c r="BI19" s="165"/>
      <c r="BJ19" s="165"/>
      <c r="BK19" s="165"/>
      <c r="BL19" s="165"/>
      <c r="BM19" s="165"/>
      <c r="BN19" s="165"/>
      <c r="BO19" s="165"/>
      <c r="BP19" s="165"/>
    </row>
    <row r="20" spans="1:84" s="32" customFormat="1" ht="15" customHeight="1">
      <c r="A20" s="347"/>
      <c r="B20" s="2718" t="s">
        <v>434</v>
      </c>
      <c r="C20" s="2718"/>
      <c r="D20" s="2718"/>
      <c r="E20" s="2718"/>
      <c r="F20" s="2718"/>
      <c r="G20" s="2718"/>
      <c r="H20" s="2718"/>
      <c r="I20" s="2718"/>
      <c r="J20" s="2718"/>
      <c r="K20" s="2718"/>
      <c r="L20" s="2718"/>
      <c r="M20" s="2718"/>
      <c r="N20" s="2718"/>
      <c r="O20" s="2718"/>
      <c r="P20" s="2718"/>
      <c r="Q20" s="2718"/>
      <c r="R20" s="2718"/>
      <c r="S20" s="2718"/>
      <c r="T20" s="2718"/>
      <c r="U20" s="2718"/>
      <c r="V20" s="2718"/>
      <c r="W20" s="2718"/>
      <c r="X20" s="2718"/>
      <c r="Y20" s="2718"/>
      <c r="Z20" s="2718"/>
      <c r="AA20" s="2718"/>
      <c r="AB20" s="2718"/>
      <c r="AC20" s="2718"/>
      <c r="AD20" s="2718"/>
      <c r="AE20" s="2718"/>
      <c r="AF20" s="2718"/>
      <c r="AG20" s="2718"/>
      <c r="AH20" s="2718"/>
      <c r="AI20" s="2718"/>
      <c r="AJ20" s="2718"/>
      <c r="AK20" s="2718"/>
      <c r="AL20" s="2718"/>
      <c r="AM20" s="2718"/>
      <c r="AN20" s="2718"/>
      <c r="AO20" s="2718"/>
      <c r="AP20" s="2718"/>
      <c r="AQ20" s="2718"/>
      <c r="AR20" s="2718"/>
      <c r="AS20" s="2718"/>
      <c r="AT20" s="2718"/>
      <c r="AU20" s="2718"/>
      <c r="AV20" s="2718"/>
      <c r="AW20" s="2718"/>
      <c r="AX20" s="2718"/>
      <c r="AY20" s="347"/>
      <c r="AZ20" s="347"/>
      <c r="BA20" s="347"/>
      <c r="BB20" s="347"/>
      <c r="BC20" s="347"/>
      <c r="BD20" s="347"/>
    </row>
    <row r="21" spans="1:84" s="32" customFormat="1" ht="15" customHeight="1">
      <c r="A21" s="347"/>
      <c r="B21" s="2716" t="s">
        <v>435</v>
      </c>
      <c r="C21" s="2716"/>
      <c r="D21" s="2716"/>
      <c r="E21" s="2716"/>
      <c r="F21" s="2716"/>
      <c r="G21" s="2716"/>
      <c r="H21" s="2716"/>
      <c r="I21" s="2716"/>
      <c r="J21" s="2716"/>
      <c r="K21" s="2716"/>
      <c r="L21" s="2716"/>
      <c r="M21" s="2716"/>
      <c r="N21" s="2716"/>
      <c r="O21" s="2716"/>
      <c r="P21" s="2716"/>
      <c r="Q21" s="2716"/>
      <c r="R21" s="2716"/>
      <c r="S21" s="2716"/>
      <c r="T21" s="2716"/>
      <c r="U21" s="2716"/>
      <c r="V21" s="2716"/>
      <c r="W21" s="2716"/>
      <c r="X21" s="2716"/>
      <c r="Y21" s="2716"/>
      <c r="Z21" s="2716"/>
      <c r="AA21" s="2716"/>
      <c r="AB21" s="2716"/>
      <c r="AC21" s="2716"/>
      <c r="AD21" s="2716"/>
      <c r="AE21" s="2716"/>
      <c r="AF21" s="2716"/>
      <c r="AG21" s="2716"/>
      <c r="AH21" s="2716"/>
      <c r="AI21" s="2716"/>
      <c r="AJ21" s="2716"/>
      <c r="AK21" s="2716"/>
      <c r="AL21" s="2716"/>
      <c r="AM21" s="2716"/>
      <c r="AN21" s="2716"/>
      <c r="AO21" s="2716"/>
      <c r="AP21" s="2716"/>
      <c r="AQ21" s="2716"/>
      <c r="AR21" s="2716"/>
      <c r="AS21" s="2716"/>
      <c r="AT21" s="2716"/>
      <c r="AU21" s="2716"/>
      <c r="AV21" s="2716"/>
      <c r="AW21" s="2716"/>
      <c r="AX21" s="2716"/>
      <c r="AY21" s="347"/>
      <c r="AZ21" s="347"/>
      <c r="BA21" s="347"/>
      <c r="BB21" s="347"/>
      <c r="BC21" s="347"/>
      <c r="BD21" s="347"/>
    </row>
    <row r="22" spans="1:84" s="32" customFormat="1" ht="15" customHeight="1">
      <c r="A22" s="347"/>
      <c r="B22" s="2722" t="s">
        <v>1107</v>
      </c>
      <c r="C22" s="2722"/>
      <c r="D22" s="2722"/>
      <c r="E22" s="2722"/>
      <c r="F22" s="2722"/>
      <c r="G22" s="2722"/>
      <c r="H22" s="2722"/>
      <c r="I22" s="2722"/>
      <c r="J22" s="2722"/>
      <c r="K22" s="2722"/>
      <c r="L22" s="2722"/>
      <c r="M22" s="2722"/>
      <c r="N22" s="2722"/>
      <c r="O22" s="2722"/>
      <c r="P22" s="2722"/>
      <c r="Q22" s="2722"/>
      <c r="R22" s="2722"/>
      <c r="S22" s="2722"/>
      <c r="T22" s="2722"/>
      <c r="U22" s="2722"/>
      <c r="V22" s="2722"/>
      <c r="W22" s="2722"/>
      <c r="X22" s="2722"/>
      <c r="Y22" s="2722"/>
      <c r="Z22" s="2722"/>
      <c r="AA22" s="2722"/>
      <c r="AB22" s="2722"/>
      <c r="AC22" s="2722"/>
      <c r="AD22" s="2722"/>
      <c r="AE22" s="2722"/>
      <c r="AF22" s="2722"/>
      <c r="AG22" s="2722"/>
      <c r="AH22" s="2722"/>
      <c r="AI22" s="2722"/>
      <c r="AJ22" s="2722"/>
      <c r="AK22" s="2722"/>
      <c r="AL22" s="2722"/>
      <c r="AM22" s="2722"/>
      <c r="AN22" s="2722"/>
      <c r="AO22" s="2722"/>
      <c r="AP22" s="2722"/>
      <c r="AQ22" s="2722"/>
      <c r="AR22" s="2722"/>
      <c r="AS22" s="2722"/>
      <c r="AT22" s="2722"/>
      <c r="AU22" s="2722"/>
      <c r="AV22" s="2722"/>
      <c r="AW22" s="2722"/>
      <c r="AX22" s="2722"/>
      <c r="AY22" s="347"/>
      <c r="AZ22" s="347"/>
      <c r="BA22" s="347"/>
      <c r="BB22" s="347"/>
      <c r="BC22" s="347"/>
      <c r="BD22" s="347"/>
    </row>
    <row r="23" spans="1:84" s="32" customFormat="1" ht="15" customHeight="1">
      <c r="A23" s="347"/>
      <c r="B23" s="2716" t="s">
        <v>436</v>
      </c>
      <c r="C23" s="2716"/>
      <c r="D23" s="2716"/>
      <c r="E23" s="2716"/>
      <c r="F23" s="2716"/>
      <c r="G23" s="2716"/>
      <c r="H23" s="2716"/>
      <c r="I23" s="2716"/>
      <c r="J23" s="2716"/>
      <c r="K23" s="2716"/>
      <c r="L23" s="2716"/>
      <c r="M23" s="2716"/>
      <c r="N23" s="2716"/>
      <c r="O23" s="2716"/>
      <c r="P23" s="2716"/>
      <c r="Q23" s="2716"/>
      <c r="R23" s="2716"/>
      <c r="S23" s="2716"/>
      <c r="T23" s="2716"/>
      <c r="U23" s="2716"/>
      <c r="V23" s="2716"/>
      <c r="W23" s="2716"/>
      <c r="X23" s="2716"/>
      <c r="Y23" s="2716"/>
      <c r="Z23" s="2716"/>
      <c r="AA23" s="2716"/>
      <c r="AB23" s="2716"/>
      <c r="AC23" s="2716"/>
      <c r="AD23" s="2716"/>
      <c r="AE23" s="2716"/>
      <c r="AF23" s="2716"/>
      <c r="AG23" s="2716"/>
      <c r="AH23" s="2716"/>
      <c r="AI23" s="2716"/>
      <c r="AJ23" s="2716"/>
      <c r="AK23" s="2716"/>
      <c r="AL23" s="2716"/>
      <c r="AM23" s="2716"/>
      <c r="AN23" s="2716"/>
      <c r="AO23" s="2716"/>
      <c r="AP23" s="2716"/>
      <c r="AQ23" s="2716"/>
      <c r="AR23" s="2716"/>
      <c r="AS23" s="2716"/>
      <c r="AT23" s="2716"/>
      <c r="AU23" s="2716"/>
      <c r="AV23" s="2716"/>
      <c r="AW23" s="2716"/>
      <c r="AX23" s="2716"/>
      <c r="AY23" s="347"/>
      <c r="AZ23" s="347"/>
      <c r="BA23" s="347"/>
      <c r="BB23" s="347"/>
      <c r="BC23" s="347"/>
      <c r="BD23" s="347"/>
    </row>
    <row r="24" spans="1:84" s="32" customFormat="1" ht="15" customHeight="1">
      <c r="A24" s="347"/>
      <c r="B24" s="2716" t="s">
        <v>437</v>
      </c>
      <c r="C24" s="2716"/>
      <c r="D24" s="2716"/>
      <c r="E24" s="2716"/>
      <c r="F24" s="2716"/>
      <c r="G24" s="2716"/>
      <c r="H24" s="2716"/>
      <c r="I24" s="2716"/>
      <c r="J24" s="2716"/>
      <c r="K24" s="2716"/>
      <c r="L24" s="2716"/>
      <c r="M24" s="2716"/>
      <c r="N24" s="2716"/>
      <c r="O24" s="2716"/>
      <c r="P24" s="2716"/>
      <c r="Q24" s="2716"/>
      <c r="R24" s="2716"/>
      <c r="S24" s="2716"/>
      <c r="T24" s="2716"/>
      <c r="U24" s="2716"/>
      <c r="V24" s="2716"/>
      <c r="W24" s="2716"/>
      <c r="X24" s="2716"/>
      <c r="Y24" s="2716"/>
      <c r="Z24" s="2716"/>
      <c r="AA24" s="2716"/>
      <c r="AB24" s="2716"/>
      <c r="AC24" s="2716"/>
      <c r="AD24" s="2716"/>
      <c r="AE24" s="2716"/>
      <c r="AF24" s="2716"/>
      <c r="AG24" s="2716"/>
      <c r="AH24" s="2716"/>
      <c r="AI24" s="2716"/>
      <c r="AJ24" s="2716"/>
      <c r="AK24" s="2716"/>
      <c r="AL24" s="2716"/>
      <c r="AM24" s="2716"/>
      <c r="AN24" s="2716"/>
      <c r="AO24" s="2716"/>
      <c r="AP24" s="2716"/>
      <c r="AQ24" s="2716"/>
      <c r="AR24" s="2716"/>
      <c r="AS24" s="2716"/>
      <c r="AT24" s="2716"/>
      <c r="AU24" s="2716"/>
      <c r="AV24" s="2716"/>
      <c r="AW24" s="2716"/>
      <c r="AX24" s="2716"/>
      <c r="AY24" s="347"/>
      <c r="AZ24" s="347"/>
      <c r="BA24" s="347"/>
      <c r="BB24" s="347"/>
      <c r="BC24" s="347"/>
      <c r="BD24" s="347"/>
    </row>
    <row r="25" spans="1:84" s="32" customFormat="1">
      <c r="A25" s="347"/>
      <c r="B25" s="2716" t="s">
        <v>438</v>
      </c>
      <c r="C25" s="2716"/>
      <c r="D25" s="2716"/>
      <c r="E25" s="2716"/>
      <c r="F25" s="2716"/>
      <c r="G25" s="2716"/>
      <c r="H25" s="2716"/>
      <c r="I25" s="2716"/>
      <c r="J25" s="2716"/>
      <c r="K25" s="2716"/>
      <c r="L25" s="2716"/>
      <c r="M25" s="2716"/>
      <c r="N25" s="2716"/>
      <c r="O25" s="2716"/>
      <c r="P25" s="2716"/>
      <c r="Q25" s="2716"/>
      <c r="R25" s="2716"/>
      <c r="S25" s="2716"/>
      <c r="T25" s="2716"/>
      <c r="U25" s="2716"/>
      <c r="V25" s="2716"/>
      <c r="W25" s="2716"/>
      <c r="X25" s="2716"/>
      <c r="Y25" s="2716"/>
      <c r="Z25" s="2716"/>
      <c r="AA25" s="2716"/>
      <c r="AB25" s="2716"/>
      <c r="AC25" s="2716"/>
      <c r="AD25" s="2716"/>
      <c r="AE25" s="2716"/>
      <c r="AF25" s="2716"/>
      <c r="AG25" s="2716"/>
      <c r="AH25" s="2716"/>
      <c r="AI25" s="2716"/>
      <c r="AJ25" s="2716"/>
      <c r="AK25" s="2716"/>
      <c r="AL25" s="2716"/>
      <c r="AM25" s="2716"/>
      <c r="AN25" s="2716"/>
      <c r="AO25" s="2716"/>
      <c r="AP25" s="2716"/>
      <c r="AQ25" s="2716"/>
      <c r="AR25" s="2716"/>
      <c r="AS25" s="2716"/>
      <c r="AT25" s="2716"/>
      <c r="AU25" s="2716"/>
      <c r="AV25" s="2716"/>
      <c r="AW25" s="2716"/>
      <c r="AX25" s="2716"/>
      <c r="AY25" s="347"/>
      <c r="AZ25" s="347"/>
      <c r="BA25" s="347"/>
      <c r="BB25" s="347"/>
      <c r="BC25" s="347"/>
      <c r="BD25" s="347"/>
    </row>
    <row r="26" spans="1:84" s="32" customFormat="1" ht="15" customHeight="1">
      <c r="A26" s="347"/>
      <c r="B26" s="2719" t="s">
        <v>439</v>
      </c>
      <c r="C26" s="2719"/>
      <c r="D26" s="2719"/>
      <c r="E26" s="2719"/>
      <c r="F26" s="2719"/>
      <c r="G26" s="2719"/>
      <c r="H26" s="2719"/>
      <c r="I26" s="2719"/>
      <c r="J26" s="2719"/>
      <c r="K26" s="2719"/>
      <c r="L26" s="2719"/>
      <c r="M26" s="2719"/>
      <c r="N26" s="2719"/>
      <c r="O26" s="2719"/>
      <c r="P26" s="2719"/>
      <c r="Q26" s="2719"/>
      <c r="R26" s="2719"/>
      <c r="S26" s="2719"/>
      <c r="T26" s="2719"/>
      <c r="U26" s="2719"/>
      <c r="V26" s="2719"/>
      <c r="W26" s="2719"/>
      <c r="X26" s="2719"/>
      <c r="Y26" s="2719"/>
      <c r="Z26" s="2719"/>
      <c r="AA26" s="2719"/>
      <c r="AB26" s="2719"/>
      <c r="AC26" s="2719"/>
      <c r="AD26" s="2719"/>
      <c r="AE26" s="2719"/>
      <c r="AF26" s="2719"/>
      <c r="AG26" s="2719"/>
      <c r="AH26" s="2719"/>
      <c r="AI26" s="2719"/>
      <c r="AJ26" s="2719"/>
      <c r="AK26" s="2719"/>
      <c r="AL26" s="2719"/>
      <c r="AM26" s="2719"/>
      <c r="AN26" s="2719"/>
      <c r="AO26" s="2719"/>
      <c r="AP26" s="2719"/>
      <c r="AQ26" s="2719"/>
      <c r="AR26" s="2719"/>
      <c r="AS26" s="2719"/>
      <c r="AT26" s="2719"/>
      <c r="AU26" s="2719"/>
      <c r="AV26" s="2719"/>
      <c r="AW26" s="2719"/>
      <c r="AX26" s="2719"/>
      <c r="AY26" s="347"/>
      <c r="AZ26" s="347"/>
      <c r="BA26" s="347"/>
      <c r="BB26" s="347"/>
      <c r="BC26" s="347"/>
      <c r="BD26" s="347"/>
    </row>
    <row r="27" spans="1:84" s="32" customFormat="1" ht="15" customHeight="1">
      <c r="A27" s="347"/>
      <c r="B27" s="2716" t="s">
        <v>440</v>
      </c>
      <c r="C27" s="2716"/>
      <c r="D27" s="2716"/>
      <c r="E27" s="2716"/>
      <c r="F27" s="2716"/>
      <c r="G27" s="2716"/>
      <c r="H27" s="2716"/>
      <c r="I27" s="2716"/>
      <c r="J27" s="2716"/>
      <c r="K27" s="2716"/>
      <c r="L27" s="2716"/>
      <c r="M27" s="2716"/>
      <c r="N27" s="2716"/>
      <c r="O27" s="2716"/>
      <c r="P27" s="2716"/>
      <c r="Q27" s="2716"/>
      <c r="R27" s="2716"/>
      <c r="S27" s="2716"/>
      <c r="T27" s="2716"/>
      <c r="U27" s="2716"/>
      <c r="V27" s="2716"/>
      <c r="W27" s="2716"/>
      <c r="X27" s="2716"/>
      <c r="Y27" s="2716"/>
      <c r="Z27" s="2716"/>
      <c r="AA27" s="2716"/>
      <c r="AB27" s="2716"/>
      <c r="AC27" s="2716"/>
      <c r="AD27" s="2716"/>
      <c r="AE27" s="2716"/>
      <c r="AF27" s="2716"/>
      <c r="AG27" s="2716"/>
      <c r="AH27" s="2716"/>
      <c r="AI27" s="2716"/>
      <c r="AJ27" s="2716"/>
      <c r="AK27" s="2716"/>
      <c r="AL27" s="2716"/>
      <c r="AM27" s="2716"/>
      <c r="AN27" s="2716"/>
      <c r="AO27" s="2716"/>
      <c r="AP27" s="2716"/>
      <c r="AQ27" s="2716"/>
      <c r="AR27" s="2716"/>
      <c r="AS27" s="2716"/>
      <c r="AT27" s="2716"/>
      <c r="AU27" s="2716"/>
      <c r="AV27" s="2716"/>
      <c r="AW27" s="2716"/>
      <c r="AX27" s="2716"/>
      <c r="AY27" s="347"/>
      <c r="AZ27" s="347"/>
      <c r="BA27" s="347"/>
      <c r="BB27" s="347"/>
      <c r="BC27" s="347"/>
      <c r="BD27" s="347"/>
    </row>
    <row r="28" spans="1:84" s="32" customFormat="1" ht="15" customHeight="1">
      <c r="A28" s="347"/>
      <c r="B28" s="2718" t="s">
        <v>441</v>
      </c>
      <c r="C28" s="2718"/>
      <c r="D28" s="2718"/>
      <c r="E28" s="2718"/>
      <c r="F28" s="2718"/>
      <c r="G28" s="2718"/>
      <c r="H28" s="2718"/>
      <c r="I28" s="2718"/>
      <c r="J28" s="2718"/>
      <c r="K28" s="2718"/>
      <c r="L28" s="2718"/>
      <c r="M28" s="2718"/>
      <c r="N28" s="2718"/>
      <c r="O28" s="2718"/>
      <c r="P28" s="2718"/>
      <c r="Q28" s="2718"/>
      <c r="R28" s="2718"/>
      <c r="S28" s="2718"/>
      <c r="T28" s="2718"/>
      <c r="U28" s="2718"/>
      <c r="V28" s="2718"/>
      <c r="W28" s="2718"/>
      <c r="X28" s="2718"/>
      <c r="Y28" s="2718"/>
      <c r="Z28" s="2718"/>
      <c r="AA28" s="2718"/>
      <c r="AB28" s="2718"/>
      <c r="AC28" s="2718"/>
      <c r="AD28" s="2718"/>
      <c r="AE28" s="2718"/>
      <c r="AF28" s="2718"/>
      <c r="AG28" s="2718"/>
      <c r="AH28" s="2718"/>
      <c r="AI28" s="2718"/>
      <c r="AJ28" s="2718"/>
      <c r="AK28" s="2718"/>
      <c r="AL28" s="2718"/>
      <c r="AM28" s="2718"/>
      <c r="AN28" s="2718"/>
      <c r="AO28" s="2718"/>
      <c r="AP28" s="2718"/>
      <c r="AQ28" s="2718"/>
      <c r="AR28" s="2718"/>
      <c r="AS28" s="2718"/>
      <c r="AT28" s="2718"/>
      <c r="AU28" s="2718"/>
      <c r="AV28" s="2718"/>
      <c r="AW28" s="2718"/>
      <c r="AX28" s="2718"/>
      <c r="AY28" s="347"/>
      <c r="AZ28" s="347"/>
      <c r="BA28" s="347"/>
      <c r="BB28" s="347"/>
      <c r="BC28" s="347"/>
      <c r="BD28" s="347"/>
    </row>
    <row r="29" spans="1:84" s="32" customFormat="1" ht="15" customHeight="1">
      <c r="A29" s="347"/>
      <c r="B29" s="2716" t="s">
        <v>442</v>
      </c>
      <c r="C29" s="2716"/>
      <c r="D29" s="2716"/>
      <c r="E29" s="2716"/>
      <c r="F29" s="2716"/>
      <c r="G29" s="2716"/>
      <c r="H29" s="2716"/>
      <c r="I29" s="2716"/>
      <c r="J29" s="2716"/>
      <c r="K29" s="2716"/>
      <c r="L29" s="2716"/>
      <c r="M29" s="2716"/>
      <c r="N29" s="2716"/>
      <c r="O29" s="2716"/>
      <c r="P29" s="2716"/>
      <c r="Q29" s="2716"/>
      <c r="R29" s="2716"/>
      <c r="S29" s="2716"/>
      <c r="T29" s="2716"/>
      <c r="U29" s="2716"/>
      <c r="V29" s="2716"/>
      <c r="W29" s="2716"/>
      <c r="X29" s="2716"/>
      <c r="Y29" s="2716"/>
      <c r="Z29" s="2716"/>
      <c r="AA29" s="2716"/>
      <c r="AB29" s="2716"/>
      <c r="AC29" s="2716"/>
      <c r="AD29" s="2716"/>
      <c r="AE29" s="2716"/>
      <c r="AF29" s="2716"/>
      <c r="AG29" s="2716"/>
      <c r="AH29" s="2716"/>
      <c r="AI29" s="2716"/>
      <c r="AJ29" s="2716"/>
      <c r="AK29" s="2716"/>
      <c r="AL29" s="2716"/>
      <c r="AM29" s="2716"/>
      <c r="AN29" s="2716"/>
      <c r="AO29" s="2716"/>
      <c r="AP29" s="2716"/>
      <c r="AQ29" s="2716"/>
      <c r="AR29" s="2716"/>
      <c r="AS29" s="2716"/>
      <c r="AT29" s="2716"/>
      <c r="AU29" s="2716"/>
      <c r="AV29" s="2716"/>
      <c r="AW29" s="2716"/>
      <c r="AX29" s="2716"/>
      <c r="AY29" s="347"/>
      <c r="AZ29" s="347"/>
      <c r="BA29" s="347"/>
      <c r="BB29" s="347"/>
      <c r="BC29" s="347"/>
      <c r="BD29" s="347"/>
    </row>
    <row r="30" spans="1:84" s="32" customFormat="1" ht="15" customHeight="1">
      <c r="A30" s="347"/>
      <c r="B30" s="2716" t="s">
        <v>1696</v>
      </c>
      <c r="C30" s="2716"/>
      <c r="D30" s="2716"/>
      <c r="E30" s="2716"/>
      <c r="F30" s="2716"/>
      <c r="G30" s="2716"/>
      <c r="H30" s="2716"/>
      <c r="I30" s="2716"/>
      <c r="J30" s="2716"/>
      <c r="K30" s="2716"/>
      <c r="L30" s="2716"/>
      <c r="M30" s="2716"/>
      <c r="N30" s="2716"/>
      <c r="O30" s="2716"/>
      <c r="P30" s="2716"/>
      <c r="Q30" s="2716"/>
      <c r="R30" s="2716"/>
      <c r="S30" s="2716"/>
      <c r="T30" s="2716"/>
      <c r="U30" s="2716"/>
      <c r="V30" s="2716"/>
      <c r="W30" s="2716"/>
      <c r="X30" s="2716"/>
      <c r="Y30" s="2716"/>
      <c r="Z30" s="2716"/>
      <c r="AA30" s="2716"/>
      <c r="AB30" s="2716"/>
      <c r="AC30" s="2716"/>
      <c r="AD30" s="2716"/>
      <c r="AE30" s="2716"/>
      <c r="AF30" s="2716"/>
      <c r="AG30" s="2716"/>
      <c r="AH30" s="2716"/>
      <c r="AI30" s="2716"/>
      <c r="AJ30" s="2716"/>
      <c r="AK30" s="2716"/>
      <c r="AL30" s="2716"/>
      <c r="AM30" s="2716"/>
      <c r="AN30" s="2716"/>
      <c r="AO30" s="2716"/>
      <c r="AP30" s="2716"/>
      <c r="AQ30" s="2716"/>
      <c r="AR30" s="2716"/>
      <c r="AS30" s="2716"/>
      <c r="AT30" s="2716"/>
      <c r="AU30" s="2716"/>
      <c r="AV30" s="2716"/>
      <c r="AW30" s="2716"/>
      <c r="AX30" s="2716"/>
      <c r="AY30" s="347"/>
      <c r="AZ30" s="347"/>
      <c r="BA30" s="347"/>
      <c r="BB30" s="347"/>
      <c r="BC30" s="347"/>
      <c r="BD30" s="347"/>
    </row>
    <row r="31" spans="1:84" s="32" customFormat="1" ht="15" customHeight="1">
      <c r="A31" s="347"/>
      <c r="B31" s="2716" t="s">
        <v>1697</v>
      </c>
      <c r="C31" s="2716"/>
      <c r="D31" s="2716"/>
      <c r="E31" s="2716"/>
      <c r="F31" s="2716"/>
      <c r="G31" s="2716"/>
      <c r="H31" s="2716"/>
      <c r="I31" s="2716"/>
      <c r="J31" s="2716"/>
      <c r="K31" s="2716"/>
      <c r="L31" s="2716"/>
      <c r="M31" s="2716"/>
      <c r="N31" s="2716"/>
      <c r="O31" s="2716"/>
      <c r="P31" s="2716"/>
      <c r="Q31" s="2716"/>
      <c r="R31" s="2716"/>
      <c r="S31" s="2716"/>
      <c r="T31" s="2716"/>
      <c r="U31" s="2716"/>
      <c r="V31" s="2716"/>
      <c r="W31" s="2716"/>
      <c r="X31" s="2716"/>
      <c r="Y31" s="2716"/>
      <c r="Z31" s="2716"/>
      <c r="AA31" s="2716"/>
      <c r="AB31" s="2716"/>
      <c r="AC31" s="2716"/>
      <c r="AD31" s="2716"/>
      <c r="AE31" s="2716"/>
      <c r="AF31" s="2716"/>
      <c r="AG31" s="2716"/>
      <c r="AH31" s="2716"/>
      <c r="AI31" s="2716"/>
      <c r="AJ31" s="2716"/>
      <c r="AK31" s="2716"/>
      <c r="AL31" s="2716"/>
      <c r="AM31" s="2716"/>
      <c r="AN31" s="2716"/>
      <c r="AO31" s="2716"/>
      <c r="AP31" s="2716"/>
      <c r="AQ31" s="2716"/>
      <c r="AR31" s="2716"/>
      <c r="AS31" s="2716"/>
      <c r="AT31" s="2716"/>
      <c r="AU31" s="2716"/>
      <c r="AV31" s="2716"/>
      <c r="AW31" s="2716"/>
      <c r="AX31" s="2716"/>
      <c r="AY31" s="347"/>
      <c r="AZ31" s="347"/>
      <c r="BA31" s="347"/>
      <c r="BB31" s="347"/>
      <c r="BC31" s="347"/>
      <c r="BD31" s="347"/>
    </row>
    <row r="32" spans="1:84" s="32" customFormat="1" ht="15" customHeight="1">
      <c r="A32" s="347"/>
      <c r="B32" s="2716" t="s">
        <v>1698</v>
      </c>
      <c r="C32" s="2716"/>
      <c r="D32" s="2716"/>
      <c r="E32" s="2716"/>
      <c r="F32" s="2716"/>
      <c r="G32" s="2716"/>
      <c r="H32" s="2716"/>
      <c r="I32" s="2716"/>
      <c r="J32" s="2716"/>
      <c r="K32" s="2716"/>
      <c r="L32" s="2716"/>
      <c r="M32" s="2716"/>
      <c r="N32" s="2716"/>
      <c r="O32" s="2716"/>
      <c r="P32" s="2716"/>
      <c r="Q32" s="2716"/>
      <c r="R32" s="2716"/>
      <c r="S32" s="2716"/>
      <c r="T32" s="2716"/>
      <c r="U32" s="2716"/>
      <c r="V32" s="2716"/>
      <c r="W32" s="2716"/>
      <c r="X32" s="2716"/>
      <c r="Y32" s="2716"/>
      <c r="Z32" s="2716"/>
      <c r="AA32" s="2716"/>
      <c r="AB32" s="2716"/>
      <c r="AC32" s="2716"/>
      <c r="AD32" s="2716"/>
      <c r="AE32" s="2716"/>
      <c r="AF32" s="2716"/>
      <c r="AG32" s="2716"/>
      <c r="AH32" s="2716"/>
      <c r="AI32" s="2716"/>
      <c r="AJ32" s="2716"/>
      <c r="AK32" s="2716"/>
      <c r="AL32" s="2716"/>
      <c r="AM32" s="2716"/>
      <c r="AN32" s="2716"/>
      <c r="AO32" s="2716"/>
      <c r="AP32" s="2716"/>
      <c r="AQ32" s="2716"/>
      <c r="AR32" s="2716"/>
      <c r="AS32" s="2716"/>
      <c r="AT32" s="2716"/>
      <c r="AU32" s="2716"/>
      <c r="AV32" s="2716"/>
      <c r="AW32" s="2716"/>
      <c r="AX32" s="2716"/>
      <c r="AY32" s="347"/>
      <c r="AZ32" s="347"/>
      <c r="BA32" s="347"/>
      <c r="BB32" s="347"/>
      <c r="BC32" s="347"/>
      <c r="BD32" s="347"/>
    </row>
    <row r="33" spans="1:67" s="32" customFormat="1">
      <c r="A33" s="347"/>
      <c r="B33" s="2716" t="s">
        <v>1244</v>
      </c>
      <c r="C33" s="2716"/>
      <c r="D33" s="2716"/>
      <c r="E33" s="2716"/>
      <c r="F33" s="2716"/>
      <c r="G33" s="2716"/>
      <c r="H33" s="2716"/>
      <c r="I33" s="2716"/>
      <c r="J33" s="2716"/>
      <c r="K33" s="2716"/>
      <c r="L33" s="2716"/>
      <c r="M33" s="2716"/>
      <c r="N33" s="2716"/>
      <c r="O33" s="2716"/>
      <c r="P33" s="2716"/>
      <c r="Q33" s="2716"/>
      <c r="R33" s="2716"/>
      <c r="S33" s="2716"/>
      <c r="T33" s="2716"/>
      <c r="U33" s="2716"/>
      <c r="V33" s="2716"/>
      <c r="W33" s="2716"/>
      <c r="X33" s="2716"/>
      <c r="Y33" s="2716"/>
      <c r="Z33" s="2716"/>
      <c r="AA33" s="2716"/>
      <c r="AB33" s="2716"/>
      <c r="AC33" s="2716"/>
      <c r="AD33" s="2716"/>
      <c r="AE33" s="2716"/>
      <c r="AF33" s="2716"/>
      <c r="AG33" s="2716"/>
      <c r="AH33" s="2716"/>
      <c r="AI33" s="2716"/>
      <c r="AJ33" s="2716"/>
      <c r="AK33" s="2716"/>
      <c r="AL33" s="2716"/>
      <c r="AM33" s="2716"/>
      <c r="AN33" s="2716"/>
      <c r="AO33" s="2716"/>
      <c r="AP33" s="2716"/>
      <c r="AQ33" s="2716"/>
      <c r="AR33" s="2716"/>
      <c r="AS33" s="2716"/>
      <c r="AT33" s="2716"/>
      <c r="AU33" s="2716"/>
      <c r="AV33" s="2716"/>
      <c r="AW33" s="2716"/>
      <c r="AX33" s="2716"/>
      <c r="AY33" s="347"/>
      <c r="AZ33" s="347"/>
      <c r="BA33" s="347"/>
      <c r="BB33" s="347"/>
      <c r="BC33" s="347"/>
      <c r="BD33" s="347"/>
    </row>
    <row r="34" spans="1:67" s="32" customFormat="1" ht="15.75">
      <c r="A34" s="347"/>
      <c r="B34" s="2717" t="s">
        <v>1699</v>
      </c>
      <c r="C34" s="2717"/>
      <c r="D34" s="2717"/>
      <c r="E34" s="2717"/>
      <c r="F34" s="2717"/>
      <c r="G34" s="2717"/>
      <c r="H34" s="2717"/>
      <c r="I34" s="2717"/>
      <c r="J34" s="2717"/>
      <c r="K34" s="2717"/>
      <c r="L34" s="2717"/>
      <c r="M34" s="2717"/>
      <c r="N34" s="2717"/>
      <c r="O34" s="2717"/>
      <c r="P34" s="2717"/>
      <c r="Q34" s="2717"/>
      <c r="R34" s="2717"/>
      <c r="S34" s="2717"/>
      <c r="T34" s="2717"/>
      <c r="U34" s="2717"/>
      <c r="V34" s="2717"/>
      <c r="W34" s="2717"/>
      <c r="X34" s="2717"/>
      <c r="Y34" s="2717"/>
      <c r="Z34" s="2717"/>
      <c r="AA34" s="2717"/>
      <c r="AB34" s="2717"/>
      <c r="AC34" s="2717"/>
      <c r="AD34" s="2717"/>
      <c r="AE34" s="2717"/>
      <c r="AF34" s="2717"/>
      <c r="AG34" s="2717"/>
      <c r="AH34" s="2717"/>
      <c r="AI34" s="2717"/>
      <c r="AJ34" s="2717"/>
      <c r="AK34" s="2717"/>
      <c r="AL34" s="2717"/>
      <c r="AM34" s="2717"/>
      <c r="AN34" s="2717"/>
      <c r="AO34" s="2717"/>
      <c r="AP34" s="2717"/>
      <c r="AQ34" s="2717"/>
      <c r="AR34" s="2717"/>
      <c r="AS34" s="2717"/>
      <c r="AT34" s="2717"/>
      <c r="AU34" s="2717"/>
      <c r="AV34" s="2717"/>
      <c r="AW34" s="2717"/>
      <c r="AX34" s="2717"/>
      <c r="AY34" s="347"/>
      <c r="AZ34" s="347"/>
      <c r="BA34" s="347"/>
      <c r="BB34" s="347"/>
      <c r="BC34" s="347"/>
      <c r="BD34" s="347"/>
    </row>
    <row r="35" spans="1:67" s="32" customFormat="1" ht="15" customHeight="1">
      <c r="A35" s="347"/>
      <c r="B35" s="2718" t="s">
        <v>443</v>
      </c>
      <c r="C35" s="2718"/>
      <c r="D35" s="2718"/>
      <c r="E35" s="2718"/>
      <c r="F35" s="2718"/>
      <c r="G35" s="2718"/>
      <c r="H35" s="2718"/>
      <c r="I35" s="2718"/>
      <c r="J35" s="2718"/>
      <c r="K35" s="2718"/>
      <c r="L35" s="2718"/>
      <c r="M35" s="2718"/>
      <c r="N35" s="2718"/>
      <c r="O35" s="2718"/>
      <c r="P35" s="2718"/>
      <c r="Q35" s="2718"/>
      <c r="R35" s="2718"/>
      <c r="S35" s="2718"/>
      <c r="T35" s="2718"/>
      <c r="U35" s="2718"/>
      <c r="V35" s="2718"/>
      <c r="W35" s="2718"/>
      <c r="X35" s="2718"/>
      <c r="Y35" s="2718"/>
      <c r="Z35" s="2718"/>
      <c r="AA35" s="2718"/>
      <c r="AB35" s="2718"/>
      <c r="AC35" s="2718"/>
      <c r="AD35" s="2718"/>
      <c r="AE35" s="2718"/>
      <c r="AF35" s="2718"/>
      <c r="AG35" s="2718"/>
      <c r="AH35" s="2718"/>
      <c r="AI35" s="2718"/>
      <c r="AJ35" s="2718"/>
      <c r="AK35" s="2718"/>
      <c r="AL35" s="2718"/>
      <c r="AM35" s="2718"/>
      <c r="AN35" s="2718"/>
      <c r="AO35" s="2718"/>
      <c r="AP35" s="2718"/>
      <c r="AQ35" s="2718"/>
      <c r="AR35" s="2718"/>
      <c r="AS35" s="2718"/>
      <c r="AT35" s="2718"/>
      <c r="AU35" s="2718"/>
      <c r="AV35" s="2718"/>
      <c r="AW35" s="2718"/>
      <c r="AX35" s="2718"/>
      <c r="AY35" s="347"/>
      <c r="AZ35" s="347"/>
      <c r="BA35" s="347"/>
      <c r="BB35" s="347"/>
      <c r="BC35" s="347"/>
      <c r="BD35" s="347"/>
    </row>
    <row r="36" spans="1:67" s="32" customFormat="1">
      <c r="A36" s="347"/>
      <c r="B36" s="2713" t="s">
        <v>1700</v>
      </c>
      <c r="C36" s="2713"/>
      <c r="D36" s="2713"/>
      <c r="E36" s="2713"/>
      <c r="F36" s="2713"/>
      <c r="G36" s="2713"/>
      <c r="H36" s="2713"/>
      <c r="I36" s="2713"/>
      <c r="J36" s="2713"/>
      <c r="K36" s="2713"/>
      <c r="L36" s="2713"/>
      <c r="M36" s="2713"/>
      <c r="N36" s="2713"/>
      <c r="O36" s="2713"/>
      <c r="P36" s="2713"/>
      <c r="Q36" s="2713"/>
      <c r="R36" s="2713"/>
      <c r="S36" s="2713"/>
      <c r="T36" s="2713"/>
      <c r="U36" s="2713"/>
      <c r="V36" s="2713"/>
      <c r="W36" s="2713"/>
      <c r="X36" s="2713"/>
      <c r="Y36" s="2713"/>
      <c r="Z36" s="2713"/>
      <c r="AA36" s="2713"/>
      <c r="AB36" s="2713"/>
      <c r="AC36" s="2713"/>
      <c r="AD36" s="2713"/>
      <c r="AE36" s="2713"/>
      <c r="AF36" s="2713"/>
      <c r="AG36" s="2713"/>
      <c r="AH36" s="2713"/>
      <c r="AI36" s="2713"/>
      <c r="AJ36" s="2713"/>
      <c r="AK36" s="2713"/>
      <c r="AL36" s="2713"/>
      <c r="AM36" s="2713"/>
      <c r="AN36" s="2713"/>
      <c r="AO36" s="2713"/>
      <c r="AP36" s="2713"/>
      <c r="AQ36" s="2713"/>
      <c r="AR36" s="2713"/>
      <c r="AS36" s="2713"/>
      <c r="AT36" s="2713"/>
      <c r="AU36" s="2713"/>
      <c r="AV36" s="2713"/>
      <c r="AW36" s="2713"/>
      <c r="AX36" s="2713"/>
      <c r="AY36" s="347"/>
      <c r="AZ36" s="347"/>
      <c r="BA36" s="347"/>
      <c r="BB36" s="347"/>
      <c r="BC36" s="347"/>
      <c r="BD36" s="347"/>
    </row>
    <row r="37" spans="1:67" s="3" customFormat="1" ht="30.75" customHeight="1">
      <c r="A37" s="24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39"/>
      <c r="AJ37" s="240"/>
      <c r="AK37" s="240"/>
      <c r="AL37" s="240"/>
      <c r="AM37" s="240"/>
      <c r="AN37" s="240"/>
      <c r="AO37" s="240"/>
      <c r="AP37" s="240"/>
      <c r="AQ37" s="240"/>
      <c r="AR37" s="240"/>
      <c r="AS37" s="240"/>
      <c r="AT37" s="240"/>
      <c r="AU37" s="240"/>
      <c r="AV37" s="240"/>
      <c r="AW37" s="240"/>
      <c r="AX37" s="240"/>
      <c r="AY37" s="240"/>
      <c r="AZ37" s="240"/>
      <c r="BA37" s="240"/>
      <c r="BB37" s="240"/>
      <c r="BC37" s="240"/>
      <c r="BD37" s="240"/>
    </row>
    <row r="38" spans="1:67" s="164" customFormat="1" ht="15.75">
      <c r="A38" s="260"/>
      <c r="B38" s="223" t="s">
        <v>32</v>
      </c>
      <c r="C38" s="260"/>
      <c r="D38" s="260"/>
      <c r="E38" s="260"/>
      <c r="F38" s="260"/>
      <c r="G38" s="260"/>
      <c r="H38" s="260"/>
      <c r="I38" s="260"/>
      <c r="J38" s="260"/>
      <c r="K38" s="260"/>
      <c r="L38" s="260"/>
      <c r="M38" s="260"/>
      <c r="N38" s="260"/>
      <c r="O38" s="260"/>
      <c r="P38" s="260"/>
      <c r="Q38" s="260"/>
      <c r="R38" s="260"/>
      <c r="S38" s="223" t="s">
        <v>444</v>
      </c>
      <c r="T38" s="263"/>
      <c r="U38" s="263"/>
      <c r="V38" s="263"/>
      <c r="W38" s="263"/>
      <c r="X38" s="263"/>
      <c r="Y38" s="263"/>
      <c r="Z38" s="263"/>
      <c r="AA38" s="263"/>
      <c r="AB38" s="263"/>
      <c r="AC38" s="263"/>
      <c r="AD38" s="263"/>
      <c r="AE38" s="263"/>
      <c r="AF38" s="263"/>
      <c r="AG38" s="260"/>
      <c r="AH38" s="260"/>
      <c r="AI38" s="260"/>
      <c r="AJ38" s="223" t="s">
        <v>33</v>
      </c>
      <c r="AK38" s="260"/>
      <c r="AL38" s="260"/>
      <c r="AM38" s="260"/>
      <c r="AN38" s="260"/>
      <c r="AO38" s="260"/>
      <c r="AP38" s="260"/>
      <c r="AQ38" s="260"/>
      <c r="AR38" s="260"/>
      <c r="AS38" s="260"/>
      <c r="AT38" s="260"/>
      <c r="AU38" s="260"/>
      <c r="AV38" s="260"/>
      <c r="AW38" s="260"/>
      <c r="AX38" s="260"/>
      <c r="AY38" s="260"/>
      <c r="AZ38" s="260"/>
      <c r="BA38" s="260"/>
      <c r="BB38" s="260"/>
      <c r="BC38" s="260"/>
      <c r="BD38" s="260"/>
    </row>
    <row r="39" spans="1:67" s="164" customFormat="1" ht="21.75" customHeight="1">
      <c r="A39" s="260"/>
      <c r="B39" s="223" t="s">
        <v>73</v>
      </c>
      <c r="C39" s="260"/>
      <c r="D39" s="260"/>
      <c r="E39" s="260"/>
      <c r="F39" s="2001" t="str">
        <f>activesheet!E21</f>
        <v>MELCHESIEDICK Q. BOLANIO / March 17, 2023</v>
      </c>
      <c r="G39" s="2001"/>
      <c r="H39" s="2001"/>
      <c r="I39" s="2001"/>
      <c r="J39" s="2001"/>
      <c r="K39" s="2001"/>
      <c r="L39" s="2001"/>
      <c r="M39" s="2001"/>
      <c r="N39" s="2001"/>
      <c r="O39" s="2001"/>
      <c r="P39" s="260"/>
      <c r="Q39" s="260"/>
      <c r="R39" s="260"/>
      <c r="S39" s="2714" t="s">
        <v>11917</v>
      </c>
      <c r="T39" s="2714"/>
      <c r="U39" s="2714"/>
      <c r="V39" s="2714"/>
      <c r="W39" s="2714"/>
      <c r="X39" s="2714"/>
      <c r="Y39" s="2714"/>
      <c r="Z39" s="2714"/>
      <c r="AA39" s="2714"/>
      <c r="AB39" s="2714"/>
      <c r="AC39" s="2714"/>
      <c r="AD39" s="2714"/>
      <c r="AE39" s="2714"/>
      <c r="AF39" s="2714"/>
      <c r="AG39" s="260"/>
      <c r="AH39" s="260"/>
      <c r="AI39" s="260"/>
      <c r="AJ39" s="1940" t="str">
        <f>activesheet!E25</f>
        <v>MICHAEL T. JAMIS / March 17, 2023</v>
      </c>
      <c r="AK39" s="1940"/>
      <c r="AL39" s="1940"/>
      <c r="AM39" s="1940"/>
      <c r="AN39" s="1940"/>
      <c r="AO39" s="1940"/>
      <c r="AP39" s="1940"/>
      <c r="AQ39" s="1940"/>
      <c r="AR39" s="1940"/>
      <c r="AS39" s="1940"/>
      <c r="AT39" s="1940"/>
      <c r="AU39" s="1940"/>
      <c r="AV39" s="1940"/>
      <c r="AW39" s="1940"/>
      <c r="AX39" s="260"/>
      <c r="AY39" s="260"/>
      <c r="AZ39" s="260"/>
      <c r="BA39" s="260"/>
      <c r="BB39" s="260"/>
      <c r="BC39" s="260"/>
      <c r="BD39" s="260"/>
    </row>
    <row r="40" spans="1:67" s="39" customFormat="1" ht="15.75">
      <c r="A40" s="280"/>
      <c r="B40" s="228"/>
      <c r="C40" s="280"/>
      <c r="D40" s="280"/>
      <c r="E40" s="280"/>
      <c r="F40" s="1811" t="s">
        <v>37</v>
      </c>
      <c r="G40" s="1811"/>
      <c r="H40" s="1811"/>
      <c r="I40" s="1811"/>
      <c r="J40" s="1811"/>
      <c r="K40" s="1811"/>
      <c r="L40" s="1811"/>
      <c r="M40" s="1811"/>
      <c r="N40" s="1811"/>
      <c r="O40" s="1811"/>
      <c r="P40" s="281"/>
      <c r="Q40" s="281"/>
      <c r="R40" s="281"/>
      <c r="S40" s="2715"/>
      <c r="T40" s="2715"/>
      <c r="U40" s="2715"/>
      <c r="V40" s="2715"/>
      <c r="W40" s="2715"/>
      <c r="X40" s="2715"/>
      <c r="Y40" s="2715"/>
      <c r="Z40" s="2715"/>
      <c r="AA40" s="2715"/>
      <c r="AB40" s="2715"/>
      <c r="AC40" s="2715"/>
      <c r="AD40" s="2715"/>
      <c r="AE40" s="2715"/>
      <c r="AF40" s="2715"/>
      <c r="AG40" s="260"/>
      <c r="AH40" s="260"/>
      <c r="AI40" s="260"/>
      <c r="AJ40" s="1941"/>
      <c r="AK40" s="1941"/>
      <c r="AL40" s="1941"/>
      <c r="AM40" s="1941"/>
      <c r="AN40" s="1941"/>
      <c r="AO40" s="1941"/>
      <c r="AP40" s="1941"/>
      <c r="AQ40" s="1941"/>
      <c r="AR40" s="1941"/>
      <c r="AS40" s="1941"/>
      <c r="AT40" s="1941"/>
      <c r="AU40" s="1941"/>
      <c r="AV40" s="1941"/>
      <c r="AW40" s="1941"/>
      <c r="AX40" s="281"/>
      <c r="AY40" s="282"/>
      <c r="AZ40" s="282"/>
      <c r="BA40" s="282"/>
      <c r="BB40" s="282"/>
      <c r="BC40" s="282"/>
      <c r="BD40" s="282"/>
      <c r="BE40" s="103"/>
      <c r="BF40" s="103"/>
      <c r="BG40" s="103"/>
      <c r="BH40" s="103"/>
      <c r="BI40" s="103"/>
      <c r="BJ40" s="103"/>
      <c r="BK40" s="103"/>
      <c r="BL40" s="103"/>
      <c r="BM40" s="103"/>
      <c r="BN40" s="103"/>
      <c r="BO40" s="103"/>
    </row>
    <row r="41" spans="1:67" s="164" customFormat="1" ht="21.75" customHeight="1">
      <c r="A41" s="260"/>
      <c r="B41" s="223" t="s">
        <v>240</v>
      </c>
      <c r="C41" s="260"/>
      <c r="D41" s="260"/>
      <c r="E41" s="260"/>
      <c r="F41" s="2001" t="str">
        <f>activesheet!E22</f>
        <v>SECONDARY SCHOOL PRINCIPAL IV</v>
      </c>
      <c r="G41" s="2001"/>
      <c r="H41" s="2001"/>
      <c r="I41" s="2001"/>
      <c r="J41" s="2001"/>
      <c r="K41" s="2001"/>
      <c r="L41" s="2001"/>
      <c r="M41" s="2001"/>
      <c r="N41" s="2001"/>
      <c r="O41" s="2001"/>
      <c r="P41" s="260"/>
      <c r="Q41" s="260"/>
      <c r="R41" s="260"/>
      <c r="S41" s="1811" t="s">
        <v>37</v>
      </c>
      <c r="T41" s="1811"/>
      <c r="U41" s="1811"/>
      <c r="V41" s="1811"/>
      <c r="W41" s="1811"/>
      <c r="X41" s="1811"/>
      <c r="Y41" s="1811"/>
      <c r="Z41" s="1811"/>
      <c r="AA41" s="1811"/>
      <c r="AB41" s="1811"/>
      <c r="AC41" s="1811"/>
      <c r="AD41" s="1811"/>
      <c r="AE41" s="1811"/>
      <c r="AF41" s="1811"/>
      <c r="AG41" s="281"/>
      <c r="AH41" s="281"/>
      <c r="AI41" s="281"/>
      <c r="AJ41" s="1811" t="s">
        <v>37</v>
      </c>
      <c r="AK41" s="1811"/>
      <c r="AL41" s="1811"/>
      <c r="AM41" s="1811"/>
      <c r="AN41" s="1811"/>
      <c r="AO41" s="1811"/>
      <c r="AP41" s="1811"/>
      <c r="AQ41" s="1811"/>
      <c r="AR41" s="1811"/>
      <c r="AS41" s="1811"/>
      <c r="AT41" s="1811"/>
      <c r="AU41" s="1811"/>
      <c r="AV41" s="1811"/>
      <c r="AW41" s="1811"/>
      <c r="AX41" s="260"/>
      <c r="AY41" s="260"/>
      <c r="AZ41" s="260"/>
      <c r="BA41" s="260"/>
      <c r="BB41" s="260"/>
      <c r="BC41" s="260"/>
      <c r="BD41" s="260"/>
    </row>
    <row r="42" spans="1:67" ht="15.75">
      <c r="A42" s="599"/>
      <c r="B42" s="599"/>
      <c r="C42" s="599"/>
      <c r="D42" s="599"/>
      <c r="E42" s="599"/>
      <c r="F42" s="599"/>
      <c r="G42" s="599"/>
      <c r="H42" s="599"/>
      <c r="I42" s="599"/>
      <c r="J42" s="599"/>
      <c r="K42" s="599"/>
      <c r="L42" s="599"/>
      <c r="M42" s="599"/>
      <c r="N42" s="599"/>
      <c r="O42" s="599"/>
      <c r="P42" s="599"/>
      <c r="Q42" s="599"/>
      <c r="R42" s="599"/>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599"/>
      <c r="AY42" s="599"/>
      <c r="AZ42" s="599"/>
      <c r="BA42" s="599"/>
      <c r="BB42" s="599"/>
      <c r="BC42" s="599"/>
      <c r="BD42" s="599"/>
    </row>
    <row r="43" spans="1:67">
      <c r="A43" s="599"/>
      <c r="B43" s="599"/>
      <c r="C43" s="599"/>
      <c r="D43" s="599"/>
      <c r="E43" s="599"/>
      <c r="F43" s="599"/>
      <c r="G43" s="599"/>
      <c r="H43" s="599"/>
      <c r="I43" s="599"/>
      <c r="J43" s="599"/>
      <c r="K43" s="599"/>
      <c r="L43" s="599"/>
      <c r="M43" s="599"/>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599"/>
      <c r="AK43" s="599"/>
      <c r="AL43" s="599"/>
      <c r="AM43" s="599"/>
      <c r="AN43" s="599"/>
      <c r="AO43" s="599"/>
      <c r="AP43" s="599"/>
      <c r="AQ43" s="599"/>
      <c r="AR43" s="599"/>
      <c r="AS43" s="599"/>
      <c r="AT43" s="599"/>
      <c r="AU43" s="599"/>
      <c r="AV43" s="599"/>
      <c r="AW43" s="599"/>
      <c r="AX43" s="599"/>
      <c r="AY43" s="599"/>
      <c r="AZ43" s="599"/>
      <c r="BA43" s="599"/>
      <c r="BB43" s="599"/>
      <c r="BC43" s="599"/>
      <c r="BD43" s="599"/>
    </row>
    <row r="44" spans="1:67">
      <c r="A44" s="599"/>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599"/>
      <c r="AR44" s="599"/>
      <c r="AS44" s="599"/>
      <c r="AT44" s="599"/>
      <c r="AU44" s="599"/>
      <c r="AV44" s="599"/>
      <c r="AW44" s="599"/>
      <c r="AX44" s="599"/>
      <c r="AY44" s="599"/>
      <c r="AZ44" s="599"/>
      <c r="BA44" s="599"/>
      <c r="BB44" s="599"/>
      <c r="BC44" s="599"/>
      <c r="BD44" s="599"/>
    </row>
    <row r="45" spans="1:67">
      <c r="A45" s="599"/>
      <c r="B45" s="599"/>
      <c r="C45" s="599"/>
      <c r="D45" s="599"/>
      <c r="E45" s="599"/>
      <c r="F45" s="599"/>
      <c r="G45" s="599"/>
      <c r="H45" s="599"/>
      <c r="I45" s="599"/>
      <c r="J45" s="599"/>
      <c r="K45" s="599"/>
      <c r="L45" s="599"/>
      <c r="M45" s="599"/>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599"/>
      <c r="AK45" s="599"/>
      <c r="AL45" s="599"/>
      <c r="AM45" s="599"/>
      <c r="AN45" s="599"/>
      <c r="AO45" s="599"/>
      <c r="AP45" s="599"/>
      <c r="AQ45" s="599"/>
      <c r="AR45" s="599"/>
      <c r="AS45" s="599"/>
      <c r="AT45" s="599"/>
      <c r="AU45" s="599"/>
      <c r="AV45" s="599"/>
      <c r="AW45" s="599"/>
      <c r="AX45" s="599"/>
      <c r="AY45" s="599"/>
      <c r="AZ45" s="599"/>
      <c r="BA45" s="599"/>
      <c r="BB45" s="599"/>
      <c r="BC45" s="599"/>
      <c r="BD45" s="599"/>
    </row>
    <row r="46" spans="1:67">
      <c r="A46" s="599"/>
      <c r="B46" s="599"/>
      <c r="C46" s="599"/>
      <c r="D46" s="599"/>
      <c r="E46" s="599"/>
      <c r="F46" s="599"/>
      <c r="G46" s="599"/>
      <c r="H46" s="599"/>
      <c r="I46" s="599"/>
      <c r="J46" s="599"/>
      <c r="K46" s="599"/>
      <c r="L46" s="599"/>
      <c r="M46" s="599"/>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599"/>
      <c r="AK46" s="599"/>
      <c r="AL46" s="599"/>
      <c r="AM46" s="599"/>
      <c r="AN46" s="599"/>
      <c r="AO46" s="599"/>
      <c r="AP46" s="599"/>
      <c r="AQ46" s="599"/>
      <c r="AR46" s="599"/>
      <c r="AS46" s="599"/>
      <c r="AT46" s="599"/>
      <c r="AU46" s="599"/>
      <c r="AV46" s="599"/>
      <c r="AW46" s="599"/>
      <c r="AX46" s="599"/>
      <c r="AY46" s="599"/>
      <c r="AZ46" s="599"/>
      <c r="BA46" s="599"/>
      <c r="BB46" s="599"/>
      <c r="BC46" s="599"/>
      <c r="BD46" s="599"/>
    </row>
    <row r="47" spans="1:67">
      <c r="A47" s="599"/>
      <c r="B47" s="599"/>
      <c r="C47" s="599"/>
      <c r="D47" s="599"/>
      <c r="E47" s="599"/>
      <c r="F47" s="599"/>
      <c r="G47" s="599"/>
      <c r="H47" s="599"/>
      <c r="I47" s="599"/>
      <c r="J47" s="599"/>
      <c r="K47" s="599"/>
      <c r="L47" s="599"/>
      <c r="M47" s="599"/>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599"/>
      <c r="AK47" s="599"/>
      <c r="AL47" s="599"/>
      <c r="AM47" s="599"/>
      <c r="AN47" s="599"/>
      <c r="AO47" s="599"/>
      <c r="AP47" s="599"/>
      <c r="AQ47" s="599"/>
      <c r="AR47" s="599"/>
      <c r="AS47" s="599"/>
      <c r="AT47" s="599"/>
      <c r="AU47" s="599"/>
      <c r="AV47" s="599"/>
      <c r="AW47" s="599"/>
      <c r="AX47" s="599"/>
      <c r="AY47" s="599"/>
      <c r="AZ47" s="599"/>
      <c r="BA47" s="599"/>
      <c r="BB47" s="599"/>
      <c r="BC47" s="599"/>
      <c r="BD47" s="599"/>
    </row>
    <row r="48" spans="1:67">
      <c r="A48" s="599"/>
      <c r="B48" s="599"/>
      <c r="C48" s="599"/>
      <c r="D48" s="599"/>
      <c r="E48" s="599"/>
      <c r="F48" s="599"/>
      <c r="G48" s="599"/>
      <c r="H48" s="599"/>
      <c r="I48" s="599"/>
      <c r="J48" s="599"/>
      <c r="K48" s="599"/>
      <c r="L48" s="599"/>
      <c r="M48" s="599"/>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599"/>
      <c r="AK48" s="599"/>
      <c r="AL48" s="599"/>
      <c r="AM48" s="599"/>
      <c r="AN48" s="599"/>
      <c r="AO48" s="599"/>
      <c r="AP48" s="599"/>
      <c r="AQ48" s="599"/>
      <c r="AR48" s="599"/>
      <c r="AS48" s="599"/>
      <c r="AT48" s="599"/>
      <c r="AU48" s="599"/>
      <c r="AV48" s="599"/>
      <c r="AW48" s="599"/>
      <c r="AX48" s="599"/>
      <c r="AY48" s="599"/>
      <c r="AZ48" s="599"/>
      <c r="BA48" s="599"/>
      <c r="BB48" s="599"/>
      <c r="BC48" s="599"/>
      <c r="BD48" s="599"/>
    </row>
    <row r="49" spans="1:56">
      <c r="A49" s="599"/>
      <c r="B49" s="599"/>
      <c r="C49" s="599"/>
      <c r="D49" s="599"/>
      <c r="E49" s="599"/>
      <c r="F49" s="599"/>
      <c r="G49" s="599"/>
      <c r="H49" s="599"/>
      <c r="I49" s="599"/>
      <c r="J49" s="599"/>
      <c r="K49" s="599"/>
      <c r="L49" s="599"/>
      <c r="M49" s="599"/>
      <c r="N49" s="599"/>
      <c r="O49" s="599"/>
      <c r="P49" s="599"/>
      <c r="Q49" s="599"/>
      <c r="R49" s="599"/>
      <c r="S49" s="599"/>
      <c r="T49" s="599"/>
      <c r="U49" s="599"/>
      <c r="V49" s="599"/>
      <c r="W49" s="599"/>
      <c r="X49" s="599"/>
      <c r="Y49" s="599"/>
      <c r="Z49" s="599"/>
      <c r="AA49" s="599"/>
      <c r="AB49" s="599"/>
      <c r="AC49" s="599"/>
      <c r="AD49" s="599"/>
      <c r="AE49" s="599"/>
      <c r="AF49" s="599"/>
      <c r="AG49" s="599"/>
      <c r="AH49" s="599"/>
      <c r="AI49" s="599"/>
      <c r="AJ49" s="599"/>
      <c r="AK49" s="599"/>
      <c r="AL49" s="599"/>
      <c r="AM49" s="599"/>
      <c r="AN49" s="599"/>
      <c r="AO49" s="599"/>
      <c r="AP49" s="599"/>
      <c r="AQ49" s="599"/>
      <c r="AR49" s="599"/>
      <c r="AS49" s="599"/>
      <c r="AT49" s="599"/>
      <c r="AU49" s="599"/>
      <c r="AV49" s="599"/>
      <c r="AW49" s="599"/>
      <c r="AX49" s="599"/>
      <c r="AY49" s="599"/>
      <c r="AZ49" s="599"/>
      <c r="BA49" s="599"/>
      <c r="BB49" s="599"/>
      <c r="BC49" s="599"/>
      <c r="BD49" s="599"/>
    </row>
    <row r="50" spans="1:56">
      <c r="A50" s="599"/>
      <c r="B50" s="599"/>
      <c r="C50" s="599"/>
      <c r="D50" s="599"/>
      <c r="E50" s="599"/>
      <c r="F50" s="599"/>
      <c r="G50" s="599"/>
      <c r="H50" s="599"/>
      <c r="I50" s="599"/>
      <c r="J50" s="599"/>
      <c r="K50" s="599"/>
      <c r="L50" s="599"/>
      <c r="M50" s="599"/>
      <c r="N50" s="599"/>
      <c r="O50" s="599"/>
      <c r="P50" s="599"/>
      <c r="Q50" s="599"/>
      <c r="R50" s="599"/>
      <c r="S50" s="599"/>
      <c r="T50" s="599"/>
      <c r="U50" s="599"/>
      <c r="V50" s="599"/>
      <c r="W50" s="599"/>
      <c r="X50" s="599"/>
      <c r="Y50" s="599"/>
      <c r="Z50" s="599"/>
      <c r="AA50" s="599"/>
      <c r="AB50" s="599"/>
      <c r="AC50" s="599"/>
      <c r="AD50" s="599"/>
      <c r="AE50" s="599"/>
      <c r="AF50" s="599"/>
      <c r="AG50" s="599"/>
      <c r="AH50" s="599"/>
      <c r="AI50" s="599"/>
      <c r="AJ50" s="599"/>
      <c r="AK50" s="599"/>
      <c r="AL50" s="599"/>
      <c r="AM50" s="599"/>
      <c r="AN50" s="599"/>
      <c r="AO50" s="599"/>
      <c r="AP50" s="599"/>
      <c r="AQ50" s="599"/>
      <c r="AR50" s="599"/>
      <c r="AS50" s="599"/>
      <c r="AT50" s="599"/>
      <c r="AU50" s="599"/>
      <c r="AV50" s="599"/>
      <c r="AW50" s="599"/>
      <c r="AX50" s="599"/>
      <c r="AY50" s="599"/>
      <c r="AZ50" s="599"/>
      <c r="BA50" s="599"/>
      <c r="BB50" s="599"/>
      <c r="BC50" s="599"/>
      <c r="BD50" s="599"/>
    </row>
    <row r="51" spans="1:56">
      <c r="A51" s="599"/>
      <c r="B51" s="599"/>
      <c r="C51" s="599"/>
      <c r="D51" s="599"/>
      <c r="E51" s="599"/>
      <c r="F51" s="599"/>
      <c r="G51" s="599"/>
      <c r="H51" s="599"/>
      <c r="I51" s="599"/>
      <c r="J51" s="599"/>
      <c r="K51" s="599"/>
      <c r="L51" s="599"/>
      <c r="M51" s="599"/>
      <c r="N51" s="599"/>
      <c r="O51" s="599"/>
      <c r="P51" s="599"/>
      <c r="Q51" s="599"/>
      <c r="R51" s="599"/>
      <c r="S51" s="599"/>
      <c r="T51" s="599"/>
      <c r="U51" s="599"/>
      <c r="V51" s="599"/>
      <c r="W51" s="599"/>
      <c r="X51" s="599"/>
      <c r="Y51" s="599"/>
      <c r="Z51" s="599"/>
      <c r="AA51" s="599"/>
      <c r="AB51" s="599"/>
      <c r="AC51" s="599"/>
      <c r="AD51" s="599"/>
      <c r="AE51" s="599"/>
      <c r="AF51" s="599"/>
      <c r="AG51" s="599"/>
      <c r="AH51" s="599"/>
      <c r="AI51" s="599"/>
      <c r="AJ51" s="599"/>
      <c r="AK51" s="599"/>
      <c r="AL51" s="599"/>
      <c r="AM51" s="599"/>
      <c r="AN51" s="599"/>
      <c r="AO51" s="599"/>
      <c r="AP51" s="599"/>
      <c r="AQ51" s="599"/>
      <c r="AR51" s="599"/>
      <c r="AS51" s="599"/>
      <c r="AT51" s="599"/>
      <c r="AU51" s="599"/>
      <c r="AV51" s="599"/>
      <c r="AW51" s="599"/>
      <c r="AX51" s="599"/>
      <c r="AY51" s="599"/>
      <c r="AZ51" s="599"/>
      <c r="BA51" s="599"/>
      <c r="BB51" s="599"/>
      <c r="BC51" s="599"/>
      <c r="BD51" s="599"/>
    </row>
    <row r="52" spans="1:56">
      <c r="A52" s="599"/>
      <c r="B52" s="599"/>
      <c r="C52" s="599"/>
      <c r="D52" s="599"/>
      <c r="E52" s="599"/>
      <c r="F52" s="599"/>
      <c r="G52" s="599"/>
      <c r="H52" s="599"/>
      <c r="I52" s="599"/>
      <c r="J52" s="599"/>
      <c r="K52" s="599"/>
      <c r="L52" s="599"/>
      <c r="M52" s="599"/>
      <c r="N52" s="599"/>
      <c r="O52" s="599"/>
      <c r="P52" s="599"/>
      <c r="Q52" s="599"/>
      <c r="R52" s="599"/>
      <c r="S52" s="599"/>
      <c r="T52" s="599"/>
      <c r="U52" s="599"/>
      <c r="V52" s="599"/>
      <c r="W52" s="599"/>
      <c r="X52" s="599"/>
      <c r="Y52" s="599"/>
      <c r="Z52" s="599"/>
      <c r="AA52" s="599"/>
      <c r="AB52" s="599"/>
      <c r="AC52" s="599"/>
      <c r="AD52" s="599"/>
      <c r="AE52" s="599"/>
      <c r="AF52" s="599"/>
      <c r="AG52" s="599"/>
      <c r="AH52" s="599"/>
      <c r="AI52" s="599"/>
      <c r="AJ52" s="599"/>
      <c r="AK52" s="599"/>
      <c r="AL52" s="599"/>
      <c r="AM52" s="599"/>
      <c r="AN52" s="599"/>
      <c r="AO52" s="599"/>
      <c r="AP52" s="599"/>
      <c r="AQ52" s="599"/>
      <c r="AR52" s="599"/>
      <c r="AS52" s="599"/>
      <c r="AT52" s="599"/>
      <c r="AU52" s="599"/>
      <c r="AV52" s="599"/>
      <c r="AW52" s="599"/>
      <c r="AX52" s="599"/>
      <c r="AY52" s="599"/>
      <c r="AZ52" s="599"/>
      <c r="BA52" s="599"/>
      <c r="BB52" s="599"/>
      <c r="BC52" s="599"/>
      <c r="BD52" s="599"/>
    </row>
    <row r="53" spans="1:56">
      <c r="A53" s="599"/>
      <c r="B53" s="599"/>
      <c r="C53" s="599"/>
      <c r="D53" s="599"/>
      <c r="E53" s="599"/>
      <c r="F53" s="599"/>
      <c r="G53" s="599"/>
      <c r="H53" s="599"/>
      <c r="I53" s="599"/>
      <c r="J53" s="599"/>
      <c r="K53" s="599"/>
      <c r="L53" s="599"/>
      <c r="M53" s="599"/>
      <c r="N53" s="599"/>
      <c r="O53" s="599"/>
      <c r="P53" s="599"/>
      <c r="Q53" s="599"/>
      <c r="R53" s="599"/>
      <c r="S53" s="599"/>
      <c r="T53" s="599"/>
      <c r="U53" s="599"/>
      <c r="V53" s="599"/>
      <c r="W53" s="599"/>
      <c r="X53" s="599"/>
      <c r="Y53" s="599"/>
      <c r="Z53" s="599"/>
      <c r="AA53" s="599"/>
      <c r="AB53" s="599"/>
      <c r="AC53" s="599"/>
      <c r="AD53" s="599"/>
      <c r="AE53" s="599"/>
      <c r="AF53" s="599"/>
      <c r="AG53" s="599"/>
      <c r="AH53" s="599"/>
      <c r="AI53" s="599"/>
      <c r="AJ53" s="599"/>
      <c r="AK53" s="599"/>
      <c r="AL53" s="599"/>
      <c r="AM53" s="599"/>
      <c r="AN53" s="599"/>
      <c r="AO53" s="599"/>
      <c r="AP53" s="599"/>
      <c r="AQ53" s="599"/>
      <c r="AR53" s="599"/>
      <c r="AS53" s="599"/>
      <c r="AT53" s="599"/>
      <c r="AU53" s="599"/>
      <c r="AV53" s="599"/>
      <c r="AW53" s="599"/>
      <c r="AX53" s="599"/>
      <c r="AY53" s="599"/>
      <c r="AZ53" s="599"/>
      <c r="BA53" s="599"/>
      <c r="BB53" s="599"/>
      <c r="BC53" s="599"/>
      <c r="BD53" s="599"/>
    </row>
  </sheetData>
  <sheetProtection algorithmName="SHA-512" hashValue="/gWwmB36RPEaFAaeBJJ51Un3cCmZgYwZCtklPUefcPn0dw6ElazRJLOSaMKGSjpGxXzbKujspJbC5pZBw2hb5A==" saltValue="H+NR2x+1KpSa7LvPlg4Nzw==" spinCount="100000" sheet="1" objects="1" scenarios="1"/>
  <customSheetViews>
    <customSheetView guid="{6EFEFCA0-BF14-457A-85A3-29CBF2A862A5}" showGridLines="0" fitToPage="1" topLeftCell="A37">
      <selection sqref="A1:BD47"/>
      <pageMargins left="0.23622047244094491" right="0.23622047244094491" top="0.19685039370078741" bottom="0.19685039370078741" header="0" footer="0.11811023622047245"/>
      <printOptions horizontalCentered="1" verticalCentered="1"/>
      <pageSetup paperSize="9" scale="33" orientation="landscape" r:id="rId1"/>
      <headerFooter>
        <oddFooter>&amp;L&amp;10&amp;F &amp;A&amp;R&amp;10Page 17 of 61</oddFooter>
      </headerFooter>
    </customSheetView>
  </customSheetViews>
  <mergeCells count="126">
    <mergeCell ref="B4:J5"/>
    <mergeCell ref="K4:AX4"/>
    <mergeCell ref="K5:O5"/>
    <mergeCell ref="P5:T5"/>
    <mergeCell ref="U5:Y5"/>
    <mergeCell ref="Z5:AD5"/>
    <mergeCell ref="AE5:AI5"/>
    <mergeCell ref="AJ5:AN5"/>
    <mergeCell ref="AO5:AS5"/>
    <mergeCell ref="AT5:AX5"/>
    <mergeCell ref="B6:J6"/>
    <mergeCell ref="K6:AX6"/>
    <mergeCell ref="K7:O7"/>
    <mergeCell ref="P7:T7"/>
    <mergeCell ref="U7:Y7"/>
    <mergeCell ref="Z7:AD7"/>
    <mergeCell ref="AE7:AI7"/>
    <mergeCell ref="AJ7:AN7"/>
    <mergeCell ref="AO7:AS7"/>
    <mergeCell ref="AT7:AX7"/>
    <mergeCell ref="AO8:AS8"/>
    <mergeCell ref="AT8:AX8"/>
    <mergeCell ref="K10:O10"/>
    <mergeCell ref="P10:T10"/>
    <mergeCell ref="U10:Y10"/>
    <mergeCell ref="Z10:AD10"/>
    <mergeCell ref="AE10:AI10"/>
    <mergeCell ref="AJ10:AN10"/>
    <mergeCell ref="AO10:AS10"/>
    <mergeCell ref="AT10:AX10"/>
    <mergeCell ref="K8:O8"/>
    <mergeCell ref="P8:T8"/>
    <mergeCell ref="U8:Y8"/>
    <mergeCell ref="Z8:AD8"/>
    <mergeCell ref="AE8:AI8"/>
    <mergeCell ref="AJ8:AN8"/>
    <mergeCell ref="K9:O9"/>
    <mergeCell ref="P9:T9"/>
    <mergeCell ref="U9:Y9"/>
    <mergeCell ref="Z9:AD9"/>
    <mergeCell ref="AE9:AI9"/>
    <mergeCell ref="AJ9:AN9"/>
    <mergeCell ref="AO9:AS9"/>
    <mergeCell ref="AT9:AX9"/>
    <mergeCell ref="AO11:AS11"/>
    <mergeCell ref="AT11:AX11"/>
    <mergeCell ref="B12:J12"/>
    <mergeCell ref="K12:AX12"/>
    <mergeCell ref="K13:O13"/>
    <mergeCell ref="P13:T13"/>
    <mergeCell ref="U13:Y13"/>
    <mergeCell ref="Z13:AD13"/>
    <mergeCell ref="AE13:AI13"/>
    <mergeCell ref="AJ13:AN13"/>
    <mergeCell ref="K11:O11"/>
    <mergeCell ref="P11:T11"/>
    <mergeCell ref="U11:Y11"/>
    <mergeCell ref="Z11:AD11"/>
    <mergeCell ref="AE11:AI11"/>
    <mergeCell ref="AJ11:AN11"/>
    <mergeCell ref="AO13:AS13"/>
    <mergeCell ref="AT13:AX13"/>
    <mergeCell ref="K14:O14"/>
    <mergeCell ref="P14:T14"/>
    <mergeCell ref="U14:Y14"/>
    <mergeCell ref="Z14:AD14"/>
    <mergeCell ref="AE14:AI14"/>
    <mergeCell ref="AJ14:AN14"/>
    <mergeCell ref="AO14:AS14"/>
    <mergeCell ref="AT14:AX14"/>
    <mergeCell ref="AO16:AS16"/>
    <mergeCell ref="AT16:AX16"/>
    <mergeCell ref="K15:O15"/>
    <mergeCell ref="P15:T15"/>
    <mergeCell ref="U15:Y15"/>
    <mergeCell ref="Z15:AD15"/>
    <mergeCell ref="AE15:AI15"/>
    <mergeCell ref="AJ15:AN15"/>
    <mergeCell ref="AO15:AS15"/>
    <mergeCell ref="AT15:AX15"/>
    <mergeCell ref="K17:O17"/>
    <mergeCell ref="P17:T17"/>
    <mergeCell ref="U17:Y17"/>
    <mergeCell ref="Z17:AD17"/>
    <mergeCell ref="AE17:AI17"/>
    <mergeCell ref="AJ17:AN17"/>
    <mergeCell ref="AO17:AS17"/>
    <mergeCell ref="AT17:AX17"/>
    <mergeCell ref="K16:O16"/>
    <mergeCell ref="P16:T16"/>
    <mergeCell ref="U16:Y16"/>
    <mergeCell ref="Z16:AD16"/>
    <mergeCell ref="AE16:AI16"/>
    <mergeCell ref="AJ16:AN16"/>
    <mergeCell ref="B24:AX24"/>
    <mergeCell ref="B25:AX25"/>
    <mergeCell ref="B26:AX26"/>
    <mergeCell ref="B27:AX27"/>
    <mergeCell ref="B28:AX28"/>
    <mergeCell ref="B29:AX29"/>
    <mergeCell ref="AO18:AS18"/>
    <mergeCell ref="AT18:AX18"/>
    <mergeCell ref="B20:AX20"/>
    <mergeCell ref="B21:AX21"/>
    <mergeCell ref="B22:AX22"/>
    <mergeCell ref="B23:AX23"/>
    <mergeCell ref="K18:O18"/>
    <mergeCell ref="P18:T18"/>
    <mergeCell ref="U18:Y18"/>
    <mergeCell ref="Z18:AD18"/>
    <mergeCell ref="AE18:AI18"/>
    <mergeCell ref="AJ18:AN18"/>
    <mergeCell ref="B36:AX36"/>
    <mergeCell ref="F39:O39"/>
    <mergeCell ref="S39:AF40"/>
    <mergeCell ref="AJ39:AW40"/>
    <mergeCell ref="F40:O40"/>
    <mergeCell ref="F41:O41"/>
    <mergeCell ref="S41:AF41"/>
    <mergeCell ref="AJ41:AW41"/>
    <mergeCell ref="B30:AX30"/>
    <mergeCell ref="B31:AX31"/>
    <mergeCell ref="B32:AX32"/>
    <mergeCell ref="B33:AX33"/>
    <mergeCell ref="B34:AX34"/>
    <mergeCell ref="B35:AX35"/>
  </mergeCells>
  <dataValidations count="1">
    <dataValidation type="whole" allowBlank="1" showInputMessage="1" showErrorMessage="1" errorTitle="GSHSP SY 2022-2023" error="Please enter valid number between 0-15,000." sqref="K7:AS11 K13:AS17" xr:uid="{8FE91A21-4E05-4ABD-BA6B-774EDF5401B7}">
      <formula1>0</formula1>
      <formula2>15000</formula2>
    </dataValidation>
  </dataValidations>
  <printOptions horizontalCentered="1" verticalCentered="1"/>
  <pageMargins left="0.23622047244094491" right="0.23622047244094491" top="0.19685039370078741" bottom="0.19685039370078741" header="0" footer="0.11811023622047245"/>
  <pageSetup paperSize="9" scale="33" orientation="landscape" r:id="rId2"/>
  <headerFooter>
    <oddFooter>&amp;L&amp;10&amp;F &amp;A&amp;R&amp;10Page 17 of 61</oddFooter>
  </headerFooter>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0D741-D76C-48B2-BC07-1DD7A6CC4C24}">
  <sheetPr codeName="Sheet12">
    <tabColor rgb="FFFFFF00"/>
    <pageSetUpPr fitToPage="1"/>
  </sheetPr>
  <dimension ref="A1:CF51"/>
  <sheetViews>
    <sheetView showGridLines="0" topLeftCell="A23" zoomScaleNormal="100" workbookViewId="0">
      <selection activeCell="AO21" sqref="AO21:AS21"/>
    </sheetView>
  </sheetViews>
  <sheetFormatPr defaultColWidth="9" defaultRowHeight="15.75"/>
  <cols>
    <col min="1" max="1" width="2.125" style="51" customWidth="1"/>
    <col min="2" max="50" width="3.625" style="51" customWidth="1"/>
    <col min="51" max="51" width="2.125" style="51" customWidth="1"/>
    <col min="52" max="60" width="3.625" style="51" customWidth="1"/>
    <col min="61" max="65" width="4.625" style="51" customWidth="1"/>
    <col min="66" max="69" width="3.625" style="51" customWidth="1"/>
    <col min="70" max="16384" width="9" style="51"/>
  </cols>
  <sheetData>
    <row r="1" spans="1:58" ht="12"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row>
    <row r="2" spans="1:58" s="102" customFormat="1">
      <c r="A2" s="593"/>
      <c r="B2" s="261" t="s">
        <v>11394</v>
      </c>
      <c r="C2" s="261"/>
      <c r="D2" s="261"/>
      <c r="E2" s="261"/>
      <c r="F2" s="261"/>
      <c r="G2" s="261"/>
      <c r="H2" s="261"/>
      <c r="I2" s="261"/>
      <c r="J2" s="261"/>
      <c r="K2" s="261"/>
      <c r="L2" s="261"/>
      <c r="M2" s="261"/>
      <c r="N2" s="261"/>
      <c r="O2" s="261"/>
      <c r="P2" s="261"/>
      <c r="Q2" s="261"/>
      <c r="R2" s="261"/>
      <c r="S2" s="261"/>
      <c r="T2" s="261"/>
      <c r="U2" s="261"/>
      <c r="V2" s="261"/>
      <c r="W2" s="261"/>
      <c r="X2" s="261"/>
      <c r="Y2" s="261"/>
      <c r="Z2" s="711"/>
      <c r="AA2" s="711"/>
      <c r="AB2" s="711"/>
      <c r="AC2" s="711"/>
      <c r="AD2" s="240"/>
      <c r="AE2" s="240"/>
      <c r="AF2" s="240"/>
      <c r="AG2" s="240"/>
      <c r="AH2" s="711"/>
      <c r="AI2" s="711"/>
      <c r="AJ2" s="711"/>
      <c r="AK2" s="711"/>
      <c r="AL2" s="711"/>
      <c r="AM2" s="599"/>
      <c r="AN2" s="599"/>
      <c r="AO2" s="599"/>
      <c r="AP2" s="599"/>
      <c r="AQ2" s="599"/>
      <c r="AR2" s="599"/>
      <c r="AS2" s="599"/>
      <c r="AT2" s="599"/>
      <c r="AU2" s="599"/>
      <c r="AV2" s="599"/>
      <c r="AW2" s="599"/>
      <c r="AX2" s="599"/>
      <c r="AY2" s="599"/>
      <c r="AZ2" s="599"/>
      <c r="BA2" s="599"/>
      <c r="BB2" s="599"/>
      <c r="BC2" s="599"/>
      <c r="BD2" s="599"/>
      <c r="BE2" s="599"/>
      <c r="BF2" s="599"/>
    </row>
    <row r="3" spans="1:58" s="102" customFormat="1" ht="16.5" thickBot="1">
      <c r="A3" s="593"/>
      <c r="B3" s="583" t="s">
        <v>1016</v>
      </c>
      <c r="C3" s="261"/>
      <c r="D3" s="261"/>
      <c r="E3" s="261"/>
      <c r="F3" s="261"/>
      <c r="G3" s="261"/>
      <c r="H3" s="261"/>
      <c r="I3" s="261"/>
      <c r="J3" s="261"/>
      <c r="K3" s="261"/>
      <c r="L3" s="261"/>
      <c r="M3" s="261"/>
      <c r="N3" s="261"/>
      <c r="O3" s="261"/>
      <c r="P3" s="261"/>
      <c r="Q3" s="261"/>
      <c r="R3" s="711"/>
      <c r="S3" s="711"/>
      <c r="T3" s="240"/>
      <c r="U3" s="240"/>
      <c r="V3" s="711"/>
      <c r="W3" s="711"/>
      <c r="X3" s="711"/>
      <c r="Y3" s="599"/>
      <c r="Z3" s="599"/>
      <c r="AA3" s="599"/>
      <c r="AB3" s="599"/>
      <c r="AC3" s="599"/>
      <c r="AD3" s="599"/>
      <c r="AE3" s="599"/>
      <c r="AF3" s="599"/>
      <c r="AG3" s="599"/>
      <c r="AH3" s="599"/>
      <c r="AI3" s="599"/>
      <c r="AJ3" s="599"/>
      <c r="AK3" s="599"/>
      <c r="AL3" s="599"/>
      <c r="AM3" s="599"/>
      <c r="AN3" s="599"/>
      <c r="AO3" s="599"/>
      <c r="AP3" s="599"/>
      <c r="AQ3" s="599"/>
      <c r="AR3" s="599"/>
      <c r="AS3" s="599"/>
      <c r="AT3" s="599"/>
      <c r="AU3" s="599"/>
      <c r="AV3" s="599"/>
      <c r="AW3" s="599"/>
      <c r="AX3" s="599"/>
      <c r="AY3" s="599"/>
      <c r="AZ3" s="599"/>
      <c r="BA3" s="599"/>
      <c r="BB3" s="599"/>
      <c r="BC3" s="599"/>
      <c r="BD3" s="599"/>
      <c r="BE3" s="599"/>
      <c r="BF3" s="599"/>
    </row>
    <row r="4" spans="1:58" s="102" customFormat="1">
      <c r="A4" s="599"/>
      <c r="B4" s="2660" t="s">
        <v>445</v>
      </c>
      <c r="C4" s="2661"/>
      <c r="D4" s="2661"/>
      <c r="E4" s="2661"/>
      <c r="F4" s="2661"/>
      <c r="G4" s="2661"/>
      <c r="H4" s="2661"/>
      <c r="I4" s="2661"/>
      <c r="J4" s="2662"/>
      <c r="K4" s="2760" t="s">
        <v>446</v>
      </c>
      <c r="L4" s="2761"/>
      <c r="M4" s="2761"/>
      <c r="N4" s="2761"/>
      <c r="O4" s="2761"/>
      <c r="P4" s="2761"/>
      <c r="Q4" s="2761"/>
      <c r="R4" s="2761"/>
      <c r="S4" s="2761"/>
      <c r="T4" s="2761"/>
      <c r="U4" s="2761"/>
      <c r="V4" s="2761"/>
      <c r="W4" s="2761"/>
      <c r="X4" s="2761"/>
      <c r="Y4" s="2761"/>
      <c r="Z4" s="2761"/>
      <c r="AA4" s="2761"/>
      <c r="AB4" s="2761"/>
      <c r="AC4" s="2761"/>
      <c r="AD4" s="2761"/>
      <c r="AE4" s="2761"/>
      <c r="AF4" s="2761"/>
      <c r="AG4" s="2761"/>
      <c r="AH4" s="2761"/>
      <c r="AI4" s="2761"/>
      <c r="AJ4" s="2761"/>
      <c r="AK4" s="2761"/>
      <c r="AL4" s="2761"/>
      <c r="AM4" s="2761"/>
      <c r="AN4" s="2761"/>
      <c r="AO4" s="2761"/>
      <c r="AP4" s="2761"/>
      <c r="AQ4" s="2761"/>
      <c r="AR4" s="2761"/>
      <c r="AS4" s="2761"/>
      <c r="AT4" s="2761"/>
      <c r="AU4" s="2761"/>
      <c r="AV4" s="2761"/>
      <c r="AW4" s="2761"/>
      <c r="AX4" s="2762"/>
      <c r="AY4" s="599"/>
      <c r="AZ4" s="599"/>
      <c r="BA4" s="599"/>
      <c r="BB4" s="599"/>
      <c r="BC4" s="599"/>
      <c r="BD4" s="599"/>
      <c r="BE4" s="599"/>
      <c r="BF4" s="599"/>
    </row>
    <row r="5" spans="1:58" s="102" customFormat="1" ht="51" customHeight="1" thickBot="1">
      <c r="A5" s="599"/>
      <c r="B5" s="2663"/>
      <c r="C5" s="2664"/>
      <c r="D5" s="2664"/>
      <c r="E5" s="2664"/>
      <c r="F5" s="2664"/>
      <c r="G5" s="2664"/>
      <c r="H5" s="2664"/>
      <c r="I5" s="2664"/>
      <c r="J5" s="2665"/>
      <c r="K5" s="2763" t="s">
        <v>424</v>
      </c>
      <c r="L5" s="2764"/>
      <c r="M5" s="2764"/>
      <c r="N5" s="2764"/>
      <c r="O5" s="2765"/>
      <c r="P5" s="2766" t="s">
        <v>425</v>
      </c>
      <c r="Q5" s="2764"/>
      <c r="R5" s="2764"/>
      <c r="S5" s="2764"/>
      <c r="T5" s="2765"/>
      <c r="U5" s="2767" t="s">
        <v>426</v>
      </c>
      <c r="V5" s="2768"/>
      <c r="W5" s="2768"/>
      <c r="X5" s="2768"/>
      <c r="Y5" s="2769"/>
      <c r="Z5" s="2767" t="s">
        <v>419</v>
      </c>
      <c r="AA5" s="2768"/>
      <c r="AB5" s="2768"/>
      <c r="AC5" s="2768"/>
      <c r="AD5" s="2769"/>
      <c r="AE5" s="2766" t="s">
        <v>427</v>
      </c>
      <c r="AF5" s="2764"/>
      <c r="AG5" s="2764"/>
      <c r="AH5" s="2764"/>
      <c r="AI5" s="2765"/>
      <c r="AJ5" s="2766" t="s">
        <v>428</v>
      </c>
      <c r="AK5" s="2764"/>
      <c r="AL5" s="2764"/>
      <c r="AM5" s="2764"/>
      <c r="AN5" s="2765"/>
      <c r="AO5" s="2766" t="s">
        <v>272</v>
      </c>
      <c r="AP5" s="2764"/>
      <c r="AQ5" s="2764"/>
      <c r="AR5" s="2764"/>
      <c r="AS5" s="2770"/>
      <c r="AT5" s="2764" t="s">
        <v>42</v>
      </c>
      <c r="AU5" s="2764"/>
      <c r="AV5" s="2764"/>
      <c r="AW5" s="2764"/>
      <c r="AX5" s="2771"/>
      <c r="AY5" s="599"/>
      <c r="AZ5" s="599"/>
      <c r="BA5" s="599"/>
      <c r="BB5" s="599"/>
      <c r="BC5" s="599"/>
      <c r="BD5" s="599"/>
      <c r="BE5" s="599"/>
      <c r="BF5" s="599"/>
    </row>
    <row r="6" spans="1:58" s="101" customFormat="1" ht="24.95" customHeight="1">
      <c r="A6" s="580"/>
      <c r="B6" s="2751" t="s">
        <v>429</v>
      </c>
      <c r="C6" s="2752"/>
      <c r="D6" s="2752"/>
      <c r="E6" s="2752"/>
      <c r="F6" s="2752"/>
      <c r="G6" s="2752"/>
      <c r="H6" s="2752"/>
      <c r="I6" s="2752"/>
      <c r="J6" s="2753"/>
      <c r="K6" s="2754"/>
      <c r="L6" s="2755"/>
      <c r="M6" s="2755"/>
      <c r="N6" s="2755"/>
      <c r="O6" s="2755"/>
      <c r="P6" s="2755"/>
      <c r="Q6" s="2755"/>
      <c r="R6" s="2755"/>
      <c r="S6" s="2755"/>
      <c r="T6" s="2755"/>
      <c r="U6" s="2755"/>
      <c r="V6" s="2755"/>
      <c r="W6" s="2755"/>
      <c r="X6" s="2755"/>
      <c r="Y6" s="2755"/>
      <c r="Z6" s="2755"/>
      <c r="AA6" s="2755"/>
      <c r="AB6" s="2755"/>
      <c r="AC6" s="2755"/>
      <c r="AD6" s="2755"/>
      <c r="AE6" s="2755"/>
      <c r="AF6" s="2755"/>
      <c r="AG6" s="2755"/>
      <c r="AH6" s="2755"/>
      <c r="AI6" s="2755"/>
      <c r="AJ6" s="2755"/>
      <c r="AK6" s="2755"/>
      <c r="AL6" s="2755"/>
      <c r="AM6" s="2755"/>
      <c r="AN6" s="2755"/>
      <c r="AO6" s="2755"/>
      <c r="AP6" s="2755"/>
      <c r="AQ6" s="2755"/>
      <c r="AR6" s="2755"/>
      <c r="AS6" s="2755"/>
      <c r="AT6" s="2755"/>
      <c r="AU6" s="2755"/>
      <c r="AV6" s="2755"/>
      <c r="AW6" s="2755"/>
      <c r="AX6" s="2756"/>
      <c r="AY6" s="580"/>
      <c r="AZ6" s="580"/>
      <c r="BA6" s="580"/>
      <c r="BB6" s="580"/>
      <c r="BC6" s="580"/>
      <c r="BD6" s="580"/>
      <c r="BE6" s="580"/>
      <c r="BF6" s="580"/>
    </row>
    <row r="7" spans="1:58" s="40" customFormat="1" ht="30" customHeight="1">
      <c r="A7" s="582"/>
      <c r="B7" s="730" t="s">
        <v>447</v>
      </c>
      <c r="C7" s="713"/>
      <c r="D7" s="713"/>
      <c r="E7" s="713"/>
      <c r="F7" s="713"/>
      <c r="G7" s="713"/>
      <c r="H7" s="713"/>
      <c r="I7" s="713"/>
      <c r="J7" s="714"/>
      <c r="K7" s="2785">
        <v>4</v>
      </c>
      <c r="L7" s="2786"/>
      <c r="M7" s="2786"/>
      <c r="N7" s="2786"/>
      <c r="O7" s="2787"/>
      <c r="P7" s="2788">
        <v>0</v>
      </c>
      <c r="Q7" s="2786"/>
      <c r="R7" s="2786"/>
      <c r="S7" s="2786"/>
      <c r="T7" s="2787"/>
      <c r="U7" s="2788">
        <v>0</v>
      </c>
      <c r="V7" s="2786"/>
      <c r="W7" s="2786"/>
      <c r="X7" s="2786"/>
      <c r="Y7" s="2787"/>
      <c r="Z7" s="2788">
        <v>0</v>
      </c>
      <c r="AA7" s="2786"/>
      <c r="AB7" s="2786"/>
      <c r="AC7" s="2786"/>
      <c r="AD7" s="2787"/>
      <c r="AE7" s="2788">
        <v>0</v>
      </c>
      <c r="AF7" s="2786"/>
      <c r="AG7" s="2786"/>
      <c r="AH7" s="2786"/>
      <c r="AI7" s="2787"/>
      <c r="AJ7" s="2788">
        <v>0</v>
      </c>
      <c r="AK7" s="2786"/>
      <c r="AL7" s="2786"/>
      <c r="AM7" s="2786"/>
      <c r="AN7" s="2787"/>
      <c r="AO7" s="2788">
        <v>0</v>
      </c>
      <c r="AP7" s="2786"/>
      <c r="AQ7" s="2786"/>
      <c r="AR7" s="2786"/>
      <c r="AS7" s="2789"/>
      <c r="AT7" s="2779">
        <f>SUM(K7:AS7)</f>
        <v>4</v>
      </c>
      <c r="AU7" s="2780"/>
      <c r="AV7" s="2780"/>
      <c r="AW7" s="2780"/>
      <c r="AX7" s="2781"/>
      <c r="AY7" s="582"/>
      <c r="AZ7" s="582"/>
      <c r="BA7" s="582"/>
      <c r="BB7" s="582"/>
      <c r="BC7" s="582"/>
      <c r="BD7" s="582"/>
      <c r="BE7" s="582"/>
      <c r="BF7" s="582"/>
    </row>
    <row r="8" spans="1:58" s="40" customFormat="1" ht="30" customHeight="1">
      <c r="A8" s="582"/>
      <c r="B8" s="731" t="s">
        <v>448</v>
      </c>
      <c r="C8" s="716"/>
      <c r="D8" s="716"/>
      <c r="E8" s="716"/>
      <c r="F8" s="716"/>
      <c r="G8" s="716"/>
      <c r="H8" s="716"/>
      <c r="I8" s="716"/>
      <c r="J8" s="717"/>
      <c r="K8" s="2690">
        <v>0</v>
      </c>
      <c r="L8" s="2691"/>
      <c r="M8" s="2691"/>
      <c r="N8" s="2691"/>
      <c r="O8" s="2692"/>
      <c r="P8" s="2693">
        <v>0</v>
      </c>
      <c r="Q8" s="2691"/>
      <c r="R8" s="2691"/>
      <c r="S8" s="2691"/>
      <c r="T8" s="2692"/>
      <c r="U8" s="2693">
        <v>0</v>
      </c>
      <c r="V8" s="2691"/>
      <c r="W8" s="2691"/>
      <c r="X8" s="2691"/>
      <c r="Y8" s="2692"/>
      <c r="Z8" s="2693">
        <v>0</v>
      </c>
      <c r="AA8" s="2691"/>
      <c r="AB8" s="2691"/>
      <c r="AC8" s="2691"/>
      <c r="AD8" s="2692"/>
      <c r="AE8" s="2693">
        <v>0</v>
      </c>
      <c r="AF8" s="2691"/>
      <c r="AG8" s="2691"/>
      <c r="AH8" s="2691"/>
      <c r="AI8" s="2692"/>
      <c r="AJ8" s="2693">
        <v>0</v>
      </c>
      <c r="AK8" s="2691"/>
      <c r="AL8" s="2691"/>
      <c r="AM8" s="2691"/>
      <c r="AN8" s="2692"/>
      <c r="AO8" s="2693">
        <v>0</v>
      </c>
      <c r="AP8" s="2691"/>
      <c r="AQ8" s="2691"/>
      <c r="AR8" s="2691"/>
      <c r="AS8" s="2694"/>
      <c r="AT8" s="2779">
        <f t="shared" ref="AT8:AT13" si="0">SUM(K8:AS8)</f>
        <v>0</v>
      </c>
      <c r="AU8" s="2780"/>
      <c r="AV8" s="2780"/>
      <c r="AW8" s="2780"/>
      <c r="AX8" s="2781"/>
      <c r="AY8" s="582"/>
      <c r="AZ8" s="582"/>
      <c r="BA8" s="582"/>
      <c r="BB8" s="582"/>
      <c r="BC8" s="582"/>
      <c r="BD8" s="582"/>
      <c r="BE8" s="582"/>
      <c r="BF8" s="582"/>
    </row>
    <row r="9" spans="1:58" s="40" customFormat="1" ht="30" customHeight="1">
      <c r="A9" s="582"/>
      <c r="B9" s="731" t="s">
        <v>449</v>
      </c>
      <c r="C9" s="716"/>
      <c r="D9" s="716"/>
      <c r="E9" s="716"/>
      <c r="F9" s="716"/>
      <c r="G9" s="716"/>
      <c r="H9" s="716"/>
      <c r="I9" s="716"/>
      <c r="J9" s="717"/>
      <c r="K9" s="2785">
        <v>2</v>
      </c>
      <c r="L9" s="2786"/>
      <c r="M9" s="2786"/>
      <c r="N9" s="2786"/>
      <c r="O9" s="2787"/>
      <c r="P9" s="2788">
        <v>0</v>
      </c>
      <c r="Q9" s="2786"/>
      <c r="R9" s="2786"/>
      <c r="S9" s="2786"/>
      <c r="T9" s="2787"/>
      <c r="U9" s="2788">
        <v>0</v>
      </c>
      <c r="V9" s="2786"/>
      <c r="W9" s="2786"/>
      <c r="X9" s="2786"/>
      <c r="Y9" s="2787"/>
      <c r="Z9" s="2788">
        <v>0</v>
      </c>
      <c r="AA9" s="2786"/>
      <c r="AB9" s="2786"/>
      <c r="AC9" s="2786"/>
      <c r="AD9" s="2787"/>
      <c r="AE9" s="2788">
        <v>0</v>
      </c>
      <c r="AF9" s="2786"/>
      <c r="AG9" s="2786"/>
      <c r="AH9" s="2786"/>
      <c r="AI9" s="2787"/>
      <c r="AJ9" s="2788">
        <v>0</v>
      </c>
      <c r="AK9" s="2786"/>
      <c r="AL9" s="2786"/>
      <c r="AM9" s="2786"/>
      <c r="AN9" s="2787"/>
      <c r="AO9" s="2788">
        <v>0</v>
      </c>
      <c r="AP9" s="2786"/>
      <c r="AQ9" s="2786"/>
      <c r="AR9" s="2786"/>
      <c r="AS9" s="2789"/>
      <c r="AT9" s="2779">
        <f t="shared" si="0"/>
        <v>2</v>
      </c>
      <c r="AU9" s="2780"/>
      <c r="AV9" s="2780"/>
      <c r="AW9" s="2780"/>
      <c r="AX9" s="2781"/>
      <c r="AY9" s="582"/>
      <c r="AZ9" s="582"/>
      <c r="BA9" s="582"/>
      <c r="BB9" s="582"/>
      <c r="BC9" s="582"/>
      <c r="BD9" s="582"/>
      <c r="BE9" s="582"/>
      <c r="BF9" s="582"/>
    </row>
    <row r="10" spans="1:58" s="40" customFormat="1" ht="30" customHeight="1">
      <c r="A10" s="582"/>
      <c r="B10" s="731" t="s">
        <v>450</v>
      </c>
      <c r="C10" s="716"/>
      <c r="D10" s="716"/>
      <c r="E10" s="716"/>
      <c r="F10" s="716"/>
      <c r="G10" s="716"/>
      <c r="H10" s="716"/>
      <c r="I10" s="716"/>
      <c r="J10" s="717"/>
      <c r="K10" s="2690">
        <v>0</v>
      </c>
      <c r="L10" s="2691"/>
      <c r="M10" s="2691"/>
      <c r="N10" s="2691"/>
      <c r="O10" s="2692"/>
      <c r="P10" s="2693">
        <v>0</v>
      </c>
      <c r="Q10" s="2691"/>
      <c r="R10" s="2691"/>
      <c r="S10" s="2691"/>
      <c r="T10" s="2692"/>
      <c r="U10" s="2693">
        <v>0</v>
      </c>
      <c r="V10" s="2691"/>
      <c r="W10" s="2691"/>
      <c r="X10" s="2691"/>
      <c r="Y10" s="2692"/>
      <c r="Z10" s="2693">
        <v>0</v>
      </c>
      <c r="AA10" s="2691"/>
      <c r="AB10" s="2691"/>
      <c r="AC10" s="2691"/>
      <c r="AD10" s="2692"/>
      <c r="AE10" s="2693">
        <v>0</v>
      </c>
      <c r="AF10" s="2691"/>
      <c r="AG10" s="2691"/>
      <c r="AH10" s="2691"/>
      <c r="AI10" s="2692"/>
      <c r="AJ10" s="2693">
        <v>0</v>
      </c>
      <c r="AK10" s="2691"/>
      <c r="AL10" s="2691"/>
      <c r="AM10" s="2691"/>
      <c r="AN10" s="2692"/>
      <c r="AO10" s="2693">
        <v>0</v>
      </c>
      <c r="AP10" s="2691"/>
      <c r="AQ10" s="2691"/>
      <c r="AR10" s="2691"/>
      <c r="AS10" s="2694"/>
      <c r="AT10" s="2779">
        <f t="shared" si="0"/>
        <v>0</v>
      </c>
      <c r="AU10" s="2780"/>
      <c r="AV10" s="2780"/>
      <c r="AW10" s="2780"/>
      <c r="AX10" s="2781"/>
      <c r="AY10" s="582"/>
      <c r="AZ10" s="582"/>
      <c r="BA10" s="582"/>
      <c r="BB10" s="582"/>
      <c r="BC10" s="582"/>
      <c r="BD10" s="582"/>
      <c r="BE10" s="582"/>
      <c r="BF10" s="582"/>
    </row>
    <row r="11" spans="1:58" s="40" customFormat="1" ht="30" customHeight="1">
      <c r="A11" s="582"/>
      <c r="B11" s="731" t="s">
        <v>451</v>
      </c>
      <c r="C11" s="716"/>
      <c r="D11" s="716"/>
      <c r="E11" s="716"/>
      <c r="F11" s="716"/>
      <c r="G11" s="716"/>
      <c r="H11" s="716"/>
      <c r="I11" s="716"/>
      <c r="J11" s="717"/>
      <c r="K11" s="2785">
        <v>12</v>
      </c>
      <c r="L11" s="2786"/>
      <c r="M11" s="2786"/>
      <c r="N11" s="2786"/>
      <c r="O11" s="2787"/>
      <c r="P11" s="2788">
        <v>0</v>
      </c>
      <c r="Q11" s="2786"/>
      <c r="R11" s="2786"/>
      <c r="S11" s="2786"/>
      <c r="T11" s="2787"/>
      <c r="U11" s="2788">
        <v>0</v>
      </c>
      <c r="V11" s="2786"/>
      <c r="W11" s="2786"/>
      <c r="X11" s="2786"/>
      <c r="Y11" s="2787"/>
      <c r="Z11" s="2788">
        <v>0</v>
      </c>
      <c r="AA11" s="2786"/>
      <c r="AB11" s="2786"/>
      <c r="AC11" s="2786"/>
      <c r="AD11" s="2787"/>
      <c r="AE11" s="2788">
        <v>0</v>
      </c>
      <c r="AF11" s="2786"/>
      <c r="AG11" s="2786"/>
      <c r="AH11" s="2786"/>
      <c r="AI11" s="2787"/>
      <c r="AJ11" s="2788">
        <v>10</v>
      </c>
      <c r="AK11" s="2786"/>
      <c r="AL11" s="2786"/>
      <c r="AM11" s="2786"/>
      <c r="AN11" s="2787"/>
      <c r="AO11" s="2788">
        <v>0</v>
      </c>
      <c r="AP11" s="2786"/>
      <c r="AQ11" s="2786"/>
      <c r="AR11" s="2786"/>
      <c r="AS11" s="2789"/>
      <c r="AT11" s="2779">
        <f t="shared" si="0"/>
        <v>22</v>
      </c>
      <c r="AU11" s="2780"/>
      <c r="AV11" s="2780"/>
      <c r="AW11" s="2780"/>
      <c r="AX11" s="2781"/>
      <c r="AY11" s="582"/>
      <c r="AZ11" s="582"/>
      <c r="BA11" s="582"/>
      <c r="BB11" s="582"/>
      <c r="BC11" s="582"/>
      <c r="BD11" s="582"/>
      <c r="BE11" s="582"/>
      <c r="BF11" s="582"/>
    </row>
    <row r="12" spans="1:58" s="40" customFormat="1" ht="30" customHeight="1">
      <c r="A12" s="582"/>
      <c r="B12" s="731" t="s">
        <v>452</v>
      </c>
      <c r="C12" s="716"/>
      <c r="D12" s="716"/>
      <c r="E12" s="716"/>
      <c r="F12" s="716"/>
      <c r="G12" s="716"/>
      <c r="H12" s="716"/>
      <c r="I12" s="716"/>
      <c r="J12" s="717"/>
      <c r="K12" s="2690">
        <v>5</v>
      </c>
      <c r="L12" s="2691"/>
      <c r="M12" s="2691"/>
      <c r="N12" s="2691"/>
      <c r="O12" s="2692"/>
      <c r="P12" s="2693">
        <v>0</v>
      </c>
      <c r="Q12" s="2691"/>
      <c r="R12" s="2691"/>
      <c r="S12" s="2691"/>
      <c r="T12" s="2692"/>
      <c r="U12" s="2693">
        <v>0</v>
      </c>
      <c r="V12" s="2691"/>
      <c r="W12" s="2691"/>
      <c r="X12" s="2691"/>
      <c r="Y12" s="2692"/>
      <c r="Z12" s="2693">
        <v>0</v>
      </c>
      <c r="AA12" s="2691"/>
      <c r="AB12" s="2691"/>
      <c r="AC12" s="2691"/>
      <c r="AD12" s="2692"/>
      <c r="AE12" s="2693">
        <v>0</v>
      </c>
      <c r="AF12" s="2691"/>
      <c r="AG12" s="2691"/>
      <c r="AH12" s="2691"/>
      <c r="AI12" s="2692"/>
      <c r="AJ12" s="2693">
        <v>0</v>
      </c>
      <c r="AK12" s="2691"/>
      <c r="AL12" s="2691"/>
      <c r="AM12" s="2691"/>
      <c r="AN12" s="2692"/>
      <c r="AO12" s="2693">
        <v>0</v>
      </c>
      <c r="AP12" s="2691"/>
      <c r="AQ12" s="2691"/>
      <c r="AR12" s="2691"/>
      <c r="AS12" s="2694"/>
      <c r="AT12" s="2779">
        <f t="shared" si="0"/>
        <v>5</v>
      </c>
      <c r="AU12" s="2780"/>
      <c r="AV12" s="2780"/>
      <c r="AW12" s="2780"/>
      <c r="AX12" s="2781"/>
      <c r="AY12" s="582"/>
      <c r="AZ12" s="582"/>
      <c r="BA12" s="582"/>
      <c r="BB12" s="582"/>
      <c r="BC12" s="582"/>
      <c r="BD12" s="582"/>
      <c r="BE12" s="582"/>
      <c r="BF12" s="582"/>
    </row>
    <row r="13" spans="1:58" s="40" customFormat="1" ht="30" customHeight="1">
      <c r="A13" s="582"/>
      <c r="B13" s="732" t="s">
        <v>1245</v>
      </c>
      <c r="C13" s="719"/>
      <c r="D13" s="719"/>
      <c r="E13" s="719"/>
      <c r="F13" s="719"/>
      <c r="G13" s="719"/>
      <c r="H13" s="719"/>
      <c r="I13" s="719"/>
      <c r="J13" s="720"/>
      <c r="K13" s="2785">
        <v>0</v>
      </c>
      <c r="L13" s="2786"/>
      <c r="M13" s="2786"/>
      <c r="N13" s="2786"/>
      <c r="O13" s="2787"/>
      <c r="P13" s="2788">
        <v>0</v>
      </c>
      <c r="Q13" s="2786"/>
      <c r="R13" s="2786"/>
      <c r="S13" s="2786"/>
      <c r="T13" s="2787"/>
      <c r="U13" s="2788">
        <v>0</v>
      </c>
      <c r="V13" s="2786"/>
      <c r="W13" s="2786"/>
      <c r="X13" s="2786"/>
      <c r="Y13" s="2787"/>
      <c r="Z13" s="2788">
        <v>0</v>
      </c>
      <c r="AA13" s="2786"/>
      <c r="AB13" s="2786"/>
      <c r="AC13" s="2786"/>
      <c r="AD13" s="2787"/>
      <c r="AE13" s="2788">
        <v>0</v>
      </c>
      <c r="AF13" s="2786"/>
      <c r="AG13" s="2786"/>
      <c r="AH13" s="2786"/>
      <c r="AI13" s="2787"/>
      <c r="AJ13" s="2788">
        <v>0</v>
      </c>
      <c r="AK13" s="2786"/>
      <c r="AL13" s="2786"/>
      <c r="AM13" s="2786"/>
      <c r="AN13" s="2787"/>
      <c r="AO13" s="2788">
        <v>0</v>
      </c>
      <c r="AP13" s="2786"/>
      <c r="AQ13" s="2786"/>
      <c r="AR13" s="2786"/>
      <c r="AS13" s="2789"/>
      <c r="AT13" s="2779">
        <f t="shared" si="0"/>
        <v>0</v>
      </c>
      <c r="AU13" s="2780"/>
      <c r="AV13" s="2780"/>
      <c r="AW13" s="2780"/>
      <c r="AX13" s="2781"/>
      <c r="AY13" s="582"/>
      <c r="AZ13" s="582"/>
      <c r="BA13" s="582"/>
      <c r="BB13" s="582"/>
      <c r="BC13" s="582"/>
      <c r="BD13" s="582"/>
      <c r="BE13" s="582"/>
      <c r="BF13" s="582"/>
    </row>
    <row r="14" spans="1:58" s="101" customFormat="1" ht="24.95" customHeight="1">
      <c r="A14" s="580"/>
      <c r="B14" s="2745" t="s">
        <v>432</v>
      </c>
      <c r="C14" s="2746"/>
      <c r="D14" s="2746"/>
      <c r="E14" s="2746"/>
      <c r="F14" s="2746"/>
      <c r="G14" s="2746"/>
      <c r="H14" s="2746"/>
      <c r="I14" s="2746"/>
      <c r="J14" s="2747"/>
      <c r="K14" s="2782"/>
      <c r="L14" s="2783"/>
      <c r="M14" s="2783"/>
      <c r="N14" s="2783"/>
      <c r="O14" s="2783"/>
      <c r="P14" s="2783"/>
      <c r="Q14" s="2783"/>
      <c r="R14" s="2783"/>
      <c r="S14" s="2783"/>
      <c r="T14" s="2783"/>
      <c r="U14" s="2783"/>
      <c r="V14" s="2783"/>
      <c r="W14" s="2783"/>
      <c r="X14" s="2783"/>
      <c r="Y14" s="2783"/>
      <c r="Z14" s="2783"/>
      <c r="AA14" s="2783"/>
      <c r="AB14" s="2783"/>
      <c r="AC14" s="2783"/>
      <c r="AD14" s="2783"/>
      <c r="AE14" s="2783"/>
      <c r="AF14" s="2783"/>
      <c r="AG14" s="2783"/>
      <c r="AH14" s="2783"/>
      <c r="AI14" s="2783"/>
      <c r="AJ14" s="2783"/>
      <c r="AK14" s="2783"/>
      <c r="AL14" s="2783"/>
      <c r="AM14" s="2783"/>
      <c r="AN14" s="2783"/>
      <c r="AO14" s="2783"/>
      <c r="AP14" s="2783"/>
      <c r="AQ14" s="2783"/>
      <c r="AR14" s="2783"/>
      <c r="AS14" s="2783"/>
      <c r="AT14" s="2783"/>
      <c r="AU14" s="2783"/>
      <c r="AV14" s="2783"/>
      <c r="AW14" s="2783"/>
      <c r="AX14" s="2784"/>
      <c r="AY14" s="580"/>
      <c r="AZ14" s="580"/>
      <c r="BA14" s="580"/>
      <c r="BB14" s="580"/>
      <c r="BC14" s="580"/>
      <c r="BD14" s="580"/>
      <c r="BE14" s="580"/>
      <c r="BF14" s="580"/>
    </row>
    <row r="15" spans="1:58" s="40" customFormat="1" ht="30" customHeight="1">
      <c r="A15" s="582"/>
      <c r="B15" s="730" t="s">
        <v>447</v>
      </c>
      <c r="C15" s="733"/>
      <c r="D15" s="713"/>
      <c r="E15" s="713"/>
      <c r="F15" s="713"/>
      <c r="G15" s="713"/>
      <c r="H15" s="713"/>
      <c r="I15" s="713"/>
      <c r="J15" s="714"/>
      <c r="K15" s="2737">
        <v>0</v>
      </c>
      <c r="L15" s="2738"/>
      <c r="M15" s="2738"/>
      <c r="N15" s="2738"/>
      <c r="O15" s="2739"/>
      <c r="P15" s="2740">
        <v>0</v>
      </c>
      <c r="Q15" s="2738"/>
      <c r="R15" s="2738"/>
      <c r="S15" s="2738"/>
      <c r="T15" s="2739"/>
      <c r="U15" s="2740">
        <v>0</v>
      </c>
      <c r="V15" s="2738"/>
      <c r="W15" s="2738"/>
      <c r="X15" s="2738"/>
      <c r="Y15" s="2739"/>
      <c r="Z15" s="2740">
        <v>0</v>
      </c>
      <c r="AA15" s="2738"/>
      <c r="AB15" s="2738"/>
      <c r="AC15" s="2738"/>
      <c r="AD15" s="2739"/>
      <c r="AE15" s="2740">
        <v>0</v>
      </c>
      <c r="AF15" s="2738"/>
      <c r="AG15" s="2738"/>
      <c r="AH15" s="2738"/>
      <c r="AI15" s="2739"/>
      <c r="AJ15" s="2740">
        <v>0</v>
      </c>
      <c r="AK15" s="2738"/>
      <c r="AL15" s="2738"/>
      <c r="AM15" s="2738"/>
      <c r="AN15" s="2739"/>
      <c r="AO15" s="2740">
        <v>0</v>
      </c>
      <c r="AP15" s="2738"/>
      <c r="AQ15" s="2738"/>
      <c r="AR15" s="2738"/>
      <c r="AS15" s="2741"/>
      <c r="AT15" s="2779">
        <f t="shared" ref="AT15:AT21" si="1">SUM(K15:AS15)</f>
        <v>0</v>
      </c>
      <c r="AU15" s="2780"/>
      <c r="AV15" s="2780"/>
      <c r="AW15" s="2780"/>
      <c r="AX15" s="2781"/>
      <c r="AY15" s="582"/>
      <c r="AZ15" s="582"/>
      <c r="BA15" s="582"/>
      <c r="BB15" s="582"/>
      <c r="BC15" s="582"/>
      <c r="BD15" s="582"/>
      <c r="BE15" s="582"/>
      <c r="BF15" s="582"/>
    </row>
    <row r="16" spans="1:58" s="40" customFormat="1" ht="30" customHeight="1">
      <c r="A16" s="582"/>
      <c r="B16" s="731" t="s">
        <v>448</v>
      </c>
      <c r="C16" s="734"/>
      <c r="D16" s="716"/>
      <c r="E16" s="716"/>
      <c r="F16" s="716"/>
      <c r="G16" s="716"/>
      <c r="H16" s="716"/>
      <c r="I16" s="716"/>
      <c r="J16" s="717"/>
      <c r="K16" s="2731">
        <v>0</v>
      </c>
      <c r="L16" s="2732"/>
      <c r="M16" s="2732"/>
      <c r="N16" s="2732"/>
      <c r="O16" s="2733"/>
      <c r="P16" s="2734">
        <v>0</v>
      </c>
      <c r="Q16" s="2732"/>
      <c r="R16" s="2732"/>
      <c r="S16" s="2732"/>
      <c r="T16" s="2733"/>
      <c r="U16" s="2734">
        <v>0</v>
      </c>
      <c r="V16" s="2732"/>
      <c r="W16" s="2732"/>
      <c r="X16" s="2732"/>
      <c r="Y16" s="2733"/>
      <c r="Z16" s="2734">
        <v>0</v>
      </c>
      <c r="AA16" s="2732"/>
      <c r="AB16" s="2732"/>
      <c r="AC16" s="2732"/>
      <c r="AD16" s="2733"/>
      <c r="AE16" s="2734">
        <v>0</v>
      </c>
      <c r="AF16" s="2732"/>
      <c r="AG16" s="2732"/>
      <c r="AH16" s="2732"/>
      <c r="AI16" s="2733"/>
      <c r="AJ16" s="2734">
        <v>0</v>
      </c>
      <c r="AK16" s="2732"/>
      <c r="AL16" s="2732"/>
      <c r="AM16" s="2732"/>
      <c r="AN16" s="2733"/>
      <c r="AO16" s="2734">
        <v>0</v>
      </c>
      <c r="AP16" s="2732"/>
      <c r="AQ16" s="2732"/>
      <c r="AR16" s="2732"/>
      <c r="AS16" s="2735"/>
      <c r="AT16" s="2779">
        <f t="shared" si="1"/>
        <v>0</v>
      </c>
      <c r="AU16" s="2780"/>
      <c r="AV16" s="2780"/>
      <c r="AW16" s="2780"/>
      <c r="AX16" s="2781"/>
      <c r="AY16" s="582"/>
      <c r="AZ16" s="582"/>
      <c r="BA16" s="582"/>
      <c r="BB16" s="582"/>
      <c r="BC16" s="582"/>
      <c r="BD16" s="582"/>
      <c r="BE16" s="582"/>
      <c r="BF16" s="582"/>
    </row>
    <row r="17" spans="1:84" s="40" customFormat="1" ht="30" customHeight="1">
      <c r="A17" s="582"/>
      <c r="B17" s="731" t="s">
        <v>449</v>
      </c>
      <c r="C17" s="734"/>
      <c r="D17" s="716"/>
      <c r="E17" s="716"/>
      <c r="F17" s="716"/>
      <c r="G17" s="716"/>
      <c r="H17" s="716"/>
      <c r="I17" s="716"/>
      <c r="J17" s="717"/>
      <c r="K17" s="2737">
        <v>0</v>
      </c>
      <c r="L17" s="2738"/>
      <c r="M17" s="2738"/>
      <c r="N17" s="2738"/>
      <c r="O17" s="2739"/>
      <c r="P17" s="2740">
        <v>0</v>
      </c>
      <c r="Q17" s="2738"/>
      <c r="R17" s="2738"/>
      <c r="S17" s="2738"/>
      <c r="T17" s="2739"/>
      <c r="U17" s="2740">
        <v>0</v>
      </c>
      <c r="V17" s="2738"/>
      <c r="W17" s="2738"/>
      <c r="X17" s="2738"/>
      <c r="Y17" s="2739"/>
      <c r="Z17" s="2740">
        <v>0</v>
      </c>
      <c r="AA17" s="2738"/>
      <c r="AB17" s="2738"/>
      <c r="AC17" s="2738"/>
      <c r="AD17" s="2739"/>
      <c r="AE17" s="2740">
        <v>0</v>
      </c>
      <c r="AF17" s="2738"/>
      <c r="AG17" s="2738"/>
      <c r="AH17" s="2738"/>
      <c r="AI17" s="2739"/>
      <c r="AJ17" s="2740">
        <v>0</v>
      </c>
      <c r="AK17" s="2738"/>
      <c r="AL17" s="2738"/>
      <c r="AM17" s="2738"/>
      <c r="AN17" s="2739"/>
      <c r="AO17" s="2740">
        <v>0</v>
      </c>
      <c r="AP17" s="2738"/>
      <c r="AQ17" s="2738"/>
      <c r="AR17" s="2738"/>
      <c r="AS17" s="2741"/>
      <c r="AT17" s="2779">
        <f t="shared" si="1"/>
        <v>0</v>
      </c>
      <c r="AU17" s="2780"/>
      <c r="AV17" s="2780"/>
      <c r="AW17" s="2780"/>
      <c r="AX17" s="2781"/>
      <c r="AY17" s="582"/>
      <c r="AZ17" s="582"/>
      <c r="BA17" s="582"/>
      <c r="BB17" s="582"/>
      <c r="BC17" s="582"/>
      <c r="BD17" s="582"/>
      <c r="BE17" s="582"/>
      <c r="BF17" s="582"/>
    </row>
    <row r="18" spans="1:84" s="40" customFormat="1" ht="30" customHeight="1">
      <c r="A18" s="582"/>
      <c r="B18" s="731" t="s">
        <v>450</v>
      </c>
      <c r="C18" s="734"/>
      <c r="D18" s="716"/>
      <c r="E18" s="716"/>
      <c r="F18" s="716"/>
      <c r="G18" s="716"/>
      <c r="H18" s="716"/>
      <c r="I18" s="716"/>
      <c r="J18" s="717"/>
      <c r="K18" s="2731">
        <v>0</v>
      </c>
      <c r="L18" s="2732"/>
      <c r="M18" s="2732"/>
      <c r="N18" s="2732"/>
      <c r="O18" s="2733"/>
      <c r="P18" s="2734">
        <v>0</v>
      </c>
      <c r="Q18" s="2732"/>
      <c r="R18" s="2732"/>
      <c r="S18" s="2732"/>
      <c r="T18" s="2733"/>
      <c r="U18" s="2734">
        <v>0</v>
      </c>
      <c r="V18" s="2732"/>
      <c r="W18" s="2732"/>
      <c r="X18" s="2732"/>
      <c r="Y18" s="2733"/>
      <c r="Z18" s="2734">
        <v>0</v>
      </c>
      <c r="AA18" s="2732"/>
      <c r="AB18" s="2732"/>
      <c r="AC18" s="2732"/>
      <c r="AD18" s="2733"/>
      <c r="AE18" s="2734">
        <v>0</v>
      </c>
      <c r="AF18" s="2732"/>
      <c r="AG18" s="2732"/>
      <c r="AH18" s="2732"/>
      <c r="AI18" s="2733"/>
      <c r="AJ18" s="2734">
        <v>0</v>
      </c>
      <c r="AK18" s="2732"/>
      <c r="AL18" s="2732"/>
      <c r="AM18" s="2732"/>
      <c r="AN18" s="2733"/>
      <c r="AO18" s="2734">
        <v>0</v>
      </c>
      <c r="AP18" s="2732"/>
      <c r="AQ18" s="2732"/>
      <c r="AR18" s="2732"/>
      <c r="AS18" s="2735"/>
      <c r="AT18" s="2779">
        <f t="shared" si="1"/>
        <v>0</v>
      </c>
      <c r="AU18" s="2780"/>
      <c r="AV18" s="2780"/>
      <c r="AW18" s="2780"/>
      <c r="AX18" s="2781"/>
      <c r="AY18" s="582"/>
      <c r="AZ18" s="582"/>
      <c r="BA18" s="582"/>
      <c r="BB18" s="582"/>
      <c r="BC18" s="582"/>
      <c r="BD18" s="582"/>
      <c r="BE18" s="582"/>
      <c r="BF18" s="582"/>
    </row>
    <row r="19" spans="1:84" s="40" customFormat="1" ht="30" customHeight="1">
      <c r="A19" s="582"/>
      <c r="B19" s="731" t="s">
        <v>451</v>
      </c>
      <c r="C19" s="734"/>
      <c r="D19" s="716"/>
      <c r="E19" s="716"/>
      <c r="F19" s="716"/>
      <c r="G19" s="716"/>
      <c r="H19" s="716"/>
      <c r="I19" s="716"/>
      <c r="J19" s="717"/>
      <c r="K19" s="2737">
        <v>0</v>
      </c>
      <c r="L19" s="2738"/>
      <c r="M19" s="2738"/>
      <c r="N19" s="2738"/>
      <c r="O19" s="2739"/>
      <c r="P19" s="2740">
        <v>0</v>
      </c>
      <c r="Q19" s="2738"/>
      <c r="R19" s="2738"/>
      <c r="S19" s="2738"/>
      <c r="T19" s="2739"/>
      <c r="U19" s="2740">
        <v>0</v>
      </c>
      <c r="V19" s="2738"/>
      <c r="W19" s="2738"/>
      <c r="X19" s="2738"/>
      <c r="Y19" s="2739"/>
      <c r="Z19" s="2740">
        <v>0</v>
      </c>
      <c r="AA19" s="2738"/>
      <c r="AB19" s="2738"/>
      <c r="AC19" s="2738"/>
      <c r="AD19" s="2739"/>
      <c r="AE19" s="2740">
        <v>0</v>
      </c>
      <c r="AF19" s="2738"/>
      <c r="AG19" s="2738"/>
      <c r="AH19" s="2738"/>
      <c r="AI19" s="2739"/>
      <c r="AJ19" s="2740">
        <v>0</v>
      </c>
      <c r="AK19" s="2738"/>
      <c r="AL19" s="2738"/>
      <c r="AM19" s="2738"/>
      <c r="AN19" s="2739"/>
      <c r="AO19" s="2740">
        <v>0</v>
      </c>
      <c r="AP19" s="2738"/>
      <c r="AQ19" s="2738"/>
      <c r="AR19" s="2738"/>
      <c r="AS19" s="2741"/>
      <c r="AT19" s="2779">
        <f t="shared" si="1"/>
        <v>0</v>
      </c>
      <c r="AU19" s="2780"/>
      <c r="AV19" s="2780"/>
      <c r="AW19" s="2780"/>
      <c r="AX19" s="2781"/>
      <c r="AY19" s="582"/>
      <c r="AZ19" s="582"/>
      <c r="BA19" s="582"/>
      <c r="BB19" s="582"/>
      <c r="BC19" s="582"/>
      <c r="BD19" s="582"/>
      <c r="BE19" s="582"/>
      <c r="BF19" s="582"/>
    </row>
    <row r="20" spans="1:84" s="40" customFormat="1" ht="30" customHeight="1" thickBot="1">
      <c r="A20" s="582"/>
      <c r="B20" s="735" t="s">
        <v>452</v>
      </c>
      <c r="C20" s="736"/>
      <c r="D20" s="721"/>
      <c r="E20" s="721"/>
      <c r="F20" s="721"/>
      <c r="G20" s="721"/>
      <c r="H20" s="721"/>
      <c r="I20" s="721"/>
      <c r="J20" s="722"/>
      <c r="K20" s="2731">
        <v>0</v>
      </c>
      <c r="L20" s="2732"/>
      <c r="M20" s="2732"/>
      <c r="N20" s="2732"/>
      <c r="O20" s="2733"/>
      <c r="P20" s="2734">
        <v>0</v>
      </c>
      <c r="Q20" s="2732"/>
      <c r="R20" s="2732"/>
      <c r="S20" s="2732"/>
      <c r="T20" s="2733"/>
      <c r="U20" s="2734">
        <v>0</v>
      </c>
      <c r="V20" s="2732"/>
      <c r="W20" s="2732"/>
      <c r="X20" s="2732"/>
      <c r="Y20" s="2733"/>
      <c r="Z20" s="2734">
        <v>0</v>
      </c>
      <c r="AA20" s="2732"/>
      <c r="AB20" s="2732"/>
      <c r="AC20" s="2732"/>
      <c r="AD20" s="2733"/>
      <c r="AE20" s="2734">
        <v>0</v>
      </c>
      <c r="AF20" s="2732"/>
      <c r="AG20" s="2732"/>
      <c r="AH20" s="2732"/>
      <c r="AI20" s="2733"/>
      <c r="AJ20" s="2734">
        <v>0</v>
      </c>
      <c r="AK20" s="2732"/>
      <c r="AL20" s="2732"/>
      <c r="AM20" s="2732"/>
      <c r="AN20" s="2733"/>
      <c r="AO20" s="2734">
        <v>0</v>
      </c>
      <c r="AP20" s="2732"/>
      <c r="AQ20" s="2732"/>
      <c r="AR20" s="2732"/>
      <c r="AS20" s="2735"/>
      <c r="AT20" s="2728">
        <f t="shared" si="1"/>
        <v>0</v>
      </c>
      <c r="AU20" s="2729"/>
      <c r="AV20" s="2729"/>
      <c r="AW20" s="2729"/>
      <c r="AX20" s="2730"/>
      <c r="AY20" s="582"/>
      <c r="AZ20" s="582"/>
      <c r="BA20" s="582"/>
      <c r="BB20" s="582"/>
      <c r="BC20" s="582"/>
      <c r="BD20" s="582"/>
      <c r="BE20" s="582"/>
      <c r="BF20" s="582"/>
    </row>
    <row r="21" spans="1:84" s="101" customFormat="1" ht="30" customHeight="1" thickTop="1" thickBot="1">
      <c r="A21" s="580"/>
      <c r="B21" s="723" t="s">
        <v>433</v>
      </c>
      <c r="C21" s="724"/>
      <c r="D21" s="724"/>
      <c r="E21" s="724"/>
      <c r="F21" s="724"/>
      <c r="G21" s="724"/>
      <c r="H21" s="724"/>
      <c r="I21" s="724"/>
      <c r="J21" s="725"/>
      <c r="K21" s="2686">
        <f>SUM(K15:O20)+sch_num_funct_computers_acad_lapel_depeddcp+sch_num_funct_computers_acad_router_depeddcp+sch_num_funct_computers_acad_ups_depeddcp+sch_num_funct_computers_acad_projector_depeddcp+sch_num_funct_computers_acad_printer_depeddcp+sch_num_funct_computers_acad_netswitch_depeddcp+sch_num_funct_computers_acad_ledtv_depeddcp</f>
        <v>23</v>
      </c>
      <c r="L21" s="2680"/>
      <c r="M21" s="2680"/>
      <c r="N21" s="2680"/>
      <c r="O21" s="2681"/>
      <c r="P21" s="2679">
        <f>SUM(P15:T20)+sch_num_funct_computers_acad_lapel_depednondcp+sch_num_funct_computers_acad_router_depednondcp+sch_num_funct_computers_acad_ups_depednondcp+sch_num_funct_computers_acad_projector_depednondcp+sch_num_funct_computers_acad_printer_depednondcp+sch_num_funct_computers_acad_netswitch_depednondcp+sch_num_funct_computers_acad_ledtv_depednondcp</f>
        <v>0</v>
      </c>
      <c r="Q21" s="2680"/>
      <c r="R21" s="2680"/>
      <c r="S21" s="2680"/>
      <c r="T21" s="2681"/>
      <c r="U21" s="2679">
        <f>SUM(U15:Y20)+sch_num_funct_computers_acad_lapel_lgusef+sch_num_funct_computers_acad_router_lgusef+sch_num_funct_computers_acad_ups_lgusef+sch_num_funct_computers_acad_projector_lgusef+sch_num_funct_computers_acad_printer_lgusef+sch_num_funct_computers_acad_netswitch_lgusef+sch_num_funct_computers_acad_ledtv_lgusef</f>
        <v>0</v>
      </c>
      <c r="V21" s="2680"/>
      <c r="W21" s="2680"/>
      <c r="X21" s="2680"/>
      <c r="Y21" s="2681"/>
      <c r="Z21" s="2679">
        <f>SUM(Z15:AD20)+sch_num_funct_computers_acad_lapel_pta+sch_num_funct_computers_acad_router_pta+sch_num_funct_computers_acad_ups_pta+sch_num_funct_computers_acad_projector_pta+sch_num_funct_computers_acad_printer_pta+sch_num_funct_computers_acad_netswitch_pta+sch_num_funct_computers_acad_ledtv_pta</f>
        <v>0</v>
      </c>
      <c r="AA21" s="2680"/>
      <c r="AB21" s="2680"/>
      <c r="AC21" s="2680"/>
      <c r="AD21" s="2681"/>
      <c r="AE21" s="2773">
        <f>SUM(AE15:AI20)+sch_num_funct_computers_acad_lapel_privatedon+sch_num_funct_computers_acad_router_privatedon+sch_num_funct_computers_acad_ups_privatedon+sch_num_funct_computers_acad_projector_privatedon+sch_num_funct_computers_acad_printer_privatedon+sch_num_funct_computers_acad_netswitch_privatedon+sch_num_funct_computers_acad_ledtv_privatedon</f>
        <v>0</v>
      </c>
      <c r="AF21" s="2774"/>
      <c r="AG21" s="2774"/>
      <c r="AH21" s="2774"/>
      <c r="AI21" s="2775"/>
      <c r="AJ21" s="2773">
        <f>SUM(AJ15:AN20)+sch_num_funct_computers_acad_lapel_othergov+sch_num_funct_computers_acad_router_othergov+sch_num_funct_computers_acad_ups_othergov+sch_num_funct_computers_acad_projector_othergov+sch_num_funct_computers_acad_printer_othergov+sch_num_funct_computers_acad_netswitch_othergov+sch_num_funct_computers_acad_ledtv_othergov</f>
        <v>10</v>
      </c>
      <c r="AK21" s="2774"/>
      <c r="AL21" s="2774"/>
      <c r="AM21" s="2774"/>
      <c r="AN21" s="2775"/>
      <c r="AO21" s="2774">
        <f>SUM(AO15:AS20)+sch_num_funct_computers_acad_lapel_others+sch_num_funct_computers_acad_router_others+sch_num_funct_computers_acad_ups_others+sch_num_funct_computers_acad_projector_others+sch_num_funct_computers_acad_printer_others+sch_num_funct_computers_acad_netswitch_others+sch_num_funct_computers_acad_ledtv_others</f>
        <v>0</v>
      </c>
      <c r="AP21" s="2774"/>
      <c r="AQ21" s="2774"/>
      <c r="AR21" s="2774"/>
      <c r="AS21" s="2776"/>
      <c r="AT21" s="2777">
        <f t="shared" si="1"/>
        <v>33</v>
      </c>
      <c r="AU21" s="2774"/>
      <c r="AV21" s="2774"/>
      <c r="AW21" s="2774"/>
      <c r="AX21" s="2778"/>
      <c r="AY21" s="580"/>
      <c r="AZ21" s="580"/>
      <c r="BA21" s="580"/>
      <c r="BB21" s="580"/>
      <c r="BC21" s="580"/>
      <c r="BD21" s="580"/>
      <c r="BE21" s="580"/>
      <c r="BF21" s="580"/>
      <c r="BN21" s="165"/>
      <c r="BO21" s="165"/>
      <c r="BP21" s="165"/>
      <c r="BQ21" s="165"/>
      <c r="BR21" s="165"/>
      <c r="BS21" s="165"/>
      <c r="BT21" s="165"/>
      <c r="BU21" s="165"/>
      <c r="BV21" s="165"/>
      <c r="BW21" s="165"/>
      <c r="BX21" s="165"/>
      <c r="BY21" s="165"/>
      <c r="BZ21" s="165"/>
      <c r="CA21" s="165"/>
      <c r="CB21" s="165"/>
      <c r="CC21" s="165"/>
      <c r="CD21" s="165"/>
      <c r="CE21" s="165"/>
      <c r="CF21" s="165"/>
    </row>
    <row r="22" spans="1:84" s="101" customFormat="1" ht="5.0999999999999996" customHeight="1">
      <c r="A22" s="580"/>
      <c r="B22" s="604"/>
      <c r="C22" s="604"/>
      <c r="D22" s="604"/>
      <c r="E22" s="726"/>
      <c r="F22" s="726"/>
      <c r="G22" s="726"/>
      <c r="H22" s="727"/>
      <c r="I22" s="726"/>
      <c r="J22" s="728"/>
      <c r="K22" s="728"/>
      <c r="L22" s="728"/>
      <c r="M22" s="728"/>
      <c r="N22" s="728"/>
      <c r="O22" s="728"/>
      <c r="P22" s="729"/>
      <c r="Q22" s="729"/>
      <c r="R22" s="729"/>
      <c r="S22" s="580"/>
      <c r="T22" s="580"/>
      <c r="U22" s="580"/>
      <c r="V22" s="580"/>
      <c r="W22" s="580"/>
      <c r="X22" s="580"/>
      <c r="Y22" s="580"/>
      <c r="Z22" s="580"/>
      <c r="AA22" s="580"/>
      <c r="AB22" s="580"/>
      <c r="AC22" s="580"/>
      <c r="AD22" s="580"/>
      <c r="AE22" s="580"/>
      <c r="AF22" s="580"/>
      <c r="AG22" s="580"/>
      <c r="AH22" s="580"/>
      <c r="AI22" s="580"/>
      <c r="AJ22" s="580"/>
      <c r="AK22" s="580"/>
      <c r="AL22" s="580"/>
      <c r="AM22" s="729"/>
      <c r="AN22" s="729"/>
      <c r="AO22" s="729"/>
      <c r="AP22" s="729"/>
      <c r="AQ22" s="729"/>
      <c r="AR22" s="729"/>
      <c r="AS22" s="729"/>
      <c r="AT22" s="729"/>
      <c r="AU22" s="729"/>
      <c r="AV22" s="729"/>
      <c r="AW22" s="729"/>
      <c r="AX22" s="729"/>
      <c r="AY22" s="729"/>
      <c r="AZ22" s="729"/>
      <c r="BA22" s="729"/>
      <c r="BB22" s="729"/>
      <c r="BC22" s="729"/>
      <c r="BD22" s="729"/>
      <c r="BE22" s="729"/>
      <c r="BF22" s="729"/>
    </row>
    <row r="23" spans="1:84" s="32" customFormat="1" ht="15" customHeight="1">
      <c r="A23" s="347"/>
      <c r="B23" s="2718" t="s">
        <v>1701</v>
      </c>
      <c r="C23" s="2718"/>
      <c r="D23" s="2718"/>
      <c r="E23" s="2718"/>
      <c r="F23" s="2718"/>
      <c r="G23" s="2718"/>
      <c r="H23" s="2718"/>
      <c r="I23" s="2718"/>
      <c r="J23" s="2718"/>
      <c r="K23" s="2718"/>
      <c r="L23" s="2718"/>
      <c r="M23" s="2718"/>
      <c r="N23" s="2718"/>
      <c r="O23" s="2718"/>
      <c r="P23" s="2718"/>
      <c r="Q23" s="2718"/>
      <c r="R23" s="2718"/>
      <c r="S23" s="2718"/>
      <c r="T23" s="2718"/>
      <c r="U23" s="2718"/>
      <c r="V23" s="2718"/>
      <c r="W23" s="2718"/>
      <c r="X23" s="2718"/>
      <c r="Y23" s="2718"/>
      <c r="Z23" s="2718"/>
      <c r="AA23" s="2718"/>
      <c r="AB23" s="2718"/>
      <c r="AC23" s="2718"/>
      <c r="AD23" s="2718"/>
      <c r="AE23" s="2718"/>
      <c r="AF23" s="2718"/>
      <c r="AG23" s="2718"/>
      <c r="AH23" s="2718"/>
      <c r="AI23" s="2718"/>
      <c r="AJ23" s="2718"/>
      <c r="AK23" s="2718"/>
      <c r="AL23" s="2718"/>
      <c r="AM23" s="2718"/>
      <c r="AN23" s="2718"/>
      <c r="AO23" s="2718"/>
      <c r="AP23" s="2718"/>
      <c r="AQ23" s="2718"/>
      <c r="AR23" s="2718"/>
      <c r="AS23" s="2718"/>
      <c r="AT23" s="2718"/>
      <c r="AU23" s="2718"/>
      <c r="AV23" s="2718"/>
      <c r="AW23" s="2718"/>
      <c r="AX23" s="2718"/>
      <c r="AY23" s="737"/>
      <c r="AZ23" s="737"/>
      <c r="BA23" s="737"/>
      <c r="BB23" s="347"/>
      <c r="BC23" s="347"/>
      <c r="BD23" s="347"/>
      <c r="BE23" s="347"/>
      <c r="BF23" s="347"/>
    </row>
    <row r="24" spans="1:84" s="32" customFormat="1" ht="15" customHeight="1">
      <c r="A24" s="347"/>
      <c r="B24" s="347"/>
      <c r="C24" s="738" t="s">
        <v>47</v>
      </c>
      <c r="D24" s="2772" t="s">
        <v>453</v>
      </c>
      <c r="E24" s="2772"/>
      <c r="F24" s="2772"/>
      <c r="G24" s="2772"/>
      <c r="H24" s="2772"/>
      <c r="I24" s="2772"/>
      <c r="J24" s="2772"/>
      <c r="K24" s="2772"/>
      <c r="L24" s="2772"/>
      <c r="M24" s="2772"/>
      <c r="N24" s="2772"/>
      <c r="O24" s="2772"/>
      <c r="P24" s="2772"/>
      <c r="Q24" s="2772"/>
      <c r="R24" s="2772"/>
      <c r="S24" s="2772"/>
      <c r="T24" s="2772"/>
      <c r="U24" s="2772"/>
      <c r="V24" s="2772"/>
      <c r="W24" s="2772"/>
      <c r="X24" s="2772"/>
      <c r="Y24" s="2772"/>
      <c r="Z24" s="2772"/>
      <c r="AA24" s="2772"/>
      <c r="AB24" s="2772"/>
      <c r="AC24" s="2772"/>
      <c r="AD24" s="2772"/>
      <c r="AE24" s="2772"/>
      <c r="AF24" s="2772"/>
      <c r="AG24" s="2772"/>
      <c r="AH24" s="2772"/>
      <c r="AI24" s="2772"/>
      <c r="AJ24" s="2772"/>
      <c r="AK24" s="2772"/>
      <c r="AL24" s="2772"/>
      <c r="AM24" s="2772"/>
      <c r="AN24" s="2772"/>
      <c r="AO24" s="2772"/>
      <c r="AP24" s="2772"/>
      <c r="AQ24" s="2772"/>
      <c r="AR24" s="2772"/>
      <c r="AS24" s="2772"/>
      <c r="AT24" s="2772"/>
      <c r="AU24" s="2772"/>
      <c r="AV24" s="2772"/>
      <c r="AW24" s="2772"/>
      <c r="AX24" s="2772"/>
      <c r="AY24" s="739"/>
      <c r="AZ24" s="739"/>
      <c r="BA24" s="739"/>
      <c r="BB24" s="347"/>
      <c r="BC24" s="347"/>
      <c r="BD24" s="347"/>
      <c r="BE24" s="347"/>
      <c r="BF24" s="347"/>
    </row>
    <row r="25" spans="1:84" s="32" customFormat="1" ht="15" customHeight="1">
      <c r="A25" s="347"/>
      <c r="B25" s="347"/>
      <c r="C25" s="738" t="s">
        <v>48</v>
      </c>
      <c r="D25" s="2772" t="s">
        <v>1108</v>
      </c>
      <c r="E25" s="2772"/>
      <c r="F25" s="2772"/>
      <c r="G25" s="2772"/>
      <c r="H25" s="2772"/>
      <c r="I25" s="2772"/>
      <c r="J25" s="2772"/>
      <c r="K25" s="2772"/>
      <c r="L25" s="2772"/>
      <c r="M25" s="2772"/>
      <c r="N25" s="2772"/>
      <c r="O25" s="2772"/>
      <c r="P25" s="2772"/>
      <c r="Q25" s="2772"/>
      <c r="R25" s="2772"/>
      <c r="S25" s="2772"/>
      <c r="T25" s="2772"/>
      <c r="U25" s="2772"/>
      <c r="V25" s="2772"/>
      <c r="W25" s="2772"/>
      <c r="X25" s="2772"/>
      <c r="Y25" s="2772"/>
      <c r="Z25" s="2772"/>
      <c r="AA25" s="2772"/>
      <c r="AB25" s="2772"/>
      <c r="AC25" s="2772"/>
      <c r="AD25" s="2772"/>
      <c r="AE25" s="2772"/>
      <c r="AF25" s="2772"/>
      <c r="AG25" s="2772"/>
      <c r="AH25" s="2772"/>
      <c r="AI25" s="2772"/>
      <c r="AJ25" s="2772"/>
      <c r="AK25" s="2772"/>
      <c r="AL25" s="2772"/>
      <c r="AM25" s="2772"/>
      <c r="AN25" s="2772"/>
      <c r="AO25" s="2772"/>
      <c r="AP25" s="2772"/>
      <c r="AQ25" s="2772"/>
      <c r="AR25" s="2772"/>
      <c r="AS25" s="2772"/>
      <c r="AT25" s="2772"/>
      <c r="AU25" s="2772"/>
      <c r="AV25" s="2772"/>
      <c r="AW25" s="2772"/>
      <c r="AX25" s="2772"/>
      <c r="AY25" s="740"/>
      <c r="AZ25" s="740"/>
      <c r="BA25" s="740"/>
      <c r="BB25" s="347"/>
      <c r="BC25" s="347"/>
      <c r="BD25" s="347"/>
      <c r="BE25" s="347"/>
      <c r="BF25" s="347"/>
    </row>
    <row r="26" spans="1:84" s="32" customFormat="1" ht="15" customHeight="1">
      <c r="A26" s="347"/>
      <c r="B26" s="347"/>
      <c r="C26" s="738" t="s">
        <v>49</v>
      </c>
      <c r="D26" s="2772" t="s">
        <v>454</v>
      </c>
      <c r="E26" s="2772"/>
      <c r="F26" s="2772"/>
      <c r="G26" s="2772"/>
      <c r="H26" s="2772"/>
      <c r="I26" s="2772"/>
      <c r="J26" s="2772"/>
      <c r="K26" s="2772"/>
      <c r="L26" s="2772"/>
      <c r="M26" s="2772"/>
      <c r="N26" s="2772"/>
      <c r="O26" s="2772"/>
      <c r="P26" s="2772"/>
      <c r="Q26" s="2772"/>
      <c r="R26" s="2772"/>
      <c r="S26" s="2772"/>
      <c r="T26" s="2772"/>
      <c r="U26" s="2772"/>
      <c r="V26" s="2772"/>
      <c r="W26" s="2772"/>
      <c r="X26" s="2772"/>
      <c r="Y26" s="2772"/>
      <c r="Z26" s="2772"/>
      <c r="AA26" s="2772"/>
      <c r="AB26" s="2772"/>
      <c r="AC26" s="2772"/>
      <c r="AD26" s="2772"/>
      <c r="AE26" s="2772"/>
      <c r="AF26" s="2772"/>
      <c r="AG26" s="2772"/>
      <c r="AH26" s="2772"/>
      <c r="AI26" s="2772"/>
      <c r="AJ26" s="2772"/>
      <c r="AK26" s="2772"/>
      <c r="AL26" s="2772"/>
      <c r="AM26" s="2772"/>
      <c r="AN26" s="2772"/>
      <c r="AO26" s="2772"/>
      <c r="AP26" s="2772"/>
      <c r="AQ26" s="2772"/>
      <c r="AR26" s="2772"/>
      <c r="AS26" s="2772"/>
      <c r="AT26" s="2772"/>
      <c r="AU26" s="2772"/>
      <c r="AV26" s="2772"/>
      <c r="AW26" s="2772"/>
      <c r="AX26" s="2772"/>
      <c r="AY26" s="739"/>
      <c r="AZ26" s="739"/>
      <c r="BA26" s="739"/>
      <c r="BB26" s="347"/>
      <c r="BC26" s="347"/>
      <c r="BD26" s="347"/>
      <c r="BE26" s="347"/>
      <c r="BF26" s="347"/>
    </row>
    <row r="27" spans="1:84" s="32" customFormat="1" ht="15" customHeight="1">
      <c r="A27" s="347"/>
      <c r="B27" s="347"/>
      <c r="C27" s="738" t="s">
        <v>50</v>
      </c>
      <c r="D27" s="2772" t="s">
        <v>455</v>
      </c>
      <c r="E27" s="2772"/>
      <c r="F27" s="2772"/>
      <c r="G27" s="2772"/>
      <c r="H27" s="2772"/>
      <c r="I27" s="2772"/>
      <c r="J27" s="2772"/>
      <c r="K27" s="2772"/>
      <c r="L27" s="2772"/>
      <c r="M27" s="2772"/>
      <c r="N27" s="2772"/>
      <c r="O27" s="2772"/>
      <c r="P27" s="2772"/>
      <c r="Q27" s="2772"/>
      <c r="R27" s="2772"/>
      <c r="S27" s="2772"/>
      <c r="T27" s="2772"/>
      <c r="U27" s="2772"/>
      <c r="V27" s="2772"/>
      <c r="W27" s="2772"/>
      <c r="X27" s="2772"/>
      <c r="Y27" s="2772"/>
      <c r="Z27" s="2772"/>
      <c r="AA27" s="2772"/>
      <c r="AB27" s="2772"/>
      <c r="AC27" s="2772"/>
      <c r="AD27" s="2772"/>
      <c r="AE27" s="2772"/>
      <c r="AF27" s="2772"/>
      <c r="AG27" s="2772"/>
      <c r="AH27" s="2772"/>
      <c r="AI27" s="2772"/>
      <c r="AJ27" s="2772"/>
      <c r="AK27" s="2772"/>
      <c r="AL27" s="2772"/>
      <c r="AM27" s="2772"/>
      <c r="AN27" s="2772"/>
      <c r="AO27" s="2772"/>
      <c r="AP27" s="2772"/>
      <c r="AQ27" s="2772"/>
      <c r="AR27" s="2772"/>
      <c r="AS27" s="2772"/>
      <c r="AT27" s="2772"/>
      <c r="AU27" s="2772"/>
      <c r="AV27" s="2772"/>
      <c r="AW27" s="2772"/>
      <c r="AX27" s="2772"/>
      <c r="AY27" s="739"/>
      <c r="AZ27" s="739"/>
      <c r="BA27" s="739"/>
      <c r="BB27" s="347"/>
      <c r="BC27" s="347"/>
      <c r="BD27" s="347"/>
      <c r="BE27" s="347"/>
      <c r="BF27" s="347"/>
    </row>
    <row r="28" spans="1:84" s="32" customFormat="1" ht="15" customHeight="1">
      <c r="A28" s="347"/>
      <c r="B28" s="347"/>
      <c r="C28" s="738" t="s">
        <v>51</v>
      </c>
      <c r="D28" s="2772" t="s">
        <v>456</v>
      </c>
      <c r="E28" s="2772"/>
      <c r="F28" s="2772"/>
      <c r="G28" s="2772"/>
      <c r="H28" s="2772"/>
      <c r="I28" s="2772"/>
      <c r="J28" s="2772"/>
      <c r="K28" s="2772"/>
      <c r="L28" s="2772"/>
      <c r="M28" s="2772"/>
      <c r="N28" s="2772"/>
      <c r="O28" s="2772"/>
      <c r="P28" s="2772"/>
      <c r="Q28" s="2772"/>
      <c r="R28" s="2772"/>
      <c r="S28" s="2772"/>
      <c r="T28" s="2772"/>
      <c r="U28" s="2772"/>
      <c r="V28" s="2772"/>
      <c r="W28" s="2772"/>
      <c r="X28" s="2772"/>
      <c r="Y28" s="2772"/>
      <c r="Z28" s="2772"/>
      <c r="AA28" s="2772"/>
      <c r="AB28" s="2772"/>
      <c r="AC28" s="2772"/>
      <c r="AD28" s="2772"/>
      <c r="AE28" s="2772"/>
      <c r="AF28" s="2772"/>
      <c r="AG28" s="2772"/>
      <c r="AH28" s="2772"/>
      <c r="AI28" s="2772"/>
      <c r="AJ28" s="2772"/>
      <c r="AK28" s="2772"/>
      <c r="AL28" s="2772"/>
      <c r="AM28" s="2772"/>
      <c r="AN28" s="2772"/>
      <c r="AO28" s="2772"/>
      <c r="AP28" s="2772"/>
      <c r="AQ28" s="2772"/>
      <c r="AR28" s="2772"/>
      <c r="AS28" s="2772"/>
      <c r="AT28" s="2772"/>
      <c r="AU28" s="2772"/>
      <c r="AV28" s="2772"/>
      <c r="AW28" s="2772"/>
      <c r="AX28" s="2772"/>
      <c r="AY28" s="739"/>
      <c r="AZ28" s="739"/>
      <c r="BA28" s="739"/>
      <c r="BB28" s="347"/>
      <c r="BC28" s="347"/>
      <c r="BD28" s="347"/>
      <c r="BE28" s="347"/>
      <c r="BF28" s="347"/>
    </row>
    <row r="29" spans="1:84" s="32" customFormat="1" ht="15" customHeight="1">
      <c r="A29" s="347"/>
      <c r="B29" s="347"/>
      <c r="C29" s="738" t="s">
        <v>52</v>
      </c>
      <c r="D29" s="2772" t="s">
        <v>457</v>
      </c>
      <c r="E29" s="2772"/>
      <c r="F29" s="2772"/>
      <c r="G29" s="2772"/>
      <c r="H29" s="2772"/>
      <c r="I29" s="2772"/>
      <c r="J29" s="2772"/>
      <c r="K29" s="2772"/>
      <c r="L29" s="2772"/>
      <c r="M29" s="2772"/>
      <c r="N29" s="2772"/>
      <c r="O29" s="2772"/>
      <c r="P29" s="2772"/>
      <c r="Q29" s="2772"/>
      <c r="R29" s="2772"/>
      <c r="S29" s="2772"/>
      <c r="T29" s="2772"/>
      <c r="U29" s="2772"/>
      <c r="V29" s="2772"/>
      <c r="W29" s="2772"/>
      <c r="X29" s="2772"/>
      <c r="Y29" s="2772"/>
      <c r="Z29" s="2772"/>
      <c r="AA29" s="2772"/>
      <c r="AB29" s="2772"/>
      <c r="AC29" s="2772"/>
      <c r="AD29" s="2772"/>
      <c r="AE29" s="2772"/>
      <c r="AF29" s="2772"/>
      <c r="AG29" s="2772"/>
      <c r="AH29" s="2772"/>
      <c r="AI29" s="2772"/>
      <c r="AJ29" s="2772"/>
      <c r="AK29" s="2772"/>
      <c r="AL29" s="2772"/>
      <c r="AM29" s="2772"/>
      <c r="AN29" s="2772"/>
      <c r="AO29" s="2772"/>
      <c r="AP29" s="2772"/>
      <c r="AQ29" s="2772"/>
      <c r="AR29" s="2772"/>
      <c r="AS29" s="2772"/>
      <c r="AT29" s="2772"/>
      <c r="AU29" s="2772"/>
      <c r="AV29" s="2772"/>
      <c r="AW29" s="2772"/>
      <c r="AX29" s="2772"/>
      <c r="AY29" s="741"/>
      <c r="AZ29" s="741"/>
      <c r="BA29" s="741"/>
      <c r="BB29" s="347"/>
      <c r="BC29" s="347"/>
      <c r="BD29" s="347"/>
      <c r="BE29" s="347"/>
      <c r="BF29" s="347"/>
    </row>
    <row r="30" spans="1:84" s="32" customFormat="1" ht="15" customHeight="1">
      <c r="A30" s="347"/>
      <c r="B30" s="347"/>
      <c r="C30" s="738" t="s">
        <v>53</v>
      </c>
      <c r="D30" s="2772" t="s">
        <v>1702</v>
      </c>
      <c r="E30" s="2772"/>
      <c r="F30" s="2772"/>
      <c r="G30" s="2772"/>
      <c r="H30" s="2772"/>
      <c r="I30" s="2772"/>
      <c r="J30" s="2772"/>
      <c r="K30" s="2772"/>
      <c r="L30" s="2772"/>
      <c r="M30" s="2772"/>
      <c r="N30" s="2772"/>
      <c r="O30" s="2772"/>
      <c r="P30" s="2772"/>
      <c r="Q30" s="2772"/>
      <c r="R30" s="2772"/>
      <c r="S30" s="2772"/>
      <c r="T30" s="2772"/>
      <c r="U30" s="2772"/>
      <c r="V30" s="2772"/>
      <c r="W30" s="2772"/>
      <c r="X30" s="2772"/>
      <c r="Y30" s="2772"/>
      <c r="Z30" s="2772"/>
      <c r="AA30" s="2772"/>
      <c r="AB30" s="2772"/>
      <c r="AC30" s="2772"/>
      <c r="AD30" s="2772"/>
      <c r="AE30" s="2772"/>
      <c r="AF30" s="2772"/>
      <c r="AG30" s="2772"/>
      <c r="AH30" s="2772"/>
      <c r="AI30" s="2772"/>
      <c r="AJ30" s="2772"/>
      <c r="AK30" s="2772"/>
      <c r="AL30" s="2772"/>
      <c r="AM30" s="2772"/>
      <c r="AN30" s="2772"/>
      <c r="AO30" s="2772"/>
      <c r="AP30" s="2772"/>
      <c r="AQ30" s="2772"/>
      <c r="AR30" s="2772"/>
      <c r="AS30" s="2772"/>
      <c r="AT30" s="2772"/>
      <c r="AU30" s="2772"/>
      <c r="AV30" s="2772"/>
      <c r="AW30" s="2772"/>
      <c r="AX30" s="2772"/>
      <c r="AY30" s="741"/>
      <c r="AZ30" s="741"/>
      <c r="BA30" s="741"/>
      <c r="BB30" s="347"/>
      <c r="BC30" s="347"/>
      <c r="BD30" s="347"/>
      <c r="BE30" s="347"/>
      <c r="BF30" s="347"/>
    </row>
    <row r="31" spans="1:84" s="3" customFormat="1" ht="30.75" customHeight="1">
      <c r="A31" s="24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39"/>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row>
    <row r="32" spans="1:84" s="164" customFormat="1">
      <c r="A32" s="260"/>
      <c r="B32" s="223" t="s">
        <v>32</v>
      </c>
      <c r="C32" s="260"/>
      <c r="D32" s="260"/>
      <c r="E32" s="260"/>
      <c r="F32" s="260"/>
      <c r="G32" s="260"/>
      <c r="H32" s="260"/>
      <c r="I32" s="260"/>
      <c r="J32" s="260"/>
      <c r="K32" s="260"/>
      <c r="L32" s="260"/>
      <c r="M32" s="260"/>
      <c r="N32" s="260"/>
      <c r="O32" s="260"/>
      <c r="P32" s="260"/>
      <c r="Q32" s="260"/>
      <c r="R32" s="260"/>
      <c r="S32" s="223" t="s">
        <v>444</v>
      </c>
      <c r="T32" s="263"/>
      <c r="U32" s="263"/>
      <c r="V32" s="263"/>
      <c r="W32" s="263"/>
      <c r="X32" s="263"/>
      <c r="Y32" s="263"/>
      <c r="Z32" s="263"/>
      <c r="AA32" s="263"/>
      <c r="AB32" s="263"/>
      <c r="AC32" s="263"/>
      <c r="AD32" s="263"/>
      <c r="AE32" s="263"/>
      <c r="AF32" s="263"/>
      <c r="AG32" s="260"/>
      <c r="AH32" s="260"/>
      <c r="AI32" s="260"/>
      <c r="AJ32" s="223" t="s">
        <v>33</v>
      </c>
      <c r="AK32" s="260"/>
      <c r="AL32" s="260"/>
      <c r="AM32" s="260"/>
      <c r="AN32" s="260"/>
      <c r="AO32" s="260"/>
      <c r="AP32" s="260"/>
      <c r="AQ32" s="260"/>
      <c r="AR32" s="260"/>
      <c r="AS32" s="260"/>
      <c r="AT32" s="260"/>
      <c r="AU32" s="260"/>
      <c r="AV32" s="260"/>
      <c r="AW32" s="260"/>
      <c r="AX32" s="260"/>
      <c r="AY32" s="260"/>
      <c r="AZ32" s="260"/>
      <c r="BA32" s="260"/>
      <c r="BB32" s="260"/>
      <c r="BC32" s="260"/>
      <c r="BD32" s="260"/>
      <c r="BE32" s="260"/>
      <c r="BF32" s="260"/>
    </row>
    <row r="33" spans="1:67" s="164" customFormat="1" ht="21.75" customHeight="1">
      <c r="A33" s="260"/>
      <c r="B33" s="223" t="s">
        <v>73</v>
      </c>
      <c r="C33" s="260"/>
      <c r="D33" s="260"/>
      <c r="E33" s="260"/>
      <c r="F33" s="2001" t="str">
        <f>activesheet!E21</f>
        <v>MELCHESIEDICK Q. BOLANIO / March 17, 2023</v>
      </c>
      <c r="G33" s="2001"/>
      <c r="H33" s="2001"/>
      <c r="I33" s="2001"/>
      <c r="J33" s="2001"/>
      <c r="K33" s="2001"/>
      <c r="L33" s="2001"/>
      <c r="M33" s="2001"/>
      <c r="N33" s="2001"/>
      <c r="O33" s="2001"/>
      <c r="P33" s="260"/>
      <c r="Q33" s="260"/>
      <c r="R33" s="260"/>
      <c r="S33" s="1940" t="str">
        <f>activesheet!E1922</f>
        <v>ANNE VALERIE KERSTEINE I. VILLANUEVA / March 17, 2023</v>
      </c>
      <c r="T33" s="1940"/>
      <c r="U33" s="1940"/>
      <c r="V33" s="1940"/>
      <c r="W33" s="1940"/>
      <c r="X33" s="1940"/>
      <c r="Y33" s="1940"/>
      <c r="Z33" s="1940"/>
      <c r="AA33" s="1940"/>
      <c r="AB33" s="1940"/>
      <c r="AC33" s="1940"/>
      <c r="AD33" s="1940"/>
      <c r="AE33" s="1940"/>
      <c r="AF33" s="1940"/>
      <c r="AG33" s="260"/>
      <c r="AH33" s="260"/>
      <c r="AI33" s="260"/>
      <c r="AJ33" s="1940" t="str">
        <f>activesheet!E25</f>
        <v>MICHAEL T. JAMIS / March 17, 2023</v>
      </c>
      <c r="AK33" s="1940"/>
      <c r="AL33" s="1940"/>
      <c r="AM33" s="1940"/>
      <c r="AN33" s="1940"/>
      <c r="AO33" s="1940"/>
      <c r="AP33" s="1940"/>
      <c r="AQ33" s="1940"/>
      <c r="AR33" s="1940"/>
      <c r="AS33" s="1940"/>
      <c r="AT33" s="1940"/>
      <c r="AU33" s="1940"/>
      <c r="AV33" s="1940"/>
      <c r="AW33" s="1940"/>
      <c r="AX33" s="260"/>
      <c r="AY33" s="260"/>
      <c r="AZ33" s="260"/>
      <c r="BA33" s="260"/>
      <c r="BB33" s="260"/>
      <c r="BC33" s="260"/>
      <c r="BD33" s="260"/>
      <c r="BE33" s="260"/>
      <c r="BF33" s="260"/>
    </row>
    <row r="34" spans="1:67" s="39" customFormat="1">
      <c r="A34" s="280"/>
      <c r="B34" s="228"/>
      <c r="C34" s="280"/>
      <c r="D34" s="280"/>
      <c r="E34" s="280"/>
      <c r="F34" s="1811" t="s">
        <v>37</v>
      </c>
      <c r="G34" s="1811"/>
      <c r="H34" s="1811"/>
      <c r="I34" s="1811"/>
      <c r="J34" s="1811"/>
      <c r="K34" s="1811"/>
      <c r="L34" s="1811"/>
      <c r="M34" s="1811"/>
      <c r="N34" s="1811"/>
      <c r="O34" s="1811"/>
      <c r="P34" s="281"/>
      <c r="Q34" s="281"/>
      <c r="R34" s="281"/>
      <c r="S34" s="1941"/>
      <c r="T34" s="1941"/>
      <c r="U34" s="1941"/>
      <c r="V34" s="1941"/>
      <c r="W34" s="1941"/>
      <c r="X34" s="1941"/>
      <c r="Y34" s="1941"/>
      <c r="Z34" s="1941"/>
      <c r="AA34" s="1941"/>
      <c r="AB34" s="1941"/>
      <c r="AC34" s="1941"/>
      <c r="AD34" s="1941"/>
      <c r="AE34" s="1941"/>
      <c r="AF34" s="1941"/>
      <c r="AG34" s="260"/>
      <c r="AH34" s="260"/>
      <c r="AI34" s="260"/>
      <c r="AJ34" s="1941"/>
      <c r="AK34" s="1941"/>
      <c r="AL34" s="1941"/>
      <c r="AM34" s="1941"/>
      <c r="AN34" s="1941"/>
      <c r="AO34" s="1941"/>
      <c r="AP34" s="1941"/>
      <c r="AQ34" s="1941"/>
      <c r="AR34" s="1941"/>
      <c r="AS34" s="1941"/>
      <c r="AT34" s="1941"/>
      <c r="AU34" s="1941"/>
      <c r="AV34" s="1941"/>
      <c r="AW34" s="1941"/>
      <c r="AX34" s="281"/>
      <c r="AY34" s="282"/>
      <c r="AZ34" s="282"/>
      <c r="BA34" s="282"/>
      <c r="BB34" s="282"/>
      <c r="BC34" s="282"/>
      <c r="BD34" s="282"/>
      <c r="BE34" s="282"/>
      <c r="BF34" s="282"/>
      <c r="BG34" s="103"/>
      <c r="BH34" s="103"/>
      <c r="BI34" s="103"/>
      <c r="BJ34" s="103"/>
      <c r="BK34" s="103"/>
      <c r="BL34" s="103"/>
      <c r="BM34" s="103"/>
      <c r="BN34" s="103"/>
      <c r="BO34" s="103"/>
    </row>
    <row r="35" spans="1:67" s="164" customFormat="1" ht="21.75" customHeight="1">
      <c r="A35" s="260"/>
      <c r="B35" s="223" t="s">
        <v>240</v>
      </c>
      <c r="C35" s="260"/>
      <c r="D35" s="260"/>
      <c r="E35" s="260"/>
      <c r="F35" s="2001" t="str">
        <f>activesheet!E22</f>
        <v>SECONDARY SCHOOL PRINCIPAL IV</v>
      </c>
      <c r="G35" s="2001"/>
      <c r="H35" s="2001"/>
      <c r="I35" s="2001"/>
      <c r="J35" s="2001"/>
      <c r="K35" s="2001"/>
      <c r="L35" s="2001"/>
      <c r="M35" s="2001"/>
      <c r="N35" s="2001"/>
      <c r="O35" s="2001"/>
      <c r="P35" s="260"/>
      <c r="Q35" s="260"/>
      <c r="R35" s="260"/>
      <c r="S35" s="1811" t="s">
        <v>37</v>
      </c>
      <c r="T35" s="1811"/>
      <c r="U35" s="1811"/>
      <c r="V35" s="1811"/>
      <c r="W35" s="1811"/>
      <c r="X35" s="1811"/>
      <c r="Y35" s="1811"/>
      <c r="Z35" s="1811"/>
      <c r="AA35" s="1811"/>
      <c r="AB35" s="1811"/>
      <c r="AC35" s="1811"/>
      <c r="AD35" s="1811"/>
      <c r="AE35" s="1811"/>
      <c r="AF35" s="1811"/>
      <c r="AG35" s="281"/>
      <c r="AH35" s="281"/>
      <c r="AI35" s="281"/>
      <c r="AJ35" s="1811" t="s">
        <v>37</v>
      </c>
      <c r="AK35" s="1811"/>
      <c r="AL35" s="1811"/>
      <c r="AM35" s="1811"/>
      <c r="AN35" s="1811"/>
      <c r="AO35" s="1811"/>
      <c r="AP35" s="1811"/>
      <c r="AQ35" s="1811"/>
      <c r="AR35" s="1811"/>
      <c r="AS35" s="1811"/>
      <c r="AT35" s="1811"/>
      <c r="AU35" s="1811"/>
      <c r="AV35" s="1811"/>
      <c r="AW35" s="1811"/>
      <c r="AX35" s="260"/>
      <c r="AY35" s="260"/>
      <c r="AZ35" s="260"/>
      <c r="BA35" s="260"/>
      <c r="BB35" s="260"/>
      <c r="BC35" s="260"/>
      <c r="BD35" s="260"/>
      <c r="BE35" s="260"/>
      <c r="BF35" s="260"/>
    </row>
    <row r="36" spans="1:67">
      <c r="A36" s="238"/>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c r="AB36" s="238"/>
      <c r="AC36" s="238"/>
      <c r="AD36" s="238"/>
      <c r="AE36" s="238"/>
      <c r="AF36" s="238"/>
      <c r="AG36" s="238"/>
      <c r="AH36" s="238"/>
      <c r="AI36" s="238"/>
      <c r="AJ36" s="238"/>
      <c r="AK36" s="238"/>
      <c r="AL36" s="238"/>
      <c r="AM36" s="238"/>
      <c r="AN36" s="238"/>
      <c r="AO36" s="238"/>
      <c r="AP36" s="238"/>
      <c r="AQ36" s="238"/>
      <c r="AR36" s="238"/>
      <c r="AS36" s="238"/>
      <c r="AT36" s="238"/>
      <c r="AU36" s="238"/>
      <c r="AV36" s="238"/>
      <c r="AW36" s="238"/>
      <c r="AX36" s="238"/>
      <c r="AY36" s="238"/>
      <c r="AZ36" s="238"/>
      <c r="BA36" s="238"/>
      <c r="BB36" s="238"/>
      <c r="BC36" s="238"/>
      <c r="BD36" s="238"/>
      <c r="BE36" s="238"/>
      <c r="BF36" s="238"/>
    </row>
    <row r="37" spans="1:67">
      <c r="A37" s="238"/>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F37" s="238"/>
      <c r="AG37" s="238"/>
      <c r="AH37" s="238"/>
      <c r="AI37" s="238"/>
      <c r="AJ37" s="238"/>
      <c r="AK37" s="238"/>
      <c r="AL37" s="238"/>
      <c r="AM37" s="238"/>
      <c r="AN37" s="238"/>
      <c r="AO37" s="238"/>
      <c r="AP37" s="238"/>
      <c r="AQ37" s="238"/>
      <c r="AR37" s="238"/>
      <c r="AS37" s="238"/>
      <c r="AT37" s="238"/>
      <c r="AU37" s="238"/>
      <c r="AV37" s="238"/>
      <c r="AW37" s="238"/>
      <c r="AX37" s="238"/>
      <c r="AY37" s="238"/>
      <c r="AZ37" s="238"/>
      <c r="BA37" s="238"/>
      <c r="BB37" s="238"/>
      <c r="BC37" s="238"/>
      <c r="BD37" s="238"/>
      <c r="BE37" s="238"/>
      <c r="BF37" s="238"/>
    </row>
    <row r="38" spans="1:67">
      <c r="A38" s="238"/>
      <c r="B38" s="238"/>
      <c r="C38" s="238"/>
      <c r="D38" s="238"/>
      <c r="E38" s="238"/>
      <c r="F38" s="238"/>
      <c r="G38" s="238"/>
      <c r="H38" s="238"/>
      <c r="I38" s="238"/>
      <c r="J38" s="238"/>
      <c r="K38" s="238"/>
      <c r="L38" s="238"/>
      <c r="M38" s="238"/>
      <c r="N38" s="238"/>
      <c r="O38" s="238"/>
      <c r="P38" s="238"/>
      <c r="Q38" s="238"/>
      <c r="R38" s="238"/>
      <c r="S38" s="238"/>
      <c r="T38" s="238"/>
      <c r="U38" s="238"/>
      <c r="V38" s="238"/>
      <c r="W38" s="238"/>
      <c r="X38" s="238"/>
      <c r="Y38" s="238"/>
      <c r="Z38" s="238"/>
      <c r="AA38" s="238"/>
      <c r="AB38" s="238"/>
      <c r="AC38" s="238"/>
      <c r="AD38" s="238"/>
      <c r="AE38" s="238"/>
      <c r="AF38" s="238"/>
      <c r="AG38" s="238"/>
      <c r="AH38" s="238"/>
      <c r="AI38" s="238"/>
      <c r="AJ38" s="238"/>
      <c r="AK38" s="238"/>
      <c r="AL38" s="238"/>
      <c r="AM38" s="238"/>
      <c r="AN38" s="238"/>
      <c r="AO38" s="238"/>
      <c r="AP38" s="238"/>
      <c r="AQ38" s="238"/>
      <c r="AR38" s="238"/>
      <c r="AS38" s="238"/>
      <c r="AT38" s="238"/>
      <c r="AU38" s="238"/>
      <c r="AV38" s="238"/>
      <c r="AW38" s="238"/>
      <c r="AX38" s="238"/>
      <c r="AY38" s="238"/>
      <c r="AZ38" s="238"/>
      <c r="BA38" s="238"/>
      <c r="BB38" s="238"/>
      <c r="BC38" s="238"/>
      <c r="BD38" s="238"/>
      <c r="BE38" s="238"/>
      <c r="BF38" s="238"/>
    </row>
    <row r="39" spans="1:67">
      <c r="A39" s="238"/>
      <c r="B39" s="238"/>
      <c r="C39" s="238"/>
      <c r="D39" s="238"/>
      <c r="E39" s="238"/>
      <c r="F39" s="238"/>
      <c r="G39" s="238"/>
      <c r="H39" s="238"/>
      <c r="I39" s="238"/>
      <c r="J39" s="238"/>
      <c r="K39" s="238"/>
      <c r="L39" s="238"/>
      <c r="M39" s="238"/>
      <c r="N39" s="238"/>
      <c r="O39" s="238"/>
      <c r="P39" s="238"/>
      <c r="Q39" s="238"/>
      <c r="R39" s="238"/>
      <c r="S39" s="238"/>
      <c r="T39" s="238"/>
      <c r="U39" s="238"/>
      <c r="V39" s="238"/>
      <c r="W39" s="238"/>
      <c r="X39" s="238"/>
      <c r="Y39" s="238"/>
      <c r="Z39" s="238"/>
      <c r="AA39" s="238"/>
      <c r="AB39" s="238"/>
      <c r="AC39" s="238"/>
      <c r="AD39" s="238"/>
      <c r="AE39" s="238"/>
      <c r="AF39" s="238"/>
      <c r="AG39" s="238"/>
      <c r="AH39" s="238"/>
      <c r="AI39" s="238"/>
      <c r="AJ39" s="238"/>
      <c r="AK39" s="238"/>
      <c r="AL39" s="238"/>
      <c r="AM39" s="238"/>
      <c r="AN39" s="238"/>
      <c r="AO39" s="238"/>
      <c r="AP39" s="238"/>
      <c r="AQ39" s="238"/>
      <c r="AR39" s="238"/>
      <c r="AS39" s="238"/>
      <c r="AT39" s="238"/>
      <c r="AU39" s="238"/>
      <c r="AV39" s="238"/>
      <c r="AW39" s="238"/>
      <c r="AX39" s="238"/>
      <c r="AY39" s="238"/>
      <c r="AZ39" s="238"/>
      <c r="BA39" s="238"/>
      <c r="BB39" s="238"/>
      <c r="BC39" s="238"/>
      <c r="BD39" s="238"/>
      <c r="BE39" s="238"/>
      <c r="BF39" s="238"/>
    </row>
    <row r="40" spans="1:67">
      <c r="A40" s="238"/>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c r="AP40" s="238"/>
      <c r="AQ40" s="238"/>
      <c r="AR40" s="238"/>
      <c r="AS40" s="238"/>
      <c r="AT40" s="238"/>
      <c r="AU40" s="238"/>
      <c r="AV40" s="238"/>
      <c r="AW40" s="238"/>
      <c r="AX40" s="238"/>
      <c r="AY40" s="238"/>
      <c r="AZ40" s="238"/>
      <c r="BA40" s="238"/>
      <c r="BB40" s="238"/>
      <c r="BC40" s="238"/>
      <c r="BD40" s="238"/>
      <c r="BE40" s="238"/>
      <c r="BF40" s="238"/>
    </row>
    <row r="41" spans="1:67">
      <c r="A41" s="238"/>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38"/>
      <c r="AW41" s="238"/>
      <c r="AX41" s="238"/>
      <c r="AY41" s="238"/>
      <c r="AZ41" s="238"/>
      <c r="BA41" s="238"/>
      <c r="BB41" s="238"/>
      <c r="BC41" s="238"/>
      <c r="BD41" s="238"/>
      <c r="BE41" s="238"/>
      <c r="BF41" s="238"/>
    </row>
    <row r="42" spans="1:67">
      <c r="A42" s="238"/>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38"/>
      <c r="AW42" s="238"/>
      <c r="AX42" s="238"/>
      <c r="AY42" s="238"/>
      <c r="AZ42" s="238"/>
      <c r="BA42" s="238"/>
      <c r="BB42" s="238"/>
      <c r="BC42" s="238"/>
      <c r="BD42" s="238"/>
      <c r="BE42" s="238"/>
      <c r="BF42" s="238"/>
    </row>
    <row r="43" spans="1:67">
      <c r="A43" s="238"/>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238"/>
      <c r="AO43" s="238"/>
      <c r="AP43" s="238"/>
      <c r="AQ43" s="238"/>
      <c r="AR43" s="238"/>
      <c r="AS43" s="238"/>
      <c r="AT43" s="238"/>
      <c r="AU43" s="238"/>
      <c r="AV43" s="238"/>
      <c r="AW43" s="238"/>
      <c r="AX43" s="238"/>
      <c r="AY43" s="238"/>
      <c r="AZ43" s="238"/>
      <c r="BA43" s="238"/>
      <c r="BB43" s="238"/>
      <c r="BC43" s="238"/>
      <c r="BD43" s="238"/>
      <c r="BE43" s="238"/>
      <c r="BF43" s="238"/>
    </row>
    <row r="44" spans="1:67">
      <c r="A44" s="238"/>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c r="AP44" s="238"/>
      <c r="AQ44" s="238"/>
      <c r="AR44" s="238"/>
      <c r="AS44" s="238"/>
      <c r="AT44" s="238"/>
      <c r="AU44" s="238"/>
      <c r="AV44" s="238"/>
      <c r="AW44" s="238"/>
      <c r="AX44" s="238"/>
      <c r="AY44" s="238"/>
      <c r="AZ44" s="238"/>
      <c r="BA44" s="238"/>
      <c r="BB44" s="238"/>
      <c r="BC44" s="238"/>
      <c r="BD44" s="238"/>
      <c r="BE44" s="238"/>
      <c r="BF44" s="238"/>
    </row>
    <row r="45" spans="1:67">
      <c r="A45" s="238"/>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38"/>
      <c r="AW45" s="238"/>
      <c r="AX45" s="238"/>
      <c r="AY45" s="238"/>
      <c r="AZ45" s="238"/>
      <c r="BA45" s="238"/>
      <c r="BB45" s="238"/>
      <c r="BC45" s="238"/>
      <c r="BD45" s="238"/>
      <c r="BE45" s="238"/>
      <c r="BF45" s="238"/>
    </row>
    <row r="46" spans="1:67">
      <c r="A46" s="238"/>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238"/>
      <c r="AO46" s="238"/>
      <c r="AP46" s="238"/>
      <c r="AQ46" s="238"/>
      <c r="AR46" s="238"/>
      <c r="AS46" s="238"/>
      <c r="AT46" s="238"/>
      <c r="AU46" s="238"/>
      <c r="AV46" s="238"/>
      <c r="AW46" s="238"/>
      <c r="AX46" s="238"/>
      <c r="AY46" s="238"/>
      <c r="AZ46" s="238"/>
      <c r="BA46" s="238"/>
      <c r="BB46" s="238"/>
      <c r="BC46" s="238"/>
      <c r="BD46" s="238"/>
      <c r="BE46" s="238"/>
      <c r="BF46" s="238"/>
    </row>
    <row r="47" spans="1:67">
      <c r="A47" s="238"/>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c r="AB47" s="238"/>
      <c r="AC47" s="238"/>
      <c r="AD47" s="238"/>
      <c r="AE47" s="238"/>
      <c r="AF47" s="238"/>
      <c r="AG47" s="238"/>
      <c r="AH47" s="238"/>
      <c r="AI47" s="238"/>
      <c r="AJ47" s="238"/>
      <c r="AK47" s="238"/>
      <c r="AL47" s="238"/>
      <c r="AM47" s="238"/>
      <c r="AN47" s="238"/>
      <c r="AO47" s="238"/>
      <c r="AP47" s="238"/>
      <c r="AQ47" s="238"/>
      <c r="AR47" s="238"/>
      <c r="AS47" s="238"/>
      <c r="AT47" s="238"/>
      <c r="AU47" s="238"/>
      <c r="AV47" s="238"/>
      <c r="AW47" s="238"/>
      <c r="AX47" s="238"/>
      <c r="AY47" s="238"/>
      <c r="AZ47" s="238"/>
      <c r="BA47" s="238"/>
      <c r="BB47" s="238"/>
      <c r="BC47" s="238"/>
      <c r="BD47" s="238"/>
      <c r="BE47" s="238"/>
      <c r="BF47" s="238"/>
    </row>
    <row r="48" spans="1:67">
      <c r="A48" s="238"/>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c r="Z48" s="238"/>
      <c r="AA48" s="238"/>
      <c r="AB48" s="238"/>
      <c r="AC48" s="238"/>
      <c r="AD48" s="238"/>
      <c r="AE48" s="238"/>
      <c r="AF48" s="238"/>
      <c r="AG48" s="238"/>
      <c r="AH48" s="238"/>
      <c r="AI48" s="238"/>
      <c r="AJ48" s="238"/>
      <c r="AK48" s="238"/>
      <c r="AL48" s="238"/>
      <c r="AM48" s="238"/>
      <c r="AN48" s="238"/>
      <c r="AO48" s="238"/>
      <c r="AP48" s="238"/>
      <c r="AQ48" s="238"/>
      <c r="AR48" s="238"/>
      <c r="AS48" s="238"/>
      <c r="AT48" s="238"/>
      <c r="AU48" s="238"/>
      <c r="AV48" s="238"/>
      <c r="AW48" s="238"/>
      <c r="AX48" s="238"/>
      <c r="AY48" s="238"/>
      <c r="AZ48" s="238"/>
      <c r="BA48" s="238"/>
      <c r="BB48" s="238"/>
      <c r="BC48" s="238"/>
      <c r="BD48" s="238"/>
      <c r="BE48" s="238"/>
      <c r="BF48" s="238"/>
    </row>
    <row r="49" spans="1:58">
      <c r="A49" s="238"/>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38"/>
      <c r="AW49" s="238"/>
      <c r="AX49" s="238"/>
      <c r="AY49" s="238"/>
      <c r="AZ49" s="238"/>
      <c r="BA49" s="238"/>
      <c r="BB49" s="238"/>
      <c r="BC49" s="238"/>
      <c r="BD49" s="238"/>
      <c r="BE49" s="238"/>
      <c r="BF49" s="238"/>
    </row>
    <row r="50" spans="1:58">
      <c r="A50" s="238"/>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c r="AB50" s="238"/>
      <c r="AC50" s="238"/>
      <c r="AD50" s="238"/>
      <c r="AE50" s="238"/>
      <c r="AF50" s="238"/>
      <c r="AG50" s="238"/>
      <c r="AH50" s="238"/>
      <c r="AI50" s="238"/>
      <c r="AJ50" s="238"/>
      <c r="AK50" s="238"/>
      <c r="AL50" s="238"/>
      <c r="AM50" s="238"/>
      <c r="AN50" s="238"/>
      <c r="AO50" s="238"/>
      <c r="AP50" s="238"/>
      <c r="AQ50" s="238"/>
      <c r="AR50" s="238"/>
      <c r="AS50" s="238"/>
      <c r="AT50" s="238"/>
      <c r="AU50" s="238"/>
      <c r="AV50" s="238"/>
      <c r="AW50" s="238"/>
      <c r="AX50" s="238"/>
      <c r="AY50" s="238"/>
      <c r="AZ50" s="238"/>
      <c r="BA50" s="238"/>
      <c r="BB50" s="238"/>
      <c r="BC50" s="238"/>
      <c r="BD50" s="238"/>
      <c r="BE50" s="238"/>
      <c r="BF50" s="238"/>
    </row>
    <row r="51" spans="1:58">
      <c r="A51" s="238"/>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c r="Z51" s="238"/>
      <c r="AA51" s="238"/>
      <c r="AB51" s="238"/>
      <c r="AC51" s="238"/>
      <c r="AD51" s="238"/>
      <c r="AE51" s="238"/>
      <c r="AF51" s="238"/>
      <c r="AG51" s="238"/>
      <c r="AH51" s="238"/>
      <c r="AI51" s="238"/>
      <c r="AJ51" s="238"/>
      <c r="AK51" s="238"/>
      <c r="AL51" s="238"/>
      <c r="AM51" s="238"/>
      <c r="AN51" s="238"/>
      <c r="AO51" s="238"/>
      <c r="AP51" s="238"/>
      <c r="AQ51" s="238"/>
      <c r="AR51" s="238"/>
      <c r="AS51" s="238"/>
      <c r="AT51" s="238"/>
      <c r="AU51" s="238"/>
      <c r="AV51" s="238"/>
      <c r="AW51" s="238"/>
      <c r="AX51" s="238"/>
      <c r="AY51" s="238"/>
      <c r="AZ51" s="238"/>
      <c r="BA51" s="238"/>
      <c r="BB51" s="238"/>
      <c r="BC51" s="238"/>
      <c r="BD51" s="238"/>
      <c r="BE51" s="238"/>
      <c r="BF51" s="238"/>
    </row>
  </sheetData>
  <sheetProtection algorithmName="SHA-512" hashValue="X2QUjvPljUcs7QByx20S55A9hapLYalE2sVVAdnd7LF29xN/O7AtTLlf99w3AFJDu2leRA4bcUk6RbzKXFSirQ==" saltValue="O8PBpIO4gDjYElOHURoodQ==" spinCount="100000" sheet="1" objects="1" scenarios="1"/>
  <customSheetViews>
    <customSheetView guid="{6EFEFCA0-BF14-457A-85A3-29CBF2A862A5}" showGridLines="0" fitToPage="1" topLeftCell="A19">
      <selection activeCell="AO21" sqref="AO21:AS21"/>
      <pageMargins left="0.23622047244094491" right="0.23622047244094491" top="0.19685039370078741" bottom="0.19685039370078741" header="0" footer="0.11811023622047245"/>
      <printOptions horizontalCentered="1" verticalCentered="1"/>
      <pageSetup paperSize="5" scale="56" orientation="landscape" r:id="rId1"/>
      <headerFooter>
        <oddFooter>&amp;L&amp;10&amp;F &amp;A&amp;R&amp;10Page 18 of 61</oddFooter>
      </headerFooter>
    </customSheetView>
  </customSheetViews>
  <mergeCells count="141">
    <mergeCell ref="B4:J5"/>
    <mergeCell ref="K4:AX4"/>
    <mergeCell ref="K5:O5"/>
    <mergeCell ref="P5:T5"/>
    <mergeCell ref="U5:Y5"/>
    <mergeCell ref="Z5:AD5"/>
    <mergeCell ref="AE5:AI5"/>
    <mergeCell ref="AJ5:AN5"/>
    <mergeCell ref="AO5:AS5"/>
    <mergeCell ref="AT5:AX5"/>
    <mergeCell ref="B6:J6"/>
    <mergeCell ref="K6:AX6"/>
    <mergeCell ref="K7:O7"/>
    <mergeCell ref="P7:T7"/>
    <mergeCell ref="U7:Y7"/>
    <mergeCell ref="Z7:AD7"/>
    <mergeCell ref="AE7:AI7"/>
    <mergeCell ref="AJ7:AN7"/>
    <mergeCell ref="AO7:AS7"/>
    <mergeCell ref="AT7:AX7"/>
    <mergeCell ref="AO8:AS8"/>
    <mergeCell ref="AT8:AX8"/>
    <mergeCell ref="K9:O9"/>
    <mergeCell ref="P9:T9"/>
    <mergeCell ref="U9:Y9"/>
    <mergeCell ref="Z9:AD9"/>
    <mergeCell ref="AE9:AI9"/>
    <mergeCell ref="AJ9:AN9"/>
    <mergeCell ref="AO9:AS9"/>
    <mergeCell ref="AT9:AX9"/>
    <mergeCell ref="K8:O8"/>
    <mergeCell ref="P8:T8"/>
    <mergeCell ref="U8:Y8"/>
    <mergeCell ref="Z8:AD8"/>
    <mergeCell ref="AE8:AI8"/>
    <mergeCell ref="AJ8:AN8"/>
    <mergeCell ref="AO10:AS10"/>
    <mergeCell ref="AT10:AX10"/>
    <mergeCell ref="K11:O11"/>
    <mergeCell ref="P11:T11"/>
    <mergeCell ref="U11:Y11"/>
    <mergeCell ref="Z11:AD11"/>
    <mergeCell ref="AE11:AI11"/>
    <mergeCell ref="AJ11:AN11"/>
    <mergeCell ref="AO11:AS11"/>
    <mergeCell ref="AT11:AX11"/>
    <mergeCell ref="K10:O10"/>
    <mergeCell ref="P10:T10"/>
    <mergeCell ref="U10:Y10"/>
    <mergeCell ref="Z10:AD10"/>
    <mergeCell ref="AE10:AI10"/>
    <mergeCell ref="AJ10:AN10"/>
    <mergeCell ref="AO12:AS12"/>
    <mergeCell ref="AT12:AX12"/>
    <mergeCell ref="K13:O13"/>
    <mergeCell ref="P13:T13"/>
    <mergeCell ref="U13:Y13"/>
    <mergeCell ref="Z13:AD13"/>
    <mergeCell ref="AE13:AI13"/>
    <mergeCell ref="AJ13:AN13"/>
    <mergeCell ref="AO13:AS13"/>
    <mergeCell ref="AT13:AX13"/>
    <mergeCell ref="K12:O12"/>
    <mergeCell ref="P12:T12"/>
    <mergeCell ref="U12:Y12"/>
    <mergeCell ref="Z12:AD12"/>
    <mergeCell ref="AE12:AI12"/>
    <mergeCell ref="AJ12:AN12"/>
    <mergeCell ref="B14:J14"/>
    <mergeCell ref="K14:AX14"/>
    <mergeCell ref="K15:O15"/>
    <mergeCell ref="P15:T15"/>
    <mergeCell ref="U15:Y15"/>
    <mergeCell ref="Z15:AD15"/>
    <mergeCell ref="AE15:AI15"/>
    <mergeCell ref="AJ15:AN15"/>
    <mergeCell ref="AO15:AS15"/>
    <mergeCell ref="AT15:AX15"/>
    <mergeCell ref="AO16:AS16"/>
    <mergeCell ref="AT16:AX16"/>
    <mergeCell ref="K17:O17"/>
    <mergeCell ref="P17:T17"/>
    <mergeCell ref="U17:Y17"/>
    <mergeCell ref="Z17:AD17"/>
    <mergeCell ref="AE17:AI17"/>
    <mergeCell ref="AJ17:AN17"/>
    <mergeCell ref="AO17:AS17"/>
    <mergeCell ref="AT17:AX17"/>
    <mergeCell ref="K16:O16"/>
    <mergeCell ref="P16:T16"/>
    <mergeCell ref="U16:Y16"/>
    <mergeCell ref="Z16:AD16"/>
    <mergeCell ref="AE16:AI16"/>
    <mergeCell ref="AJ16:AN16"/>
    <mergeCell ref="AO18:AS18"/>
    <mergeCell ref="AT18:AX18"/>
    <mergeCell ref="K19:O19"/>
    <mergeCell ref="P19:T19"/>
    <mergeCell ref="U19:Y19"/>
    <mergeCell ref="Z19:AD19"/>
    <mergeCell ref="AE19:AI19"/>
    <mergeCell ref="AJ19:AN19"/>
    <mergeCell ref="AO19:AS19"/>
    <mergeCell ref="AT19:AX19"/>
    <mergeCell ref="K18:O18"/>
    <mergeCell ref="P18:T18"/>
    <mergeCell ref="U18:Y18"/>
    <mergeCell ref="Z18:AD18"/>
    <mergeCell ref="AE18:AI18"/>
    <mergeCell ref="AJ18:AN18"/>
    <mergeCell ref="B23:AX23"/>
    <mergeCell ref="D24:AX24"/>
    <mergeCell ref="D25:AX25"/>
    <mergeCell ref="D26:AX26"/>
    <mergeCell ref="D27:AX27"/>
    <mergeCell ref="D28:AX28"/>
    <mergeCell ref="AO20:AS20"/>
    <mergeCell ref="AT20:AX20"/>
    <mergeCell ref="K21:O21"/>
    <mergeCell ref="P21:T21"/>
    <mergeCell ref="U21:Y21"/>
    <mergeCell ref="Z21:AD21"/>
    <mergeCell ref="AE21:AI21"/>
    <mergeCell ref="AJ21:AN21"/>
    <mergeCell ref="AO21:AS21"/>
    <mergeCell ref="AT21:AX21"/>
    <mergeCell ref="K20:O20"/>
    <mergeCell ref="P20:T20"/>
    <mergeCell ref="U20:Y20"/>
    <mergeCell ref="Z20:AD20"/>
    <mergeCell ref="AE20:AI20"/>
    <mergeCell ref="AJ20:AN20"/>
    <mergeCell ref="F35:O35"/>
    <mergeCell ref="S35:AF35"/>
    <mergeCell ref="AJ35:AW35"/>
    <mergeCell ref="D29:AX29"/>
    <mergeCell ref="D30:AX30"/>
    <mergeCell ref="F33:O33"/>
    <mergeCell ref="S33:AF34"/>
    <mergeCell ref="AJ33:AW34"/>
    <mergeCell ref="F34:O34"/>
  </mergeCells>
  <dataValidations count="1">
    <dataValidation type="whole" allowBlank="1" showInputMessage="1" showErrorMessage="1" errorTitle="GSHSP SY 2022-2023" error="Please enter valid number between 0-15,000." sqref="K7:AS13 K15:AS20" xr:uid="{799FAB54-189B-435F-A1D9-D1770D6BCDF5}">
      <formula1>0</formula1>
      <formula2>15000</formula2>
    </dataValidation>
  </dataValidations>
  <printOptions horizontalCentered="1" verticalCentered="1"/>
  <pageMargins left="0.23622047244094491" right="0.23622047244094491" top="0.19685039370078741" bottom="0.19685039370078741" header="0" footer="0.11811023622047245"/>
  <pageSetup paperSize="5" scale="56" orientation="landscape" r:id="rId2"/>
  <headerFooter>
    <oddFooter>&amp;L&amp;10&amp;F &amp;A&amp;R&amp;10Page 18 of 61</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CBE9E-D710-4300-B389-BF7BC6758C3B}">
  <sheetPr codeName="Sheet20">
    <tabColor rgb="FFFFFF00"/>
    <pageSetUpPr fitToPage="1"/>
  </sheetPr>
  <dimension ref="A1:AT49"/>
  <sheetViews>
    <sheetView showGridLines="0" topLeftCell="A23" zoomScaleNormal="100" workbookViewId="0">
      <selection activeCell="X30" sqref="X30:AH30"/>
    </sheetView>
  </sheetViews>
  <sheetFormatPr defaultColWidth="8" defaultRowHeight="15"/>
  <cols>
    <col min="1" max="1" width="2.125" style="599" customWidth="1"/>
    <col min="2" max="45" width="3.625" style="599" customWidth="1"/>
    <col min="46" max="46" width="2.125" style="599" customWidth="1"/>
    <col min="47" max="49" width="3.625" style="599" customWidth="1"/>
    <col min="50" max="50" width="2.125" style="599" customWidth="1"/>
    <col min="51" max="56" width="3.625" style="599" customWidth="1"/>
    <col min="57" max="16384" width="8" style="599"/>
  </cols>
  <sheetData>
    <row r="1" spans="1:45" ht="12" customHeight="1"/>
    <row r="2" spans="1:45" ht="15.75" customHeight="1">
      <c r="A2" s="593"/>
      <c r="B2" s="261" t="s">
        <v>11395</v>
      </c>
      <c r="C2" s="261"/>
      <c r="D2" s="261"/>
      <c r="E2" s="261"/>
      <c r="F2" s="261"/>
      <c r="G2" s="742"/>
      <c r="H2" s="742"/>
      <c r="I2" s="742"/>
      <c r="J2" s="742"/>
      <c r="K2" s="742"/>
      <c r="L2" s="742"/>
      <c r="M2" s="742"/>
      <c r="N2" s="742"/>
      <c r="O2" s="742"/>
      <c r="P2" s="742"/>
    </row>
    <row r="3" spans="1:45" s="582" customFormat="1" ht="16.5" thickBot="1">
      <c r="B3" s="583" t="s">
        <v>1017</v>
      </c>
    </row>
    <row r="4" spans="1:45" ht="6.95" customHeight="1">
      <c r="B4" s="743"/>
      <c r="C4" s="744"/>
      <c r="D4" s="744"/>
      <c r="E4" s="744"/>
      <c r="F4" s="744"/>
      <c r="G4" s="745"/>
      <c r="H4" s="745"/>
      <c r="I4" s="745"/>
      <c r="J4" s="745"/>
      <c r="K4" s="745"/>
      <c r="L4" s="745"/>
      <c r="M4" s="746"/>
      <c r="N4" s="746"/>
      <c r="O4" s="746"/>
      <c r="P4" s="746"/>
      <c r="Q4" s="746"/>
      <c r="R4" s="746"/>
      <c r="S4" s="746"/>
      <c r="T4" s="746"/>
      <c r="U4" s="746"/>
      <c r="V4" s="746"/>
      <c r="W4" s="746"/>
      <c r="X4" s="746"/>
      <c r="Y4" s="746"/>
      <c r="Z4" s="747"/>
      <c r="AA4" s="747"/>
      <c r="AB4" s="747"/>
      <c r="AC4" s="747"/>
      <c r="AD4" s="747"/>
      <c r="AE4" s="747"/>
      <c r="AF4" s="747"/>
      <c r="AG4" s="747"/>
      <c r="AH4" s="747"/>
      <c r="AI4" s="747"/>
      <c r="AJ4" s="747"/>
      <c r="AK4" s="747"/>
      <c r="AL4" s="747"/>
      <c r="AM4" s="747"/>
      <c r="AN4" s="747"/>
      <c r="AO4" s="747"/>
      <c r="AP4" s="747"/>
      <c r="AQ4" s="747"/>
      <c r="AR4" s="747"/>
      <c r="AS4" s="748"/>
    </row>
    <row r="5" spans="1:45" ht="20.100000000000001" customHeight="1">
      <c r="B5" s="749" t="s">
        <v>458</v>
      </c>
      <c r="C5" s="750"/>
      <c r="D5" s="750"/>
      <c r="E5" s="751" t="s">
        <v>47</v>
      </c>
      <c r="F5" s="260" t="s">
        <v>459</v>
      </c>
      <c r="G5" s="260"/>
      <c r="H5" s="260"/>
      <c r="I5" s="260"/>
      <c r="J5" s="260"/>
      <c r="U5" s="1695" t="b">
        <v>1</v>
      </c>
      <c r="V5" s="752" t="s">
        <v>484</v>
      </c>
      <c r="Y5" s="1695"/>
      <c r="Z5" s="753" t="s">
        <v>485</v>
      </c>
      <c r="AS5" s="705"/>
    </row>
    <row r="6" spans="1:45" ht="20.100000000000001" customHeight="1">
      <c r="B6" s="754" t="s">
        <v>460</v>
      </c>
      <c r="C6" s="755"/>
      <c r="D6" s="755"/>
      <c r="E6" s="755"/>
      <c r="G6" s="756" t="s">
        <v>461</v>
      </c>
      <c r="H6" s="756"/>
      <c r="I6" s="756"/>
      <c r="J6" s="756"/>
      <c r="M6" s="625"/>
      <c r="N6" s="625"/>
      <c r="O6" s="625"/>
      <c r="P6" s="625"/>
      <c r="Q6" s="625"/>
      <c r="R6" s="625"/>
      <c r="S6" s="625"/>
      <c r="T6" s="625"/>
      <c r="U6" s="625"/>
      <c r="V6" s="625"/>
      <c r="W6" s="625"/>
      <c r="X6" s="582"/>
      <c r="Y6" s="625"/>
      <c r="Z6" s="582"/>
      <c r="AS6" s="705"/>
    </row>
    <row r="7" spans="1:45" ht="20.100000000000001" customHeight="1">
      <c r="B7" s="754"/>
      <c r="C7" s="755"/>
      <c r="D7" s="755"/>
      <c r="E7" s="755"/>
      <c r="H7" s="1695" t="b">
        <v>0</v>
      </c>
      <c r="I7" s="753" t="s">
        <v>1703</v>
      </c>
      <c r="J7" s="580"/>
      <c r="O7" s="1695" t="b">
        <v>1</v>
      </c>
      <c r="P7" s="757" t="s">
        <v>1247</v>
      </c>
      <c r="Q7" s="758"/>
      <c r="U7" s="1695" t="b">
        <v>1</v>
      </c>
      <c r="V7" s="753" t="s">
        <v>1246</v>
      </c>
      <c r="AA7" s="1718" t="b">
        <v>0</v>
      </c>
      <c r="AB7" s="753" t="s">
        <v>462</v>
      </c>
      <c r="AI7" s="758"/>
      <c r="AR7" s="758"/>
      <c r="AS7" s="705"/>
    </row>
    <row r="8" spans="1:45" ht="20.100000000000001" customHeight="1">
      <c r="B8" s="759"/>
      <c r="C8" s="760"/>
      <c r="D8" s="760"/>
      <c r="E8" s="760"/>
      <c r="H8" s="1695" t="b">
        <v>0</v>
      </c>
      <c r="I8" s="761" t="s">
        <v>1704</v>
      </c>
      <c r="O8" s="1695" t="b">
        <v>1</v>
      </c>
      <c r="P8" s="753" t="s">
        <v>1705</v>
      </c>
      <c r="Q8" s="762"/>
      <c r="U8" s="1695" t="b">
        <v>0</v>
      </c>
      <c r="V8" s="753" t="s">
        <v>1248</v>
      </c>
      <c r="AA8" s="1718" t="b">
        <v>0</v>
      </c>
      <c r="AB8" s="761" t="s">
        <v>1021</v>
      </c>
      <c r="AF8" s="2838"/>
      <c r="AG8" s="2838"/>
      <c r="AH8" s="2838"/>
      <c r="AI8" s="2838"/>
      <c r="AJ8" s="2838"/>
      <c r="AK8" s="2838"/>
      <c r="AM8" s="763"/>
      <c r="AN8" s="763"/>
      <c r="AO8" s="763"/>
      <c r="AP8" s="763"/>
      <c r="AQ8" s="763"/>
      <c r="AR8" s="764"/>
      <c r="AS8" s="705"/>
    </row>
    <row r="9" spans="1:45" ht="18" customHeight="1">
      <c r="B9" s="759"/>
      <c r="C9" s="760"/>
      <c r="D9" s="760"/>
      <c r="E9" s="760"/>
      <c r="F9" s="765"/>
      <c r="K9" s="762"/>
      <c r="X9" s="762"/>
      <c r="AA9" s="766"/>
      <c r="AB9" s="764"/>
      <c r="AC9" s="764"/>
      <c r="AD9" s="764"/>
      <c r="AE9" s="764"/>
      <c r="AF9" s="1719" t="str">
        <f>IF(AND(sch_intercon_isp_yes_otherspec=TRUE,ISBLANK(sch_intercon_isp_yes_other_specify)),"Please specify.",IF(AND(sch_intercon_isp_yes_otherspec=FALSE,(sch_intercon_isp_yes_other_specify&gt;0)),"Please check Others if you have entries.",""))</f>
        <v/>
      </c>
      <c r="AH9" s="758"/>
      <c r="AI9" s="758"/>
      <c r="AJ9" s="758"/>
      <c r="AK9" s="758"/>
      <c r="AL9" s="758"/>
      <c r="AM9" s="758"/>
      <c r="AN9" s="758"/>
      <c r="AO9" s="758"/>
      <c r="AP9" s="758"/>
      <c r="AQ9" s="758"/>
      <c r="AR9" s="758"/>
      <c r="AS9" s="705"/>
    </row>
    <row r="10" spans="1:45" ht="20.100000000000001" customHeight="1">
      <c r="B10" s="749"/>
      <c r="C10" s="750"/>
      <c r="D10" s="750"/>
      <c r="E10" s="751" t="s">
        <v>48</v>
      </c>
      <c r="F10" s="260" t="s">
        <v>463</v>
      </c>
      <c r="K10" s="762"/>
      <c r="L10" s="762"/>
      <c r="AA10" s="1695" t="b">
        <v>1</v>
      </c>
      <c r="AB10" s="752" t="s">
        <v>484</v>
      </c>
      <c r="AE10" s="1695"/>
      <c r="AF10" s="753" t="s">
        <v>485</v>
      </c>
      <c r="AH10" s="767"/>
      <c r="AI10" s="762"/>
      <c r="AJ10" s="762"/>
      <c r="AK10" s="762"/>
      <c r="AL10" s="762"/>
      <c r="AM10" s="762"/>
      <c r="AN10" s="762"/>
      <c r="AO10" s="762"/>
      <c r="AP10" s="762"/>
      <c r="AQ10" s="762"/>
      <c r="AR10" s="762"/>
      <c r="AS10" s="705"/>
    </row>
    <row r="11" spans="1:45" ht="20.100000000000001" customHeight="1">
      <c r="B11" s="749"/>
      <c r="C11" s="750"/>
      <c r="D11" s="750"/>
      <c r="E11" s="750"/>
      <c r="F11" s="260"/>
      <c r="G11" s="756" t="s">
        <v>1058</v>
      </c>
      <c r="K11" s="762"/>
      <c r="L11" s="762"/>
      <c r="Z11" s="768"/>
      <c r="AA11" s="768"/>
      <c r="AB11" s="768"/>
      <c r="AC11" s="768"/>
      <c r="AD11" s="768"/>
      <c r="AE11" s="762"/>
      <c r="AI11" s="762"/>
      <c r="AJ11" s="762"/>
      <c r="AK11" s="762"/>
      <c r="AL11" s="762"/>
      <c r="AM11" s="762"/>
      <c r="AN11" s="762"/>
      <c r="AO11" s="762"/>
      <c r="AP11" s="762"/>
      <c r="AQ11" s="762"/>
      <c r="AR11" s="762"/>
      <c r="AS11" s="705"/>
    </row>
    <row r="12" spans="1:45" ht="20.100000000000001" customHeight="1">
      <c r="B12" s="749"/>
      <c r="C12" s="750"/>
      <c r="D12" s="750"/>
      <c r="E12" s="750"/>
      <c r="F12" s="260"/>
      <c r="H12" s="1695" t="b">
        <v>1</v>
      </c>
      <c r="I12" s="580" t="s">
        <v>1003</v>
      </c>
      <c r="K12" s="762"/>
      <c r="L12" s="762"/>
      <c r="S12" s="768"/>
      <c r="T12" s="768"/>
      <c r="U12" s="768"/>
      <c r="V12" s="768"/>
      <c r="W12" s="768"/>
      <c r="X12" s="762"/>
      <c r="Z12" s="768"/>
      <c r="AA12" s="768"/>
      <c r="AB12" s="768"/>
      <c r="AC12" s="768"/>
      <c r="AD12" s="768"/>
      <c r="AE12" s="762"/>
      <c r="AI12" s="762"/>
      <c r="AJ12" s="762"/>
      <c r="AK12" s="762"/>
      <c r="AL12" s="762"/>
      <c r="AM12" s="762"/>
      <c r="AN12" s="762"/>
      <c r="AO12" s="762"/>
      <c r="AP12" s="762"/>
      <c r="AQ12" s="762"/>
      <c r="AR12" s="762"/>
      <c r="AS12" s="705"/>
    </row>
    <row r="13" spans="1:45" ht="20.100000000000001" customHeight="1">
      <c r="B13" s="749"/>
      <c r="C13" s="750"/>
      <c r="D13" s="750"/>
      <c r="E13" s="750"/>
      <c r="F13" s="260"/>
      <c r="H13" s="1695" t="b">
        <v>1</v>
      </c>
      <c r="I13" s="580" t="s">
        <v>1004</v>
      </c>
      <c r="K13" s="762"/>
      <c r="L13" s="762"/>
      <c r="S13" s="768"/>
      <c r="T13" s="768"/>
      <c r="U13" s="768"/>
      <c r="V13" s="768"/>
      <c r="W13" s="768"/>
      <c r="X13" s="762"/>
      <c r="Z13" s="768"/>
      <c r="AA13" s="768"/>
      <c r="AB13" s="768"/>
      <c r="AC13" s="768"/>
      <c r="AD13" s="768"/>
      <c r="AE13" s="762"/>
      <c r="AI13" s="762"/>
      <c r="AJ13" s="762"/>
      <c r="AK13" s="762"/>
      <c r="AL13" s="762"/>
      <c r="AM13" s="762"/>
      <c r="AN13" s="762"/>
      <c r="AO13" s="762"/>
      <c r="AP13" s="762"/>
      <c r="AQ13" s="762"/>
      <c r="AR13" s="762"/>
      <c r="AS13" s="705"/>
    </row>
    <row r="14" spans="1:45" ht="9" customHeight="1">
      <c r="B14" s="749"/>
      <c r="C14" s="750"/>
      <c r="D14" s="750"/>
      <c r="E14" s="750"/>
      <c r="F14" s="260"/>
      <c r="K14" s="762"/>
      <c r="L14" s="762"/>
      <c r="Q14" s="768"/>
      <c r="R14" s="768"/>
      <c r="S14" s="768"/>
      <c r="T14" s="768"/>
      <c r="U14" s="768"/>
      <c r="V14" s="762"/>
      <c r="Z14" s="768"/>
      <c r="AA14" s="768"/>
      <c r="AB14" s="768"/>
      <c r="AC14" s="768"/>
      <c r="AD14" s="768"/>
      <c r="AE14" s="762"/>
      <c r="AI14" s="762"/>
      <c r="AJ14" s="762"/>
      <c r="AK14" s="762"/>
      <c r="AL14" s="762"/>
      <c r="AM14" s="762"/>
      <c r="AN14" s="762"/>
      <c r="AO14" s="762"/>
      <c r="AP14" s="762"/>
      <c r="AQ14" s="762"/>
      <c r="AR14" s="762"/>
      <c r="AS14" s="705"/>
    </row>
    <row r="15" spans="1:45" ht="20.100000000000001" customHeight="1">
      <c r="B15" s="749"/>
      <c r="C15" s="750"/>
      <c r="D15" s="750"/>
      <c r="E15" s="751" t="s">
        <v>49</v>
      </c>
      <c r="F15" s="260" t="s">
        <v>466</v>
      </c>
      <c r="K15" s="762"/>
      <c r="L15" s="762"/>
      <c r="Q15" s="768"/>
      <c r="R15" s="768"/>
      <c r="S15" s="768"/>
      <c r="T15" s="768"/>
      <c r="U15" s="768"/>
      <c r="V15" s="762"/>
      <c r="Z15" s="768"/>
      <c r="AA15" s="768"/>
      <c r="AB15" s="768"/>
      <c r="AC15" s="768"/>
      <c r="AG15" s="762"/>
      <c r="AH15" s="762"/>
      <c r="AI15" s="762"/>
      <c r="AJ15" s="762"/>
      <c r="AK15" s="762"/>
      <c r="AL15" s="762"/>
      <c r="AM15" s="762"/>
      <c r="AN15" s="762"/>
      <c r="AO15" s="762"/>
      <c r="AP15" s="762"/>
      <c r="AQ15" s="762"/>
      <c r="AR15" s="762"/>
      <c r="AS15" s="705"/>
    </row>
    <row r="16" spans="1:45" ht="20.100000000000001" customHeight="1">
      <c r="B16" s="749"/>
      <c r="C16" s="750"/>
      <c r="D16" s="750"/>
      <c r="E16" s="750"/>
      <c r="F16" s="260"/>
      <c r="H16" s="599" t="s">
        <v>467</v>
      </c>
      <c r="K16" s="2839">
        <v>44865</v>
      </c>
      <c r="L16" s="2838"/>
      <c r="M16" s="2838"/>
      <c r="N16" s="2838"/>
      <c r="O16" s="2838"/>
      <c r="P16" s="2838"/>
      <c r="Q16" s="769"/>
      <c r="R16" s="769"/>
      <c r="S16" s="769"/>
      <c r="T16" s="599" t="s">
        <v>468</v>
      </c>
      <c r="V16" s="763"/>
      <c r="X16" s="2838">
        <v>11</v>
      </c>
      <c r="Y16" s="2838"/>
      <c r="Z16" s="2838"/>
      <c r="AA16" s="2838"/>
      <c r="AB16" s="2838"/>
      <c r="AC16" s="2838"/>
      <c r="AG16" s="599" t="s">
        <v>469</v>
      </c>
      <c r="AI16" s="763"/>
      <c r="AK16" s="2840">
        <v>463</v>
      </c>
      <c r="AL16" s="2840"/>
      <c r="AM16" s="2840"/>
      <c r="AN16" s="2840"/>
      <c r="AO16" s="2840"/>
      <c r="AP16" s="2840"/>
      <c r="AR16" s="763"/>
      <c r="AS16" s="705"/>
    </row>
    <row r="17" spans="2:45" ht="20.100000000000001" customHeight="1">
      <c r="B17" s="749"/>
      <c r="C17" s="750"/>
      <c r="D17" s="750"/>
      <c r="E17" s="750"/>
      <c r="F17" s="260"/>
      <c r="H17" s="599" t="s">
        <v>470</v>
      </c>
      <c r="K17" s="2841">
        <v>0.39583333333333331</v>
      </c>
      <c r="L17" s="2841"/>
      <c r="M17" s="2841"/>
      <c r="N17" s="2841"/>
      <c r="O17" s="2841"/>
      <c r="P17" s="2841"/>
      <c r="Q17" s="769"/>
      <c r="R17" s="769"/>
      <c r="S17" s="769"/>
      <c r="T17" s="599" t="s">
        <v>471</v>
      </c>
      <c r="V17" s="763"/>
      <c r="X17" s="2840">
        <v>902</v>
      </c>
      <c r="Y17" s="2840"/>
      <c r="Z17" s="2840"/>
      <c r="AA17" s="2840"/>
      <c r="AB17" s="2840"/>
      <c r="AC17" s="2840"/>
      <c r="AG17" s="763"/>
      <c r="AH17" s="763"/>
      <c r="AI17" s="763"/>
      <c r="AJ17" s="763"/>
      <c r="AK17" s="763"/>
      <c r="AL17" s="763"/>
      <c r="AM17" s="763"/>
      <c r="AN17" s="763"/>
      <c r="AO17" s="763"/>
      <c r="AP17" s="763"/>
      <c r="AQ17" s="763"/>
      <c r="AR17" s="763"/>
      <c r="AS17" s="705"/>
    </row>
    <row r="18" spans="2:45" ht="15.6" customHeight="1">
      <c r="B18" s="749"/>
      <c r="C18" s="750"/>
      <c r="D18" s="750"/>
      <c r="E18" s="750"/>
      <c r="F18" s="260"/>
      <c r="H18" s="1793" t="s">
        <v>11367</v>
      </c>
      <c r="I18" s="776"/>
      <c r="J18" s="776"/>
      <c r="K18" s="1794"/>
      <c r="L18" s="1794"/>
      <c r="M18" s="1791"/>
      <c r="N18" s="1791"/>
      <c r="O18" s="1791"/>
      <c r="P18" s="1791"/>
      <c r="Q18" s="769"/>
      <c r="R18" s="769"/>
      <c r="S18" s="769"/>
      <c r="V18" s="763"/>
      <c r="X18" s="1792"/>
      <c r="Y18" s="1792"/>
      <c r="Z18" s="1792"/>
      <c r="AA18" s="1792"/>
      <c r="AB18" s="1792"/>
      <c r="AC18" s="1792"/>
      <c r="AG18" s="763"/>
      <c r="AH18" s="763"/>
      <c r="AI18" s="763"/>
      <c r="AJ18" s="763"/>
      <c r="AK18" s="763"/>
      <c r="AL18" s="763"/>
      <c r="AM18" s="763"/>
      <c r="AN18" s="763"/>
      <c r="AO18" s="763"/>
      <c r="AP18" s="763"/>
      <c r="AQ18" s="763"/>
      <c r="AR18" s="763"/>
      <c r="AS18" s="705"/>
    </row>
    <row r="19" spans="2:45" ht="15.6" customHeight="1">
      <c r="B19" s="749"/>
      <c r="C19" s="750"/>
      <c r="D19" s="750"/>
      <c r="E19" s="750"/>
      <c r="F19" s="260"/>
      <c r="H19" s="1793" t="s">
        <v>11365</v>
      </c>
      <c r="I19" s="776"/>
      <c r="J19" s="776"/>
      <c r="K19" s="1794"/>
      <c r="L19" s="1794"/>
      <c r="M19" s="1791"/>
      <c r="N19" s="1791"/>
      <c r="O19" s="1791"/>
      <c r="P19" s="1791"/>
      <c r="Q19" s="769"/>
      <c r="R19" s="769"/>
      <c r="S19" s="769"/>
      <c r="V19" s="763"/>
      <c r="X19" s="1792"/>
      <c r="Y19" s="1792"/>
      <c r="Z19" s="1792"/>
      <c r="AA19" s="1792"/>
      <c r="AB19" s="1792"/>
      <c r="AC19" s="1792"/>
      <c r="AG19" s="763"/>
      <c r="AH19" s="763"/>
      <c r="AI19" s="763"/>
      <c r="AJ19" s="763"/>
      <c r="AK19" s="763"/>
      <c r="AL19" s="763"/>
      <c r="AM19" s="763"/>
      <c r="AN19" s="763"/>
      <c r="AO19" s="763"/>
      <c r="AP19" s="763"/>
      <c r="AQ19" s="763"/>
      <c r="AR19" s="763"/>
      <c r="AS19" s="705"/>
    </row>
    <row r="20" spans="2:45" ht="15.6" customHeight="1">
      <c r="B20" s="749"/>
      <c r="C20" s="750"/>
      <c r="D20" s="750"/>
      <c r="E20" s="750"/>
      <c r="F20" s="260"/>
      <c r="H20" s="1793" t="s">
        <v>11366</v>
      </c>
      <c r="I20" s="776"/>
      <c r="J20" s="776"/>
      <c r="K20" s="1794"/>
      <c r="L20" s="1794"/>
      <c r="M20" s="1791"/>
      <c r="N20" s="1791"/>
      <c r="O20" s="1791"/>
      <c r="P20" s="1791"/>
      <c r="Q20" s="769"/>
      <c r="R20" s="769"/>
      <c r="S20" s="769"/>
      <c r="V20" s="763"/>
      <c r="X20" s="1792"/>
      <c r="Y20" s="1792"/>
      <c r="Z20" s="1792"/>
      <c r="AA20" s="1792"/>
      <c r="AB20" s="1792"/>
      <c r="AC20" s="1792"/>
      <c r="AG20" s="763"/>
      <c r="AH20" s="763"/>
      <c r="AI20" s="763"/>
      <c r="AJ20" s="763"/>
      <c r="AK20" s="763"/>
      <c r="AL20" s="763"/>
      <c r="AM20" s="763"/>
      <c r="AN20" s="763"/>
      <c r="AO20" s="763"/>
      <c r="AP20" s="763"/>
      <c r="AQ20" s="763"/>
      <c r="AR20" s="763"/>
      <c r="AS20" s="705"/>
    </row>
    <row r="21" spans="2:45" ht="9.9499999999999993" customHeight="1" thickBot="1">
      <c r="B21" s="708"/>
      <c r="C21" s="709"/>
      <c r="D21" s="709"/>
      <c r="E21" s="709"/>
      <c r="F21" s="709"/>
      <c r="G21" s="709"/>
      <c r="H21" s="709"/>
      <c r="I21" s="709"/>
      <c r="J21" s="709"/>
      <c r="K21" s="709"/>
      <c r="L21" s="709"/>
      <c r="M21" s="709"/>
      <c r="N21" s="709"/>
      <c r="O21" s="709"/>
      <c r="P21" s="709"/>
      <c r="Q21" s="709"/>
      <c r="R21" s="709"/>
      <c r="S21" s="709"/>
      <c r="T21" s="709"/>
      <c r="U21" s="709"/>
      <c r="V21" s="709"/>
      <c r="W21" s="709"/>
      <c r="X21" s="709"/>
      <c r="Y21" s="709"/>
      <c r="Z21" s="709"/>
      <c r="AA21" s="709"/>
      <c r="AB21" s="709"/>
      <c r="AC21" s="709"/>
      <c r="AD21" s="709"/>
      <c r="AE21" s="709"/>
      <c r="AF21" s="709"/>
      <c r="AG21" s="709"/>
      <c r="AH21" s="709"/>
      <c r="AI21" s="709"/>
      <c r="AJ21" s="709"/>
      <c r="AK21" s="709"/>
      <c r="AL21" s="709"/>
      <c r="AM21" s="709"/>
      <c r="AN21" s="709"/>
      <c r="AO21" s="709"/>
      <c r="AP21" s="709"/>
      <c r="AQ21" s="709"/>
      <c r="AR21" s="709"/>
      <c r="AS21" s="710"/>
    </row>
    <row r="22" spans="2:45" s="347" customFormat="1">
      <c r="B22" s="2802" t="s">
        <v>1706</v>
      </c>
      <c r="C22" s="2802"/>
      <c r="D22" s="2802"/>
      <c r="E22" s="2802"/>
      <c r="F22" s="2802"/>
      <c r="G22" s="2802"/>
      <c r="H22" s="2802"/>
      <c r="I22" s="2802"/>
      <c r="J22" s="2802"/>
      <c r="K22" s="2802"/>
      <c r="L22" s="2802"/>
      <c r="M22" s="2802"/>
      <c r="N22" s="2802"/>
      <c r="O22" s="2802"/>
      <c r="P22" s="2802"/>
      <c r="Q22" s="2802"/>
      <c r="R22" s="2802"/>
      <c r="S22" s="2802"/>
      <c r="T22" s="2802"/>
      <c r="U22" s="2802"/>
      <c r="V22" s="2802"/>
      <c r="W22" s="2802"/>
      <c r="X22" s="2802"/>
      <c r="Y22" s="2802"/>
      <c r="Z22" s="2802"/>
      <c r="AA22" s="2802"/>
      <c r="AB22" s="2802"/>
      <c r="AC22" s="2802"/>
      <c r="AD22" s="2802"/>
      <c r="AE22" s="2802"/>
      <c r="AF22" s="2802"/>
      <c r="AG22" s="2802"/>
      <c r="AH22" s="2802"/>
      <c r="AI22" s="2802"/>
      <c r="AJ22" s="2802"/>
      <c r="AK22" s="2802"/>
      <c r="AL22" s="2802"/>
      <c r="AM22" s="2802"/>
      <c r="AN22" s="2802"/>
      <c r="AO22" s="2802"/>
      <c r="AP22" s="2802"/>
      <c r="AQ22" s="2802"/>
      <c r="AR22" s="2802"/>
      <c r="AS22" s="2802"/>
    </row>
    <row r="23" spans="2:45" s="347" customFormat="1" ht="30.75" customHeight="1">
      <c r="B23" s="1698" t="str">
        <f>IF(AND(sch_intercon_isp_subscribe_yes=FALSE,OR(sch_intercon_isp_subscribe_adminuse_yes=TRUE,sch_intercon_isp_subscribe_clinstructionuse_yes=TRUE)),"Table 24 shall be filled-out.",IF(AND(sch_intercon_isp_subscribe_yes=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internet_avemonthlyexpense1),ISBLANK(sch_internet_avemonthlyexpense2),ISBLANK(sch_internet_avemonthlyexpense3),ISBLANK(sch_internet_avemonthlyexpense4),ISBLANK(sch_internet_avemonthlyexpense5),ISBLANK(combo_avemonthlyexpense_fundingsource1),ISBLANK(combo_avemonthlyexpense_fundingsource2),ISBLANK(combo_avemonthlyexpense_fundingsource3),ISBLANK(combo_avemonthlyexpense_fundingsource4),ISBLANK(combo_avemonthlyexpense_fundingsource5)),"Table 24 shall be filled-out.",""))</f>
        <v/>
      </c>
      <c r="D23" s="770"/>
      <c r="E23" s="770"/>
      <c r="F23" s="770"/>
      <c r="G23" s="770"/>
    </row>
    <row r="24" spans="2:45" s="260" customFormat="1" ht="15.75">
      <c r="B24" s="771" t="s">
        <v>11396</v>
      </c>
      <c r="C24" s="772"/>
      <c r="D24" s="772"/>
      <c r="E24" s="772"/>
      <c r="F24" s="772"/>
    </row>
    <row r="25" spans="2:45" s="582" customFormat="1" ht="16.5" thickBot="1">
      <c r="B25" s="583" t="s">
        <v>1016</v>
      </c>
    </row>
    <row r="26" spans="2:45" s="580" customFormat="1" ht="20.100000000000001" customHeight="1">
      <c r="B26" s="2660" t="s">
        <v>472</v>
      </c>
      <c r="C26" s="2661"/>
      <c r="D26" s="2661"/>
      <c r="E26" s="2661"/>
      <c r="F26" s="2661"/>
      <c r="G26" s="2661"/>
      <c r="H26" s="2661"/>
      <c r="I26" s="2661"/>
      <c r="J26" s="2661"/>
      <c r="K26" s="2661"/>
      <c r="L26" s="2842"/>
      <c r="M26" s="2843" t="s">
        <v>473</v>
      </c>
      <c r="N26" s="2844"/>
      <c r="O26" s="2844"/>
      <c r="P26" s="2844"/>
      <c r="Q26" s="2844"/>
      <c r="R26" s="2844"/>
      <c r="S26" s="2844"/>
      <c r="T26" s="2844"/>
      <c r="U26" s="2844"/>
      <c r="V26" s="2844"/>
      <c r="W26" s="2845"/>
      <c r="X26" s="2846" t="s">
        <v>474</v>
      </c>
      <c r="Y26" s="2847"/>
      <c r="Z26" s="2847"/>
      <c r="AA26" s="2847"/>
      <c r="AB26" s="2847"/>
      <c r="AC26" s="2847"/>
      <c r="AD26" s="2847"/>
      <c r="AE26" s="2847"/>
      <c r="AF26" s="2847"/>
      <c r="AG26" s="2847"/>
      <c r="AH26" s="2848"/>
      <c r="AI26" s="2843" t="s">
        <v>269</v>
      </c>
      <c r="AJ26" s="2844"/>
      <c r="AK26" s="2844"/>
      <c r="AL26" s="2844"/>
      <c r="AM26" s="2844"/>
      <c r="AN26" s="2844"/>
      <c r="AO26" s="2844"/>
      <c r="AP26" s="2844"/>
      <c r="AQ26" s="2844"/>
      <c r="AR26" s="2844"/>
      <c r="AS26" s="2849"/>
    </row>
    <row r="27" spans="2:45" s="773" customFormat="1" ht="20.100000000000001" customHeight="1">
      <c r="B27" s="2820" t="s">
        <v>1707</v>
      </c>
      <c r="C27" s="2821"/>
      <c r="D27" s="2821"/>
      <c r="E27" s="2821"/>
      <c r="F27" s="2821"/>
      <c r="G27" s="2821"/>
      <c r="H27" s="2821"/>
      <c r="I27" s="2821"/>
      <c r="J27" s="2821"/>
      <c r="K27" s="2821"/>
      <c r="L27" s="2822"/>
      <c r="M27" s="2826" t="s">
        <v>1708</v>
      </c>
      <c r="N27" s="2827"/>
      <c r="O27" s="2827"/>
      <c r="P27" s="2827"/>
      <c r="Q27" s="2827"/>
      <c r="R27" s="2827"/>
      <c r="S27" s="2827"/>
      <c r="T27" s="2827"/>
      <c r="U27" s="2827"/>
      <c r="V27" s="2827"/>
      <c r="W27" s="2828"/>
      <c r="X27" s="2826" t="s">
        <v>1709</v>
      </c>
      <c r="Y27" s="2827"/>
      <c r="Z27" s="2827"/>
      <c r="AA27" s="2827"/>
      <c r="AB27" s="2827"/>
      <c r="AC27" s="2827"/>
      <c r="AD27" s="2827"/>
      <c r="AE27" s="2827"/>
      <c r="AF27" s="2827"/>
      <c r="AG27" s="2827"/>
      <c r="AH27" s="2828"/>
      <c r="AI27" s="2832" t="s">
        <v>1710</v>
      </c>
      <c r="AJ27" s="2833"/>
      <c r="AK27" s="2833"/>
      <c r="AL27" s="2833"/>
      <c r="AM27" s="2833"/>
      <c r="AN27" s="2833"/>
      <c r="AO27" s="2833"/>
      <c r="AP27" s="2833"/>
      <c r="AQ27" s="2833"/>
      <c r="AR27" s="2833"/>
      <c r="AS27" s="2834"/>
    </row>
    <row r="28" spans="2:45" s="773" customFormat="1" ht="20.100000000000001" customHeight="1" thickBot="1">
      <c r="B28" s="2823"/>
      <c r="C28" s="2824"/>
      <c r="D28" s="2824"/>
      <c r="E28" s="2824"/>
      <c r="F28" s="2824"/>
      <c r="G28" s="2824"/>
      <c r="H28" s="2824"/>
      <c r="I28" s="2824"/>
      <c r="J28" s="2824"/>
      <c r="K28" s="2824"/>
      <c r="L28" s="2825"/>
      <c r="M28" s="2829"/>
      <c r="N28" s="2830"/>
      <c r="O28" s="2830"/>
      <c r="P28" s="2830"/>
      <c r="Q28" s="2830"/>
      <c r="R28" s="2830"/>
      <c r="S28" s="2830"/>
      <c r="T28" s="2830"/>
      <c r="U28" s="2830"/>
      <c r="V28" s="2830"/>
      <c r="W28" s="2831"/>
      <c r="X28" s="2829"/>
      <c r="Y28" s="2830"/>
      <c r="Z28" s="2830"/>
      <c r="AA28" s="2830"/>
      <c r="AB28" s="2830"/>
      <c r="AC28" s="2830"/>
      <c r="AD28" s="2830"/>
      <c r="AE28" s="2830"/>
      <c r="AF28" s="2830"/>
      <c r="AG28" s="2830"/>
      <c r="AH28" s="2831"/>
      <c r="AI28" s="2835"/>
      <c r="AJ28" s="2836"/>
      <c r="AK28" s="2836"/>
      <c r="AL28" s="2836"/>
      <c r="AM28" s="2836"/>
      <c r="AN28" s="2836"/>
      <c r="AO28" s="2836"/>
      <c r="AP28" s="2836"/>
      <c r="AQ28" s="2836"/>
      <c r="AR28" s="2836"/>
      <c r="AS28" s="2837"/>
    </row>
    <row r="29" spans="2:45" ht="24.95" customHeight="1">
      <c r="B29" s="2812" t="s">
        <v>2220</v>
      </c>
      <c r="C29" s="2813"/>
      <c r="D29" s="2813"/>
      <c r="E29" s="2813"/>
      <c r="F29" s="2813"/>
      <c r="G29" s="2813"/>
      <c r="H29" s="2813"/>
      <c r="I29" s="2813"/>
      <c r="J29" s="2813"/>
      <c r="K29" s="2813"/>
      <c r="L29" s="2814"/>
      <c r="M29" s="2815" t="s">
        <v>2226</v>
      </c>
      <c r="N29" s="2813"/>
      <c r="O29" s="2813"/>
      <c r="P29" s="2813"/>
      <c r="Q29" s="2813"/>
      <c r="R29" s="2813"/>
      <c r="S29" s="2813"/>
      <c r="T29" s="2813"/>
      <c r="U29" s="2813"/>
      <c r="V29" s="2813"/>
      <c r="W29" s="2814"/>
      <c r="X29" s="2816">
        <v>7500</v>
      </c>
      <c r="Y29" s="2817"/>
      <c r="Z29" s="2817"/>
      <c r="AA29" s="2817"/>
      <c r="AB29" s="2817"/>
      <c r="AC29" s="2817"/>
      <c r="AD29" s="2817"/>
      <c r="AE29" s="2817"/>
      <c r="AF29" s="2817"/>
      <c r="AG29" s="2817"/>
      <c r="AH29" s="2818"/>
      <c r="AI29" s="2815" t="s">
        <v>403</v>
      </c>
      <c r="AJ29" s="2813"/>
      <c r="AK29" s="2813"/>
      <c r="AL29" s="2813"/>
      <c r="AM29" s="2813"/>
      <c r="AN29" s="2813"/>
      <c r="AO29" s="2813"/>
      <c r="AP29" s="2813"/>
      <c r="AQ29" s="2813"/>
      <c r="AR29" s="2813"/>
      <c r="AS29" s="2819"/>
    </row>
    <row r="30" spans="2:45" ht="24.95" customHeight="1">
      <c r="B30" s="2804"/>
      <c r="C30" s="2805"/>
      <c r="D30" s="2805"/>
      <c r="E30" s="2805"/>
      <c r="F30" s="2805"/>
      <c r="G30" s="2805"/>
      <c r="H30" s="2805"/>
      <c r="I30" s="2805"/>
      <c r="J30" s="2805"/>
      <c r="K30" s="2805"/>
      <c r="L30" s="2806"/>
      <c r="M30" s="2807"/>
      <c r="N30" s="2805"/>
      <c r="O30" s="2805"/>
      <c r="P30" s="2805"/>
      <c r="Q30" s="2805"/>
      <c r="R30" s="2805"/>
      <c r="S30" s="2805"/>
      <c r="T30" s="2805"/>
      <c r="U30" s="2805"/>
      <c r="V30" s="2805"/>
      <c r="W30" s="2806"/>
      <c r="X30" s="2808"/>
      <c r="Y30" s="2809"/>
      <c r="Z30" s="2809"/>
      <c r="AA30" s="2809"/>
      <c r="AB30" s="2809"/>
      <c r="AC30" s="2809"/>
      <c r="AD30" s="2809"/>
      <c r="AE30" s="2809"/>
      <c r="AF30" s="2809"/>
      <c r="AG30" s="2809"/>
      <c r="AH30" s="2810"/>
      <c r="AI30" s="2807"/>
      <c r="AJ30" s="2805"/>
      <c r="AK30" s="2805"/>
      <c r="AL30" s="2805"/>
      <c r="AM30" s="2805"/>
      <c r="AN30" s="2805"/>
      <c r="AO30" s="2805"/>
      <c r="AP30" s="2805"/>
      <c r="AQ30" s="2805"/>
      <c r="AR30" s="2805"/>
      <c r="AS30" s="2811"/>
    </row>
    <row r="31" spans="2:45" ht="24.95" customHeight="1">
      <c r="B31" s="2804"/>
      <c r="C31" s="2805"/>
      <c r="D31" s="2805"/>
      <c r="E31" s="2805"/>
      <c r="F31" s="2805"/>
      <c r="G31" s="2805"/>
      <c r="H31" s="2805"/>
      <c r="I31" s="2805"/>
      <c r="J31" s="2805"/>
      <c r="K31" s="2805"/>
      <c r="L31" s="2806"/>
      <c r="M31" s="2807"/>
      <c r="N31" s="2805"/>
      <c r="O31" s="2805"/>
      <c r="P31" s="2805"/>
      <c r="Q31" s="2805"/>
      <c r="R31" s="2805"/>
      <c r="S31" s="2805"/>
      <c r="T31" s="2805"/>
      <c r="U31" s="2805"/>
      <c r="V31" s="2805"/>
      <c r="W31" s="2806"/>
      <c r="X31" s="2808"/>
      <c r="Y31" s="2809"/>
      <c r="Z31" s="2809"/>
      <c r="AA31" s="2809"/>
      <c r="AB31" s="2809"/>
      <c r="AC31" s="2809"/>
      <c r="AD31" s="2809"/>
      <c r="AE31" s="2809"/>
      <c r="AF31" s="2809"/>
      <c r="AG31" s="2809"/>
      <c r="AH31" s="2810"/>
      <c r="AI31" s="2807"/>
      <c r="AJ31" s="2805"/>
      <c r="AK31" s="2805"/>
      <c r="AL31" s="2805"/>
      <c r="AM31" s="2805"/>
      <c r="AN31" s="2805"/>
      <c r="AO31" s="2805"/>
      <c r="AP31" s="2805"/>
      <c r="AQ31" s="2805"/>
      <c r="AR31" s="2805"/>
      <c r="AS31" s="2811"/>
    </row>
    <row r="32" spans="2:45" ht="24.95" customHeight="1">
      <c r="B32" s="2804"/>
      <c r="C32" s="2805"/>
      <c r="D32" s="2805"/>
      <c r="E32" s="2805"/>
      <c r="F32" s="2805"/>
      <c r="G32" s="2805"/>
      <c r="H32" s="2805"/>
      <c r="I32" s="2805"/>
      <c r="J32" s="2805"/>
      <c r="K32" s="2805"/>
      <c r="L32" s="2806"/>
      <c r="M32" s="2807"/>
      <c r="N32" s="2805"/>
      <c r="O32" s="2805"/>
      <c r="P32" s="2805"/>
      <c r="Q32" s="2805"/>
      <c r="R32" s="2805"/>
      <c r="S32" s="2805"/>
      <c r="T32" s="2805"/>
      <c r="U32" s="2805"/>
      <c r="V32" s="2805"/>
      <c r="W32" s="2806"/>
      <c r="X32" s="2808"/>
      <c r="Y32" s="2809"/>
      <c r="Z32" s="2809"/>
      <c r="AA32" s="2809"/>
      <c r="AB32" s="2809"/>
      <c r="AC32" s="2809"/>
      <c r="AD32" s="2809"/>
      <c r="AE32" s="2809"/>
      <c r="AF32" s="2809"/>
      <c r="AG32" s="2809"/>
      <c r="AH32" s="2810"/>
      <c r="AI32" s="2807"/>
      <c r="AJ32" s="2805"/>
      <c r="AK32" s="2805"/>
      <c r="AL32" s="2805"/>
      <c r="AM32" s="2805"/>
      <c r="AN32" s="2805"/>
      <c r="AO32" s="2805"/>
      <c r="AP32" s="2805"/>
      <c r="AQ32" s="2805"/>
      <c r="AR32" s="2805"/>
      <c r="AS32" s="2811"/>
    </row>
    <row r="33" spans="2:46" ht="24.95" customHeight="1" thickBot="1">
      <c r="B33" s="2792"/>
      <c r="C33" s="2793"/>
      <c r="D33" s="2793"/>
      <c r="E33" s="2793"/>
      <c r="F33" s="2793"/>
      <c r="G33" s="2793"/>
      <c r="H33" s="2793"/>
      <c r="I33" s="2793"/>
      <c r="J33" s="2793"/>
      <c r="K33" s="2793"/>
      <c r="L33" s="2794"/>
      <c r="M33" s="2795"/>
      <c r="N33" s="2793"/>
      <c r="O33" s="2793"/>
      <c r="P33" s="2793"/>
      <c r="Q33" s="2793"/>
      <c r="R33" s="2793"/>
      <c r="S33" s="2793"/>
      <c r="T33" s="2793"/>
      <c r="U33" s="2793"/>
      <c r="V33" s="2793"/>
      <c r="W33" s="2794"/>
      <c r="X33" s="2796"/>
      <c r="Y33" s="2797"/>
      <c r="Z33" s="2797"/>
      <c r="AA33" s="2797"/>
      <c r="AB33" s="2797"/>
      <c r="AC33" s="2797"/>
      <c r="AD33" s="2797"/>
      <c r="AE33" s="2797"/>
      <c r="AF33" s="2797"/>
      <c r="AG33" s="2797"/>
      <c r="AH33" s="2798"/>
      <c r="AI33" s="2799"/>
      <c r="AJ33" s="2800"/>
      <c r="AK33" s="2800"/>
      <c r="AL33" s="2800"/>
      <c r="AM33" s="2800"/>
      <c r="AN33" s="2800"/>
      <c r="AO33" s="2800"/>
      <c r="AP33" s="2800"/>
      <c r="AQ33" s="2800"/>
      <c r="AR33" s="2800"/>
      <c r="AS33" s="2801"/>
    </row>
    <row r="34" spans="2:46" ht="20.45" customHeight="1">
      <c r="B34" s="2803" t="str" cm="1">
        <f t="array" ref="B34">IF(AND(sch_intercon_isp_subscribe_yes=FALSE,OR((combo_avemontlyexpense_typesofinternet1&gt;0),(combo_avemontlyexpense_typesofinternet2&gt;0),(combo_avemontlyexpense_typesofinternet3&gt;0),(combo_avemontlyexpense_typesofinternet4&gt;0), (combo_avemontlyexpense_typesofinternet5&gt;0),(combo_avemonthlyexpense_internetserviceprovider1&gt;0), (combo_avemonthlyexpense_internetserviceprovider2&gt;0),(combo_avemonthlyexpense_internetserviceprovider3&gt;0),(combo_avemonthlyexpense_internetserviceprovider4&gt;0),(combo_avemonthlyexpense_internetserviceprovider5&gt;0),(sch_internet_avemonthlyexpense1&gt;0),(sch_internet_avemonthlyexpense2&gt;0),(sch_internet_avemonthlyexpense3&gt;0),(sch_internet_avemonthlyexpense4&gt;0),(sch_internet_avemonthlyexpense5&gt;0),(combo_avemonthlyexpense_fundingsource1&gt;0),(combo_avemonthlyexpense_fundingsource2&gt;0),(combo_avemonthlyexpense_fundingsource3&gt;0),(combo_avemonthlyexpense_fundingsource4&gt;0),(combo_avemonthlyexpense_fundingsource5&gt;0))),"Please check Yes in Box 7 Item number 2 if you have entries in Table 24.","")</f>
        <v/>
      </c>
      <c r="C34" s="2803"/>
      <c r="D34" s="2803"/>
      <c r="E34" s="2803"/>
      <c r="F34" s="2803"/>
      <c r="G34" s="2803"/>
      <c r="H34" s="2803"/>
      <c r="I34" s="2803"/>
      <c r="J34" s="2803"/>
      <c r="K34" s="2803"/>
      <c r="L34" s="2803"/>
      <c r="M34" s="2803"/>
      <c r="N34" s="2803"/>
      <c r="O34" s="2803"/>
      <c r="P34" s="2803"/>
      <c r="Q34" s="2803"/>
      <c r="R34" s="2803"/>
      <c r="S34" s="2803"/>
      <c r="T34" s="2803"/>
      <c r="U34" s="2803"/>
      <c r="V34" s="2803"/>
      <c r="W34" s="2803"/>
      <c r="X34" s="2803"/>
      <c r="Y34" s="2803"/>
      <c r="Z34" s="2803"/>
      <c r="AA34" s="2803"/>
      <c r="AB34" s="2803"/>
      <c r="AC34" s="2803"/>
      <c r="AD34" s="2803"/>
      <c r="AE34" s="2803"/>
      <c r="AF34" s="2803"/>
      <c r="AG34" s="2803"/>
      <c r="AH34" s="2803"/>
      <c r="AI34" s="2803"/>
      <c r="AJ34" s="2803"/>
      <c r="AK34" s="2803"/>
      <c r="AL34" s="2803"/>
      <c r="AM34" s="2803"/>
      <c r="AN34" s="2803"/>
      <c r="AO34" s="2803"/>
      <c r="AP34" s="2803"/>
      <c r="AQ34" s="2803"/>
      <c r="AR34" s="2803"/>
      <c r="AS34" s="2803"/>
    </row>
    <row r="35" spans="2:46" s="347" customFormat="1">
      <c r="B35" s="2713" t="s">
        <v>1672</v>
      </c>
      <c r="C35" s="2713"/>
      <c r="D35" s="2713"/>
      <c r="E35" s="2713"/>
      <c r="F35" s="2713"/>
      <c r="G35" s="2713"/>
      <c r="H35" s="2713"/>
      <c r="I35" s="2713"/>
      <c r="J35" s="2713"/>
      <c r="K35" s="2713"/>
      <c r="L35" s="2713"/>
      <c r="M35" s="2713"/>
      <c r="N35" s="2713"/>
      <c r="O35" s="2713"/>
      <c r="P35" s="2713"/>
      <c r="Q35" s="2713"/>
      <c r="R35" s="2713"/>
      <c r="S35" s="2713"/>
      <c r="T35" s="2713"/>
      <c r="U35" s="2713"/>
      <c r="V35" s="2713"/>
      <c r="W35" s="2713"/>
      <c r="X35" s="2713"/>
      <c r="Y35" s="2713"/>
      <c r="Z35" s="2713"/>
      <c r="AA35" s="2713"/>
      <c r="AB35" s="2713"/>
      <c r="AC35" s="2713"/>
      <c r="AD35" s="2713"/>
      <c r="AE35" s="2713"/>
      <c r="AF35" s="2713"/>
      <c r="AG35" s="2713"/>
      <c r="AH35" s="2713"/>
      <c r="AI35" s="2713"/>
      <c r="AJ35" s="2713"/>
      <c r="AK35" s="2713"/>
      <c r="AL35" s="2713"/>
      <c r="AM35" s="2713"/>
      <c r="AN35" s="2713"/>
      <c r="AO35" s="2713"/>
      <c r="AP35" s="2713"/>
      <c r="AQ35" s="2713"/>
      <c r="AR35" s="2713"/>
      <c r="AS35" s="2713"/>
    </row>
    <row r="36" spans="2:46" s="347" customFormat="1">
      <c r="B36" s="2716" t="s">
        <v>475</v>
      </c>
      <c r="C36" s="2716"/>
      <c r="D36" s="2716"/>
      <c r="E36" s="2716"/>
      <c r="F36" s="2716"/>
      <c r="G36" s="2716"/>
      <c r="H36" s="2716"/>
      <c r="I36" s="2716"/>
      <c r="J36" s="2716"/>
      <c r="K36" s="2716"/>
      <c r="L36" s="2716"/>
      <c r="M36" s="2716"/>
      <c r="N36" s="2716"/>
      <c r="O36" s="2716"/>
      <c r="P36" s="2716"/>
      <c r="Q36" s="2716"/>
      <c r="R36" s="2716"/>
      <c r="S36" s="2716"/>
      <c r="T36" s="2716"/>
      <c r="U36" s="2716"/>
      <c r="V36" s="2716"/>
      <c r="W36" s="2716"/>
      <c r="X36" s="2716"/>
      <c r="Y36" s="2716"/>
      <c r="Z36" s="2716"/>
      <c r="AA36" s="2716"/>
      <c r="AB36" s="2716"/>
      <c r="AC36" s="2716"/>
      <c r="AD36" s="2716"/>
      <c r="AE36" s="2716"/>
      <c r="AF36" s="2716"/>
      <c r="AG36" s="2716"/>
      <c r="AH36" s="2716"/>
      <c r="AI36" s="2716"/>
      <c r="AJ36" s="2716"/>
      <c r="AK36" s="2716"/>
      <c r="AL36" s="2716"/>
      <c r="AM36" s="2716"/>
      <c r="AN36" s="2716"/>
      <c r="AO36" s="2716"/>
      <c r="AP36" s="2716"/>
      <c r="AQ36" s="2716"/>
      <c r="AR36" s="2716"/>
      <c r="AS36" s="2716"/>
    </row>
    <row r="37" spans="2:46" s="347" customFormat="1">
      <c r="B37" s="2716" t="s">
        <v>476</v>
      </c>
      <c r="C37" s="2716"/>
      <c r="D37" s="2716"/>
      <c r="E37" s="2716"/>
      <c r="F37" s="2716"/>
      <c r="G37" s="2716"/>
      <c r="H37" s="2716"/>
      <c r="I37" s="2716"/>
      <c r="J37" s="2716"/>
      <c r="K37" s="2716"/>
      <c r="L37" s="2716"/>
      <c r="M37" s="2716"/>
      <c r="N37" s="2716"/>
      <c r="O37" s="2716"/>
      <c r="P37" s="2716"/>
      <c r="Q37" s="2716"/>
      <c r="R37" s="2716"/>
      <c r="S37" s="2716"/>
      <c r="T37" s="2716"/>
      <c r="U37" s="2716"/>
      <c r="V37" s="2716"/>
      <c r="W37" s="2716"/>
      <c r="X37" s="2716"/>
      <c r="Y37" s="2716"/>
      <c r="Z37" s="2716"/>
      <c r="AA37" s="2716"/>
      <c r="AB37" s="2716"/>
      <c r="AC37" s="2716"/>
      <c r="AD37" s="2716"/>
      <c r="AE37" s="2716"/>
      <c r="AF37" s="2716"/>
      <c r="AG37" s="2716"/>
      <c r="AH37" s="2716"/>
      <c r="AI37" s="2716"/>
      <c r="AJ37" s="2716"/>
      <c r="AK37" s="2716"/>
      <c r="AL37" s="2716"/>
      <c r="AM37" s="2716"/>
      <c r="AN37" s="2716"/>
      <c r="AO37" s="2716"/>
      <c r="AP37" s="2716"/>
      <c r="AQ37" s="2716"/>
      <c r="AR37" s="2716"/>
      <c r="AS37" s="2716"/>
    </row>
    <row r="38" spans="2:46" s="347" customFormat="1">
      <c r="B38" s="2716" t="s">
        <v>477</v>
      </c>
      <c r="C38" s="2716"/>
      <c r="D38" s="2716"/>
      <c r="E38" s="2716"/>
      <c r="F38" s="2716"/>
      <c r="G38" s="2716"/>
      <c r="H38" s="2716"/>
      <c r="I38" s="2716"/>
      <c r="J38" s="2716"/>
      <c r="K38" s="2716"/>
      <c r="L38" s="2716"/>
      <c r="M38" s="2716"/>
      <c r="N38" s="2716"/>
      <c r="O38" s="2716"/>
      <c r="P38" s="2716"/>
      <c r="Q38" s="2716"/>
      <c r="R38" s="2716"/>
      <c r="S38" s="2716"/>
      <c r="T38" s="2716"/>
      <c r="U38" s="2716"/>
      <c r="V38" s="2716"/>
      <c r="W38" s="2716"/>
      <c r="X38" s="2716"/>
      <c r="Y38" s="2716"/>
      <c r="Z38" s="2716"/>
      <c r="AA38" s="2716"/>
      <c r="AB38" s="2716"/>
      <c r="AC38" s="2716"/>
      <c r="AD38" s="2716"/>
      <c r="AE38" s="2716"/>
      <c r="AF38" s="2716"/>
      <c r="AG38" s="2716"/>
      <c r="AH38" s="2716"/>
      <c r="AI38" s="2716"/>
      <c r="AJ38" s="2716"/>
      <c r="AK38" s="2716"/>
      <c r="AL38" s="2716"/>
      <c r="AM38" s="2716"/>
      <c r="AN38" s="2716"/>
      <c r="AO38" s="2716"/>
      <c r="AP38" s="2716"/>
      <c r="AQ38" s="2716"/>
      <c r="AR38" s="2716"/>
      <c r="AS38" s="2716"/>
    </row>
    <row r="39" spans="2:46" s="347" customFormat="1">
      <c r="B39" s="2716" t="s">
        <v>478</v>
      </c>
      <c r="C39" s="2716"/>
      <c r="D39" s="2716"/>
      <c r="E39" s="2716"/>
      <c r="F39" s="2716"/>
      <c r="G39" s="2716"/>
      <c r="H39" s="2716"/>
      <c r="I39" s="2716"/>
      <c r="J39" s="2716"/>
      <c r="K39" s="2716"/>
      <c r="L39" s="2716"/>
      <c r="M39" s="2716"/>
      <c r="N39" s="2716"/>
      <c r="O39" s="2716"/>
      <c r="P39" s="2716"/>
      <c r="Q39" s="2716"/>
      <c r="R39" s="2716"/>
      <c r="S39" s="2716"/>
      <c r="T39" s="2716"/>
      <c r="U39" s="2716"/>
      <c r="V39" s="2716"/>
      <c r="W39" s="2716"/>
      <c r="X39" s="2716"/>
      <c r="Y39" s="2716"/>
      <c r="Z39" s="2716"/>
      <c r="AA39" s="2716"/>
      <c r="AB39" s="2716"/>
      <c r="AC39" s="2716"/>
      <c r="AD39" s="2716"/>
      <c r="AE39" s="2716"/>
      <c r="AF39" s="2716"/>
      <c r="AG39" s="2716"/>
      <c r="AH39" s="2716"/>
      <c r="AI39" s="2716"/>
      <c r="AJ39" s="2716"/>
      <c r="AK39" s="2716"/>
      <c r="AL39" s="2716"/>
      <c r="AM39" s="2716"/>
      <c r="AN39" s="2716"/>
      <c r="AO39" s="2716"/>
      <c r="AP39" s="2716"/>
      <c r="AQ39" s="2716"/>
      <c r="AR39" s="2716"/>
      <c r="AS39" s="2716"/>
    </row>
    <row r="40" spans="2:46" s="347" customFormat="1">
      <c r="B40" s="2802" t="s">
        <v>1711</v>
      </c>
      <c r="C40" s="2802"/>
      <c r="D40" s="2802"/>
      <c r="E40" s="2802"/>
      <c r="F40" s="2802"/>
      <c r="G40" s="2802"/>
      <c r="H40" s="2802"/>
      <c r="I40" s="2802"/>
      <c r="J40" s="2802"/>
      <c r="K40" s="2802"/>
      <c r="L40" s="2802"/>
      <c r="M40" s="2802"/>
      <c r="N40" s="2802"/>
      <c r="O40" s="2802"/>
      <c r="P40" s="2802"/>
      <c r="Q40" s="2802"/>
      <c r="R40" s="2802"/>
      <c r="S40" s="2802"/>
      <c r="T40" s="2802"/>
      <c r="U40" s="2802"/>
      <c r="V40" s="2802"/>
      <c r="W40" s="2802"/>
      <c r="X40" s="2802"/>
      <c r="Y40" s="2802"/>
      <c r="Z40" s="2802"/>
      <c r="AA40" s="2802"/>
      <c r="AB40" s="2802"/>
      <c r="AC40" s="2802"/>
      <c r="AD40" s="2802"/>
      <c r="AE40" s="2802"/>
      <c r="AF40" s="2802"/>
      <c r="AG40" s="2802"/>
      <c r="AH40" s="2802"/>
      <c r="AI40" s="2802"/>
      <c r="AJ40" s="2802"/>
      <c r="AK40" s="2802"/>
      <c r="AL40" s="2802"/>
      <c r="AM40" s="2802"/>
      <c r="AN40" s="2802"/>
      <c r="AO40" s="2802"/>
      <c r="AP40" s="2802"/>
      <c r="AQ40" s="2802"/>
      <c r="AR40" s="2802"/>
      <c r="AS40" s="2802"/>
    </row>
    <row r="41" spans="2:46" s="347" customFormat="1">
      <c r="B41" s="2802" t="s">
        <v>1712</v>
      </c>
      <c r="C41" s="2802"/>
      <c r="D41" s="2802"/>
      <c r="E41" s="2802"/>
      <c r="F41" s="2802"/>
      <c r="G41" s="2802"/>
      <c r="H41" s="2802"/>
      <c r="I41" s="2802"/>
      <c r="J41" s="2802"/>
      <c r="K41" s="2802"/>
      <c r="L41" s="2802"/>
      <c r="M41" s="2802"/>
      <c r="N41" s="2802"/>
      <c r="O41" s="2802"/>
      <c r="P41" s="2802"/>
      <c r="Q41" s="2802"/>
      <c r="R41" s="2802"/>
      <c r="S41" s="2802"/>
      <c r="T41" s="2802"/>
      <c r="U41" s="2802"/>
      <c r="V41" s="2802"/>
      <c r="W41" s="2802"/>
      <c r="X41" s="2802"/>
      <c r="Y41" s="2802"/>
      <c r="Z41" s="2802"/>
      <c r="AA41" s="2802"/>
      <c r="AB41" s="2802"/>
      <c r="AC41" s="2802"/>
      <c r="AD41" s="2802"/>
      <c r="AE41" s="2802"/>
      <c r="AF41" s="2802"/>
      <c r="AG41" s="2802"/>
      <c r="AH41" s="2802"/>
      <c r="AI41" s="2802"/>
      <c r="AJ41" s="2802"/>
      <c r="AK41" s="2802"/>
      <c r="AL41" s="2802"/>
      <c r="AM41" s="2802"/>
      <c r="AN41" s="2802"/>
      <c r="AO41" s="2802"/>
      <c r="AP41" s="2802"/>
      <c r="AQ41" s="2802"/>
      <c r="AR41" s="2802"/>
      <c r="AS41" s="2802"/>
    </row>
    <row r="42" spans="2:46" s="347" customFormat="1">
      <c r="B42" s="774"/>
      <c r="C42" s="774"/>
      <c r="D42" s="774"/>
      <c r="E42" s="774"/>
      <c r="F42" s="774"/>
      <c r="G42" s="774"/>
      <c r="H42" s="774"/>
      <c r="I42" s="774"/>
      <c r="J42" s="774"/>
      <c r="K42" s="774"/>
      <c r="L42" s="774"/>
      <c r="M42" s="774"/>
      <c r="N42" s="774"/>
      <c r="O42" s="774"/>
      <c r="P42" s="774"/>
      <c r="Q42" s="774"/>
      <c r="R42" s="774"/>
      <c r="S42" s="774"/>
      <c r="T42" s="774"/>
      <c r="U42" s="774"/>
      <c r="V42" s="774"/>
      <c r="W42" s="774"/>
      <c r="X42" s="774"/>
      <c r="Y42" s="774"/>
      <c r="Z42" s="774"/>
      <c r="AA42" s="774"/>
      <c r="AB42" s="774"/>
      <c r="AC42" s="774"/>
      <c r="AD42" s="774"/>
      <c r="AE42" s="774"/>
      <c r="AF42" s="774"/>
      <c r="AG42" s="774"/>
      <c r="AH42" s="774"/>
      <c r="AI42" s="774"/>
      <c r="AJ42" s="774"/>
      <c r="AK42" s="774"/>
      <c r="AL42" s="774"/>
      <c r="AM42" s="774"/>
      <c r="AN42" s="774"/>
      <c r="AO42" s="774"/>
      <c r="AP42" s="774"/>
      <c r="AQ42" s="774"/>
      <c r="AR42" s="774"/>
      <c r="AS42" s="774"/>
    </row>
    <row r="43" spans="2:46" s="240" customFormat="1" ht="17.25">
      <c r="B43" s="2791" t="s">
        <v>11360</v>
      </c>
      <c r="C43" s="2791"/>
      <c r="D43" s="2791"/>
      <c r="E43" s="2791"/>
      <c r="F43" s="2791"/>
      <c r="G43" s="2791"/>
      <c r="H43" s="2791"/>
      <c r="I43" s="2791"/>
      <c r="J43" s="2791"/>
      <c r="K43" s="2791"/>
      <c r="L43" s="2791"/>
      <c r="M43" s="2791"/>
      <c r="N43" s="2791"/>
      <c r="O43" s="2791"/>
      <c r="P43" s="2791"/>
      <c r="Q43" s="2791"/>
      <c r="R43" s="2791"/>
      <c r="S43" s="2791"/>
      <c r="T43" s="2791"/>
      <c r="U43" s="2791"/>
      <c r="V43" s="2791"/>
      <c r="W43" s="2791"/>
      <c r="X43" s="2791"/>
      <c r="Y43" s="2791"/>
      <c r="Z43" s="2791"/>
      <c r="AA43" s="2791"/>
      <c r="AB43" s="2791"/>
      <c r="AC43" s="2791"/>
      <c r="AD43" s="2791"/>
      <c r="AE43" s="2791"/>
      <c r="AF43" s="2791"/>
      <c r="AG43" s="2791"/>
      <c r="AH43" s="2791"/>
      <c r="AI43" s="2791"/>
      <c r="AJ43" s="2791"/>
      <c r="AK43" s="2791"/>
      <c r="AL43" s="2791"/>
      <c r="AM43" s="2791"/>
      <c r="AN43" s="2791"/>
      <c r="AO43" s="2791"/>
      <c r="AP43" s="2791"/>
      <c r="AQ43" s="2791"/>
      <c r="AR43" s="2791"/>
      <c r="AS43" s="2791"/>
    </row>
    <row r="44" spans="2:46" s="240" customFormat="1" ht="30.75" customHeight="1">
      <c r="B44" s="274"/>
      <c r="C44" s="274"/>
      <c r="D44" s="274"/>
    </row>
    <row r="45" spans="2:46" s="263" customFormat="1">
      <c r="B45" s="332" t="s">
        <v>32</v>
      </c>
      <c r="Q45" s="332" t="s">
        <v>444</v>
      </c>
      <c r="R45" s="332"/>
      <c r="AF45" s="332" t="s">
        <v>33</v>
      </c>
    </row>
    <row r="46" spans="2:46" s="263" customFormat="1" ht="21.75" customHeight="1">
      <c r="B46" s="332" t="s">
        <v>73</v>
      </c>
      <c r="F46" s="2790" t="str">
        <f>activesheet!E21</f>
        <v>MELCHESIEDICK Q. BOLANIO / March 17, 2023</v>
      </c>
      <c r="G46" s="2790"/>
      <c r="H46" s="2790"/>
      <c r="I46" s="2790"/>
      <c r="J46" s="2790"/>
      <c r="K46" s="2790"/>
      <c r="L46" s="2790"/>
      <c r="M46" s="2790"/>
      <c r="N46" s="2790"/>
      <c r="Q46" s="1819" t="str">
        <f>activesheet!E1922</f>
        <v>ANNE VALERIE KERSTEINE I. VILLANUEVA / March 17, 2023</v>
      </c>
      <c r="R46" s="1819"/>
      <c r="S46" s="1819"/>
      <c r="T46" s="1819"/>
      <c r="U46" s="1819"/>
      <c r="V46" s="1819"/>
      <c r="W46" s="1819"/>
      <c r="X46" s="1819"/>
      <c r="Y46" s="1819"/>
      <c r="Z46" s="1819"/>
      <c r="AA46" s="1819"/>
      <c r="AB46" s="1819"/>
      <c r="AC46" s="1819"/>
      <c r="AF46" s="1819" t="str">
        <f>activesheet!E25</f>
        <v>MICHAEL T. JAMIS / March 17, 2023</v>
      </c>
      <c r="AG46" s="1819"/>
      <c r="AH46" s="1819"/>
      <c r="AI46" s="1819"/>
      <c r="AJ46" s="1819"/>
      <c r="AK46" s="1819"/>
      <c r="AL46" s="1819"/>
      <c r="AM46" s="1819"/>
      <c r="AN46" s="1819"/>
      <c r="AO46" s="1819"/>
      <c r="AP46" s="1819"/>
      <c r="AQ46" s="1819"/>
      <c r="AR46" s="1819"/>
    </row>
    <row r="47" spans="2:46" s="280" customFormat="1">
      <c r="B47" s="228"/>
      <c r="F47" s="1811" t="s">
        <v>37</v>
      </c>
      <c r="G47" s="1811"/>
      <c r="H47" s="1811"/>
      <c r="I47" s="1811"/>
      <c r="J47" s="1811"/>
      <c r="K47" s="1811"/>
      <c r="L47" s="1811"/>
      <c r="M47" s="1811"/>
      <c r="N47" s="1811"/>
      <c r="O47" s="228"/>
      <c r="P47" s="228"/>
      <c r="Q47" s="1820"/>
      <c r="R47" s="1820"/>
      <c r="S47" s="1820"/>
      <c r="T47" s="1820"/>
      <c r="U47" s="1820"/>
      <c r="V47" s="1820"/>
      <c r="W47" s="1820"/>
      <c r="X47" s="1820"/>
      <c r="Y47" s="1820"/>
      <c r="Z47" s="1820"/>
      <c r="AA47" s="1820"/>
      <c r="AB47" s="1820"/>
      <c r="AC47" s="1820"/>
      <c r="AD47" s="263"/>
      <c r="AE47" s="263"/>
      <c r="AF47" s="1820"/>
      <c r="AG47" s="1820"/>
      <c r="AH47" s="1820"/>
      <c r="AI47" s="1820"/>
      <c r="AJ47" s="1820"/>
      <c r="AK47" s="1820"/>
      <c r="AL47" s="1820"/>
      <c r="AM47" s="1820"/>
      <c r="AN47" s="1820"/>
      <c r="AO47" s="1820"/>
      <c r="AP47" s="1820"/>
      <c r="AQ47" s="1820"/>
      <c r="AR47" s="1820"/>
      <c r="AS47" s="263"/>
      <c r="AT47" s="228"/>
    </row>
    <row r="48" spans="2:46" s="263" customFormat="1" ht="21.75" customHeight="1">
      <c r="B48" s="332" t="s">
        <v>58</v>
      </c>
      <c r="F48" s="2790" t="str">
        <f>activesheet!E22</f>
        <v>SECONDARY SCHOOL PRINCIPAL IV</v>
      </c>
      <c r="G48" s="2790"/>
      <c r="H48" s="2790"/>
      <c r="I48" s="2790"/>
      <c r="J48" s="2790"/>
      <c r="K48" s="2790"/>
      <c r="L48" s="2790"/>
      <c r="M48" s="2790"/>
      <c r="N48" s="2790"/>
      <c r="Q48" s="1811" t="s">
        <v>37</v>
      </c>
      <c r="R48" s="1811"/>
      <c r="S48" s="1811"/>
      <c r="T48" s="1811"/>
      <c r="U48" s="1811"/>
      <c r="V48" s="1811"/>
      <c r="W48" s="1811"/>
      <c r="X48" s="1811"/>
      <c r="Y48" s="1811"/>
      <c r="Z48" s="1811"/>
      <c r="AA48" s="1811"/>
      <c r="AB48" s="1811"/>
      <c r="AC48" s="1811"/>
      <c r="AD48" s="322"/>
      <c r="AE48" s="321"/>
      <c r="AF48" s="1811" t="s">
        <v>37</v>
      </c>
      <c r="AG48" s="1811"/>
      <c r="AH48" s="1811"/>
      <c r="AI48" s="1811"/>
      <c r="AJ48" s="1811"/>
      <c r="AK48" s="1811"/>
      <c r="AL48" s="1811"/>
      <c r="AM48" s="1811"/>
      <c r="AN48" s="1811"/>
      <c r="AO48" s="1811"/>
      <c r="AP48" s="1811"/>
      <c r="AQ48" s="1811"/>
      <c r="AR48" s="1811"/>
      <c r="AS48" s="228"/>
    </row>
    <row r="49" spans="13:45">
      <c r="M49" s="775"/>
      <c r="Q49" s="263"/>
      <c r="R49" s="263"/>
      <c r="S49" s="263"/>
      <c r="T49" s="263"/>
      <c r="U49" s="263"/>
      <c r="V49" s="263"/>
      <c r="W49" s="263"/>
      <c r="X49" s="263"/>
      <c r="Y49" s="263"/>
      <c r="Z49" s="263"/>
      <c r="AA49" s="263"/>
      <c r="AB49" s="263"/>
      <c r="AC49" s="263"/>
      <c r="AD49" s="263"/>
      <c r="AE49" s="263"/>
      <c r="AF49" s="263"/>
      <c r="AG49" s="263"/>
      <c r="AH49" s="263"/>
      <c r="AI49" s="263"/>
      <c r="AJ49" s="263"/>
      <c r="AK49" s="263"/>
      <c r="AL49" s="263"/>
      <c r="AM49" s="263"/>
      <c r="AN49" s="263"/>
      <c r="AO49" s="263"/>
      <c r="AP49" s="263"/>
      <c r="AQ49" s="263"/>
      <c r="AR49" s="263"/>
      <c r="AS49" s="263"/>
    </row>
  </sheetData>
  <sheetProtection algorithmName="SHA-512" hashValue="4/obzyJetuyoGcZZXYqQ2MK/bAQb3v0KfJGIZgUYfwmEVuxDOHLBZVDNq/ACagRzdl0Fofd8bkRMkKw/Vg+tog==" saltValue="dzoSO/NiVVpfLQgOZzN3gQ==" spinCount="100000" sheet="1" objects="1" scenarios="1"/>
  <customSheetViews>
    <customSheetView guid="{6EFEFCA0-BF14-457A-85A3-29CBF2A862A5}" showGridLines="0" fitToPage="1" topLeftCell="A31">
      <selection activeCell="X30" sqref="X30:AH30"/>
      <pageMargins left="0.23622047244094491" right="0.23622047244094491" top="0.19685039370078741" bottom="0.19685039370078741" header="0" footer="0.11811023622047245"/>
      <printOptions horizontalCentered="1" verticalCentered="1"/>
      <pageSetup paperSize="9" scale="64" orientation="landscape" r:id="rId1"/>
      <headerFooter>
        <oddFooter>&amp;L&amp;10&amp;F &amp;A&amp;R&amp;10Page 19 of 61</oddFooter>
      </headerFooter>
    </customSheetView>
  </customSheetViews>
  <mergeCells count="51">
    <mergeCell ref="B27:L28"/>
    <mergeCell ref="M27:W28"/>
    <mergeCell ref="X27:AH28"/>
    <mergeCell ref="AI27:AS28"/>
    <mergeCell ref="AF8:AK8"/>
    <mergeCell ref="K16:P16"/>
    <mergeCell ref="X16:AC16"/>
    <mergeCell ref="AK16:AP16"/>
    <mergeCell ref="K17:P17"/>
    <mergeCell ref="X17:AC17"/>
    <mergeCell ref="B22:AS22"/>
    <mergeCell ref="B26:L26"/>
    <mergeCell ref="M26:W26"/>
    <mergeCell ref="X26:AH26"/>
    <mergeCell ref="AI26:AS26"/>
    <mergeCell ref="B29:L29"/>
    <mergeCell ref="M29:W29"/>
    <mergeCell ref="X29:AH29"/>
    <mergeCell ref="AI29:AS29"/>
    <mergeCell ref="B30:L30"/>
    <mergeCell ref="M30:W30"/>
    <mergeCell ref="X30:AH30"/>
    <mergeCell ref="AI30:AS30"/>
    <mergeCell ref="B31:L31"/>
    <mergeCell ref="M31:W31"/>
    <mergeCell ref="X31:AH31"/>
    <mergeCell ref="AI31:AS31"/>
    <mergeCell ref="B32:L32"/>
    <mergeCell ref="M32:W32"/>
    <mergeCell ref="X32:AH32"/>
    <mergeCell ref="AI32:AS32"/>
    <mergeCell ref="B43:AS43"/>
    <mergeCell ref="B33:L33"/>
    <mergeCell ref="M33:W33"/>
    <mergeCell ref="X33:AH33"/>
    <mergeCell ref="AI33:AS33"/>
    <mergeCell ref="B35:AS35"/>
    <mergeCell ref="B36:AS36"/>
    <mergeCell ref="B37:AS37"/>
    <mergeCell ref="B38:AS38"/>
    <mergeCell ref="B39:AS39"/>
    <mergeCell ref="B40:AS40"/>
    <mergeCell ref="B41:AS41"/>
    <mergeCell ref="B34:AS34"/>
    <mergeCell ref="F46:N46"/>
    <mergeCell ref="Q46:AC47"/>
    <mergeCell ref="AF46:AR47"/>
    <mergeCell ref="F47:N47"/>
    <mergeCell ref="F48:N48"/>
    <mergeCell ref="Q48:AC48"/>
    <mergeCell ref="AF48:AR48"/>
  </mergeCells>
  <conditionalFormatting sqref="G11">
    <cfRule type="expression" dxfId="67" priority="3">
      <formula>AND($AA$10=TRUE, OR($H$12=TRUE,$H$13=TRUE))</formula>
    </cfRule>
    <cfRule type="expression" dxfId="66" priority="6">
      <formula>IF($AA10=TRUE,TRUE, FALSE)</formula>
    </cfRule>
    <cfRule type="colorScale" priority="7">
      <colorScale>
        <cfvo type="min"/>
        <cfvo type="max"/>
        <color rgb="FFFF7128"/>
        <color rgb="FFFFEF9C"/>
      </colorScale>
    </cfRule>
    <cfRule type="colorScale" priority="8">
      <colorScale>
        <cfvo type="min"/>
        <cfvo type="max"/>
        <color rgb="FFFF7128"/>
        <color rgb="FFFFEF9C"/>
      </colorScale>
    </cfRule>
  </conditionalFormatting>
  <conditionalFormatting sqref="G6">
    <cfRule type="expression" dxfId="65" priority="1">
      <formula>AND($U$5=TRUE,OR($H$7=TRUE,$H$8=TRUE,$O$7=TRUE,$O$8=TRUE,$U$7=TRUE,$U$8=TRUE,$AA$7=TRUE,$AA$8=TRUE))</formula>
    </cfRule>
    <cfRule type="expression" dxfId="64" priority="5">
      <formula>IF($U5=TRUE, TRUE,FALSE)</formula>
    </cfRule>
  </conditionalFormatting>
  <conditionalFormatting sqref="H7">
    <cfRule type="expression" dxfId="63" priority="4" stopIfTrue="1">
      <formula>$G$6</formula>
    </cfRule>
  </conditionalFormatting>
  <dataValidations count="6">
    <dataValidation type="date" allowBlank="1" showInputMessage="1" showErrorMessage="1" errorTitle="GSHSP SY 2022-2023" error="Please enter date between January 1, 2022 and October 31, 2022 in M/D/YYYY or D/M/YYYY depending on your computer's date." sqref="K16:P16" xr:uid="{38BD9671-382C-467A-BC21-92500C09D7B2}">
      <formula1>44562</formula1>
      <formula2>44865</formula2>
    </dataValidation>
    <dataValidation type="time" allowBlank="1" showInputMessage="1" showErrorMessage="1" errorTitle="GSHSP SY 2021-2022" error="Please enter valid time in HH:MM:SS format (24hrs format)." sqref="K18:P20" xr:uid="{12E9F78D-AE45-4DFC-97CF-C817090A7365}">
      <formula1>0</formula1>
      <formula2>0.999988425925926</formula2>
    </dataValidation>
    <dataValidation type="whole" allowBlank="1" showInputMessage="1" showErrorMessage="1" errorTitle="GSHSP SY 2022-2023" error="Please enter valid number between 0-10,000." sqref="X16:AC17 AK16:AP16" xr:uid="{05ECB55B-B100-47B8-87FF-ED1D0153A483}">
      <formula1>0</formula1>
      <formula2>10000</formula2>
    </dataValidation>
    <dataValidation type="decimal" allowBlank="1" showInputMessage="1" showErrorMessage="1" errorTitle="GSHSP SY 2021-2022" error="Please enter valid number between 0-10,000." sqref="X18:AC20" xr:uid="{5450080B-9464-44F9-8E5C-CBFC2645E264}">
      <formula1>0</formula1>
      <formula2>10000</formula2>
    </dataValidation>
    <dataValidation type="time" allowBlank="1" showInputMessage="1" showErrorMessage="1" errorTitle="GSHSP SY 2022-2023" error="Please enter valid time in HH:MM:SS 24 hrs. format." sqref="K17:P17" xr:uid="{ECFB82B0-8EE5-4760-8C93-FFC0517EA2AE}">
      <formula1>0</formula1>
      <formula2>0.999988425925926</formula2>
    </dataValidation>
    <dataValidation type="decimal" allowBlank="1" showInputMessage="1" showErrorMessage="1" errorTitle="GSHSP SY 2022-2023" error="Please enter valid amount between 0-1,000,000.00." sqref="X29:AH33" xr:uid="{C2933B24-2BE1-47E3-8AEE-68CFFA5E5EEB}">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9" scale="64" orientation="landscape" r:id="rId2"/>
  <headerFooter>
    <oddFooter>&amp;L&amp;10&amp;F &amp;A&amp;R&amp;10Page 19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29697" r:id="rId5" name="Check Box 1">
              <controlPr defaultSize="0" autoFill="0" autoLine="0" autoPict="0">
                <anchor moveWithCells="1">
                  <from>
                    <xdr:col>20</xdr:col>
                    <xdr:colOff>28575</xdr:colOff>
                    <xdr:row>3</xdr:row>
                    <xdr:rowOff>66675</xdr:rowOff>
                  </from>
                  <to>
                    <xdr:col>21</xdr:col>
                    <xdr:colOff>38100</xdr:colOff>
                    <xdr:row>5</xdr:row>
                    <xdr:rowOff>9525</xdr:rowOff>
                  </to>
                </anchor>
              </controlPr>
            </control>
          </mc:Choice>
        </mc:AlternateContent>
        <mc:AlternateContent xmlns:mc="http://schemas.openxmlformats.org/markup-compatibility/2006">
          <mc:Choice Requires="x14">
            <control shapeId="29698" r:id="rId6" name="Check Box 2">
              <controlPr defaultSize="0" autoFill="0" autoLine="0" autoPict="0">
                <anchor moveWithCells="1">
                  <from>
                    <xdr:col>7</xdr:col>
                    <xdr:colOff>38100</xdr:colOff>
                    <xdr:row>6</xdr:row>
                    <xdr:rowOff>38100</xdr:rowOff>
                  </from>
                  <to>
                    <xdr:col>8</xdr:col>
                    <xdr:colOff>0</xdr:colOff>
                    <xdr:row>7</xdr:row>
                    <xdr:rowOff>0</xdr:rowOff>
                  </to>
                </anchor>
              </controlPr>
            </control>
          </mc:Choice>
        </mc:AlternateContent>
        <mc:AlternateContent xmlns:mc="http://schemas.openxmlformats.org/markup-compatibility/2006">
          <mc:Choice Requires="x14">
            <control shapeId="29699" r:id="rId7" name="Check Box 3">
              <controlPr defaultSize="0" autoFill="0" autoLine="0" autoPict="0">
                <anchor moveWithCells="1">
                  <from>
                    <xdr:col>7</xdr:col>
                    <xdr:colOff>28575</xdr:colOff>
                    <xdr:row>7</xdr:row>
                    <xdr:rowOff>38100</xdr:rowOff>
                  </from>
                  <to>
                    <xdr:col>8</xdr:col>
                    <xdr:colOff>9525</xdr:colOff>
                    <xdr:row>7</xdr:row>
                    <xdr:rowOff>238125</xdr:rowOff>
                  </to>
                </anchor>
              </controlPr>
            </control>
          </mc:Choice>
        </mc:AlternateContent>
        <mc:AlternateContent xmlns:mc="http://schemas.openxmlformats.org/markup-compatibility/2006">
          <mc:Choice Requires="x14">
            <control shapeId="29700" r:id="rId8" name="Check Box 4">
              <controlPr defaultSize="0" autoFill="0" autoLine="0" autoPict="0">
                <anchor moveWithCells="1">
                  <from>
                    <xdr:col>14</xdr:col>
                    <xdr:colOff>28575</xdr:colOff>
                    <xdr:row>6</xdr:row>
                    <xdr:rowOff>28575</xdr:rowOff>
                  </from>
                  <to>
                    <xdr:col>14</xdr:col>
                    <xdr:colOff>266700</xdr:colOff>
                    <xdr:row>6</xdr:row>
                    <xdr:rowOff>238125</xdr:rowOff>
                  </to>
                </anchor>
              </controlPr>
            </control>
          </mc:Choice>
        </mc:AlternateContent>
        <mc:AlternateContent xmlns:mc="http://schemas.openxmlformats.org/markup-compatibility/2006">
          <mc:Choice Requires="x14">
            <control shapeId="29701" r:id="rId9" name="Check Box 5">
              <controlPr defaultSize="0" autoFill="0" autoLine="0" autoPict="0">
                <anchor moveWithCells="1">
                  <from>
                    <xdr:col>14</xdr:col>
                    <xdr:colOff>28575</xdr:colOff>
                    <xdr:row>7</xdr:row>
                    <xdr:rowOff>28575</xdr:rowOff>
                  </from>
                  <to>
                    <xdr:col>14</xdr:col>
                    <xdr:colOff>257175</xdr:colOff>
                    <xdr:row>8</xdr:row>
                    <xdr:rowOff>9525</xdr:rowOff>
                  </to>
                </anchor>
              </controlPr>
            </control>
          </mc:Choice>
        </mc:AlternateContent>
        <mc:AlternateContent xmlns:mc="http://schemas.openxmlformats.org/markup-compatibility/2006">
          <mc:Choice Requires="x14">
            <control shapeId="29702" r:id="rId10" name="Check Box 6">
              <controlPr defaultSize="0" autoFill="0" autoLine="0" autoPict="0">
                <anchor moveWithCells="1">
                  <from>
                    <xdr:col>20</xdr:col>
                    <xdr:colOff>28575</xdr:colOff>
                    <xdr:row>6</xdr:row>
                    <xdr:rowOff>28575</xdr:rowOff>
                  </from>
                  <to>
                    <xdr:col>20</xdr:col>
                    <xdr:colOff>257175</xdr:colOff>
                    <xdr:row>7</xdr:row>
                    <xdr:rowOff>0</xdr:rowOff>
                  </to>
                </anchor>
              </controlPr>
            </control>
          </mc:Choice>
        </mc:AlternateContent>
        <mc:AlternateContent xmlns:mc="http://schemas.openxmlformats.org/markup-compatibility/2006">
          <mc:Choice Requires="x14">
            <control shapeId="29703" r:id="rId11" name="Check Box 7">
              <controlPr defaultSize="0" autoFill="0" autoLine="0" autoPict="0">
                <anchor moveWithCells="1">
                  <from>
                    <xdr:col>20</xdr:col>
                    <xdr:colOff>28575</xdr:colOff>
                    <xdr:row>7</xdr:row>
                    <xdr:rowOff>28575</xdr:rowOff>
                  </from>
                  <to>
                    <xdr:col>21</xdr:col>
                    <xdr:colOff>0</xdr:colOff>
                    <xdr:row>7</xdr:row>
                    <xdr:rowOff>257175</xdr:rowOff>
                  </to>
                </anchor>
              </controlPr>
            </control>
          </mc:Choice>
        </mc:AlternateContent>
        <mc:AlternateContent xmlns:mc="http://schemas.openxmlformats.org/markup-compatibility/2006">
          <mc:Choice Requires="x14">
            <control shapeId="29704" r:id="rId12" name="Check Box 8">
              <controlPr defaultSize="0" autoFill="0" autoLine="0" autoPict="0">
                <anchor moveWithCells="1">
                  <from>
                    <xdr:col>26</xdr:col>
                    <xdr:colOff>28575</xdr:colOff>
                    <xdr:row>6</xdr:row>
                    <xdr:rowOff>28575</xdr:rowOff>
                  </from>
                  <to>
                    <xdr:col>27</xdr:col>
                    <xdr:colOff>28575</xdr:colOff>
                    <xdr:row>7</xdr:row>
                    <xdr:rowOff>28575</xdr:rowOff>
                  </to>
                </anchor>
              </controlPr>
            </control>
          </mc:Choice>
        </mc:AlternateContent>
        <mc:AlternateContent xmlns:mc="http://schemas.openxmlformats.org/markup-compatibility/2006">
          <mc:Choice Requires="x14">
            <control shapeId="29705" r:id="rId13" name="Check Box 9">
              <controlPr defaultSize="0" autoFill="0" autoLine="0" autoPict="0">
                <anchor moveWithCells="1">
                  <from>
                    <xdr:col>26</xdr:col>
                    <xdr:colOff>28575</xdr:colOff>
                    <xdr:row>7</xdr:row>
                    <xdr:rowOff>28575</xdr:rowOff>
                  </from>
                  <to>
                    <xdr:col>26</xdr:col>
                    <xdr:colOff>238125</xdr:colOff>
                    <xdr:row>7</xdr:row>
                    <xdr:rowOff>238125</xdr:rowOff>
                  </to>
                </anchor>
              </controlPr>
            </control>
          </mc:Choice>
        </mc:AlternateContent>
        <mc:AlternateContent xmlns:mc="http://schemas.openxmlformats.org/markup-compatibility/2006">
          <mc:Choice Requires="x14">
            <control shapeId="29706" r:id="rId14" name="Check Box 10">
              <controlPr defaultSize="0" autoFill="0" autoLine="0" autoPict="0">
                <anchor moveWithCells="1">
                  <from>
                    <xdr:col>26</xdr:col>
                    <xdr:colOff>28575</xdr:colOff>
                    <xdr:row>9</xdr:row>
                    <xdr:rowOff>9525</xdr:rowOff>
                  </from>
                  <to>
                    <xdr:col>27</xdr:col>
                    <xdr:colOff>9525</xdr:colOff>
                    <xdr:row>10</xdr:row>
                    <xdr:rowOff>0</xdr:rowOff>
                  </to>
                </anchor>
              </controlPr>
            </control>
          </mc:Choice>
        </mc:AlternateContent>
        <mc:AlternateContent xmlns:mc="http://schemas.openxmlformats.org/markup-compatibility/2006">
          <mc:Choice Requires="x14">
            <control shapeId="29707" r:id="rId15" name="Check Box 11">
              <controlPr defaultSize="0" autoFill="0" autoLine="0" autoPict="0">
                <anchor moveWithCells="1">
                  <from>
                    <xdr:col>7</xdr:col>
                    <xdr:colOff>28575</xdr:colOff>
                    <xdr:row>11</xdr:row>
                    <xdr:rowOff>28575</xdr:rowOff>
                  </from>
                  <to>
                    <xdr:col>7</xdr:col>
                    <xdr:colOff>257175</xdr:colOff>
                    <xdr:row>11</xdr:row>
                    <xdr:rowOff>219075</xdr:rowOff>
                  </to>
                </anchor>
              </controlPr>
            </control>
          </mc:Choice>
        </mc:AlternateContent>
        <mc:AlternateContent xmlns:mc="http://schemas.openxmlformats.org/markup-compatibility/2006">
          <mc:Choice Requires="x14">
            <control shapeId="29708" r:id="rId16" name="Check Box 12">
              <controlPr defaultSize="0" autoFill="0" autoLine="0" autoPict="0">
                <anchor moveWithCells="1">
                  <from>
                    <xdr:col>7</xdr:col>
                    <xdr:colOff>28575</xdr:colOff>
                    <xdr:row>12</xdr:row>
                    <xdr:rowOff>9525</xdr:rowOff>
                  </from>
                  <to>
                    <xdr:col>8</xdr:col>
                    <xdr:colOff>0</xdr:colOff>
                    <xdr:row>12</xdr:row>
                    <xdr:rowOff>238125</xdr:rowOff>
                  </to>
                </anchor>
              </controlPr>
            </control>
          </mc:Choice>
        </mc:AlternateContent>
        <mc:AlternateContent xmlns:mc="http://schemas.openxmlformats.org/markup-compatibility/2006">
          <mc:Choice Requires="x14">
            <control shapeId="29710" r:id="rId17" name="Check Box 14">
              <controlPr defaultSize="0" autoFill="0" autoLine="0" autoPict="0">
                <anchor moveWithCells="1">
                  <from>
                    <xdr:col>30</xdr:col>
                    <xdr:colOff>38100</xdr:colOff>
                    <xdr:row>9</xdr:row>
                    <xdr:rowOff>0</xdr:rowOff>
                  </from>
                  <to>
                    <xdr:col>30</xdr:col>
                    <xdr:colOff>228600</xdr:colOff>
                    <xdr:row>10</xdr:row>
                    <xdr:rowOff>9525</xdr:rowOff>
                  </to>
                </anchor>
              </controlPr>
            </control>
          </mc:Choice>
        </mc:AlternateContent>
        <mc:AlternateContent xmlns:mc="http://schemas.openxmlformats.org/markup-compatibility/2006">
          <mc:Choice Requires="x14">
            <control shapeId="29711" r:id="rId18" name="Check Box 15">
              <controlPr defaultSize="0" autoFill="0" autoLine="0" autoPict="0">
                <anchor moveWithCells="1">
                  <from>
                    <xdr:col>24</xdr:col>
                    <xdr:colOff>38100</xdr:colOff>
                    <xdr:row>4</xdr:row>
                    <xdr:rowOff>0</xdr:rowOff>
                  </from>
                  <to>
                    <xdr:col>25</xdr:col>
                    <xdr:colOff>28575</xdr:colOff>
                    <xdr:row>5</xdr:row>
                    <xdr:rowOff>9525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r:uid="{4721E24D-7695-42E0-B6D6-A4FB2C65AB6F}">
          <x14:formula1>
            <xm:f>Dropdown!$A$2:$A$5</xm:f>
          </x14:formula1>
          <xm:sqref>B29:L33</xm:sqref>
        </x14:dataValidation>
        <x14:dataValidation type="list" allowBlank="1" showInputMessage="1" showErrorMessage="1" xr:uid="{864D8E89-30D4-4F99-A766-5A16958B148F}">
          <x14:formula1>
            <xm:f>Dropdown!$D$2:$D$9</xm:f>
          </x14:formula1>
          <xm:sqref>M29:W33</xm:sqref>
        </x14:dataValidation>
        <x14:dataValidation type="list" allowBlank="1" showInputMessage="1" showErrorMessage="1" xr:uid="{47655FA7-CEC4-4A0C-ABF1-5387C415902C}">
          <x14:formula1>
            <xm:f>Dropdown!$G$2:$G$10</xm:f>
          </x14:formula1>
          <xm:sqref>AI29:AS33</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BCF13-D2FA-4A07-A9E0-F1ECA82C7D2A}">
  <sheetPr codeName="Sheet23">
    <tabColor rgb="FFFFFF00"/>
    <pageSetUpPr fitToPage="1"/>
  </sheetPr>
  <dimension ref="A1:BA58"/>
  <sheetViews>
    <sheetView showGridLines="0" zoomScaleNormal="100" workbookViewId="0">
      <selection activeCell="AC16" sqref="AC16:AJ18"/>
    </sheetView>
  </sheetViews>
  <sheetFormatPr defaultColWidth="8" defaultRowHeight="15"/>
  <cols>
    <col min="1" max="1" width="2.125" style="102" customWidth="1"/>
    <col min="2" max="44" width="3.625" style="102" customWidth="1"/>
    <col min="45" max="45" width="2.125" style="102" customWidth="1"/>
    <col min="46" max="48" width="3.625" style="102" customWidth="1"/>
    <col min="49" max="49" width="2.125" style="102" customWidth="1"/>
    <col min="50" max="52" width="3.625" style="102" customWidth="1"/>
    <col min="53" max="53" width="3.625" style="599" customWidth="1"/>
    <col min="54" max="55" width="3.625" style="102" customWidth="1"/>
    <col min="56" max="16384" width="8" style="102"/>
  </cols>
  <sheetData>
    <row r="1" spans="1:53" ht="12" customHeight="1">
      <c r="A1" s="599"/>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599"/>
      <c r="AC1" s="599"/>
      <c r="AD1" s="599"/>
      <c r="AE1" s="599"/>
      <c r="AF1" s="599"/>
      <c r="AG1" s="599"/>
      <c r="AH1" s="599"/>
      <c r="AI1" s="599"/>
      <c r="AJ1" s="599"/>
      <c r="AK1" s="599"/>
      <c r="AL1" s="599"/>
      <c r="AM1" s="599"/>
      <c r="AN1" s="599"/>
      <c r="AO1" s="599"/>
      <c r="AP1" s="599"/>
      <c r="AQ1" s="599"/>
      <c r="AR1" s="599"/>
      <c r="AS1" s="599"/>
      <c r="AT1" s="599"/>
      <c r="AU1" s="599"/>
      <c r="AV1" s="599"/>
      <c r="AW1" s="599"/>
      <c r="AX1" s="599"/>
      <c r="AY1" s="599"/>
      <c r="AZ1" s="599"/>
    </row>
    <row r="2" spans="1:53" s="164" customFormat="1" ht="15.75">
      <c r="A2" s="260"/>
      <c r="B2" s="771" t="s">
        <v>11397</v>
      </c>
      <c r="C2" s="772"/>
      <c r="D2" s="772"/>
      <c r="E2" s="772"/>
      <c r="F2" s="772"/>
      <c r="G2" s="260"/>
      <c r="H2" s="260"/>
      <c r="I2" s="260"/>
      <c r="J2" s="260"/>
      <c r="K2" s="260"/>
      <c r="L2" s="260"/>
      <c r="M2" s="260"/>
      <c r="N2" s="260"/>
      <c r="O2" s="260"/>
      <c r="P2" s="260"/>
      <c r="Q2" s="260"/>
      <c r="R2" s="260"/>
      <c r="S2" s="260"/>
      <c r="T2" s="260"/>
      <c r="U2" s="260"/>
      <c r="V2" s="260"/>
      <c r="W2" s="260"/>
      <c r="X2" s="260"/>
      <c r="Y2" s="260"/>
      <c r="Z2" s="260"/>
      <c r="AA2" s="260"/>
      <c r="AB2" s="260"/>
      <c r="AC2" s="260"/>
      <c r="AD2" s="260"/>
      <c r="AE2" s="260"/>
      <c r="AF2" s="260"/>
      <c r="AG2" s="260"/>
      <c r="AH2" s="260"/>
      <c r="AI2" s="260"/>
      <c r="AJ2" s="260"/>
      <c r="AK2" s="260"/>
      <c r="AL2" s="260"/>
      <c r="AM2" s="260"/>
      <c r="AN2" s="260"/>
      <c r="AO2" s="260"/>
      <c r="AP2" s="260"/>
      <c r="AQ2" s="260"/>
      <c r="AR2" s="260"/>
      <c r="AS2" s="260"/>
      <c r="AT2" s="260"/>
      <c r="AU2" s="260"/>
      <c r="AV2" s="260"/>
      <c r="AW2" s="260"/>
      <c r="AX2" s="260"/>
      <c r="AY2" s="260"/>
      <c r="AZ2" s="260"/>
      <c r="BA2" s="260"/>
    </row>
    <row r="3" spans="1:53" s="40" customFormat="1" ht="16.5" thickBot="1">
      <c r="A3" s="582"/>
      <c r="B3" s="583" t="s">
        <v>1017</v>
      </c>
      <c r="C3" s="582"/>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row>
    <row r="4" spans="1:53" s="101" customFormat="1" ht="30.95" customHeight="1">
      <c r="A4" s="580"/>
      <c r="B4" s="2893" t="s">
        <v>1713</v>
      </c>
      <c r="C4" s="2894"/>
      <c r="D4" s="2894"/>
      <c r="E4" s="2894"/>
      <c r="F4" s="2894"/>
      <c r="G4" s="2894"/>
      <c r="H4" s="2894"/>
      <c r="I4" s="2895"/>
      <c r="J4" s="2896" t="s">
        <v>1249</v>
      </c>
      <c r="K4" s="2661"/>
      <c r="L4" s="2661"/>
      <c r="M4" s="2661"/>
      <c r="N4" s="2661"/>
      <c r="O4" s="2661"/>
      <c r="P4" s="2661"/>
      <c r="Q4" s="2661"/>
      <c r="R4" s="2661"/>
      <c r="S4" s="2661"/>
      <c r="T4" s="2842"/>
      <c r="U4" s="2896" t="s">
        <v>1714</v>
      </c>
      <c r="V4" s="2661"/>
      <c r="W4" s="2661"/>
      <c r="X4" s="2661"/>
      <c r="Y4" s="2661"/>
      <c r="Z4" s="2661"/>
      <c r="AA4" s="2661"/>
      <c r="AB4" s="2842"/>
      <c r="AC4" s="2896" t="s">
        <v>474</v>
      </c>
      <c r="AD4" s="2661"/>
      <c r="AE4" s="2661"/>
      <c r="AF4" s="2661"/>
      <c r="AG4" s="2661"/>
      <c r="AH4" s="2661"/>
      <c r="AI4" s="2661"/>
      <c r="AJ4" s="2842"/>
      <c r="AK4" s="2896" t="s">
        <v>269</v>
      </c>
      <c r="AL4" s="2661"/>
      <c r="AM4" s="2661"/>
      <c r="AN4" s="2661"/>
      <c r="AO4" s="2661"/>
      <c r="AP4" s="2661"/>
      <c r="AQ4" s="2661"/>
      <c r="AR4" s="2662"/>
      <c r="AS4" s="580"/>
      <c r="AT4" s="580"/>
      <c r="AU4" s="580"/>
      <c r="AV4" s="580"/>
      <c r="AW4" s="580"/>
      <c r="AX4" s="580"/>
      <c r="AY4" s="580"/>
      <c r="AZ4" s="580"/>
      <c r="BA4" s="580"/>
    </row>
    <row r="5" spans="1:53" s="144" customFormat="1" ht="21.6" customHeight="1">
      <c r="A5" s="776"/>
      <c r="B5" s="2820" t="s">
        <v>1715</v>
      </c>
      <c r="C5" s="2821"/>
      <c r="D5" s="2821"/>
      <c r="E5" s="2821"/>
      <c r="F5" s="2821"/>
      <c r="G5" s="2821"/>
      <c r="H5" s="2821"/>
      <c r="I5" s="2822"/>
      <c r="J5" s="2897" t="s">
        <v>1716</v>
      </c>
      <c r="K5" s="2821"/>
      <c r="L5" s="2821"/>
      <c r="M5" s="2821"/>
      <c r="N5" s="2821"/>
      <c r="O5" s="2821"/>
      <c r="P5" s="2821"/>
      <c r="Q5" s="2821"/>
      <c r="R5" s="2821"/>
      <c r="S5" s="2821"/>
      <c r="T5" s="2822"/>
      <c r="U5" s="2897" t="s">
        <v>1717</v>
      </c>
      <c r="V5" s="2821"/>
      <c r="W5" s="2821"/>
      <c r="X5" s="2821"/>
      <c r="Y5" s="2821"/>
      <c r="Z5" s="2821"/>
      <c r="AA5" s="2821"/>
      <c r="AB5" s="2822"/>
      <c r="AC5" s="2897" t="s">
        <v>1709</v>
      </c>
      <c r="AD5" s="2821"/>
      <c r="AE5" s="2821"/>
      <c r="AF5" s="2821"/>
      <c r="AG5" s="2821"/>
      <c r="AH5" s="2821"/>
      <c r="AI5" s="2821"/>
      <c r="AJ5" s="2822"/>
      <c r="AK5" s="2897" t="s">
        <v>1710</v>
      </c>
      <c r="AL5" s="2821"/>
      <c r="AM5" s="2821"/>
      <c r="AN5" s="2821"/>
      <c r="AO5" s="2821"/>
      <c r="AP5" s="2821"/>
      <c r="AQ5" s="2821"/>
      <c r="AR5" s="2898"/>
      <c r="AS5" s="776"/>
      <c r="AT5" s="776"/>
      <c r="AU5" s="776"/>
      <c r="AV5" s="776"/>
      <c r="AW5" s="776"/>
      <c r="AX5" s="776"/>
      <c r="AY5" s="776"/>
      <c r="AZ5" s="776"/>
      <c r="BA5" s="776"/>
    </row>
    <row r="6" spans="1:53" s="144" customFormat="1" ht="21.6" customHeight="1" thickBot="1">
      <c r="A6" s="776"/>
      <c r="B6" s="2823"/>
      <c r="C6" s="2824"/>
      <c r="D6" s="2824"/>
      <c r="E6" s="2824"/>
      <c r="F6" s="2824"/>
      <c r="G6" s="2824"/>
      <c r="H6" s="2824"/>
      <c r="I6" s="2825"/>
      <c r="J6" s="777"/>
      <c r="K6" s="778"/>
      <c r="L6" s="778"/>
      <c r="M6" s="778"/>
      <c r="N6" s="778"/>
      <c r="O6" s="778"/>
      <c r="P6" s="778"/>
      <c r="Q6" s="778"/>
      <c r="R6" s="778"/>
      <c r="S6" s="778"/>
      <c r="T6" s="779"/>
      <c r="U6" s="777"/>
      <c r="V6" s="778"/>
      <c r="W6" s="778"/>
      <c r="X6" s="778"/>
      <c r="Y6" s="778"/>
      <c r="Z6" s="778"/>
      <c r="AA6" s="778"/>
      <c r="AB6" s="779"/>
      <c r="AC6" s="777"/>
      <c r="AD6" s="778"/>
      <c r="AE6" s="778"/>
      <c r="AF6" s="778"/>
      <c r="AG6" s="778"/>
      <c r="AH6" s="778"/>
      <c r="AI6" s="778"/>
      <c r="AJ6" s="779"/>
      <c r="AK6" s="2899"/>
      <c r="AL6" s="2824"/>
      <c r="AM6" s="2824"/>
      <c r="AN6" s="2824"/>
      <c r="AO6" s="2824"/>
      <c r="AP6" s="2824"/>
      <c r="AQ6" s="2824"/>
      <c r="AR6" s="2900"/>
      <c r="AS6" s="776"/>
      <c r="AT6" s="776"/>
      <c r="AU6" s="776"/>
      <c r="AV6" s="776"/>
      <c r="AW6" s="776"/>
      <c r="AX6" s="776"/>
      <c r="AY6" s="776"/>
      <c r="AZ6" s="776"/>
      <c r="BA6" s="776"/>
    </row>
    <row r="7" spans="1:53" s="101" customFormat="1" ht="18">
      <c r="A7" s="580"/>
      <c r="B7" s="2885"/>
      <c r="C7" s="2886"/>
      <c r="D7" s="2886"/>
      <c r="E7" s="2886"/>
      <c r="F7" s="2886"/>
      <c r="G7" s="2886"/>
      <c r="H7" s="2886"/>
      <c r="I7" s="2887"/>
      <c r="J7" s="790" t="b">
        <v>0</v>
      </c>
      <c r="K7" s="745" t="s">
        <v>1718</v>
      </c>
      <c r="L7" s="745"/>
      <c r="M7" s="745"/>
      <c r="N7" s="745"/>
      <c r="O7" s="745"/>
      <c r="P7" s="795" t="b">
        <v>0</v>
      </c>
      <c r="Q7" s="580" t="s">
        <v>1719</v>
      </c>
      <c r="R7" s="745"/>
      <c r="S7" s="745"/>
      <c r="T7" s="780"/>
      <c r="U7" s="2888"/>
      <c r="V7" s="2886"/>
      <c r="W7" s="2886"/>
      <c r="X7" s="2886"/>
      <c r="Y7" s="2886"/>
      <c r="Z7" s="2886"/>
      <c r="AA7" s="2886"/>
      <c r="AB7" s="2887"/>
      <c r="AC7" s="2889">
        <v>0</v>
      </c>
      <c r="AD7" s="2890"/>
      <c r="AE7" s="2890"/>
      <c r="AF7" s="2890"/>
      <c r="AG7" s="2890"/>
      <c r="AH7" s="2890"/>
      <c r="AI7" s="2890"/>
      <c r="AJ7" s="2891"/>
      <c r="AK7" s="2888"/>
      <c r="AL7" s="2886"/>
      <c r="AM7" s="2886"/>
      <c r="AN7" s="2886"/>
      <c r="AO7" s="2886"/>
      <c r="AP7" s="2886"/>
      <c r="AQ7" s="2886"/>
      <c r="AR7" s="2892"/>
      <c r="AS7" s="580"/>
      <c r="AT7" s="580"/>
      <c r="AU7" s="580"/>
      <c r="AV7" s="580"/>
      <c r="AW7" s="580"/>
      <c r="AX7" s="580"/>
      <c r="AY7" s="580"/>
      <c r="AZ7" s="580"/>
      <c r="BA7" s="580"/>
    </row>
    <row r="8" spans="1:53" s="101" customFormat="1" ht="18">
      <c r="A8" s="580"/>
      <c r="B8" s="2856"/>
      <c r="C8" s="2857"/>
      <c r="D8" s="2857"/>
      <c r="E8" s="2857"/>
      <c r="F8" s="2857"/>
      <c r="G8" s="2857"/>
      <c r="H8" s="2857"/>
      <c r="I8" s="2858"/>
      <c r="J8" s="791" t="b">
        <v>0</v>
      </c>
      <c r="K8" s="580" t="s">
        <v>1720</v>
      </c>
      <c r="L8" s="580"/>
      <c r="M8" s="580"/>
      <c r="N8" s="580"/>
      <c r="O8" s="580"/>
      <c r="P8" s="796" t="b">
        <v>0</v>
      </c>
      <c r="Q8" s="580" t="s">
        <v>1721</v>
      </c>
      <c r="R8" s="580"/>
      <c r="S8" s="580"/>
      <c r="T8" s="781"/>
      <c r="U8" s="2863"/>
      <c r="V8" s="2857"/>
      <c r="W8" s="2857"/>
      <c r="X8" s="2857"/>
      <c r="Y8" s="2857"/>
      <c r="Z8" s="2857"/>
      <c r="AA8" s="2857"/>
      <c r="AB8" s="2858"/>
      <c r="AC8" s="2868"/>
      <c r="AD8" s="2869"/>
      <c r="AE8" s="2869"/>
      <c r="AF8" s="2869"/>
      <c r="AG8" s="2869"/>
      <c r="AH8" s="2869"/>
      <c r="AI8" s="2869"/>
      <c r="AJ8" s="2870"/>
      <c r="AK8" s="2863"/>
      <c r="AL8" s="2857"/>
      <c r="AM8" s="2857"/>
      <c r="AN8" s="2857"/>
      <c r="AO8" s="2857"/>
      <c r="AP8" s="2857"/>
      <c r="AQ8" s="2857"/>
      <c r="AR8" s="2875"/>
      <c r="AS8" s="580"/>
      <c r="AT8" s="580"/>
      <c r="AU8" s="580"/>
      <c r="AV8" s="580"/>
      <c r="AW8" s="580"/>
      <c r="AX8" s="580"/>
      <c r="AY8" s="580"/>
      <c r="AZ8" s="580"/>
      <c r="BA8" s="580"/>
    </row>
    <row r="9" spans="1:53" s="101" customFormat="1" ht="18">
      <c r="A9" s="580"/>
      <c r="B9" s="2856"/>
      <c r="C9" s="2857"/>
      <c r="D9" s="2857"/>
      <c r="E9" s="2857"/>
      <c r="F9" s="2857"/>
      <c r="G9" s="2857"/>
      <c r="H9" s="2857"/>
      <c r="I9" s="2858"/>
      <c r="J9" s="791" t="b">
        <v>0</v>
      </c>
      <c r="K9" s="580" t="s">
        <v>1722</v>
      </c>
      <c r="L9" s="580"/>
      <c r="M9" s="580"/>
      <c r="N9" s="580"/>
      <c r="O9" s="580"/>
      <c r="P9" s="580"/>
      <c r="Q9" s="580"/>
      <c r="R9" s="580"/>
      <c r="S9" s="580"/>
      <c r="T9" s="781"/>
      <c r="U9" s="2863"/>
      <c r="V9" s="2857"/>
      <c r="W9" s="2857"/>
      <c r="X9" s="2857"/>
      <c r="Y9" s="2857"/>
      <c r="Z9" s="2857"/>
      <c r="AA9" s="2857"/>
      <c r="AB9" s="2858"/>
      <c r="AC9" s="2868"/>
      <c r="AD9" s="2869"/>
      <c r="AE9" s="2869"/>
      <c r="AF9" s="2869"/>
      <c r="AG9" s="2869"/>
      <c r="AH9" s="2869"/>
      <c r="AI9" s="2869"/>
      <c r="AJ9" s="2870"/>
      <c r="AK9" s="2863"/>
      <c r="AL9" s="2857"/>
      <c r="AM9" s="2857"/>
      <c r="AN9" s="2857"/>
      <c r="AO9" s="2857"/>
      <c r="AP9" s="2857"/>
      <c r="AQ9" s="2857"/>
      <c r="AR9" s="2875"/>
      <c r="AS9" s="580"/>
      <c r="AT9" s="580"/>
      <c r="AU9" s="580"/>
      <c r="AV9" s="580"/>
      <c r="AW9" s="580"/>
      <c r="AX9" s="580"/>
      <c r="AY9" s="580"/>
      <c r="AZ9" s="580"/>
      <c r="BA9" s="580"/>
    </row>
    <row r="10" spans="1:53" s="101" customFormat="1" ht="18">
      <c r="A10" s="580"/>
      <c r="B10" s="2853"/>
      <c r="C10" s="2854"/>
      <c r="D10" s="2854"/>
      <c r="E10" s="2854"/>
      <c r="F10" s="2854"/>
      <c r="G10" s="2854"/>
      <c r="H10" s="2854"/>
      <c r="I10" s="2855"/>
      <c r="J10" s="792" t="b">
        <v>0</v>
      </c>
      <c r="K10" s="782" t="s">
        <v>1718</v>
      </c>
      <c r="L10" s="782"/>
      <c r="M10" s="782"/>
      <c r="N10" s="782"/>
      <c r="O10" s="782"/>
      <c r="P10" s="797" t="b">
        <v>0</v>
      </c>
      <c r="Q10" s="782" t="s">
        <v>1719</v>
      </c>
      <c r="R10" s="782"/>
      <c r="S10" s="782"/>
      <c r="T10" s="783"/>
      <c r="U10" s="2862"/>
      <c r="V10" s="2854"/>
      <c r="W10" s="2854"/>
      <c r="X10" s="2854"/>
      <c r="Y10" s="2854"/>
      <c r="Z10" s="2854"/>
      <c r="AA10" s="2854"/>
      <c r="AB10" s="2855"/>
      <c r="AC10" s="2865">
        <v>0</v>
      </c>
      <c r="AD10" s="2866"/>
      <c r="AE10" s="2866"/>
      <c r="AF10" s="2866"/>
      <c r="AG10" s="2866"/>
      <c r="AH10" s="2866"/>
      <c r="AI10" s="2866"/>
      <c r="AJ10" s="2867"/>
      <c r="AK10" s="2862"/>
      <c r="AL10" s="2854"/>
      <c r="AM10" s="2854"/>
      <c r="AN10" s="2854"/>
      <c r="AO10" s="2854"/>
      <c r="AP10" s="2854"/>
      <c r="AQ10" s="2854"/>
      <c r="AR10" s="2874"/>
      <c r="AS10" s="580"/>
      <c r="AT10" s="580"/>
      <c r="AU10" s="580"/>
      <c r="AV10" s="580"/>
      <c r="AW10" s="580"/>
      <c r="AX10" s="580"/>
      <c r="AY10" s="580"/>
      <c r="AZ10" s="580"/>
      <c r="BA10" s="580"/>
    </row>
    <row r="11" spans="1:53" s="101" customFormat="1" ht="18">
      <c r="A11" s="580"/>
      <c r="B11" s="2856"/>
      <c r="C11" s="2857"/>
      <c r="D11" s="2857"/>
      <c r="E11" s="2857"/>
      <c r="F11" s="2857"/>
      <c r="G11" s="2857"/>
      <c r="H11" s="2857"/>
      <c r="I11" s="2858"/>
      <c r="J11" s="791" t="b">
        <v>0</v>
      </c>
      <c r="K11" s="580" t="s">
        <v>1720</v>
      </c>
      <c r="L11" s="580"/>
      <c r="M11" s="580"/>
      <c r="N11" s="580"/>
      <c r="O11" s="580"/>
      <c r="P11" s="796" t="b">
        <v>0</v>
      </c>
      <c r="Q11" s="580" t="s">
        <v>1721</v>
      </c>
      <c r="R11" s="580"/>
      <c r="S11" s="580"/>
      <c r="T11" s="781"/>
      <c r="U11" s="2863"/>
      <c r="V11" s="2857"/>
      <c r="W11" s="2857"/>
      <c r="X11" s="2857"/>
      <c r="Y11" s="2857"/>
      <c r="Z11" s="2857"/>
      <c r="AA11" s="2857"/>
      <c r="AB11" s="2858"/>
      <c r="AC11" s="2868"/>
      <c r="AD11" s="2869"/>
      <c r="AE11" s="2869"/>
      <c r="AF11" s="2869"/>
      <c r="AG11" s="2869"/>
      <c r="AH11" s="2869"/>
      <c r="AI11" s="2869"/>
      <c r="AJ11" s="2870"/>
      <c r="AK11" s="2863"/>
      <c r="AL11" s="2857"/>
      <c r="AM11" s="2857"/>
      <c r="AN11" s="2857"/>
      <c r="AO11" s="2857"/>
      <c r="AP11" s="2857"/>
      <c r="AQ11" s="2857"/>
      <c r="AR11" s="2875"/>
      <c r="AS11" s="580"/>
      <c r="AT11" s="580"/>
      <c r="AU11" s="580"/>
      <c r="AV11" s="580"/>
      <c r="AW11" s="580"/>
      <c r="AX11" s="580"/>
      <c r="AY11" s="580"/>
      <c r="AZ11" s="580"/>
      <c r="BA11" s="580"/>
    </row>
    <row r="12" spans="1:53" s="101" customFormat="1" ht="18">
      <c r="A12" s="580"/>
      <c r="B12" s="2877"/>
      <c r="C12" s="2878"/>
      <c r="D12" s="2878"/>
      <c r="E12" s="2878"/>
      <c r="F12" s="2878"/>
      <c r="G12" s="2878"/>
      <c r="H12" s="2878"/>
      <c r="I12" s="2879"/>
      <c r="J12" s="793" t="b">
        <v>0</v>
      </c>
      <c r="K12" s="784" t="s">
        <v>1722</v>
      </c>
      <c r="L12" s="784"/>
      <c r="M12" s="784"/>
      <c r="N12" s="784"/>
      <c r="O12" s="784"/>
      <c r="P12" s="784"/>
      <c r="Q12" s="784"/>
      <c r="R12" s="784"/>
      <c r="S12" s="784"/>
      <c r="T12" s="785"/>
      <c r="U12" s="2880"/>
      <c r="V12" s="2878"/>
      <c r="W12" s="2878"/>
      <c r="X12" s="2878"/>
      <c r="Y12" s="2878"/>
      <c r="Z12" s="2878"/>
      <c r="AA12" s="2878"/>
      <c r="AB12" s="2879"/>
      <c r="AC12" s="2881"/>
      <c r="AD12" s="2882"/>
      <c r="AE12" s="2882"/>
      <c r="AF12" s="2882"/>
      <c r="AG12" s="2882"/>
      <c r="AH12" s="2882"/>
      <c r="AI12" s="2882"/>
      <c r="AJ12" s="2883"/>
      <c r="AK12" s="2880"/>
      <c r="AL12" s="2878"/>
      <c r="AM12" s="2878"/>
      <c r="AN12" s="2878"/>
      <c r="AO12" s="2878"/>
      <c r="AP12" s="2878"/>
      <c r="AQ12" s="2878"/>
      <c r="AR12" s="2884"/>
      <c r="AS12" s="580"/>
      <c r="AT12" s="580"/>
      <c r="AU12" s="580"/>
      <c r="AV12" s="580"/>
      <c r="AW12" s="580"/>
      <c r="AX12" s="580"/>
      <c r="AY12" s="580"/>
      <c r="AZ12" s="580"/>
      <c r="BA12" s="580"/>
    </row>
    <row r="13" spans="1:53" s="101" customFormat="1" ht="18">
      <c r="A13" s="580"/>
      <c r="B13" s="2853"/>
      <c r="C13" s="2854"/>
      <c r="D13" s="2854"/>
      <c r="E13" s="2854"/>
      <c r="F13" s="2854"/>
      <c r="G13" s="2854"/>
      <c r="H13" s="2854"/>
      <c r="I13" s="2855"/>
      <c r="J13" s="792" t="b">
        <v>0</v>
      </c>
      <c r="K13" s="782" t="s">
        <v>1718</v>
      </c>
      <c r="L13" s="782"/>
      <c r="M13" s="782"/>
      <c r="N13" s="782"/>
      <c r="O13" s="782"/>
      <c r="P13" s="797" t="b">
        <v>0</v>
      </c>
      <c r="Q13" s="782" t="s">
        <v>1719</v>
      </c>
      <c r="R13" s="782"/>
      <c r="S13" s="782"/>
      <c r="T13" s="783"/>
      <c r="U13" s="2862"/>
      <c r="V13" s="2854"/>
      <c r="W13" s="2854"/>
      <c r="X13" s="2854"/>
      <c r="Y13" s="2854"/>
      <c r="Z13" s="2854"/>
      <c r="AA13" s="2854"/>
      <c r="AB13" s="2855"/>
      <c r="AC13" s="2865">
        <v>0</v>
      </c>
      <c r="AD13" s="2866"/>
      <c r="AE13" s="2866"/>
      <c r="AF13" s="2866"/>
      <c r="AG13" s="2866"/>
      <c r="AH13" s="2866"/>
      <c r="AI13" s="2866"/>
      <c r="AJ13" s="2867"/>
      <c r="AK13" s="2862"/>
      <c r="AL13" s="2854"/>
      <c r="AM13" s="2854"/>
      <c r="AN13" s="2854"/>
      <c r="AO13" s="2854"/>
      <c r="AP13" s="2854"/>
      <c r="AQ13" s="2854"/>
      <c r="AR13" s="2874"/>
      <c r="AS13" s="580"/>
      <c r="AT13" s="580"/>
      <c r="AU13" s="580"/>
      <c r="AV13" s="580"/>
      <c r="AW13" s="580"/>
      <c r="AX13" s="580"/>
      <c r="AY13" s="580"/>
      <c r="AZ13" s="580"/>
      <c r="BA13" s="580"/>
    </row>
    <row r="14" spans="1:53" s="101" customFormat="1" ht="18">
      <c r="A14" s="580"/>
      <c r="B14" s="2856"/>
      <c r="C14" s="2857"/>
      <c r="D14" s="2857"/>
      <c r="E14" s="2857"/>
      <c r="F14" s="2857"/>
      <c r="G14" s="2857"/>
      <c r="H14" s="2857"/>
      <c r="I14" s="2858"/>
      <c r="J14" s="791" t="b">
        <v>0</v>
      </c>
      <c r="K14" s="580" t="s">
        <v>1720</v>
      </c>
      <c r="L14" s="580"/>
      <c r="M14" s="580"/>
      <c r="N14" s="580"/>
      <c r="O14" s="580"/>
      <c r="P14" s="796" t="b">
        <v>0</v>
      </c>
      <c r="Q14" s="580" t="s">
        <v>1721</v>
      </c>
      <c r="R14" s="580"/>
      <c r="S14" s="580"/>
      <c r="T14" s="781"/>
      <c r="U14" s="2863"/>
      <c r="V14" s="2857"/>
      <c r="W14" s="2857"/>
      <c r="X14" s="2857"/>
      <c r="Y14" s="2857"/>
      <c r="Z14" s="2857"/>
      <c r="AA14" s="2857"/>
      <c r="AB14" s="2858"/>
      <c r="AC14" s="2868"/>
      <c r="AD14" s="2869"/>
      <c r="AE14" s="2869"/>
      <c r="AF14" s="2869"/>
      <c r="AG14" s="2869"/>
      <c r="AH14" s="2869"/>
      <c r="AI14" s="2869"/>
      <c r="AJ14" s="2870"/>
      <c r="AK14" s="2863"/>
      <c r="AL14" s="2857"/>
      <c r="AM14" s="2857"/>
      <c r="AN14" s="2857"/>
      <c r="AO14" s="2857"/>
      <c r="AP14" s="2857"/>
      <c r="AQ14" s="2857"/>
      <c r="AR14" s="2875"/>
      <c r="AS14" s="580"/>
      <c r="AT14" s="580"/>
      <c r="AU14" s="580"/>
      <c r="AV14" s="580"/>
      <c r="AW14" s="580"/>
      <c r="AX14" s="580"/>
      <c r="AY14" s="580"/>
      <c r="AZ14" s="580"/>
      <c r="BA14" s="580"/>
    </row>
    <row r="15" spans="1:53" s="101" customFormat="1" ht="18">
      <c r="A15" s="580"/>
      <c r="B15" s="2877"/>
      <c r="C15" s="2878"/>
      <c r="D15" s="2878"/>
      <c r="E15" s="2878"/>
      <c r="F15" s="2878"/>
      <c r="G15" s="2878"/>
      <c r="H15" s="2878"/>
      <c r="I15" s="2879"/>
      <c r="J15" s="793" t="b">
        <v>0</v>
      </c>
      <c r="K15" s="784" t="s">
        <v>1722</v>
      </c>
      <c r="L15" s="784"/>
      <c r="M15" s="784"/>
      <c r="N15" s="784"/>
      <c r="O15" s="784"/>
      <c r="P15" s="784"/>
      <c r="Q15" s="784"/>
      <c r="R15" s="784"/>
      <c r="S15" s="784"/>
      <c r="T15" s="785"/>
      <c r="U15" s="2880"/>
      <c r="V15" s="2878"/>
      <c r="W15" s="2878"/>
      <c r="X15" s="2878"/>
      <c r="Y15" s="2878"/>
      <c r="Z15" s="2878"/>
      <c r="AA15" s="2878"/>
      <c r="AB15" s="2879"/>
      <c r="AC15" s="2881"/>
      <c r="AD15" s="2882"/>
      <c r="AE15" s="2882"/>
      <c r="AF15" s="2882"/>
      <c r="AG15" s="2882"/>
      <c r="AH15" s="2882"/>
      <c r="AI15" s="2882"/>
      <c r="AJ15" s="2883"/>
      <c r="AK15" s="2880"/>
      <c r="AL15" s="2878"/>
      <c r="AM15" s="2878"/>
      <c r="AN15" s="2878"/>
      <c r="AO15" s="2878"/>
      <c r="AP15" s="2878"/>
      <c r="AQ15" s="2878"/>
      <c r="AR15" s="2884"/>
      <c r="AS15" s="580"/>
      <c r="AT15" s="580"/>
      <c r="AU15" s="580"/>
      <c r="AV15" s="580"/>
      <c r="AW15" s="580"/>
      <c r="AX15" s="580"/>
      <c r="AY15" s="580"/>
      <c r="AZ15" s="580"/>
      <c r="BA15" s="580"/>
    </row>
    <row r="16" spans="1:53" s="101" customFormat="1" ht="18">
      <c r="A16" s="580"/>
      <c r="B16" s="2853"/>
      <c r="C16" s="2854"/>
      <c r="D16" s="2854"/>
      <c r="E16" s="2854"/>
      <c r="F16" s="2854"/>
      <c r="G16" s="2854"/>
      <c r="H16" s="2854"/>
      <c r="I16" s="2855"/>
      <c r="J16" s="792" t="b">
        <v>0</v>
      </c>
      <c r="K16" s="782" t="s">
        <v>1718</v>
      </c>
      <c r="L16" s="782"/>
      <c r="M16" s="782"/>
      <c r="N16" s="782"/>
      <c r="O16" s="782"/>
      <c r="P16" s="797" t="b">
        <v>0</v>
      </c>
      <c r="Q16" s="782" t="s">
        <v>1719</v>
      </c>
      <c r="R16" s="782"/>
      <c r="S16" s="782"/>
      <c r="T16" s="783"/>
      <c r="U16" s="2862"/>
      <c r="V16" s="2854"/>
      <c r="W16" s="2854"/>
      <c r="X16" s="2854"/>
      <c r="Y16" s="2854"/>
      <c r="Z16" s="2854"/>
      <c r="AA16" s="2854"/>
      <c r="AB16" s="2855"/>
      <c r="AC16" s="2865">
        <v>0</v>
      </c>
      <c r="AD16" s="2866"/>
      <c r="AE16" s="2866"/>
      <c r="AF16" s="2866"/>
      <c r="AG16" s="2866"/>
      <c r="AH16" s="2866"/>
      <c r="AI16" s="2866"/>
      <c r="AJ16" s="2867"/>
      <c r="AK16" s="2862"/>
      <c r="AL16" s="2854"/>
      <c r="AM16" s="2854"/>
      <c r="AN16" s="2854"/>
      <c r="AO16" s="2854"/>
      <c r="AP16" s="2854"/>
      <c r="AQ16" s="2854"/>
      <c r="AR16" s="2874"/>
      <c r="AS16" s="580"/>
      <c r="AT16" s="580"/>
      <c r="AU16" s="580"/>
      <c r="AV16" s="580"/>
      <c r="AW16" s="580"/>
      <c r="AX16" s="580"/>
      <c r="AY16" s="580"/>
      <c r="AZ16" s="580"/>
      <c r="BA16" s="580"/>
    </row>
    <row r="17" spans="1:53" s="101" customFormat="1" ht="18">
      <c r="A17" s="580"/>
      <c r="B17" s="2856"/>
      <c r="C17" s="2857"/>
      <c r="D17" s="2857"/>
      <c r="E17" s="2857"/>
      <c r="F17" s="2857"/>
      <c r="G17" s="2857"/>
      <c r="H17" s="2857"/>
      <c r="I17" s="2858"/>
      <c r="J17" s="791" t="b">
        <v>0</v>
      </c>
      <c r="K17" s="580" t="s">
        <v>1720</v>
      </c>
      <c r="L17" s="580"/>
      <c r="M17" s="580"/>
      <c r="N17" s="580"/>
      <c r="O17" s="580"/>
      <c r="P17" s="796" t="b">
        <v>0</v>
      </c>
      <c r="Q17" s="580" t="s">
        <v>1721</v>
      </c>
      <c r="R17" s="580"/>
      <c r="S17" s="580"/>
      <c r="T17" s="781"/>
      <c r="U17" s="2863"/>
      <c r="V17" s="2857"/>
      <c r="W17" s="2857"/>
      <c r="X17" s="2857"/>
      <c r="Y17" s="2857"/>
      <c r="Z17" s="2857"/>
      <c r="AA17" s="2857"/>
      <c r="AB17" s="2858"/>
      <c r="AC17" s="2868"/>
      <c r="AD17" s="2869"/>
      <c r="AE17" s="2869"/>
      <c r="AF17" s="2869"/>
      <c r="AG17" s="2869"/>
      <c r="AH17" s="2869"/>
      <c r="AI17" s="2869"/>
      <c r="AJ17" s="2870"/>
      <c r="AK17" s="2863"/>
      <c r="AL17" s="2857"/>
      <c r="AM17" s="2857"/>
      <c r="AN17" s="2857"/>
      <c r="AO17" s="2857"/>
      <c r="AP17" s="2857"/>
      <c r="AQ17" s="2857"/>
      <c r="AR17" s="2875"/>
      <c r="AS17" s="580"/>
      <c r="AT17" s="580"/>
      <c r="AU17" s="580"/>
      <c r="AV17" s="580"/>
      <c r="AW17" s="580"/>
      <c r="AX17" s="580"/>
      <c r="AY17" s="580"/>
      <c r="AZ17" s="580"/>
      <c r="BA17" s="580"/>
    </row>
    <row r="18" spans="1:53" s="101" customFormat="1" ht="18">
      <c r="A18" s="580"/>
      <c r="B18" s="2877"/>
      <c r="C18" s="2878"/>
      <c r="D18" s="2878"/>
      <c r="E18" s="2878"/>
      <c r="F18" s="2878"/>
      <c r="G18" s="2878"/>
      <c r="H18" s="2878"/>
      <c r="I18" s="2879"/>
      <c r="J18" s="793" t="b">
        <v>0</v>
      </c>
      <c r="K18" s="784" t="s">
        <v>1722</v>
      </c>
      <c r="L18" s="784"/>
      <c r="M18" s="784"/>
      <c r="N18" s="784"/>
      <c r="O18" s="784"/>
      <c r="P18" s="784"/>
      <c r="Q18" s="784"/>
      <c r="R18" s="784"/>
      <c r="S18" s="784"/>
      <c r="T18" s="785"/>
      <c r="U18" s="2880"/>
      <c r="V18" s="2878"/>
      <c r="W18" s="2878"/>
      <c r="X18" s="2878"/>
      <c r="Y18" s="2878"/>
      <c r="Z18" s="2878"/>
      <c r="AA18" s="2878"/>
      <c r="AB18" s="2879"/>
      <c r="AC18" s="2881"/>
      <c r="AD18" s="2882"/>
      <c r="AE18" s="2882"/>
      <c r="AF18" s="2882"/>
      <c r="AG18" s="2882"/>
      <c r="AH18" s="2882"/>
      <c r="AI18" s="2882"/>
      <c r="AJ18" s="2883"/>
      <c r="AK18" s="2880"/>
      <c r="AL18" s="2878"/>
      <c r="AM18" s="2878"/>
      <c r="AN18" s="2878"/>
      <c r="AO18" s="2878"/>
      <c r="AP18" s="2878"/>
      <c r="AQ18" s="2878"/>
      <c r="AR18" s="2884"/>
      <c r="AS18" s="580"/>
      <c r="AT18" s="580"/>
      <c r="AU18" s="580"/>
      <c r="AV18" s="580"/>
      <c r="AW18" s="580"/>
      <c r="AX18" s="580"/>
      <c r="AY18" s="580"/>
      <c r="AZ18" s="580"/>
      <c r="BA18" s="580"/>
    </row>
    <row r="19" spans="1:53" s="101" customFormat="1" ht="18">
      <c r="A19" s="580"/>
      <c r="B19" s="2853"/>
      <c r="C19" s="2854"/>
      <c r="D19" s="2854"/>
      <c r="E19" s="2854"/>
      <c r="F19" s="2854"/>
      <c r="G19" s="2854"/>
      <c r="H19" s="2854"/>
      <c r="I19" s="2855"/>
      <c r="J19" s="792" t="b">
        <v>0</v>
      </c>
      <c r="K19" s="782" t="s">
        <v>1718</v>
      </c>
      <c r="L19" s="782"/>
      <c r="M19" s="782"/>
      <c r="N19" s="782"/>
      <c r="O19" s="782"/>
      <c r="P19" s="797" t="b">
        <v>0</v>
      </c>
      <c r="Q19" s="782" t="s">
        <v>1719</v>
      </c>
      <c r="R19" s="782"/>
      <c r="S19" s="782"/>
      <c r="T19" s="783"/>
      <c r="U19" s="2862"/>
      <c r="V19" s="2854"/>
      <c r="W19" s="2854"/>
      <c r="X19" s="2854"/>
      <c r="Y19" s="2854"/>
      <c r="Z19" s="2854"/>
      <c r="AA19" s="2854"/>
      <c r="AB19" s="2855"/>
      <c r="AC19" s="2865">
        <v>0</v>
      </c>
      <c r="AD19" s="2866"/>
      <c r="AE19" s="2866"/>
      <c r="AF19" s="2866"/>
      <c r="AG19" s="2866"/>
      <c r="AH19" s="2866"/>
      <c r="AI19" s="2866"/>
      <c r="AJ19" s="2867"/>
      <c r="AK19" s="2862"/>
      <c r="AL19" s="2854"/>
      <c r="AM19" s="2854"/>
      <c r="AN19" s="2854"/>
      <c r="AO19" s="2854"/>
      <c r="AP19" s="2854"/>
      <c r="AQ19" s="2854"/>
      <c r="AR19" s="2874"/>
      <c r="AS19" s="580"/>
      <c r="AT19" s="580"/>
      <c r="AU19" s="580"/>
      <c r="AV19" s="580"/>
      <c r="AW19" s="580"/>
      <c r="AX19" s="580"/>
      <c r="AY19" s="580"/>
      <c r="AZ19" s="580"/>
      <c r="BA19" s="580"/>
    </row>
    <row r="20" spans="1:53" s="101" customFormat="1" ht="18">
      <c r="A20" s="580"/>
      <c r="B20" s="2856"/>
      <c r="C20" s="2857"/>
      <c r="D20" s="2857"/>
      <c r="E20" s="2857"/>
      <c r="F20" s="2857"/>
      <c r="G20" s="2857"/>
      <c r="H20" s="2857"/>
      <c r="I20" s="2858"/>
      <c r="J20" s="791" t="b">
        <v>0</v>
      </c>
      <c r="K20" s="580" t="s">
        <v>1720</v>
      </c>
      <c r="L20" s="580"/>
      <c r="M20" s="580"/>
      <c r="N20" s="580"/>
      <c r="O20" s="580"/>
      <c r="P20" s="796" t="b">
        <v>0</v>
      </c>
      <c r="Q20" s="580" t="s">
        <v>1721</v>
      </c>
      <c r="R20" s="580"/>
      <c r="S20" s="580"/>
      <c r="T20" s="781"/>
      <c r="U20" s="2863"/>
      <c r="V20" s="2857"/>
      <c r="W20" s="2857"/>
      <c r="X20" s="2857"/>
      <c r="Y20" s="2857"/>
      <c r="Z20" s="2857"/>
      <c r="AA20" s="2857"/>
      <c r="AB20" s="2858"/>
      <c r="AC20" s="2868"/>
      <c r="AD20" s="2869"/>
      <c r="AE20" s="2869"/>
      <c r="AF20" s="2869"/>
      <c r="AG20" s="2869"/>
      <c r="AH20" s="2869"/>
      <c r="AI20" s="2869"/>
      <c r="AJ20" s="2870"/>
      <c r="AK20" s="2863"/>
      <c r="AL20" s="2857"/>
      <c r="AM20" s="2857"/>
      <c r="AN20" s="2857"/>
      <c r="AO20" s="2857"/>
      <c r="AP20" s="2857"/>
      <c r="AQ20" s="2857"/>
      <c r="AR20" s="2875"/>
      <c r="AS20" s="580"/>
      <c r="AT20" s="580"/>
      <c r="AU20" s="580"/>
      <c r="AV20" s="580"/>
      <c r="AW20" s="580"/>
      <c r="AX20" s="580"/>
      <c r="AY20" s="580"/>
      <c r="AZ20" s="580"/>
      <c r="BA20" s="580"/>
    </row>
    <row r="21" spans="1:53" s="101" customFormat="1" ht="18.75" thickBot="1">
      <c r="A21" s="580"/>
      <c r="B21" s="2859"/>
      <c r="C21" s="2860"/>
      <c r="D21" s="2860"/>
      <c r="E21" s="2860"/>
      <c r="F21" s="2860"/>
      <c r="G21" s="2860"/>
      <c r="H21" s="2860"/>
      <c r="I21" s="2861"/>
      <c r="J21" s="794" t="b">
        <v>0</v>
      </c>
      <c r="K21" s="786" t="s">
        <v>1722</v>
      </c>
      <c r="L21" s="786"/>
      <c r="M21" s="786"/>
      <c r="N21" s="786"/>
      <c r="O21" s="786"/>
      <c r="P21" s="786"/>
      <c r="Q21" s="786"/>
      <c r="R21" s="786"/>
      <c r="S21" s="786"/>
      <c r="T21" s="787"/>
      <c r="U21" s="2864"/>
      <c r="V21" s="2860"/>
      <c r="W21" s="2860"/>
      <c r="X21" s="2860"/>
      <c r="Y21" s="2860"/>
      <c r="Z21" s="2860"/>
      <c r="AA21" s="2860"/>
      <c r="AB21" s="2861"/>
      <c r="AC21" s="2871"/>
      <c r="AD21" s="2872"/>
      <c r="AE21" s="2872"/>
      <c r="AF21" s="2872"/>
      <c r="AG21" s="2872"/>
      <c r="AH21" s="2872"/>
      <c r="AI21" s="2872"/>
      <c r="AJ21" s="2873"/>
      <c r="AK21" s="2864"/>
      <c r="AL21" s="2860"/>
      <c r="AM21" s="2860"/>
      <c r="AN21" s="2860"/>
      <c r="AO21" s="2860"/>
      <c r="AP21" s="2860"/>
      <c r="AQ21" s="2860"/>
      <c r="AR21" s="2876"/>
      <c r="AS21" s="580"/>
      <c r="AT21" s="580"/>
      <c r="AU21" s="580"/>
      <c r="AV21" s="580"/>
      <c r="AW21" s="580"/>
      <c r="AX21" s="580"/>
      <c r="AY21" s="580"/>
      <c r="AZ21" s="580"/>
      <c r="BA21" s="580"/>
    </row>
    <row r="22" spans="1:53" s="32" customFormat="1">
      <c r="A22" s="347"/>
      <c r="B22" s="2802" t="s">
        <v>1723</v>
      </c>
      <c r="C22" s="2802"/>
      <c r="D22" s="2802"/>
      <c r="E22" s="2802"/>
      <c r="F22" s="2802"/>
      <c r="G22" s="2802"/>
      <c r="H22" s="2802"/>
      <c r="I22" s="2802"/>
      <c r="J22" s="2802"/>
      <c r="K22" s="2802"/>
      <c r="L22" s="2802"/>
      <c r="M22" s="2802"/>
      <c r="N22" s="2802"/>
      <c r="O22" s="2802"/>
      <c r="P22" s="2802"/>
      <c r="Q22" s="2802"/>
      <c r="R22" s="2802"/>
      <c r="S22" s="2802"/>
      <c r="T22" s="2802"/>
      <c r="U22" s="2802"/>
      <c r="V22" s="2802"/>
      <c r="W22" s="2802"/>
      <c r="X22" s="2802"/>
      <c r="Y22" s="2802"/>
      <c r="Z22" s="2802"/>
      <c r="AA22" s="2802"/>
      <c r="AB22" s="2802"/>
      <c r="AC22" s="2802"/>
      <c r="AD22" s="2802"/>
      <c r="AE22" s="2802"/>
      <c r="AF22" s="2802"/>
      <c r="AG22" s="2802"/>
      <c r="AH22" s="2802"/>
      <c r="AI22" s="2802"/>
      <c r="AJ22" s="2802"/>
      <c r="AK22" s="2802"/>
      <c r="AL22" s="2802"/>
      <c r="AM22" s="2802"/>
      <c r="AN22" s="2802"/>
      <c r="AO22" s="2802"/>
      <c r="AP22" s="2802"/>
      <c r="AQ22" s="2802"/>
      <c r="AR22" s="2802"/>
      <c r="AS22" s="347"/>
      <c r="AT22" s="347"/>
      <c r="AU22" s="347"/>
      <c r="AV22" s="347"/>
      <c r="AW22" s="347"/>
      <c r="AX22" s="347"/>
      <c r="AY22" s="347"/>
      <c r="AZ22" s="347"/>
      <c r="BA22" s="347"/>
    </row>
    <row r="23" spans="1:53" s="32" customFormat="1" ht="14.1" customHeight="1">
      <c r="A23" s="347"/>
      <c r="B23" s="347"/>
      <c r="C23" s="788" t="s">
        <v>1250</v>
      </c>
      <c r="D23" s="789"/>
      <c r="E23" s="789"/>
      <c r="F23" s="789"/>
      <c r="G23" s="789"/>
      <c r="H23" s="789"/>
      <c r="I23" s="788" t="s">
        <v>1251</v>
      </c>
      <c r="J23" s="789"/>
      <c r="K23" s="788"/>
      <c r="L23" s="789"/>
      <c r="M23" s="789"/>
      <c r="N23" s="789"/>
      <c r="O23" s="788" t="s">
        <v>1252</v>
      </c>
      <c r="P23" s="789"/>
      <c r="Q23" s="789"/>
      <c r="R23" s="347"/>
      <c r="S23" s="789"/>
      <c r="T23" s="789"/>
      <c r="U23" s="789"/>
      <c r="V23" s="789"/>
      <c r="W23" s="789"/>
      <c r="X23" s="789"/>
      <c r="Y23" s="789"/>
      <c r="Z23" s="789"/>
      <c r="AA23" s="789"/>
      <c r="AB23" s="789"/>
      <c r="AC23" s="789"/>
      <c r="AD23" s="789"/>
      <c r="AE23" s="789"/>
      <c r="AF23" s="789"/>
      <c r="AG23" s="789"/>
      <c r="AH23" s="789"/>
      <c r="AI23" s="789"/>
      <c r="AJ23" s="789"/>
      <c r="AK23" s="789"/>
      <c r="AL23" s="789"/>
      <c r="AM23" s="789"/>
      <c r="AN23" s="789"/>
      <c r="AO23" s="789"/>
      <c r="AP23" s="789"/>
      <c r="AQ23" s="789"/>
      <c r="AR23" s="789"/>
      <c r="AS23" s="347"/>
      <c r="AT23" s="347"/>
      <c r="AU23" s="347"/>
      <c r="AV23" s="347"/>
      <c r="AW23" s="347"/>
      <c r="AX23" s="347"/>
      <c r="AY23" s="347"/>
      <c r="AZ23" s="347"/>
      <c r="BA23" s="347"/>
    </row>
    <row r="24" spans="1:53" s="32" customFormat="1" ht="14.1" customHeight="1">
      <c r="A24" s="347"/>
      <c r="B24" s="347"/>
      <c r="C24" s="788" t="s">
        <v>1253</v>
      </c>
      <c r="D24" s="789"/>
      <c r="E24" s="789"/>
      <c r="F24" s="789"/>
      <c r="G24" s="789"/>
      <c r="H24" s="789"/>
      <c r="I24" s="788" t="s">
        <v>1724</v>
      </c>
      <c r="J24" s="789"/>
      <c r="K24" s="788"/>
      <c r="L24" s="789"/>
      <c r="M24" s="789"/>
      <c r="N24" s="789"/>
      <c r="O24" s="788" t="s">
        <v>1725</v>
      </c>
      <c r="P24" s="789"/>
      <c r="Q24" s="789"/>
      <c r="R24" s="347"/>
      <c r="S24" s="789"/>
      <c r="T24" s="789"/>
      <c r="U24" s="789"/>
      <c r="V24" s="789"/>
      <c r="W24" s="789"/>
      <c r="X24" s="789"/>
      <c r="Y24" s="789"/>
      <c r="Z24" s="789"/>
      <c r="AA24" s="789"/>
      <c r="AB24" s="789"/>
      <c r="AC24" s="789"/>
      <c r="AD24" s="789"/>
      <c r="AE24" s="789"/>
      <c r="AF24" s="789"/>
      <c r="AG24" s="789"/>
      <c r="AH24" s="789"/>
      <c r="AI24" s="789"/>
      <c r="AJ24" s="789"/>
      <c r="AK24" s="789"/>
      <c r="AL24" s="789"/>
      <c r="AM24" s="789"/>
      <c r="AN24" s="789"/>
      <c r="AO24" s="789"/>
      <c r="AP24" s="789"/>
      <c r="AQ24" s="789"/>
      <c r="AR24" s="789"/>
      <c r="AS24" s="347"/>
      <c r="AT24" s="347"/>
      <c r="AU24" s="347"/>
      <c r="AV24" s="347"/>
      <c r="AW24" s="347"/>
      <c r="AX24" s="347"/>
      <c r="AY24" s="347"/>
      <c r="AZ24" s="347"/>
      <c r="BA24" s="347"/>
    </row>
    <row r="25" spans="1:53" s="32" customFormat="1" ht="14.1" customHeight="1">
      <c r="A25" s="347"/>
      <c r="B25" s="347"/>
      <c r="C25" s="788" t="s">
        <v>1254</v>
      </c>
      <c r="D25" s="789"/>
      <c r="E25" s="789"/>
      <c r="F25" s="789"/>
      <c r="G25" s="789"/>
      <c r="H25" s="789"/>
      <c r="I25" s="788" t="s">
        <v>1255</v>
      </c>
      <c r="J25" s="789"/>
      <c r="K25" s="788"/>
      <c r="L25" s="789"/>
      <c r="M25" s="789"/>
      <c r="N25" s="789"/>
      <c r="O25" s="789"/>
      <c r="P25" s="789"/>
      <c r="Q25" s="789"/>
      <c r="R25" s="788"/>
      <c r="S25" s="789"/>
      <c r="T25" s="789"/>
      <c r="U25" s="789"/>
      <c r="V25" s="789"/>
      <c r="W25" s="789"/>
      <c r="X25" s="789"/>
      <c r="Y25" s="789"/>
      <c r="Z25" s="789"/>
      <c r="AA25" s="789"/>
      <c r="AB25" s="789"/>
      <c r="AC25" s="789"/>
      <c r="AD25" s="789"/>
      <c r="AE25" s="789"/>
      <c r="AF25" s="789"/>
      <c r="AG25" s="789"/>
      <c r="AH25" s="789"/>
      <c r="AI25" s="789"/>
      <c r="AJ25" s="789"/>
      <c r="AK25" s="789"/>
      <c r="AL25" s="789"/>
      <c r="AM25" s="789"/>
      <c r="AN25" s="789"/>
      <c r="AO25" s="789"/>
      <c r="AP25" s="789"/>
      <c r="AQ25" s="789"/>
      <c r="AR25" s="789"/>
      <c r="AS25" s="347"/>
      <c r="AT25" s="347"/>
      <c r="AU25" s="347"/>
      <c r="AV25" s="347"/>
      <c r="AW25" s="347"/>
      <c r="AX25" s="347"/>
      <c r="AY25" s="347"/>
      <c r="AZ25" s="347"/>
      <c r="BA25" s="347"/>
    </row>
    <row r="26" spans="1:53" s="32" customFormat="1">
      <c r="A26" s="347"/>
      <c r="B26" s="2802" t="s">
        <v>1726</v>
      </c>
      <c r="C26" s="2802"/>
      <c r="D26" s="2802"/>
      <c r="E26" s="2802"/>
      <c r="F26" s="2802"/>
      <c r="G26" s="2802"/>
      <c r="H26" s="2802"/>
      <c r="I26" s="2802"/>
      <c r="J26" s="2802"/>
      <c r="K26" s="2802"/>
      <c r="L26" s="2802"/>
      <c r="M26" s="2802"/>
      <c r="N26" s="2802"/>
      <c r="O26" s="2802"/>
      <c r="P26" s="2802"/>
      <c r="Q26" s="2802"/>
      <c r="R26" s="2802"/>
      <c r="S26" s="2802"/>
      <c r="T26" s="2802"/>
      <c r="U26" s="2802"/>
      <c r="V26" s="2802"/>
      <c r="W26" s="2802"/>
      <c r="X26" s="2802"/>
      <c r="Y26" s="2802"/>
      <c r="Z26" s="2802"/>
      <c r="AA26" s="2802"/>
      <c r="AB26" s="2802"/>
      <c r="AC26" s="2802"/>
      <c r="AD26" s="2802"/>
      <c r="AE26" s="2802"/>
      <c r="AF26" s="2802"/>
      <c r="AG26" s="2802"/>
      <c r="AH26" s="2802"/>
      <c r="AI26" s="2802"/>
      <c r="AJ26" s="2802"/>
      <c r="AK26" s="2802"/>
      <c r="AL26" s="2802"/>
      <c r="AM26" s="2802"/>
      <c r="AN26" s="2802"/>
      <c r="AO26" s="2802"/>
      <c r="AP26" s="2802"/>
      <c r="AQ26" s="2802"/>
      <c r="AR26" s="2802"/>
      <c r="AS26" s="347"/>
      <c r="AT26" s="347"/>
      <c r="AU26" s="347"/>
      <c r="AV26" s="347"/>
      <c r="AW26" s="347"/>
      <c r="AX26" s="347"/>
      <c r="AY26" s="347"/>
      <c r="AZ26" s="347"/>
      <c r="BA26" s="347"/>
    </row>
    <row r="27" spans="1:53" s="134" customFormat="1">
      <c r="A27" s="347"/>
      <c r="B27" s="347"/>
      <c r="C27" s="2851" t="s">
        <v>1666</v>
      </c>
      <c r="D27" s="2851"/>
      <c r="E27" s="2851"/>
      <c r="F27" s="2851"/>
      <c r="G27" s="2851"/>
      <c r="H27" s="2851"/>
      <c r="I27" s="2851"/>
      <c r="J27" s="2851"/>
      <c r="K27" s="2851"/>
      <c r="L27" s="2851"/>
      <c r="M27" s="2851"/>
      <c r="N27" s="2851"/>
      <c r="O27" s="2851"/>
      <c r="P27" s="2851"/>
      <c r="Q27" s="2851"/>
      <c r="R27" s="2851"/>
      <c r="S27" s="2851"/>
      <c r="T27" s="2851"/>
      <c r="U27" s="2851"/>
      <c r="V27" s="2851"/>
      <c r="W27" s="2851"/>
      <c r="X27" s="2851"/>
      <c r="Y27" s="2851"/>
      <c r="Z27" s="2851"/>
      <c r="AA27" s="2851"/>
      <c r="AB27" s="2851"/>
      <c r="AC27" s="2851"/>
      <c r="AD27" s="2851"/>
      <c r="AE27" s="2851"/>
      <c r="AF27" s="2851"/>
      <c r="AG27" s="2851"/>
      <c r="AH27" s="2851"/>
      <c r="AI27" s="2851"/>
      <c r="AJ27" s="2851"/>
      <c r="AK27" s="2851"/>
      <c r="AL27" s="2851"/>
      <c r="AM27" s="2851"/>
      <c r="AN27" s="2851"/>
      <c r="AO27" s="2851"/>
      <c r="AP27" s="2851"/>
      <c r="AQ27" s="2851"/>
      <c r="AR27" s="2851"/>
      <c r="AS27" s="347"/>
      <c r="AT27" s="347"/>
      <c r="AU27" s="347"/>
      <c r="AV27" s="347"/>
      <c r="AW27" s="347"/>
      <c r="AX27" s="347"/>
      <c r="AY27" s="347"/>
      <c r="AZ27" s="347"/>
      <c r="BA27" s="347"/>
    </row>
    <row r="28" spans="1:53" s="134" customFormat="1">
      <c r="A28" s="347"/>
      <c r="B28" s="347"/>
      <c r="C28" s="2851" t="s">
        <v>1727</v>
      </c>
      <c r="D28" s="2851"/>
      <c r="E28" s="2851"/>
      <c r="F28" s="2851"/>
      <c r="G28" s="2851"/>
      <c r="H28" s="2851"/>
      <c r="I28" s="2851"/>
      <c r="J28" s="2851"/>
      <c r="K28" s="2851"/>
      <c r="L28" s="2851"/>
      <c r="M28" s="2851"/>
      <c r="N28" s="2851"/>
      <c r="O28" s="2851"/>
      <c r="P28" s="2851"/>
      <c r="Q28" s="2851"/>
      <c r="R28" s="2851"/>
      <c r="S28" s="2851"/>
      <c r="T28" s="2851"/>
      <c r="U28" s="2851"/>
      <c r="V28" s="2851"/>
      <c r="W28" s="2851"/>
      <c r="X28" s="2851"/>
      <c r="Y28" s="2851"/>
      <c r="Z28" s="2851"/>
      <c r="AA28" s="2851"/>
      <c r="AB28" s="2851"/>
      <c r="AC28" s="2851"/>
      <c r="AD28" s="2851"/>
      <c r="AE28" s="2851"/>
      <c r="AF28" s="2851"/>
      <c r="AG28" s="2851"/>
      <c r="AH28" s="2851"/>
      <c r="AI28" s="2851"/>
      <c r="AJ28" s="2851"/>
      <c r="AK28" s="2851"/>
      <c r="AL28" s="2851"/>
      <c r="AM28" s="2851"/>
      <c r="AN28" s="2851"/>
      <c r="AO28" s="2851"/>
      <c r="AP28" s="2851"/>
      <c r="AQ28" s="2851"/>
      <c r="AR28" s="2851"/>
      <c r="AS28" s="347"/>
      <c r="AT28" s="347"/>
      <c r="AU28" s="347"/>
      <c r="AV28" s="347"/>
      <c r="AW28" s="347"/>
      <c r="AX28" s="347"/>
      <c r="AY28" s="347"/>
      <c r="AZ28" s="347"/>
      <c r="BA28" s="347"/>
    </row>
    <row r="29" spans="1:53" s="134" customFormat="1">
      <c r="A29" s="347"/>
      <c r="B29" s="347"/>
      <c r="C29" s="2851" t="s">
        <v>1728</v>
      </c>
      <c r="D29" s="2851"/>
      <c r="E29" s="2851"/>
      <c r="F29" s="2851"/>
      <c r="G29" s="2851"/>
      <c r="H29" s="2851"/>
      <c r="I29" s="2851"/>
      <c r="J29" s="2851"/>
      <c r="K29" s="2851"/>
      <c r="L29" s="2851"/>
      <c r="M29" s="2851"/>
      <c r="N29" s="2851"/>
      <c r="O29" s="2851"/>
      <c r="P29" s="2851"/>
      <c r="Q29" s="2851"/>
      <c r="R29" s="2851"/>
      <c r="S29" s="2851"/>
      <c r="T29" s="2851"/>
      <c r="U29" s="2851"/>
      <c r="V29" s="2851"/>
      <c r="W29" s="2851"/>
      <c r="X29" s="2851"/>
      <c r="Y29" s="2851"/>
      <c r="Z29" s="2851"/>
      <c r="AA29" s="2851"/>
      <c r="AB29" s="2851"/>
      <c r="AC29" s="2851"/>
      <c r="AD29" s="2851"/>
      <c r="AE29" s="2851"/>
      <c r="AF29" s="2851"/>
      <c r="AG29" s="2851"/>
      <c r="AH29" s="2851"/>
      <c r="AI29" s="2851"/>
      <c r="AJ29" s="2851"/>
      <c r="AK29" s="2851"/>
      <c r="AL29" s="2851"/>
      <c r="AM29" s="2851"/>
      <c r="AN29" s="2851"/>
      <c r="AO29" s="2851"/>
      <c r="AP29" s="2851"/>
      <c r="AQ29" s="2851"/>
      <c r="AR29" s="2851"/>
      <c r="AS29" s="347"/>
      <c r="AT29" s="347"/>
      <c r="AU29" s="347"/>
      <c r="AV29" s="347"/>
      <c r="AW29" s="347"/>
      <c r="AX29" s="347"/>
      <c r="AY29" s="347"/>
      <c r="AZ29" s="347"/>
      <c r="BA29" s="347"/>
    </row>
    <row r="30" spans="1:53" s="134" customFormat="1">
      <c r="A30" s="347"/>
      <c r="B30" s="347"/>
      <c r="C30" s="2851" t="s">
        <v>1729</v>
      </c>
      <c r="D30" s="2851"/>
      <c r="E30" s="2851"/>
      <c r="F30" s="2851"/>
      <c r="G30" s="2851"/>
      <c r="H30" s="2851"/>
      <c r="I30" s="2851"/>
      <c r="J30" s="2851"/>
      <c r="K30" s="2851"/>
      <c r="L30" s="2851"/>
      <c r="M30" s="2851"/>
      <c r="N30" s="2851"/>
      <c r="O30" s="2851"/>
      <c r="P30" s="2851"/>
      <c r="Q30" s="2851"/>
      <c r="R30" s="2851"/>
      <c r="S30" s="2851"/>
      <c r="T30" s="2851"/>
      <c r="U30" s="2851"/>
      <c r="V30" s="2851"/>
      <c r="W30" s="2851"/>
      <c r="X30" s="2851"/>
      <c r="Y30" s="2851"/>
      <c r="Z30" s="2851"/>
      <c r="AA30" s="2851"/>
      <c r="AB30" s="2851"/>
      <c r="AC30" s="2851"/>
      <c r="AD30" s="2851"/>
      <c r="AE30" s="2851"/>
      <c r="AF30" s="2851"/>
      <c r="AG30" s="2851"/>
      <c r="AH30" s="2851"/>
      <c r="AI30" s="2851"/>
      <c r="AJ30" s="2851"/>
      <c r="AK30" s="2851"/>
      <c r="AL30" s="2851"/>
      <c r="AM30" s="2851"/>
      <c r="AN30" s="2851"/>
      <c r="AO30" s="2851"/>
      <c r="AP30" s="2851"/>
      <c r="AQ30" s="2851"/>
      <c r="AR30" s="2851"/>
      <c r="AS30" s="347"/>
      <c r="AT30" s="347"/>
      <c r="AU30" s="347"/>
      <c r="AV30" s="347"/>
      <c r="AW30" s="347"/>
      <c r="AX30" s="347"/>
      <c r="AY30" s="347"/>
      <c r="AZ30" s="347"/>
      <c r="BA30" s="347"/>
    </row>
    <row r="31" spans="1:53" s="134" customFormat="1">
      <c r="A31" s="347"/>
      <c r="B31" s="347"/>
      <c r="C31" s="2851" t="s">
        <v>1730</v>
      </c>
      <c r="D31" s="2851"/>
      <c r="E31" s="2851"/>
      <c r="F31" s="2851"/>
      <c r="G31" s="2851"/>
      <c r="H31" s="2851"/>
      <c r="I31" s="2851"/>
      <c r="J31" s="2851"/>
      <c r="K31" s="2851"/>
      <c r="L31" s="2851"/>
      <c r="M31" s="2851"/>
      <c r="N31" s="2851"/>
      <c r="O31" s="2851"/>
      <c r="P31" s="2851"/>
      <c r="Q31" s="2851"/>
      <c r="R31" s="2851"/>
      <c r="S31" s="2851"/>
      <c r="T31" s="2851"/>
      <c r="U31" s="2851"/>
      <c r="V31" s="2851"/>
      <c r="W31" s="2851"/>
      <c r="X31" s="2851"/>
      <c r="Y31" s="2851"/>
      <c r="Z31" s="2851"/>
      <c r="AA31" s="2851"/>
      <c r="AB31" s="2851"/>
      <c r="AC31" s="2851"/>
      <c r="AD31" s="2851"/>
      <c r="AE31" s="2851"/>
      <c r="AF31" s="2851"/>
      <c r="AG31" s="2851"/>
      <c r="AH31" s="2851"/>
      <c r="AI31" s="2851"/>
      <c r="AJ31" s="2851"/>
      <c r="AK31" s="2851"/>
      <c r="AL31" s="2851"/>
      <c r="AM31" s="2851"/>
      <c r="AN31" s="2851"/>
      <c r="AO31" s="2851"/>
      <c r="AP31" s="2851"/>
      <c r="AQ31" s="2851"/>
      <c r="AR31" s="2851"/>
      <c r="AS31" s="347"/>
      <c r="AT31" s="347"/>
      <c r="AU31" s="347"/>
      <c r="AV31" s="347"/>
      <c r="AW31" s="347"/>
      <c r="AX31" s="347"/>
      <c r="AY31" s="347"/>
      <c r="AZ31" s="347"/>
      <c r="BA31" s="347"/>
    </row>
    <row r="32" spans="1:53" s="32" customFormat="1">
      <c r="A32" s="347"/>
      <c r="B32" s="2802" t="s">
        <v>1731</v>
      </c>
      <c r="C32" s="2802"/>
      <c r="D32" s="2802"/>
      <c r="E32" s="2802"/>
      <c r="F32" s="2802"/>
      <c r="G32" s="2802"/>
      <c r="H32" s="2802"/>
      <c r="I32" s="2802"/>
      <c r="J32" s="2802"/>
      <c r="K32" s="2802"/>
      <c r="L32" s="2802"/>
      <c r="M32" s="2802"/>
      <c r="N32" s="2802"/>
      <c r="O32" s="2802"/>
      <c r="P32" s="2802"/>
      <c r="Q32" s="2802"/>
      <c r="R32" s="2802"/>
      <c r="S32" s="2802"/>
      <c r="T32" s="2802"/>
      <c r="U32" s="2802"/>
      <c r="V32" s="2802"/>
      <c r="W32" s="2802"/>
      <c r="X32" s="2802"/>
      <c r="Y32" s="2802"/>
      <c r="Z32" s="2802"/>
      <c r="AA32" s="2802"/>
      <c r="AB32" s="2802"/>
      <c r="AC32" s="2802"/>
      <c r="AD32" s="2802"/>
      <c r="AE32" s="2802"/>
      <c r="AF32" s="2802"/>
      <c r="AG32" s="2802"/>
      <c r="AH32" s="2802"/>
      <c r="AI32" s="2802"/>
      <c r="AJ32" s="2802"/>
      <c r="AK32" s="2802"/>
      <c r="AL32" s="2802"/>
      <c r="AM32" s="2802"/>
      <c r="AN32" s="2802"/>
      <c r="AO32" s="2802"/>
      <c r="AP32" s="2802"/>
      <c r="AQ32" s="2802"/>
      <c r="AR32" s="2802"/>
      <c r="AS32" s="347"/>
      <c r="AT32" s="347"/>
      <c r="AU32" s="347"/>
      <c r="AV32" s="347"/>
      <c r="AW32" s="347"/>
      <c r="AX32" s="347"/>
      <c r="AY32" s="347"/>
      <c r="AZ32" s="347"/>
      <c r="BA32" s="347"/>
    </row>
    <row r="33" spans="1:53" s="134" customFormat="1">
      <c r="A33" s="347"/>
      <c r="B33" s="347"/>
      <c r="C33" s="2850" t="s">
        <v>1732</v>
      </c>
      <c r="D33" s="2850"/>
      <c r="E33" s="2850"/>
      <c r="F33" s="2850"/>
      <c r="G33" s="2850"/>
      <c r="H33" s="2850"/>
      <c r="I33" s="2850"/>
      <c r="J33" s="2850"/>
      <c r="K33" s="2850"/>
      <c r="L33" s="2850"/>
      <c r="M33" s="2850"/>
      <c r="N33" s="2850"/>
      <c r="O33" s="2850"/>
      <c r="P33" s="2850"/>
      <c r="Q33" s="2850"/>
      <c r="R33" s="2850"/>
      <c r="S33" s="2850"/>
      <c r="T33" s="2850"/>
      <c r="U33" s="2850"/>
      <c r="V33" s="2850"/>
      <c r="W33" s="2850"/>
      <c r="X33" s="2850"/>
      <c r="Y33" s="2850"/>
      <c r="Z33" s="2850"/>
      <c r="AA33" s="2850"/>
      <c r="AB33" s="2850"/>
      <c r="AC33" s="2850"/>
      <c r="AD33" s="2850"/>
      <c r="AE33" s="2850"/>
      <c r="AF33" s="2850"/>
      <c r="AG33" s="2850"/>
      <c r="AH33" s="2850"/>
      <c r="AI33" s="2850"/>
      <c r="AJ33" s="2850"/>
      <c r="AK33" s="2850"/>
      <c r="AL33" s="2850"/>
      <c r="AM33" s="2850"/>
      <c r="AN33" s="2850"/>
      <c r="AO33" s="2850"/>
      <c r="AP33" s="2850"/>
      <c r="AQ33" s="2850"/>
      <c r="AR33" s="2850"/>
      <c r="AS33" s="347"/>
      <c r="AT33" s="347"/>
      <c r="AU33" s="347"/>
      <c r="AV33" s="347"/>
      <c r="AW33" s="347"/>
      <c r="AX33" s="347"/>
      <c r="AY33" s="347"/>
      <c r="AZ33" s="347"/>
      <c r="BA33" s="347"/>
    </row>
    <row r="34" spans="1:53" s="134" customFormat="1">
      <c r="A34" s="347"/>
      <c r="B34" s="347"/>
      <c r="C34" s="2850" t="s">
        <v>1733</v>
      </c>
      <c r="D34" s="2850"/>
      <c r="E34" s="2850"/>
      <c r="F34" s="2850"/>
      <c r="G34" s="2850"/>
      <c r="H34" s="2850"/>
      <c r="I34" s="2850"/>
      <c r="J34" s="2850"/>
      <c r="K34" s="2850"/>
      <c r="L34" s="2850"/>
      <c r="M34" s="2850"/>
      <c r="N34" s="2850"/>
      <c r="O34" s="2850"/>
      <c r="P34" s="2850"/>
      <c r="Q34" s="2850"/>
      <c r="R34" s="2850"/>
      <c r="S34" s="2850"/>
      <c r="T34" s="2850"/>
      <c r="U34" s="2850"/>
      <c r="V34" s="2850"/>
      <c r="W34" s="2850"/>
      <c r="X34" s="2850"/>
      <c r="Y34" s="2850"/>
      <c r="Z34" s="2850"/>
      <c r="AA34" s="2850"/>
      <c r="AB34" s="2850"/>
      <c r="AC34" s="2850"/>
      <c r="AD34" s="2850"/>
      <c r="AE34" s="2850"/>
      <c r="AF34" s="2850"/>
      <c r="AG34" s="2850"/>
      <c r="AH34" s="2850"/>
      <c r="AI34" s="2850"/>
      <c r="AJ34" s="2850"/>
      <c r="AK34" s="2850"/>
      <c r="AL34" s="2850"/>
      <c r="AM34" s="2850"/>
      <c r="AN34" s="2850"/>
      <c r="AO34" s="2850"/>
      <c r="AP34" s="2850"/>
      <c r="AQ34" s="2850"/>
      <c r="AR34" s="2850"/>
      <c r="AS34" s="347"/>
      <c r="AT34" s="347"/>
      <c r="AU34" s="347"/>
      <c r="AV34" s="347"/>
      <c r="AW34" s="347"/>
      <c r="AX34" s="347"/>
      <c r="AY34" s="347"/>
      <c r="AZ34" s="347"/>
      <c r="BA34" s="347"/>
    </row>
    <row r="35" spans="1:53" s="134" customFormat="1">
      <c r="A35" s="347"/>
      <c r="B35" s="347"/>
      <c r="C35" s="2851" t="s">
        <v>1734</v>
      </c>
      <c r="D35" s="2851"/>
      <c r="E35" s="2851"/>
      <c r="F35" s="2851"/>
      <c r="G35" s="2851"/>
      <c r="H35" s="2851"/>
      <c r="I35" s="2851"/>
      <c r="J35" s="2851"/>
      <c r="K35" s="2851"/>
      <c r="L35" s="2851"/>
      <c r="M35" s="2851"/>
      <c r="N35" s="2851"/>
      <c r="O35" s="2851"/>
      <c r="P35" s="2851"/>
      <c r="Q35" s="2851"/>
      <c r="R35" s="2851"/>
      <c r="S35" s="2851"/>
      <c r="T35" s="2851"/>
      <c r="U35" s="2851"/>
      <c r="V35" s="2851"/>
      <c r="W35" s="2851"/>
      <c r="X35" s="2851"/>
      <c r="Y35" s="2851"/>
      <c r="Z35" s="2851"/>
      <c r="AA35" s="2851"/>
      <c r="AB35" s="2851"/>
      <c r="AC35" s="2851"/>
      <c r="AD35" s="2851"/>
      <c r="AE35" s="2851"/>
      <c r="AF35" s="2851"/>
      <c r="AG35" s="2851"/>
      <c r="AH35" s="2851"/>
      <c r="AI35" s="2851"/>
      <c r="AJ35" s="2851"/>
      <c r="AK35" s="2851"/>
      <c r="AL35" s="2851"/>
      <c r="AM35" s="2851"/>
      <c r="AN35" s="2851"/>
      <c r="AO35" s="2851"/>
      <c r="AP35" s="2851"/>
      <c r="AQ35" s="2851"/>
      <c r="AR35" s="2851"/>
      <c r="AS35" s="347"/>
      <c r="AT35" s="347"/>
      <c r="AU35" s="347"/>
      <c r="AV35" s="347"/>
      <c r="AW35" s="347"/>
      <c r="AX35" s="347"/>
      <c r="AY35" s="347"/>
      <c r="AZ35" s="347"/>
      <c r="BA35" s="347"/>
    </row>
    <row r="36" spans="1:53" s="134" customFormat="1">
      <c r="A36" s="347"/>
      <c r="B36" s="347"/>
      <c r="C36" s="2851" t="s">
        <v>1735</v>
      </c>
      <c r="D36" s="2851"/>
      <c r="E36" s="2851"/>
      <c r="F36" s="2851"/>
      <c r="G36" s="2851"/>
      <c r="H36" s="2851"/>
      <c r="I36" s="2851"/>
      <c r="J36" s="2851"/>
      <c r="K36" s="2851"/>
      <c r="L36" s="2851"/>
      <c r="M36" s="2851"/>
      <c r="N36" s="2851"/>
      <c r="O36" s="2851"/>
      <c r="P36" s="2851"/>
      <c r="Q36" s="2851"/>
      <c r="R36" s="2851"/>
      <c r="S36" s="2851"/>
      <c r="T36" s="2851"/>
      <c r="U36" s="2851"/>
      <c r="V36" s="2851"/>
      <c r="W36" s="2851"/>
      <c r="X36" s="2851"/>
      <c r="Y36" s="2851"/>
      <c r="Z36" s="2851"/>
      <c r="AA36" s="2851"/>
      <c r="AB36" s="2851"/>
      <c r="AC36" s="2851"/>
      <c r="AD36" s="2851"/>
      <c r="AE36" s="2851"/>
      <c r="AF36" s="2851"/>
      <c r="AG36" s="2851"/>
      <c r="AH36" s="2851"/>
      <c r="AI36" s="2851"/>
      <c r="AJ36" s="2851"/>
      <c r="AK36" s="2851"/>
      <c r="AL36" s="2851"/>
      <c r="AM36" s="2851"/>
      <c r="AN36" s="2851"/>
      <c r="AO36" s="2851"/>
      <c r="AP36" s="2851"/>
      <c r="AQ36" s="2851"/>
      <c r="AR36" s="2851"/>
      <c r="AS36" s="347"/>
      <c r="AT36" s="347"/>
      <c r="AU36" s="347"/>
      <c r="AV36" s="347"/>
      <c r="AW36" s="347"/>
      <c r="AX36" s="347"/>
      <c r="AY36" s="347"/>
      <c r="AZ36" s="347"/>
      <c r="BA36" s="347"/>
    </row>
    <row r="37" spans="1:53" s="32" customFormat="1" ht="14.1" customHeight="1">
      <c r="A37" s="347"/>
      <c r="B37" s="2852" t="s">
        <v>1736</v>
      </c>
      <c r="C37" s="2852"/>
      <c r="D37" s="2852"/>
      <c r="E37" s="2852"/>
      <c r="F37" s="2852"/>
      <c r="G37" s="2852"/>
      <c r="H37" s="2852"/>
      <c r="I37" s="2852"/>
      <c r="J37" s="2852"/>
      <c r="K37" s="2852"/>
      <c r="L37" s="2852"/>
      <c r="M37" s="2852"/>
      <c r="N37" s="2852"/>
      <c r="O37" s="2852"/>
      <c r="P37" s="2852"/>
      <c r="Q37" s="2852"/>
      <c r="R37" s="2852"/>
      <c r="S37" s="2852"/>
      <c r="T37" s="2852"/>
      <c r="U37" s="2852"/>
      <c r="V37" s="2852"/>
      <c r="W37" s="2852"/>
      <c r="X37" s="2852"/>
      <c r="Y37" s="2852"/>
      <c r="Z37" s="2852"/>
      <c r="AA37" s="2852"/>
      <c r="AB37" s="2852"/>
      <c r="AC37" s="2852"/>
      <c r="AD37" s="2852"/>
      <c r="AE37" s="2852"/>
      <c r="AF37" s="2852"/>
      <c r="AG37" s="2852"/>
      <c r="AH37" s="2852"/>
      <c r="AI37" s="2852"/>
      <c r="AJ37" s="2852"/>
      <c r="AK37" s="2852"/>
      <c r="AL37" s="2852"/>
      <c r="AM37" s="2852"/>
      <c r="AN37" s="2852"/>
      <c r="AO37" s="2852"/>
      <c r="AP37" s="2852"/>
      <c r="AQ37" s="2852"/>
      <c r="AR37" s="2852"/>
      <c r="AS37" s="347"/>
      <c r="AT37" s="347"/>
      <c r="AU37" s="347"/>
      <c r="AV37" s="347"/>
      <c r="AW37" s="347"/>
      <c r="AX37" s="347"/>
      <c r="AY37" s="347"/>
      <c r="AZ37" s="347"/>
      <c r="BA37" s="347"/>
    </row>
    <row r="38" spans="1:53" s="32" customFormat="1" ht="14.1" customHeight="1">
      <c r="A38" s="347"/>
      <c r="B38" s="2852" t="s">
        <v>1737</v>
      </c>
      <c r="C38" s="2852"/>
      <c r="D38" s="2852"/>
      <c r="E38" s="2852"/>
      <c r="F38" s="2852"/>
      <c r="G38" s="2852"/>
      <c r="H38" s="2852"/>
      <c r="I38" s="2852"/>
      <c r="J38" s="2852"/>
      <c r="K38" s="2852"/>
      <c r="L38" s="2852"/>
      <c r="M38" s="2852"/>
      <c r="N38" s="2852"/>
      <c r="O38" s="2852"/>
      <c r="P38" s="2852"/>
      <c r="Q38" s="2852"/>
      <c r="R38" s="2852"/>
      <c r="S38" s="2852"/>
      <c r="T38" s="2852"/>
      <c r="U38" s="2852"/>
      <c r="V38" s="2852"/>
      <c r="W38" s="2852"/>
      <c r="X38" s="2852"/>
      <c r="Y38" s="2852"/>
      <c r="Z38" s="2852"/>
      <c r="AA38" s="2852"/>
      <c r="AB38" s="2852"/>
      <c r="AC38" s="2852"/>
      <c r="AD38" s="2852"/>
      <c r="AE38" s="2852"/>
      <c r="AF38" s="2852"/>
      <c r="AG38" s="2852"/>
      <c r="AH38" s="2852"/>
      <c r="AI38" s="2852"/>
      <c r="AJ38" s="2852"/>
      <c r="AK38" s="2852"/>
      <c r="AL38" s="2852"/>
      <c r="AM38" s="2852"/>
      <c r="AN38" s="2852"/>
      <c r="AO38" s="2852"/>
      <c r="AP38" s="2852"/>
      <c r="AQ38" s="2852"/>
      <c r="AR38" s="2852"/>
      <c r="AS38" s="347"/>
      <c r="AT38" s="347"/>
      <c r="AU38" s="347"/>
      <c r="AV38" s="347"/>
      <c r="AW38" s="347"/>
      <c r="AX38" s="347"/>
      <c r="AY38" s="347"/>
      <c r="AZ38" s="347"/>
      <c r="BA38" s="347"/>
    </row>
    <row r="39" spans="1:53" s="32" customFormat="1">
      <c r="A39" s="347"/>
      <c r="B39" s="774"/>
      <c r="C39" s="774"/>
      <c r="D39" s="774"/>
      <c r="E39" s="774"/>
      <c r="F39" s="774"/>
      <c r="G39" s="774"/>
      <c r="H39" s="774"/>
      <c r="I39" s="774"/>
      <c r="J39" s="774"/>
      <c r="K39" s="774"/>
      <c r="L39" s="774"/>
      <c r="M39" s="774"/>
      <c r="N39" s="774"/>
      <c r="O39" s="774"/>
      <c r="P39" s="774"/>
      <c r="Q39" s="774"/>
      <c r="R39" s="774"/>
      <c r="S39" s="774"/>
      <c r="T39" s="774"/>
      <c r="U39" s="774"/>
      <c r="V39" s="774"/>
      <c r="W39" s="774"/>
      <c r="X39" s="774"/>
      <c r="Y39" s="774"/>
      <c r="Z39" s="774"/>
      <c r="AA39" s="774"/>
      <c r="AB39" s="774"/>
      <c r="AC39" s="774"/>
      <c r="AD39" s="774"/>
      <c r="AE39" s="774"/>
      <c r="AF39" s="774"/>
      <c r="AG39" s="774"/>
      <c r="AH39" s="774"/>
      <c r="AI39" s="774"/>
      <c r="AJ39" s="774"/>
      <c r="AK39" s="774"/>
      <c r="AL39" s="774"/>
      <c r="AM39" s="774"/>
      <c r="AN39" s="774"/>
      <c r="AO39" s="774"/>
      <c r="AP39" s="774"/>
      <c r="AQ39" s="774"/>
      <c r="AR39" s="347"/>
      <c r="AS39" s="347"/>
      <c r="AT39" s="347"/>
      <c r="AU39" s="347"/>
      <c r="AV39" s="347"/>
      <c r="AW39" s="347"/>
      <c r="AX39" s="347"/>
      <c r="AY39" s="347"/>
      <c r="AZ39" s="347"/>
      <c r="BA39" s="347"/>
    </row>
    <row r="40" spans="1:53" s="3" customFormat="1" ht="17.25">
      <c r="A40" s="240"/>
      <c r="B40" s="2791" t="s">
        <v>1738</v>
      </c>
      <c r="C40" s="2791"/>
      <c r="D40" s="2791"/>
      <c r="E40" s="2791"/>
      <c r="F40" s="2791"/>
      <c r="G40" s="2791"/>
      <c r="H40" s="2791"/>
      <c r="I40" s="2791"/>
      <c r="J40" s="2791"/>
      <c r="K40" s="2791"/>
      <c r="L40" s="2791"/>
      <c r="M40" s="2791"/>
      <c r="N40" s="2791"/>
      <c r="O40" s="2791"/>
      <c r="P40" s="2791"/>
      <c r="Q40" s="2791"/>
      <c r="R40" s="2791"/>
      <c r="S40" s="2791"/>
      <c r="T40" s="2791"/>
      <c r="U40" s="2791"/>
      <c r="V40" s="2791"/>
      <c r="W40" s="2791"/>
      <c r="X40" s="2791"/>
      <c r="Y40" s="2791"/>
      <c r="Z40" s="2791"/>
      <c r="AA40" s="2791"/>
      <c r="AB40" s="2791"/>
      <c r="AC40" s="2791"/>
      <c r="AD40" s="2791"/>
      <c r="AE40" s="2791"/>
      <c r="AF40" s="2791"/>
      <c r="AG40" s="2791"/>
      <c r="AH40" s="2791"/>
      <c r="AI40" s="2791"/>
      <c r="AJ40" s="2791"/>
      <c r="AK40" s="2791"/>
      <c r="AL40" s="2791"/>
      <c r="AM40" s="2791"/>
      <c r="AN40" s="2791"/>
      <c r="AO40" s="2791"/>
      <c r="AP40" s="2791"/>
      <c r="AQ40" s="2791"/>
      <c r="AR40" s="2791"/>
      <c r="AS40" s="240"/>
      <c r="AT40" s="240"/>
      <c r="AU40" s="240"/>
      <c r="AV40" s="240"/>
      <c r="AW40" s="240"/>
      <c r="AX40" s="240"/>
      <c r="AY40" s="240"/>
      <c r="AZ40" s="240"/>
      <c r="BA40" s="240"/>
    </row>
    <row r="41" spans="1:53" s="3" customFormat="1" ht="30.75" customHeight="1">
      <c r="A41" s="240"/>
      <c r="B41" s="274"/>
      <c r="C41" s="274"/>
      <c r="D41" s="274"/>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row>
    <row r="42" spans="1:53" s="37" customFormat="1">
      <c r="A42" s="263"/>
      <c r="B42" s="332" t="s">
        <v>32</v>
      </c>
      <c r="C42" s="263"/>
      <c r="D42" s="263"/>
      <c r="E42" s="263"/>
      <c r="F42" s="263"/>
      <c r="G42" s="263"/>
      <c r="H42" s="263"/>
      <c r="I42" s="263"/>
      <c r="J42" s="263"/>
      <c r="K42" s="263"/>
      <c r="L42" s="263"/>
      <c r="M42" s="263"/>
      <c r="N42" s="263"/>
      <c r="O42" s="263"/>
      <c r="P42" s="263"/>
      <c r="Q42" s="263"/>
      <c r="R42" s="332" t="s">
        <v>444</v>
      </c>
      <c r="S42" s="332"/>
      <c r="T42" s="263"/>
      <c r="U42" s="263"/>
      <c r="V42" s="263"/>
      <c r="W42" s="263"/>
      <c r="X42" s="263"/>
      <c r="Y42" s="263"/>
      <c r="Z42" s="263"/>
      <c r="AA42" s="263"/>
      <c r="AB42" s="263"/>
      <c r="AC42" s="263"/>
      <c r="AD42" s="263"/>
      <c r="AE42" s="263"/>
      <c r="AF42" s="263"/>
      <c r="AG42" s="332" t="s">
        <v>33</v>
      </c>
      <c r="AH42" s="263"/>
      <c r="AI42" s="263"/>
      <c r="AJ42" s="263"/>
      <c r="AK42" s="263"/>
      <c r="AL42" s="263"/>
      <c r="AM42" s="263"/>
      <c r="AN42" s="263"/>
      <c r="AO42" s="263"/>
      <c r="AP42" s="263"/>
      <c r="AQ42" s="263"/>
      <c r="AR42" s="263"/>
      <c r="AS42" s="263"/>
      <c r="AT42" s="263"/>
      <c r="AU42" s="263"/>
      <c r="AV42" s="263"/>
      <c r="AW42" s="263"/>
      <c r="AX42" s="263"/>
      <c r="AY42" s="263"/>
      <c r="AZ42" s="263"/>
      <c r="BA42" s="263"/>
    </row>
    <row r="43" spans="1:53" s="37" customFormat="1" ht="21.75" customHeight="1">
      <c r="A43" s="263"/>
      <c r="B43" s="332" t="s">
        <v>73</v>
      </c>
      <c r="C43" s="263"/>
      <c r="D43" s="263"/>
      <c r="E43" s="263"/>
      <c r="F43" s="2790" t="str">
        <f>activesheet!E21</f>
        <v>MELCHESIEDICK Q. BOLANIO / March 17, 2023</v>
      </c>
      <c r="G43" s="2790"/>
      <c r="H43" s="2790"/>
      <c r="I43" s="2790"/>
      <c r="J43" s="2790"/>
      <c r="K43" s="2790"/>
      <c r="L43" s="2790"/>
      <c r="M43" s="2790"/>
      <c r="N43" s="2790"/>
      <c r="O43" s="263"/>
      <c r="P43" s="263"/>
      <c r="Q43" s="263"/>
      <c r="R43" s="1819" t="str">
        <f>activesheet!E1922</f>
        <v>ANNE VALERIE KERSTEINE I. VILLANUEVA / March 17, 2023</v>
      </c>
      <c r="S43" s="1819"/>
      <c r="T43" s="1819"/>
      <c r="U43" s="1819"/>
      <c r="V43" s="1819"/>
      <c r="W43" s="1819"/>
      <c r="X43" s="1819"/>
      <c r="Y43" s="1819"/>
      <c r="Z43" s="1819"/>
      <c r="AA43" s="1819"/>
      <c r="AB43" s="1819"/>
      <c r="AC43" s="1819"/>
      <c r="AD43" s="245"/>
      <c r="AE43" s="245"/>
      <c r="AF43" s="263"/>
      <c r="AG43" s="1819" t="str">
        <f>activesheet!E25</f>
        <v>MICHAEL T. JAMIS / March 17, 2023</v>
      </c>
      <c r="AH43" s="1819"/>
      <c r="AI43" s="1819"/>
      <c r="AJ43" s="1819"/>
      <c r="AK43" s="1819"/>
      <c r="AL43" s="1819"/>
      <c r="AM43" s="1819"/>
      <c r="AN43" s="1819"/>
      <c r="AO43" s="1819"/>
      <c r="AP43" s="1819"/>
      <c r="AQ43" s="1819"/>
      <c r="AR43" s="1819"/>
      <c r="AS43" s="245"/>
      <c r="AT43" s="263"/>
      <c r="AU43" s="263"/>
      <c r="AV43" s="263"/>
      <c r="AW43" s="263"/>
      <c r="AX43" s="263"/>
      <c r="AY43" s="263"/>
      <c r="AZ43" s="263"/>
      <c r="BA43" s="263"/>
    </row>
    <row r="44" spans="1:53" s="39" customFormat="1">
      <c r="A44" s="280"/>
      <c r="B44" s="228"/>
      <c r="C44" s="280"/>
      <c r="D44" s="280"/>
      <c r="E44" s="280"/>
      <c r="F44" s="1811" t="s">
        <v>37</v>
      </c>
      <c r="G44" s="1811"/>
      <c r="H44" s="1811"/>
      <c r="I44" s="1811"/>
      <c r="J44" s="1811"/>
      <c r="K44" s="1811"/>
      <c r="L44" s="1811"/>
      <c r="M44" s="1811"/>
      <c r="N44" s="1811"/>
      <c r="O44" s="228"/>
      <c r="P44" s="228"/>
      <c r="Q44" s="228"/>
      <c r="R44" s="1820"/>
      <c r="S44" s="1820"/>
      <c r="T44" s="1820"/>
      <c r="U44" s="1820"/>
      <c r="V44" s="1820"/>
      <c r="W44" s="1820"/>
      <c r="X44" s="1820"/>
      <c r="Y44" s="1820"/>
      <c r="Z44" s="1820"/>
      <c r="AA44" s="1820"/>
      <c r="AB44" s="1820"/>
      <c r="AC44" s="1820"/>
      <c r="AD44" s="245"/>
      <c r="AE44" s="245"/>
      <c r="AF44" s="263"/>
      <c r="AG44" s="1820"/>
      <c r="AH44" s="1820"/>
      <c r="AI44" s="1820"/>
      <c r="AJ44" s="1820"/>
      <c r="AK44" s="1820"/>
      <c r="AL44" s="1820"/>
      <c r="AM44" s="1820"/>
      <c r="AN44" s="1820"/>
      <c r="AO44" s="1820"/>
      <c r="AP44" s="1820"/>
      <c r="AQ44" s="1820"/>
      <c r="AR44" s="1820"/>
      <c r="AS44" s="245"/>
      <c r="AT44" s="263"/>
      <c r="AU44" s="228"/>
      <c r="AV44" s="280"/>
      <c r="AW44" s="280"/>
      <c r="AX44" s="280"/>
      <c r="AY44" s="280"/>
      <c r="AZ44" s="280"/>
      <c r="BA44" s="280"/>
    </row>
    <row r="45" spans="1:53" s="37" customFormat="1" ht="21.75" customHeight="1">
      <c r="A45" s="263"/>
      <c r="B45" s="332" t="s">
        <v>58</v>
      </c>
      <c r="C45" s="263"/>
      <c r="D45" s="263"/>
      <c r="E45" s="263"/>
      <c r="F45" s="2790" t="str">
        <f>activesheet!E22</f>
        <v>SECONDARY SCHOOL PRINCIPAL IV</v>
      </c>
      <c r="G45" s="2790"/>
      <c r="H45" s="2790"/>
      <c r="I45" s="2790"/>
      <c r="J45" s="2790"/>
      <c r="K45" s="2790"/>
      <c r="L45" s="2790"/>
      <c r="M45" s="2790"/>
      <c r="N45" s="2790"/>
      <c r="O45" s="263"/>
      <c r="P45" s="263"/>
      <c r="Q45" s="263"/>
      <c r="R45" s="1811" t="s">
        <v>37</v>
      </c>
      <c r="S45" s="1811"/>
      <c r="T45" s="1811"/>
      <c r="U45" s="1811"/>
      <c r="V45" s="1811"/>
      <c r="W45" s="1811"/>
      <c r="X45" s="1811"/>
      <c r="Y45" s="1811"/>
      <c r="Z45" s="1811"/>
      <c r="AA45" s="1811"/>
      <c r="AB45" s="1811"/>
      <c r="AC45" s="1811"/>
      <c r="AD45" s="247"/>
      <c r="AE45" s="247"/>
      <c r="AF45" s="321"/>
      <c r="AG45" s="1811" t="s">
        <v>37</v>
      </c>
      <c r="AH45" s="1811"/>
      <c r="AI45" s="1811"/>
      <c r="AJ45" s="1811"/>
      <c r="AK45" s="1811"/>
      <c r="AL45" s="1811"/>
      <c r="AM45" s="1811"/>
      <c r="AN45" s="1811"/>
      <c r="AO45" s="1811"/>
      <c r="AP45" s="1811"/>
      <c r="AQ45" s="1811"/>
      <c r="AR45" s="1811"/>
      <c r="AS45" s="247"/>
      <c r="AT45" s="228"/>
      <c r="AU45" s="263"/>
      <c r="AV45" s="263"/>
      <c r="AW45" s="263"/>
      <c r="AX45" s="263"/>
      <c r="AY45" s="263"/>
      <c r="AZ45" s="263"/>
      <c r="BA45" s="263"/>
    </row>
    <row r="46" spans="1:53">
      <c r="A46" s="599"/>
      <c r="B46" s="599"/>
      <c r="C46" s="599"/>
      <c r="D46" s="599"/>
      <c r="E46" s="599"/>
      <c r="F46" s="599"/>
      <c r="G46" s="599"/>
      <c r="H46" s="599"/>
      <c r="I46" s="599"/>
      <c r="J46" s="599"/>
      <c r="K46" s="599"/>
      <c r="L46" s="599"/>
      <c r="M46" s="599"/>
      <c r="N46" s="599"/>
      <c r="O46" s="599"/>
      <c r="P46" s="599"/>
      <c r="Q46" s="599"/>
      <c r="R46" s="599"/>
      <c r="S46" s="599"/>
      <c r="T46" s="599"/>
      <c r="U46" s="599"/>
      <c r="V46" s="599"/>
      <c r="W46" s="599"/>
      <c r="X46" s="599"/>
      <c r="Y46" s="599"/>
      <c r="Z46" s="599"/>
      <c r="AA46" s="599"/>
      <c r="AB46" s="599"/>
      <c r="AC46" s="599"/>
      <c r="AD46" s="263"/>
      <c r="AE46" s="263"/>
      <c r="AF46" s="263"/>
      <c r="AG46" s="599"/>
      <c r="AH46" s="599"/>
      <c r="AI46" s="599"/>
      <c r="AJ46" s="599"/>
      <c r="AK46" s="599"/>
      <c r="AL46" s="599"/>
      <c r="AM46" s="599"/>
      <c r="AN46" s="599"/>
      <c r="AO46" s="599"/>
      <c r="AP46" s="599"/>
      <c r="AQ46" s="599"/>
      <c r="AR46" s="599"/>
      <c r="AS46" s="263"/>
      <c r="AT46" s="599"/>
      <c r="AU46" s="599"/>
      <c r="AV46" s="599"/>
      <c r="AW46" s="599"/>
      <c r="AX46" s="599"/>
      <c r="AY46" s="599"/>
      <c r="AZ46" s="599"/>
    </row>
    <row r="47" spans="1:53">
      <c r="A47" s="599"/>
      <c r="B47" s="599"/>
      <c r="C47" s="599"/>
      <c r="D47" s="599"/>
      <c r="E47" s="599"/>
      <c r="F47" s="599"/>
      <c r="G47" s="599"/>
      <c r="H47" s="599"/>
      <c r="I47" s="599"/>
      <c r="J47" s="599"/>
      <c r="K47" s="599"/>
      <c r="L47" s="599"/>
      <c r="M47" s="599"/>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599"/>
      <c r="AK47" s="599"/>
      <c r="AL47" s="599"/>
      <c r="AM47" s="599"/>
      <c r="AN47" s="599"/>
      <c r="AO47" s="599"/>
      <c r="AP47" s="599"/>
      <c r="AQ47" s="599"/>
      <c r="AR47" s="599"/>
      <c r="AS47" s="599"/>
      <c r="AT47" s="599"/>
      <c r="AU47" s="599"/>
      <c r="AV47" s="599"/>
      <c r="AW47" s="599"/>
      <c r="AX47" s="599"/>
      <c r="AY47" s="599"/>
      <c r="AZ47" s="599"/>
    </row>
    <row r="48" spans="1:53">
      <c r="A48" s="599"/>
      <c r="B48" s="599"/>
      <c r="C48" s="599"/>
      <c r="D48" s="599"/>
      <c r="E48" s="599"/>
      <c r="F48" s="599"/>
      <c r="G48" s="599"/>
      <c r="H48" s="599"/>
      <c r="I48" s="599"/>
      <c r="J48" s="599"/>
      <c r="K48" s="599"/>
      <c r="L48" s="599"/>
      <c r="M48" s="599"/>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599"/>
      <c r="AK48" s="599"/>
      <c r="AL48" s="599"/>
      <c r="AM48" s="599"/>
      <c r="AN48" s="599"/>
      <c r="AO48" s="599"/>
      <c r="AP48" s="599"/>
      <c r="AQ48" s="599"/>
      <c r="AR48" s="599"/>
      <c r="AS48" s="599"/>
      <c r="AT48" s="599"/>
      <c r="AU48" s="599"/>
      <c r="AV48" s="599"/>
      <c r="AW48" s="599"/>
      <c r="AX48" s="599"/>
      <c r="AY48" s="599"/>
      <c r="AZ48" s="599"/>
    </row>
    <row r="49" spans="1:52">
      <c r="A49" s="599"/>
      <c r="B49" s="599"/>
      <c r="C49" s="599"/>
      <c r="D49" s="599"/>
      <c r="E49" s="599"/>
      <c r="F49" s="599"/>
      <c r="G49" s="599"/>
      <c r="H49" s="599"/>
      <c r="I49" s="599"/>
      <c r="J49" s="599"/>
      <c r="K49" s="599"/>
      <c r="L49" s="599"/>
      <c r="M49" s="599"/>
      <c r="N49" s="599"/>
      <c r="O49" s="599"/>
      <c r="P49" s="599"/>
      <c r="Q49" s="599"/>
      <c r="R49" s="599"/>
      <c r="S49" s="599"/>
      <c r="T49" s="599"/>
      <c r="U49" s="599"/>
      <c r="V49" s="599"/>
      <c r="W49" s="599"/>
      <c r="X49" s="599"/>
      <c r="Y49" s="599"/>
      <c r="Z49" s="599"/>
      <c r="AA49" s="599"/>
      <c r="AB49" s="599"/>
      <c r="AC49" s="599"/>
      <c r="AD49" s="599"/>
      <c r="AE49" s="599"/>
      <c r="AF49" s="599"/>
      <c r="AG49" s="599"/>
      <c r="AH49" s="599"/>
      <c r="AI49" s="599"/>
      <c r="AJ49" s="599"/>
      <c r="AK49" s="599"/>
      <c r="AL49" s="599"/>
      <c r="AM49" s="599"/>
      <c r="AN49" s="599"/>
      <c r="AO49" s="599"/>
      <c r="AP49" s="599"/>
      <c r="AQ49" s="599"/>
      <c r="AR49" s="599"/>
      <c r="AS49" s="599"/>
      <c r="AT49" s="599"/>
      <c r="AU49" s="599"/>
      <c r="AV49" s="599"/>
      <c r="AW49" s="599"/>
      <c r="AX49" s="599"/>
      <c r="AY49" s="599"/>
      <c r="AZ49" s="599"/>
    </row>
    <row r="50" spans="1:52">
      <c r="A50" s="599"/>
      <c r="B50" s="599"/>
      <c r="C50" s="599"/>
      <c r="D50" s="599"/>
      <c r="E50" s="599"/>
      <c r="F50" s="599"/>
      <c r="G50" s="599"/>
      <c r="H50" s="599"/>
      <c r="I50" s="599"/>
      <c r="J50" s="599"/>
      <c r="K50" s="599"/>
      <c r="L50" s="599"/>
      <c r="M50" s="599"/>
      <c r="N50" s="599"/>
      <c r="O50" s="599"/>
      <c r="P50" s="599"/>
      <c r="Q50" s="599"/>
      <c r="R50" s="599"/>
      <c r="S50" s="599"/>
      <c r="T50" s="599"/>
      <c r="U50" s="599"/>
      <c r="V50" s="599"/>
      <c r="W50" s="599"/>
      <c r="X50" s="599"/>
      <c r="Y50" s="599"/>
      <c r="Z50" s="599"/>
      <c r="AA50" s="599"/>
      <c r="AB50" s="599"/>
      <c r="AC50" s="599"/>
      <c r="AD50" s="599"/>
      <c r="AE50" s="599"/>
      <c r="AF50" s="599"/>
      <c r="AG50" s="599"/>
      <c r="AH50" s="599"/>
      <c r="AI50" s="599"/>
      <c r="AJ50" s="599"/>
      <c r="AK50" s="599"/>
      <c r="AL50" s="599"/>
      <c r="AM50" s="599"/>
      <c r="AN50" s="599"/>
      <c r="AO50" s="599"/>
      <c r="AP50" s="599"/>
      <c r="AQ50" s="599"/>
      <c r="AR50" s="599"/>
      <c r="AS50" s="599"/>
      <c r="AT50" s="599"/>
      <c r="AU50" s="599"/>
      <c r="AV50" s="599"/>
      <c r="AW50" s="599"/>
      <c r="AX50" s="599"/>
      <c r="AY50" s="599"/>
      <c r="AZ50" s="599"/>
    </row>
    <row r="51" spans="1:52">
      <c r="A51" s="599"/>
      <c r="B51" s="599"/>
      <c r="C51" s="599"/>
      <c r="D51" s="599"/>
      <c r="E51" s="599"/>
      <c r="F51" s="599"/>
      <c r="G51" s="599"/>
      <c r="H51" s="599"/>
      <c r="I51" s="599"/>
      <c r="J51" s="599"/>
      <c r="K51" s="599"/>
      <c r="L51" s="599"/>
      <c r="M51" s="599"/>
      <c r="N51" s="599"/>
      <c r="O51" s="599"/>
      <c r="P51" s="599"/>
      <c r="Q51" s="599"/>
      <c r="R51" s="599"/>
      <c r="S51" s="599"/>
      <c r="T51" s="599"/>
      <c r="U51" s="599"/>
      <c r="V51" s="599"/>
      <c r="W51" s="599"/>
      <c r="X51" s="599"/>
      <c r="Y51" s="599"/>
      <c r="Z51" s="599"/>
      <c r="AA51" s="599"/>
      <c r="AB51" s="599"/>
      <c r="AC51" s="599"/>
      <c r="AD51" s="599"/>
      <c r="AE51" s="599"/>
      <c r="AF51" s="599"/>
      <c r="AG51" s="599"/>
      <c r="AH51" s="599"/>
      <c r="AI51" s="599"/>
      <c r="AJ51" s="599"/>
      <c r="AK51" s="599"/>
      <c r="AL51" s="599"/>
      <c r="AM51" s="599"/>
      <c r="AN51" s="599"/>
      <c r="AO51" s="599"/>
      <c r="AP51" s="599"/>
      <c r="AQ51" s="599"/>
      <c r="AR51" s="599"/>
      <c r="AS51" s="599"/>
      <c r="AT51" s="599"/>
      <c r="AU51" s="599"/>
      <c r="AV51" s="599"/>
      <c r="AW51" s="599"/>
      <c r="AX51" s="599"/>
      <c r="AY51" s="599"/>
      <c r="AZ51" s="599"/>
    </row>
    <row r="52" spans="1:52">
      <c r="A52" s="599"/>
      <c r="B52" s="599"/>
      <c r="C52" s="599"/>
      <c r="D52" s="599"/>
      <c r="E52" s="599"/>
      <c r="F52" s="599"/>
      <c r="G52" s="599"/>
      <c r="H52" s="599"/>
      <c r="I52" s="599"/>
      <c r="J52" s="599"/>
      <c r="K52" s="599"/>
      <c r="L52" s="599"/>
      <c r="M52" s="599"/>
      <c r="N52" s="599"/>
      <c r="O52" s="599"/>
      <c r="P52" s="599"/>
      <c r="Q52" s="599"/>
      <c r="R52" s="599"/>
      <c r="S52" s="599"/>
      <c r="T52" s="599"/>
      <c r="U52" s="599"/>
      <c r="V52" s="599"/>
      <c r="W52" s="599"/>
      <c r="X52" s="599"/>
      <c r="Y52" s="599"/>
      <c r="Z52" s="599"/>
      <c r="AA52" s="599"/>
      <c r="AB52" s="599"/>
      <c r="AC52" s="599"/>
      <c r="AD52" s="599"/>
      <c r="AE52" s="599"/>
      <c r="AF52" s="599"/>
      <c r="AG52" s="599"/>
      <c r="AH52" s="599"/>
      <c r="AI52" s="599"/>
      <c r="AJ52" s="599"/>
      <c r="AK52" s="599"/>
      <c r="AL52" s="599"/>
      <c r="AM52" s="599"/>
      <c r="AN52" s="599"/>
      <c r="AO52" s="599"/>
      <c r="AP52" s="599"/>
      <c r="AQ52" s="599"/>
      <c r="AR52" s="599"/>
      <c r="AS52" s="599"/>
      <c r="AT52" s="599"/>
      <c r="AU52" s="599"/>
      <c r="AV52" s="599"/>
      <c r="AW52" s="599"/>
      <c r="AX52" s="599"/>
      <c r="AY52" s="599"/>
      <c r="AZ52" s="599"/>
    </row>
    <row r="53" spans="1:52">
      <c r="A53" s="599"/>
      <c r="B53" s="599"/>
      <c r="C53" s="599"/>
      <c r="D53" s="599"/>
      <c r="E53" s="599"/>
      <c r="F53" s="599"/>
      <c r="G53" s="599"/>
      <c r="H53" s="599"/>
      <c r="I53" s="599"/>
      <c r="J53" s="599"/>
      <c r="K53" s="599"/>
      <c r="L53" s="599"/>
      <c r="M53" s="599"/>
      <c r="N53" s="599"/>
      <c r="O53" s="599"/>
      <c r="P53" s="599"/>
      <c r="Q53" s="599"/>
      <c r="R53" s="599"/>
      <c r="S53" s="599"/>
      <c r="T53" s="599"/>
      <c r="U53" s="599"/>
      <c r="V53" s="599"/>
      <c r="W53" s="599"/>
      <c r="X53" s="599"/>
      <c r="Y53" s="599"/>
      <c r="Z53" s="599"/>
      <c r="AA53" s="599"/>
      <c r="AB53" s="599"/>
      <c r="AC53" s="599"/>
      <c r="AD53" s="599"/>
      <c r="AE53" s="599"/>
      <c r="AF53" s="599"/>
      <c r="AG53" s="599"/>
      <c r="AH53" s="599"/>
      <c r="AI53" s="599"/>
      <c r="AJ53" s="599"/>
      <c r="AK53" s="599"/>
      <c r="AL53" s="599"/>
      <c r="AM53" s="599"/>
      <c r="AN53" s="599"/>
      <c r="AO53" s="599"/>
      <c r="AP53" s="599"/>
      <c r="AQ53" s="599"/>
      <c r="AR53" s="599"/>
      <c r="AS53" s="599"/>
      <c r="AT53" s="599"/>
      <c r="AU53" s="599"/>
      <c r="AV53" s="599"/>
      <c r="AW53" s="599"/>
      <c r="AX53" s="599"/>
      <c r="AY53" s="599"/>
      <c r="AZ53" s="599"/>
    </row>
    <row r="54" spans="1:52">
      <c r="A54" s="599"/>
      <c r="B54" s="599"/>
      <c r="C54" s="599"/>
      <c r="D54" s="599"/>
      <c r="E54" s="599"/>
      <c r="F54" s="599"/>
      <c r="G54" s="599"/>
      <c r="H54" s="599"/>
      <c r="I54" s="599"/>
      <c r="J54" s="599"/>
      <c r="K54" s="599"/>
      <c r="L54" s="599"/>
      <c r="M54" s="599"/>
      <c r="N54" s="599"/>
      <c r="O54" s="599"/>
      <c r="P54" s="599"/>
      <c r="Q54" s="599"/>
      <c r="R54" s="599"/>
      <c r="S54" s="599"/>
      <c r="T54" s="599"/>
      <c r="U54" s="599"/>
      <c r="V54" s="599"/>
      <c r="W54" s="599"/>
      <c r="X54" s="599"/>
      <c r="Y54" s="599"/>
      <c r="Z54" s="599"/>
      <c r="AA54" s="599"/>
      <c r="AB54" s="599"/>
      <c r="AC54" s="599"/>
      <c r="AD54" s="599"/>
      <c r="AE54" s="599"/>
      <c r="AF54" s="599"/>
      <c r="AG54" s="599"/>
      <c r="AH54" s="599"/>
      <c r="AI54" s="599"/>
      <c r="AJ54" s="599"/>
      <c r="AK54" s="599"/>
      <c r="AL54" s="599"/>
      <c r="AM54" s="599"/>
      <c r="AN54" s="599"/>
      <c r="AO54" s="599"/>
      <c r="AP54" s="599"/>
      <c r="AQ54" s="599"/>
      <c r="AR54" s="599"/>
      <c r="AS54" s="599"/>
      <c r="AT54" s="599"/>
      <c r="AU54" s="599"/>
      <c r="AV54" s="599"/>
      <c r="AW54" s="599"/>
      <c r="AX54" s="599"/>
      <c r="AY54" s="599"/>
      <c r="AZ54" s="599"/>
    </row>
    <row r="55" spans="1:52">
      <c r="A55" s="599"/>
      <c r="B55" s="599"/>
      <c r="C55" s="599"/>
      <c r="D55" s="599"/>
      <c r="E55" s="599"/>
      <c r="F55" s="599"/>
      <c r="G55" s="599"/>
      <c r="H55" s="599"/>
      <c r="I55" s="599"/>
      <c r="J55" s="599"/>
      <c r="K55" s="599"/>
      <c r="L55" s="599"/>
      <c r="M55" s="599"/>
      <c r="N55" s="599"/>
      <c r="O55" s="599"/>
      <c r="P55" s="599"/>
      <c r="Q55" s="599"/>
      <c r="R55" s="599"/>
      <c r="S55" s="599"/>
      <c r="T55" s="599"/>
      <c r="U55" s="599"/>
      <c r="V55" s="599"/>
      <c r="W55" s="599"/>
      <c r="X55" s="599"/>
      <c r="Y55" s="599"/>
      <c r="Z55" s="599"/>
      <c r="AA55" s="599"/>
      <c r="AB55" s="599"/>
      <c r="AC55" s="599"/>
      <c r="AD55" s="599"/>
      <c r="AE55" s="599"/>
      <c r="AF55" s="599"/>
      <c r="AG55" s="599"/>
      <c r="AH55" s="599"/>
      <c r="AI55" s="599"/>
      <c r="AJ55" s="599"/>
      <c r="AK55" s="599"/>
      <c r="AL55" s="599"/>
      <c r="AM55" s="599"/>
      <c r="AN55" s="599"/>
      <c r="AO55" s="599"/>
      <c r="AP55" s="599"/>
      <c r="AQ55" s="599"/>
      <c r="AR55" s="599"/>
      <c r="AS55" s="599"/>
      <c r="AT55" s="599"/>
      <c r="AU55" s="599"/>
      <c r="AV55" s="599"/>
      <c r="AW55" s="599"/>
      <c r="AX55" s="599"/>
      <c r="AY55" s="599"/>
      <c r="AZ55" s="599"/>
    </row>
    <row r="56" spans="1:52">
      <c r="A56" s="599"/>
      <c r="B56" s="599"/>
      <c r="C56" s="599"/>
      <c r="D56" s="599"/>
      <c r="E56" s="599"/>
      <c r="F56" s="599"/>
      <c r="G56" s="599"/>
      <c r="H56" s="599"/>
      <c r="I56" s="599"/>
      <c r="J56" s="599"/>
      <c r="K56" s="599"/>
      <c r="L56" s="599"/>
      <c r="M56" s="599"/>
      <c r="N56" s="599"/>
      <c r="O56" s="599"/>
      <c r="P56" s="599"/>
      <c r="Q56" s="599"/>
      <c r="R56" s="599"/>
      <c r="S56" s="599"/>
      <c r="T56" s="599"/>
      <c r="U56" s="599"/>
      <c r="V56" s="599"/>
      <c r="W56" s="599"/>
      <c r="X56" s="599"/>
      <c r="Y56" s="599"/>
      <c r="Z56" s="599"/>
      <c r="AA56" s="599"/>
      <c r="AB56" s="599"/>
      <c r="AC56" s="599"/>
      <c r="AD56" s="599"/>
      <c r="AE56" s="599"/>
      <c r="AF56" s="599"/>
      <c r="AG56" s="599"/>
      <c r="AH56" s="599"/>
      <c r="AI56" s="599"/>
      <c r="AJ56" s="599"/>
      <c r="AK56" s="599"/>
      <c r="AL56" s="599"/>
      <c r="AM56" s="599"/>
      <c r="AN56" s="599"/>
      <c r="AO56" s="599"/>
      <c r="AP56" s="599"/>
      <c r="AQ56" s="599"/>
      <c r="AR56" s="599"/>
      <c r="AS56" s="599"/>
      <c r="AT56" s="599"/>
      <c r="AU56" s="599"/>
      <c r="AV56" s="599"/>
      <c r="AW56" s="599"/>
      <c r="AX56" s="599"/>
      <c r="AY56" s="599"/>
      <c r="AZ56" s="599"/>
    </row>
    <row r="57" spans="1:52">
      <c r="A57" s="599"/>
      <c r="B57" s="599"/>
      <c r="C57" s="599"/>
      <c r="D57" s="599"/>
      <c r="E57" s="599"/>
      <c r="F57" s="599"/>
      <c r="G57" s="599"/>
      <c r="H57" s="599"/>
      <c r="I57" s="599"/>
      <c r="J57" s="599"/>
      <c r="K57" s="599"/>
      <c r="L57" s="599"/>
      <c r="M57" s="599"/>
      <c r="N57" s="599"/>
      <c r="O57" s="599"/>
      <c r="P57" s="599"/>
      <c r="Q57" s="599"/>
      <c r="R57" s="599"/>
      <c r="S57" s="599"/>
      <c r="T57" s="599"/>
      <c r="U57" s="599"/>
      <c r="V57" s="599"/>
      <c r="W57" s="599"/>
      <c r="X57" s="599"/>
      <c r="Y57" s="599"/>
      <c r="Z57" s="599"/>
      <c r="AA57" s="599"/>
      <c r="AB57" s="599"/>
      <c r="AC57" s="599"/>
      <c r="AD57" s="599"/>
      <c r="AE57" s="599"/>
      <c r="AF57" s="599"/>
      <c r="AG57" s="599"/>
      <c r="AH57" s="599"/>
      <c r="AI57" s="599"/>
      <c r="AJ57" s="599"/>
      <c r="AK57" s="599"/>
      <c r="AL57" s="599"/>
      <c r="AM57" s="599"/>
      <c r="AN57" s="599"/>
      <c r="AO57" s="599"/>
      <c r="AP57" s="599"/>
      <c r="AQ57" s="599"/>
      <c r="AR57" s="599"/>
      <c r="AS57" s="599"/>
      <c r="AT57" s="599"/>
      <c r="AU57" s="599"/>
      <c r="AV57" s="599"/>
      <c r="AW57" s="599"/>
      <c r="AX57" s="599"/>
      <c r="AY57" s="599"/>
      <c r="AZ57" s="599"/>
    </row>
    <row r="58" spans="1:52">
      <c r="A58" s="599"/>
      <c r="B58" s="599"/>
      <c r="C58" s="599"/>
      <c r="D58" s="599"/>
      <c r="E58" s="599"/>
      <c r="F58" s="599"/>
      <c r="G58" s="599"/>
      <c r="H58" s="599"/>
      <c r="I58" s="599"/>
      <c r="J58" s="599"/>
      <c r="K58" s="599"/>
      <c r="L58" s="599"/>
      <c r="M58" s="599"/>
      <c r="N58" s="599"/>
      <c r="O58" s="599"/>
      <c r="P58" s="599"/>
      <c r="Q58" s="599"/>
      <c r="R58" s="599"/>
      <c r="S58" s="599"/>
      <c r="T58" s="599"/>
      <c r="U58" s="599"/>
      <c r="V58" s="599"/>
      <c r="W58" s="599"/>
      <c r="X58" s="599"/>
      <c r="Y58" s="599"/>
      <c r="Z58" s="599"/>
      <c r="AA58" s="599"/>
      <c r="AB58" s="599"/>
      <c r="AC58" s="599"/>
      <c r="AD58" s="599"/>
      <c r="AE58" s="599"/>
      <c r="AF58" s="599"/>
      <c r="AG58" s="599"/>
      <c r="AH58" s="599"/>
      <c r="AI58" s="599"/>
      <c r="AJ58" s="599"/>
      <c r="AK58" s="599"/>
      <c r="AL58" s="599"/>
      <c r="AM58" s="599"/>
      <c r="AN58" s="599"/>
      <c r="AO58" s="599"/>
      <c r="AP58" s="599"/>
      <c r="AQ58" s="599"/>
      <c r="AR58" s="599"/>
      <c r="AS58" s="599"/>
      <c r="AT58" s="599"/>
      <c r="AU58" s="599"/>
      <c r="AV58" s="599"/>
      <c r="AW58" s="599"/>
      <c r="AX58" s="599"/>
      <c r="AY58" s="599"/>
      <c r="AZ58" s="599"/>
    </row>
  </sheetData>
  <sheetProtection algorithmName="SHA-512" hashValue="pg4z9TCYO3HCau+wo/h8MSRud8r7k7ZHze23iGBG+EewRKal/wq2oX2brdMFUdphFujTDsnYAnhlXiDAqIKQ8Q==" saltValue="DCudjqHZr1Acr/R08UZ5+g==" spinCount="100000" sheet="1" objects="1" scenarios="1"/>
  <customSheetViews>
    <customSheetView guid="{6EFEFCA0-BF14-457A-85A3-29CBF2A862A5}" showGridLines="0" fitToPage="1" topLeftCell="A19">
      <selection activeCell="AC16" sqref="AC16:AJ18"/>
      <pageMargins left="0.23622047244094491" right="0.23622047244094491" top="0.19685039370078741" bottom="0.19685039370078741" header="0" footer="0.11811023622047245"/>
      <printOptions horizontalCentered="1" verticalCentered="1"/>
      <pageSetup paperSize="5" scale="75" orientation="landscape" r:id="rId1"/>
      <headerFooter>
        <oddFooter>&amp;L&amp;10&amp;F &amp;A&amp;R&amp;10Page 20 of 61</oddFooter>
      </headerFooter>
    </customSheetView>
  </customSheetViews>
  <mergeCells count="52">
    <mergeCell ref="B5:I6"/>
    <mergeCell ref="J5:T5"/>
    <mergeCell ref="U5:AB5"/>
    <mergeCell ref="AC5:AJ5"/>
    <mergeCell ref="AK5:AR6"/>
    <mergeCell ref="B4:I4"/>
    <mergeCell ref="J4:T4"/>
    <mergeCell ref="U4:AB4"/>
    <mergeCell ref="AC4:AJ4"/>
    <mergeCell ref="AK4:AR4"/>
    <mergeCell ref="B7:I9"/>
    <mergeCell ref="U7:AB9"/>
    <mergeCell ref="AC7:AJ9"/>
    <mergeCell ref="AK7:AR9"/>
    <mergeCell ref="B10:I12"/>
    <mergeCell ref="U10:AB12"/>
    <mergeCell ref="AC10:AJ12"/>
    <mergeCell ref="AK10:AR12"/>
    <mergeCell ref="B13:I15"/>
    <mergeCell ref="U13:AB15"/>
    <mergeCell ref="AC13:AJ15"/>
    <mergeCell ref="AK13:AR15"/>
    <mergeCell ref="B16:I18"/>
    <mergeCell ref="U16:AB18"/>
    <mergeCell ref="AC16:AJ18"/>
    <mergeCell ref="AK16:AR18"/>
    <mergeCell ref="B32:AR32"/>
    <mergeCell ref="B19:I21"/>
    <mergeCell ref="U19:AB21"/>
    <mergeCell ref="AC19:AJ21"/>
    <mergeCell ref="AK19:AR21"/>
    <mergeCell ref="B22:AR22"/>
    <mergeCell ref="B26:AR26"/>
    <mergeCell ref="C27:AR27"/>
    <mergeCell ref="C28:AR28"/>
    <mergeCell ref="C29:AR29"/>
    <mergeCell ref="C30:AR30"/>
    <mergeCell ref="C31:AR31"/>
    <mergeCell ref="F45:N45"/>
    <mergeCell ref="R45:AC45"/>
    <mergeCell ref="AG45:AR45"/>
    <mergeCell ref="C33:AR33"/>
    <mergeCell ref="C34:AR34"/>
    <mergeCell ref="C35:AR35"/>
    <mergeCell ref="C36:AR36"/>
    <mergeCell ref="B37:AR37"/>
    <mergeCell ref="B38:AR38"/>
    <mergeCell ref="B40:AR40"/>
    <mergeCell ref="F43:N43"/>
    <mergeCell ref="R43:AC44"/>
    <mergeCell ref="AG43:AR44"/>
    <mergeCell ref="F44:N44"/>
  </mergeCells>
  <dataValidations count="1">
    <dataValidation type="decimal" allowBlank="1" showInputMessage="1" showErrorMessage="1" errorTitle="GSHSP SY 2022-2023" error="Please enter valid number between 0-1,000,000.00." sqref="AC7:AJ21" xr:uid="{15F9D2DF-2F9D-4609-9FFE-EEA7FF96AA95}">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5" scale="75" orientation="landscape" r:id="rId2"/>
  <headerFooter>
    <oddFooter>&amp;L&amp;10&amp;F &amp;A&amp;R&amp;10Page 20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30724" r:id="rId5" name="Check Box 4">
              <controlPr defaultSize="0" autoFill="0" autoLine="0" autoPict="0">
                <anchor moveWithCells="1">
                  <from>
                    <xdr:col>9</xdr:col>
                    <xdr:colOff>28575</xdr:colOff>
                    <xdr:row>6</xdr:row>
                    <xdr:rowOff>0</xdr:rowOff>
                  </from>
                  <to>
                    <xdr:col>10</xdr:col>
                    <xdr:colOff>9525</xdr:colOff>
                    <xdr:row>6</xdr:row>
                    <xdr:rowOff>219075</xdr:rowOff>
                  </to>
                </anchor>
              </controlPr>
            </control>
          </mc:Choice>
        </mc:AlternateContent>
        <mc:AlternateContent xmlns:mc="http://schemas.openxmlformats.org/markup-compatibility/2006">
          <mc:Choice Requires="x14">
            <control shapeId="30725" r:id="rId6" name="Check Box 5">
              <controlPr defaultSize="0" autoFill="0" autoLine="0" autoPict="0">
                <anchor moveWithCells="1">
                  <from>
                    <xdr:col>9</xdr:col>
                    <xdr:colOff>28575</xdr:colOff>
                    <xdr:row>6</xdr:row>
                    <xdr:rowOff>219075</xdr:rowOff>
                  </from>
                  <to>
                    <xdr:col>10</xdr:col>
                    <xdr:colOff>28575</xdr:colOff>
                    <xdr:row>8</xdr:row>
                    <xdr:rowOff>0</xdr:rowOff>
                  </to>
                </anchor>
              </controlPr>
            </control>
          </mc:Choice>
        </mc:AlternateContent>
        <mc:AlternateContent xmlns:mc="http://schemas.openxmlformats.org/markup-compatibility/2006">
          <mc:Choice Requires="x14">
            <control shapeId="30726" r:id="rId7" name="Check Box 6">
              <controlPr defaultSize="0" autoFill="0" autoLine="0" autoPict="0">
                <anchor moveWithCells="1">
                  <from>
                    <xdr:col>9</xdr:col>
                    <xdr:colOff>28575</xdr:colOff>
                    <xdr:row>7</xdr:row>
                    <xdr:rowOff>219075</xdr:rowOff>
                  </from>
                  <to>
                    <xdr:col>9</xdr:col>
                    <xdr:colOff>276225</xdr:colOff>
                    <xdr:row>8</xdr:row>
                    <xdr:rowOff>219075</xdr:rowOff>
                  </to>
                </anchor>
              </controlPr>
            </control>
          </mc:Choice>
        </mc:AlternateContent>
        <mc:AlternateContent xmlns:mc="http://schemas.openxmlformats.org/markup-compatibility/2006">
          <mc:Choice Requires="x14">
            <control shapeId="30727" r:id="rId8" name="Check Box 7">
              <controlPr defaultSize="0" autoFill="0" autoLine="0" autoPict="0">
                <anchor moveWithCells="1">
                  <from>
                    <xdr:col>9</xdr:col>
                    <xdr:colOff>28575</xdr:colOff>
                    <xdr:row>8</xdr:row>
                    <xdr:rowOff>219075</xdr:rowOff>
                  </from>
                  <to>
                    <xdr:col>9</xdr:col>
                    <xdr:colOff>257175</xdr:colOff>
                    <xdr:row>9</xdr:row>
                    <xdr:rowOff>200025</xdr:rowOff>
                  </to>
                </anchor>
              </controlPr>
            </control>
          </mc:Choice>
        </mc:AlternateContent>
        <mc:AlternateContent xmlns:mc="http://schemas.openxmlformats.org/markup-compatibility/2006">
          <mc:Choice Requires="x14">
            <control shapeId="30728" r:id="rId9" name="Check Box 8">
              <controlPr defaultSize="0" autoFill="0" autoLine="0" autoPict="0">
                <anchor moveWithCells="1">
                  <from>
                    <xdr:col>9</xdr:col>
                    <xdr:colOff>28575</xdr:colOff>
                    <xdr:row>9</xdr:row>
                    <xdr:rowOff>219075</xdr:rowOff>
                  </from>
                  <to>
                    <xdr:col>9</xdr:col>
                    <xdr:colOff>257175</xdr:colOff>
                    <xdr:row>10</xdr:row>
                    <xdr:rowOff>219075</xdr:rowOff>
                  </to>
                </anchor>
              </controlPr>
            </control>
          </mc:Choice>
        </mc:AlternateContent>
        <mc:AlternateContent xmlns:mc="http://schemas.openxmlformats.org/markup-compatibility/2006">
          <mc:Choice Requires="x14">
            <control shapeId="30729" r:id="rId10" name="Check Box 9">
              <controlPr defaultSize="0" autoFill="0" autoLine="0" autoPict="0">
                <anchor moveWithCells="1">
                  <from>
                    <xdr:col>9</xdr:col>
                    <xdr:colOff>28575</xdr:colOff>
                    <xdr:row>10</xdr:row>
                    <xdr:rowOff>219075</xdr:rowOff>
                  </from>
                  <to>
                    <xdr:col>10</xdr:col>
                    <xdr:colOff>28575</xdr:colOff>
                    <xdr:row>11</xdr:row>
                    <xdr:rowOff>180975</xdr:rowOff>
                  </to>
                </anchor>
              </controlPr>
            </control>
          </mc:Choice>
        </mc:AlternateContent>
        <mc:AlternateContent xmlns:mc="http://schemas.openxmlformats.org/markup-compatibility/2006">
          <mc:Choice Requires="x14">
            <control shapeId="30730" r:id="rId11" name="Check Box 10">
              <controlPr defaultSize="0" autoFill="0" autoLine="0" autoPict="0">
                <anchor moveWithCells="1">
                  <from>
                    <xdr:col>9</xdr:col>
                    <xdr:colOff>28575</xdr:colOff>
                    <xdr:row>12</xdr:row>
                    <xdr:rowOff>9525</xdr:rowOff>
                  </from>
                  <to>
                    <xdr:col>9</xdr:col>
                    <xdr:colOff>257175</xdr:colOff>
                    <xdr:row>13</xdr:row>
                    <xdr:rowOff>9525</xdr:rowOff>
                  </to>
                </anchor>
              </controlPr>
            </control>
          </mc:Choice>
        </mc:AlternateContent>
        <mc:AlternateContent xmlns:mc="http://schemas.openxmlformats.org/markup-compatibility/2006">
          <mc:Choice Requires="x14">
            <control shapeId="30731" r:id="rId12" name="Check Box 11">
              <controlPr defaultSize="0" autoFill="0" autoLine="0" autoPict="0">
                <anchor moveWithCells="1">
                  <from>
                    <xdr:col>9</xdr:col>
                    <xdr:colOff>28575</xdr:colOff>
                    <xdr:row>12</xdr:row>
                    <xdr:rowOff>219075</xdr:rowOff>
                  </from>
                  <to>
                    <xdr:col>9</xdr:col>
                    <xdr:colOff>228600</xdr:colOff>
                    <xdr:row>13</xdr:row>
                    <xdr:rowOff>200025</xdr:rowOff>
                  </to>
                </anchor>
              </controlPr>
            </control>
          </mc:Choice>
        </mc:AlternateContent>
        <mc:AlternateContent xmlns:mc="http://schemas.openxmlformats.org/markup-compatibility/2006">
          <mc:Choice Requires="x14">
            <control shapeId="30732" r:id="rId13" name="Check Box 12">
              <controlPr defaultSize="0" autoFill="0" autoLine="0" autoPict="0">
                <anchor moveWithCells="1">
                  <from>
                    <xdr:col>9</xdr:col>
                    <xdr:colOff>28575</xdr:colOff>
                    <xdr:row>14</xdr:row>
                    <xdr:rowOff>9525</xdr:rowOff>
                  </from>
                  <to>
                    <xdr:col>9</xdr:col>
                    <xdr:colOff>257175</xdr:colOff>
                    <xdr:row>14</xdr:row>
                    <xdr:rowOff>200025</xdr:rowOff>
                  </to>
                </anchor>
              </controlPr>
            </control>
          </mc:Choice>
        </mc:AlternateContent>
        <mc:AlternateContent xmlns:mc="http://schemas.openxmlformats.org/markup-compatibility/2006">
          <mc:Choice Requires="x14">
            <control shapeId="30733" r:id="rId14" name="Check Box 13">
              <controlPr defaultSize="0" autoFill="0" autoLine="0" autoPict="0">
                <anchor moveWithCells="1">
                  <from>
                    <xdr:col>9</xdr:col>
                    <xdr:colOff>28575</xdr:colOff>
                    <xdr:row>14</xdr:row>
                    <xdr:rowOff>219075</xdr:rowOff>
                  </from>
                  <to>
                    <xdr:col>10</xdr:col>
                    <xdr:colOff>9525</xdr:colOff>
                    <xdr:row>15</xdr:row>
                    <xdr:rowOff>219075</xdr:rowOff>
                  </to>
                </anchor>
              </controlPr>
            </control>
          </mc:Choice>
        </mc:AlternateContent>
        <mc:AlternateContent xmlns:mc="http://schemas.openxmlformats.org/markup-compatibility/2006">
          <mc:Choice Requires="x14">
            <control shapeId="30734" r:id="rId15" name="Check Box 14">
              <controlPr defaultSize="0" autoFill="0" autoLine="0" autoPict="0">
                <anchor moveWithCells="1">
                  <from>
                    <xdr:col>9</xdr:col>
                    <xdr:colOff>28575</xdr:colOff>
                    <xdr:row>15</xdr:row>
                    <xdr:rowOff>219075</xdr:rowOff>
                  </from>
                  <to>
                    <xdr:col>10</xdr:col>
                    <xdr:colOff>28575</xdr:colOff>
                    <xdr:row>16</xdr:row>
                    <xdr:rowOff>219075</xdr:rowOff>
                  </to>
                </anchor>
              </controlPr>
            </control>
          </mc:Choice>
        </mc:AlternateContent>
        <mc:AlternateContent xmlns:mc="http://schemas.openxmlformats.org/markup-compatibility/2006">
          <mc:Choice Requires="x14">
            <control shapeId="30735" r:id="rId16" name="Check Box 15">
              <controlPr defaultSize="0" autoFill="0" autoLine="0" autoPict="0">
                <anchor moveWithCells="1">
                  <from>
                    <xdr:col>9</xdr:col>
                    <xdr:colOff>28575</xdr:colOff>
                    <xdr:row>16</xdr:row>
                    <xdr:rowOff>200025</xdr:rowOff>
                  </from>
                  <to>
                    <xdr:col>10</xdr:col>
                    <xdr:colOff>0</xdr:colOff>
                    <xdr:row>17</xdr:row>
                    <xdr:rowOff>200025</xdr:rowOff>
                  </to>
                </anchor>
              </controlPr>
            </control>
          </mc:Choice>
        </mc:AlternateContent>
        <mc:AlternateContent xmlns:mc="http://schemas.openxmlformats.org/markup-compatibility/2006">
          <mc:Choice Requires="x14">
            <control shapeId="30736" r:id="rId17" name="Check Box 16">
              <controlPr defaultSize="0" autoFill="0" autoLine="0" autoPict="0">
                <anchor moveWithCells="1">
                  <from>
                    <xdr:col>9</xdr:col>
                    <xdr:colOff>9525</xdr:colOff>
                    <xdr:row>17</xdr:row>
                    <xdr:rowOff>219075</xdr:rowOff>
                  </from>
                  <to>
                    <xdr:col>10</xdr:col>
                    <xdr:colOff>0</xdr:colOff>
                    <xdr:row>18</xdr:row>
                    <xdr:rowOff>219075</xdr:rowOff>
                  </to>
                </anchor>
              </controlPr>
            </control>
          </mc:Choice>
        </mc:AlternateContent>
        <mc:AlternateContent xmlns:mc="http://schemas.openxmlformats.org/markup-compatibility/2006">
          <mc:Choice Requires="x14">
            <control shapeId="30737" r:id="rId18" name="Check Box 17">
              <controlPr defaultSize="0" autoFill="0" autoLine="0" autoPict="0">
                <anchor moveWithCells="1">
                  <from>
                    <xdr:col>9</xdr:col>
                    <xdr:colOff>28575</xdr:colOff>
                    <xdr:row>18</xdr:row>
                    <xdr:rowOff>190500</xdr:rowOff>
                  </from>
                  <to>
                    <xdr:col>9</xdr:col>
                    <xdr:colOff>219075</xdr:colOff>
                    <xdr:row>20</xdr:row>
                    <xdr:rowOff>9525</xdr:rowOff>
                  </to>
                </anchor>
              </controlPr>
            </control>
          </mc:Choice>
        </mc:AlternateContent>
        <mc:AlternateContent xmlns:mc="http://schemas.openxmlformats.org/markup-compatibility/2006">
          <mc:Choice Requires="x14">
            <control shapeId="30738" r:id="rId19" name="Check Box 18">
              <controlPr defaultSize="0" autoFill="0" autoLine="0" autoPict="0">
                <anchor moveWithCells="1">
                  <from>
                    <xdr:col>9</xdr:col>
                    <xdr:colOff>9525</xdr:colOff>
                    <xdr:row>19</xdr:row>
                    <xdr:rowOff>219075</xdr:rowOff>
                  </from>
                  <to>
                    <xdr:col>10</xdr:col>
                    <xdr:colOff>0</xdr:colOff>
                    <xdr:row>20</xdr:row>
                    <xdr:rowOff>219075</xdr:rowOff>
                  </to>
                </anchor>
              </controlPr>
            </control>
          </mc:Choice>
        </mc:AlternateContent>
        <mc:AlternateContent xmlns:mc="http://schemas.openxmlformats.org/markup-compatibility/2006">
          <mc:Choice Requires="x14">
            <control shapeId="30739" r:id="rId20" name="Check Box 19">
              <controlPr defaultSize="0" autoFill="0" autoLine="0" autoPict="0">
                <anchor moveWithCells="1">
                  <from>
                    <xdr:col>15</xdr:col>
                    <xdr:colOff>28575</xdr:colOff>
                    <xdr:row>6</xdr:row>
                    <xdr:rowOff>9525</xdr:rowOff>
                  </from>
                  <to>
                    <xdr:col>15</xdr:col>
                    <xdr:colOff>257175</xdr:colOff>
                    <xdr:row>6</xdr:row>
                    <xdr:rowOff>219075</xdr:rowOff>
                  </to>
                </anchor>
              </controlPr>
            </control>
          </mc:Choice>
        </mc:AlternateContent>
        <mc:AlternateContent xmlns:mc="http://schemas.openxmlformats.org/markup-compatibility/2006">
          <mc:Choice Requires="x14">
            <control shapeId="30740" r:id="rId21" name="Check Box 20">
              <controlPr defaultSize="0" autoFill="0" autoLine="0" autoPict="0">
                <anchor moveWithCells="1">
                  <from>
                    <xdr:col>15</xdr:col>
                    <xdr:colOff>28575</xdr:colOff>
                    <xdr:row>6</xdr:row>
                    <xdr:rowOff>219075</xdr:rowOff>
                  </from>
                  <to>
                    <xdr:col>15</xdr:col>
                    <xdr:colOff>276225</xdr:colOff>
                    <xdr:row>8</xdr:row>
                    <xdr:rowOff>0</xdr:rowOff>
                  </to>
                </anchor>
              </controlPr>
            </control>
          </mc:Choice>
        </mc:AlternateContent>
        <mc:AlternateContent xmlns:mc="http://schemas.openxmlformats.org/markup-compatibility/2006">
          <mc:Choice Requires="x14">
            <control shapeId="30741" r:id="rId22" name="Check Box 21">
              <controlPr defaultSize="0" autoFill="0" autoLine="0" autoPict="0">
                <anchor moveWithCells="1">
                  <from>
                    <xdr:col>15</xdr:col>
                    <xdr:colOff>28575</xdr:colOff>
                    <xdr:row>9</xdr:row>
                    <xdr:rowOff>28575</xdr:rowOff>
                  </from>
                  <to>
                    <xdr:col>15</xdr:col>
                    <xdr:colOff>257175</xdr:colOff>
                    <xdr:row>9</xdr:row>
                    <xdr:rowOff>200025</xdr:rowOff>
                  </to>
                </anchor>
              </controlPr>
            </control>
          </mc:Choice>
        </mc:AlternateContent>
        <mc:AlternateContent xmlns:mc="http://schemas.openxmlformats.org/markup-compatibility/2006">
          <mc:Choice Requires="x14">
            <control shapeId="30742" r:id="rId23" name="Check Box 22">
              <controlPr defaultSize="0" autoFill="0" autoLine="0" autoPict="0">
                <anchor moveWithCells="1">
                  <from>
                    <xdr:col>15</xdr:col>
                    <xdr:colOff>28575</xdr:colOff>
                    <xdr:row>9</xdr:row>
                    <xdr:rowOff>219075</xdr:rowOff>
                  </from>
                  <to>
                    <xdr:col>15</xdr:col>
                    <xdr:colOff>257175</xdr:colOff>
                    <xdr:row>10</xdr:row>
                    <xdr:rowOff>219075</xdr:rowOff>
                  </to>
                </anchor>
              </controlPr>
            </control>
          </mc:Choice>
        </mc:AlternateContent>
        <mc:AlternateContent xmlns:mc="http://schemas.openxmlformats.org/markup-compatibility/2006">
          <mc:Choice Requires="x14">
            <control shapeId="30743" r:id="rId24" name="Check Box 23">
              <controlPr defaultSize="0" autoFill="0" autoLine="0" autoPict="0">
                <anchor moveWithCells="1">
                  <from>
                    <xdr:col>15</xdr:col>
                    <xdr:colOff>38100</xdr:colOff>
                    <xdr:row>12</xdr:row>
                    <xdr:rowOff>9525</xdr:rowOff>
                  </from>
                  <to>
                    <xdr:col>15</xdr:col>
                    <xdr:colOff>257175</xdr:colOff>
                    <xdr:row>12</xdr:row>
                    <xdr:rowOff>219075</xdr:rowOff>
                  </to>
                </anchor>
              </controlPr>
            </control>
          </mc:Choice>
        </mc:AlternateContent>
        <mc:AlternateContent xmlns:mc="http://schemas.openxmlformats.org/markup-compatibility/2006">
          <mc:Choice Requires="x14">
            <control shapeId="30744" r:id="rId25" name="Check Box 24">
              <controlPr defaultSize="0" autoFill="0" autoLine="0" autoPict="0">
                <anchor moveWithCells="1">
                  <from>
                    <xdr:col>15</xdr:col>
                    <xdr:colOff>38100</xdr:colOff>
                    <xdr:row>13</xdr:row>
                    <xdr:rowOff>9525</xdr:rowOff>
                  </from>
                  <to>
                    <xdr:col>16</xdr:col>
                    <xdr:colOff>28575</xdr:colOff>
                    <xdr:row>13</xdr:row>
                    <xdr:rowOff>219075</xdr:rowOff>
                  </to>
                </anchor>
              </controlPr>
            </control>
          </mc:Choice>
        </mc:AlternateContent>
        <mc:AlternateContent xmlns:mc="http://schemas.openxmlformats.org/markup-compatibility/2006">
          <mc:Choice Requires="x14">
            <control shapeId="30745" r:id="rId26" name="Check Box 25">
              <controlPr defaultSize="0" autoFill="0" autoLine="0" autoPict="0">
                <anchor moveWithCells="1">
                  <from>
                    <xdr:col>15</xdr:col>
                    <xdr:colOff>28575</xdr:colOff>
                    <xdr:row>15</xdr:row>
                    <xdr:rowOff>28575</xdr:rowOff>
                  </from>
                  <to>
                    <xdr:col>15</xdr:col>
                    <xdr:colOff>276225</xdr:colOff>
                    <xdr:row>15</xdr:row>
                    <xdr:rowOff>219075</xdr:rowOff>
                  </to>
                </anchor>
              </controlPr>
            </control>
          </mc:Choice>
        </mc:AlternateContent>
        <mc:AlternateContent xmlns:mc="http://schemas.openxmlformats.org/markup-compatibility/2006">
          <mc:Choice Requires="x14">
            <control shapeId="30746" r:id="rId27" name="Check Box 26">
              <controlPr defaultSize="0" autoFill="0" autoLine="0" autoPict="0">
                <anchor moveWithCells="1">
                  <from>
                    <xdr:col>15</xdr:col>
                    <xdr:colOff>28575</xdr:colOff>
                    <xdr:row>15</xdr:row>
                    <xdr:rowOff>219075</xdr:rowOff>
                  </from>
                  <to>
                    <xdr:col>16</xdr:col>
                    <xdr:colOff>9525</xdr:colOff>
                    <xdr:row>17</xdr:row>
                    <xdr:rowOff>0</xdr:rowOff>
                  </to>
                </anchor>
              </controlPr>
            </control>
          </mc:Choice>
        </mc:AlternateContent>
        <mc:AlternateContent xmlns:mc="http://schemas.openxmlformats.org/markup-compatibility/2006">
          <mc:Choice Requires="x14">
            <control shapeId="30747" r:id="rId28" name="Check Box 27">
              <controlPr defaultSize="0" autoFill="0" autoLine="0" autoPict="0">
                <anchor moveWithCells="1">
                  <from>
                    <xdr:col>15</xdr:col>
                    <xdr:colOff>28575</xdr:colOff>
                    <xdr:row>18</xdr:row>
                    <xdr:rowOff>9525</xdr:rowOff>
                  </from>
                  <to>
                    <xdr:col>16</xdr:col>
                    <xdr:colOff>28575</xdr:colOff>
                    <xdr:row>19</xdr:row>
                    <xdr:rowOff>28575</xdr:rowOff>
                  </to>
                </anchor>
              </controlPr>
            </control>
          </mc:Choice>
        </mc:AlternateContent>
        <mc:AlternateContent xmlns:mc="http://schemas.openxmlformats.org/markup-compatibility/2006">
          <mc:Choice Requires="x14">
            <control shapeId="30748" r:id="rId29" name="Check Box 28">
              <controlPr defaultSize="0" autoFill="0" autoLine="0" autoPict="0">
                <anchor moveWithCells="1">
                  <from>
                    <xdr:col>15</xdr:col>
                    <xdr:colOff>28575</xdr:colOff>
                    <xdr:row>19</xdr:row>
                    <xdr:rowOff>0</xdr:rowOff>
                  </from>
                  <to>
                    <xdr:col>16</xdr:col>
                    <xdr:colOff>9525</xdr:colOff>
                    <xdr:row>20</xdr:row>
                    <xdr:rowOff>9525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r:uid="{0D427741-5CC3-41C7-B8CF-4B5B86FEABD5}">
          <x14:formula1>
            <xm:f>Dropdown!$G$1:$G$9</xm:f>
          </x14:formula1>
          <xm:sqref>AK7:AR21</xm:sqref>
        </x14:dataValidation>
        <x14:dataValidation type="list" allowBlank="1" showInputMessage="1" showErrorMessage="1" errorTitle="GSHSP SY 2022-2023" error="Please select from the dropdown list." xr:uid="{746EEEEC-969A-4BAB-B017-B79E3E280C93}">
          <x14:formula1>
            <xm:f>Dropdown!$D$13:$D$21</xm:f>
          </x14:formula1>
          <xm:sqref>B7:I21</xm:sqref>
        </x14:dataValidation>
        <x14:dataValidation type="list" allowBlank="1" showInputMessage="1" showErrorMessage="1" errorTitle="GSHSP SY 2022-2023" error="Please select from the dropdown list." xr:uid="{705D90E6-9D52-4BC9-8B71-8A5A8513B401}">
          <x14:formula1>
            <xm:f>Dropdown!$G$13:$G$17</xm:f>
          </x14:formula1>
          <xm:sqref>U7:AB21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18F7D-63EA-4BB6-AB3E-65A424F27961}">
  <sheetPr codeName="Sheet25">
    <tabColor rgb="FFFFFF00"/>
    <pageSetUpPr fitToPage="1"/>
  </sheetPr>
  <dimension ref="A1:BH47"/>
  <sheetViews>
    <sheetView showGridLines="0" zoomScaleNormal="100" workbookViewId="0">
      <selection sqref="A1:AR35"/>
    </sheetView>
  </sheetViews>
  <sheetFormatPr defaultColWidth="8" defaultRowHeight="15"/>
  <cols>
    <col min="1" max="1" width="2.125" style="102" customWidth="1"/>
    <col min="2" max="33" width="3.625" style="102" customWidth="1"/>
    <col min="34" max="41" width="4.875" style="102" customWidth="1"/>
    <col min="42" max="42" width="2.125" style="102" customWidth="1"/>
    <col min="43" max="44" width="3.625" style="102" customWidth="1"/>
    <col min="45" max="45" width="2.125" style="102" customWidth="1"/>
    <col min="46" max="51" width="3.625" style="102" customWidth="1"/>
    <col min="52" max="16384" width="8" style="102"/>
  </cols>
  <sheetData>
    <row r="1" spans="1:55" ht="12" customHeight="1">
      <c r="A1" s="599"/>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599"/>
      <c r="AC1" s="599"/>
      <c r="AD1" s="599"/>
      <c r="AE1" s="599"/>
      <c r="AF1" s="599"/>
      <c r="AG1" s="599"/>
      <c r="AH1" s="599"/>
      <c r="AI1" s="599"/>
      <c r="AJ1" s="599"/>
      <c r="AK1" s="599"/>
      <c r="AL1" s="599"/>
      <c r="AM1" s="599"/>
      <c r="AN1" s="599"/>
      <c r="AO1" s="599"/>
      <c r="AP1" s="599"/>
      <c r="AQ1" s="599"/>
      <c r="AR1" s="599"/>
      <c r="AS1" s="599"/>
      <c r="AT1" s="599"/>
      <c r="AU1" s="599"/>
      <c r="AV1" s="599"/>
      <c r="AW1" s="599"/>
      <c r="AX1" s="599"/>
      <c r="AY1" s="599"/>
    </row>
    <row r="2" spans="1:55" s="164" customFormat="1" ht="15.75">
      <c r="A2" s="260"/>
      <c r="B2" s="771" t="s">
        <v>11398</v>
      </c>
      <c r="C2" s="772"/>
      <c r="D2" s="772"/>
      <c r="E2" s="772"/>
      <c r="F2" s="772"/>
      <c r="G2" s="260"/>
      <c r="H2" s="260"/>
      <c r="I2" s="260"/>
      <c r="J2" s="260"/>
      <c r="K2" s="260"/>
      <c r="L2" s="260"/>
      <c r="M2" s="260"/>
      <c r="N2" s="260"/>
      <c r="O2" s="260"/>
      <c r="P2" s="260"/>
      <c r="Q2" s="260"/>
      <c r="R2" s="260"/>
      <c r="S2" s="260"/>
      <c r="T2" s="260"/>
      <c r="U2" s="260"/>
      <c r="V2" s="260"/>
      <c r="W2" s="260"/>
      <c r="X2" s="260"/>
      <c r="Y2" s="260"/>
      <c r="Z2" s="260"/>
      <c r="AA2" s="260"/>
      <c r="AB2" s="260"/>
      <c r="AC2" s="260"/>
      <c r="AD2" s="260"/>
      <c r="AE2" s="260"/>
      <c r="AF2" s="260"/>
      <c r="AG2" s="260"/>
      <c r="AH2" s="260"/>
      <c r="AI2" s="260"/>
      <c r="AJ2" s="260"/>
      <c r="AK2" s="260"/>
      <c r="AL2" s="260"/>
      <c r="AM2" s="260"/>
      <c r="AN2" s="260"/>
      <c r="AO2" s="260"/>
      <c r="AP2" s="260"/>
      <c r="AQ2" s="260"/>
      <c r="AR2" s="260"/>
      <c r="AS2" s="260"/>
      <c r="AT2" s="260"/>
      <c r="AU2" s="260"/>
      <c r="AV2" s="260"/>
      <c r="AW2" s="260"/>
      <c r="AX2" s="260"/>
      <c r="AY2" s="260"/>
    </row>
    <row r="3" spans="1:55" s="40" customFormat="1" ht="16.5" thickBot="1">
      <c r="A3" s="582"/>
      <c r="B3" s="583" t="s">
        <v>1016</v>
      </c>
      <c r="C3" s="582"/>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row>
    <row r="4" spans="1:55" s="26" customFormat="1" ht="23.1" customHeight="1">
      <c r="A4" s="815"/>
      <c r="B4" s="2933" t="s">
        <v>1256</v>
      </c>
      <c r="C4" s="2934"/>
      <c r="D4" s="2934"/>
      <c r="E4" s="2934"/>
      <c r="F4" s="2934"/>
      <c r="G4" s="2934"/>
      <c r="H4" s="2934"/>
      <c r="I4" s="2935"/>
      <c r="J4" s="2934" t="s">
        <v>1257</v>
      </c>
      <c r="K4" s="2936"/>
      <c r="L4" s="2936"/>
      <c r="M4" s="2936"/>
      <c r="N4" s="2936"/>
      <c r="O4" s="2936"/>
      <c r="P4" s="2936"/>
      <c r="Q4" s="2937"/>
      <c r="R4" s="2938" t="s">
        <v>474</v>
      </c>
      <c r="S4" s="2936"/>
      <c r="T4" s="2936"/>
      <c r="U4" s="2936"/>
      <c r="V4" s="2936"/>
      <c r="W4" s="2936"/>
      <c r="X4" s="2936"/>
      <c r="Y4" s="2937"/>
      <c r="Z4" s="2938" t="s">
        <v>269</v>
      </c>
      <c r="AA4" s="2936"/>
      <c r="AB4" s="2936"/>
      <c r="AC4" s="2936"/>
      <c r="AD4" s="2936"/>
      <c r="AE4" s="2936"/>
      <c r="AF4" s="2936"/>
      <c r="AG4" s="2936"/>
      <c r="AH4" s="2938" t="s">
        <v>1258</v>
      </c>
      <c r="AI4" s="2936"/>
      <c r="AJ4" s="2936"/>
      <c r="AK4" s="2936"/>
      <c r="AL4" s="2936"/>
      <c r="AM4" s="2936"/>
      <c r="AN4" s="2936"/>
      <c r="AO4" s="2939"/>
      <c r="AP4" s="815"/>
      <c r="AQ4" s="815"/>
      <c r="AR4" s="815"/>
      <c r="AS4" s="815"/>
      <c r="AT4" s="815"/>
      <c r="AU4" s="815"/>
      <c r="AV4" s="815"/>
      <c r="AW4" s="815"/>
      <c r="AX4" s="815"/>
      <c r="AY4" s="815"/>
      <c r="AZ4" s="145"/>
      <c r="BA4" s="145"/>
      <c r="BB4" s="145"/>
      <c r="BC4" s="145"/>
    </row>
    <row r="5" spans="1:55" s="161" customFormat="1" ht="27" customHeight="1">
      <c r="A5" s="816"/>
      <c r="B5" s="2940" t="s">
        <v>1739</v>
      </c>
      <c r="C5" s="2941"/>
      <c r="D5" s="2941"/>
      <c r="E5" s="2941"/>
      <c r="F5" s="2941"/>
      <c r="G5" s="2941"/>
      <c r="H5" s="2941"/>
      <c r="I5" s="2942"/>
      <c r="J5" s="2946"/>
      <c r="K5" s="2947"/>
      <c r="L5" s="2947"/>
      <c r="M5" s="2947"/>
      <c r="N5" s="2947"/>
      <c r="O5" s="2947"/>
      <c r="P5" s="2947"/>
      <c r="Q5" s="2948"/>
      <c r="R5" s="2951" t="s">
        <v>1709</v>
      </c>
      <c r="S5" s="2947"/>
      <c r="T5" s="2947"/>
      <c r="U5" s="2947"/>
      <c r="V5" s="2947"/>
      <c r="W5" s="2947"/>
      <c r="X5" s="2947"/>
      <c r="Y5" s="2948"/>
      <c r="Z5" s="2953" t="s">
        <v>1710</v>
      </c>
      <c r="AA5" s="2954"/>
      <c r="AB5" s="2954"/>
      <c r="AC5" s="2954"/>
      <c r="AD5" s="2954"/>
      <c r="AE5" s="2954"/>
      <c r="AF5" s="2954"/>
      <c r="AG5" s="2954"/>
      <c r="AH5" s="2953" t="s">
        <v>1740</v>
      </c>
      <c r="AI5" s="2957"/>
      <c r="AJ5" s="2957"/>
      <c r="AK5" s="2957"/>
      <c r="AL5" s="2957"/>
      <c r="AM5" s="2957"/>
      <c r="AN5" s="2957"/>
      <c r="AO5" s="2958"/>
      <c r="AP5" s="816"/>
      <c r="AQ5" s="816"/>
      <c r="AR5" s="816"/>
      <c r="AS5" s="816"/>
      <c r="AT5" s="816"/>
      <c r="AU5" s="816"/>
      <c r="AV5" s="816"/>
      <c r="AW5" s="816"/>
      <c r="AX5" s="816"/>
      <c r="AY5" s="816"/>
    </row>
    <row r="6" spans="1:55" s="161" customFormat="1" ht="27" customHeight="1" thickBot="1">
      <c r="A6" s="816"/>
      <c r="B6" s="2943"/>
      <c r="C6" s="2944"/>
      <c r="D6" s="2944"/>
      <c r="E6" s="2944"/>
      <c r="F6" s="2944"/>
      <c r="G6" s="2944"/>
      <c r="H6" s="2944"/>
      <c r="I6" s="2945"/>
      <c r="J6" s="2949"/>
      <c r="K6" s="2949"/>
      <c r="L6" s="2949"/>
      <c r="M6" s="2949"/>
      <c r="N6" s="2949"/>
      <c r="O6" s="2949"/>
      <c r="P6" s="2949"/>
      <c r="Q6" s="2950"/>
      <c r="R6" s="2952"/>
      <c r="S6" s="2949"/>
      <c r="T6" s="2949"/>
      <c r="U6" s="2949"/>
      <c r="V6" s="2949"/>
      <c r="W6" s="2949"/>
      <c r="X6" s="2949"/>
      <c r="Y6" s="2950"/>
      <c r="Z6" s="2955"/>
      <c r="AA6" s="2956"/>
      <c r="AB6" s="2956"/>
      <c r="AC6" s="2956"/>
      <c r="AD6" s="2956"/>
      <c r="AE6" s="2956"/>
      <c r="AF6" s="2956"/>
      <c r="AG6" s="2956"/>
      <c r="AH6" s="2959"/>
      <c r="AI6" s="2960"/>
      <c r="AJ6" s="2960"/>
      <c r="AK6" s="2960"/>
      <c r="AL6" s="2960"/>
      <c r="AM6" s="2960"/>
      <c r="AN6" s="2960"/>
      <c r="AO6" s="2961"/>
      <c r="AP6" s="816"/>
      <c r="AQ6" s="816"/>
      <c r="AR6" s="816"/>
      <c r="AS6" s="816"/>
      <c r="AT6" s="816"/>
      <c r="AU6" s="816"/>
      <c r="AV6" s="816"/>
      <c r="AW6" s="816"/>
      <c r="AX6" s="816"/>
      <c r="AY6" s="816"/>
    </row>
    <row r="7" spans="1:55" s="26" customFormat="1" ht="20.100000000000001" customHeight="1" thickBot="1">
      <c r="A7" s="817"/>
      <c r="B7" s="2927" t="s">
        <v>11285</v>
      </c>
      <c r="C7" s="2928"/>
      <c r="D7" s="2928"/>
      <c r="E7" s="2928"/>
      <c r="F7" s="2928"/>
      <c r="G7" s="2928"/>
      <c r="H7" s="2928"/>
      <c r="I7" s="2929"/>
      <c r="J7" s="2930" t="s">
        <v>11904</v>
      </c>
      <c r="K7" s="2928"/>
      <c r="L7" s="2928"/>
      <c r="M7" s="2928"/>
      <c r="N7" s="2928"/>
      <c r="O7" s="2928"/>
      <c r="P7" s="2928"/>
      <c r="Q7" s="2929"/>
      <c r="R7" s="2924">
        <v>1200</v>
      </c>
      <c r="S7" s="2925"/>
      <c r="T7" s="2925"/>
      <c r="U7" s="2925"/>
      <c r="V7" s="2925"/>
      <c r="W7" s="2925"/>
      <c r="X7" s="2925"/>
      <c r="Y7" s="2926"/>
      <c r="Z7" s="2931" t="s">
        <v>403</v>
      </c>
      <c r="AA7" s="2928"/>
      <c r="AB7" s="2928"/>
      <c r="AC7" s="2928"/>
      <c r="AD7" s="2928"/>
      <c r="AE7" s="2928"/>
      <c r="AF7" s="2928"/>
      <c r="AG7" s="2928"/>
      <c r="AH7" s="2931" t="s">
        <v>11273</v>
      </c>
      <c r="AI7" s="2928"/>
      <c r="AJ7" s="2928"/>
      <c r="AK7" s="2928"/>
      <c r="AL7" s="2928"/>
      <c r="AM7" s="2928"/>
      <c r="AN7" s="2928"/>
      <c r="AO7" s="2932"/>
      <c r="AP7" s="817"/>
      <c r="AQ7" s="817"/>
      <c r="AR7" s="817"/>
      <c r="AS7" s="817"/>
      <c r="AT7" s="817"/>
      <c r="AU7" s="817"/>
      <c r="AV7" s="817"/>
      <c r="AW7" s="817"/>
      <c r="AX7" s="817"/>
      <c r="AY7" s="817"/>
    </row>
    <row r="8" spans="1:55" s="26" customFormat="1" ht="20.100000000000001" customHeight="1" thickBot="1">
      <c r="A8" s="817"/>
      <c r="B8" s="2904" t="s">
        <v>11285</v>
      </c>
      <c r="C8" s="2905"/>
      <c r="D8" s="2905"/>
      <c r="E8" s="2905"/>
      <c r="F8" s="2905"/>
      <c r="G8" s="2905"/>
      <c r="H8" s="2905"/>
      <c r="I8" s="2906"/>
      <c r="J8" s="2907" t="s">
        <v>11905</v>
      </c>
      <c r="K8" s="2905"/>
      <c r="L8" s="2905"/>
      <c r="M8" s="2905"/>
      <c r="N8" s="2905"/>
      <c r="O8" s="2905"/>
      <c r="P8" s="2905"/>
      <c r="Q8" s="2906"/>
      <c r="R8" s="2924">
        <v>1200</v>
      </c>
      <c r="S8" s="2925"/>
      <c r="T8" s="2925"/>
      <c r="U8" s="2925"/>
      <c r="V8" s="2925"/>
      <c r="W8" s="2925"/>
      <c r="X8" s="2925"/>
      <c r="Y8" s="2926"/>
      <c r="Z8" s="2911" t="s">
        <v>403</v>
      </c>
      <c r="AA8" s="2905"/>
      <c r="AB8" s="2905"/>
      <c r="AC8" s="2905"/>
      <c r="AD8" s="2905"/>
      <c r="AE8" s="2905"/>
      <c r="AF8" s="2905"/>
      <c r="AG8" s="2905"/>
      <c r="AH8" s="2911" t="s">
        <v>11273</v>
      </c>
      <c r="AI8" s="2905"/>
      <c r="AJ8" s="2905"/>
      <c r="AK8" s="2905"/>
      <c r="AL8" s="2905"/>
      <c r="AM8" s="2905"/>
      <c r="AN8" s="2905"/>
      <c r="AO8" s="2912"/>
      <c r="AP8" s="817"/>
      <c r="AQ8" s="817"/>
      <c r="AR8" s="817"/>
      <c r="AS8" s="817"/>
      <c r="AT8" s="817"/>
      <c r="AU8" s="817"/>
      <c r="AV8" s="817"/>
      <c r="AW8" s="817"/>
      <c r="AX8" s="817"/>
      <c r="AY8" s="817"/>
    </row>
    <row r="9" spans="1:55" s="26" customFormat="1" ht="20.100000000000001" customHeight="1">
      <c r="A9" s="817"/>
      <c r="B9" s="2904" t="s">
        <v>11285</v>
      </c>
      <c r="C9" s="2905"/>
      <c r="D9" s="2905"/>
      <c r="E9" s="2905"/>
      <c r="F9" s="2905"/>
      <c r="G9" s="2905"/>
      <c r="H9" s="2905"/>
      <c r="I9" s="2906"/>
      <c r="J9" s="2907" t="s">
        <v>11906</v>
      </c>
      <c r="K9" s="2905"/>
      <c r="L9" s="2905"/>
      <c r="M9" s="2905"/>
      <c r="N9" s="2905"/>
      <c r="O9" s="2905"/>
      <c r="P9" s="2905"/>
      <c r="Q9" s="2906"/>
      <c r="R9" s="2924">
        <v>1200</v>
      </c>
      <c r="S9" s="2925"/>
      <c r="T9" s="2925"/>
      <c r="U9" s="2925"/>
      <c r="V9" s="2925"/>
      <c r="W9" s="2925"/>
      <c r="X9" s="2925"/>
      <c r="Y9" s="2926"/>
      <c r="Z9" s="2911" t="s">
        <v>403</v>
      </c>
      <c r="AA9" s="2905"/>
      <c r="AB9" s="2905"/>
      <c r="AC9" s="2905"/>
      <c r="AD9" s="2905"/>
      <c r="AE9" s="2905"/>
      <c r="AF9" s="2905"/>
      <c r="AG9" s="2905"/>
      <c r="AH9" s="2911" t="s">
        <v>11273</v>
      </c>
      <c r="AI9" s="2905"/>
      <c r="AJ9" s="2905"/>
      <c r="AK9" s="2905"/>
      <c r="AL9" s="2905"/>
      <c r="AM9" s="2905"/>
      <c r="AN9" s="2905"/>
      <c r="AO9" s="2912"/>
      <c r="AP9" s="817"/>
      <c r="AQ9" s="817"/>
      <c r="AR9" s="817"/>
      <c r="AS9" s="817"/>
      <c r="AT9" s="817"/>
      <c r="AU9" s="817"/>
      <c r="AV9" s="817"/>
      <c r="AW9" s="817"/>
      <c r="AX9" s="817"/>
      <c r="AY9" s="817"/>
    </row>
    <row r="10" spans="1:55" s="26" customFormat="1" ht="20.100000000000001" customHeight="1">
      <c r="A10" s="817"/>
      <c r="B10" s="2904"/>
      <c r="C10" s="2905"/>
      <c r="D10" s="2905"/>
      <c r="E10" s="2905"/>
      <c r="F10" s="2905"/>
      <c r="G10" s="2905"/>
      <c r="H10" s="2905"/>
      <c r="I10" s="2906"/>
      <c r="J10" s="2907"/>
      <c r="K10" s="2905"/>
      <c r="L10" s="2905"/>
      <c r="M10" s="2905"/>
      <c r="N10" s="2905"/>
      <c r="O10" s="2905"/>
      <c r="P10" s="2905"/>
      <c r="Q10" s="2906"/>
      <c r="R10" s="2908"/>
      <c r="S10" s="2922"/>
      <c r="T10" s="2922"/>
      <c r="U10" s="2922"/>
      <c r="V10" s="2922"/>
      <c r="W10" s="2922"/>
      <c r="X10" s="2922"/>
      <c r="Y10" s="2923"/>
      <c r="Z10" s="2911"/>
      <c r="AA10" s="2905"/>
      <c r="AB10" s="2905"/>
      <c r="AC10" s="2905"/>
      <c r="AD10" s="2905"/>
      <c r="AE10" s="2905"/>
      <c r="AF10" s="2905"/>
      <c r="AG10" s="2905"/>
      <c r="AH10" s="2911"/>
      <c r="AI10" s="2905"/>
      <c r="AJ10" s="2905"/>
      <c r="AK10" s="2905"/>
      <c r="AL10" s="2905"/>
      <c r="AM10" s="2905"/>
      <c r="AN10" s="2905"/>
      <c r="AO10" s="2912"/>
      <c r="AP10" s="817"/>
      <c r="AQ10" s="817"/>
      <c r="AR10" s="817"/>
      <c r="AS10" s="817"/>
      <c r="AT10" s="817"/>
      <c r="AU10" s="817"/>
      <c r="AV10" s="817"/>
      <c r="AW10" s="817"/>
      <c r="AX10" s="817"/>
      <c r="AY10" s="817"/>
    </row>
    <row r="11" spans="1:55" s="26" customFormat="1" ht="20.100000000000001" customHeight="1">
      <c r="A11" s="817"/>
      <c r="B11" s="2904"/>
      <c r="C11" s="2905"/>
      <c r="D11" s="2905"/>
      <c r="E11" s="2905"/>
      <c r="F11" s="2905"/>
      <c r="G11" s="2905"/>
      <c r="H11" s="2905"/>
      <c r="I11" s="2906"/>
      <c r="J11" s="2907"/>
      <c r="K11" s="2905"/>
      <c r="L11" s="2905"/>
      <c r="M11" s="2905"/>
      <c r="N11" s="2905"/>
      <c r="O11" s="2905"/>
      <c r="P11" s="2905"/>
      <c r="Q11" s="2906"/>
      <c r="R11" s="2908"/>
      <c r="S11" s="2909"/>
      <c r="T11" s="2909"/>
      <c r="U11" s="2909"/>
      <c r="V11" s="2909"/>
      <c r="W11" s="2909"/>
      <c r="X11" s="2909"/>
      <c r="Y11" s="2910"/>
      <c r="Z11" s="2911"/>
      <c r="AA11" s="2905"/>
      <c r="AB11" s="2905"/>
      <c r="AC11" s="2905"/>
      <c r="AD11" s="2905"/>
      <c r="AE11" s="2905"/>
      <c r="AF11" s="2905"/>
      <c r="AG11" s="2905"/>
      <c r="AH11" s="2911"/>
      <c r="AI11" s="2905"/>
      <c r="AJ11" s="2905"/>
      <c r="AK11" s="2905"/>
      <c r="AL11" s="2905"/>
      <c r="AM11" s="2905"/>
      <c r="AN11" s="2905"/>
      <c r="AO11" s="2912"/>
      <c r="AP11" s="817"/>
      <c r="AQ11" s="817"/>
      <c r="AR11" s="817"/>
      <c r="AS11" s="817"/>
      <c r="AT11" s="817"/>
      <c r="AU11" s="817"/>
      <c r="AV11" s="817"/>
      <c r="AW11" s="817"/>
      <c r="AX11" s="817"/>
      <c r="AY11" s="817"/>
    </row>
    <row r="12" spans="1:55" s="26" customFormat="1" ht="20.100000000000001" customHeight="1">
      <c r="A12" s="817"/>
      <c r="B12" s="2904"/>
      <c r="C12" s="2905"/>
      <c r="D12" s="2905"/>
      <c r="E12" s="2905"/>
      <c r="F12" s="2905"/>
      <c r="G12" s="2905"/>
      <c r="H12" s="2905"/>
      <c r="I12" s="2906"/>
      <c r="J12" s="2907"/>
      <c r="K12" s="2905"/>
      <c r="L12" s="2905"/>
      <c r="M12" s="2905"/>
      <c r="N12" s="2905"/>
      <c r="O12" s="2905"/>
      <c r="P12" s="2905"/>
      <c r="Q12" s="2906"/>
      <c r="R12" s="2908"/>
      <c r="S12" s="2922"/>
      <c r="T12" s="2922"/>
      <c r="U12" s="2922"/>
      <c r="V12" s="2922"/>
      <c r="W12" s="2922"/>
      <c r="X12" s="2922"/>
      <c r="Y12" s="2923"/>
      <c r="Z12" s="2911"/>
      <c r="AA12" s="2905"/>
      <c r="AB12" s="2905"/>
      <c r="AC12" s="2905"/>
      <c r="AD12" s="2905"/>
      <c r="AE12" s="2905"/>
      <c r="AF12" s="2905"/>
      <c r="AG12" s="2905"/>
      <c r="AH12" s="2911"/>
      <c r="AI12" s="2905"/>
      <c r="AJ12" s="2905"/>
      <c r="AK12" s="2905"/>
      <c r="AL12" s="2905"/>
      <c r="AM12" s="2905"/>
      <c r="AN12" s="2905"/>
      <c r="AO12" s="2912"/>
      <c r="AP12" s="817"/>
      <c r="AQ12" s="817"/>
      <c r="AR12" s="817"/>
      <c r="AS12" s="817"/>
      <c r="AT12" s="817"/>
      <c r="AU12" s="817"/>
      <c r="AV12" s="817"/>
      <c r="AW12" s="817"/>
      <c r="AX12" s="817"/>
      <c r="AY12" s="817"/>
    </row>
    <row r="13" spans="1:55" s="26" customFormat="1" ht="20.100000000000001" customHeight="1">
      <c r="A13" s="817"/>
      <c r="B13" s="2904"/>
      <c r="C13" s="2905"/>
      <c r="D13" s="2905"/>
      <c r="E13" s="2905"/>
      <c r="F13" s="2905"/>
      <c r="G13" s="2905"/>
      <c r="H13" s="2905"/>
      <c r="I13" s="2906"/>
      <c r="J13" s="2907"/>
      <c r="K13" s="2905"/>
      <c r="L13" s="2905"/>
      <c r="M13" s="2905"/>
      <c r="N13" s="2905"/>
      <c r="O13" s="2905"/>
      <c r="P13" s="2905"/>
      <c r="Q13" s="2906"/>
      <c r="R13" s="2908"/>
      <c r="S13" s="2909"/>
      <c r="T13" s="2909"/>
      <c r="U13" s="2909"/>
      <c r="V13" s="2909"/>
      <c r="W13" s="2909"/>
      <c r="X13" s="2909"/>
      <c r="Y13" s="2910"/>
      <c r="Z13" s="2911"/>
      <c r="AA13" s="2905"/>
      <c r="AB13" s="2905"/>
      <c r="AC13" s="2905"/>
      <c r="AD13" s="2905"/>
      <c r="AE13" s="2905"/>
      <c r="AF13" s="2905"/>
      <c r="AG13" s="2905"/>
      <c r="AH13" s="2911"/>
      <c r="AI13" s="2905"/>
      <c r="AJ13" s="2905"/>
      <c r="AK13" s="2905"/>
      <c r="AL13" s="2905"/>
      <c r="AM13" s="2905"/>
      <c r="AN13" s="2905"/>
      <c r="AO13" s="2912"/>
      <c r="AP13" s="817"/>
      <c r="AQ13" s="817"/>
      <c r="AR13" s="817"/>
      <c r="AS13" s="817"/>
      <c r="AT13" s="817"/>
      <c r="AU13" s="817"/>
      <c r="AV13" s="817"/>
      <c r="AW13" s="817"/>
      <c r="AX13" s="817"/>
      <c r="AY13" s="817"/>
    </row>
    <row r="14" spans="1:55" s="26" customFormat="1" ht="20.100000000000001" customHeight="1">
      <c r="A14" s="817"/>
      <c r="B14" s="2904"/>
      <c r="C14" s="2905"/>
      <c r="D14" s="2905"/>
      <c r="E14" s="2905"/>
      <c r="F14" s="2905"/>
      <c r="G14" s="2905"/>
      <c r="H14" s="2905"/>
      <c r="I14" s="2906"/>
      <c r="J14" s="2907"/>
      <c r="K14" s="2905"/>
      <c r="L14" s="2905"/>
      <c r="M14" s="2905"/>
      <c r="N14" s="2905"/>
      <c r="O14" s="2905"/>
      <c r="P14" s="2905"/>
      <c r="Q14" s="2906"/>
      <c r="R14" s="2908"/>
      <c r="S14" s="2922"/>
      <c r="T14" s="2922"/>
      <c r="U14" s="2922"/>
      <c r="V14" s="2922"/>
      <c r="W14" s="2922"/>
      <c r="X14" s="2922"/>
      <c r="Y14" s="2923"/>
      <c r="Z14" s="2911"/>
      <c r="AA14" s="2905"/>
      <c r="AB14" s="2905"/>
      <c r="AC14" s="2905"/>
      <c r="AD14" s="2905"/>
      <c r="AE14" s="2905"/>
      <c r="AF14" s="2905"/>
      <c r="AG14" s="2905"/>
      <c r="AH14" s="2911"/>
      <c r="AI14" s="2905"/>
      <c r="AJ14" s="2905"/>
      <c r="AK14" s="2905"/>
      <c r="AL14" s="2905"/>
      <c r="AM14" s="2905"/>
      <c r="AN14" s="2905"/>
      <c r="AO14" s="2912"/>
      <c r="AP14" s="817"/>
      <c r="AQ14" s="817"/>
      <c r="AR14" s="817"/>
      <c r="AS14" s="817"/>
      <c r="AT14" s="817"/>
      <c r="AU14" s="817"/>
      <c r="AV14" s="817"/>
      <c r="AW14" s="817"/>
      <c r="AX14" s="817"/>
      <c r="AY14" s="817"/>
    </row>
    <row r="15" spans="1:55" s="26" customFormat="1" ht="20.100000000000001" customHeight="1">
      <c r="A15" s="817"/>
      <c r="B15" s="2904"/>
      <c r="C15" s="2905"/>
      <c r="D15" s="2905"/>
      <c r="E15" s="2905"/>
      <c r="F15" s="2905"/>
      <c r="G15" s="2905"/>
      <c r="H15" s="2905"/>
      <c r="I15" s="2906"/>
      <c r="J15" s="2907"/>
      <c r="K15" s="2905"/>
      <c r="L15" s="2905"/>
      <c r="M15" s="2905"/>
      <c r="N15" s="2905"/>
      <c r="O15" s="2905"/>
      <c r="P15" s="2905"/>
      <c r="Q15" s="2906"/>
      <c r="R15" s="2908"/>
      <c r="S15" s="2909"/>
      <c r="T15" s="2909"/>
      <c r="U15" s="2909"/>
      <c r="V15" s="2909"/>
      <c r="W15" s="2909"/>
      <c r="X15" s="2909"/>
      <c r="Y15" s="2910"/>
      <c r="Z15" s="2911"/>
      <c r="AA15" s="2905"/>
      <c r="AB15" s="2905"/>
      <c r="AC15" s="2905"/>
      <c r="AD15" s="2905"/>
      <c r="AE15" s="2905"/>
      <c r="AF15" s="2905"/>
      <c r="AG15" s="2905"/>
      <c r="AH15" s="2911"/>
      <c r="AI15" s="2905"/>
      <c r="AJ15" s="2905"/>
      <c r="AK15" s="2905"/>
      <c r="AL15" s="2905"/>
      <c r="AM15" s="2905"/>
      <c r="AN15" s="2905"/>
      <c r="AO15" s="2912"/>
      <c r="AP15" s="817"/>
      <c r="AQ15" s="817"/>
      <c r="AR15" s="817"/>
      <c r="AS15" s="817"/>
      <c r="AT15" s="817"/>
      <c r="AU15" s="817"/>
      <c r="AV15" s="817"/>
      <c r="AW15" s="817"/>
      <c r="AX15" s="817"/>
      <c r="AY15" s="817"/>
    </row>
    <row r="16" spans="1:55" s="26" customFormat="1" ht="20.100000000000001" customHeight="1" thickBot="1">
      <c r="A16" s="817"/>
      <c r="B16" s="2913"/>
      <c r="C16" s="2914"/>
      <c r="D16" s="2914"/>
      <c r="E16" s="2914"/>
      <c r="F16" s="2914"/>
      <c r="G16" s="2914"/>
      <c r="H16" s="2914"/>
      <c r="I16" s="2915"/>
      <c r="J16" s="2916"/>
      <c r="K16" s="2914"/>
      <c r="L16" s="2914"/>
      <c r="M16" s="2914"/>
      <c r="N16" s="2914"/>
      <c r="O16" s="2914"/>
      <c r="P16" s="2914"/>
      <c r="Q16" s="2915"/>
      <c r="R16" s="2917"/>
      <c r="S16" s="2918"/>
      <c r="T16" s="2918"/>
      <c r="U16" s="2918"/>
      <c r="V16" s="2918"/>
      <c r="W16" s="2918"/>
      <c r="X16" s="2918"/>
      <c r="Y16" s="2919"/>
      <c r="Z16" s="2920"/>
      <c r="AA16" s="2914"/>
      <c r="AB16" s="2914"/>
      <c r="AC16" s="2914"/>
      <c r="AD16" s="2914"/>
      <c r="AE16" s="2914"/>
      <c r="AF16" s="2914"/>
      <c r="AG16" s="2914"/>
      <c r="AH16" s="2920"/>
      <c r="AI16" s="2914"/>
      <c r="AJ16" s="2914"/>
      <c r="AK16" s="2914"/>
      <c r="AL16" s="2914"/>
      <c r="AM16" s="2914"/>
      <c r="AN16" s="2914"/>
      <c r="AO16" s="2921"/>
      <c r="AP16" s="817"/>
      <c r="AQ16" s="817"/>
      <c r="AR16" s="817"/>
      <c r="AS16" s="817"/>
      <c r="AT16" s="817"/>
      <c r="AU16" s="817"/>
      <c r="AV16" s="817"/>
      <c r="AW16" s="817"/>
      <c r="AX16" s="817"/>
      <c r="AY16" s="817"/>
    </row>
    <row r="17" spans="1:60" s="145" customFormat="1">
      <c r="A17" s="818"/>
      <c r="B17" s="819" t="s">
        <v>47</v>
      </c>
      <c r="C17" s="2902" t="s">
        <v>1741</v>
      </c>
      <c r="D17" s="2902"/>
      <c r="E17" s="2902"/>
      <c r="F17" s="2902"/>
      <c r="G17" s="2902"/>
      <c r="H17" s="2902"/>
      <c r="I17" s="2902"/>
      <c r="J17" s="2902"/>
      <c r="K17" s="2902"/>
      <c r="L17" s="2902"/>
      <c r="M17" s="2902"/>
      <c r="N17" s="2902"/>
      <c r="O17" s="2902"/>
      <c r="P17" s="2902"/>
      <c r="Q17" s="2902"/>
      <c r="R17" s="2902"/>
      <c r="S17" s="2902"/>
      <c r="T17" s="2902"/>
      <c r="U17" s="2902"/>
      <c r="V17" s="2902"/>
      <c r="W17" s="2902"/>
      <c r="X17" s="2902"/>
      <c r="Y17" s="2902"/>
      <c r="Z17" s="2902"/>
      <c r="AA17" s="2902"/>
      <c r="AB17" s="2902"/>
      <c r="AC17" s="2902"/>
      <c r="AD17" s="2902"/>
      <c r="AE17" s="2902"/>
      <c r="AF17" s="2902"/>
      <c r="AG17" s="2902"/>
      <c r="AH17" s="2902"/>
      <c r="AI17" s="2902"/>
      <c r="AJ17" s="2902"/>
      <c r="AK17" s="2902"/>
      <c r="AL17" s="2902"/>
      <c r="AM17" s="2902"/>
      <c r="AN17" s="2902"/>
      <c r="AO17" s="2902"/>
      <c r="AP17" s="815"/>
      <c r="AQ17" s="815"/>
      <c r="AR17" s="815"/>
      <c r="AS17" s="815"/>
      <c r="AT17" s="815"/>
      <c r="AU17" s="815"/>
      <c r="AV17" s="815"/>
      <c r="AW17" s="815"/>
      <c r="AX17" s="815"/>
      <c r="AY17" s="818"/>
      <c r="AZ17" s="146"/>
      <c r="BA17" s="146"/>
      <c r="BB17" s="146"/>
      <c r="BC17" s="146"/>
      <c r="BD17" s="146"/>
      <c r="BE17" s="146"/>
      <c r="BF17" s="146"/>
      <c r="BG17" s="146"/>
      <c r="BH17" s="146"/>
    </row>
    <row r="18" spans="1:60" s="145" customFormat="1" ht="15.75">
      <c r="A18" s="820"/>
      <c r="B18" s="821"/>
      <c r="C18" s="822" t="s">
        <v>276</v>
      </c>
      <c r="D18" s="2903" t="s">
        <v>1742</v>
      </c>
      <c r="E18" s="2903"/>
      <c r="F18" s="2903"/>
      <c r="G18" s="2903"/>
      <c r="H18" s="2903"/>
      <c r="I18" s="2903"/>
      <c r="J18" s="2903"/>
      <c r="K18" s="2903"/>
      <c r="L18" s="2903"/>
      <c r="M18" s="2903"/>
      <c r="N18" s="2903"/>
      <c r="O18" s="2903"/>
      <c r="P18" s="2903"/>
      <c r="Q18" s="2903"/>
      <c r="R18" s="2903"/>
      <c r="S18" s="2903"/>
      <c r="T18" s="2903"/>
      <c r="U18" s="2903"/>
      <c r="V18" s="2903"/>
      <c r="W18" s="2903"/>
      <c r="X18" s="2903"/>
      <c r="Y18" s="2903"/>
      <c r="Z18" s="2903"/>
      <c r="AA18" s="2903"/>
      <c r="AB18" s="2903"/>
      <c r="AC18" s="2903"/>
      <c r="AD18" s="2903"/>
      <c r="AE18" s="2903"/>
      <c r="AF18" s="2903"/>
      <c r="AG18" s="2903"/>
      <c r="AH18" s="2903"/>
      <c r="AI18" s="2903"/>
      <c r="AJ18" s="2903"/>
      <c r="AK18" s="2903"/>
      <c r="AL18" s="2903"/>
      <c r="AM18" s="2903"/>
      <c r="AN18" s="2903"/>
      <c r="AO18" s="2903"/>
      <c r="AP18" s="815"/>
      <c r="AQ18" s="815"/>
      <c r="AR18" s="815"/>
      <c r="AS18" s="815"/>
      <c r="AT18" s="815"/>
      <c r="AU18" s="815"/>
      <c r="AV18" s="815"/>
      <c r="AW18" s="815"/>
      <c r="AX18" s="815"/>
      <c r="AY18" s="820"/>
      <c r="AZ18" s="166"/>
      <c r="BA18" s="166"/>
      <c r="BB18" s="166"/>
      <c r="BC18" s="166"/>
      <c r="BD18" s="166"/>
      <c r="BE18" s="166"/>
      <c r="BF18" s="166"/>
      <c r="BG18" s="166"/>
      <c r="BH18" s="166"/>
    </row>
    <row r="19" spans="1:60" s="145" customFormat="1" ht="15.75">
      <c r="A19" s="820"/>
      <c r="B19" s="821"/>
      <c r="C19" s="822" t="s">
        <v>277</v>
      </c>
      <c r="D19" s="2903" t="s">
        <v>1743</v>
      </c>
      <c r="E19" s="2903"/>
      <c r="F19" s="2903"/>
      <c r="G19" s="2903"/>
      <c r="H19" s="2903"/>
      <c r="I19" s="2903"/>
      <c r="J19" s="2903"/>
      <c r="K19" s="2903"/>
      <c r="L19" s="2903"/>
      <c r="M19" s="2903"/>
      <c r="N19" s="2903"/>
      <c r="O19" s="2903"/>
      <c r="P19" s="2903"/>
      <c r="Q19" s="2903"/>
      <c r="R19" s="2903"/>
      <c r="S19" s="2903"/>
      <c r="T19" s="2903"/>
      <c r="U19" s="2903"/>
      <c r="V19" s="2903"/>
      <c r="W19" s="2903"/>
      <c r="X19" s="2903"/>
      <c r="Y19" s="2903"/>
      <c r="Z19" s="2903"/>
      <c r="AA19" s="2903"/>
      <c r="AB19" s="2903"/>
      <c r="AC19" s="2903"/>
      <c r="AD19" s="2903"/>
      <c r="AE19" s="2903"/>
      <c r="AF19" s="2903"/>
      <c r="AG19" s="2903"/>
      <c r="AH19" s="2903"/>
      <c r="AI19" s="2903"/>
      <c r="AJ19" s="2903"/>
      <c r="AK19" s="2903"/>
      <c r="AL19" s="2903"/>
      <c r="AM19" s="2903"/>
      <c r="AN19" s="2903"/>
      <c r="AO19" s="2903"/>
      <c r="AP19" s="815"/>
      <c r="AQ19" s="815"/>
      <c r="AR19" s="815"/>
      <c r="AS19" s="815"/>
      <c r="AT19" s="815"/>
      <c r="AU19" s="815"/>
      <c r="AV19" s="815"/>
      <c r="AW19" s="815"/>
      <c r="AX19" s="815"/>
      <c r="AY19" s="820"/>
      <c r="AZ19" s="166"/>
      <c r="BA19" s="166"/>
      <c r="BB19" s="166"/>
      <c r="BC19" s="166"/>
      <c r="BD19" s="166"/>
      <c r="BE19" s="166"/>
      <c r="BF19" s="166"/>
      <c r="BG19" s="166"/>
      <c r="BH19" s="166"/>
    </row>
    <row r="20" spans="1:60" s="145" customFormat="1" ht="15.75">
      <c r="A20" s="820"/>
      <c r="B20" s="821"/>
      <c r="C20" s="822" t="s">
        <v>278</v>
      </c>
      <c r="D20" s="2903" t="s">
        <v>1744</v>
      </c>
      <c r="E20" s="2903"/>
      <c r="F20" s="2903"/>
      <c r="G20" s="2903"/>
      <c r="H20" s="2903"/>
      <c r="I20" s="2903"/>
      <c r="J20" s="2903"/>
      <c r="K20" s="2903"/>
      <c r="L20" s="2903"/>
      <c r="M20" s="2903"/>
      <c r="N20" s="2903"/>
      <c r="O20" s="2903"/>
      <c r="P20" s="2903"/>
      <c r="Q20" s="2903"/>
      <c r="R20" s="2903"/>
      <c r="S20" s="2903"/>
      <c r="T20" s="2903"/>
      <c r="U20" s="2903"/>
      <c r="V20" s="2903"/>
      <c r="W20" s="2903"/>
      <c r="X20" s="2903"/>
      <c r="Y20" s="2903"/>
      <c r="Z20" s="2903"/>
      <c r="AA20" s="2903"/>
      <c r="AB20" s="2903"/>
      <c r="AC20" s="2903"/>
      <c r="AD20" s="2903"/>
      <c r="AE20" s="2903"/>
      <c r="AF20" s="2903"/>
      <c r="AG20" s="2903"/>
      <c r="AH20" s="2903"/>
      <c r="AI20" s="2903"/>
      <c r="AJ20" s="2903"/>
      <c r="AK20" s="2903"/>
      <c r="AL20" s="2903"/>
      <c r="AM20" s="2903"/>
      <c r="AN20" s="2903"/>
      <c r="AO20" s="2903"/>
      <c r="AP20" s="815"/>
      <c r="AQ20" s="815"/>
      <c r="AR20" s="815"/>
      <c r="AS20" s="815"/>
      <c r="AT20" s="815"/>
      <c r="AU20" s="815"/>
      <c r="AV20" s="815"/>
      <c r="AW20" s="815"/>
      <c r="AX20" s="815"/>
      <c r="AY20" s="820"/>
      <c r="AZ20" s="166"/>
      <c r="BA20" s="166"/>
      <c r="BB20" s="166"/>
      <c r="BC20" s="166"/>
      <c r="BD20" s="166"/>
      <c r="BE20" s="166"/>
      <c r="BF20" s="166"/>
      <c r="BG20" s="166"/>
      <c r="BH20" s="166"/>
    </row>
    <row r="21" spans="1:60" s="145" customFormat="1" ht="15.75">
      <c r="A21" s="820"/>
      <c r="B21" s="821"/>
      <c r="C21" s="822" t="s">
        <v>518</v>
      </c>
      <c r="D21" s="2903" t="s">
        <v>1745</v>
      </c>
      <c r="E21" s="2903"/>
      <c r="F21" s="2903"/>
      <c r="G21" s="2903"/>
      <c r="H21" s="2903"/>
      <c r="I21" s="2903"/>
      <c r="J21" s="2903"/>
      <c r="K21" s="2903"/>
      <c r="L21" s="2903"/>
      <c r="M21" s="2903"/>
      <c r="N21" s="2903"/>
      <c r="O21" s="2903"/>
      <c r="P21" s="2903"/>
      <c r="Q21" s="2903"/>
      <c r="R21" s="2903"/>
      <c r="S21" s="2903"/>
      <c r="T21" s="2903"/>
      <c r="U21" s="2903"/>
      <c r="V21" s="2903"/>
      <c r="W21" s="2903"/>
      <c r="X21" s="2903"/>
      <c r="Y21" s="2903"/>
      <c r="Z21" s="2903"/>
      <c r="AA21" s="2903"/>
      <c r="AB21" s="2903"/>
      <c r="AC21" s="2903"/>
      <c r="AD21" s="2903"/>
      <c r="AE21" s="2903"/>
      <c r="AF21" s="2903"/>
      <c r="AG21" s="2903"/>
      <c r="AH21" s="2903"/>
      <c r="AI21" s="2903"/>
      <c r="AJ21" s="2903"/>
      <c r="AK21" s="2903"/>
      <c r="AL21" s="2903"/>
      <c r="AM21" s="2903"/>
      <c r="AN21" s="2903"/>
      <c r="AO21" s="2903"/>
      <c r="AP21" s="815"/>
      <c r="AQ21" s="815"/>
      <c r="AR21" s="815"/>
      <c r="AS21" s="815"/>
      <c r="AT21" s="815"/>
      <c r="AU21" s="815"/>
      <c r="AV21" s="815"/>
      <c r="AW21" s="815"/>
      <c r="AX21" s="815"/>
      <c r="AY21" s="820"/>
      <c r="AZ21" s="166"/>
      <c r="BA21" s="166"/>
      <c r="BB21" s="166"/>
      <c r="BC21" s="166"/>
      <c r="BD21" s="166"/>
      <c r="BE21" s="166"/>
      <c r="BF21" s="166"/>
      <c r="BG21" s="166"/>
      <c r="BH21" s="166"/>
    </row>
    <row r="22" spans="1:60" s="145" customFormat="1" ht="15.75">
      <c r="A22" s="820"/>
      <c r="B22" s="821"/>
      <c r="C22" s="822" t="s">
        <v>519</v>
      </c>
      <c r="D22" s="2903" t="s">
        <v>1746</v>
      </c>
      <c r="E22" s="2903"/>
      <c r="F22" s="2903"/>
      <c r="G22" s="2903"/>
      <c r="H22" s="2903"/>
      <c r="I22" s="2903"/>
      <c r="J22" s="2903"/>
      <c r="K22" s="2903"/>
      <c r="L22" s="2903"/>
      <c r="M22" s="2903"/>
      <c r="N22" s="2903"/>
      <c r="O22" s="2903"/>
      <c r="P22" s="2903"/>
      <c r="Q22" s="2903"/>
      <c r="R22" s="2903"/>
      <c r="S22" s="2903"/>
      <c r="T22" s="2903"/>
      <c r="U22" s="2903"/>
      <c r="V22" s="2903"/>
      <c r="W22" s="2903"/>
      <c r="X22" s="2903"/>
      <c r="Y22" s="2903"/>
      <c r="Z22" s="2903"/>
      <c r="AA22" s="2903"/>
      <c r="AB22" s="2903"/>
      <c r="AC22" s="2903"/>
      <c r="AD22" s="2903"/>
      <c r="AE22" s="2903"/>
      <c r="AF22" s="2903"/>
      <c r="AG22" s="2903"/>
      <c r="AH22" s="2903"/>
      <c r="AI22" s="2903"/>
      <c r="AJ22" s="2903"/>
      <c r="AK22" s="2903"/>
      <c r="AL22" s="2903"/>
      <c r="AM22" s="2903"/>
      <c r="AN22" s="2903"/>
      <c r="AO22" s="2903"/>
      <c r="AP22" s="815"/>
      <c r="AQ22" s="815"/>
      <c r="AR22" s="815"/>
      <c r="AS22" s="815"/>
      <c r="AT22" s="815"/>
      <c r="AU22" s="815"/>
      <c r="AV22" s="815"/>
      <c r="AW22" s="815"/>
      <c r="AX22" s="815"/>
      <c r="AY22" s="820"/>
      <c r="AZ22" s="166"/>
      <c r="BA22" s="166"/>
      <c r="BB22" s="166"/>
      <c r="BC22" s="166"/>
      <c r="BD22" s="166"/>
      <c r="BE22" s="166"/>
      <c r="BF22" s="166"/>
      <c r="BG22" s="166"/>
      <c r="BH22" s="166"/>
    </row>
    <row r="23" spans="1:60" s="145" customFormat="1" ht="15.75">
      <c r="A23" s="820"/>
      <c r="B23" s="821"/>
      <c r="C23" s="822" t="s">
        <v>520</v>
      </c>
      <c r="D23" s="2903" t="s">
        <v>1747</v>
      </c>
      <c r="E23" s="2903"/>
      <c r="F23" s="2903"/>
      <c r="G23" s="2903"/>
      <c r="H23" s="2903"/>
      <c r="I23" s="2903"/>
      <c r="J23" s="2903"/>
      <c r="K23" s="2903"/>
      <c r="L23" s="2903"/>
      <c r="M23" s="2903"/>
      <c r="N23" s="2903"/>
      <c r="O23" s="2903"/>
      <c r="P23" s="2903"/>
      <c r="Q23" s="2903"/>
      <c r="R23" s="2903"/>
      <c r="S23" s="2903"/>
      <c r="T23" s="2903"/>
      <c r="U23" s="2903"/>
      <c r="V23" s="2903"/>
      <c r="W23" s="2903"/>
      <c r="X23" s="2903"/>
      <c r="Y23" s="2903"/>
      <c r="Z23" s="2903"/>
      <c r="AA23" s="2903"/>
      <c r="AB23" s="2903"/>
      <c r="AC23" s="2903"/>
      <c r="AD23" s="2903"/>
      <c r="AE23" s="2903"/>
      <c r="AF23" s="2903"/>
      <c r="AG23" s="2903"/>
      <c r="AH23" s="2903"/>
      <c r="AI23" s="2903"/>
      <c r="AJ23" s="2903"/>
      <c r="AK23" s="2903"/>
      <c r="AL23" s="2903"/>
      <c r="AM23" s="2903"/>
      <c r="AN23" s="2903"/>
      <c r="AO23" s="2903"/>
      <c r="AP23" s="815"/>
      <c r="AQ23" s="815"/>
      <c r="AR23" s="815"/>
      <c r="AS23" s="815"/>
      <c r="AT23" s="815"/>
      <c r="AU23" s="815"/>
      <c r="AV23" s="815"/>
      <c r="AW23" s="815"/>
      <c r="AX23" s="815"/>
      <c r="AY23" s="820"/>
      <c r="AZ23" s="166"/>
      <c r="BA23" s="166"/>
      <c r="BB23" s="166"/>
      <c r="BC23" s="166"/>
      <c r="BD23" s="166"/>
      <c r="BE23" s="166"/>
      <c r="BF23" s="166"/>
      <c r="BG23" s="166"/>
      <c r="BH23" s="166"/>
    </row>
    <row r="24" spans="1:60" s="145" customFormat="1" ht="15.75">
      <c r="A24" s="820"/>
      <c r="B24" s="821"/>
      <c r="C24" s="822" t="s">
        <v>521</v>
      </c>
      <c r="D24" s="2903" t="s">
        <v>1748</v>
      </c>
      <c r="E24" s="2903"/>
      <c r="F24" s="2903"/>
      <c r="G24" s="2903"/>
      <c r="H24" s="2903"/>
      <c r="I24" s="2903"/>
      <c r="J24" s="2903"/>
      <c r="K24" s="2903"/>
      <c r="L24" s="2903"/>
      <c r="M24" s="2903"/>
      <c r="N24" s="2903"/>
      <c r="O24" s="2903"/>
      <c r="P24" s="2903"/>
      <c r="Q24" s="2903"/>
      <c r="R24" s="2903"/>
      <c r="S24" s="2903"/>
      <c r="T24" s="2903"/>
      <c r="U24" s="2903"/>
      <c r="V24" s="2903"/>
      <c r="W24" s="2903"/>
      <c r="X24" s="2903"/>
      <c r="Y24" s="2903"/>
      <c r="Z24" s="2903"/>
      <c r="AA24" s="2903"/>
      <c r="AB24" s="2903"/>
      <c r="AC24" s="2903"/>
      <c r="AD24" s="2903"/>
      <c r="AE24" s="2903"/>
      <c r="AF24" s="2903"/>
      <c r="AG24" s="2903"/>
      <c r="AH24" s="2903"/>
      <c r="AI24" s="2903"/>
      <c r="AJ24" s="2903"/>
      <c r="AK24" s="2903"/>
      <c r="AL24" s="2903"/>
      <c r="AM24" s="2903"/>
      <c r="AN24" s="2903"/>
      <c r="AO24" s="2903"/>
      <c r="AP24" s="815"/>
      <c r="AQ24" s="815"/>
      <c r="AR24" s="815"/>
      <c r="AS24" s="815"/>
      <c r="AT24" s="815"/>
      <c r="AU24" s="815"/>
      <c r="AV24" s="815"/>
      <c r="AW24" s="815"/>
      <c r="AX24" s="815"/>
      <c r="AY24" s="820"/>
      <c r="AZ24" s="166"/>
      <c r="BA24" s="166"/>
      <c r="BB24" s="166"/>
      <c r="BC24" s="166"/>
      <c r="BD24" s="166"/>
      <c r="BE24" s="166"/>
      <c r="BF24" s="166"/>
      <c r="BG24" s="166"/>
      <c r="BH24" s="166"/>
    </row>
    <row r="25" spans="1:60" s="145" customFormat="1">
      <c r="A25" s="818"/>
      <c r="B25" s="819" t="s">
        <v>48</v>
      </c>
      <c r="C25" s="2901" t="s">
        <v>1749</v>
      </c>
      <c r="D25" s="2901"/>
      <c r="E25" s="2901"/>
      <c r="F25" s="2901"/>
      <c r="G25" s="2901"/>
      <c r="H25" s="2901"/>
      <c r="I25" s="2901"/>
      <c r="J25" s="2901"/>
      <c r="K25" s="2901"/>
      <c r="L25" s="2901"/>
      <c r="M25" s="2901"/>
      <c r="N25" s="2901"/>
      <c r="O25" s="2901"/>
      <c r="P25" s="2901"/>
      <c r="Q25" s="2901"/>
      <c r="R25" s="2901"/>
      <c r="S25" s="2901"/>
      <c r="T25" s="2901"/>
      <c r="U25" s="2901"/>
      <c r="V25" s="2901"/>
      <c r="W25" s="2901"/>
      <c r="X25" s="2901"/>
      <c r="Y25" s="2901"/>
      <c r="Z25" s="2901"/>
      <c r="AA25" s="2901"/>
      <c r="AB25" s="2901"/>
      <c r="AC25" s="2901"/>
      <c r="AD25" s="2901"/>
      <c r="AE25" s="2901"/>
      <c r="AF25" s="2901"/>
      <c r="AG25" s="2901"/>
      <c r="AH25" s="2901"/>
      <c r="AI25" s="2901"/>
      <c r="AJ25" s="2901"/>
      <c r="AK25" s="2901"/>
      <c r="AL25" s="2901"/>
      <c r="AM25" s="2901"/>
      <c r="AN25" s="2901"/>
      <c r="AO25" s="2901"/>
      <c r="AP25" s="815"/>
      <c r="AQ25" s="815"/>
      <c r="AR25" s="815"/>
      <c r="AS25" s="815"/>
      <c r="AT25" s="815"/>
      <c r="AU25" s="815"/>
      <c r="AV25" s="815"/>
      <c r="AW25" s="815"/>
      <c r="AX25" s="815"/>
      <c r="AY25" s="818"/>
      <c r="AZ25" s="146"/>
      <c r="BA25" s="146"/>
      <c r="BB25" s="146"/>
      <c r="BC25" s="146"/>
      <c r="BD25" s="146"/>
      <c r="BE25" s="146"/>
      <c r="BF25" s="146"/>
      <c r="BG25" s="146"/>
      <c r="BH25" s="146"/>
    </row>
    <row r="26" spans="1:60" s="145" customFormat="1">
      <c r="A26" s="818"/>
      <c r="B26" s="819" t="s">
        <v>49</v>
      </c>
      <c r="C26" s="2901" t="s">
        <v>1750</v>
      </c>
      <c r="D26" s="2901"/>
      <c r="E26" s="2901"/>
      <c r="F26" s="2901"/>
      <c r="G26" s="2901"/>
      <c r="H26" s="2901"/>
      <c r="I26" s="2901"/>
      <c r="J26" s="2901"/>
      <c r="K26" s="2901"/>
      <c r="L26" s="2901"/>
      <c r="M26" s="2901"/>
      <c r="N26" s="2901"/>
      <c r="O26" s="2901"/>
      <c r="P26" s="2901"/>
      <c r="Q26" s="2901"/>
      <c r="R26" s="2901"/>
      <c r="S26" s="2901"/>
      <c r="T26" s="2901"/>
      <c r="U26" s="2901"/>
      <c r="V26" s="2901"/>
      <c r="W26" s="2901"/>
      <c r="X26" s="2901"/>
      <c r="Y26" s="2901"/>
      <c r="Z26" s="2901"/>
      <c r="AA26" s="2901"/>
      <c r="AB26" s="2901"/>
      <c r="AC26" s="2901"/>
      <c r="AD26" s="2901"/>
      <c r="AE26" s="2901"/>
      <c r="AF26" s="2901"/>
      <c r="AG26" s="2901"/>
      <c r="AH26" s="2901"/>
      <c r="AI26" s="2901"/>
      <c r="AJ26" s="2901"/>
      <c r="AK26" s="2901"/>
      <c r="AL26" s="2901"/>
      <c r="AM26" s="2901"/>
      <c r="AN26" s="2901"/>
      <c r="AO26" s="2901"/>
      <c r="AP26" s="815"/>
      <c r="AQ26" s="815"/>
      <c r="AR26" s="815"/>
      <c r="AS26" s="815"/>
      <c r="AT26" s="815"/>
      <c r="AU26" s="815"/>
      <c r="AV26" s="815"/>
      <c r="AW26" s="815"/>
      <c r="AX26" s="815"/>
      <c r="AY26" s="818"/>
      <c r="AZ26" s="146"/>
      <c r="BA26" s="146"/>
      <c r="BB26" s="146"/>
      <c r="BC26" s="146"/>
      <c r="BD26" s="146"/>
      <c r="BE26" s="146"/>
      <c r="BF26" s="146"/>
      <c r="BG26" s="146"/>
      <c r="BH26" s="146"/>
    </row>
    <row r="27" spans="1:60" s="145" customFormat="1">
      <c r="A27" s="818"/>
      <c r="B27" s="819" t="s">
        <v>50</v>
      </c>
      <c r="C27" s="2901" t="s">
        <v>1751</v>
      </c>
      <c r="D27" s="2901"/>
      <c r="E27" s="2901"/>
      <c r="F27" s="2901"/>
      <c r="G27" s="2901"/>
      <c r="H27" s="2901"/>
      <c r="I27" s="2901"/>
      <c r="J27" s="2901"/>
      <c r="K27" s="2901"/>
      <c r="L27" s="2901"/>
      <c r="M27" s="2901"/>
      <c r="N27" s="2901"/>
      <c r="O27" s="2901"/>
      <c r="P27" s="2901"/>
      <c r="Q27" s="2901"/>
      <c r="R27" s="2901"/>
      <c r="S27" s="2901"/>
      <c r="T27" s="2901"/>
      <c r="U27" s="2901"/>
      <c r="V27" s="2901"/>
      <c r="W27" s="2901"/>
      <c r="X27" s="2901"/>
      <c r="Y27" s="2901"/>
      <c r="Z27" s="2901"/>
      <c r="AA27" s="2901"/>
      <c r="AB27" s="2901"/>
      <c r="AC27" s="2901"/>
      <c r="AD27" s="2901"/>
      <c r="AE27" s="2901"/>
      <c r="AF27" s="2901"/>
      <c r="AG27" s="2901"/>
      <c r="AH27" s="2901"/>
      <c r="AI27" s="2901"/>
      <c r="AJ27" s="2901"/>
      <c r="AK27" s="2901"/>
      <c r="AL27" s="2901"/>
      <c r="AM27" s="2901"/>
      <c r="AN27" s="2901"/>
      <c r="AO27" s="2901"/>
      <c r="AP27" s="815"/>
      <c r="AQ27" s="815"/>
      <c r="AR27" s="815"/>
      <c r="AS27" s="815"/>
      <c r="AT27" s="815"/>
      <c r="AU27" s="815"/>
      <c r="AV27" s="815"/>
      <c r="AW27" s="815"/>
      <c r="AX27" s="815"/>
      <c r="AY27" s="818"/>
      <c r="AZ27" s="146"/>
      <c r="BA27" s="146"/>
      <c r="BB27" s="146"/>
      <c r="BC27" s="146"/>
      <c r="BD27" s="146"/>
      <c r="BE27" s="146"/>
      <c r="BF27" s="146"/>
      <c r="BG27" s="146"/>
      <c r="BH27" s="146"/>
    </row>
    <row r="28" spans="1:60" s="145" customFormat="1">
      <c r="A28" s="818"/>
      <c r="B28" s="819" t="s">
        <v>51</v>
      </c>
      <c r="C28" s="2901" t="s">
        <v>1752</v>
      </c>
      <c r="D28" s="2901"/>
      <c r="E28" s="2901"/>
      <c r="F28" s="2901"/>
      <c r="G28" s="2901"/>
      <c r="H28" s="2901"/>
      <c r="I28" s="2901"/>
      <c r="J28" s="2901"/>
      <c r="K28" s="2901"/>
      <c r="L28" s="2901"/>
      <c r="M28" s="2901"/>
      <c r="N28" s="2901"/>
      <c r="O28" s="2901"/>
      <c r="P28" s="2901"/>
      <c r="Q28" s="2901"/>
      <c r="R28" s="2901"/>
      <c r="S28" s="2901"/>
      <c r="T28" s="2901"/>
      <c r="U28" s="2901"/>
      <c r="V28" s="2901"/>
      <c r="W28" s="2901"/>
      <c r="X28" s="2901"/>
      <c r="Y28" s="2901"/>
      <c r="Z28" s="2901"/>
      <c r="AA28" s="2901"/>
      <c r="AB28" s="2901"/>
      <c r="AC28" s="2901"/>
      <c r="AD28" s="2901"/>
      <c r="AE28" s="2901"/>
      <c r="AF28" s="2901"/>
      <c r="AG28" s="2901"/>
      <c r="AH28" s="2901"/>
      <c r="AI28" s="2901"/>
      <c r="AJ28" s="2901"/>
      <c r="AK28" s="2901"/>
      <c r="AL28" s="2901"/>
      <c r="AM28" s="2901"/>
      <c r="AN28" s="2901"/>
      <c r="AO28" s="2901"/>
      <c r="AP28" s="815"/>
      <c r="AQ28" s="815"/>
      <c r="AR28" s="815"/>
      <c r="AS28" s="815"/>
      <c r="AT28" s="815"/>
      <c r="AU28" s="815"/>
      <c r="AV28" s="815"/>
      <c r="AW28" s="815"/>
      <c r="AX28" s="815"/>
      <c r="AY28" s="818"/>
      <c r="AZ28" s="146"/>
      <c r="BA28" s="146"/>
      <c r="BB28" s="146"/>
      <c r="BC28" s="146"/>
      <c r="BD28" s="146"/>
      <c r="BE28" s="146"/>
      <c r="BF28" s="146"/>
      <c r="BG28" s="146"/>
      <c r="BH28" s="146"/>
    </row>
    <row r="29" spans="1:60" s="3" customFormat="1" ht="30.75" customHeight="1">
      <c r="A29" s="240"/>
      <c r="B29" s="274"/>
      <c r="C29" s="274"/>
      <c r="D29" s="274"/>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row>
    <row r="30" spans="1:60" s="37" customFormat="1">
      <c r="A30" s="263"/>
      <c r="B30" s="332" t="s">
        <v>32</v>
      </c>
      <c r="C30" s="263"/>
      <c r="D30" s="263"/>
      <c r="E30" s="263"/>
      <c r="F30" s="263"/>
      <c r="G30" s="263"/>
      <c r="H30" s="263"/>
      <c r="I30" s="263"/>
      <c r="J30" s="263"/>
      <c r="K30" s="263"/>
      <c r="L30" s="263"/>
      <c r="M30" s="263"/>
      <c r="N30" s="263"/>
      <c r="O30" s="263"/>
      <c r="P30" s="332" t="s">
        <v>444</v>
      </c>
      <c r="Q30" s="332"/>
      <c r="R30" s="263"/>
      <c r="S30" s="263"/>
      <c r="T30" s="263"/>
      <c r="U30" s="263"/>
      <c r="V30" s="263"/>
      <c r="W30" s="263"/>
      <c r="X30" s="263"/>
      <c r="Y30" s="263"/>
      <c r="Z30" s="263"/>
      <c r="AA30" s="263"/>
      <c r="AB30" s="263"/>
      <c r="AC30" s="263"/>
      <c r="AD30" s="332" t="s">
        <v>33</v>
      </c>
      <c r="AE30" s="263"/>
      <c r="AF30" s="263"/>
      <c r="AG30" s="263"/>
      <c r="AH30" s="263"/>
      <c r="AI30" s="263"/>
      <c r="AJ30" s="263"/>
      <c r="AK30" s="263"/>
      <c r="AL30" s="263"/>
      <c r="AM30" s="263"/>
      <c r="AN30" s="263"/>
      <c r="AO30" s="263"/>
      <c r="AP30" s="263"/>
      <c r="AQ30" s="263"/>
      <c r="AR30" s="263"/>
      <c r="AS30" s="263"/>
      <c r="AT30" s="263"/>
      <c r="AU30" s="263"/>
      <c r="AV30" s="263"/>
      <c r="AW30" s="263"/>
      <c r="AX30" s="263"/>
      <c r="AY30" s="263"/>
    </row>
    <row r="31" spans="1:60" s="37" customFormat="1" ht="21.75" customHeight="1">
      <c r="A31" s="263"/>
      <c r="B31" s="332" t="s">
        <v>73</v>
      </c>
      <c r="C31" s="263"/>
      <c r="D31" s="263"/>
      <c r="E31" s="263"/>
      <c r="F31" s="2790" t="str">
        <f>activesheet!E21</f>
        <v>MELCHESIEDICK Q. BOLANIO / March 17, 2023</v>
      </c>
      <c r="G31" s="2790"/>
      <c r="H31" s="2790"/>
      <c r="I31" s="2790"/>
      <c r="J31" s="2790"/>
      <c r="K31" s="2790"/>
      <c r="L31" s="2790"/>
      <c r="M31" s="2790"/>
      <c r="N31" s="823"/>
      <c r="O31" s="263"/>
      <c r="P31" s="1819" t="str">
        <f>activesheet!E1922</f>
        <v>ANNE VALERIE KERSTEINE I. VILLANUEVA / March 17, 2023</v>
      </c>
      <c r="Q31" s="1819"/>
      <c r="R31" s="1819"/>
      <c r="S31" s="1819"/>
      <c r="T31" s="1819"/>
      <c r="U31" s="1819"/>
      <c r="V31" s="1819"/>
      <c r="W31" s="1819"/>
      <c r="X31" s="1819"/>
      <c r="Y31" s="1819"/>
      <c r="Z31" s="1819"/>
      <c r="AA31" s="1819"/>
      <c r="AB31" s="263"/>
      <c r="AC31" s="263"/>
      <c r="AD31" s="1819" t="str">
        <f>activesheet!E25</f>
        <v>MICHAEL T. JAMIS / March 17, 2023</v>
      </c>
      <c r="AE31" s="1819"/>
      <c r="AF31" s="1819"/>
      <c r="AG31" s="1819"/>
      <c r="AH31" s="1819"/>
      <c r="AI31" s="1819"/>
      <c r="AJ31" s="1819"/>
      <c r="AK31" s="1819"/>
      <c r="AL31" s="1819"/>
      <c r="AM31" s="1819"/>
      <c r="AN31" s="1819"/>
      <c r="AO31" s="1819"/>
      <c r="AP31" s="263"/>
      <c r="AQ31" s="263"/>
      <c r="AR31" s="263"/>
      <c r="AS31" s="263"/>
      <c r="AT31" s="263"/>
      <c r="AU31" s="263"/>
      <c r="AV31" s="263"/>
      <c r="AW31" s="263"/>
      <c r="AX31" s="263"/>
      <c r="AY31" s="263"/>
    </row>
    <row r="32" spans="1:60" s="39" customFormat="1">
      <c r="A32" s="280"/>
      <c r="B32" s="228"/>
      <c r="C32" s="280"/>
      <c r="D32" s="280"/>
      <c r="E32" s="280"/>
      <c r="F32" s="1811" t="s">
        <v>37</v>
      </c>
      <c r="G32" s="1811"/>
      <c r="H32" s="1811"/>
      <c r="I32" s="1811"/>
      <c r="J32" s="1811"/>
      <c r="K32" s="1811"/>
      <c r="L32" s="1811"/>
      <c r="M32" s="1811"/>
      <c r="N32" s="247"/>
      <c r="O32" s="228"/>
      <c r="P32" s="1820"/>
      <c r="Q32" s="1820"/>
      <c r="R32" s="1820"/>
      <c r="S32" s="1820"/>
      <c r="T32" s="1820"/>
      <c r="U32" s="1820"/>
      <c r="V32" s="1820"/>
      <c r="W32" s="1820"/>
      <c r="X32" s="1820"/>
      <c r="Y32" s="1820"/>
      <c r="Z32" s="1820"/>
      <c r="AA32" s="1820"/>
      <c r="AB32" s="263"/>
      <c r="AC32" s="263"/>
      <c r="AD32" s="1820"/>
      <c r="AE32" s="1820"/>
      <c r="AF32" s="1820"/>
      <c r="AG32" s="1820"/>
      <c r="AH32" s="1820"/>
      <c r="AI32" s="1820"/>
      <c r="AJ32" s="1820"/>
      <c r="AK32" s="1820"/>
      <c r="AL32" s="1820"/>
      <c r="AM32" s="1820"/>
      <c r="AN32" s="1820"/>
      <c r="AO32" s="1820"/>
      <c r="AP32" s="228"/>
      <c r="AQ32" s="280"/>
      <c r="AR32" s="280"/>
      <c r="AS32" s="280"/>
      <c r="AT32" s="280"/>
      <c r="AU32" s="280"/>
      <c r="AV32" s="280"/>
      <c r="AW32" s="280"/>
      <c r="AX32" s="280"/>
      <c r="AY32" s="280"/>
    </row>
    <row r="33" spans="1:51" s="37" customFormat="1" ht="21.75" customHeight="1">
      <c r="A33" s="263"/>
      <c r="B33" s="332" t="s">
        <v>58</v>
      </c>
      <c r="C33" s="263"/>
      <c r="D33" s="263"/>
      <c r="E33" s="263"/>
      <c r="F33" s="2790" t="str">
        <f>activesheet!E22</f>
        <v>SECONDARY SCHOOL PRINCIPAL IV</v>
      </c>
      <c r="G33" s="2790"/>
      <c r="H33" s="2790"/>
      <c r="I33" s="2790"/>
      <c r="J33" s="2790"/>
      <c r="K33" s="2790"/>
      <c r="L33" s="2790"/>
      <c r="M33" s="2790"/>
      <c r="N33" s="823"/>
      <c r="O33" s="263"/>
      <c r="P33" s="1811" t="s">
        <v>37</v>
      </c>
      <c r="Q33" s="1811"/>
      <c r="R33" s="1811"/>
      <c r="S33" s="1811"/>
      <c r="T33" s="1811"/>
      <c r="U33" s="1811"/>
      <c r="V33" s="1811"/>
      <c r="W33" s="1811"/>
      <c r="X33" s="1811"/>
      <c r="Y33" s="1811"/>
      <c r="Z33" s="1811"/>
      <c r="AA33" s="1811"/>
      <c r="AB33" s="322"/>
      <c r="AC33" s="321"/>
      <c r="AD33" s="1811" t="s">
        <v>37</v>
      </c>
      <c r="AE33" s="1811"/>
      <c r="AF33" s="1811"/>
      <c r="AG33" s="1811"/>
      <c r="AH33" s="1811"/>
      <c r="AI33" s="1811"/>
      <c r="AJ33" s="1811"/>
      <c r="AK33" s="1811"/>
      <c r="AL33" s="1811"/>
      <c r="AM33" s="1811"/>
      <c r="AN33" s="1811"/>
      <c r="AO33" s="228"/>
      <c r="AP33" s="263"/>
      <c r="AQ33" s="263"/>
      <c r="AR33" s="263"/>
      <c r="AS33" s="263"/>
      <c r="AT33" s="263"/>
      <c r="AU33" s="263"/>
      <c r="AV33" s="263"/>
      <c r="AW33" s="263"/>
      <c r="AX33" s="263"/>
      <c r="AY33" s="263"/>
    </row>
    <row r="34" spans="1:51">
      <c r="A34" s="599"/>
      <c r="B34" s="599"/>
      <c r="C34" s="599"/>
      <c r="D34" s="599"/>
      <c r="E34" s="599"/>
      <c r="F34" s="599"/>
      <c r="G34" s="599"/>
      <c r="H34" s="599"/>
      <c r="I34" s="599"/>
      <c r="J34" s="599"/>
      <c r="K34" s="599"/>
      <c r="L34" s="599"/>
      <c r="M34" s="599"/>
      <c r="N34" s="599"/>
      <c r="O34" s="599"/>
      <c r="P34" s="599"/>
      <c r="Q34" s="599"/>
      <c r="R34" s="599"/>
      <c r="S34" s="599"/>
      <c r="T34" s="599"/>
      <c r="U34" s="599"/>
      <c r="V34" s="599"/>
      <c r="W34" s="599"/>
      <c r="X34" s="599"/>
      <c r="Y34" s="599"/>
      <c r="Z34" s="599"/>
      <c r="AA34" s="599"/>
      <c r="AB34" s="263"/>
      <c r="AC34" s="263"/>
      <c r="AD34" s="599"/>
      <c r="AE34" s="599"/>
      <c r="AF34" s="599"/>
      <c r="AG34" s="599"/>
      <c r="AH34" s="599"/>
      <c r="AI34" s="599"/>
      <c r="AJ34" s="599"/>
      <c r="AK34" s="599"/>
      <c r="AL34" s="599"/>
      <c r="AM34" s="599"/>
      <c r="AN34" s="599"/>
      <c r="AO34" s="599"/>
      <c r="AP34" s="599"/>
      <c r="AQ34" s="599"/>
      <c r="AR34" s="599"/>
      <c r="AS34" s="599"/>
      <c r="AT34" s="599"/>
      <c r="AU34" s="599"/>
      <c r="AV34" s="599"/>
      <c r="AW34" s="599"/>
      <c r="AX34" s="599"/>
      <c r="AY34" s="599"/>
    </row>
    <row r="35" spans="1:51">
      <c r="A35" s="599"/>
      <c r="B35" s="599"/>
      <c r="C35" s="599"/>
      <c r="D35" s="599"/>
      <c r="E35" s="599"/>
      <c r="F35" s="599"/>
      <c r="G35" s="599"/>
      <c r="H35" s="599"/>
      <c r="I35" s="599"/>
      <c r="J35" s="599"/>
      <c r="K35" s="599"/>
      <c r="L35" s="599"/>
      <c r="M35" s="599"/>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599"/>
      <c r="AK35" s="599"/>
      <c r="AL35" s="599"/>
      <c r="AM35" s="599"/>
      <c r="AN35" s="599"/>
      <c r="AO35" s="599"/>
      <c r="AP35" s="599"/>
      <c r="AQ35" s="599"/>
      <c r="AR35" s="599"/>
      <c r="AS35" s="599"/>
      <c r="AT35" s="599"/>
      <c r="AU35" s="599"/>
      <c r="AV35" s="599"/>
      <c r="AW35" s="599"/>
      <c r="AX35" s="599"/>
      <c r="AY35" s="599"/>
    </row>
    <row r="36" spans="1:51">
      <c r="A36" s="599"/>
      <c r="B36" s="599"/>
      <c r="C36" s="599"/>
      <c r="D36" s="599"/>
      <c r="E36" s="599"/>
      <c r="F36" s="599"/>
      <c r="G36" s="599"/>
      <c r="H36" s="599"/>
      <c r="I36" s="599"/>
      <c r="J36" s="599"/>
      <c r="K36" s="599"/>
      <c r="L36" s="599"/>
      <c r="M36" s="599"/>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599"/>
      <c r="AK36" s="599"/>
      <c r="AL36" s="599"/>
      <c r="AM36" s="599"/>
      <c r="AN36" s="599"/>
      <c r="AO36" s="599"/>
      <c r="AP36" s="599"/>
      <c r="AQ36" s="599"/>
      <c r="AR36" s="599"/>
      <c r="AS36" s="599"/>
      <c r="AT36" s="599"/>
      <c r="AU36" s="599"/>
      <c r="AV36" s="599"/>
      <c r="AW36" s="599"/>
      <c r="AX36" s="599"/>
      <c r="AY36" s="599"/>
    </row>
    <row r="37" spans="1:51">
      <c r="A37" s="599"/>
      <c r="B37" s="599"/>
      <c r="C37" s="599"/>
      <c r="D37" s="599"/>
      <c r="E37" s="599"/>
      <c r="F37" s="599"/>
      <c r="G37" s="599"/>
      <c r="H37" s="599"/>
      <c r="I37" s="599"/>
      <c r="J37" s="599"/>
      <c r="K37" s="599"/>
      <c r="L37" s="599"/>
      <c r="M37" s="599"/>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599"/>
      <c r="AK37" s="599"/>
      <c r="AL37" s="599"/>
      <c r="AM37" s="599"/>
      <c r="AN37" s="599"/>
      <c r="AO37" s="599"/>
      <c r="AP37" s="599"/>
      <c r="AQ37" s="599"/>
      <c r="AR37" s="599"/>
      <c r="AS37" s="599"/>
      <c r="AT37" s="599"/>
      <c r="AU37" s="599"/>
      <c r="AV37" s="599"/>
      <c r="AW37" s="599"/>
      <c r="AX37" s="599"/>
      <c r="AY37" s="599"/>
    </row>
    <row r="38" spans="1:51">
      <c r="A38" s="599"/>
      <c r="B38" s="599"/>
      <c r="C38" s="599"/>
      <c r="D38" s="599"/>
      <c r="E38" s="599"/>
      <c r="F38" s="599"/>
      <c r="G38" s="599"/>
      <c r="H38" s="599"/>
      <c r="I38" s="599"/>
      <c r="J38" s="599"/>
      <c r="K38" s="599"/>
      <c r="L38" s="599"/>
      <c r="M38" s="599"/>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599"/>
      <c r="AK38" s="599"/>
      <c r="AL38" s="599"/>
      <c r="AM38" s="599"/>
      <c r="AN38" s="599"/>
      <c r="AO38" s="599"/>
      <c r="AP38" s="599"/>
      <c r="AQ38" s="599"/>
      <c r="AR38" s="599"/>
      <c r="AS38" s="599"/>
      <c r="AT38" s="599"/>
      <c r="AU38" s="599"/>
      <c r="AV38" s="599"/>
      <c r="AW38" s="599"/>
      <c r="AX38" s="599"/>
      <c r="AY38" s="599"/>
    </row>
    <row r="39" spans="1:51">
      <c r="A39" s="599"/>
      <c r="B39" s="599"/>
      <c r="C39" s="599"/>
      <c r="D39" s="599"/>
      <c r="E39" s="599"/>
      <c r="F39" s="599"/>
      <c r="G39" s="599"/>
      <c r="H39" s="599"/>
      <c r="I39" s="599"/>
      <c r="J39" s="599"/>
      <c r="K39" s="599"/>
      <c r="L39" s="599"/>
      <c r="M39" s="599"/>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599"/>
      <c r="AK39" s="599"/>
      <c r="AL39" s="599"/>
      <c r="AM39" s="599"/>
      <c r="AN39" s="599"/>
      <c r="AO39" s="599"/>
      <c r="AP39" s="599"/>
      <c r="AQ39" s="599"/>
      <c r="AR39" s="599"/>
      <c r="AS39" s="599"/>
      <c r="AT39" s="599"/>
      <c r="AU39" s="599"/>
      <c r="AV39" s="599"/>
      <c r="AW39" s="599"/>
      <c r="AX39" s="599"/>
      <c r="AY39" s="599"/>
    </row>
    <row r="40" spans="1:51">
      <c r="A40" s="599"/>
      <c r="B40" s="599"/>
      <c r="C40" s="599"/>
      <c r="D40" s="599"/>
      <c r="E40" s="599"/>
      <c r="F40" s="599"/>
      <c r="G40" s="599"/>
      <c r="H40" s="599"/>
      <c r="I40" s="599"/>
      <c r="J40" s="599"/>
      <c r="K40" s="599"/>
      <c r="L40" s="599"/>
      <c r="M40" s="599"/>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599"/>
      <c r="AK40" s="599"/>
      <c r="AL40" s="599"/>
      <c r="AM40" s="599"/>
      <c r="AN40" s="599"/>
      <c r="AO40" s="599"/>
      <c r="AP40" s="599"/>
      <c r="AQ40" s="599"/>
      <c r="AR40" s="599"/>
      <c r="AS40" s="599"/>
      <c r="AT40" s="599"/>
      <c r="AU40" s="599"/>
      <c r="AV40" s="599"/>
      <c r="AW40" s="599"/>
      <c r="AX40" s="599"/>
      <c r="AY40" s="599"/>
    </row>
    <row r="41" spans="1:51">
      <c r="A41" s="599"/>
      <c r="B41" s="599"/>
      <c r="C41" s="599"/>
      <c r="D41" s="599"/>
      <c r="E41" s="599"/>
      <c r="F41" s="599"/>
      <c r="G41" s="599"/>
      <c r="H41" s="599"/>
      <c r="I41" s="599"/>
      <c r="J41" s="599"/>
      <c r="K41" s="599"/>
      <c r="L41" s="599"/>
      <c r="M41" s="599"/>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599"/>
      <c r="AK41" s="599"/>
      <c r="AL41" s="599"/>
      <c r="AM41" s="599"/>
      <c r="AN41" s="599"/>
      <c r="AO41" s="599"/>
      <c r="AP41" s="599"/>
      <c r="AQ41" s="599"/>
      <c r="AR41" s="599"/>
      <c r="AS41" s="599"/>
      <c r="AT41" s="599"/>
      <c r="AU41" s="599"/>
      <c r="AV41" s="599"/>
      <c r="AW41" s="599"/>
      <c r="AX41" s="599"/>
      <c r="AY41" s="599"/>
    </row>
    <row r="42" spans="1:51">
      <c r="A42" s="599"/>
      <c r="B42" s="599"/>
      <c r="C42" s="599"/>
      <c r="D42" s="599"/>
      <c r="E42" s="599"/>
      <c r="F42" s="599"/>
      <c r="G42" s="599"/>
      <c r="H42" s="599"/>
      <c r="I42" s="599"/>
      <c r="J42" s="599"/>
      <c r="K42" s="599"/>
      <c r="L42" s="599"/>
      <c r="M42" s="599"/>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599"/>
      <c r="AK42" s="599"/>
      <c r="AL42" s="599"/>
      <c r="AM42" s="599"/>
      <c r="AN42" s="599"/>
      <c r="AO42" s="599"/>
      <c r="AP42" s="599"/>
      <c r="AQ42" s="599"/>
      <c r="AR42" s="599"/>
      <c r="AS42" s="599"/>
      <c r="AT42" s="599"/>
      <c r="AU42" s="599"/>
      <c r="AV42" s="599"/>
      <c r="AW42" s="599"/>
      <c r="AX42" s="599"/>
      <c r="AY42" s="599"/>
    </row>
    <row r="43" spans="1:51">
      <c r="A43" s="599"/>
      <c r="B43" s="599"/>
      <c r="C43" s="599"/>
      <c r="D43" s="599"/>
      <c r="E43" s="599"/>
      <c r="F43" s="599"/>
      <c r="G43" s="599"/>
      <c r="H43" s="599"/>
      <c r="I43" s="599"/>
      <c r="J43" s="599"/>
      <c r="K43" s="599"/>
      <c r="L43" s="599"/>
      <c r="M43" s="599"/>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599"/>
      <c r="AK43" s="599"/>
      <c r="AL43" s="599"/>
      <c r="AM43" s="599"/>
      <c r="AN43" s="599"/>
      <c r="AO43" s="599"/>
      <c r="AP43" s="599"/>
      <c r="AQ43" s="599"/>
      <c r="AR43" s="599"/>
      <c r="AS43" s="599"/>
      <c r="AT43" s="599"/>
      <c r="AU43" s="599"/>
      <c r="AV43" s="599"/>
      <c r="AW43" s="599"/>
      <c r="AX43" s="599"/>
      <c r="AY43" s="599"/>
    </row>
    <row r="44" spans="1:51">
      <c r="A44" s="599"/>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599"/>
      <c r="AR44" s="599"/>
      <c r="AS44" s="599"/>
      <c r="AT44" s="599"/>
      <c r="AU44" s="599"/>
      <c r="AV44" s="599"/>
      <c r="AW44" s="599"/>
      <c r="AX44" s="599"/>
      <c r="AY44" s="599"/>
    </row>
    <row r="45" spans="1:51">
      <c r="A45" s="599"/>
      <c r="B45" s="599"/>
      <c r="C45" s="599"/>
      <c r="D45" s="599"/>
      <c r="E45" s="599"/>
      <c r="F45" s="599"/>
      <c r="G45" s="599"/>
      <c r="H45" s="599"/>
      <c r="I45" s="599"/>
      <c r="J45" s="599"/>
      <c r="K45" s="599"/>
      <c r="L45" s="599"/>
      <c r="M45" s="599"/>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599"/>
      <c r="AK45" s="599"/>
      <c r="AL45" s="599"/>
      <c r="AM45" s="599"/>
      <c r="AN45" s="599"/>
      <c r="AO45" s="599"/>
      <c r="AP45" s="599"/>
      <c r="AQ45" s="599"/>
      <c r="AR45" s="599"/>
      <c r="AS45" s="599"/>
      <c r="AT45" s="599"/>
      <c r="AU45" s="599"/>
      <c r="AV45" s="599"/>
      <c r="AW45" s="599"/>
      <c r="AX45" s="599"/>
      <c r="AY45" s="599"/>
    </row>
    <row r="46" spans="1:51">
      <c r="A46" s="599"/>
      <c r="B46" s="599"/>
      <c r="C46" s="599"/>
      <c r="D46" s="599"/>
      <c r="E46" s="599"/>
      <c r="F46" s="599"/>
      <c r="G46" s="599"/>
      <c r="H46" s="599"/>
      <c r="I46" s="599"/>
      <c r="J46" s="599"/>
      <c r="K46" s="599"/>
      <c r="L46" s="599"/>
      <c r="M46" s="599"/>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599"/>
      <c r="AK46" s="599"/>
      <c r="AL46" s="599"/>
      <c r="AM46" s="599"/>
      <c r="AN46" s="599"/>
      <c r="AO46" s="599"/>
      <c r="AP46" s="599"/>
      <c r="AQ46" s="599"/>
      <c r="AR46" s="599"/>
      <c r="AS46" s="599"/>
      <c r="AT46" s="599"/>
      <c r="AU46" s="599"/>
      <c r="AV46" s="599"/>
      <c r="AW46" s="599"/>
      <c r="AX46" s="599"/>
      <c r="AY46" s="599"/>
    </row>
    <row r="47" spans="1:51">
      <c r="A47" s="599"/>
      <c r="B47" s="599"/>
      <c r="C47" s="599"/>
      <c r="D47" s="599"/>
      <c r="E47" s="599"/>
      <c r="F47" s="599"/>
      <c r="G47" s="599"/>
      <c r="H47" s="599"/>
      <c r="I47" s="599"/>
      <c r="J47" s="599"/>
      <c r="K47" s="599"/>
      <c r="L47" s="599"/>
      <c r="M47" s="599"/>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599"/>
      <c r="AK47" s="599"/>
      <c r="AL47" s="599"/>
      <c r="AM47" s="599"/>
      <c r="AN47" s="599"/>
      <c r="AO47" s="599"/>
      <c r="AP47" s="599"/>
      <c r="AQ47" s="599"/>
      <c r="AR47" s="599"/>
      <c r="AS47" s="599"/>
      <c r="AT47" s="599"/>
      <c r="AU47" s="599"/>
      <c r="AV47" s="599"/>
      <c r="AW47" s="599"/>
      <c r="AX47" s="599"/>
      <c r="AY47" s="599"/>
    </row>
  </sheetData>
  <sheetProtection algorithmName="SHA-512" hashValue="aLJPIGyhz3TnGjL1c8P4qXAM47Zp6UnFZZtafcqcuOvfEuTEQhUhUP3Bclle5fxxjqrqP3Klv9CbtjeycSlilw==" saltValue="bLM7mKY1rEVMBFJcaKxDHw==" spinCount="100000" sheet="1" objects="1" scenarios="1"/>
  <customSheetViews>
    <customSheetView guid="{6EFEFCA0-BF14-457A-85A3-29CBF2A862A5}" showGridLines="0" fitToPage="1" topLeftCell="A10">
      <selection sqref="A1:AR35"/>
      <pageMargins left="0.23622047244094491" right="0.23622047244094491" top="0.19685039370078741" bottom="0.19685039370078741" header="0" footer="0.11811023622047245"/>
      <printOptions horizontalCentered="1" verticalCentered="1"/>
      <pageSetup paperSize="9" scale="37" orientation="landscape" r:id="rId1"/>
      <headerFooter>
        <oddFooter>&amp;L&amp;10&amp;F &amp;A&amp;R&amp;10Page 21 of 61</oddFooter>
      </headerFooter>
    </customSheetView>
  </customSheetViews>
  <mergeCells count="79">
    <mergeCell ref="B5:I6"/>
    <mergeCell ref="J5:Q6"/>
    <mergeCell ref="R5:Y6"/>
    <mergeCell ref="Z5:AG6"/>
    <mergeCell ref="AH5:AO6"/>
    <mergeCell ref="B4:I4"/>
    <mergeCell ref="J4:Q4"/>
    <mergeCell ref="R4:Y4"/>
    <mergeCell ref="Z4:AG4"/>
    <mergeCell ref="AH4:AO4"/>
    <mergeCell ref="B8:I8"/>
    <mergeCell ref="J8:Q8"/>
    <mergeCell ref="R8:Y8"/>
    <mergeCell ref="Z8:AG8"/>
    <mergeCell ref="AH8:AO8"/>
    <mergeCell ref="B7:I7"/>
    <mergeCell ref="J7:Q7"/>
    <mergeCell ref="R7:Y7"/>
    <mergeCell ref="Z7:AG7"/>
    <mergeCell ref="AH7:AO7"/>
    <mergeCell ref="B10:I10"/>
    <mergeCell ref="J10:Q10"/>
    <mergeCell ref="R10:Y10"/>
    <mergeCell ref="Z10:AG10"/>
    <mergeCell ref="AH10:AO10"/>
    <mergeCell ref="B9:I9"/>
    <mergeCell ref="J9:Q9"/>
    <mergeCell ref="R9:Y9"/>
    <mergeCell ref="Z9:AG9"/>
    <mergeCell ref="AH9:AO9"/>
    <mergeCell ref="B12:I12"/>
    <mergeCell ref="J12:Q12"/>
    <mergeCell ref="R12:Y12"/>
    <mergeCell ref="Z12:AG12"/>
    <mergeCell ref="AH12:AO12"/>
    <mergeCell ref="B11:I11"/>
    <mergeCell ref="J11:Q11"/>
    <mergeCell ref="R11:Y11"/>
    <mergeCell ref="Z11:AG11"/>
    <mergeCell ref="AH11:AO11"/>
    <mergeCell ref="B14:I14"/>
    <mergeCell ref="J14:Q14"/>
    <mergeCell ref="R14:Y14"/>
    <mergeCell ref="Z14:AG14"/>
    <mergeCell ref="AH14:AO14"/>
    <mergeCell ref="B13:I13"/>
    <mergeCell ref="J13:Q13"/>
    <mergeCell ref="R13:Y13"/>
    <mergeCell ref="Z13:AG13"/>
    <mergeCell ref="AH13:AO13"/>
    <mergeCell ref="B16:I16"/>
    <mergeCell ref="J16:Q16"/>
    <mergeCell ref="R16:Y16"/>
    <mergeCell ref="Z16:AG16"/>
    <mergeCell ref="AH16:AO16"/>
    <mergeCell ref="B15:I15"/>
    <mergeCell ref="J15:Q15"/>
    <mergeCell ref="R15:Y15"/>
    <mergeCell ref="Z15:AG15"/>
    <mergeCell ref="AH15:AO15"/>
    <mergeCell ref="C28:AO28"/>
    <mergeCell ref="C17:AO17"/>
    <mergeCell ref="D18:AO18"/>
    <mergeCell ref="D19:AO19"/>
    <mergeCell ref="D20:AO20"/>
    <mergeCell ref="D21:AO21"/>
    <mergeCell ref="D22:AO22"/>
    <mergeCell ref="D23:AO23"/>
    <mergeCell ref="D24:AO24"/>
    <mergeCell ref="C25:AO25"/>
    <mergeCell ref="C26:AO26"/>
    <mergeCell ref="C27:AO27"/>
    <mergeCell ref="F31:M31"/>
    <mergeCell ref="P31:AA32"/>
    <mergeCell ref="AD31:AO32"/>
    <mergeCell ref="F32:M32"/>
    <mergeCell ref="F33:M33"/>
    <mergeCell ref="P33:AA33"/>
    <mergeCell ref="AD33:AN33"/>
  </mergeCells>
  <phoneticPr fontId="39" type="noConversion"/>
  <dataValidations count="1">
    <dataValidation type="decimal" allowBlank="1" showInputMessage="1" showErrorMessage="1" errorTitle="GSHSP SY 2022-2023" error="Please enter valid number between 0-1,000,000.00." sqref="R7:Y16" xr:uid="{2168F767-FAED-48E3-89EB-C0B012E5B959}">
      <formula1>0</formula1>
      <formula2>1000000</formula2>
    </dataValidation>
  </dataValidations>
  <printOptions horizontalCentered="1" verticalCentered="1"/>
  <pageMargins left="0.23622047244094491" right="0.23622047244094491" top="0.19685039370078741" bottom="0.19685039370078741" header="0" footer="0.11811023622047245"/>
  <pageSetup paperSize="9" scale="37" orientation="landscape" r:id="rId2"/>
  <headerFooter>
    <oddFooter>&amp;L&amp;10&amp;F &amp;A&amp;R&amp;10Page 21 of 61</oddFooter>
  </headerFooter>
  <drawing r:id="rId3"/>
  <extLst>
    <ext xmlns:x14="http://schemas.microsoft.com/office/spreadsheetml/2009/9/main" uri="{CCE6A557-97BC-4b89-ADB6-D9C93CAAB3DF}">
      <x14:dataValidations xmlns:xm="http://schemas.microsoft.com/office/excel/2006/main" count="3">
        <x14:dataValidation type="list" allowBlank="1" showInputMessage="1" showErrorMessage="1" errorTitle="GSHSP SY 2022-2023" error="Please select from the dropdown list." xr:uid="{36395509-898C-4061-95FF-C7870C396A26}">
          <x14:formula1>
            <xm:f>Dropdown!$D$25:$D$32</xm:f>
          </x14:formula1>
          <xm:sqref>B7:I16</xm:sqref>
        </x14:dataValidation>
        <x14:dataValidation type="list" allowBlank="1" showInputMessage="1" showErrorMessage="1" errorTitle="GSHSP SY 2022-2023" error="Please select from the dropdown list." xr:uid="{B69E6170-22EC-4D8E-AC2C-A2FAC86D2DCF}">
          <x14:formula1>
            <xm:f>Dropdown!$G$1:$G$9</xm:f>
          </x14:formula1>
          <xm:sqref>Z7:AG16</xm:sqref>
        </x14:dataValidation>
        <x14:dataValidation type="list" allowBlank="1" showInputMessage="1" showErrorMessage="1" errorTitle="GJHSP SY 2022-2023" error="Please select from the dropdown list." xr:uid="{075AFBF0-0E10-4042-9E4E-E938D7BBA27B}">
          <x14:formula1>
            <xm:f>Dropdown!$J$13:$J$16</xm:f>
          </x14:formula1>
          <xm:sqref>AH7:AO16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964D-E124-4933-8DA9-C5E0D9D9171D}">
  <sheetPr codeName="Sheet26">
    <tabColor rgb="FFFFFF00"/>
    <pageSetUpPr fitToPage="1"/>
  </sheetPr>
  <dimension ref="A1:BX51"/>
  <sheetViews>
    <sheetView showGridLines="0" zoomScaleNormal="100" workbookViewId="0">
      <selection sqref="A1:BA38"/>
    </sheetView>
  </sheetViews>
  <sheetFormatPr defaultColWidth="8" defaultRowHeight="15"/>
  <cols>
    <col min="1" max="1" width="2.125" style="102" customWidth="1"/>
    <col min="2" max="51" width="3.625" style="102" customWidth="1"/>
    <col min="52" max="52" width="2.125" style="102" customWidth="1"/>
    <col min="53" max="16384" width="8" style="102"/>
  </cols>
  <sheetData>
    <row r="1" spans="1:54" ht="12" customHeight="1">
      <c r="A1" s="599"/>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599"/>
      <c r="AC1" s="599"/>
      <c r="AD1" s="599"/>
      <c r="AE1" s="599"/>
      <c r="AF1" s="599"/>
      <c r="AG1" s="599"/>
      <c r="AH1" s="599"/>
      <c r="AI1" s="599"/>
      <c r="AJ1" s="599"/>
      <c r="AK1" s="599"/>
      <c r="AL1" s="599"/>
      <c r="AM1" s="599"/>
      <c r="AN1" s="599"/>
      <c r="AO1" s="599"/>
      <c r="AP1" s="599"/>
      <c r="AQ1" s="599"/>
      <c r="AR1" s="599"/>
      <c r="AS1" s="599"/>
      <c r="AT1" s="599"/>
      <c r="AU1" s="599"/>
      <c r="AV1" s="599"/>
      <c r="AW1" s="599"/>
      <c r="AX1" s="599"/>
      <c r="AY1" s="599"/>
      <c r="AZ1" s="599"/>
      <c r="BA1" s="599"/>
      <c r="BB1" s="599"/>
    </row>
    <row r="2" spans="1:54" s="164" customFormat="1" ht="15.75">
      <c r="A2" s="260"/>
      <c r="B2" s="771" t="s">
        <v>11399</v>
      </c>
      <c r="C2" s="772"/>
      <c r="D2" s="772"/>
      <c r="E2" s="772"/>
      <c r="F2" s="772"/>
      <c r="G2" s="260"/>
      <c r="H2" s="260"/>
      <c r="I2" s="260"/>
      <c r="J2" s="260"/>
      <c r="K2" s="260"/>
      <c r="L2" s="260"/>
      <c r="M2" s="260"/>
      <c r="N2" s="260"/>
      <c r="O2" s="260"/>
      <c r="P2" s="260"/>
      <c r="Q2" s="260"/>
      <c r="R2" s="260"/>
      <c r="S2" s="260"/>
      <c r="T2" s="260"/>
      <c r="U2" s="260"/>
      <c r="V2" s="260"/>
      <c r="W2" s="260"/>
      <c r="X2" s="260"/>
      <c r="Y2" s="260"/>
      <c r="Z2" s="260"/>
      <c r="AA2" s="260"/>
      <c r="AB2" s="260"/>
      <c r="AC2" s="260"/>
      <c r="AD2" s="260"/>
      <c r="AE2" s="260"/>
      <c r="AF2" s="260"/>
      <c r="AG2" s="260"/>
      <c r="AH2" s="260"/>
      <c r="AI2" s="260"/>
      <c r="AJ2" s="260"/>
      <c r="AK2" s="260"/>
      <c r="AL2" s="260"/>
      <c r="AM2" s="260"/>
      <c r="AN2" s="260"/>
      <c r="AO2" s="260"/>
      <c r="AP2" s="260"/>
      <c r="AQ2" s="260"/>
      <c r="AR2" s="260"/>
      <c r="AS2" s="260"/>
      <c r="AT2" s="260"/>
      <c r="AU2" s="260"/>
      <c r="AV2" s="260"/>
      <c r="AW2" s="260"/>
      <c r="AX2" s="260"/>
      <c r="AY2" s="260"/>
      <c r="AZ2" s="260"/>
      <c r="BA2" s="260"/>
      <c r="BB2" s="260"/>
    </row>
    <row r="3" spans="1:54" s="40" customFormat="1" ht="16.5" thickBot="1">
      <c r="A3" s="582"/>
      <c r="B3" s="583" t="s">
        <v>1016</v>
      </c>
      <c r="C3" s="582"/>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c r="BB3" s="582"/>
    </row>
    <row r="4" spans="1:54" s="167" customFormat="1" ht="47.45" customHeight="1">
      <c r="A4" s="824"/>
      <c r="B4" s="3001" t="s">
        <v>1753</v>
      </c>
      <c r="C4" s="2983"/>
      <c r="D4" s="2983"/>
      <c r="E4" s="2983"/>
      <c r="F4" s="2984"/>
      <c r="G4" s="2982" t="s">
        <v>1259</v>
      </c>
      <c r="H4" s="2983"/>
      <c r="I4" s="2983"/>
      <c r="J4" s="2983"/>
      <c r="K4" s="2984"/>
      <c r="L4" s="2982" t="s">
        <v>1264</v>
      </c>
      <c r="M4" s="2983"/>
      <c r="N4" s="2983"/>
      <c r="O4" s="2983"/>
      <c r="P4" s="2984"/>
      <c r="Q4" s="2982" t="s">
        <v>1265</v>
      </c>
      <c r="R4" s="2983"/>
      <c r="S4" s="2983"/>
      <c r="T4" s="2983"/>
      <c r="U4" s="2984"/>
      <c r="V4" s="2982" t="s">
        <v>1260</v>
      </c>
      <c r="W4" s="2983"/>
      <c r="X4" s="2983"/>
      <c r="Y4" s="2983"/>
      <c r="Z4" s="2984"/>
      <c r="AA4" s="2982" t="s">
        <v>1754</v>
      </c>
      <c r="AB4" s="2983"/>
      <c r="AC4" s="2983"/>
      <c r="AD4" s="2983"/>
      <c r="AE4" s="2984"/>
      <c r="AF4" s="2982" t="s">
        <v>1755</v>
      </c>
      <c r="AG4" s="2983"/>
      <c r="AH4" s="2983"/>
      <c r="AI4" s="2983"/>
      <c r="AJ4" s="2984"/>
      <c r="AK4" s="2985" t="s">
        <v>1261</v>
      </c>
      <c r="AL4" s="2986"/>
      <c r="AM4" s="2986"/>
      <c r="AN4" s="2986"/>
      <c r="AO4" s="2986"/>
      <c r="AP4" s="2986"/>
      <c r="AQ4" s="2986"/>
      <c r="AR4" s="2986"/>
      <c r="AS4" s="2986"/>
      <c r="AT4" s="2986"/>
      <c r="AU4" s="2986"/>
      <c r="AV4" s="2986"/>
      <c r="AW4" s="2986"/>
      <c r="AX4" s="2986"/>
      <c r="AY4" s="2987"/>
      <c r="AZ4" s="824"/>
      <c r="BA4" s="824"/>
      <c r="BB4" s="824"/>
    </row>
    <row r="5" spans="1:54" s="147" customFormat="1" ht="44.25" customHeight="1" thickBot="1">
      <c r="A5" s="825"/>
      <c r="B5" s="2988" t="s">
        <v>1756</v>
      </c>
      <c r="C5" s="2989"/>
      <c r="D5" s="2989"/>
      <c r="E5" s="2989"/>
      <c r="F5" s="2990"/>
      <c r="G5" s="826"/>
      <c r="H5" s="827"/>
      <c r="I5" s="827"/>
      <c r="J5" s="827"/>
      <c r="K5" s="828"/>
      <c r="L5" s="2991" t="s">
        <v>1757</v>
      </c>
      <c r="M5" s="2989"/>
      <c r="N5" s="2989"/>
      <c r="O5" s="2989"/>
      <c r="P5" s="2990"/>
      <c r="Q5" s="2992" t="s">
        <v>1758</v>
      </c>
      <c r="R5" s="2993"/>
      <c r="S5" s="2993"/>
      <c r="T5" s="2993"/>
      <c r="U5" s="2994"/>
      <c r="V5" s="826"/>
      <c r="W5" s="827"/>
      <c r="X5" s="827"/>
      <c r="Y5" s="827"/>
      <c r="Z5" s="828"/>
      <c r="AA5" s="2991" t="s">
        <v>1759</v>
      </c>
      <c r="AB5" s="2989"/>
      <c r="AC5" s="2989"/>
      <c r="AD5" s="2989"/>
      <c r="AE5" s="2990"/>
      <c r="AF5" s="2991" t="s">
        <v>1760</v>
      </c>
      <c r="AG5" s="2989"/>
      <c r="AH5" s="2989"/>
      <c r="AI5" s="2989"/>
      <c r="AJ5" s="2990"/>
      <c r="AK5" s="2995" t="s">
        <v>1262</v>
      </c>
      <c r="AL5" s="2996"/>
      <c r="AM5" s="2996"/>
      <c r="AN5" s="2996"/>
      <c r="AO5" s="2997"/>
      <c r="AP5" s="2998" t="s">
        <v>20</v>
      </c>
      <c r="AQ5" s="2999"/>
      <c r="AR5" s="2999"/>
      <c r="AS5" s="2999"/>
      <c r="AT5" s="3000"/>
      <c r="AU5" s="2998" t="s">
        <v>1263</v>
      </c>
      <c r="AV5" s="2999"/>
      <c r="AW5" s="2999"/>
      <c r="AX5" s="2999"/>
      <c r="AY5" s="3000"/>
      <c r="AZ5" s="825"/>
      <c r="BA5" s="825"/>
      <c r="BB5" s="825"/>
    </row>
    <row r="6" spans="1:54" s="26" customFormat="1" ht="20.100000000000001" customHeight="1">
      <c r="A6" s="817"/>
      <c r="B6" s="3002"/>
      <c r="C6" s="2969"/>
      <c r="D6" s="2969"/>
      <c r="E6" s="2969"/>
      <c r="F6" s="2970"/>
      <c r="G6" s="2968" t="s">
        <v>11924</v>
      </c>
      <c r="H6" s="2969"/>
      <c r="I6" s="2969"/>
      <c r="J6" s="2969"/>
      <c r="K6" s="2970"/>
      <c r="L6" s="2968"/>
      <c r="M6" s="2969"/>
      <c r="N6" s="2969"/>
      <c r="O6" s="2969"/>
      <c r="P6" s="2970"/>
      <c r="Q6" s="2968"/>
      <c r="R6" s="2969"/>
      <c r="S6" s="2969"/>
      <c r="T6" s="2969"/>
      <c r="U6" s="2970"/>
      <c r="V6" s="2968"/>
      <c r="W6" s="2969"/>
      <c r="X6" s="2969"/>
      <c r="Y6" s="2969"/>
      <c r="Z6" s="2970"/>
      <c r="AA6" s="2968"/>
      <c r="AB6" s="2969"/>
      <c r="AC6" s="2969"/>
      <c r="AD6" s="2969"/>
      <c r="AE6" s="2970"/>
      <c r="AF6" s="2971"/>
      <c r="AG6" s="2969"/>
      <c r="AH6" s="2969"/>
      <c r="AI6" s="2969"/>
      <c r="AJ6" s="2970"/>
      <c r="AK6" s="2968"/>
      <c r="AL6" s="2969"/>
      <c r="AM6" s="2969"/>
      <c r="AN6" s="2969"/>
      <c r="AO6" s="2970"/>
      <c r="AP6" s="2968"/>
      <c r="AQ6" s="2969"/>
      <c r="AR6" s="2969"/>
      <c r="AS6" s="2969"/>
      <c r="AT6" s="2970"/>
      <c r="AU6" s="2968"/>
      <c r="AV6" s="2969"/>
      <c r="AW6" s="2969"/>
      <c r="AX6" s="2969"/>
      <c r="AY6" s="2970"/>
      <c r="AZ6" s="817"/>
      <c r="BA6" s="817"/>
      <c r="BB6" s="817"/>
    </row>
    <row r="7" spans="1:54" s="26" customFormat="1" ht="20.100000000000001" customHeight="1">
      <c r="A7" s="817"/>
      <c r="B7" s="2974"/>
      <c r="C7" s="2963"/>
      <c r="D7" s="2963"/>
      <c r="E7" s="2963"/>
      <c r="F7" s="2964"/>
      <c r="G7" s="2962"/>
      <c r="H7" s="2963"/>
      <c r="I7" s="2963"/>
      <c r="J7" s="2963"/>
      <c r="K7" s="2964"/>
      <c r="L7" s="2962"/>
      <c r="M7" s="2963"/>
      <c r="N7" s="2963"/>
      <c r="O7" s="2963"/>
      <c r="P7" s="2964"/>
      <c r="Q7" s="2962"/>
      <c r="R7" s="2963"/>
      <c r="S7" s="2963"/>
      <c r="T7" s="2963"/>
      <c r="U7" s="2964"/>
      <c r="V7" s="2962"/>
      <c r="W7" s="2963"/>
      <c r="X7" s="2963"/>
      <c r="Y7" s="2963"/>
      <c r="Z7" s="2964"/>
      <c r="AA7" s="2962"/>
      <c r="AB7" s="2963"/>
      <c r="AC7" s="2963"/>
      <c r="AD7" s="2963"/>
      <c r="AE7" s="2964"/>
      <c r="AF7" s="2972"/>
      <c r="AG7" s="2963"/>
      <c r="AH7" s="2963"/>
      <c r="AI7" s="2963"/>
      <c r="AJ7" s="2964"/>
      <c r="AK7" s="2962"/>
      <c r="AL7" s="2963"/>
      <c r="AM7" s="2963"/>
      <c r="AN7" s="2963"/>
      <c r="AO7" s="2964"/>
      <c r="AP7" s="2962"/>
      <c r="AQ7" s="2963"/>
      <c r="AR7" s="2963"/>
      <c r="AS7" s="2963"/>
      <c r="AT7" s="2964"/>
      <c r="AU7" s="2962"/>
      <c r="AV7" s="2963"/>
      <c r="AW7" s="2963"/>
      <c r="AX7" s="2963"/>
      <c r="AY7" s="2964"/>
      <c r="AZ7" s="817"/>
      <c r="BA7" s="817"/>
      <c r="BB7" s="817"/>
    </row>
    <row r="8" spans="1:54" s="26" customFormat="1" ht="20.100000000000001" customHeight="1">
      <c r="A8" s="817"/>
      <c r="B8" s="2974"/>
      <c r="C8" s="2963"/>
      <c r="D8" s="2963"/>
      <c r="E8" s="2963"/>
      <c r="F8" s="2964"/>
      <c r="G8" s="2962"/>
      <c r="H8" s="2963"/>
      <c r="I8" s="2963"/>
      <c r="J8" s="2963"/>
      <c r="K8" s="2964"/>
      <c r="L8" s="2962"/>
      <c r="M8" s="2963"/>
      <c r="N8" s="2963"/>
      <c r="O8" s="2963"/>
      <c r="P8" s="2964"/>
      <c r="Q8" s="2962"/>
      <c r="R8" s="2963"/>
      <c r="S8" s="2963"/>
      <c r="T8" s="2963"/>
      <c r="U8" s="2964"/>
      <c r="V8" s="2962"/>
      <c r="W8" s="2963"/>
      <c r="X8" s="2963"/>
      <c r="Y8" s="2963"/>
      <c r="Z8" s="2964"/>
      <c r="AA8" s="2962"/>
      <c r="AB8" s="2963"/>
      <c r="AC8" s="2963"/>
      <c r="AD8" s="2963"/>
      <c r="AE8" s="2964"/>
      <c r="AF8" s="2972"/>
      <c r="AG8" s="2963"/>
      <c r="AH8" s="2963"/>
      <c r="AI8" s="2963"/>
      <c r="AJ8" s="2964"/>
      <c r="AK8" s="2962"/>
      <c r="AL8" s="2963"/>
      <c r="AM8" s="2963"/>
      <c r="AN8" s="2963"/>
      <c r="AO8" s="2964"/>
      <c r="AP8" s="2962"/>
      <c r="AQ8" s="2963"/>
      <c r="AR8" s="2963"/>
      <c r="AS8" s="2963"/>
      <c r="AT8" s="2964"/>
      <c r="AU8" s="2962"/>
      <c r="AV8" s="2963"/>
      <c r="AW8" s="2963"/>
      <c r="AX8" s="2963"/>
      <c r="AY8" s="2964"/>
      <c r="AZ8" s="817"/>
      <c r="BA8" s="817"/>
      <c r="BB8" s="817"/>
    </row>
    <row r="9" spans="1:54" s="26" customFormat="1" ht="20.100000000000001" customHeight="1">
      <c r="A9" s="817"/>
      <c r="B9" s="2974"/>
      <c r="C9" s="2963"/>
      <c r="D9" s="2963"/>
      <c r="E9" s="2963"/>
      <c r="F9" s="2964"/>
      <c r="G9" s="2962"/>
      <c r="H9" s="2963"/>
      <c r="I9" s="2963"/>
      <c r="J9" s="2963"/>
      <c r="K9" s="2964"/>
      <c r="L9" s="2962"/>
      <c r="M9" s="2963"/>
      <c r="N9" s="2963"/>
      <c r="O9" s="2963"/>
      <c r="P9" s="2964"/>
      <c r="Q9" s="2962"/>
      <c r="R9" s="2963"/>
      <c r="S9" s="2963"/>
      <c r="T9" s="2963"/>
      <c r="U9" s="2964"/>
      <c r="V9" s="2962"/>
      <c r="W9" s="2963"/>
      <c r="X9" s="2963"/>
      <c r="Y9" s="2963"/>
      <c r="Z9" s="2964"/>
      <c r="AA9" s="2962"/>
      <c r="AB9" s="2963"/>
      <c r="AC9" s="2963"/>
      <c r="AD9" s="2963"/>
      <c r="AE9" s="2964"/>
      <c r="AF9" s="2972"/>
      <c r="AG9" s="2963"/>
      <c r="AH9" s="2963"/>
      <c r="AI9" s="2963"/>
      <c r="AJ9" s="2964"/>
      <c r="AK9" s="2962"/>
      <c r="AL9" s="2963"/>
      <c r="AM9" s="2963"/>
      <c r="AN9" s="2963"/>
      <c r="AO9" s="2964"/>
      <c r="AP9" s="2962"/>
      <c r="AQ9" s="2963"/>
      <c r="AR9" s="2963"/>
      <c r="AS9" s="2963"/>
      <c r="AT9" s="2964"/>
      <c r="AU9" s="2962"/>
      <c r="AV9" s="2963"/>
      <c r="AW9" s="2963"/>
      <c r="AX9" s="2963"/>
      <c r="AY9" s="2964"/>
      <c r="AZ9" s="817"/>
      <c r="BA9" s="817"/>
      <c r="BB9" s="817"/>
    </row>
    <row r="10" spans="1:54" s="26" customFormat="1" ht="20.100000000000001" customHeight="1">
      <c r="A10" s="817"/>
      <c r="B10" s="2974"/>
      <c r="C10" s="2963"/>
      <c r="D10" s="2963"/>
      <c r="E10" s="2963"/>
      <c r="F10" s="2964"/>
      <c r="G10" s="2962"/>
      <c r="H10" s="2963"/>
      <c r="I10" s="2963"/>
      <c r="J10" s="2963"/>
      <c r="K10" s="2964"/>
      <c r="L10" s="2962"/>
      <c r="M10" s="2963"/>
      <c r="N10" s="2963"/>
      <c r="O10" s="2963"/>
      <c r="P10" s="2964"/>
      <c r="Q10" s="2962"/>
      <c r="R10" s="2963"/>
      <c r="S10" s="2963"/>
      <c r="T10" s="2963"/>
      <c r="U10" s="2964"/>
      <c r="V10" s="2962"/>
      <c r="W10" s="2963"/>
      <c r="X10" s="2963"/>
      <c r="Y10" s="2963"/>
      <c r="Z10" s="2964"/>
      <c r="AA10" s="2962"/>
      <c r="AB10" s="2963"/>
      <c r="AC10" s="2963"/>
      <c r="AD10" s="2963"/>
      <c r="AE10" s="2964"/>
      <c r="AF10" s="2972"/>
      <c r="AG10" s="2963"/>
      <c r="AH10" s="2963"/>
      <c r="AI10" s="2963"/>
      <c r="AJ10" s="2964"/>
      <c r="AK10" s="2962"/>
      <c r="AL10" s="2963"/>
      <c r="AM10" s="2963"/>
      <c r="AN10" s="2963"/>
      <c r="AO10" s="2964"/>
      <c r="AP10" s="2962"/>
      <c r="AQ10" s="2963"/>
      <c r="AR10" s="2963"/>
      <c r="AS10" s="2963"/>
      <c r="AT10" s="2964"/>
      <c r="AU10" s="2962"/>
      <c r="AV10" s="2963"/>
      <c r="AW10" s="2963"/>
      <c r="AX10" s="2963"/>
      <c r="AY10" s="2964"/>
      <c r="AZ10" s="817"/>
      <c r="BA10" s="817"/>
      <c r="BB10" s="817"/>
    </row>
    <row r="11" spans="1:54" s="26" customFormat="1" ht="20.100000000000001" customHeight="1">
      <c r="A11" s="817"/>
      <c r="B11" s="2974"/>
      <c r="C11" s="2963"/>
      <c r="D11" s="2963"/>
      <c r="E11" s="2963"/>
      <c r="F11" s="2964"/>
      <c r="G11" s="2962"/>
      <c r="H11" s="2963"/>
      <c r="I11" s="2963"/>
      <c r="J11" s="2963"/>
      <c r="K11" s="2964"/>
      <c r="L11" s="2962"/>
      <c r="M11" s="2963"/>
      <c r="N11" s="2963"/>
      <c r="O11" s="2963"/>
      <c r="P11" s="2964"/>
      <c r="Q11" s="2962"/>
      <c r="R11" s="2963"/>
      <c r="S11" s="2963"/>
      <c r="T11" s="2963"/>
      <c r="U11" s="2964"/>
      <c r="V11" s="2962"/>
      <c r="W11" s="2963"/>
      <c r="X11" s="2963"/>
      <c r="Y11" s="2963"/>
      <c r="Z11" s="2964"/>
      <c r="AA11" s="2962"/>
      <c r="AB11" s="2963"/>
      <c r="AC11" s="2963"/>
      <c r="AD11" s="2963"/>
      <c r="AE11" s="2964"/>
      <c r="AF11" s="2972"/>
      <c r="AG11" s="2963"/>
      <c r="AH11" s="2963"/>
      <c r="AI11" s="2963"/>
      <c r="AJ11" s="2964"/>
      <c r="AK11" s="2962"/>
      <c r="AL11" s="2963"/>
      <c r="AM11" s="2963"/>
      <c r="AN11" s="2963"/>
      <c r="AO11" s="2964"/>
      <c r="AP11" s="2962"/>
      <c r="AQ11" s="2963"/>
      <c r="AR11" s="2963"/>
      <c r="AS11" s="2963"/>
      <c r="AT11" s="2964"/>
      <c r="AU11" s="2962"/>
      <c r="AV11" s="2963"/>
      <c r="AW11" s="2963"/>
      <c r="AX11" s="2963"/>
      <c r="AY11" s="2964"/>
      <c r="AZ11" s="817"/>
      <c r="BA11" s="817"/>
      <c r="BB11" s="817"/>
    </row>
    <row r="12" spans="1:54" s="26" customFormat="1" ht="20.100000000000001" customHeight="1">
      <c r="A12" s="817"/>
      <c r="B12" s="2974"/>
      <c r="C12" s="2963"/>
      <c r="D12" s="2963"/>
      <c r="E12" s="2963"/>
      <c r="F12" s="2964"/>
      <c r="G12" s="2962"/>
      <c r="H12" s="2963"/>
      <c r="I12" s="2963"/>
      <c r="J12" s="2963"/>
      <c r="K12" s="2964"/>
      <c r="L12" s="2962"/>
      <c r="M12" s="2963"/>
      <c r="N12" s="2963"/>
      <c r="O12" s="2963"/>
      <c r="P12" s="2964"/>
      <c r="Q12" s="2962"/>
      <c r="R12" s="2963"/>
      <c r="S12" s="2963"/>
      <c r="T12" s="2963"/>
      <c r="U12" s="2964"/>
      <c r="V12" s="2962"/>
      <c r="W12" s="2963"/>
      <c r="X12" s="2963"/>
      <c r="Y12" s="2963"/>
      <c r="Z12" s="2964"/>
      <c r="AA12" s="2962"/>
      <c r="AB12" s="2963"/>
      <c r="AC12" s="2963"/>
      <c r="AD12" s="2963"/>
      <c r="AE12" s="2964"/>
      <c r="AF12" s="2972"/>
      <c r="AG12" s="2963"/>
      <c r="AH12" s="2963"/>
      <c r="AI12" s="2963"/>
      <c r="AJ12" s="2964"/>
      <c r="AK12" s="2962"/>
      <c r="AL12" s="2963"/>
      <c r="AM12" s="2963"/>
      <c r="AN12" s="2963"/>
      <c r="AO12" s="2964"/>
      <c r="AP12" s="2962"/>
      <c r="AQ12" s="2963"/>
      <c r="AR12" s="2963"/>
      <c r="AS12" s="2963"/>
      <c r="AT12" s="2964"/>
      <c r="AU12" s="2962"/>
      <c r="AV12" s="2963"/>
      <c r="AW12" s="2963"/>
      <c r="AX12" s="2963"/>
      <c r="AY12" s="2964"/>
      <c r="AZ12" s="817"/>
      <c r="BA12" s="817"/>
      <c r="BB12" s="817"/>
    </row>
    <row r="13" spans="1:54" s="26" customFormat="1" ht="20.100000000000001" customHeight="1">
      <c r="A13" s="817"/>
      <c r="B13" s="2974"/>
      <c r="C13" s="2963"/>
      <c r="D13" s="2963"/>
      <c r="E13" s="2963"/>
      <c r="F13" s="2964"/>
      <c r="G13" s="2962"/>
      <c r="H13" s="2963"/>
      <c r="I13" s="2963"/>
      <c r="J13" s="2963"/>
      <c r="K13" s="2964"/>
      <c r="L13" s="2962"/>
      <c r="M13" s="2963"/>
      <c r="N13" s="2963"/>
      <c r="O13" s="2963"/>
      <c r="P13" s="2964"/>
      <c r="Q13" s="2962"/>
      <c r="R13" s="2963"/>
      <c r="S13" s="2963"/>
      <c r="T13" s="2963"/>
      <c r="U13" s="2964"/>
      <c r="V13" s="2962"/>
      <c r="W13" s="2963"/>
      <c r="X13" s="2963"/>
      <c r="Y13" s="2963"/>
      <c r="Z13" s="2964"/>
      <c r="AA13" s="2962"/>
      <c r="AB13" s="2963"/>
      <c r="AC13" s="2963"/>
      <c r="AD13" s="2963"/>
      <c r="AE13" s="2964"/>
      <c r="AF13" s="2972"/>
      <c r="AG13" s="2963"/>
      <c r="AH13" s="2963"/>
      <c r="AI13" s="2963"/>
      <c r="AJ13" s="2964"/>
      <c r="AK13" s="2962"/>
      <c r="AL13" s="2963"/>
      <c r="AM13" s="2963"/>
      <c r="AN13" s="2963"/>
      <c r="AO13" s="2964"/>
      <c r="AP13" s="2962"/>
      <c r="AQ13" s="2963"/>
      <c r="AR13" s="2963"/>
      <c r="AS13" s="2963"/>
      <c r="AT13" s="2964"/>
      <c r="AU13" s="2962"/>
      <c r="AV13" s="2963"/>
      <c r="AW13" s="2963"/>
      <c r="AX13" s="2963"/>
      <c r="AY13" s="2964"/>
      <c r="AZ13" s="817"/>
      <c r="BA13" s="817"/>
      <c r="BB13" s="817"/>
    </row>
    <row r="14" spans="1:54" s="26" customFormat="1" ht="20.100000000000001" customHeight="1" thickBot="1">
      <c r="A14" s="817"/>
      <c r="B14" s="2981"/>
      <c r="C14" s="2966"/>
      <c r="D14" s="2966"/>
      <c r="E14" s="2966"/>
      <c r="F14" s="2967"/>
      <c r="G14" s="2965"/>
      <c r="H14" s="2966"/>
      <c r="I14" s="2966"/>
      <c r="J14" s="2966"/>
      <c r="K14" s="2967"/>
      <c r="L14" s="2965"/>
      <c r="M14" s="2966"/>
      <c r="N14" s="2966"/>
      <c r="O14" s="2966"/>
      <c r="P14" s="2967"/>
      <c r="Q14" s="2965"/>
      <c r="R14" s="2966"/>
      <c r="S14" s="2966"/>
      <c r="T14" s="2966"/>
      <c r="U14" s="2967"/>
      <c r="V14" s="2965"/>
      <c r="W14" s="2966"/>
      <c r="X14" s="2966"/>
      <c r="Y14" s="2966"/>
      <c r="Z14" s="2967"/>
      <c r="AA14" s="2965"/>
      <c r="AB14" s="2966"/>
      <c r="AC14" s="2966"/>
      <c r="AD14" s="2966"/>
      <c r="AE14" s="2967"/>
      <c r="AF14" s="2973"/>
      <c r="AG14" s="2966"/>
      <c r="AH14" s="2966"/>
      <c r="AI14" s="2966"/>
      <c r="AJ14" s="2967"/>
      <c r="AK14" s="2965"/>
      <c r="AL14" s="2966"/>
      <c r="AM14" s="2966"/>
      <c r="AN14" s="2966"/>
      <c r="AO14" s="2967"/>
      <c r="AP14" s="2965"/>
      <c r="AQ14" s="2966"/>
      <c r="AR14" s="2966"/>
      <c r="AS14" s="2966"/>
      <c r="AT14" s="2967"/>
      <c r="AU14" s="2965"/>
      <c r="AV14" s="2966"/>
      <c r="AW14" s="2966"/>
      <c r="AX14" s="2966"/>
      <c r="AY14" s="2967"/>
      <c r="AZ14" s="817"/>
      <c r="BA14" s="817"/>
      <c r="BB14" s="817"/>
    </row>
    <row r="15" spans="1:54" s="26" customFormat="1">
      <c r="A15" s="829"/>
      <c r="B15" s="830" t="s">
        <v>47</v>
      </c>
      <c r="C15" s="2980" t="s">
        <v>1761</v>
      </c>
      <c r="D15" s="2980"/>
      <c r="E15" s="2980"/>
      <c r="F15" s="2980"/>
      <c r="G15" s="2980"/>
      <c r="H15" s="2980"/>
      <c r="I15" s="2980"/>
      <c r="J15" s="2980"/>
      <c r="K15" s="2980"/>
      <c r="L15" s="2980"/>
      <c r="M15" s="2980"/>
      <c r="N15" s="2980"/>
      <c r="O15" s="2980"/>
      <c r="P15" s="2980"/>
      <c r="Q15" s="2980"/>
      <c r="R15" s="2980"/>
      <c r="S15" s="2980"/>
      <c r="T15" s="2980"/>
      <c r="U15" s="2980"/>
      <c r="V15" s="2980"/>
      <c r="W15" s="2980"/>
      <c r="X15" s="2980"/>
      <c r="Y15" s="2980"/>
      <c r="Z15" s="2980"/>
      <c r="AA15" s="2980"/>
      <c r="AB15" s="2980"/>
      <c r="AC15" s="2980"/>
      <c r="AD15" s="2980"/>
      <c r="AE15" s="2980"/>
      <c r="AF15" s="2980"/>
      <c r="AG15" s="2980"/>
      <c r="AH15" s="2980"/>
      <c r="AI15" s="2980"/>
      <c r="AJ15" s="2980"/>
      <c r="AK15" s="2980"/>
      <c r="AL15" s="2980"/>
      <c r="AM15" s="2980"/>
      <c r="AN15" s="2980"/>
      <c r="AO15" s="2980"/>
      <c r="AP15" s="2980"/>
      <c r="AQ15" s="2980"/>
      <c r="AR15" s="2980"/>
      <c r="AS15" s="2980"/>
      <c r="AT15" s="2980"/>
      <c r="AU15" s="2980"/>
      <c r="AV15" s="2980"/>
      <c r="AW15" s="2980"/>
      <c r="AX15" s="2980"/>
      <c r="AY15" s="2980"/>
      <c r="AZ15" s="817"/>
      <c r="BA15" s="817"/>
      <c r="BB15" s="817"/>
    </row>
    <row r="16" spans="1:54" s="26" customFormat="1">
      <c r="A16" s="817"/>
      <c r="B16" s="831"/>
      <c r="C16" s="832" t="s">
        <v>276</v>
      </c>
      <c r="D16" s="2947" t="s">
        <v>1659</v>
      </c>
      <c r="E16" s="2947"/>
      <c r="F16" s="2947"/>
      <c r="G16" s="2947"/>
      <c r="H16" s="2947"/>
      <c r="I16" s="2947"/>
      <c r="J16" s="2947"/>
      <c r="K16" s="2947"/>
      <c r="L16" s="2947"/>
      <c r="M16" s="2947"/>
      <c r="N16" s="2947"/>
      <c r="O16" s="2947"/>
      <c r="P16" s="2947"/>
      <c r="Q16" s="2947"/>
      <c r="R16" s="2947"/>
      <c r="S16" s="2947"/>
      <c r="T16" s="2947"/>
      <c r="U16" s="2947"/>
      <c r="V16" s="2947"/>
      <c r="W16" s="2947"/>
      <c r="X16" s="2947"/>
      <c r="Y16" s="2947"/>
      <c r="Z16" s="2947"/>
      <c r="AA16" s="2947"/>
      <c r="AB16" s="2947"/>
      <c r="AC16" s="2947"/>
      <c r="AD16" s="2947"/>
      <c r="AE16" s="2947"/>
      <c r="AF16" s="2947"/>
      <c r="AG16" s="2947"/>
      <c r="AH16" s="2947"/>
      <c r="AI16" s="2947"/>
      <c r="AJ16" s="2947"/>
      <c r="AK16" s="2947"/>
      <c r="AL16" s="2947"/>
      <c r="AM16" s="2947"/>
      <c r="AN16" s="2947"/>
      <c r="AO16" s="2947"/>
      <c r="AP16" s="2947"/>
      <c r="AQ16" s="2947"/>
      <c r="AR16" s="2947"/>
      <c r="AS16" s="2947"/>
      <c r="AT16" s="2947"/>
      <c r="AU16" s="2947"/>
      <c r="AV16" s="2947"/>
      <c r="AW16" s="2947"/>
      <c r="AX16" s="2947"/>
      <c r="AY16" s="2947"/>
      <c r="AZ16" s="817"/>
      <c r="BA16" s="817"/>
      <c r="BB16" s="817"/>
    </row>
    <row r="17" spans="1:54" s="26" customFormat="1">
      <c r="A17" s="817"/>
      <c r="B17" s="832"/>
      <c r="C17" s="832" t="s">
        <v>277</v>
      </c>
      <c r="D17" s="2947" t="s">
        <v>1660</v>
      </c>
      <c r="E17" s="2947"/>
      <c r="F17" s="2947"/>
      <c r="G17" s="2947"/>
      <c r="H17" s="2947"/>
      <c r="I17" s="2947"/>
      <c r="J17" s="2947"/>
      <c r="K17" s="2947"/>
      <c r="L17" s="2947"/>
      <c r="M17" s="2947"/>
      <c r="N17" s="2947"/>
      <c r="O17" s="2947"/>
      <c r="P17" s="2947"/>
      <c r="Q17" s="2947"/>
      <c r="R17" s="2947"/>
      <c r="S17" s="2947"/>
      <c r="T17" s="2947"/>
      <c r="U17" s="2947"/>
      <c r="V17" s="2947"/>
      <c r="W17" s="2947"/>
      <c r="X17" s="2947"/>
      <c r="Y17" s="2947"/>
      <c r="Z17" s="2947"/>
      <c r="AA17" s="2947"/>
      <c r="AB17" s="2947"/>
      <c r="AC17" s="2947"/>
      <c r="AD17" s="2947"/>
      <c r="AE17" s="2947"/>
      <c r="AF17" s="2947"/>
      <c r="AG17" s="2947"/>
      <c r="AH17" s="2947"/>
      <c r="AI17" s="2947"/>
      <c r="AJ17" s="2947"/>
      <c r="AK17" s="2947"/>
      <c r="AL17" s="2947"/>
      <c r="AM17" s="2947"/>
      <c r="AN17" s="2947"/>
      <c r="AO17" s="2947"/>
      <c r="AP17" s="2947"/>
      <c r="AQ17" s="2947"/>
      <c r="AR17" s="2947"/>
      <c r="AS17" s="2947"/>
      <c r="AT17" s="2947"/>
      <c r="AU17" s="2947"/>
      <c r="AV17" s="2947"/>
      <c r="AW17" s="2947"/>
      <c r="AX17" s="2947"/>
      <c r="AY17" s="2947"/>
      <c r="AZ17" s="817"/>
      <c r="BA17" s="817"/>
      <c r="BB17" s="817"/>
    </row>
    <row r="18" spans="1:54" s="26" customFormat="1">
      <c r="A18" s="817"/>
      <c r="B18" s="832"/>
      <c r="C18" s="832" t="s">
        <v>278</v>
      </c>
      <c r="D18" s="2947" t="s">
        <v>1762</v>
      </c>
      <c r="E18" s="2947"/>
      <c r="F18" s="2947"/>
      <c r="G18" s="2947"/>
      <c r="H18" s="2947"/>
      <c r="I18" s="2947"/>
      <c r="J18" s="2947"/>
      <c r="K18" s="2947"/>
      <c r="L18" s="2947"/>
      <c r="M18" s="2947"/>
      <c r="N18" s="2947"/>
      <c r="O18" s="2947"/>
      <c r="P18" s="2947"/>
      <c r="Q18" s="2947"/>
      <c r="R18" s="2947"/>
      <c r="S18" s="2947"/>
      <c r="T18" s="2947"/>
      <c r="U18" s="2947"/>
      <c r="V18" s="2947"/>
      <c r="W18" s="2947"/>
      <c r="X18" s="2947"/>
      <c r="Y18" s="2947"/>
      <c r="Z18" s="2947"/>
      <c r="AA18" s="2947"/>
      <c r="AB18" s="2947"/>
      <c r="AC18" s="2947"/>
      <c r="AD18" s="2947"/>
      <c r="AE18" s="2947"/>
      <c r="AF18" s="2947"/>
      <c r="AG18" s="2947"/>
      <c r="AH18" s="2947"/>
      <c r="AI18" s="2947"/>
      <c r="AJ18" s="2947"/>
      <c r="AK18" s="2947"/>
      <c r="AL18" s="2947"/>
      <c r="AM18" s="2947"/>
      <c r="AN18" s="2947"/>
      <c r="AO18" s="2947"/>
      <c r="AP18" s="2947"/>
      <c r="AQ18" s="2947"/>
      <c r="AR18" s="2947"/>
      <c r="AS18" s="2947"/>
      <c r="AT18" s="2947"/>
      <c r="AU18" s="2947"/>
      <c r="AV18" s="2947"/>
      <c r="AW18" s="2947"/>
      <c r="AX18" s="2947"/>
      <c r="AY18" s="2947"/>
      <c r="AZ18" s="817"/>
      <c r="BA18" s="817"/>
      <c r="BB18" s="817"/>
    </row>
    <row r="19" spans="1:54" s="26" customFormat="1">
      <c r="A19" s="817"/>
      <c r="B19" s="832"/>
      <c r="C19" s="832" t="s">
        <v>518</v>
      </c>
      <c r="D19" s="2947" t="s">
        <v>1763</v>
      </c>
      <c r="E19" s="2947"/>
      <c r="F19" s="2947"/>
      <c r="G19" s="2947"/>
      <c r="H19" s="2947"/>
      <c r="I19" s="2947"/>
      <c r="J19" s="2947"/>
      <c r="K19" s="2947"/>
      <c r="L19" s="2947"/>
      <c r="M19" s="2947"/>
      <c r="N19" s="2947"/>
      <c r="O19" s="2947"/>
      <c r="P19" s="2947"/>
      <c r="Q19" s="2947"/>
      <c r="R19" s="2947"/>
      <c r="S19" s="2947"/>
      <c r="T19" s="2947"/>
      <c r="U19" s="2947"/>
      <c r="V19" s="2947"/>
      <c r="W19" s="2947"/>
      <c r="X19" s="2947"/>
      <c r="Y19" s="2947"/>
      <c r="Z19" s="2947"/>
      <c r="AA19" s="2947"/>
      <c r="AB19" s="2947"/>
      <c r="AC19" s="2947"/>
      <c r="AD19" s="2947"/>
      <c r="AE19" s="2947"/>
      <c r="AF19" s="2947"/>
      <c r="AG19" s="2947"/>
      <c r="AH19" s="2947"/>
      <c r="AI19" s="2947"/>
      <c r="AJ19" s="2947"/>
      <c r="AK19" s="2947"/>
      <c r="AL19" s="2947"/>
      <c r="AM19" s="2947"/>
      <c r="AN19" s="2947"/>
      <c r="AO19" s="2947"/>
      <c r="AP19" s="2947"/>
      <c r="AQ19" s="2947"/>
      <c r="AR19" s="2947"/>
      <c r="AS19" s="2947"/>
      <c r="AT19" s="2947"/>
      <c r="AU19" s="2947"/>
      <c r="AV19" s="2947"/>
      <c r="AW19" s="2947"/>
      <c r="AX19" s="2947"/>
      <c r="AY19" s="2947"/>
      <c r="AZ19" s="817"/>
      <c r="BA19" s="817"/>
      <c r="BB19" s="817"/>
    </row>
    <row r="20" spans="1:54" s="26" customFormat="1">
      <c r="A20" s="817"/>
      <c r="B20" s="832"/>
      <c r="C20" s="832" t="s">
        <v>519</v>
      </c>
      <c r="D20" s="2947" t="s">
        <v>1764</v>
      </c>
      <c r="E20" s="2947"/>
      <c r="F20" s="2947"/>
      <c r="G20" s="2947"/>
      <c r="H20" s="2947"/>
      <c r="I20" s="2947"/>
      <c r="J20" s="2947"/>
      <c r="K20" s="2947"/>
      <c r="L20" s="2947"/>
      <c r="M20" s="2947"/>
      <c r="N20" s="2947"/>
      <c r="O20" s="2947"/>
      <c r="P20" s="2947"/>
      <c r="Q20" s="2947"/>
      <c r="R20" s="2947"/>
      <c r="S20" s="2947"/>
      <c r="T20" s="2947"/>
      <c r="U20" s="2947"/>
      <c r="V20" s="2947"/>
      <c r="W20" s="2947"/>
      <c r="X20" s="2947"/>
      <c r="Y20" s="2947"/>
      <c r="Z20" s="2947"/>
      <c r="AA20" s="2947"/>
      <c r="AB20" s="2947"/>
      <c r="AC20" s="2947"/>
      <c r="AD20" s="2947"/>
      <c r="AE20" s="2947"/>
      <c r="AF20" s="2947"/>
      <c r="AG20" s="2947"/>
      <c r="AH20" s="2947"/>
      <c r="AI20" s="2947"/>
      <c r="AJ20" s="2947"/>
      <c r="AK20" s="2947"/>
      <c r="AL20" s="2947"/>
      <c r="AM20" s="2947"/>
      <c r="AN20" s="2947"/>
      <c r="AO20" s="2947"/>
      <c r="AP20" s="2947"/>
      <c r="AQ20" s="2947"/>
      <c r="AR20" s="2947"/>
      <c r="AS20" s="2947"/>
      <c r="AT20" s="2947"/>
      <c r="AU20" s="2947"/>
      <c r="AV20" s="2947"/>
      <c r="AW20" s="2947"/>
      <c r="AX20" s="2947"/>
      <c r="AY20" s="2947"/>
      <c r="AZ20" s="817"/>
      <c r="BA20" s="817"/>
      <c r="BB20" s="817"/>
    </row>
    <row r="21" spans="1:54" s="26" customFormat="1">
      <c r="A21" s="829"/>
      <c r="B21" s="830" t="s">
        <v>48</v>
      </c>
      <c r="C21" s="2977" t="s">
        <v>1661</v>
      </c>
      <c r="D21" s="2977"/>
      <c r="E21" s="2977"/>
      <c r="F21" s="2977"/>
      <c r="G21" s="2977"/>
      <c r="H21" s="2977"/>
      <c r="I21" s="2977"/>
      <c r="J21" s="2977"/>
      <c r="K21" s="2977"/>
      <c r="L21" s="2977"/>
      <c r="M21" s="2977"/>
      <c r="N21" s="2977"/>
      <c r="O21" s="2977"/>
      <c r="P21" s="2977"/>
      <c r="Q21" s="2977"/>
      <c r="R21" s="2977"/>
      <c r="S21" s="2977"/>
      <c r="T21" s="2977"/>
      <c r="U21" s="2977"/>
      <c r="V21" s="2977"/>
      <c r="W21" s="2977"/>
      <c r="X21" s="2977"/>
      <c r="Y21" s="2977"/>
      <c r="Z21" s="2977"/>
      <c r="AA21" s="2977"/>
      <c r="AB21" s="2977"/>
      <c r="AC21" s="2977"/>
      <c r="AD21" s="2977"/>
      <c r="AE21" s="2977"/>
      <c r="AF21" s="2977"/>
      <c r="AG21" s="2977"/>
      <c r="AH21" s="2977"/>
      <c r="AI21" s="2977"/>
      <c r="AJ21" s="2977"/>
      <c r="AK21" s="2977"/>
      <c r="AL21" s="2977"/>
      <c r="AM21" s="2977"/>
      <c r="AN21" s="2977"/>
      <c r="AO21" s="2977"/>
      <c r="AP21" s="2977"/>
      <c r="AQ21" s="2977"/>
      <c r="AR21" s="2977"/>
      <c r="AS21" s="2977"/>
      <c r="AT21" s="2977"/>
      <c r="AU21" s="2977"/>
      <c r="AV21" s="2977"/>
      <c r="AW21" s="2977"/>
      <c r="AX21" s="2977"/>
      <c r="AY21" s="2977"/>
      <c r="AZ21" s="817"/>
      <c r="BA21" s="817"/>
      <c r="BB21" s="817"/>
    </row>
    <row r="22" spans="1:54" s="26" customFormat="1">
      <c r="A22" s="829"/>
      <c r="B22" s="830" t="s">
        <v>49</v>
      </c>
      <c r="C22" s="2977" t="s">
        <v>1765</v>
      </c>
      <c r="D22" s="2977"/>
      <c r="E22" s="2977"/>
      <c r="F22" s="2977"/>
      <c r="G22" s="2977"/>
      <c r="H22" s="2977"/>
      <c r="I22" s="2977"/>
      <c r="J22" s="2977"/>
      <c r="K22" s="2977"/>
      <c r="L22" s="2977"/>
      <c r="M22" s="2977"/>
      <c r="N22" s="2977"/>
      <c r="O22" s="2977"/>
      <c r="P22" s="2977"/>
      <c r="Q22" s="2977"/>
      <c r="R22" s="2977"/>
      <c r="S22" s="2977"/>
      <c r="T22" s="2977"/>
      <c r="U22" s="2977"/>
      <c r="V22" s="2977"/>
      <c r="W22" s="2977"/>
      <c r="X22" s="2977"/>
      <c r="Y22" s="2977"/>
      <c r="Z22" s="2977"/>
      <c r="AA22" s="2977"/>
      <c r="AB22" s="2977"/>
      <c r="AC22" s="2977"/>
      <c r="AD22" s="2977"/>
      <c r="AE22" s="2977"/>
      <c r="AF22" s="2977"/>
      <c r="AG22" s="2977"/>
      <c r="AH22" s="2977"/>
      <c r="AI22" s="2977"/>
      <c r="AJ22" s="2977"/>
      <c r="AK22" s="2977"/>
      <c r="AL22" s="2977"/>
      <c r="AM22" s="2977"/>
      <c r="AN22" s="2977"/>
      <c r="AO22" s="2977"/>
      <c r="AP22" s="2977"/>
      <c r="AQ22" s="2977"/>
      <c r="AR22" s="2977"/>
      <c r="AS22" s="2977"/>
      <c r="AT22" s="2977"/>
      <c r="AU22" s="2977"/>
      <c r="AV22" s="2977"/>
      <c r="AW22" s="2977"/>
      <c r="AX22" s="2977"/>
      <c r="AY22" s="2977"/>
      <c r="AZ22" s="817"/>
      <c r="BA22" s="817"/>
      <c r="BB22" s="817"/>
    </row>
    <row r="23" spans="1:54" s="26" customFormat="1">
      <c r="A23" s="829"/>
      <c r="B23" s="830" t="s">
        <v>50</v>
      </c>
      <c r="C23" s="2977" t="s">
        <v>1662</v>
      </c>
      <c r="D23" s="2977"/>
      <c r="E23" s="2977"/>
      <c r="F23" s="2977"/>
      <c r="G23" s="2977"/>
      <c r="H23" s="2977"/>
      <c r="I23" s="2977"/>
      <c r="J23" s="2977"/>
      <c r="K23" s="2977"/>
      <c r="L23" s="2977"/>
      <c r="M23" s="2977"/>
      <c r="N23" s="2977"/>
      <c r="O23" s="2977"/>
      <c r="P23" s="2977"/>
      <c r="Q23" s="2977"/>
      <c r="R23" s="2977"/>
      <c r="S23" s="2977"/>
      <c r="T23" s="2977"/>
      <c r="U23" s="2977"/>
      <c r="V23" s="2977"/>
      <c r="W23" s="2977"/>
      <c r="X23" s="2977"/>
      <c r="Y23" s="2977"/>
      <c r="Z23" s="2977"/>
      <c r="AA23" s="2977"/>
      <c r="AB23" s="2977"/>
      <c r="AC23" s="2977"/>
      <c r="AD23" s="2977"/>
      <c r="AE23" s="2977"/>
      <c r="AF23" s="2977"/>
      <c r="AG23" s="2977"/>
      <c r="AH23" s="2977"/>
      <c r="AI23" s="2977"/>
      <c r="AJ23" s="2977"/>
      <c r="AK23" s="2977"/>
      <c r="AL23" s="2977"/>
      <c r="AM23" s="2977"/>
      <c r="AN23" s="2977"/>
      <c r="AO23" s="2977"/>
      <c r="AP23" s="2977"/>
      <c r="AQ23" s="2977"/>
      <c r="AR23" s="2977"/>
      <c r="AS23" s="2977"/>
      <c r="AT23" s="2977"/>
      <c r="AU23" s="2977"/>
      <c r="AV23" s="2977"/>
      <c r="AW23" s="2977"/>
      <c r="AX23" s="2977"/>
      <c r="AY23" s="2977"/>
      <c r="AZ23" s="817"/>
      <c r="BA23" s="817"/>
      <c r="BB23" s="817"/>
    </row>
    <row r="24" spans="1:54" s="26" customFormat="1">
      <c r="A24" s="829"/>
      <c r="B24" s="830" t="s">
        <v>51</v>
      </c>
      <c r="C24" s="2977" t="s">
        <v>1663</v>
      </c>
      <c r="D24" s="2977"/>
      <c r="E24" s="2977"/>
      <c r="F24" s="2977"/>
      <c r="G24" s="2977"/>
      <c r="H24" s="2977"/>
      <c r="I24" s="2977"/>
      <c r="J24" s="2977"/>
      <c r="K24" s="2977"/>
      <c r="L24" s="2977"/>
      <c r="M24" s="2977"/>
      <c r="N24" s="2977"/>
      <c r="O24" s="2977"/>
      <c r="P24" s="2977"/>
      <c r="Q24" s="2977"/>
      <c r="R24" s="2977"/>
      <c r="S24" s="2977"/>
      <c r="T24" s="2977"/>
      <c r="U24" s="2977"/>
      <c r="V24" s="2977"/>
      <c r="W24" s="2977"/>
      <c r="X24" s="2977"/>
      <c r="Y24" s="2977"/>
      <c r="Z24" s="2977"/>
      <c r="AA24" s="2977"/>
      <c r="AB24" s="2977"/>
      <c r="AC24" s="2977"/>
      <c r="AD24" s="2977"/>
      <c r="AE24" s="2977"/>
      <c r="AF24" s="2977"/>
      <c r="AG24" s="2977"/>
      <c r="AH24" s="2977"/>
      <c r="AI24" s="2977"/>
      <c r="AJ24" s="2977"/>
      <c r="AK24" s="2977"/>
      <c r="AL24" s="2977"/>
      <c r="AM24" s="2977"/>
      <c r="AN24" s="2977"/>
      <c r="AO24" s="2977"/>
      <c r="AP24" s="2977"/>
      <c r="AQ24" s="2977"/>
      <c r="AR24" s="2977"/>
      <c r="AS24" s="2977"/>
      <c r="AT24" s="2977"/>
      <c r="AU24" s="2977"/>
      <c r="AV24" s="2977"/>
      <c r="AW24" s="2977"/>
      <c r="AX24" s="2977"/>
      <c r="AY24" s="2977"/>
      <c r="AZ24" s="817"/>
      <c r="BA24" s="817"/>
      <c r="BB24" s="817"/>
    </row>
    <row r="25" spans="1:54" s="26" customFormat="1">
      <c r="A25" s="829"/>
      <c r="B25" s="830" t="s">
        <v>52</v>
      </c>
      <c r="C25" s="2977" t="s">
        <v>1664</v>
      </c>
      <c r="D25" s="2977"/>
      <c r="E25" s="2977"/>
      <c r="F25" s="2977"/>
      <c r="G25" s="2977"/>
      <c r="H25" s="2977"/>
      <c r="I25" s="2977"/>
      <c r="J25" s="2977"/>
      <c r="K25" s="2977"/>
      <c r="L25" s="2977"/>
      <c r="M25" s="2977"/>
      <c r="N25" s="2977"/>
      <c r="O25" s="2977"/>
      <c r="P25" s="2977"/>
      <c r="Q25" s="2977"/>
      <c r="R25" s="2977"/>
      <c r="S25" s="2977"/>
      <c r="T25" s="2977"/>
      <c r="U25" s="2977"/>
      <c r="V25" s="2977"/>
      <c r="W25" s="2977"/>
      <c r="X25" s="2977"/>
      <c r="Y25" s="2977"/>
      <c r="Z25" s="2977"/>
      <c r="AA25" s="2977"/>
      <c r="AB25" s="2977"/>
      <c r="AC25" s="2977"/>
      <c r="AD25" s="2977"/>
      <c r="AE25" s="2977"/>
      <c r="AF25" s="2977"/>
      <c r="AG25" s="2977"/>
      <c r="AH25" s="2977"/>
      <c r="AI25" s="2977"/>
      <c r="AJ25" s="2977"/>
      <c r="AK25" s="2977"/>
      <c r="AL25" s="2977"/>
      <c r="AM25" s="2977"/>
      <c r="AN25" s="2977"/>
      <c r="AO25" s="2977"/>
      <c r="AP25" s="2977"/>
      <c r="AQ25" s="2977"/>
      <c r="AR25" s="2977"/>
      <c r="AS25" s="2977"/>
      <c r="AT25" s="2977"/>
      <c r="AU25" s="2977"/>
      <c r="AV25" s="2977"/>
      <c r="AW25" s="2977"/>
      <c r="AX25" s="2977"/>
      <c r="AY25" s="2977"/>
      <c r="AZ25" s="817"/>
      <c r="BA25" s="817"/>
      <c r="BB25" s="817"/>
    </row>
    <row r="26" spans="1:54" s="26" customFormat="1">
      <c r="A26" s="829"/>
      <c r="B26" s="830" t="s">
        <v>53</v>
      </c>
      <c r="C26" s="2977" t="s">
        <v>1766</v>
      </c>
      <c r="D26" s="2977"/>
      <c r="E26" s="2977"/>
      <c r="F26" s="2977"/>
      <c r="G26" s="2977"/>
      <c r="H26" s="2977"/>
      <c r="I26" s="2977"/>
      <c r="J26" s="2977"/>
      <c r="K26" s="2977"/>
      <c r="L26" s="2977"/>
      <c r="M26" s="2977"/>
      <c r="N26" s="2977"/>
      <c r="O26" s="2977"/>
      <c r="P26" s="2977"/>
      <c r="Q26" s="2977"/>
      <c r="R26" s="2977"/>
      <c r="S26" s="2977"/>
      <c r="T26" s="2977"/>
      <c r="U26" s="2977"/>
      <c r="V26" s="2977"/>
      <c r="W26" s="2977"/>
      <c r="X26" s="2977"/>
      <c r="Y26" s="2977"/>
      <c r="Z26" s="2977"/>
      <c r="AA26" s="2977"/>
      <c r="AB26" s="2977"/>
      <c r="AC26" s="2977"/>
      <c r="AD26" s="2977"/>
      <c r="AE26" s="2977"/>
      <c r="AF26" s="2977"/>
      <c r="AG26" s="2977"/>
      <c r="AH26" s="2977"/>
      <c r="AI26" s="2977"/>
      <c r="AJ26" s="2977"/>
      <c r="AK26" s="2977"/>
      <c r="AL26" s="2977"/>
      <c r="AM26" s="2977"/>
      <c r="AN26" s="2977"/>
      <c r="AO26" s="2977"/>
      <c r="AP26" s="2977"/>
      <c r="AQ26" s="2977"/>
      <c r="AR26" s="2977"/>
      <c r="AS26" s="2977"/>
      <c r="AT26" s="2977"/>
      <c r="AU26" s="2977"/>
      <c r="AV26" s="2977"/>
      <c r="AW26" s="2977"/>
      <c r="AX26" s="2977"/>
      <c r="AY26" s="2977"/>
      <c r="AZ26" s="817"/>
      <c r="BA26" s="817"/>
      <c r="BB26" s="817"/>
    </row>
    <row r="27" spans="1:54" s="26" customFormat="1">
      <c r="A27" s="829"/>
      <c r="B27" s="830" t="s">
        <v>54</v>
      </c>
      <c r="C27" s="2977" t="s">
        <v>1665</v>
      </c>
      <c r="D27" s="2977"/>
      <c r="E27" s="2977"/>
      <c r="F27" s="2977"/>
      <c r="G27" s="2977"/>
      <c r="H27" s="2977"/>
      <c r="I27" s="2977"/>
      <c r="J27" s="2977"/>
      <c r="K27" s="2977"/>
      <c r="L27" s="2977"/>
      <c r="M27" s="2977"/>
      <c r="N27" s="2977"/>
      <c r="O27" s="2977"/>
      <c r="P27" s="2977"/>
      <c r="Q27" s="2977"/>
      <c r="R27" s="2977"/>
      <c r="S27" s="2977"/>
      <c r="T27" s="2977"/>
      <c r="U27" s="2977"/>
      <c r="V27" s="2977"/>
      <c r="W27" s="2977"/>
      <c r="X27" s="2977"/>
      <c r="Y27" s="2977"/>
      <c r="Z27" s="2977"/>
      <c r="AA27" s="2977"/>
      <c r="AB27" s="2977"/>
      <c r="AC27" s="2977"/>
      <c r="AD27" s="2977"/>
      <c r="AE27" s="2977"/>
      <c r="AF27" s="2977"/>
      <c r="AG27" s="2977"/>
      <c r="AH27" s="2977"/>
      <c r="AI27" s="2977"/>
      <c r="AJ27" s="2977"/>
      <c r="AK27" s="2977"/>
      <c r="AL27" s="2977"/>
      <c r="AM27" s="2977"/>
      <c r="AN27" s="2977"/>
      <c r="AO27" s="2977"/>
      <c r="AP27" s="2977"/>
      <c r="AQ27" s="2977"/>
      <c r="AR27" s="2977"/>
      <c r="AS27" s="2977"/>
      <c r="AT27" s="2977"/>
      <c r="AU27" s="2977"/>
      <c r="AV27" s="2977"/>
      <c r="AW27" s="2977"/>
      <c r="AX27" s="2977"/>
      <c r="AY27" s="2977"/>
      <c r="AZ27" s="817"/>
      <c r="BA27" s="817"/>
      <c r="BB27" s="817"/>
    </row>
    <row r="28" spans="1:54" s="26" customFormat="1" ht="14.1" customHeight="1">
      <c r="A28" s="817"/>
      <c r="B28" s="833"/>
      <c r="C28" s="833"/>
      <c r="D28" s="833"/>
      <c r="E28" s="833"/>
      <c r="F28" s="833"/>
      <c r="G28" s="833"/>
      <c r="H28" s="833"/>
      <c r="I28" s="833"/>
      <c r="J28" s="833"/>
      <c r="K28" s="833"/>
      <c r="L28" s="833"/>
      <c r="M28" s="833"/>
      <c r="N28" s="833"/>
      <c r="O28" s="833"/>
      <c r="P28" s="833"/>
      <c r="Q28" s="833"/>
      <c r="R28" s="833"/>
      <c r="S28" s="833"/>
      <c r="T28" s="833"/>
      <c r="U28" s="833"/>
      <c r="V28" s="833"/>
      <c r="W28" s="833"/>
      <c r="X28" s="833"/>
      <c r="Y28" s="817"/>
      <c r="Z28" s="817"/>
      <c r="AA28" s="817"/>
      <c r="AB28" s="817"/>
      <c r="AC28" s="817"/>
      <c r="AD28" s="817"/>
      <c r="AE28" s="817"/>
      <c r="AF28" s="817"/>
      <c r="AG28" s="817"/>
      <c r="AH28" s="817"/>
      <c r="AI28" s="817"/>
      <c r="AJ28" s="817"/>
      <c r="AK28" s="817"/>
      <c r="AL28" s="817"/>
      <c r="AM28" s="817"/>
      <c r="AN28" s="817"/>
      <c r="AO28" s="817"/>
      <c r="AP28" s="817"/>
      <c r="AQ28" s="817"/>
      <c r="AR28" s="817"/>
      <c r="AS28" s="817"/>
      <c r="AT28" s="817"/>
      <c r="AU28" s="817"/>
      <c r="AV28" s="817"/>
      <c r="AW28" s="817"/>
      <c r="AX28" s="817"/>
      <c r="AY28" s="817"/>
      <c r="AZ28" s="817"/>
      <c r="BA28" s="817"/>
      <c r="BB28" s="817"/>
    </row>
    <row r="29" spans="1:54" s="148" customFormat="1" ht="18.75">
      <c r="A29" s="834"/>
      <c r="B29" s="2978" t="s">
        <v>1767</v>
      </c>
      <c r="C29" s="2978"/>
      <c r="D29" s="2978"/>
      <c r="E29" s="2978"/>
      <c r="F29" s="2978"/>
      <c r="G29" s="2978"/>
      <c r="H29" s="2978"/>
      <c r="I29" s="2978"/>
      <c r="J29" s="2978"/>
      <c r="K29" s="2978"/>
      <c r="L29" s="2978"/>
      <c r="M29" s="2978"/>
      <c r="N29" s="2978"/>
      <c r="O29" s="2978"/>
      <c r="P29" s="2978"/>
      <c r="Q29" s="2978"/>
      <c r="R29" s="2978"/>
      <c r="S29" s="2978"/>
      <c r="T29" s="2978"/>
      <c r="U29" s="2978"/>
      <c r="V29" s="2978"/>
      <c r="W29" s="2978"/>
      <c r="X29" s="2978"/>
      <c r="Y29" s="2978"/>
      <c r="Z29" s="2978"/>
      <c r="AA29" s="2978"/>
      <c r="AB29" s="2978"/>
      <c r="AC29" s="2978"/>
      <c r="AD29" s="2978"/>
      <c r="AE29" s="2978"/>
      <c r="AF29" s="2978"/>
      <c r="AG29" s="2978"/>
      <c r="AH29" s="2978"/>
      <c r="AI29" s="2978"/>
      <c r="AJ29" s="2978"/>
      <c r="AK29" s="2978"/>
      <c r="AL29" s="2978"/>
      <c r="AM29" s="2978"/>
      <c r="AN29" s="2978"/>
      <c r="AO29" s="2978"/>
      <c r="AP29" s="2978"/>
      <c r="AQ29" s="2978"/>
      <c r="AR29" s="2978"/>
      <c r="AS29" s="2978"/>
      <c r="AT29" s="2978"/>
      <c r="AU29" s="2978"/>
      <c r="AV29" s="2978"/>
      <c r="AW29" s="2978"/>
      <c r="AX29" s="2978"/>
      <c r="AY29" s="2978"/>
      <c r="AZ29" s="834"/>
      <c r="BA29" s="834"/>
      <c r="BB29" s="834"/>
    </row>
    <row r="30" spans="1:54" s="26" customFormat="1">
      <c r="A30" s="817"/>
      <c r="B30" s="835"/>
      <c r="C30" s="836"/>
      <c r="D30" s="835"/>
      <c r="E30" s="835"/>
      <c r="F30" s="835"/>
      <c r="G30" s="835"/>
      <c r="H30" s="835"/>
      <c r="I30" s="835"/>
      <c r="J30" s="835"/>
      <c r="K30" s="835"/>
      <c r="L30" s="835"/>
      <c r="M30" s="835"/>
      <c r="N30" s="835"/>
      <c r="O30" s="835"/>
      <c r="P30" s="835"/>
      <c r="Q30" s="835"/>
      <c r="R30" s="835"/>
      <c r="S30" s="835"/>
      <c r="T30" s="835"/>
      <c r="U30" s="835"/>
      <c r="V30" s="835"/>
      <c r="W30" s="835"/>
      <c r="X30" s="835"/>
      <c r="Y30" s="817"/>
      <c r="Z30" s="817"/>
      <c r="AA30" s="817"/>
      <c r="AB30" s="817"/>
      <c r="AC30" s="817"/>
      <c r="AD30" s="817"/>
      <c r="AE30" s="817"/>
      <c r="AF30" s="817"/>
      <c r="AG30" s="817"/>
      <c r="AH30" s="817"/>
      <c r="AI30" s="817"/>
      <c r="AJ30" s="817"/>
      <c r="AK30" s="817"/>
      <c r="AL30" s="817"/>
      <c r="AM30" s="817"/>
      <c r="AN30" s="817"/>
      <c r="AO30" s="817"/>
      <c r="AP30" s="817"/>
      <c r="AQ30" s="817"/>
      <c r="AR30" s="817"/>
      <c r="AS30" s="817"/>
      <c r="AT30" s="817"/>
      <c r="AU30" s="817"/>
      <c r="AV30" s="817"/>
      <c r="AW30" s="817"/>
      <c r="AX30" s="817"/>
      <c r="AY30" s="817"/>
      <c r="AZ30" s="817"/>
      <c r="BA30" s="817"/>
      <c r="BB30" s="817"/>
    </row>
    <row r="31" spans="1:54" s="26" customFormat="1" ht="30.75" customHeight="1">
      <c r="A31" s="837"/>
      <c r="B31" s="838"/>
      <c r="C31" s="838"/>
      <c r="D31" s="838"/>
      <c r="E31" s="837"/>
      <c r="F31" s="837"/>
      <c r="G31" s="837"/>
      <c r="H31" s="837"/>
      <c r="I31" s="837"/>
      <c r="J31" s="837"/>
      <c r="K31" s="837"/>
      <c r="L31" s="837"/>
      <c r="M31" s="837"/>
      <c r="N31" s="837"/>
      <c r="O31" s="837"/>
      <c r="P31" s="837"/>
      <c r="Q31" s="837"/>
      <c r="R31" s="837"/>
      <c r="S31" s="837"/>
      <c r="T31" s="837"/>
      <c r="U31" s="837"/>
      <c r="V31" s="837"/>
      <c r="W31" s="837"/>
      <c r="X31" s="837"/>
      <c r="Y31" s="837"/>
      <c r="Z31" s="837"/>
      <c r="AA31" s="837"/>
      <c r="AB31" s="837"/>
      <c r="AC31" s="837"/>
      <c r="AD31" s="837"/>
      <c r="AE31" s="837"/>
      <c r="AF31" s="837"/>
      <c r="AG31" s="837"/>
      <c r="AH31" s="837"/>
      <c r="AI31" s="837"/>
      <c r="AJ31" s="837"/>
      <c r="AK31" s="837"/>
      <c r="AL31" s="837"/>
      <c r="AM31" s="837"/>
      <c r="AN31" s="837"/>
      <c r="AO31" s="837"/>
      <c r="AP31" s="837"/>
      <c r="AQ31" s="817"/>
      <c r="AR31" s="817"/>
      <c r="AS31" s="817"/>
      <c r="AT31" s="817"/>
      <c r="AU31" s="817"/>
      <c r="AV31" s="817"/>
      <c r="AW31" s="817"/>
      <c r="AX31" s="817"/>
      <c r="AY31" s="817"/>
      <c r="AZ31" s="817"/>
      <c r="BA31" s="817"/>
      <c r="BB31" s="817"/>
    </row>
    <row r="32" spans="1:54" s="26" customFormat="1" ht="20.100000000000001" customHeight="1">
      <c r="A32" s="817"/>
      <c r="B32" s="816" t="s">
        <v>32</v>
      </c>
      <c r="C32" s="817"/>
      <c r="D32" s="817"/>
      <c r="E32" s="817"/>
      <c r="F32" s="817"/>
      <c r="G32" s="817"/>
      <c r="H32" s="817"/>
      <c r="I32" s="817"/>
      <c r="J32" s="817"/>
      <c r="K32" s="817"/>
      <c r="L32" s="817"/>
      <c r="M32" s="817"/>
      <c r="N32" s="817"/>
      <c r="O32" s="817"/>
      <c r="P32" s="817"/>
      <c r="Q32" s="817"/>
      <c r="R32" s="817"/>
      <c r="S32" s="816" t="s">
        <v>444</v>
      </c>
      <c r="T32" s="817"/>
      <c r="U32" s="817"/>
      <c r="V32" s="817"/>
      <c r="W32" s="817"/>
      <c r="X32" s="817"/>
      <c r="Y32" s="817"/>
      <c r="Z32" s="817"/>
      <c r="AA32" s="817"/>
      <c r="AB32" s="817"/>
      <c r="AC32" s="817"/>
      <c r="AD32" s="817"/>
      <c r="AE32" s="817"/>
      <c r="AF32" s="817"/>
      <c r="AG32" s="817"/>
      <c r="AH32" s="817"/>
      <c r="AI32" s="817"/>
      <c r="AJ32" s="816" t="s">
        <v>33</v>
      </c>
      <c r="AK32" s="817"/>
      <c r="AL32" s="817"/>
      <c r="AM32" s="817"/>
      <c r="AN32" s="817"/>
      <c r="AO32" s="817"/>
      <c r="AP32" s="817"/>
      <c r="AQ32" s="817"/>
      <c r="AR32" s="817"/>
      <c r="AS32" s="817"/>
      <c r="AT32" s="817"/>
      <c r="AU32" s="817"/>
      <c r="AV32" s="817"/>
      <c r="AW32" s="817"/>
      <c r="AX32" s="817"/>
      <c r="AY32" s="817"/>
      <c r="AZ32" s="817"/>
      <c r="BA32" s="817"/>
      <c r="BB32" s="817"/>
    </row>
    <row r="33" spans="1:76" s="26" customFormat="1" ht="20.100000000000001" customHeight="1">
      <c r="A33" s="817"/>
      <c r="B33" s="816" t="s">
        <v>73</v>
      </c>
      <c r="C33" s="817"/>
      <c r="D33" s="817"/>
      <c r="E33" s="817"/>
      <c r="F33" s="2975" t="str">
        <f>activesheet!E21</f>
        <v>MELCHESIEDICK Q. BOLANIO / March 17, 2023</v>
      </c>
      <c r="G33" s="2975"/>
      <c r="H33" s="2975"/>
      <c r="I33" s="2975"/>
      <c r="J33" s="2975"/>
      <c r="K33" s="2975"/>
      <c r="L33" s="2975"/>
      <c r="M33" s="2975"/>
      <c r="N33" s="2975"/>
      <c r="O33" s="2975"/>
      <c r="P33" s="2975"/>
      <c r="Q33" s="817"/>
      <c r="R33" s="817"/>
      <c r="S33" s="2979" t="str">
        <f>activesheet!E1922</f>
        <v>ANNE VALERIE KERSTEINE I. VILLANUEVA / March 17, 2023</v>
      </c>
      <c r="T33" s="2979"/>
      <c r="U33" s="2979"/>
      <c r="V33" s="2979"/>
      <c r="W33" s="2979"/>
      <c r="X33" s="2979"/>
      <c r="Y33" s="2979"/>
      <c r="Z33" s="2979"/>
      <c r="AA33" s="2979"/>
      <c r="AB33" s="2979"/>
      <c r="AC33" s="2979"/>
      <c r="AD33" s="2979"/>
      <c r="AE33" s="2979"/>
      <c r="AF33" s="2979"/>
      <c r="AG33" s="2979"/>
      <c r="AH33" s="817"/>
      <c r="AI33" s="817"/>
      <c r="AJ33" s="2979" t="str">
        <f>activesheet!E25</f>
        <v>MICHAEL T. JAMIS / March 17, 2023</v>
      </c>
      <c r="AK33" s="2979"/>
      <c r="AL33" s="2979"/>
      <c r="AM33" s="2979"/>
      <c r="AN33" s="2979"/>
      <c r="AO33" s="2979"/>
      <c r="AP33" s="2979"/>
      <c r="AQ33" s="2979"/>
      <c r="AR33" s="2979"/>
      <c r="AS33" s="2979"/>
      <c r="AT33" s="2979"/>
      <c r="AU33" s="2979"/>
      <c r="AV33" s="2979"/>
      <c r="AW33" s="2979"/>
      <c r="AX33" s="2979"/>
      <c r="AY33" s="817"/>
      <c r="AZ33" s="817"/>
      <c r="BA33" s="817"/>
      <c r="BB33" s="817"/>
    </row>
    <row r="34" spans="1:76" s="26" customFormat="1" ht="20.100000000000001" customHeight="1">
      <c r="A34" s="839"/>
      <c r="B34" s="839"/>
      <c r="C34" s="839"/>
      <c r="D34" s="839"/>
      <c r="E34" s="839"/>
      <c r="F34" s="2976" t="s">
        <v>37</v>
      </c>
      <c r="G34" s="2976"/>
      <c r="H34" s="2976"/>
      <c r="I34" s="2976"/>
      <c r="J34" s="2976"/>
      <c r="K34" s="2976"/>
      <c r="L34" s="2976"/>
      <c r="M34" s="2976"/>
      <c r="N34" s="2976"/>
      <c r="O34" s="2976"/>
      <c r="P34" s="2976"/>
      <c r="Q34" s="839"/>
      <c r="R34" s="817"/>
      <c r="S34" s="2975"/>
      <c r="T34" s="2975"/>
      <c r="U34" s="2975"/>
      <c r="V34" s="2975"/>
      <c r="W34" s="2975"/>
      <c r="X34" s="2975"/>
      <c r="Y34" s="2975"/>
      <c r="Z34" s="2975"/>
      <c r="AA34" s="2975"/>
      <c r="AB34" s="2975"/>
      <c r="AC34" s="2975"/>
      <c r="AD34" s="2975"/>
      <c r="AE34" s="2975"/>
      <c r="AF34" s="2975"/>
      <c r="AG34" s="2975"/>
      <c r="AH34" s="817"/>
      <c r="AI34" s="817"/>
      <c r="AJ34" s="2975"/>
      <c r="AK34" s="2975"/>
      <c r="AL34" s="2975"/>
      <c r="AM34" s="2975"/>
      <c r="AN34" s="2975"/>
      <c r="AO34" s="2975"/>
      <c r="AP34" s="2975"/>
      <c r="AQ34" s="2975"/>
      <c r="AR34" s="2975"/>
      <c r="AS34" s="2975"/>
      <c r="AT34" s="2975"/>
      <c r="AU34" s="2975"/>
      <c r="AV34" s="2975"/>
      <c r="AW34" s="2975"/>
      <c r="AX34" s="2975"/>
      <c r="AY34" s="817"/>
      <c r="AZ34" s="817"/>
      <c r="BA34" s="817"/>
      <c r="BB34" s="817"/>
      <c r="BK34" s="136"/>
      <c r="BL34" s="136"/>
      <c r="BM34" s="136"/>
      <c r="BN34" s="136"/>
      <c r="BO34" s="136"/>
      <c r="BP34" s="136"/>
      <c r="BQ34" s="136"/>
      <c r="BR34" s="136"/>
      <c r="BS34" s="136"/>
      <c r="BT34" s="136"/>
      <c r="BU34" s="136"/>
      <c r="BV34" s="136"/>
      <c r="BW34" s="136"/>
      <c r="BX34" s="136"/>
    </row>
    <row r="35" spans="1:76" s="26" customFormat="1" ht="20.100000000000001" customHeight="1">
      <c r="A35" s="817"/>
      <c r="B35" s="816" t="s">
        <v>58</v>
      </c>
      <c r="C35" s="817"/>
      <c r="D35" s="817"/>
      <c r="E35" s="817"/>
      <c r="F35" s="2975" t="str">
        <f>activesheet!E22</f>
        <v>SECONDARY SCHOOL PRINCIPAL IV</v>
      </c>
      <c r="G35" s="2975"/>
      <c r="H35" s="2975"/>
      <c r="I35" s="2975"/>
      <c r="J35" s="2975"/>
      <c r="K35" s="2975"/>
      <c r="L35" s="2975"/>
      <c r="M35" s="2975"/>
      <c r="N35" s="2975"/>
      <c r="O35" s="2975"/>
      <c r="P35" s="2975"/>
      <c r="Q35" s="817"/>
      <c r="R35" s="817"/>
      <c r="S35" s="2976" t="s">
        <v>37</v>
      </c>
      <c r="T35" s="2976"/>
      <c r="U35" s="2976"/>
      <c r="V35" s="2976"/>
      <c r="W35" s="2976"/>
      <c r="X35" s="2976"/>
      <c r="Y35" s="2976"/>
      <c r="Z35" s="2976"/>
      <c r="AA35" s="2976"/>
      <c r="AB35" s="2976"/>
      <c r="AC35" s="2976"/>
      <c r="AD35" s="2976"/>
      <c r="AE35" s="2976"/>
      <c r="AF35" s="2976"/>
      <c r="AG35" s="2976"/>
      <c r="AH35" s="817"/>
      <c r="AI35" s="817"/>
      <c r="AJ35" s="2976" t="s">
        <v>37</v>
      </c>
      <c r="AK35" s="2976"/>
      <c r="AL35" s="2976"/>
      <c r="AM35" s="2976"/>
      <c r="AN35" s="2976"/>
      <c r="AO35" s="2976"/>
      <c r="AP35" s="2976"/>
      <c r="AQ35" s="2976"/>
      <c r="AR35" s="2976"/>
      <c r="AS35" s="2976"/>
      <c r="AT35" s="2976"/>
      <c r="AU35" s="2976"/>
      <c r="AV35" s="2976"/>
      <c r="AW35" s="2976"/>
      <c r="AX35" s="2976"/>
      <c r="AY35" s="817"/>
      <c r="AZ35" s="817"/>
      <c r="BA35" s="817"/>
      <c r="BB35" s="817"/>
    </row>
    <row r="36" spans="1:76">
      <c r="A36" s="599"/>
      <c r="B36" s="599"/>
      <c r="C36" s="599"/>
      <c r="D36" s="599"/>
      <c r="E36" s="599"/>
      <c r="F36" s="599"/>
      <c r="G36" s="599"/>
      <c r="H36" s="599"/>
      <c r="I36" s="599"/>
      <c r="J36" s="599"/>
      <c r="K36" s="599"/>
      <c r="L36" s="599"/>
      <c r="M36" s="599"/>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599"/>
      <c r="AK36" s="599"/>
      <c r="AL36" s="599"/>
      <c r="AM36" s="599"/>
      <c r="AN36" s="599"/>
      <c r="AO36" s="599"/>
      <c r="AP36" s="599"/>
      <c r="AQ36" s="599"/>
      <c r="AR36" s="599"/>
      <c r="AS36" s="599"/>
      <c r="AT36" s="599"/>
      <c r="AU36" s="599"/>
      <c r="AV36" s="599"/>
      <c r="AW36" s="599"/>
      <c r="AX36" s="599"/>
      <c r="AY36" s="599"/>
      <c r="AZ36" s="599"/>
      <c r="BA36" s="599"/>
      <c r="BB36" s="599"/>
    </row>
    <row r="37" spans="1:76">
      <c r="A37" s="599"/>
      <c r="B37" s="599"/>
      <c r="C37" s="599"/>
      <c r="D37" s="599"/>
      <c r="E37" s="599"/>
      <c r="F37" s="599"/>
      <c r="G37" s="599"/>
      <c r="H37" s="599"/>
      <c r="I37" s="599"/>
      <c r="J37" s="599"/>
      <c r="K37" s="599"/>
      <c r="L37" s="599"/>
      <c r="M37" s="599"/>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599"/>
      <c r="AK37" s="599"/>
      <c r="AL37" s="599"/>
      <c r="AM37" s="599"/>
      <c r="AN37" s="599"/>
      <c r="AO37" s="599"/>
      <c r="AP37" s="599"/>
      <c r="AQ37" s="599"/>
      <c r="AR37" s="599"/>
      <c r="AS37" s="599"/>
      <c r="AT37" s="599"/>
      <c r="AU37" s="599"/>
      <c r="AV37" s="599"/>
      <c r="AW37" s="599"/>
      <c r="AX37" s="599"/>
      <c r="AY37" s="599"/>
      <c r="AZ37" s="599"/>
      <c r="BA37" s="599"/>
      <c r="BB37" s="599"/>
    </row>
    <row r="38" spans="1:76">
      <c r="A38" s="599"/>
      <c r="B38" s="599"/>
      <c r="C38" s="599"/>
      <c r="D38" s="599"/>
      <c r="E38" s="599"/>
      <c r="F38" s="599"/>
      <c r="G38" s="599"/>
      <c r="H38" s="599"/>
      <c r="I38" s="599"/>
      <c r="J38" s="599"/>
      <c r="K38" s="599"/>
      <c r="L38" s="599"/>
      <c r="M38" s="599"/>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599"/>
      <c r="AK38" s="599"/>
      <c r="AL38" s="599"/>
      <c r="AM38" s="599"/>
      <c r="AN38" s="599"/>
      <c r="AO38" s="599"/>
      <c r="AP38" s="599"/>
      <c r="AQ38" s="599"/>
      <c r="AR38" s="599"/>
      <c r="AS38" s="599"/>
      <c r="AT38" s="599"/>
      <c r="AU38" s="599"/>
      <c r="AV38" s="599"/>
      <c r="AW38" s="599"/>
      <c r="AX38" s="599"/>
      <c r="AY38" s="599"/>
      <c r="AZ38" s="599"/>
      <c r="BA38" s="599"/>
      <c r="BB38" s="599"/>
    </row>
    <row r="39" spans="1:76">
      <c r="A39" s="599"/>
      <c r="B39" s="599"/>
      <c r="C39" s="599"/>
      <c r="D39" s="599"/>
      <c r="E39" s="599"/>
      <c r="F39" s="599"/>
      <c r="G39" s="599"/>
      <c r="H39" s="599"/>
      <c r="I39" s="599"/>
      <c r="J39" s="599"/>
      <c r="K39" s="599"/>
      <c r="L39" s="599"/>
      <c r="M39" s="599"/>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599"/>
      <c r="AK39" s="599"/>
      <c r="AL39" s="599"/>
      <c r="AM39" s="599"/>
      <c r="AN39" s="599"/>
      <c r="AO39" s="599"/>
      <c r="AP39" s="599"/>
      <c r="AQ39" s="599"/>
      <c r="AR39" s="599"/>
      <c r="AS39" s="599"/>
      <c r="AT39" s="599"/>
      <c r="AU39" s="599"/>
      <c r="AV39" s="599"/>
      <c r="AW39" s="599"/>
      <c r="AX39" s="599"/>
      <c r="AY39" s="599"/>
      <c r="AZ39" s="599"/>
      <c r="BA39" s="599"/>
      <c r="BB39" s="599"/>
    </row>
    <row r="40" spans="1:76">
      <c r="A40" s="599"/>
      <c r="B40" s="599"/>
      <c r="C40" s="599"/>
      <c r="D40" s="599"/>
      <c r="E40" s="599"/>
      <c r="F40" s="599"/>
      <c r="G40" s="599"/>
      <c r="H40" s="599"/>
      <c r="I40" s="599"/>
      <c r="J40" s="599"/>
      <c r="K40" s="599"/>
      <c r="L40" s="599"/>
      <c r="M40" s="599"/>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599"/>
      <c r="AK40" s="599"/>
      <c r="AL40" s="599"/>
      <c r="AM40" s="599"/>
      <c r="AN40" s="599"/>
      <c r="AO40" s="599"/>
      <c r="AP40" s="599"/>
      <c r="AQ40" s="599"/>
      <c r="AR40" s="599"/>
      <c r="AS40" s="599"/>
      <c r="AT40" s="599"/>
      <c r="AU40" s="599"/>
      <c r="AV40" s="599"/>
      <c r="AW40" s="599"/>
      <c r="AX40" s="599"/>
      <c r="AY40" s="599"/>
      <c r="AZ40" s="599"/>
      <c r="BA40" s="599"/>
      <c r="BB40" s="599"/>
    </row>
    <row r="41" spans="1:76">
      <c r="A41" s="599"/>
      <c r="B41" s="599"/>
      <c r="C41" s="599"/>
      <c r="D41" s="599"/>
      <c r="E41" s="599"/>
      <c r="F41" s="599"/>
      <c r="G41" s="599"/>
      <c r="H41" s="599"/>
      <c r="I41" s="599"/>
      <c r="J41" s="599"/>
      <c r="K41" s="599"/>
      <c r="L41" s="599"/>
      <c r="M41" s="599"/>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599"/>
      <c r="AK41" s="599"/>
      <c r="AL41" s="599"/>
      <c r="AM41" s="599"/>
      <c r="AN41" s="599"/>
      <c r="AO41" s="599"/>
      <c r="AP41" s="599"/>
      <c r="AQ41" s="599"/>
      <c r="AR41" s="599"/>
      <c r="AS41" s="599"/>
      <c r="AT41" s="599"/>
      <c r="AU41" s="599"/>
      <c r="AV41" s="599"/>
      <c r="AW41" s="599"/>
      <c r="AX41" s="599"/>
      <c r="AY41" s="599"/>
      <c r="AZ41" s="599"/>
      <c r="BA41" s="599"/>
      <c r="BB41" s="599"/>
    </row>
    <row r="42" spans="1:76">
      <c r="A42" s="599"/>
      <c r="B42" s="599"/>
      <c r="C42" s="599"/>
      <c r="D42" s="599"/>
      <c r="E42" s="599"/>
      <c r="F42" s="599"/>
      <c r="G42" s="599"/>
      <c r="H42" s="599"/>
      <c r="I42" s="599"/>
      <c r="J42" s="599"/>
      <c r="K42" s="599"/>
      <c r="L42" s="599"/>
      <c r="M42" s="599"/>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599"/>
      <c r="AK42" s="599"/>
      <c r="AL42" s="599"/>
      <c r="AM42" s="599"/>
      <c r="AN42" s="599"/>
      <c r="AO42" s="599"/>
      <c r="AP42" s="599"/>
      <c r="AQ42" s="599"/>
      <c r="AR42" s="599"/>
      <c r="AS42" s="599"/>
      <c r="AT42" s="599"/>
      <c r="AU42" s="599"/>
      <c r="AV42" s="599"/>
      <c r="AW42" s="599"/>
      <c r="AX42" s="599"/>
      <c r="AY42" s="599"/>
      <c r="AZ42" s="599"/>
      <c r="BA42" s="599"/>
      <c r="BB42" s="599"/>
    </row>
    <row r="43" spans="1:76">
      <c r="A43" s="599"/>
      <c r="B43" s="599"/>
      <c r="C43" s="599"/>
      <c r="D43" s="599"/>
      <c r="E43" s="599"/>
      <c r="F43" s="599"/>
      <c r="G43" s="599"/>
      <c r="H43" s="599"/>
      <c r="I43" s="599"/>
      <c r="J43" s="599"/>
      <c r="K43" s="599"/>
      <c r="L43" s="599"/>
      <c r="M43" s="599"/>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599"/>
      <c r="AK43" s="599"/>
      <c r="AL43" s="599"/>
      <c r="AM43" s="599"/>
      <c r="AN43" s="599"/>
      <c r="AO43" s="599"/>
      <c r="AP43" s="599"/>
      <c r="AQ43" s="599"/>
      <c r="AR43" s="599"/>
      <c r="AS43" s="599"/>
      <c r="AT43" s="599"/>
      <c r="AU43" s="599"/>
      <c r="AV43" s="599"/>
      <c r="AW43" s="599"/>
      <c r="AX43" s="599"/>
      <c r="AY43" s="599"/>
      <c r="AZ43" s="599"/>
      <c r="BA43" s="599"/>
      <c r="BB43" s="599"/>
    </row>
    <row r="44" spans="1:76">
      <c r="A44" s="599"/>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599"/>
      <c r="AR44" s="599"/>
      <c r="AS44" s="599"/>
      <c r="AT44" s="599"/>
      <c r="AU44" s="599"/>
      <c r="AV44" s="599"/>
      <c r="AW44" s="599"/>
      <c r="AX44" s="599"/>
      <c r="AY44" s="599"/>
      <c r="AZ44" s="599"/>
      <c r="BA44" s="599"/>
      <c r="BB44" s="599"/>
    </row>
    <row r="45" spans="1:76">
      <c r="A45" s="599"/>
      <c r="B45" s="599"/>
      <c r="C45" s="599"/>
      <c r="D45" s="599"/>
      <c r="E45" s="599"/>
      <c r="F45" s="599"/>
      <c r="G45" s="599"/>
      <c r="H45" s="599"/>
      <c r="I45" s="599"/>
      <c r="J45" s="599"/>
      <c r="K45" s="599"/>
      <c r="L45" s="599"/>
      <c r="M45" s="599"/>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599"/>
      <c r="AK45" s="599"/>
      <c r="AL45" s="599"/>
      <c r="AM45" s="599"/>
      <c r="AN45" s="599"/>
      <c r="AO45" s="599"/>
      <c r="AP45" s="599"/>
      <c r="AQ45" s="599"/>
      <c r="AR45" s="599"/>
      <c r="AS45" s="599"/>
      <c r="AT45" s="599"/>
      <c r="AU45" s="599"/>
      <c r="AV45" s="599"/>
      <c r="AW45" s="599"/>
      <c r="AX45" s="599"/>
      <c r="AY45" s="599"/>
      <c r="AZ45" s="599"/>
      <c r="BA45" s="599"/>
      <c r="BB45" s="599"/>
    </row>
    <row r="46" spans="1:76">
      <c r="A46" s="599"/>
      <c r="B46" s="599"/>
      <c r="C46" s="599"/>
      <c r="D46" s="599"/>
      <c r="E46" s="599"/>
      <c r="F46" s="599"/>
      <c r="G46" s="599"/>
      <c r="H46" s="599"/>
      <c r="I46" s="599"/>
      <c r="J46" s="599"/>
      <c r="K46" s="599"/>
      <c r="L46" s="599"/>
      <c r="M46" s="599"/>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599"/>
      <c r="AK46" s="599"/>
      <c r="AL46" s="599"/>
      <c r="AM46" s="599"/>
      <c r="AN46" s="599"/>
      <c r="AO46" s="599"/>
      <c r="AP46" s="599"/>
      <c r="AQ46" s="599"/>
      <c r="AR46" s="599"/>
      <c r="AS46" s="599"/>
      <c r="AT46" s="599"/>
      <c r="AU46" s="599"/>
      <c r="AV46" s="599"/>
      <c r="AW46" s="599"/>
      <c r="AX46" s="599"/>
      <c r="AY46" s="599"/>
      <c r="AZ46" s="599"/>
      <c r="BA46" s="599"/>
      <c r="BB46" s="599"/>
    </row>
    <row r="47" spans="1:76">
      <c r="A47" s="599"/>
      <c r="B47" s="599"/>
      <c r="C47" s="599"/>
      <c r="D47" s="599"/>
      <c r="E47" s="599"/>
      <c r="F47" s="599"/>
      <c r="G47" s="599"/>
      <c r="H47" s="599"/>
      <c r="I47" s="599"/>
      <c r="J47" s="599"/>
      <c r="K47" s="599"/>
      <c r="L47" s="599"/>
      <c r="M47" s="599"/>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599"/>
      <c r="AK47" s="599"/>
      <c r="AL47" s="599"/>
      <c r="AM47" s="599"/>
      <c r="AN47" s="599"/>
      <c r="AO47" s="599"/>
      <c r="AP47" s="599"/>
      <c r="AQ47" s="599"/>
      <c r="AR47" s="599"/>
      <c r="AS47" s="599"/>
      <c r="AT47" s="599"/>
      <c r="AU47" s="599"/>
      <c r="AV47" s="599"/>
      <c r="AW47" s="599"/>
      <c r="AX47" s="599"/>
      <c r="AY47" s="599"/>
      <c r="AZ47" s="599"/>
      <c r="BA47" s="599"/>
      <c r="BB47" s="599"/>
    </row>
    <row r="48" spans="1:76">
      <c r="A48" s="599"/>
      <c r="B48" s="599"/>
      <c r="C48" s="599"/>
      <c r="D48" s="599"/>
      <c r="E48" s="599"/>
      <c r="F48" s="599"/>
      <c r="G48" s="599"/>
      <c r="H48" s="599"/>
      <c r="I48" s="599"/>
      <c r="J48" s="599"/>
      <c r="K48" s="599"/>
      <c r="L48" s="599"/>
      <c r="M48" s="599"/>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599"/>
      <c r="AK48" s="599"/>
      <c r="AL48" s="599"/>
      <c r="AM48" s="599"/>
      <c r="AN48" s="599"/>
      <c r="AO48" s="599"/>
      <c r="AP48" s="599"/>
      <c r="AQ48" s="599"/>
      <c r="AR48" s="599"/>
      <c r="AS48" s="599"/>
      <c r="AT48" s="599"/>
      <c r="AU48" s="599"/>
      <c r="AV48" s="599"/>
      <c r="AW48" s="599"/>
      <c r="AX48" s="599"/>
      <c r="AY48" s="599"/>
      <c r="AZ48" s="599"/>
      <c r="BA48" s="599"/>
      <c r="BB48" s="599"/>
    </row>
    <row r="49" spans="1:54">
      <c r="A49" s="599"/>
      <c r="B49" s="599"/>
      <c r="C49" s="599"/>
      <c r="D49" s="599"/>
      <c r="E49" s="599"/>
      <c r="F49" s="599"/>
      <c r="G49" s="599"/>
      <c r="H49" s="599"/>
      <c r="I49" s="599"/>
      <c r="J49" s="599"/>
      <c r="K49" s="599"/>
      <c r="L49" s="599"/>
      <c r="M49" s="599"/>
      <c r="N49" s="599"/>
      <c r="O49" s="599"/>
      <c r="P49" s="599"/>
      <c r="Q49" s="599"/>
      <c r="R49" s="599"/>
      <c r="S49" s="599"/>
      <c r="T49" s="599"/>
      <c r="U49" s="599"/>
      <c r="V49" s="599"/>
      <c r="W49" s="599"/>
      <c r="X49" s="599"/>
      <c r="Y49" s="599"/>
      <c r="Z49" s="599"/>
      <c r="AA49" s="599"/>
      <c r="AB49" s="599"/>
      <c r="AC49" s="599"/>
      <c r="AD49" s="599"/>
      <c r="AE49" s="599"/>
      <c r="AF49" s="599"/>
      <c r="AG49" s="599"/>
      <c r="AH49" s="599"/>
      <c r="AI49" s="599"/>
      <c r="AJ49" s="599"/>
      <c r="AK49" s="599"/>
      <c r="AL49" s="599"/>
      <c r="AM49" s="599"/>
      <c r="AN49" s="599"/>
      <c r="AO49" s="599"/>
      <c r="AP49" s="599"/>
      <c r="AQ49" s="599"/>
      <c r="AR49" s="599"/>
      <c r="AS49" s="599"/>
      <c r="AT49" s="599"/>
      <c r="AU49" s="599"/>
      <c r="AV49" s="599"/>
      <c r="AW49" s="599"/>
      <c r="AX49" s="599"/>
      <c r="AY49" s="599"/>
      <c r="AZ49" s="599"/>
      <c r="BA49" s="599"/>
      <c r="BB49" s="599"/>
    </row>
    <row r="50" spans="1:54">
      <c r="A50" s="599"/>
      <c r="B50" s="599"/>
      <c r="C50" s="599"/>
      <c r="D50" s="599"/>
      <c r="E50" s="599"/>
      <c r="F50" s="599"/>
      <c r="G50" s="599"/>
      <c r="H50" s="599"/>
      <c r="I50" s="599"/>
      <c r="J50" s="599"/>
      <c r="K50" s="599"/>
      <c r="L50" s="599"/>
      <c r="M50" s="599"/>
      <c r="N50" s="599"/>
      <c r="O50" s="599"/>
      <c r="P50" s="599"/>
      <c r="Q50" s="599"/>
      <c r="R50" s="599"/>
      <c r="S50" s="599"/>
      <c r="T50" s="599"/>
      <c r="U50" s="599"/>
      <c r="V50" s="599"/>
      <c r="W50" s="599"/>
      <c r="X50" s="599"/>
      <c r="Y50" s="599"/>
      <c r="Z50" s="599"/>
      <c r="AA50" s="599"/>
      <c r="AB50" s="599"/>
      <c r="AC50" s="599"/>
      <c r="AD50" s="599"/>
      <c r="AE50" s="599"/>
      <c r="AF50" s="599"/>
      <c r="AG50" s="599"/>
      <c r="AH50" s="599"/>
      <c r="AI50" s="599"/>
      <c r="AJ50" s="599"/>
      <c r="AK50" s="599"/>
      <c r="AL50" s="599"/>
      <c r="AM50" s="599"/>
      <c r="AN50" s="599"/>
      <c r="AO50" s="599"/>
      <c r="AP50" s="599"/>
      <c r="AQ50" s="599"/>
      <c r="AR50" s="599"/>
      <c r="AS50" s="599"/>
      <c r="AT50" s="599"/>
      <c r="AU50" s="599"/>
      <c r="AV50" s="599"/>
      <c r="AW50" s="599"/>
      <c r="AX50" s="599"/>
      <c r="AY50" s="599"/>
      <c r="AZ50" s="599"/>
      <c r="BA50" s="599"/>
      <c r="BB50" s="599"/>
    </row>
    <row r="51" spans="1:54">
      <c r="A51" s="599"/>
      <c r="B51" s="599"/>
      <c r="C51" s="599"/>
      <c r="D51" s="599"/>
      <c r="E51" s="599"/>
      <c r="F51" s="599"/>
      <c r="G51" s="599"/>
      <c r="H51" s="599"/>
      <c r="I51" s="599"/>
      <c r="J51" s="599"/>
      <c r="K51" s="599"/>
      <c r="L51" s="599"/>
      <c r="M51" s="599"/>
      <c r="N51" s="599"/>
      <c r="O51" s="599"/>
      <c r="P51" s="599"/>
      <c r="Q51" s="599"/>
      <c r="R51" s="599"/>
      <c r="S51" s="599"/>
      <c r="T51" s="599"/>
      <c r="U51" s="599"/>
      <c r="V51" s="599"/>
      <c r="W51" s="599"/>
      <c r="X51" s="599"/>
      <c r="Y51" s="599"/>
      <c r="Z51" s="599"/>
      <c r="AA51" s="599"/>
      <c r="AB51" s="599"/>
      <c r="AC51" s="599"/>
      <c r="AD51" s="599"/>
      <c r="AE51" s="599"/>
      <c r="AF51" s="599"/>
      <c r="AG51" s="599"/>
      <c r="AH51" s="599"/>
      <c r="AI51" s="599"/>
      <c r="AJ51" s="599"/>
      <c r="AK51" s="599"/>
      <c r="AL51" s="599"/>
      <c r="AM51" s="599"/>
      <c r="AN51" s="599"/>
      <c r="AO51" s="599"/>
      <c r="AP51" s="599"/>
      <c r="AQ51" s="599"/>
      <c r="AR51" s="599"/>
      <c r="AS51" s="599"/>
      <c r="AT51" s="599"/>
      <c r="AU51" s="599"/>
      <c r="AV51" s="599"/>
      <c r="AW51" s="599"/>
      <c r="AX51" s="599"/>
      <c r="AY51" s="599"/>
      <c r="AZ51" s="599"/>
      <c r="BA51" s="599"/>
      <c r="BB51" s="599"/>
    </row>
  </sheetData>
  <sheetProtection algorithmName="SHA-512" hashValue="/Ohl0vWktBYLU2hKOQP5gxSMo3TIEJYb+Ne0hgJ1MU2BS75Wk0Wam20Htrhw6TqgS8avgUhVCEjJn00Ur/teIw==" saltValue="uXkRgPFiLet2YrrzptEKQg==" spinCount="100000" sheet="1" objects="1" scenarios="1"/>
  <customSheetViews>
    <customSheetView guid="{6EFEFCA0-BF14-457A-85A3-29CBF2A862A5}" showGridLines="0" fitToPage="1">
      <selection sqref="A1:BA38"/>
      <pageMargins left="0.23622047244094491" right="0.23622047244094491" top="0.19685039370078741" bottom="0.19685039370078741" header="0" footer="0.11811023622047245"/>
      <printOptions horizontalCentered="1" verticalCentered="1"/>
      <pageSetup paperSize="9" scale="36" orientation="landscape" r:id="rId1"/>
      <headerFooter>
        <oddFooter>&amp;L&amp;10&amp;F &amp;A&amp;R&amp;10Page 22 of 61</oddFooter>
      </headerFooter>
    </customSheetView>
  </customSheetViews>
  <mergeCells count="127">
    <mergeCell ref="C22:AY22"/>
    <mergeCell ref="C23:AY23"/>
    <mergeCell ref="C24:AY24"/>
    <mergeCell ref="B11:F11"/>
    <mergeCell ref="B12:F12"/>
    <mergeCell ref="B13:F13"/>
    <mergeCell ref="B14:F14"/>
    <mergeCell ref="AF4:AJ4"/>
    <mergeCell ref="AK4:AY4"/>
    <mergeCell ref="B5:F5"/>
    <mergeCell ref="L5:P5"/>
    <mergeCell ref="Q5:U5"/>
    <mergeCell ref="AA5:AE5"/>
    <mergeCell ref="AF5:AJ5"/>
    <mergeCell ref="AK5:AO5"/>
    <mergeCell ref="AP5:AT5"/>
    <mergeCell ref="AU5:AY5"/>
    <mergeCell ref="B4:F4"/>
    <mergeCell ref="G4:K4"/>
    <mergeCell ref="L4:P4"/>
    <mergeCell ref="Q4:U4"/>
    <mergeCell ref="V4:Z4"/>
    <mergeCell ref="AA4:AE4"/>
    <mergeCell ref="B6:F6"/>
    <mergeCell ref="B7:F7"/>
    <mergeCell ref="B8:F8"/>
    <mergeCell ref="B9:F9"/>
    <mergeCell ref="B10:F10"/>
    <mergeCell ref="F35:P35"/>
    <mergeCell ref="S35:AG35"/>
    <mergeCell ref="AJ35:AX35"/>
    <mergeCell ref="C26:AY26"/>
    <mergeCell ref="C27:AY27"/>
    <mergeCell ref="B29:AY29"/>
    <mergeCell ref="F33:P33"/>
    <mergeCell ref="S33:AG34"/>
    <mergeCell ref="AJ33:AX34"/>
    <mergeCell ref="F34:P34"/>
    <mergeCell ref="C25:AY25"/>
    <mergeCell ref="AK7:AO7"/>
    <mergeCell ref="C15:AY15"/>
    <mergeCell ref="D16:AY16"/>
    <mergeCell ref="D17:AY17"/>
    <mergeCell ref="D18:AY18"/>
    <mergeCell ref="D19:AY19"/>
    <mergeCell ref="D20:AY20"/>
    <mergeCell ref="C21:AY21"/>
    <mergeCell ref="G11:K11"/>
    <mergeCell ref="G12:K12"/>
    <mergeCell ref="G13:K13"/>
    <mergeCell ref="G14:K14"/>
    <mergeCell ref="L6:P6"/>
    <mergeCell ref="L7:P7"/>
    <mergeCell ref="L8:P8"/>
    <mergeCell ref="L9:P9"/>
    <mergeCell ref="L10:P10"/>
    <mergeCell ref="L11:P11"/>
    <mergeCell ref="L12:P12"/>
    <mergeCell ref="L13:P13"/>
    <mergeCell ref="L14:P14"/>
    <mergeCell ref="G6:K6"/>
    <mergeCell ref="G7:K7"/>
    <mergeCell ref="G8:K8"/>
    <mergeCell ref="G9:K9"/>
    <mergeCell ref="G10:K10"/>
    <mergeCell ref="Q11:U11"/>
    <mergeCell ref="Q12:U12"/>
    <mergeCell ref="Q13:U13"/>
    <mergeCell ref="Q14:U14"/>
    <mergeCell ref="V6:Z6"/>
    <mergeCell ref="V7:Z7"/>
    <mergeCell ref="V8:Z8"/>
    <mergeCell ref="V9:Z9"/>
    <mergeCell ref="V10:Z10"/>
    <mergeCell ref="V11:Z11"/>
    <mergeCell ref="V12:Z12"/>
    <mergeCell ref="V13:Z13"/>
    <mergeCell ref="V14:Z14"/>
    <mergeCell ref="Q6:U6"/>
    <mergeCell ref="Q7:U7"/>
    <mergeCell ref="Q8:U8"/>
    <mergeCell ref="Q9:U9"/>
    <mergeCell ref="Q10:U10"/>
    <mergeCell ref="AA11:AE11"/>
    <mergeCell ref="AA12:AE12"/>
    <mergeCell ref="AA13:AE13"/>
    <mergeCell ref="AA14:AE14"/>
    <mergeCell ref="AF6:AJ6"/>
    <mergeCell ref="AF7:AJ7"/>
    <mergeCell ref="AF8:AJ8"/>
    <mergeCell ref="AF9:AJ9"/>
    <mergeCell ref="AF10:AJ10"/>
    <mergeCell ref="AF11:AJ11"/>
    <mergeCell ref="AF12:AJ12"/>
    <mergeCell ref="AF13:AJ13"/>
    <mergeCell ref="AF14:AJ14"/>
    <mergeCell ref="AA6:AE6"/>
    <mergeCell ref="AA7:AE7"/>
    <mergeCell ref="AA8:AE8"/>
    <mergeCell ref="AA9:AE9"/>
    <mergeCell ref="AA10:AE10"/>
    <mergeCell ref="AK12:AO12"/>
    <mergeCell ref="AK13:AO13"/>
    <mergeCell ref="AK14:AO14"/>
    <mergeCell ref="AP6:AT6"/>
    <mergeCell ref="AP7:AT7"/>
    <mergeCell ref="AP8:AT8"/>
    <mergeCell ref="AP9:AT9"/>
    <mergeCell ref="AP10:AT10"/>
    <mergeCell ref="AP11:AT11"/>
    <mergeCell ref="AP12:AT12"/>
    <mergeCell ref="AP13:AT13"/>
    <mergeCell ref="AP14:AT14"/>
    <mergeCell ref="AK6:AO6"/>
    <mergeCell ref="AK8:AO8"/>
    <mergeCell ref="AK9:AO9"/>
    <mergeCell ref="AK10:AO10"/>
    <mergeCell ref="AK11:AO11"/>
    <mergeCell ref="AU11:AY11"/>
    <mergeCell ref="AU12:AY12"/>
    <mergeCell ref="AU13:AY13"/>
    <mergeCell ref="AU14:AY14"/>
    <mergeCell ref="AU6:AY6"/>
    <mergeCell ref="AU7:AY7"/>
    <mergeCell ref="AU8:AY8"/>
    <mergeCell ref="AU9:AY9"/>
    <mergeCell ref="AU10:AY10"/>
  </mergeCells>
  <phoneticPr fontId="39" type="noConversion"/>
  <dataValidations count="1">
    <dataValidation type="date" allowBlank="1" showInputMessage="1" showErrorMessage="1" errorTitle="GSHSP SY 2022-2023" error="Please enter date between January 1, 2022 and October 31, 2023 in M/D/YYYY or D/M/YYYY depending on your computer's date." sqref="AF6:AJ14" xr:uid="{E97A4EBD-280E-4CB1-A1FA-CF4F1D67972F}">
      <formula1>44562</formula1>
      <formula2>45230</formula2>
    </dataValidation>
  </dataValidations>
  <printOptions horizontalCentered="1" verticalCentered="1"/>
  <pageMargins left="0.23622047244094491" right="0.23622047244094491" top="0.19685039370078741" bottom="0.19685039370078741" header="0" footer="0.11811023622047245"/>
  <pageSetup paperSize="9" scale="36" orientation="landscape" r:id="rId2"/>
  <headerFooter>
    <oddFooter>&amp;L&amp;10&amp;F &amp;A&amp;R&amp;10Page 22 of 61</oddFooter>
  </headerFooter>
  <drawing r:id="rId3"/>
  <extLst>
    <ext xmlns:x14="http://schemas.microsoft.com/office/spreadsheetml/2009/9/main" uri="{CCE6A557-97BC-4b89-ADB6-D9C93CAAB3DF}">
      <x14:dataValidations xmlns:xm="http://schemas.microsoft.com/office/excel/2006/main" count="2">
        <x14:dataValidation type="list" allowBlank="1" showInputMessage="1" showErrorMessage="1" errorTitle="GSHSP SY 2022-2023" error="Please select from the dropdown list." xr:uid="{3BE1858D-1275-4F2A-9AF5-FBBE82926D47}">
          <x14:formula1>
            <xm:f>Dropdown!$J$1:$J$6</xm:f>
          </x14:formula1>
          <xm:sqref>B6:F14</xm:sqref>
        </x14:dataValidation>
        <x14:dataValidation type="list" allowBlank="1" showInputMessage="1" showErrorMessage="1" errorTitle="GSHSP SY 2022-2023" error="Please select from the dropdown list." xr:uid="{90CDAF7A-CA8D-421D-A069-CFEF51281606}">
          <x14:formula1>
            <xm:f>Dropdown!$G$25:$G$28</xm:f>
          </x14:formula1>
          <xm:sqref>AA6:AE14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0A61C-7F58-4C39-AF94-22EB3F2868A8}">
  <sheetPr codeName="Sheet27">
    <tabColor rgb="FFFFFF00"/>
    <pageSetUpPr fitToPage="1"/>
  </sheetPr>
  <dimension ref="A1:BH50"/>
  <sheetViews>
    <sheetView showGridLines="0" zoomScaleNormal="100" workbookViewId="0">
      <selection activeCell="R7" sqref="R7:Y7"/>
    </sheetView>
  </sheetViews>
  <sheetFormatPr defaultColWidth="8" defaultRowHeight="15"/>
  <cols>
    <col min="1" max="1" width="2.125" style="102" customWidth="1"/>
    <col min="2" max="9" width="3.625" style="102" customWidth="1"/>
    <col min="10" max="17" width="4.875" style="102" customWidth="1"/>
    <col min="18" max="41" width="3.625" style="102" customWidth="1"/>
    <col min="42" max="42" width="2.125" style="102" customWidth="1"/>
    <col min="43" max="44" width="3.625" style="102" customWidth="1"/>
    <col min="45" max="45" width="2.125" style="102" customWidth="1"/>
    <col min="46" max="51" width="3.625" style="102" customWidth="1"/>
    <col min="52" max="16384" width="8" style="102"/>
  </cols>
  <sheetData>
    <row r="1" spans="1:55" ht="12" customHeight="1">
      <c r="A1" s="599"/>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599"/>
      <c r="AC1" s="599"/>
      <c r="AD1" s="599"/>
      <c r="AE1" s="599"/>
      <c r="AF1" s="599"/>
      <c r="AG1" s="599"/>
      <c r="AH1" s="599"/>
      <c r="AI1" s="599"/>
      <c r="AJ1" s="599"/>
      <c r="AK1" s="599"/>
      <c r="AL1" s="599"/>
      <c r="AM1" s="599"/>
      <c r="AN1" s="599"/>
      <c r="AO1" s="599"/>
      <c r="AP1" s="599"/>
      <c r="AQ1" s="599"/>
      <c r="AR1" s="599"/>
      <c r="AS1" s="599"/>
      <c r="AT1" s="599"/>
      <c r="AU1" s="599"/>
      <c r="AV1" s="599"/>
      <c r="AW1" s="599"/>
      <c r="AX1" s="599"/>
      <c r="AY1" s="599"/>
    </row>
    <row r="2" spans="1:55" s="164" customFormat="1" ht="15.75">
      <c r="A2" s="260"/>
      <c r="B2" s="771" t="s">
        <v>11400</v>
      </c>
      <c r="C2" s="772"/>
      <c r="D2" s="772"/>
      <c r="E2" s="772"/>
      <c r="F2" s="772"/>
      <c r="G2" s="260"/>
      <c r="H2" s="260"/>
      <c r="I2" s="260"/>
      <c r="J2" s="260"/>
      <c r="K2" s="260"/>
      <c r="L2" s="260"/>
      <c r="M2" s="260"/>
      <c r="N2" s="260"/>
      <c r="O2" s="260"/>
      <c r="P2" s="260"/>
      <c r="Q2" s="260"/>
      <c r="R2" s="260"/>
      <c r="S2" s="260"/>
      <c r="T2" s="260"/>
      <c r="U2" s="260"/>
      <c r="V2" s="260"/>
      <c r="W2" s="260"/>
      <c r="X2" s="260"/>
      <c r="Y2" s="260"/>
      <c r="Z2" s="260"/>
      <c r="AA2" s="260"/>
      <c r="AB2" s="260"/>
      <c r="AC2" s="260"/>
      <c r="AD2" s="260"/>
      <c r="AE2" s="260"/>
      <c r="AF2" s="260"/>
      <c r="AG2" s="260"/>
      <c r="AH2" s="260"/>
      <c r="AI2" s="260"/>
      <c r="AJ2" s="260"/>
      <c r="AK2" s="260"/>
      <c r="AL2" s="260"/>
      <c r="AM2" s="260"/>
      <c r="AN2" s="260"/>
      <c r="AO2" s="260"/>
      <c r="AP2" s="260"/>
      <c r="AQ2" s="260"/>
      <c r="AR2" s="260"/>
      <c r="AS2" s="260"/>
      <c r="AT2" s="260"/>
      <c r="AU2" s="260"/>
      <c r="AV2" s="260"/>
      <c r="AW2" s="260"/>
      <c r="AX2" s="260"/>
      <c r="AY2" s="260"/>
    </row>
    <row r="3" spans="1:55" s="40" customFormat="1" ht="16.5" thickBot="1">
      <c r="A3" s="582"/>
      <c r="B3" s="583" t="s">
        <v>1016</v>
      </c>
      <c r="C3" s="582"/>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row>
    <row r="4" spans="1:55" s="26" customFormat="1" ht="23.1" customHeight="1">
      <c r="A4" s="815"/>
      <c r="B4" s="2933" t="s">
        <v>1266</v>
      </c>
      <c r="C4" s="2934"/>
      <c r="D4" s="2934"/>
      <c r="E4" s="2934"/>
      <c r="F4" s="2934"/>
      <c r="G4" s="2934"/>
      <c r="H4" s="2934"/>
      <c r="I4" s="2935"/>
      <c r="J4" s="2938" t="s">
        <v>1258</v>
      </c>
      <c r="K4" s="2936"/>
      <c r="L4" s="2936"/>
      <c r="M4" s="2936"/>
      <c r="N4" s="2936"/>
      <c r="O4" s="2936"/>
      <c r="P4" s="2936"/>
      <c r="Q4" s="2937"/>
      <c r="R4" s="2934" t="s">
        <v>1264</v>
      </c>
      <c r="S4" s="2936"/>
      <c r="T4" s="2936"/>
      <c r="U4" s="2936"/>
      <c r="V4" s="2936"/>
      <c r="W4" s="2936"/>
      <c r="X4" s="2936"/>
      <c r="Y4" s="2937"/>
      <c r="Z4" s="2938" t="s">
        <v>1265</v>
      </c>
      <c r="AA4" s="2936"/>
      <c r="AB4" s="2936"/>
      <c r="AC4" s="2936"/>
      <c r="AD4" s="2936"/>
      <c r="AE4" s="2936"/>
      <c r="AF4" s="2936"/>
      <c r="AG4" s="2936"/>
      <c r="AH4" s="2938" t="s">
        <v>1768</v>
      </c>
      <c r="AI4" s="2936"/>
      <c r="AJ4" s="2936"/>
      <c r="AK4" s="2936"/>
      <c r="AL4" s="2936"/>
      <c r="AM4" s="2936"/>
      <c r="AN4" s="2936"/>
      <c r="AO4" s="2939"/>
      <c r="AP4" s="815"/>
      <c r="AQ4" s="815"/>
      <c r="AR4" s="815"/>
      <c r="AS4" s="815"/>
      <c r="AT4" s="815"/>
      <c r="AU4" s="815"/>
      <c r="AV4" s="815"/>
      <c r="AW4" s="815"/>
      <c r="AX4" s="815"/>
      <c r="AY4" s="815"/>
      <c r="AZ4" s="145"/>
      <c r="BA4" s="145"/>
      <c r="BB4" s="145"/>
      <c r="BC4" s="145"/>
    </row>
    <row r="5" spans="1:55" s="161" customFormat="1" ht="27" customHeight="1">
      <c r="A5" s="816"/>
      <c r="B5" s="2940" t="s">
        <v>1769</v>
      </c>
      <c r="C5" s="2941"/>
      <c r="D5" s="2941"/>
      <c r="E5" s="2941"/>
      <c r="F5" s="2941"/>
      <c r="G5" s="2941"/>
      <c r="H5" s="2941"/>
      <c r="I5" s="2942"/>
      <c r="J5" s="2953" t="s">
        <v>1740</v>
      </c>
      <c r="K5" s="2957"/>
      <c r="L5" s="2957"/>
      <c r="M5" s="2957"/>
      <c r="N5" s="2957"/>
      <c r="O5" s="2957"/>
      <c r="P5" s="2957"/>
      <c r="Q5" s="3005"/>
      <c r="R5" s="2946" t="s">
        <v>11889</v>
      </c>
      <c r="S5" s="2947"/>
      <c r="T5" s="2947"/>
      <c r="U5" s="2947"/>
      <c r="V5" s="2947"/>
      <c r="W5" s="2947"/>
      <c r="X5" s="2947"/>
      <c r="Y5" s="2948"/>
      <c r="Z5" s="2953"/>
      <c r="AA5" s="2954"/>
      <c r="AB5" s="2954"/>
      <c r="AC5" s="2954"/>
      <c r="AD5" s="2954"/>
      <c r="AE5" s="2954"/>
      <c r="AF5" s="2954"/>
      <c r="AG5" s="2954"/>
      <c r="AH5" s="2953"/>
      <c r="AI5" s="2957"/>
      <c r="AJ5" s="2957"/>
      <c r="AK5" s="2957"/>
      <c r="AL5" s="2957"/>
      <c r="AM5" s="2957"/>
      <c r="AN5" s="2957"/>
      <c r="AO5" s="2958"/>
      <c r="AP5" s="816"/>
      <c r="AQ5" s="816"/>
      <c r="AR5" s="816"/>
      <c r="AS5" s="816"/>
      <c r="AT5" s="816"/>
      <c r="AU5" s="816"/>
      <c r="AV5" s="816"/>
      <c r="AW5" s="816"/>
      <c r="AX5" s="816"/>
      <c r="AY5" s="816"/>
    </row>
    <row r="6" spans="1:55" s="161" customFormat="1" ht="27" customHeight="1" thickBot="1">
      <c r="A6" s="816"/>
      <c r="B6" s="2943"/>
      <c r="C6" s="2944"/>
      <c r="D6" s="2944"/>
      <c r="E6" s="2944"/>
      <c r="F6" s="2944"/>
      <c r="G6" s="2944"/>
      <c r="H6" s="2944"/>
      <c r="I6" s="2945"/>
      <c r="J6" s="2959"/>
      <c r="K6" s="2960"/>
      <c r="L6" s="2960"/>
      <c r="M6" s="2960"/>
      <c r="N6" s="2960"/>
      <c r="O6" s="2960"/>
      <c r="P6" s="2960"/>
      <c r="Q6" s="3006"/>
      <c r="R6" s="2949"/>
      <c r="S6" s="2949"/>
      <c r="T6" s="2949"/>
      <c r="U6" s="2949"/>
      <c r="V6" s="2949"/>
      <c r="W6" s="2949"/>
      <c r="X6" s="2949"/>
      <c r="Y6" s="2950"/>
      <c r="Z6" s="2955"/>
      <c r="AA6" s="2956"/>
      <c r="AB6" s="2956"/>
      <c r="AC6" s="2956"/>
      <c r="AD6" s="2956"/>
      <c r="AE6" s="2956"/>
      <c r="AF6" s="2956"/>
      <c r="AG6" s="2956"/>
      <c r="AH6" s="2959"/>
      <c r="AI6" s="2960"/>
      <c r="AJ6" s="2960"/>
      <c r="AK6" s="2960"/>
      <c r="AL6" s="2960"/>
      <c r="AM6" s="2960"/>
      <c r="AN6" s="2960"/>
      <c r="AO6" s="2961"/>
      <c r="AP6" s="816"/>
      <c r="AQ6" s="816"/>
      <c r="AR6" s="816"/>
      <c r="AS6" s="816"/>
      <c r="AT6" s="816"/>
      <c r="AU6" s="816"/>
      <c r="AV6" s="816"/>
      <c r="AW6" s="816"/>
      <c r="AX6" s="816"/>
      <c r="AY6" s="816"/>
    </row>
    <row r="7" spans="1:55" s="26" customFormat="1" ht="20.100000000000001" customHeight="1">
      <c r="A7" s="817"/>
      <c r="B7" s="2927"/>
      <c r="C7" s="2928"/>
      <c r="D7" s="2928"/>
      <c r="E7" s="2928"/>
      <c r="F7" s="2928"/>
      <c r="G7" s="2928"/>
      <c r="H7" s="2928"/>
      <c r="I7" s="2929"/>
      <c r="J7" s="2930"/>
      <c r="K7" s="2928"/>
      <c r="L7" s="2928"/>
      <c r="M7" s="2928"/>
      <c r="N7" s="2928"/>
      <c r="O7" s="2928"/>
      <c r="P7" s="2928"/>
      <c r="Q7" s="2929"/>
      <c r="R7" s="2931" t="s">
        <v>11924</v>
      </c>
      <c r="S7" s="2928"/>
      <c r="T7" s="2928"/>
      <c r="U7" s="2928"/>
      <c r="V7" s="2928"/>
      <c r="W7" s="2928"/>
      <c r="X7" s="2928"/>
      <c r="Y7" s="2929"/>
      <c r="Z7" s="2931"/>
      <c r="AA7" s="2928"/>
      <c r="AB7" s="2928"/>
      <c r="AC7" s="2928"/>
      <c r="AD7" s="2928"/>
      <c r="AE7" s="2928"/>
      <c r="AF7" s="2928"/>
      <c r="AG7" s="2928"/>
      <c r="AH7" s="2931"/>
      <c r="AI7" s="2928"/>
      <c r="AJ7" s="2928"/>
      <c r="AK7" s="2928"/>
      <c r="AL7" s="2928"/>
      <c r="AM7" s="2928"/>
      <c r="AN7" s="2928"/>
      <c r="AO7" s="2932"/>
      <c r="AP7" s="817"/>
      <c r="AQ7" s="817"/>
      <c r="AR7" s="817"/>
      <c r="AS7" s="817"/>
      <c r="AT7" s="817"/>
      <c r="AU7" s="817"/>
      <c r="AV7" s="817"/>
      <c r="AW7" s="817"/>
      <c r="AX7" s="817"/>
      <c r="AY7" s="817"/>
    </row>
    <row r="8" spans="1:55" s="26" customFormat="1" ht="20.100000000000001" customHeight="1">
      <c r="A8" s="817"/>
      <c r="B8" s="2904"/>
      <c r="C8" s="2905"/>
      <c r="D8" s="2905"/>
      <c r="E8" s="2905"/>
      <c r="F8" s="2905"/>
      <c r="G8" s="2905"/>
      <c r="H8" s="2905"/>
      <c r="I8" s="2906"/>
      <c r="J8" s="2907"/>
      <c r="K8" s="2905"/>
      <c r="L8" s="2905"/>
      <c r="M8" s="2905"/>
      <c r="N8" s="2905"/>
      <c r="O8" s="2905"/>
      <c r="P8" s="2905"/>
      <c r="Q8" s="2906"/>
      <c r="R8" s="2911"/>
      <c r="S8" s="2905"/>
      <c r="T8" s="2905"/>
      <c r="U8" s="2905"/>
      <c r="V8" s="2905"/>
      <c r="W8" s="2905"/>
      <c r="X8" s="2905"/>
      <c r="Y8" s="2906"/>
      <c r="Z8" s="2911"/>
      <c r="AA8" s="2905"/>
      <c r="AB8" s="2905"/>
      <c r="AC8" s="2905"/>
      <c r="AD8" s="2905"/>
      <c r="AE8" s="2905"/>
      <c r="AF8" s="2905"/>
      <c r="AG8" s="2905"/>
      <c r="AH8" s="2911"/>
      <c r="AI8" s="2905"/>
      <c r="AJ8" s="2905"/>
      <c r="AK8" s="2905"/>
      <c r="AL8" s="2905"/>
      <c r="AM8" s="2905"/>
      <c r="AN8" s="2905"/>
      <c r="AO8" s="2912"/>
      <c r="AP8" s="817"/>
      <c r="AQ8" s="817"/>
      <c r="AR8" s="817"/>
      <c r="AS8" s="817"/>
      <c r="AT8" s="817"/>
      <c r="AU8" s="817"/>
      <c r="AV8" s="817"/>
      <c r="AW8" s="817"/>
      <c r="AX8" s="817"/>
      <c r="AY8" s="817"/>
    </row>
    <row r="9" spans="1:55" s="26" customFormat="1" ht="20.100000000000001" customHeight="1">
      <c r="A9" s="817"/>
      <c r="B9" s="2904"/>
      <c r="C9" s="2905"/>
      <c r="D9" s="2905"/>
      <c r="E9" s="2905"/>
      <c r="F9" s="2905"/>
      <c r="G9" s="2905"/>
      <c r="H9" s="2905"/>
      <c r="I9" s="2906"/>
      <c r="J9" s="2907"/>
      <c r="K9" s="2905"/>
      <c r="L9" s="2905"/>
      <c r="M9" s="2905"/>
      <c r="N9" s="2905"/>
      <c r="O9" s="2905"/>
      <c r="P9" s="2905"/>
      <c r="Q9" s="2906"/>
      <c r="R9" s="2911"/>
      <c r="S9" s="2905"/>
      <c r="T9" s="2905"/>
      <c r="U9" s="2905"/>
      <c r="V9" s="2905"/>
      <c r="W9" s="2905"/>
      <c r="X9" s="2905"/>
      <c r="Y9" s="2906"/>
      <c r="Z9" s="2911"/>
      <c r="AA9" s="2905"/>
      <c r="AB9" s="2905"/>
      <c r="AC9" s="2905"/>
      <c r="AD9" s="2905"/>
      <c r="AE9" s="2905"/>
      <c r="AF9" s="2905"/>
      <c r="AG9" s="2905"/>
      <c r="AH9" s="2911"/>
      <c r="AI9" s="2905"/>
      <c r="AJ9" s="2905"/>
      <c r="AK9" s="2905"/>
      <c r="AL9" s="2905"/>
      <c r="AM9" s="2905"/>
      <c r="AN9" s="2905"/>
      <c r="AO9" s="2912"/>
      <c r="AP9" s="817"/>
      <c r="AQ9" s="817"/>
      <c r="AR9" s="817"/>
      <c r="AS9" s="817"/>
      <c r="AT9" s="817"/>
      <c r="AU9" s="817"/>
      <c r="AV9" s="817"/>
      <c r="AW9" s="817"/>
      <c r="AX9" s="817"/>
      <c r="AY9" s="817"/>
    </row>
    <row r="10" spans="1:55" s="26" customFormat="1" ht="20.100000000000001" customHeight="1">
      <c r="A10" s="817"/>
      <c r="B10" s="2904"/>
      <c r="C10" s="2905"/>
      <c r="D10" s="2905"/>
      <c r="E10" s="2905"/>
      <c r="F10" s="2905"/>
      <c r="G10" s="2905"/>
      <c r="H10" s="2905"/>
      <c r="I10" s="2906"/>
      <c r="J10" s="2907"/>
      <c r="K10" s="2905"/>
      <c r="L10" s="2905"/>
      <c r="M10" s="2905"/>
      <c r="N10" s="2905"/>
      <c r="O10" s="2905"/>
      <c r="P10" s="2905"/>
      <c r="Q10" s="2906"/>
      <c r="R10" s="2911"/>
      <c r="S10" s="2905"/>
      <c r="T10" s="2905"/>
      <c r="U10" s="2905"/>
      <c r="V10" s="2905"/>
      <c r="W10" s="2905"/>
      <c r="X10" s="2905"/>
      <c r="Y10" s="2906"/>
      <c r="Z10" s="2911"/>
      <c r="AA10" s="2905"/>
      <c r="AB10" s="2905"/>
      <c r="AC10" s="2905"/>
      <c r="AD10" s="2905"/>
      <c r="AE10" s="2905"/>
      <c r="AF10" s="2905"/>
      <c r="AG10" s="2905"/>
      <c r="AH10" s="2911"/>
      <c r="AI10" s="2905"/>
      <c r="AJ10" s="2905"/>
      <c r="AK10" s="2905"/>
      <c r="AL10" s="2905"/>
      <c r="AM10" s="2905"/>
      <c r="AN10" s="2905"/>
      <c r="AO10" s="2912"/>
      <c r="AP10" s="817"/>
      <c r="AQ10" s="817"/>
      <c r="AR10" s="817"/>
      <c r="AS10" s="817"/>
      <c r="AT10" s="817"/>
      <c r="AU10" s="817"/>
      <c r="AV10" s="817"/>
      <c r="AW10" s="817"/>
      <c r="AX10" s="817"/>
      <c r="AY10" s="817"/>
    </row>
    <row r="11" spans="1:55" s="26" customFormat="1" ht="20.100000000000001" customHeight="1">
      <c r="A11" s="817"/>
      <c r="B11" s="2904"/>
      <c r="C11" s="2905"/>
      <c r="D11" s="2905"/>
      <c r="E11" s="2905"/>
      <c r="F11" s="2905"/>
      <c r="G11" s="2905"/>
      <c r="H11" s="2905"/>
      <c r="I11" s="2906"/>
      <c r="J11" s="2907"/>
      <c r="K11" s="2905"/>
      <c r="L11" s="2905"/>
      <c r="M11" s="2905"/>
      <c r="N11" s="2905"/>
      <c r="O11" s="2905"/>
      <c r="P11" s="2905"/>
      <c r="Q11" s="2906"/>
      <c r="R11" s="2911"/>
      <c r="S11" s="2905"/>
      <c r="T11" s="2905"/>
      <c r="U11" s="2905"/>
      <c r="V11" s="2905"/>
      <c r="W11" s="2905"/>
      <c r="X11" s="2905"/>
      <c r="Y11" s="2906"/>
      <c r="Z11" s="2911"/>
      <c r="AA11" s="2905"/>
      <c r="AB11" s="2905"/>
      <c r="AC11" s="2905"/>
      <c r="AD11" s="2905"/>
      <c r="AE11" s="2905"/>
      <c r="AF11" s="2905"/>
      <c r="AG11" s="2905"/>
      <c r="AH11" s="2911"/>
      <c r="AI11" s="2905"/>
      <c r="AJ11" s="2905"/>
      <c r="AK11" s="2905"/>
      <c r="AL11" s="2905"/>
      <c r="AM11" s="2905"/>
      <c r="AN11" s="2905"/>
      <c r="AO11" s="2912"/>
      <c r="AP11" s="817"/>
      <c r="AQ11" s="817"/>
      <c r="AR11" s="817"/>
      <c r="AS11" s="817"/>
      <c r="AT11" s="817"/>
      <c r="AU11" s="817"/>
      <c r="AV11" s="817"/>
      <c r="AW11" s="817"/>
      <c r="AX11" s="817"/>
      <c r="AY11" s="817"/>
    </row>
    <row r="12" spans="1:55" s="26" customFormat="1" ht="20.100000000000001" customHeight="1">
      <c r="A12" s="817"/>
      <c r="B12" s="2904"/>
      <c r="C12" s="2905"/>
      <c r="D12" s="2905"/>
      <c r="E12" s="2905"/>
      <c r="F12" s="2905"/>
      <c r="G12" s="2905"/>
      <c r="H12" s="2905"/>
      <c r="I12" s="2906"/>
      <c r="J12" s="2907"/>
      <c r="K12" s="2905"/>
      <c r="L12" s="2905"/>
      <c r="M12" s="2905"/>
      <c r="N12" s="2905"/>
      <c r="O12" s="2905"/>
      <c r="P12" s="2905"/>
      <c r="Q12" s="2906"/>
      <c r="R12" s="2911"/>
      <c r="S12" s="2905"/>
      <c r="T12" s="2905"/>
      <c r="U12" s="2905"/>
      <c r="V12" s="2905"/>
      <c r="W12" s="2905"/>
      <c r="X12" s="2905"/>
      <c r="Y12" s="2906"/>
      <c r="Z12" s="2911"/>
      <c r="AA12" s="2905"/>
      <c r="AB12" s="2905"/>
      <c r="AC12" s="2905"/>
      <c r="AD12" s="2905"/>
      <c r="AE12" s="2905"/>
      <c r="AF12" s="2905"/>
      <c r="AG12" s="2905"/>
      <c r="AH12" s="2911"/>
      <c r="AI12" s="2905"/>
      <c r="AJ12" s="2905"/>
      <c r="AK12" s="2905"/>
      <c r="AL12" s="2905"/>
      <c r="AM12" s="2905"/>
      <c r="AN12" s="2905"/>
      <c r="AO12" s="2912"/>
      <c r="AP12" s="817"/>
      <c r="AQ12" s="817"/>
      <c r="AR12" s="817"/>
      <c r="AS12" s="817"/>
      <c r="AT12" s="817"/>
      <c r="AU12" s="817"/>
      <c r="AV12" s="817"/>
      <c r="AW12" s="817"/>
      <c r="AX12" s="817"/>
      <c r="AY12" s="817"/>
    </row>
    <row r="13" spans="1:55" s="26" customFormat="1" ht="20.100000000000001" customHeight="1">
      <c r="A13" s="817"/>
      <c r="B13" s="2904"/>
      <c r="C13" s="2905"/>
      <c r="D13" s="2905"/>
      <c r="E13" s="2905"/>
      <c r="F13" s="2905"/>
      <c r="G13" s="2905"/>
      <c r="H13" s="2905"/>
      <c r="I13" s="2906"/>
      <c r="J13" s="2907"/>
      <c r="K13" s="2905"/>
      <c r="L13" s="2905"/>
      <c r="M13" s="2905"/>
      <c r="N13" s="2905"/>
      <c r="O13" s="2905"/>
      <c r="P13" s="2905"/>
      <c r="Q13" s="2906"/>
      <c r="R13" s="2911"/>
      <c r="S13" s="2905"/>
      <c r="T13" s="2905"/>
      <c r="U13" s="2905"/>
      <c r="V13" s="2905"/>
      <c r="W13" s="2905"/>
      <c r="X13" s="2905"/>
      <c r="Y13" s="2906"/>
      <c r="Z13" s="2911"/>
      <c r="AA13" s="2905"/>
      <c r="AB13" s="2905"/>
      <c r="AC13" s="2905"/>
      <c r="AD13" s="2905"/>
      <c r="AE13" s="2905"/>
      <c r="AF13" s="2905"/>
      <c r="AG13" s="2905"/>
      <c r="AH13" s="2911"/>
      <c r="AI13" s="2905"/>
      <c r="AJ13" s="2905"/>
      <c r="AK13" s="2905"/>
      <c r="AL13" s="2905"/>
      <c r="AM13" s="2905"/>
      <c r="AN13" s="2905"/>
      <c r="AO13" s="2912"/>
      <c r="AP13" s="817"/>
      <c r="AQ13" s="817"/>
      <c r="AR13" s="817"/>
      <c r="AS13" s="817"/>
      <c r="AT13" s="817"/>
      <c r="AU13" s="817"/>
      <c r="AV13" s="817"/>
      <c r="AW13" s="817"/>
      <c r="AX13" s="817"/>
      <c r="AY13" s="817"/>
    </row>
    <row r="14" spans="1:55" s="26" customFormat="1" ht="20.100000000000001" customHeight="1">
      <c r="A14" s="817"/>
      <c r="B14" s="2904"/>
      <c r="C14" s="2905"/>
      <c r="D14" s="2905"/>
      <c r="E14" s="2905"/>
      <c r="F14" s="2905"/>
      <c r="G14" s="2905"/>
      <c r="H14" s="2905"/>
      <c r="I14" s="2906"/>
      <c r="J14" s="2907"/>
      <c r="K14" s="2905"/>
      <c r="L14" s="2905"/>
      <c r="M14" s="2905"/>
      <c r="N14" s="2905"/>
      <c r="O14" s="2905"/>
      <c r="P14" s="2905"/>
      <c r="Q14" s="2906"/>
      <c r="R14" s="2911"/>
      <c r="S14" s="2905"/>
      <c r="T14" s="2905"/>
      <c r="U14" s="2905"/>
      <c r="V14" s="2905"/>
      <c r="W14" s="2905"/>
      <c r="X14" s="2905"/>
      <c r="Y14" s="2906"/>
      <c r="Z14" s="2911"/>
      <c r="AA14" s="2905"/>
      <c r="AB14" s="2905"/>
      <c r="AC14" s="2905"/>
      <c r="AD14" s="2905"/>
      <c r="AE14" s="2905"/>
      <c r="AF14" s="2905"/>
      <c r="AG14" s="2905"/>
      <c r="AH14" s="2911"/>
      <c r="AI14" s="2905"/>
      <c r="AJ14" s="2905"/>
      <c r="AK14" s="2905"/>
      <c r="AL14" s="2905"/>
      <c r="AM14" s="2905"/>
      <c r="AN14" s="2905"/>
      <c r="AO14" s="2912"/>
      <c r="AP14" s="817"/>
      <c r="AQ14" s="817"/>
      <c r="AR14" s="817"/>
      <c r="AS14" s="817"/>
      <c r="AT14" s="817"/>
      <c r="AU14" s="817"/>
      <c r="AV14" s="817"/>
      <c r="AW14" s="817"/>
      <c r="AX14" s="817"/>
      <c r="AY14" s="817"/>
    </row>
    <row r="15" spans="1:55" s="26" customFormat="1" ht="20.100000000000001" customHeight="1">
      <c r="A15" s="817"/>
      <c r="B15" s="2904"/>
      <c r="C15" s="2905"/>
      <c r="D15" s="2905"/>
      <c r="E15" s="2905"/>
      <c r="F15" s="2905"/>
      <c r="G15" s="2905"/>
      <c r="H15" s="2905"/>
      <c r="I15" s="2906"/>
      <c r="J15" s="2907"/>
      <c r="K15" s="2905"/>
      <c r="L15" s="2905"/>
      <c r="M15" s="2905"/>
      <c r="N15" s="2905"/>
      <c r="O15" s="2905"/>
      <c r="P15" s="2905"/>
      <c r="Q15" s="2906"/>
      <c r="R15" s="2911"/>
      <c r="S15" s="2905"/>
      <c r="T15" s="2905"/>
      <c r="U15" s="2905"/>
      <c r="V15" s="2905"/>
      <c r="W15" s="2905"/>
      <c r="X15" s="2905"/>
      <c r="Y15" s="2906"/>
      <c r="Z15" s="2911"/>
      <c r="AA15" s="2905"/>
      <c r="AB15" s="2905"/>
      <c r="AC15" s="2905"/>
      <c r="AD15" s="2905"/>
      <c r="AE15" s="2905"/>
      <c r="AF15" s="2905"/>
      <c r="AG15" s="2905"/>
      <c r="AH15" s="2911"/>
      <c r="AI15" s="2905"/>
      <c r="AJ15" s="2905"/>
      <c r="AK15" s="2905"/>
      <c r="AL15" s="2905"/>
      <c r="AM15" s="2905"/>
      <c r="AN15" s="2905"/>
      <c r="AO15" s="2912"/>
      <c r="AP15" s="817"/>
      <c r="AQ15" s="817"/>
      <c r="AR15" s="817"/>
      <c r="AS15" s="817"/>
      <c r="AT15" s="817"/>
      <c r="AU15" s="817"/>
      <c r="AV15" s="817"/>
      <c r="AW15" s="817"/>
      <c r="AX15" s="817"/>
      <c r="AY15" s="817"/>
    </row>
    <row r="16" spans="1:55" s="26" customFormat="1" ht="20.100000000000001" customHeight="1" thickBot="1">
      <c r="A16" s="817"/>
      <c r="B16" s="2913"/>
      <c r="C16" s="2914"/>
      <c r="D16" s="2914"/>
      <c r="E16" s="2914"/>
      <c r="F16" s="2914"/>
      <c r="G16" s="2914"/>
      <c r="H16" s="2914"/>
      <c r="I16" s="2915"/>
      <c r="J16" s="2916"/>
      <c r="K16" s="2914"/>
      <c r="L16" s="2914"/>
      <c r="M16" s="2914"/>
      <c r="N16" s="2914"/>
      <c r="O16" s="2914"/>
      <c r="P16" s="2914"/>
      <c r="Q16" s="2915"/>
      <c r="R16" s="2920"/>
      <c r="S16" s="2914"/>
      <c r="T16" s="2914"/>
      <c r="U16" s="2914"/>
      <c r="V16" s="2914"/>
      <c r="W16" s="2914"/>
      <c r="X16" s="2914"/>
      <c r="Y16" s="2915"/>
      <c r="Z16" s="2920"/>
      <c r="AA16" s="2914"/>
      <c r="AB16" s="2914"/>
      <c r="AC16" s="2914"/>
      <c r="AD16" s="2914"/>
      <c r="AE16" s="2914"/>
      <c r="AF16" s="2914"/>
      <c r="AG16" s="2914"/>
      <c r="AH16" s="2920"/>
      <c r="AI16" s="2914"/>
      <c r="AJ16" s="2914"/>
      <c r="AK16" s="2914"/>
      <c r="AL16" s="2914"/>
      <c r="AM16" s="2914"/>
      <c r="AN16" s="2914"/>
      <c r="AO16" s="2921"/>
      <c r="AP16" s="817"/>
      <c r="AQ16" s="817"/>
      <c r="AR16" s="817"/>
      <c r="AS16" s="817"/>
      <c r="AT16" s="817"/>
      <c r="AU16" s="817"/>
      <c r="AV16" s="817"/>
      <c r="AW16" s="817"/>
      <c r="AX16" s="817"/>
      <c r="AY16" s="817"/>
    </row>
    <row r="17" spans="1:60" s="149" customFormat="1">
      <c r="A17" s="817"/>
      <c r="B17" s="840" t="s">
        <v>47</v>
      </c>
      <c r="C17" s="3003" t="s">
        <v>1266</v>
      </c>
      <c r="D17" s="3003"/>
      <c r="E17" s="3003"/>
      <c r="F17" s="3003"/>
      <c r="G17" s="3003"/>
      <c r="H17" s="3003"/>
      <c r="I17" s="3003"/>
      <c r="J17" s="3003"/>
      <c r="K17" s="3003"/>
      <c r="L17" s="3003"/>
      <c r="M17" s="3003"/>
      <c r="N17" s="3003"/>
      <c r="O17" s="3003"/>
      <c r="P17" s="3003"/>
      <c r="Q17" s="3003"/>
      <c r="R17" s="3003"/>
      <c r="S17" s="3003"/>
      <c r="T17" s="3003"/>
      <c r="U17" s="3003"/>
      <c r="V17" s="3003"/>
      <c r="W17" s="3003"/>
      <c r="X17" s="3003"/>
      <c r="Y17" s="3003"/>
      <c r="Z17" s="3003"/>
      <c r="AA17" s="3003"/>
      <c r="AB17" s="3003"/>
      <c r="AC17" s="3003"/>
      <c r="AD17" s="3003"/>
      <c r="AE17" s="3003"/>
      <c r="AF17" s="3003"/>
      <c r="AG17" s="3003"/>
      <c r="AH17" s="3003"/>
      <c r="AI17" s="3003"/>
      <c r="AJ17" s="3003"/>
      <c r="AK17" s="3003"/>
      <c r="AL17" s="3003"/>
      <c r="AM17" s="3003"/>
      <c r="AN17" s="3003"/>
      <c r="AO17" s="3003"/>
      <c r="AP17" s="817"/>
      <c r="AQ17" s="817"/>
      <c r="AR17" s="817"/>
      <c r="AS17" s="817"/>
      <c r="AT17" s="817"/>
      <c r="AU17" s="817"/>
      <c r="AV17" s="817"/>
      <c r="AW17" s="817"/>
      <c r="AX17" s="817"/>
      <c r="AY17" s="817"/>
      <c r="AZ17" s="26"/>
      <c r="BA17" s="26"/>
      <c r="BB17" s="26"/>
      <c r="BC17" s="26"/>
      <c r="BD17" s="26"/>
      <c r="BE17" s="26"/>
      <c r="BF17" s="26"/>
      <c r="BG17" s="26"/>
      <c r="BH17" s="26"/>
    </row>
    <row r="18" spans="1:60" s="149" customFormat="1">
      <c r="A18" s="817"/>
      <c r="B18" s="841"/>
      <c r="C18" s="842" t="s">
        <v>276</v>
      </c>
      <c r="D18" s="2954" t="s">
        <v>1770</v>
      </c>
      <c r="E18" s="2954"/>
      <c r="F18" s="2954"/>
      <c r="G18" s="2954"/>
      <c r="H18" s="2954"/>
      <c r="I18" s="2954"/>
      <c r="J18" s="2954"/>
      <c r="K18" s="2954"/>
      <c r="L18" s="2954"/>
      <c r="M18" s="2954"/>
      <c r="N18" s="2954"/>
      <c r="O18" s="2954"/>
      <c r="P18" s="2954"/>
      <c r="Q18" s="2954"/>
      <c r="R18" s="2954"/>
      <c r="S18" s="2954"/>
      <c r="T18" s="2954"/>
      <c r="U18" s="2954"/>
      <c r="V18" s="2954"/>
      <c r="W18" s="2954"/>
      <c r="X18" s="2954"/>
      <c r="Y18" s="2954"/>
      <c r="Z18" s="2954"/>
      <c r="AA18" s="2954"/>
      <c r="AB18" s="2954"/>
      <c r="AC18" s="2954"/>
      <c r="AD18" s="2954"/>
      <c r="AE18" s="2954"/>
      <c r="AF18" s="2954"/>
      <c r="AG18" s="2954"/>
      <c r="AH18" s="2954"/>
      <c r="AI18" s="2954"/>
      <c r="AJ18" s="2954"/>
      <c r="AK18" s="2954"/>
      <c r="AL18" s="2954"/>
      <c r="AM18" s="2954"/>
      <c r="AN18" s="2954"/>
      <c r="AO18" s="2954"/>
      <c r="AP18" s="817"/>
      <c r="AQ18" s="817"/>
      <c r="AR18" s="817"/>
      <c r="AS18" s="817"/>
      <c r="AT18" s="817"/>
      <c r="AU18" s="817"/>
      <c r="AV18" s="817"/>
      <c r="AW18" s="817"/>
      <c r="AX18" s="817"/>
      <c r="AY18" s="817"/>
      <c r="AZ18" s="26"/>
      <c r="BA18" s="26"/>
      <c r="BB18" s="26"/>
      <c r="BC18" s="26"/>
      <c r="BD18" s="26"/>
      <c r="BE18" s="26"/>
      <c r="BF18" s="26"/>
      <c r="BG18" s="26"/>
      <c r="BH18" s="26"/>
    </row>
    <row r="19" spans="1:60" s="149" customFormat="1">
      <c r="A19" s="817"/>
      <c r="B19" s="841"/>
      <c r="C19" s="842" t="s">
        <v>277</v>
      </c>
      <c r="D19" s="2954" t="s">
        <v>1771</v>
      </c>
      <c r="E19" s="2954"/>
      <c r="F19" s="2954"/>
      <c r="G19" s="2954"/>
      <c r="H19" s="2954"/>
      <c r="I19" s="2954"/>
      <c r="J19" s="2954"/>
      <c r="K19" s="2954"/>
      <c r="L19" s="2954"/>
      <c r="M19" s="2954"/>
      <c r="N19" s="2954"/>
      <c r="O19" s="2954"/>
      <c r="P19" s="2954"/>
      <c r="Q19" s="2954"/>
      <c r="R19" s="2954"/>
      <c r="S19" s="2954"/>
      <c r="T19" s="2954"/>
      <c r="U19" s="2954"/>
      <c r="V19" s="2954"/>
      <c r="W19" s="2954"/>
      <c r="X19" s="2954"/>
      <c r="Y19" s="2954"/>
      <c r="Z19" s="2954"/>
      <c r="AA19" s="2954"/>
      <c r="AB19" s="2954"/>
      <c r="AC19" s="2954"/>
      <c r="AD19" s="2954"/>
      <c r="AE19" s="2954"/>
      <c r="AF19" s="2954"/>
      <c r="AG19" s="2954"/>
      <c r="AH19" s="2954"/>
      <c r="AI19" s="2954"/>
      <c r="AJ19" s="2954"/>
      <c r="AK19" s="2954"/>
      <c r="AL19" s="2954"/>
      <c r="AM19" s="2954"/>
      <c r="AN19" s="2954"/>
      <c r="AO19" s="2954"/>
      <c r="AP19" s="817"/>
      <c r="AQ19" s="817"/>
      <c r="AR19" s="817"/>
      <c r="AS19" s="817"/>
      <c r="AT19" s="817"/>
      <c r="AU19" s="817"/>
      <c r="AV19" s="817"/>
      <c r="AW19" s="817"/>
      <c r="AX19" s="817"/>
      <c r="AY19" s="817"/>
      <c r="AZ19" s="26"/>
      <c r="BA19" s="26"/>
      <c r="BB19" s="26"/>
      <c r="BC19" s="26"/>
      <c r="BD19" s="26"/>
      <c r="BE19" s="26"/>
      <c r="BF19" s="26"/>
      <c r="BG19" s="26"/>
      <c r="BH19" s="26"/>
    </row>
    <row r="20" spans="1:60" s="150" customFormat="1">
      <c r="A20" s="843"/>
      <c r="B20" s="844" t="s">
        <v>48</v>
      </c>
      <c r="C20" s="3004" t="s">
        <v>1657</v>
      </c>
      <c r="D20" s="3004"/>
      <c r="E20" s="3004"/>
      <c r="F20" s="3004"/>
      <c r="G20" s="3004"/>
      <c r="H20" s="3004"/>
      <c r="I20" s="3004"/>
      <c r="J20" s="3004"/>
      <c r="K20" s="3004"/>
      <c r="L20" s="3004"/>
      <c r="M20" s="3004"/>
      <c r="N20" s="3004"/>
      <c r="O20" s="3004"/>
      <c r="P20" s="3004"/>
      <c r="Q20" s="3004"/>
      <c r="R20" s="3004"/>
      <c r="S20" s="3004"/>
      <c r="T20" s="3004"/>
      <c r="U20" s="3004"/>
      <c r="V20" s="3004"/>
      <c r="W20" s="3004"/>
      <c r="X20" s="3004"/>
      <c r="Y20" s="3004"/>
      <c r="Z20" s="3004"/>
      <c r="AA20" s="3004"/>
      <c r="AB20" s="3004"/>
      <c r="AC20" s="3004"/>
      <c r="AD20" s="3004"/>
      <c r="AE20" s="3004"/>
      <c r="AF20" s="3004"/>
      <c r="AG20" s="3004"/>
      <c r="AH20" s="3004"/>
      <c r="AI20" s="3004"/>
      <c r="AJ20" s="3004"/>
      <c r="AK20" s="3004"/>
      <c r="AL20" s="3004"/>
      <c r="AM20" s="3004"/>
      <c r="AN20" s="3004"/>
      <c r="AO20" s="3004"/>
      <c r="AP20" s="843"/>
      <c r="AQ20" s="843"/>
      <c r="AR20" s="843"/>
      <c r="AS20" s="843"/>
      <c r="AT20" s="843"/>
      <c r="AU20" s="843"/>
      <c r="AV20" s="843"/>
      <c r="AW20" s="843"/>
      <c r="AX20" s="843"/>
      <c r="AY20" s="843"/>
      <c r="AZ20" s="162"/>
      <c r="BA20" s="162"/>
      <c r="BB20" s="162"/>
      <c r="BC20" s="162"/>
      <c r="BD20" s="162"/>
      <c r="BE20" s="162"/>
      <c r="BF20" s="162"/>
      <c r="BG20" s="162"/>
      <c r="BH20" s="162"/>
    </row>
    <row r="21" spans="1:60" s="26" customFormat="1">
      <c r="A21" s="829"/>
      <c r="B21" s="830" t="s">
        <v>49</v>
      </c>
      <c r="C21" s="2977" t="s">
        <v>1765</v>
      </c>
      <c r="D21" s="2977"/>
      <c r="E21" s="2977"/>
      <c r="F21" s="2977"/>
      <c r="G21" s="2977"/>
      <c r="H21" s="2977"/>
      <c r="I21" s="2977"/>
      <c r="J21" s="2977"/>
      <c r="K21" s="2977"/>
      <c r="L21" s="2977"/>
      <c r="M21" s="2977"/>
      <c r="N21" s="2977"/>
      <c r="O21" s="2977"/>
      <c r="P21" s="2977"/>
      <c r="Q21" s="2977"/>
      <c r="R21" s="2977"/>
      <c r="S21" s="2977"/>
      <c r="T21" s="2977"/>
      <c r="U21" s="2977"/>
      <c r="V21" s="2977"/>
      <c r="W21" s="2977"/>
      <c r="X21" s="2977"/>
      <c r="Y21" s="2977"/>
      <c r="Z21" s="2977"/>
      <c r="AA21" s="2977"/>
      <c r="AB21" s="2977"/>
      <c r="AC21" s="2977"/>
      <c r="AD21" s="2977"/>
      <c r="AE21" s="2977"/>
      <c r="AF21" s="2977"/>
      <c r="AG21" s="2977"/>
      <c r="AH21" s="2977"/>
      <c r="AI21" s="2977"/>
      <c r="AJ21" s="2977"/>
      <c r="AK21" s="2977"/>
      <c r="AL21" s="2977"/>
      <c r="AM21" s="2977"/>
      <c r="AN21" s="2977"/>
      <c r="AO21" s="2977"/>
      <c r="AP21" s="845"/>
      <c r="AQ21" s="845"/>
      <c r="AR21" s="845"/>
      <c r="AS21" s="845"/>
      <c r="AT21" s="845"/>
      <c r="AU21" s="845"/>
      <c r="AV21" s="845"/>
      <c r="AW21" s="845"/>
      <c r="AX21" s="845"/>
      <c r="AY21" s="845"/>
    </row>
    <row r="22" spans="1:60" s="150" customFormat="1">
      <c r="A22" s="843"/>
      <c r="B22" s="844" t="s">
        <v>50</v>
      </c>
      <c r="C22" s="3004" t="s">
        <v>1772</v>
      </c>
      <c r="D22" s="3004"/>
      <c r="E22" s="3004"/>
      <c r="F22" s="3004"/>
      <c r="G22" s="3004"/>
      <c r="H22" s="3004"/>
      <c r="I22" s="3004"/>
      <c r="J22" s="3004"/>
      <c r="K22" s="3004"/>
      <c r="L22" s="3004"/>
      <c r="M22" s="3004"/>
      <c r="N22" s="3004"/>
      <c r="O22" s="3004"/>
      <c r="P22" s="3004"/>
      <c r="Q22" s="3004"/>
      <c r="R22" s="3004"/>
      <c r="S22" s="3004"/>
      <c r="T22" s="3004"/>
      <c r="U22" s="3004"/>
      <c r="V22" s="3004"/>
      <c r="W22" s="3004"/>
      <c r="X22" s="3004"/>
      <c r="Y22" s="3004"/>
      <c r="Z22" s="3004"/>
      <c r="AA22" s="3004"/>
      <c r="AB22" s="3004"/>
      <c r="AC22" s="3004"/>
      <c r="AD22" s="3004"/>
      <c r="AE22" s="3004"/>
      <c r="AF22" s="3004"/>
      <c r="AG22" s="3004"/>
      <c r="AH22" s="3004"/>
      <c r="AI22" s="3004"/>
      <c r="AJ22" s="3004"/>
      <c r="AK22" s="3004"/>
      <c r="AL22" s="3004"/>
      <c r="AM22" s="3004"/>
      <c r="AN22" s="3004"/>
      <c r="AO22" s="3004"/>
      <c r="AP22" s="843"/>
      <c r="AQ22" s="843"/>
      <c r="AR22" s="843"/>
      <c r="AS22" s="843"/>
      <c r="AT22" s="843"/>
      <c r="AU22" s="843"/>
      <c r="AV22" s="843"/>
      <c r="AW22" s="843"/>
      <c r="AX22" s="843"/>
      <c r="AY22" s="843"/>
      <c r="AZ22" s="162"/>
      <c r="BA22" s="162"/>
      <c r="BB22" s="162"/>
      <c r="BC22" s="162"/>
      <c r="BD22" s="162"/>
      <c r="BE22" s="162"/>
      <c r="BF22" s="162"/>
      <c r="BG22" s="162"/>
      <c r="BH22" s="162"/>
    </row>
    <row r="23" spans="1:60" s="150" customFormat="1">
      <c r="A23" s="843"/>
      <c r="B23" s="844" t="s">
        <v>51</v>
      </c>
      <c r="C23" s="3004" t="s">
        <v>1658</v>
      </c>
      <c r="D23" s="3004"/>
      <c r="E23" s="3004"/>
      <c r="F23" s="3004"/>
      <c r="G23" s="3004"/>
      <c r="H23" s="3004"/>
      <c r="I23" s="3004"/>
      <c r="J23" s="3004"/>
      <c r="K23" s="3004"/>
      <c r="L23" s="3004"/>
      <c r="M23" s="3004"/>
      <c r="N23" s="3004"/>
      <c r="O23" s="3004"/>
      <c r="P23" s="3004"/>
      <c r="Q23" s="3004"/>
      <c r="R23" s="3004"/>
      <c r="S23" s="3004"/>
      <c r="T23" s="3004"/>
      <c r="U23" s="3004"/>
      <c r="V23" s="3004"/>
      <c r="W23" s="3004"/>
      <c r="X23" s="3004"/>
      <c r="Y23" s="3004"/>
      <c r="Z23" s="3004"/>
      <c r="AA23" s="3004"/>
      <c r="AB23" s="3004"/>
      <c r="AC23" s="3004"/>
      <c r="AD23" s="3004"/>
      <c r="AE23" s="3004"/>
      <c r="AF23" s="3004"/>
      <c r="AG23" s="3004"/>
      <c r="AH23" s="3004"/>
      <c r="AI23" s="3004"/>
      <c r="AJ23" s="3004"/>
      <c r="AK23" s="3004"/>
      <c r="AL23" s="3004"/>
      <c r="AM23" s="3004"/>
      <c r="AN23" s="3004"/>
      <c r="AO23" s="3004"/>
      <c r="AP23" s="843"/>
      <c r="AQ23" s="843"/>
      <c r="AR23" s="843"/>
      <c r="AS23" s="843"/>
      <c r="AT23" s="843"/>
      <c r="AU23" s="843"/>
      <c r="AV23" s="843"/>
      <c r="AW23" s="843"/>
      <c r="AX23" s="843"/>
      <c r="AY23" s="843"/>
      <c r="AZ23" s="162"/>
      <c r="BA23" s="162"/>
      <c r="BB23" s="162"/>
      <c r="BC23" s="162"/>
      <c r="BD23" s="162"/>
      <c r="BE23" s="162"/>
      <c r="BF23" s="162"/>
      <c r="BG23" s="162"/>
      <c r="BH23" s="162"/>
    </row>
    <row r="24" spans="1:60" s="150" customFormat="1" ht="14.45" customHeight="1">
      <c r="A24" s="843"/>
      <c r="B24" s="846"/>
      <c r="C24" s="843"/>
      <c r="D24" s="847"/>
      <c r="E24" s="843"/>
      <c r="F24" s="843"/>
      <c r="G24" s="843"/>
      <c r="H24" s="843"/>
      <c r="I24" s="843"/>
      <c r="J24" s="843"/>
      <c r="K24" s="843"/>
      <c r="L24" s="843"/>
      <c r="M24" s="843"/>
      <c r="N24" s="843"/>
      <c r="O24" s="843"/>
      <c r="P24" s="843"/>
      <c r="Q24" s="843"/>
      <c r="R24" s="843"/>
      <c r="S24" s="843"/>
      <c r="T24" s="843"/>
      <c r="U24" s="843"/>
      <c r="V24" s="843"/>
      <c r="W24" s="843"/>
      <c r="X24" s="843"/>
      <c r="Y24" s="843"/>
      <c r="Z24" s="843"/>
      <c r="AA24" s="843"/>
      <c r="AB24" s="843"/>
      <c r="AC24" s="843"/>
      <c r="AD24" s="843"/>
      <c r="AE24" s="843"/>
      <c r="AF24" s="843"/>
      <c r="AG24" s="843"/>
      <c r="AH24" s="843"/>
      <c r="AI24" s="843"/>
      <c r="AJ24" s="843"/>
      <c r="AK24" s="843"/>
      <c r="AL24" s="843"/>
      <c r="AM24" s="843"/>
      <c r="AN24" s="843"/>
      <c r="AO24" s="843"/>
      <c r="AP24" s="843"/>
      <c r="AQ24" s="843"/>
      <c r="AR24" s="843"/>
      <c r="AS24" s="843"/>
      <c r="AT24" s="843"/>
      <c r="AU24" s="843"/>
      <c r="AV24" s="843"/>
      <c r="AW24" s="843"/>
      <c r="AX24" s="843"/>
      <c r="AY24" s="843"/>
      <c r="AZ24" s="162"/>
      <c r="BA24" s="162"/>
      <c r="BB24" s="162"/>
      <c r="BC24" s="162"/>
      <c r="BD24" s="162"/>
      <c r="BE24" s="162"/>
      <c r="BF24" s="162"/>
      <c r="BG24" s="162"/>
      <c r="BH24" s="162"/>
    </row>
    <row r="25" spans="1:60" s="148" customFormat="1" ht="18.75">
      <c r="A25" s="834"/>
      <c r="B25" s="838" t="s">
        <v>1773</v>
      </c>
      <c r="C25" s="838"/>
      <c r="D25" s="838"/>
      <c r="E25" s="838"/>
      <c r="F25" s="838"/>
      <c r="G25" s="838"/>
      <c r="H25" s="838"/>
      <c r="I25" s="838"/>
      <c r="J25" s="838"/>
      <c r="K25" s="838"/>
      <c r="L25" s="838"/>
      <c r="M25" s="838"/>
      <c r="N25" s="838"/>
      <c r="O25" s="838"/>
      <c r="P25" s="838"/>
      <c r="Q25" s="838"/>
      <c r="R25" s="838"/>
      <c r="S25" s="838"/>
      <c r="T25" s="838"/>
      <c r="U25" s="838"/>
      <c r="V25" s="838"/>
      <c r="W25" s="838"/>
      <c r="X25" s="838"/>
      <c r="Y25" s="838"/>
      <c r="Z25" s="838"/>
      <c r="AA25" s="838"/>
      <c r="AB25" s="838"/>
      <c r="AC25" s="838"/>
      <c r="AD25" s="838"/>
      <c r="AE25" s="838"/>
      <c r="AF25" s="838"/>
      <c r="AG25" s="838"/>
      <c r="AH25" s="838"/>
      <c r="AI25" s="838"/>
      <c r="AJ25" s="838"/>
      <c r="AK25" s="838"/>
      <c r="AL25" s="838"/>
      <c r="AM25" s="838"/>
      <c r="AN25" s="838"/>
      <c r="AO25" s="838"/>
      <c r="AP25" s="838"/>
      <c r="AQ25" s="838"/>
      <c r="AR25" s="838"/>
      <c r="AS25" s="838"/>
      <c r="AT25" s="838"/>
      <c r="AU25" s="838"/>
      <c r="AV25" s="838"/>
      <c r="AW25" s="838"/>
      <c r="AX25" s="838"/>
      <c r="AY25" s="838"/>
    </row>
    <row r="26" spans="1:60" s="3" customFormat="1" ht="30.75" customHeight="1">
      <c r="A26" s="240"/>
      <c r="B26" s="274"/>
      <c r="C26" s="274"/>
      <c r="D26" s="274"/>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row>
    <row r="27" spans="1:60" s="37" customFormat="1">
      <c r="A27" s="263"/>
      <c r="B27" s="332" t="s">
        <v>32</v>
      </c>
      <c r="C27" s="263"/>
      <c r="D27" s="263"/>
      <c r="E27" s="263"/>
      <c r="F27" s="263"/>
      <c r="G27" s="263"/>
      <c r="H27" s="263"/>
      <c r="I27" s="263"/>
      <c r="J27" s="263"/>
      <c r="K27" s="263"/>
      <c r="L27" s="263"/>
      <c r="M27" s="263"/>
      <c r="N27" s="263"/>
      <c r="O27" s="263"/>
      <c r="P27" s="332" t="s">
        <v>444</v>
      </c>
      <c r="Q27" s="332"/>
      <c r="R27" s="263"/>
      <c r="S27" s="263"/>
      <c r="T27" s="263"/>
      <c r="U27" s="263"/>
      <c r="V27" s="263"/>
      <c r="W27" s="263"/>
      <c r="X27" s="263"/>
      <c r="Y27" s="263"/>
      <c r="Z27" s="263"/>
      <c r="AA27" s="263"/>
      <c r="AB27" s="263"/>
      <c r="AC27" s="263"/>
      <c r="AD27" s="332" t="s">
        <v>33</v>
      </c>
      <c r="AE27" s="263"/>
      <c r="AF27" s="263"/>
      <c r="AG27" s="263"/>
      <c r="AH27" s="263"/>
      <c r="AI27" s="263"/>
      <c r="AJ27" s="263"/>
      <c r="AK27" s="263"/>
      <c r="AL27" s="263"/>
      <c r="AM27" s="263"/>
      <c r="AN27" s="263"/>
      <c r="AO27" s="263"/>
      <c r="AP27" s="263"/>
      <c r="AQ27" s="263"/>
      <c r="AR27" s="263"/>
      <c r="AS27" s="263"/>
      <c r="AT27" s="263"/>
      <c r="AU27" s="263"/>
      <c r="AV27" s="263"/>
      <c r="AW27" s="263"/>
      <c r="AX27" s="263"/>
      <c r="AY27" s="263"/>
    </row>
    <row r="28" spans="1:60" s="37" customFormat="1" ht="21.75" customHeight="1">
      <c r="A28" s="263"/>
      <c r="B28" s="332" t="s">
        <v>73</v>
      </c>
      <c r="C28" s="263"/>
      <c r="D28" s="263"/>
      <c r="E28" s="263"/>
      <c r="F28" s="2790" t="str">
        <f>activesheet!E21</f>
        <v>MELCHESIEDICK Q. BOLANIO / March 17, 2023</v>
      </c>
      <c r="G28" s="2790"/>
      <c r="H28" s="2790"/>
      <c r="I28" s="2790"/>
      <c r="J28" s="2790"/>
      <c r="K28" s="2790"/>
      <c r="L28" s="2790"/>
      <c r="M28" s="2790"/>
      <c r="N28" s="823"/>
      <c r="O28" s="263"/>
      <c r="P28" s="1819" t="str">
        <f>activesheet!E1922</f>
        <v>ANNE VALERIE KERSTEINE I. VILLANUEVA / March 17, 2023</v>
      </c>
      <c r="Q28" s="1819"/>
      <c r="R28" s="1819"/>
      <c r="S28" s="1819"/>
      <c r="T28" s="1819"/>
      <c r="U28" s="1819"/>
      <c r="V28" s="1819"/>
      <c r="W28" s="1819"/>
      <c r="X28" s="1819"/>
      <c r="Y28" s="1819"/>
      <c r="Z28" s="1819"/>
      <c r="AA28" s="1819"/>
      <c r="AB28" s="263"/>
      <c r="AC28" s="263"/>
      <c r="AD28" s="1819" t="str">
        <f>activesheet!E25</f>
        <v>MICHAEL T. JAMIS / March 17, 2023</v>
      </c>
      <c r="AE28" s="1819"/>
      <c r="AF28" s="1819"/>
      <c r="AG28" s="1819"/>
      <c r="AH28" s="1819"/>
      <c r="AI28" s="1819"/>
      <c r="AJ28" s="1819"/>
      <c r="AK28" s="1819"/>
      <c r="AL28" s="1819"/>
      <c r="AM28" s="1819"/>
      <c r="AN28" s="1819"/>
      <c r="AO28" s="1819"/>
      <c r="AP28" s="263"/>
      <c r="AQ28" s="263"/>
      <c r="AR28" s="263"/>
      <c r="AS28" s="263"/>
      <c r="AT28" s="263"/>
      <c r="AU28" s="263"/>
      <c r="AV28" s="263"/>
      <c r="AW28" s="263"/>
      <c r="AX28" s="263"/>
      <c r="AY28" s="263"/>
    </row>
    <row r="29" spans="1:60" s="39" customFormat="1">
      <c r="A29" s="280"/>
      <c r="B29" s="228"/>
      <c r="C29" s="280"/>
      <c r="D29" s="280"/>
      <c r="E29" s="280"/>
      <c r="F29" s="1811" t="s">
        <v>37</v>
      </c>
      <c r="G29" s="1811"/>
      <c r="H29" s="1811"/>
      <c r="I29" s="1811"/>
      <c r="J29" s="1811"/>
      <c r="K29" s="1811"/>
      <c r="L29" s="1811"/>
      <c r="M29" s="1811"/>
      <c r="N29" s="247"/>
      <c r="O29" s="228"/>
      <c r="P29" s="1820"/>
      <c r="Q29" s="1820"/>
      <c r="R29" s="1820"/>
      <c r="S29" s="1820"/>
      <c r="T29" s="1820"/>
      <c r="U29" s="1820"/>
      <c r="V29" s="1820"/>
      <c r="W29" s="1820"/>
      <c r="X29" s="1820"/>
      <c r="Y29" s="1820"/>
      <c r="Z29" s="1820"/>
      <c r="AA29" s="1820"/>
      <c r="AB29" s="263"/>
      <c r="AC29" s="263"/>
      <c r="AD29" s="1820"/>
      <c r="AE29" s="1820"/>
      <c r="AF29" s="1820"/>
      <c r="AG29" s="1820"/>
      <c r="AH29" s="1820"/>
      <c r="AI29" s="1820"/>
      <c r="AJ29" s="1820"/>
      <c r="AK29" s="1820"/>
      <c r="AL29" s="1820"/>
      <c r="AM29" s="1820"/>
      <c r="AN29" s="1820"/>
      <c r="AO29" s="1820"/>
      <c r="AP29" s="228"/>
      <c r="AQ29" s="280"/>
      <c r="AR29" s="280"/>
      <c r="AS29" s="280"/>
      <c r="AT29" s="280"/>
      <c r="AU29" s="280"/>
      <c r="AV29" s="280"/>
      <c r="AW29" s="280"/>
      <c r="AX29" s="280"/>
      <c r="AY29" s="280"/>
    </row>
    <row r="30" spans="1:60" s="37" customFormat="1" ht="21.75" customHeight="1">
      <c r="A30" s="263"/>
      <c r="B30" s="332" t="s">
        <v>58</v>
      </c>
      <c r="C30" s="263"/>
      <c r="D30" s="263"/>
      <c r="E30" s="263"/>
      <c r="F30" s="2790" t="str">
        <f>activesheet!E22</f>
        <v>SECONDARY SCHOOL PRINCIPAL IV</v>
      </c>
      <c r="G30" s="2790"/>
      <c r="H30" s="2790"/>
      <c r="I30" s="2790"/>
      <c r="J30" s="2790"/>
      <c r="K30" s="2790"/>
      <c r="L30" s="2790"/>
      <c r="M30" s="2790"/>
      <c r="N30" s="823"/>
      <c r="O30" s="263"/>
      <c r="P30" s="1811" t="s">
        <v>37</v>
      </c>
      <c r="Q30" s="1811"/>
      <c r="R30" s="1811"/>
      <c r="S30" s="1811"/>
      <c r="T30" s="1811"/>
      <c r="U30" s="1811"/>
      <c r="V30" s="1811"/>
      <c r="W30" s="1811"/>
      <c r="X30" s="1811"/>
      <c r="Y30" s="1811"/>
      <c r="Z30" s="1811"/>
      <c r="AA30" s="1811"/>
      <c r="AB30" s="322"/>
      <c r="AC30" s="321"/>
      <c r="AD30" s="1811" t="s">
        <v>37</v>
      </c>
      <c r="AE30" s="1811"/>
      <c r="AF30" s="1811"/>
      <c r="AG30" s="1811"/>
      <c r="AH30" s="1811"/>
      <c r="AI30" s="1811"/>
      <c r="AJ30" s="1811"/>
      <c r="AK30" s="1811"/>
      <c r="AL30" s="1811"/>
      <c r="AM30" s="1811"/>
      <c r="AN30" s="1811"/>
      <c r="AO30" s="228"/>
      <c r="AP30" s="263"/>
      <c r="AQ30" s="263"/>
      <c r="AR30" s="263"/>
      <c r="AS30" s="263"/>
      <c r="AT30" s="263"/>
      <c r="AU30" s="263"/>
      <c r="AV30" s="263"/>
      <c r="AW30" s="263"/>
      <c r="AX30" s="263"/>
      <c r="AY30" s="263"/>
    </row>
    <row r="31" spans="1:60">
      <c r="A31" s="599"/>
      <c r="B31" s="599"/>
      <c r="C31" s="599"/>
      <c r="D31" s="599"/>
      <c r="E31" s="599"/>
      <c r="F31" s="599"/>
      <c r="G31" s="599"/>
      <c r="H31" s="599"/>
      <c r="I31" s="599"/>
      <c r="J31" s="599"/>
      <c r="K31" s="599"/>
      <c r="L31" s="599"/>
      <c r="M31" s="599"/>
      <c r="N31" s="599"/>
      <c r="O31" s="599"/>
      <c r="P31" s="599"/>
      <c r="Q31" s="599"/>
      <c r="R31" s="599"/>
      <c r="S31" s="599"/>
      <c r="T31" s="599"/>
      <c r="U31" s="599"/>
      <c r="V31" s="599"/>
      <c r="W31" s="599"/>
      <c r="X31" s="599"/>
      <c r="Y31" s="599"/>
      <c r="Z31" s="599"/>
      <c r="AA31" s="599"/>
      <c r="AB31" s="263"/>
      <c r="AC31" s="263"/>
      <c r="AD31" s="599"/>
      <c r="AE31" s="599"/>
      <c r="AF31" s="599"/>
      <c r="AG31" s="599"/>
      <c r="AH31" s="599"/>
      <c r="AI31" s="599"/>
      <c r="AJ31" s="599"/>
      <c r="AK31" s="599"/>
      <c r="AL31" s="599"/>
      <c r="AM31" s="599"/>
      <c r="AN31" s="599"/>
      <c r="AO31" s="599"/>
      <c r="AP31" s="599"/>
      <c r="AQ31" s="599"/>
      <c r="AR31" s="599"/>
      <c r="AS31" s="599"/>
      <c r="AT31" s="599"/>
      <c r="AU31" s="599"/>
      <c r="AV31" s="599"/>
      <c r="AW31" s="599"/>
      <c r="AX31" s="599"/>
      <c r="AY31" s="599"/>
    </row>
    <row r="32" spans="1:60">
      <c r="A32" s="599"/>
      <c r="B32" s="599"/>
      <c r="C32" s="599"/>
      <c r="D32" s="599"/>
      <c r="E32" s="599"/>
      <c r="F32" s="599"/>
      <c r="G32" s="599"/>
      <c r="H32" s="599"/>
      <c r="I32" s="599"/>
      <c r="J32" s="599"/>
      <c r="K32" s="599"/>
      <c r="L32" s="599"/>
      <c r="M32" s="599"/>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599"/>
      <c r="AK32" s="599"/>
      <c r="AL32" s="599"/>
      <c r="AM32" s="599"/>
      <c r="AN32" s="599"/>
      <c r="AO32" s="599"/>
      <c r="AP32" s="599"/>
      <c r="AQ32" s="599"/>
      <c r="AR32" s="599"/>
      <c r="AS32" s="599"/>
      <c r="AT32" s="599"/>
      <c r="AU32" s="599"/>
      <c r="AV32" s="599"/>
      <c r="AW32" s="599"/>
      <c r="AX32" s="599"/>
      <c r="AY32" s="599"/>
    </row>
    <row r="33" spans="1:51">
      <c r="A33" s="599"/>
      <c r="B33" s="599"/>
      <c r="C33" s="599"/>
      <c r="D33" s="599"/>
      <c r="E33" s="599"/>
      <c r="F33" s="599"/>
      <c r="G33" s="599"/>
      <c r="H33" s="599"/>
      <c r="I33" s="599"/>
      <c r="J33" s="599"/>
      <c r="K33" s="599"/>
      <c r="L33" s="599"/>
      <c r="M33" s="599"/>
      <c r="N33" s="599"/>
      <c r="O33" s="599"/>
      <c r="P33" s="599"/>
      <c r="Q33" s="599"/>
      <c r="R33" s="599"/>
      <c r="S33" s="599"/>
      <c r="T33" s="599"/>
      <c r="U33" s="599"/>
      <c r="V33" s="599"/>
      <c r="W33" s="599"/>
      <c r="X33" s="599"/>
      <c r="Y33" s="599"/>
      <c r="Z33" s="599"/>
      <c r="AA33" s="599"/>
      <c r="AB33" s="599"/>
      <c r="AC33" s="599"/>
      <c r="AD33" s="599"/>
      <c r="AE33" s="599"/>
      <c r="AF33" s="599"/>
      <c r="AG33" s="599"/>
      <c r="AH33" s="599"/>
      <c r="AI33" s="599"/>
      <c r="AJ33" s="599"/>
      <c r="AK33" s="599"/>
      <c r="AL33" s="599"/>
      <c r="AM33" s="599"/>
      <c r="AN33" s="599"/>
      <c r="AO33" s="599"/>
      <c r="AP33" s="599"/>
      <c r="AQ33" s="599"/>
      <c r="AR33" s="599"/>
      <c r="AS33" s="599"/>
      <c r="AT33" s="599"/>
      <c r="AU33" s="599"/>
      <c r="AV33" s="599"/>
      <c r="AW33" s="599"/>
      <c r="AX33" s="599"/>
      <c r="AY33" s="599"/>
    </row>
    <row r="34" spans="1:51">
      <c r="A34" s="599"/>
      <c r="B34" s="599"/>
      <c r="C34" s="599"/>
      <c r="D34" s="599"/>
      <c r="E34" s="599"/>
      <c r="F34" s="599"/>
      <c r="G34" s="599"/>
      <c r="H34" s="599"/>
      <c r="I34" s="599"/>
      <c r="J34" s="599"/>
      <c r="K34" s="599"/>
      <c r="L34" s="599"/>
      <c r="M34" s="599"/>
      <c r="N34" s="599"/>
      <c r="O34" s="599"/>
      <c r="P34" s="599"/>
      <c r="Q34" s="599"/>
      <c r="R34" s="599"/>
      <c r="S34" s="599"/>
      <c r="T34" s="599"/>
      <c r="U34" s="599"/>
      <c r="V34" s="599"/>
      <c r="W34" s="599"/>
      <c r="X34" s="599"/>
      <c r="Y34" s="599"/>
      <c r="Z34" s="599"/>
      <c r="AA34" s="599"/>
      <c r="AB34" s="599"/>
      <c r="AC34" s="599"/>
      <c r="AD34" s="599"/>
      <c r="AE34" s="599"/>
      <c r="AF34" s="599"/>
      <c r="AG34" s="599"/>
      <c r="AH34" s="599"/>
      <c r="AI34" s="599"/>
      <c r="AJ34" s="599"/>
      <c r="AK34" s="599"/>
      <c r="AL34" s="599"/>
      <c r="AM34" s="599"/>
      <c r="AN34" s="599"/>
      <c r="AO34" s="599"/>
      <c r="AP34" s="599"/>
      <c r="AQ34" s="599"/>
      <c r="AR34" s="599"/>
      <c r="AS34" s="599"/>
      <c r="AT34" s="599"/>
      <c r="AU34" s="599"/>
      <c r="AV34" s="599"/>
      <c r="AW34" s="599"/>
      <c r="AX34" s="599"/>
      <c r="AY34" s="599"/>
    </row>
    <row r="35" spans="1:51">
      <c r="A35" s="599"/>
      <c r="B35" s="599"/>
      <c r="C35" s="599"/>
      <c r="D35" s="599"/>
      <c r="E35" s="599"/>
      <c r="F35" s="599"/>
      <c r="G35" s="599"/>
      <c r="H35" s="599"/>
      <c r="I35" s="599"/>
      <c r="J35" s="599"/>
      <c r="K35" s="599"/>
      <c r="L35" s="599"/>
      <c r="M35" s="599"/>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599"/>
      <c r="AK35" s="599"/>
      <c r="AL35" s="599"/>
      <c r="AM35" s="599"/>
      <c r="AN35" s="599"/>
      <c r="AO35" s="599"/>
      <c r="AP35" s="599"/>
      <c r="AQ35" s="599"/>
      <c r="AR35" s="599"/>
      <c r="AS35" s="599"/>
      <c r="AT35" s="599"/>
      <c r="AU35" s="599"/>
      <c r="AV35" s="599"/>
      <c r="AW35" s="599"/>
      <c r="AX35" s="599"/>
      <c r="AY35" s="599"/>
    </row>
    <row r="36" spans="1:51">
      <c r="A36" s="599"/>
      <c r="B36" s="599"/>
      <c r="C36" s="599"/>
      <c r="D36" s="599"/>
      <c r="E36" s="599"/>
      <c r="F36" s="599"/>
      <c r="G36" s="599"/>
      <c r="H36" s="599"/>
      <c r="I36" s="599"/>
      <c r="J36" s="599"/>
      <c r="K36" s="599"/>
      <c r="L36" s="599"/>
      <c r="M36" s="599"/>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599"/>
      <c r="AK36" s="599"/>
      <c r="AL36" s="599"/>
      <c r="AM36" s="599"/>
      <c r="AN36" s="599"/>
      <c r="AO36" s="599"/>
      <c r="AP36" s="599"/>
      <c r="AQ36" s="599"/>
      <c r="AR36" s="599"/>
      <c r="AS36" s="599"/>
      <c r="AT36" s="599"/>
      <c r="AU36" s="599"/>
      <c r="AV36" s="599"/>
      <c r="AW36" s="599"/>
      <c r="AX36" s="599"/>
      <c r="AY36" s="599"/>
    </row>
    <row r="37" spans="1:51">
      <c r="A37" s="599"/>
      <c r="B37" s="599"/>
      <c r="C37" s="599"/>
      <c r="D37" s="599"/>
      <c r="E37" s="599"/>
      <c r="F37" s="599"/>
      <c r="G37" s="599"/>
      <c r="H37" s="599"/>
      <c r="I37" s="599"/>
      <c r="J37" s="599"/>
      <c r="K37" s="599"/>
      <c r="L37" s="599"/>
      <c r="M37" s="599"/>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599"/>
      <c r="AK37" s="599"/>
      <c r="AL37" s="599"/>
      <c r="AM37" s="599"/>
      <c r="AN37" s="599"/>
      <c r="AO37" s="599"/>
      <c r="AP37" s="599"/>
      <c r="AQ37" s="599"/>
      <c r="AR37" s="599"/>
      <c r="AS37" s="599"/>
      <c r="AT37" s="599"/>
      <c r="AU37" s="599"/>
      <c r="AV37" s="599"/>
      <c r="AW37" s="599"/>
      <c r="AX37" s="599"/>
      <c r="AY37" s="599"/>
    </row>
    <row r="38" spans="1:51">
      <c r="A38" s="599"/>
      <c r="B38" s="599"/>
      <c r="C38" s="599"/>
      <c r="D38" s="599"/>
      <c r="E38" s="599"/>
      <c r="F38" s="599"/>
      <c r="G38" s="599"/>
      <c r="H38" s="599"/>
      <c r="I38" s="599"/>
      <c r="J38" s="599"/>
      <c r="K38" s="599"/>
      <c r="L38" s="599"/>
      <c r="M38" s="599"/>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599"/>
      <c r="AK38" s="599"/>
      <c r="AL38" s="599"/>
      <c r="AM38" s="599"/>
      <c r="AN38" s="599"/>
      <c r="AO38" s="599"/>
      <c r="AP38" s="599"/>
      <c r="AQ38" s="599"/>
      <c r="AR38" s="599"/>
      <c r="AS38" s="599"/>
      <c r="AT38" s="599"/>
      <c r="AU38" s="599"/>
      <c r="AV38" s="599"/>
      <c r="AW38" s="599"/>
      <c r="AX38" s="599"/>
      <c r="AY38" s="599"/>
    </row>
    <row r="39" spans="1:51">
      <c r="A39" s="599"/>
      <c r="B39" s="599"/>
      <c r="C39" s="599"/>
      <c r="D39" s="599"/>
      <c r="E39" s="599"/>
      <c r="F39" s="599"/>
      <c r="G39" s="599"/>
      <c r="H39" s="599"/>
      <c r="I39" s="599"/>
      <c r="J39" s="599"/>
      <c r="K39" s="599"/>
      <c r="L39" s="599"/>
      <c r="M39" s="599"/>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599"/>
      <c r="AK39" s="599"/>
      <c r="AL39" s="599"/>
      <c r="AM39" s="599"/>
      <c r="AN39" s="599"/>
      <c r="AO39" s="599"/>
      <c r="AP39" s="599"/>
      <c r="AQ39" s="599"/>
      <c r="AR39" s="599"/>
      <c r="AS39" s="599"/>
      <c r="AT39" s="599"/>
      <c r="AU39" s="599"/>
      <c r="AV39" s="599"/>
      <c r="AW39" s="599"/>
      <c r="AX39" s="599"/>
      <c r="AY39" s="599"/>
    </row>
    <row r="40" spans="1:51">
      <c r="A40" s="599"/>
      <c r="B40" s="599"/>
      <c r="C40" s="599"/>
      <c r="D40" s="599"/>
      <c r="E40" s="599"/>
      <c r="F40" s="599"/>
      <c r="G40" s="599"/>
      <c r="H40" s="599"/>
      <c r="I40" s="599"/>
      <c r="J40" s="599"/>
      <c r="K40" s="599"/>
      <c r="L40" s="599"/>
      <c r="M40" s="599"/>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599"/>
      <c r="AK40" s="599"/>
      <c r="AL40" s="599"/>
      <c r="AM40" s="599"/>
      <c r="AN40" s="599"/>
      <c r="AO40" s="599"/>
      <c r="AP40" s="599"/>
      <c r="AQ40" s="599"/>
      <c r="AR40" s="599"/>
      <c r="AS40" s="599"/>
      <c r="AT40" s="599"/>
      <c r="AU40" s="599"/>
      <c r="AV40" s="599"/>
      <c r="AW40" s="599"/>
      <c r="AX40" s="599"/>
      <c r="AY40" s="599"/>
    </row>
    <row r="41" spans="1:51">
      <c r="A41" s="599"/>
      <c r="B41" s="599"/>
      <c r="C41" s="599"/>
      <c r="D41" s="599"/>
      <c r="E41" s="599"/>
      <c r="F41" s="599"/>
      <c r="G41" s="599"/>
      <c r="H41" s="599"/>
      <c r="I41" s="599"/>
      <c r="J41" s="599"/>
      <c r="K41" s="599"/>
      <c r="L41" s="599"/>
      <c r="M41" s="599"/>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599"/>
      <c r="AK41" s="599"/>
      <c r="AL41" s="599"/>
      <c r="AM41" s="599"/>
      <c r="AN41" s="599"/>
      <c r="AO41" s="599"/>
      <c r="AP41" s="599"/>
      <c r="AQ41" s="599"/>
      <c r="AR41" s="599"/>
      <c r="AS41" s="599"/>
      <c r="AT41" s="599"/>
      <c r="AU41" s="599"/>
      <c r="AV41" s="599"/>
      <c r="AW41" s="599"/>
      <c r="AX41" s="599"/>
      <c r="AY41" s="599"/>
    </row>
    <row r="42" spans="1:51">
      <c r="A42" s="599"/>
      <c r="B42" s="599"/>
      <c r="C42" s="599"/>
      <c r="D42" s="599"/>
      <c r="E42" s="599"/>
      <c r="F42" s="599"/>
      <c r="G42" s="599"/>
      <c r="H42" s="599"/>
      <c r="I42" s="599"/>
      <c r="J42" s="599"/>
      <c r="K42" s="599"/>
      <c r="L42" s="599"/>
      <c r="M42" s="599"/>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599"/>
      <c r="AK42" s="599"/>
      <c r="AL42" s="599"/>
      <c r="AM42" s="599"/>
      <c r="AN42" s="599"/>
      <c r="AO42" s="599"/>
      <c r="AP42" s="599"/>
      <c r="AQ42" s="599"/>
      <c r="AR42" s="599"/>
      <c r="AS42" s="599"/>
      <c r="AT42" s="599"/>
      <c r="AU42" s="599"/>
      <c r="AV42" s="599"/>
      <c r="AW42" s="599"/>
      <c r="AX42" s="599"/>
      <c r="AY42" s="599"/>
    </row>
    <row r="43" spans="1:51">
      <c r="A43" s="599"/>
      <c r="B43" s="599"/>
      <c r="C43" s="599"/>
      <c r="D43" s="599"/>
      <c r="E43" s="599"/>
      <c r="F43" s="599"/>
      <c r="G43" s="599"/>
      <c r="H43" s="599"/>
      <c r="I43" s="599"/>
      <c r="J43" s="599"/>
      <c r="K43" s="599"/>
      <c r="L43" s="599"/>
      <c r="M43" s="599"/>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599"/>
      <c r="AK43" s="599"/>
      <c r="AL43" s="599"/>
      <c r="AM43" s="599"/>
      <c r="AN43" s="599"/>
      <c r="AO43" s="599"/>
      <c r="AP43" s="599"/>
      <c r="AQ43" s="599"/>
      <c r="AR43" s="599"/>
      <c r="AS43" s="599"/>
      <c r="AT43" s="599"/>
      <c r="AU43" s="599"/>
      <c r="AV43" s="599"/>
      <c r="AW43" s="599"/>
      <c r="AX43" s="599"/>
      <c r="AY43" s="599"/>
    </row>
    <row r="44" spans="1:51">
      <c r="A44" s="599"/>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599"/>
      <c r="AR44" s="599"/>
      <c r="AS44" s="599"/>
      <c r="AT44" s="599"/>
      <c r="AU44" s="599"/>
      <c r="AV44" s="599"/>
      <c r="AW44" s="599"/>
      <c r="AX44" s="599"/>
      <c r="AY44" s="599"/>
    </row>
    <row r="45" spans="1:51">
      <c r="A45" s="599"/>
      <c r="B45" s="599"/>
      <c r="C45" s="599"/>
      <c r="D45" s="599"/>
      <c r="E45" s="599"/>
      <c r="F45" s="599"/>
      <c r="G45" s="599"/>
      <c r="H45" s="599"/>
      <c r="I45" s="599"/>
      <c r="J45" s="599"/>
      <c r="K45" s="599"/>
      <c r="L45" s="599"/>
      <c r="M45" s="599"/>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599"/>
      <c r="AK45" s="599"/>
      <c r="AL45" s="599"/>
      <c r="AM45" s="599"/>
      <c r="AN45" s="599"/>
      <c r="AO45" s="599"/>
      <c r="AP45" s="599"/>
      <c r="AQ45" s="599"/>
      <c r="AR45" s="599"/>
      <c r="AS45" s="599"/>
      <c r="AT45" s="599"/>
      <c r="AU45" s="599"/>
      <c r="AV45" s="599"/>
      <c r="AW45" s="599"/>
      <c r="AX45" s="599"/>
      <c r="AY45" s="599"/>
    </row>
    <row r="46" spans="1:51">
      <c r="A46" s="599"/>
      <c r="B46" s="599"/>
      <c r="C46" s="599"/>
      <c r="D46" s="599"/>
      <c r="E46" s="599"/>
      <c r="F46" s="599"/>
      <c r="G46" s="599"/>
      <c r="H46" s="599"/>
      <c r="I46" s="599"/>
      <c r="J46" s="599"/>
      <c r="K46" s="599"/>
      <c r="L46" s="599"/>
      <c r="M46" s="599"/>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599"/>
      <c r="AK46" s="599"/>
      <c r="AL46" s="599"/>
      <c r="AM46" s="599"/>
      <c r="AN46" s="599"/>
      <c r="AO46" s="599"/>
      <c r="AP46" s="599"/>
      <c r="AQ46" s="599"/>
      <c r="AR46" s="599"/>
      <c r="AS46" s="599"/>
      <c r="AT46" s="599"/>
      <c r="AU46" s="599"/>
      <c r="AV46" s="599"/>
      <c r="AW46" s="599"/>
      <c r="AX46" s="599"/>
      <c r="AY46" s="599"/>
    </row>
    <row r="47" spans="1:51">
      <c r="A47" s="599"/>
      <c r="B47" s="599"/>
      <c r="C47" s="599"/>
      <c r="D47" s="599"/>
      <c r="E47" s="599"/>
      <c r="F47" s="599"/>
      <c r="G47" s="599"/>
      <c r="H47" s="599"/>
      <c r="I47" s="599"/>
      <c r="J47" s="599"/>
      <c r="K47" s="599"/>
      <c r="L47" s="599"/>
      <c r="M47" s="599"/>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599"/>
      <c r="AK47" s="599"/>
      <c r="AL47" s="599"/>
      <c r="AM47" s="599"/>
      <c r="AN47" s="599"/>
      <c r="AO47" s="599"/>
      <c r="AP47" s="599"/>
      <c r="AQ47" s="599"/>
      <c r="AR47" s="599"/>
      <c r="AS47" s="599"/>
      <c r="AT47" s="599"/>
      <c r="AU47" s="599"/>
      <c r="AV47" s="599"/>
      <c r="AW47" s="599"/>
      <c r="AX47" s="599"/>
      <c r="AY47" s="599"/>
    </row>
    <row r="48" spans="1:51">
      <c r="A48" s="599"/>
      <c r="B48" s="599"/>
      <c r="C48" s="599"/>
      <c r="D48" s="599"/>
      <c r="E48" s="599"/>
      <c r="F48" s="599"/>
      <c r="G48" s="599"/>
      <c r="H48" s="599"/>
      <c r="I48" s="599"/>
      <c r="J48" s="599"/>
      <c r="K48" s="599"/>
      <c r="L48" s="599"/>
      <c r="M48" s="599"/>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599"/>
      <c r="AK48" s="599"/>
      <c r="AL48" s="599"/>
      <c r="AM48" s="599"/>
      <c r="AN48" s="599"/>
      <c r="AO48" s="599"/>
      <c r="AP48" s="599"/>
      <c r="AQ48" s="599"/>
      <c r="AR48" s="599"/>
      <c r="AS48" s="599"/>
      <c r="AT48" s="599"/>
      <c r="AU48" s="599"/>
      <c r="AV48" s="599"/>
      <c r="AW48" s="599"/>
      <c r="AX48" s="599"/>
      <c r="AY48" s="599"/>
    </row>
    <row r="49" spans="1:51">
      <c r="A49" s="599"/>
      <c r="B49" s="599"/>
      <c r="C49" s="599"/>
      <c r="D49" s="599"/>
      <c r="E49" s="599"/>
      <c r="F49" s="599"/>
      <c r="G49" s="599"/>
      <c r="H49" s="599"/>
      <c r="I49" s="599"/>
      <c r="J49" s="599"/>
      <c r="K49" s="599"/>
      <c r="L49" s="599"/>
      <c r="M49" s="599"/>
      <c r="N49" s="599"/>
      <c r="O49" s="599"/>
      <c r="P49" s="599"/>
      <c r="Q49" s="599"/>
      <c r="R49" s="599"/>
      <c r="S49" s="599"/>
      <c r="T49" s="599"/>
      <c r="U49" s="599"/>
      <c r="V49" s="599"/>
      <c r="W49" s="599"/>
      <c r="X49" s="599"/>
      <c r="Y49" s="599"/>
      <c r="Z49" s="599"/>
      <c r="AA49" s="599"/>
      <c r="AB49" s="599"/>
      <c r="AC49" s="599"/>
      <c r="AD49" s="599"/>
      <c r="AE49" s="599"/>
      <c r="AF49" s="599"/>
      <c r="AG49" s="599"/>
      <c r="AH49" s="599"/>
      <c r="AI49" s="599"/>
      <c r="AJ49" s="599"/>
      <c r="AK49" s="599"/>
      <c r="AL49" s="599"/>
      <c r="AM49" s="599"/>
      <c r="AN49" s="599"/>
      <c r="AO49" s="599"/>
      <c r="AP49" s="599"/>
      <c r="AQ49" s="599"/>
      <c r="AR49" s="599"/>
      <c r="AS49" s="599"/>
      <c r="AT49" s="599"/>
      <c r="AU49" s="599"/>
      <c r="AV49" s="599"/>
      <c r="AW49" s="599"/>
      <c r="AX49" s="599"/>
      <c r="AY49" s="599"/>
    </row>
    <row r="50" spans="1:51">
      <c r="A50" s="599"/>
      <c r="B50" s="599"/>
      <c r="C50" s="599"/>
      <c r="D50" s="599"/>
      <c r="E50" s="599"/>
      <c r="F50" s="599"/>
      <c r="G50" s="599"/>
      <c r="H50" s="599"/>
      <c r="I50" s="599"/>
      <c r="J50" s="599"/>
      <c r="K50" s="599"/>
      <c r="L50" s="599"/>
      <c r="M50" s="599"/>
      <c r="N50" s="599"/>
      <c r="O50" s="599"/>
      <c r="P50" s="599"/>
      <c r="Q50" s="599"/>
      <c r="R50" s="599"/>
      <c r="S50" s="599"/>
      <c r="T50" s="599"/>
      <c r="U50" s="599"/>
      <c r="V50" s="599"/>
      <c r="W50" s="599"/>
      <c r="X50" s="599"/>
      <c r="Y50" s="599"/>
      <c r="Z50" s="599"/>
      <c r="AA50" s="599"/>
      <c r="AB50" s="599"/>
      <c r="AC50" s="599"/>
      <c r="AD50" s="599"/>
      <c r="AE50" s="599"/>
      <c r="AF50" s="599"/>
      <c r="AG50" s="599"/>
      <c r="AH50" s="599"/>
      <c r="AI50" s="599"/>
      <c r="AJ50" s="599"/>
      <c r="AK50" s="599"/>
      <c r="AL50" s="599"/>
      <c r="AM50" s="599"/>
      <c r="AN50" s="599"/>
      <c r="AO50" s="599"/>
      <c r="AP50" s="599"/>
      <c r="AQ50" s="599"/>
      <c r="AR50" s="599"/>
      <c r="AS50" s="599"/>
      <c r="AT50" s="599"/>
      <c r="AU50" s="599"/>
      <c r="AV50" s="599"/>
      <c r="AW50" s="599"/>
      <c r="AX50" s="599"/>
      <c r="AY50" s="599"/>
    </row>
  </sheetData>
  <sheetProtection algorithmName="SHA-512" hashValue="7XwgoIQZkPoXLuN3chyFKk6h6MgkNVqHhie5ncilUr5cXKw5S3DDAAql7SeOs4gvFoDnP9X2ZwjxrVDBWYhLLw==" saltValue="vx8vFfBeGSMDoM2UXeTwww==" spinCount="100000" sheet="1" objects="1" scenarios="1"/>
  <customSheetViews>
    <customSheetView guid="{6EFEFCA0-BF14-457A-85A3-29CBF2A862A5}" showGridLines="0" fitToPage="1">
      <selection activeCell="R8" sqref="R8:Y8"/>
      <pageMargins left="0.23622047244094491" right="0.23622047244094491" top="0.19685039370078741" bottom="0.19685039370078741" header="0" footer="0.11811023622047245"/>
      <printOptions horizontalCentered="1" verticalCentered="1"/>
      <pageSetup paperSize="9" scale="38" orientation="landscape" r:id="rId1"/>
      <headerFooter>
        <oddFooter>&amp;L&amp;10&amp;F &amp;A&amp;R&amp;10Page 23 of 61</oddFooter>
      </headerFooter>
    </customSheetView>
  </customSheetViews>
  <mergeCells count="74">
    <mergeCell ref="B5:I6"/>
    <mergeCell ref="J5:Q6"/>
    <mergeCell ref="R5:Y6"/>
    <mergeCell ref="Z5:AG6"/>
    <mergeCell ref="AH5:AO6"/>
    <mergeCell ref="B4:I4"/>
    <mergeCell ref="J4:Q4"/>
    <mergeCell ref="R4:Y4"/>
    <mergeCell ref="Z4:AG4"/>
    <mergeCell ref="AH4:AO4"/>
    <mergeCell ref="B8:I8"/>
    <mergeCell ref="J8:Q8"/>
    <mergeCell ref="R8:Y8"/>
    <mergeCell ref="Z8:AG8"/>
    <mergeCell ref="AH8:AO8"/>
    <mergeCell ref="B7:I7"/>
    <mergeCell ref="J7:Q7"/>
    <mergeCell ref="R7:Y7"/>
    <mergeCell ref="Z7:AG7"/>
    <mergeCell ref="AH7:AO7"/>
    <mergeCell ref="B10:I10"/>
    <mergeCell ref="J10:Q10"/>
    <mergeCell ref="R10:Y10"/>
    <mergeCell ref="Z10:AG10"/>
    <mergeCell ref="AH10:AO10"/>
    <mergeCell ref="B9:I9"/>
    <mergeCell ref="J9:Q9"/>
    <mergeCell ref="R9:Y9"/>
    <mergeCell ref="Z9:AG9"/>
    <mergeCell ref="AH9:AO9"/>
    <mergeCell ref="B12:I12"/>
    <mergeCell ref="J12:Q12"/>
    <mergeCell ref="R12:Y12"/>
    <mergeCell ref="Z12:AG12"/>
    <mergeCell ref="AH12:AO12"/>
    <mergeCell ref="B11:I11"/>
    <mergeCell ref="J11:Q11"/>
    <mergeCell ref="R11:Y11"/>
    <mergeCell ref="Z11:AG11"/>
    <mergeCell ref="AH11:AO11"/>
    <mergeCell ref="B14:I14"/>
    <mergeCell ref="J14:Q14"/>
    <mergeCell ref="R14:Y14"/>
    <mergeCell ref="Z14:AG14"/>
    <mergeCell ref="AH14:AO14"/>
    <mergeCell ref="B13:I13"/>
    <mergeCell ref="J13:Q13"/>
    <mergeCell ref="R13:Y13"/>
    <mergeCell ref="Z13:AG13"/>
    <mergeCell ref="AH13:AO13"/>
    <mergeCell ref="B16:I16"/>
    <mergeCell ref="J16:Q16"/>
    <mergeCell ref="R16:Y16"/>
    <mergeCell ref="Z16:AG16"/>
    <mergeCell ref="AH16:AO16"/>
    <mergeCell ref="B15:I15"/>
    <mergeCell ref="J15:Q15"/>
    <mergeCell ref="R15:Y15"/>
    <mergeCell ref="Z15:AG15"/>
    <mergeCell ref="AH15:AO15"/>
    <mergeCell ref="F30:M30"/>
    <mergeCell ref="P30:AA30"/>
    <mergeCell ref="AD30:AN30"/>
    <mergeCell ref="C17:AO17"/>
    <mergeCell ref="D18:AO18"/>
    <mergeCell ref="D19:AO19"/>
    <mergeCell ref="C20:AO20"/>
    <mergeCell ref="C21:AO21"/>
    <mergeCell ref="C22:AO22"/>
    <mergeCell ref="C23:AO23"/>
    <mergeCell ref="F28:M28"/>
    <mergeCell ref="P28:AA29"/>
    <mergeCell ref="AD28:AO29"/>
    <mergeCell ref="F29:M29"/>
  </mergeCells>
  <phoneticPr fontId="39" type="noConversion"/>
  <dataValidations count="1">
    <dataValidation type="whole" allowBlank="1" showInputMessage="1" showErrorMessage="1" errorTitle="GSHSP SY 2022-2023" error="Please enter valid number between 0-999." sqref="AH7:AO16" xr:uid="{3B18F650-864E-4801-BA00-294BA1FA1CDD}">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38" orientation="landscape" r:id="rId2"/>
  <headerFooter>
    <oddFooter>&amp;L&amp;10&amp;F &amp;A&amp;R&amp;10Page 23 of 61</oddFooter>
  </headerFooter>
  <drawing r:id="rId3"/>
  <extLst>
    <ext xmlns:x14="http://schemas.microsoft.com/office/spreadsheetml/2009/9/main" uri="{CCE6A557-97BC-4b89-ADB6-D9C93CAAB3DF}">
      <x14:dataValidations xmlns:xm="http://schemas.microsoft.com/office/excel/2006/main" count="2">
        <x14:dataValidation type="list" allowBlank="1" showInputMessage="1" showErrorMessage="1" errorTitle="GSHSP SY 2022-2023" error="Please select from the dropdownlist." xr:uid="{85FDF87B-98C9-43B6-AFD2-2B14DB58FCB2}">
          <x14:formula1>
            <xm:f>Dropdown!$J$25:$J$27</xm:f>
          </x14:formula1>
          <xm:sqref>B7:I16</xm:sqref>
        </x14:dataValidation>
        <x14:dataValidation type="list" allowBlank="1" showInputMessage="1" showErrorMessage="1" errorTitle="GSHSP SY 2022-2023" error="Please select from the dropdown list." xr:uid="{10F53603-47DC-4E49-9A13-FC042E6E7B0D}">
          <x14:formula1>
            <xm:f>Dropdown!$J$13:$J$16</xm:f>
          </x14:formula1>
          <xm:sqref>J7:Q16</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5FC80-B550-4E48-BAFA-1529116251E7}">
  <sheetPr codeName="Sheet28">
    <tabColor rgb="FFFFFF00"/>
    <pageSetUpPr fitToPage="1"/>
  </sheetPr>
  <dimension ref="A1:BP48"/>
  <sheetViews>
    <sheetView showGridLines="0" topLeftCell="A16" zoomScaleNormal="100" workbookViewId="0">
      <selection sqref="A1:BB33"/>
    </sheetView>
  </sheetViews>
  <sheetFormatPr defaultColWidth="9" defaultRowHeight="15.75"/>
  <cols>
    <col min="1" max="1" width="2.125" style="48" customWidth="1"/>
    <col min="2" max="49" width="3.625" style="48" customWidth="1"/>
    <col min="50" max="50" width="2.125" style="48" customWidth="1"/>
    <col min="51" max="62" width="3.625" style="48" customWidth="1"/>
    <col min="63" max="16384" width="9" style="48"/>
  </cols>
  <sheetData>
    <row r="1" spans="1:63"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row>
    <row r="2" spans="1:63" s="46" customFormat="1" ht="16.5" customHeight="1">
      <c r="A2" s="222"/>
      <c r="B2" s="3022" t="s">
        <v>1464</v>
      </c>
      <c r="C2" s="3022"/>
      <c r="D2" s="3022"/>
      <c r="E2" s="3022"/>
      <c r="F2" s="3022"/>
      <c r="G2" s="3022"/>
      <c r="H2" s="3022"/>
      <c r="I2" s="3022"/>
      <c r="J2" s="3022"/>
      <c r="K2" s="3022"/>
      <c r="L2" s="3022"/>
      <c r="M2" s="3022"/>
      <c r="N2" s="3022"/>
      <c r="O2" s="3022"/>
      <c r="P2" s="3022"/>
      <c r="Q2" s="3022"/>
      <c r="R2" s="3022"/>
      <c r="S2" s="3022"/>
      <c r="T2" s="3022"/>
      <c r="U2" s="848"/>
      <c r="V2" s="848"/>
      <c r="W2" s="309" t="s">
        <v>11402</v>
      </c>
      <c r="X2" s="222"/>
      <c r="Y2" s="309"/>
      <c r="Z2" s="309"/>
      <c r="AA2" s="309"/>
      <c r="AB2" s="309"/>
      <c r="AC2" s="309"/>
      <c r="AD2" s="309"/>
      <c r="AE2" s="309"/>
      <c r="AF2" s="309"/>
      <c r="AG2" s="309"/>
      <c r="AH2" s="309"/>
      <c r="AI2" s="309"/>
      <c r="AJ2" s="309"/>
      <c r="AK2" s="309"/>
      <c r="AL2" s="309"/>
      <c r="AM2" s="309"/>
      <c r="AN2" s="309"/>
      <c r="AO2" s="849"/>
      <c r="AP2" s="222"/>
      <c r="AQ2" s="222"/>
      <c r="AR2" s="222"/>
      <c r="AS2" s="222"/>
      <c r="AT2" s="222"/>
      <c r="AU2" s="222"/>
      <c r="AV2" s="222"/>
      <c r="AW2" s="222"/>
      <c r="AX2" s="222"/>
      <c r="AY2" s="222"/>
      <c r="AZ2" s="222"/>
      <c r="BA2" s="222"/>
      <c r="BB2" s="222"/>
      <c r="BC2" s="222"/>
      <c r="BD2" s="222"/>
      <c r="BE2" s="222"/>
      <c r="BF2" s="222"/>
      <c r="BG2" s="222"/>
      <c r="BH2" s="222"/>
      <c r="BI2" s="222"/>
      <c r="BJ2" s="222"/>
      <c r="BK2" s="222"/>
    </row>
    <row r="3" spans="1:63" s="46" customFormat="1" ht="16.5" thickBot="1">
      <c r="A3" s="222"/>
      <c r="B3" s="3023" t="s">
        <v>11401</v>
      </c>
      <c r="C3" s="3023"/>
      <c r="D3" s="3023"/>
      <c r="E3" s="3023"/>
      <c r="F3" s="3023"/>
      <c r="G3" s="3023"/>
      <c r="H3" s="3023"/>
      <c r="I3" s="3023"/>
      <c r="J3" s="3023"/>
      <c r="K3" s="3023"/>
      <c r="L3" s="3023"/>
      <c r="M3" s="3023"/>
      <c r="N3" s="3023"/>
      <c r="O3" s="3023"/>
      <c r="P3" s="3023"/>
      <c r="Q3" s="3023"/>
      <c r="R3" s="3023"/>
      <c r="S3" s="3023"/>
      <c r="T3" s="850"/>
      <c r="U3" s="850"/>
      <c r="V3" s="850"/>
      <c r="W3" s="495" t="s">
        <v>1017</v>
      </c>
      <c r="X3" s="222"/>
      <c r="Y3" s="309"/>
      <c r="Z3" s="309"/>
      <c r="AA3" s="309"/>
      <c r="AB3" s="309"/>
      <c r="AC3" s="309"/>
      <c r="AD3" s="309"/>
      <c r="AE3" s="309"/>
      <c r="AF3" s="309"/>
      <c r="AG3" s="309"/>
      <c r="AH3" s="309"/>
      <c r="AI3" s="309"/>
      <c r="AJ3" s="309"/>
      <c r="AK3" s="309"/>
      <c r="AL3" s="309"/>
      <c r="AM3" s="309"/>
      <c r="AN3" s="309"/>
      <c r="AO3" s="849"/>
      <c r="AP3" s="222"/>
      <c r="AQ3" s="222"/>
      <c r="AR3" s="222"/>
      <c r="AS3" s="222"/>
      <c r="AT3" s="222"/>
      <c r="AU3" s="222"/>
      <c r="AV3" s="222"/>
      <c r="AW3" s="222"/>
      <c r="AX3" s="222"/>
      <c r="AY3" s="222"/>
      <c r="AZ3" s="222"/>
      <c r="BA3" s="222"/>
      <c r="BB3" s="222"/>
      <c r="BC3" s="222"/>
      <c r="BD3" s="222"/>
      <c r="BE3" s="222"/>
      <c r="BF3" s="222"/>
      <c r="BG3" s="222"/>
      <c r="BH3" s="222"/>
      <c r="BI3" s="222"/>
      <c r="BJ3" s="222"/>
      <c r="BK3" s="222"/>
    </row>
    <row r="4" spans="1:63" s="46" customFormat="1" ht="8.1" customHeight="1">
      <c r="A4" s="222"/>
      <c r="B4" s="3024" t="s">
        <v>403</v>
      </c>
      <c r="C4" s="3024"/>
      <c r="D4" s="3024"/>
      <c r="E4" s="3024"/>
      <c r="F4" s="3024"/>
      <c r="G4" s="3024"/>
      <c r="H4" s="3024"/>
      <c r="I4" s="3024"/>
      <c r="J4" s="2464" t="s">
        <v>404</v>
      </c>
      <c r="K4" s="3024"/>
      <c r="L4" s="3024"/>
      <c r="M4" s="3024"/>
      <c r="N4" s="3024"/>
      <c r="O4" s="3024"/>
      <c r="P4" s="3024"/>
      <c r="Q4" s="3024"/>
      <c r="R4" s="222"/>
      <c r="S4" s="222"/>
      <c r="T4" s="222"/>
      <c r="U4" s="222"/>
      <c r="V4" s="222"/>
      <c r="W4" s="851"/>
      <c r="X4" s="852"/>
      <c r="Y4" s="852"/>
      <c r="Z4" s="852"/>
      <c r="AA4" s="852"/>
      <c r="AB4" s="852"/>
      <c r="AC4" s="852"/>
      <c r="AD4" s="852"/>
      <c r="AE4" s="852"/>
      <c r="AF4" s="852"/>
      <c r="AG4" s="852"/>
      <c r="AH4" s="852"/>
      <c r="AI4" s="852"/>
      <c r="AJ4" s="853"/>
      <c r="AK4" s="853"/>
      <c r="AL4" s="853"/>
      <c r="AM4" s="853"/>
      <c r="AN4" s="853"/>
      <c r="AO4" s="853"/>
      <c r="AP4" s="853"/>
      <c r="AQ4" s="853"/>
      <c r="AR4" s="853"/>
      <c r="AS4" s="853"/>
      <c r="AT4" s="853"/>
      <c r="AU4" s="853"/>
      <c r="AV4" s="853"/>
      <c r="AW4" s="854"/>
      <c r="AX4" s="222"/>
      <c r="AY4" s="222"/>
      <c r="AZ4" s="222"/>
      <c r="BA4" s="222"/>
      <c r="BB4" s="222"/>
      <c r="BC4" s="222"/>
      <c r="BD4" s="222"/>
      <c r="BE4" s="222"/>
      <c r="BF4" s="222"/>
      <c r="BG4" s="222"/>
      <c r="BH4" s="222"/>
      <c r="BI4" s="222"/>
      <c r="BJ4" s="222"/>
      <c r="BK4" s="222"/>
    </row>
    <row r="5" spans="1:63" s="46" customFormat="1" ht="20.100000000000001" customHeight="1" thickBot="1">
      <c r="A5" s="222"/>
      <c r="B5" s="3025"/>
      <c r="C5" s="3025"/>
      <c r="D5" s="3025"/>
      <c r="E5" s="3025"/>
      <c r="F5" s="3025"/>
      <c r="G5" s="3025"/>
      <c r="H5" s="3025"/>
      <c r="I5" s="3025"/>
      <c r="J5" s="2512"/>
      <c r="K5" s="3025"/>
      <c r="L5" s="3025"/>
      <c r="M5" s="3025"/>
      <c r="N5" s="3025"/>
      <c r="O5" s="3025"/>
      <c r="P5" s="3025"/>
      <c r="Q5" s="3025"/>
      <c r="R5" s="222"/>
      <c r="S5" s="222"/>
      <c r="T5" s="222"/>
      <c r="U5" s="222"/>
      <c r="V5" s="222"/>
      <c r="W5" s="486"/>
      <c r="X5" s="855" t="s">
        <v>47</v>
      </c>
      <c r="Y5" s="224" t="s">
        <v>405</v>
      </c>
      <c r="Z5" s="283"/>
      <c r="AA5" s="283"/>
      <c r="AB5" s="283"/>
      <c r="AC5" s="283"/>
      <c r="AD5" s="283"/>
      <c r="AE5" s="283"/>
      <c r="AF5" s="283"/>
      <c r="AG5" s="283"/>
      <c r="AH5" s="283"/>
      <c r="AI5" s="283"/>
      <c r="AJ5" s="283"/>
      <c r="AK5" s="283"/>
      <c r="AL5" s="283"/>
      <c r="AM5" s="283"/>
      <c r="AN5" s="283"/>
      <c r="AO5" s="283"/>
      <c r="AP5" s="283"/>
      <c r="AQ5" s="283"/>
      <c r="AR5" s="283"/>
      <c r="AS5" s="283"/>
      <c r="AT5" s="283"/>
      <c r="AU5" s="283"/>
      <c r="AV5" s="283"/>
      <c r="AW5" s="856"/>
      <c r="AX5" s="222"/>
      <c r="AY5" s="222"/>
      <c r="AZ5" s="222"/>
      <c r="BA5" s="222"/>
      <c r="BB5" s="222"/>
      <c r="BC5" s="222"/>
      <c r="BD5" s="222"/>
      <c r="BE5" s="222"/>
      <c r="BF5" s="222"/>
      <c r="BG5" s="222"/>
      <c r="BH5" s="222"/>
      <c r="BI5" s="222"/>
      <c r="BJ5" s="222"/>
      <c r="BK5" s="222"/>
    </row>
    <row r="6" spans="1:63" s="46" customFormat="1" ht="20.100000000000001" customHeight="1">
      <c r="A6" s="222"/>
      <c r="B6" s="2513" t="s">
        <v>406</v>
      </c>
      <c r="C6" s="2514"/>
      <c r="D6" s="2514"/>
      <c r="E6" s="2514"/>
      <c r="F6" s="2514"/>
      <c r="G6" s="2514"/>
      <c r="H6" s="2514"/>
      <c r="I6" s="2515"/>
      <c r="J6" s="3026">
        <v>1367000</v>
      </c>
      <c r="K6" s="3027"/>
      <c r="L6" s="3027"/>
      <c r="M6" s="3027"/>
      <c r="N6" s="3027"/>
      <c r="O6" s="3027"/>
      <c r="P6" s="3027"/>
      <c r="Q6" s="3028"/>
      <c r="R6" s="222"/>
      <c r="S6" s="222"/>
      <c r="T6" s="222"/>
      <c r="U6" s="222"/>
      <c r="V6" s="222"/>
      <c r="W6" s="482"/>
      <c r="X6" s="222"/>
      <c r="Y6" s="222"/>
      <c r="Z6" s="222"/>
      <c r="AA6" s="222"/>
      <c r="AB6" s="610" t="b">
        <v>1</v>
      </c>
      <c r="AC6" s="582" t="s">
        <v>407</v>
      </c>
      <c r="AD6" s="857"/>
      <c r="AE6" s="857"/>
      <c r="AF6" s="857"/>
      <c r="AG6" s="222"/>
      <c r="AH6" s="222"/>
      <c r="AI6" s="599"/>
      <c r="AJ6" s="625"/>
      <c r="AK6" s="599"/>
      <c r="AL6" s="599"/>
      <c r="AM6" s="599"/>
      <c r="AN6" s="599"/>
      <c r="AO6" s="599"/>
      <c r="AP6" s="599"/>
      <c r="AQ6" s="599"/>
      <c r="AR6" s="599"/>
      <c r="AS6" s="599"/>
      <c r="AT6" s="599"/>
      <c r="AU6" s="599"/>
      <c r="AV6" s="599"/>
      <c r="AW6" s="705"/>
      <c r="AX6" s="222"/>
      <c r="AY6" s="222"/>
      <c r="AZ6" s="222"/>
      <c r="BA6" s="222"/>
      <c r="BB6" s="222"/>
      <c r="BC6" s="222"/>
      <c r="BD6" s="222"/>
      <c r="BE6" s="222"/>
      <c r="BF6" s="222"/>
      <c r="BG6" s="222"/>
      <c r="BH6" s="222"/>
      <c r="BI6" s="222"/>
      <c r="BJ6" s="222"/>
      <c r="BK6" s="222"/>
    </row>
    <row r="7" spans="1:63" s="46" customFormat="1" ht="20.100000000000001" customHeight="1">
      <c r="A7" s="222"/>
      <c r="B7" s="2449" t="s">
        <v>408</v>
      </c>
      <c r="C7" s="2450"/>
      <c r="D7" s="2450"/>
      <c r="E7" s="2450"/>
      <c r="F7" s="2450"/>
      <c r="G7" s="2450"/>
      <c r="H7" s="2450"/>
      <c r="I7" s="2453"/>
      <c r="J7" s="3013">
        <v>1367000</v>
      </c>
      <c r="K7" s="3014"/>
      <c r="L7" s="3014"/>
      <c r="M7" s="3014"/>
      <c r="N7" s="3014"/>
      <c r="O7" s="3014"/>
      <c r="P7" s="3014"/>
      <c r="Q7" s="3015"/>
      <c r="R7" s="222"/>
      <c r="S7" s="222"/>
      <c r="T7" s="222"/>
      <c r="U7" s="222"/>
      <c r="V7" s="222"/>
      <c r="W7" s="482"/>
      <c r="X7" s="222"/>
      <c r="Y7" s="222"/>
      <c r="Z7" s="222"/>
      <c r="AA7" s="222"/>
      <c r="AB7" s="610" t="b">
        <v>0</v>
      </c>
      <c r="AC7" s="582" t="s">
        <v>409</v>
      </c>
      <c r="AD7" s="857"/>
      <c r="AE7" s="625"/>
      <c r="AF7" s="582"/>
      <c r="AG7" s="625"/>
      <c r="AH7" s="582"/>
      <c r="AI7" s="222"/>
      <c r="AJ7" s="222"/>
      <c r="AK7" s="625"/>
      <c r="AL7" s="625"/>
      <c r="AM7" s="625"/>
      <c r="AN7" s="625"/>
      <c r="AO7" s="625"/>
      <c r="AP7" s="625"/>
      <c r="AQ7" s="625"/>
      <c r="AR7" s="625"/>
      <c r="AS7" s="625"/>
      <c r="AT7" s="625"/>
      <c r="AU7" s="599"/>
      <c r="AV7" s="599"/>
      <c r="AW7" s="705"/>
      <c r="AX7" s="222"/>
      <c r="AY7" s="222"/>
      <c r="AZ7" s="222"/>
      <c r="BA7" s="222"/>
      <c r="BB7" s="222"/>
      <c r="BC7" s="222"/>
      <c r="BD7" s="222"/>
      <c r="BE7" s="222"/>
      <c r="BF7" s="222"/>
      <c r="BG7" s="222"/>
      <c r="BH7" s="222"/>
      <c r="BI7" s="222"/>
      <c r="BJ7" s="222"/>
      <c r="BK7" s="222"/>
    </row>
    <row r="8" spans="1:63" s="46" customFormat="1" ht="20.100000000000001" customHeight="1" thickBot="1">
      <c r="A8" s="222"/>
      <c r="B8" s="3016" t="s">
        <v>410</v>
      </c>
      <c r="C8" s="3017"/>
      <c r="D8" s="3017"/>
      <c r="E8" s="3017"/>
      <c r="F8" s="3017"/>
      <c r="G8" s="3017"/>
      <c r="H8" s="3017"/>
      <c r="I8" s="3018"/>
      <c r="J8" s="3019">
        <v>1367000</v>
      </c>
      <c r="K8" s="3020"/>
      <c r="L8" s="3020"/>
      <c r="M8" s="3020"/>
      <c r="N8" s="3020"/>
      <c r="O8" s="3020"/>
      <c r="P8" s="3020"/>
      <c r="Q8" s="3021"/>
      <c r="R8" s="222"/>
      <c r="S8" s="222"/>
      <c r="T8" s="222"/>
      <c r="U8" s="222"/>
      <c r="V8" s="222"/>
      <c r="W8" s="482"/>
      <c r="X8" s="857"/>
      <c r="Y8" s="222"/>
      <c r="Z8" s="222"/>
      <c r="AA8" s="222"/>
      <c r="AB8" s="857"/>
      <c r="AC8" s="857"/>
      <c r="AD8" s="222"/>
      <c r="AE8" s="610" t="b">
        <v>0</v>
      </c>
      <c r="AF8" s="582" t="s">
        <v>411</v>
      </c>
      <c r="AG8" s="625"/>
      <c r="AH8" s="222"/>
      <c r="AI8" s="222"/>
      <c r="AJ8" s="222"/>
      <c r="AK8" s="599"/>
      <c r="AL8" s="599"/>
      <c r="AM8" s="599"/>
      <c r="AN8" s="599"/>
      <c r="AO8" s="599"/>
      <c r="AP8" s="599"/>
      <c r="AQ8" s="599"/>
      <c r="AR8" s="599"/>
      <c r="AS8" s="222"/>
      <c r="AT8" s="222"/>
      <c r="AU8" s="222"/>
      <c r="AV8" s="222"/>
      <c r="AW8" s="592"/>
      <c r="AX8" s="222"/>
      <c r="AY8" s="222"/>
      <c r="AZ8" s="222"/>
      <c r="BA8" s="222"/>
      <c r="BB8" s="222"/>
      <c r="BC8" s="222"/>
      <c r="BD8" s="222"/>
      <c r="BE8" s="222"/>
      <c r="BF8" s="222"/>
      <c r="BG8" s="222"/>
      <c r="BH8" s="222"/>
      <c r="BI8" s="222"/>
      <c r="BJ8" s="222"/>
      <c r="BK8" s="222"/>
    </row>
    <row r="9" spans="1:63" s="46" customFormat="1" ht="20.100000000000001" customHeight="1">
      <c r="A9" s="222"/>
      <c r="B9" s="3010" t="s">
        <v>47</v>
      </c>
      <c r="C9" s="3009" t="s">
        <v>1059</v>
      </c>
      <c r="D9" s="3009"/>
      <c r="E9" s="3009"/>
      <c r="F9" s="3009"/>
      <c r="G9" s="3009"/>
      <c r="H9" s="3009"/>
      <c r="I9" s="3009"/>
      <c r="J9" s="3009"/>
      <c r="K9" s="3009"/>
      <c r="L9" s="3009"/>
      <c r="M9" s="3009"/>
      <c r="N9" s="3009"/>
      <c r="O9" s="3009"/>
      <c r="P9" s="3009"/>
      <c r="Q9" s="3009"/>
      <c r="R9" s="222"/>
      <c r="S9" s="222"/>
      <c r="T9" s="222"/>
      <c r="U9" s="222"/>
      <c r="V9" s="222"/>
      <c r="W9" s="482"/>
      <c r="X9" s="222"/>
      <c r="Y9" s="222"/>
      <c r="Z9" s="222"/>
      <c r="AA9" s="222"/>
      <c r="AB9" s="222"/>
      <c r="AC9" s="222"/>
      <c r="AD9" s="222"/>
      <c r="AE9" s="610" t="b">
        <v>0</v>
      </c>
      <c r="AF9" s="582" t="s">
        <v>412</v>
      </c>
      <c r="AG9" s="222"/>
      <c r="AH9" s="222"/>
      <c r="AI9" s="222"/>
      <c r="AJ9" s="858"/>
      <c r="AK9" s="222"/>
      <c r="AL9" s="222"/>
      <c r="AM9" s="222"/>
      <c r="AN9" s="222"/>
      <c r="AO9" s="222"/>
      <c r="AP9" s="222"/>
      <c r="AQ9" s="222"/>
      <c r="AR9" s="222"/>
      <c r="AS9" s="222"/>
      <c r="AT9" s="222"/>
      <c r="AU9" s="222"/>
      <c r="AV9" s="222"/>
      <c r="AW9" s="859"/>
      <c r="AX9" s="222"/>
      <c r="AY9" s="222"/>
      <c r="AZ9" s="222"/>
      <c r="BA9" s="222"/>
      <c r="BB9" s="222"/>
      <c r="BC9" s="222"/>
      <c r="BD9" s="222"/>
      <c r="BE9" s="222"/>
      <c r="BF9" s="222"/>
      <c r="BG9" s="222"/>
      <c r="BH9" s="222"/>
      <c r="BI9" s="222"/>
      <c r="BJ9" s="222"/>
      <c r="BK9" s="222"/>
    </row>
    <row r="10" spans="1:63" s="46" customFormat="1" ht="20.100000000000001" customHeight="1">
      <c r="A10" s="222"/>
      <c r="B10" s="3011"/>
      <c r="C10" s="3007"/>
      <c r="D10" s="3007"/>
      <c r="E10" s="3007"/>
      <c r="F10" s="3007"/>
      <c r="G10" s="3007"/>
      <c r="H10" s="3007"/>
      <c r="I10" s="3007"/>
      <c r="J10" s="3007"/>
      <c r="K10" s="3007"/>
      <c r="L10" s="3007"/>
      <c r="M10" s="3007"/>
      <c r="N10" s="3007"/>
      <c r="O10" s="3007"/>
      <c r="P10" s="3007"/>
      <c r="Q10" s="3007"/>
      <c r="R10" s="222"/>
      <c r="S10" s="222"/>
      <c r="T10" s="222"/>
      <c r="U10" s="222"/>
      <c r="V10" s="222"/>
      <c r="W10" s="482"/>
      <c r="X10" s="857"/>
      <c r="Y10" s="222"/>
      <c r="Z10" s="222"/>
      <c r="AA10" s="222"/>
      <c r="AB10" s="625"/>
      <c r="AC10" s="582"/>
      <c r="AD10" s="222"/>
      <c r="AE10" s="610" t="b">
        <v>0</v>
      </c>
      <c r="AF10" s="582" t="s">
        <v>1021</v>
      </c>
      <c r="AG10" s="625"/>
      <c r="AH10" s="582"/>
      <c r="AI10" s="599"/>
      <c r="AJ10" s="2617"/>
      <c r="AK10" s="2617"/>
      <c r="AL10" s="2617"/>
      <c r="AM10" s="2617"/>
      <c r="AN10" s="2617"/>
      <c r="AO10" s="2617"/>
      <c r="AP10" s="1735" t="str">
        <f>IF(AND(electrical_offgrid_others=TRUE,ISBLANK(electrical_offgrid_others_specify)),"Please specify.",IF(AND(electrical_offgrid_others=FALSE,(electrical_offgrid_others_specify&gt;0)),"Please check Others if you have entries.",""))</f>
        <v/>
      </c>
      <c r="AQ10" s="625"/>
      <c r="AR10" s="625"/>
      <c r="AS10" s="625"/>
      <c r="AT10" s="625"/>
      <c r="AU10" s="580"/>
      <c r="AV10" s="580"/>
      <c r="AW10" s="705"/>
      <c r="AX10" s="222"/>
      <c r="AY10" s="222"/>
      <c r="AZ10" s="222"/>
      <c r="BA10" s="222"/>
      <c r="BB10" s="222"/>
      <c r="BC10" s="222"/>
      <c r="BD10" s="222"/>
      <c r="BE10" s="222"/>
      <c r="BF10" s="222"/>
      <c r="BG10" s="222"/>
      <c r="BH10" s="222"/>
      <c r="BI10" s="222"/>
      <c r="BJ10" s="222"/>
      <c r="BK10" s="222"/>
    </row>
    <row r="11" spans="1:63" s="46" customFormat="1" ht="20.100000000000001" customHeight="1">
      <c r="A11" s="222"/>
      <c r="B11" s="3011"/>
      <c r="C11" s="3007"/>
      <c r="D11" s="3007"/>
      <c r="E11" s="3007"/>
      <c r="F11" s="3007"/>
      <c r="G11" s="3007"/>
      <c r="H11" s="3007"/>
      <c r="I11" s="3007"/>
      <c r="J11" s="3007"/>
      <c r="K11" s="3007"/>
      <c r="L11" s="3007"/>
      <c r="M11" s="3007"/>
      <c r="N11" s="3007"/>
      <c r="O11" s="3007"/>
      <c r="P11" s="3007"/>
      <c r="Q11" s="3007"/>
      <c r="R11" s="222"/>
      <c r="S11" s="222"/>
      <c r="T11" s="222"/>
      <c r="U11" s="222"/>
      <c r="V11" s="222"/>
      <c r="W11" s="482"/>
      <c r="X11" s="857"/>
      <c r="Y11" s="222"/>
      <c r="Z11" s="222"/>
      <c r="AA11" s="222"/>
      <c r="AB11" s="610" t="b">
        <v>0</v>
      </c>
      <c r="AC11" s="582" t="s">
        <v>413</v>
      </c>
      <c r="AD11" s="625"/>
      <c r="AE11" s="582"/>
      <c r="AF11" s="582"/>
      <c r="AG11" s="625"/>
      <c r="AH11" s="582"/>
      <c r="AI11" s="599"/>
      <c r="AJ11" s="222"/>
      <c r="AK11" s="625"/>
      <c r="AL11" s="625"/>
      <c r="AM11" s="625"/>
      <c r="AN11" s="625"/>
      <c r="AO11" s="625"/>
      <c r="AP11" s="625"/>
      <c r="AQ11" s="625"/>
      <c r="AR11" s="625"/>
      <c r="AS11" s="625"/>
      <c r="AT11" s="625"/>
      <c r="AU11" s="580"/>
      <c r="AV11" s="580"/>
      <c r="AW11" s="705"/>
      <c r="AX11" s="222"/>
      <c r="AY11" s="222"/>
      <c r="AZ11" s="222"/>
      <c r="BA11" s="222"/>
      <c r="BB11" s="222"/>
      <c r="BC11" s="222"/>
      <c r="BD11" s="222"/>
      <c r="BE11" s="222"/>
      <c r="BF11" s="222"/>
      <c r="BG11" s="222"/>
      <c r="BH11" s="222"/>
      <c r="BI11" s="222"/>
      <c r="BJ11" s="222"/>
      <c r="BK11" s="222"/>
    </row>
    <row r="12" spans="1:63" s="46" customFormat="1" ht="20.100000000000001" customHeight="1">
      <c r="A12" s="222"/>
      <c r="B12" s="3011"/>
      <c r="C12" s="3007"/>
      <c r="D12" s="3007"/>
      <c r="E12" s="3007"/>
      <c r="F12" s="3007"/>
      <c r="G12" s="3007"/>
      <c r="H12" s="3007"/>
      <c r="I12" s="3007"/>
      <c r="J12" s="3007"/>
      <c r="K12" s="3007"/>
      <c r="L12" s="3007"/>
      <c r="M12" s="3007"/>
      <c r="N12" s="3007"/>
      <c r="O12" s="3007"/>
      <c r="P12" s="3007"/>
      <c r="Q12" s="3007"/>
      <c r="R12" s="222"/>
      <c r="S12" s="222"/>
      <c r="T12" s="222"/>
      <c r="U12" s="222"/>
      <c r="V12" s="222"/>
      <c r="W12" s="482"/>
      <c r="X12" s="860" t="s">
        <v>48</v>
      </c>
      <c r="Y12" s="222" t="s">
        <v>1109</v>
      </c>
      <c r="Z12" s="849"/>
      <c r="AA12" s="861"/>
      <c r="AB12" s="593"/>
      <c r="AC12" s="861"/>
      <c r="AD12" s="593"/>
      <c r="AE12" s="593"/>
      <c r="AF12" s="599"/>
      <c r="AG12" s="222"/>
      <c r="AH12" s="599"/>
      <c r="AI12" s="861"/>
      <c r="AJ12" s="861"/>
      <c r="AK12" s="861"/>
      <c r="AL12" s="861"/>
      <c r="AM12" s="861"/>
      <c r="AN12" s="861"/>
      <c r="AO12" s="861"/>
      <c r="AP12" s="582"/>
      <c r="AQ12" s="3012">
        <v>137000</v>
      </c>
      <c r="AR12" s="3012"/>
      <c r="AS12" s="3012"/>
      <c r="AT12" s="3012"/>
      <c r="AU12" s="3012"/>
      <c r="AV12" s="3012"/>
      <c r="AW12" s="705"/>
      <c r="AX12" s="222"/>
      <c r="AY12" s="222"/>
      <c r="AZ12" s="222"/>
      <c r="BA12" s="222"/>
      <c r="BB12" s="222"/>
      <c r="BC12" s="222"/>
      <c r="BD12" s="222"/>
      <c r="BE12" s="222"/>
      <c r="BF12" s="222"/>
      <c r="BG12" s="222"/>
      <c r="BH12" s="222"/>
      <c r="BI12" s="222"/>
      <c r="BJ12" s="222"/>
      <c r="BK12" s="222"/>
    </row>
    <row r="13" spans="1:63" s="46" customFormat="1" ht="20.100000000000001" customHeight="1">
      <c r="A13" s="222"/>
      <c r="B13" s="348" t="s">
        <v>48</v>
      </c>
      <c r="C13" s="3007" t="s">
        <v>1060</v>
      </c>
      <c r="D13" s="3007"/>
      <c r="E13" s="3007"/>
      <c r="F13" s="3007"/>
      <c r="G13" s="3007"/>
      <c r="H13" s="3007"/>
      <c r="I13" s="3007"/>
      <c r="J13" s="3007"/>
      <c r="K13" s="3007"/>
      <c r="L13" s="3007"/>
      <c r="M13" s="3007"/>
      <c r="N13" s="3007"/>
      <c r="O13" s="3007"/>
      <c r="P13" s="3007"/>
      <c r="Q13" s="3007"/>
      <c r="R13" s="222"/>
      <c r="S13" s="222"/>
      <c r="T13" s="222"/>
      <c r="U13" s="222"/>
      <c r="V13" s="222"/>
      <c r="W13" s="482"/>
      <c r="X13" s="860" t="s">
        <v>49</v>
      </c>
      <c r="Y13" s="222" t="s">
        <v>414</v>
      </c>
      <c r="Z13" s="849"/>
      <c r="AA13" s="861"/>
      <c r="AB13" s="593"/>
      <c r="AC13" s="861"/>
      <c r="AD13" s="593"/>
      <c r="AE13" s="593"/>
      <c r="AF13" s="599"/>
      <c r="AG13" s="222"/>
      <c r="AH13" s="599"/>
      <c r="AI13" s="861"/>
      <c r="AJ13" s="861"/>
      <c r="AK13" s="861"/>
      <c r="AL13" s="861"/>
      <c r="AM13" s="861"/>
      <c r="AN13" s="861"/>
      <c r="AO13" s="861"/>
      <c r="AP13" s="861"/>
      <c r="AQ13" s="861"/>
      <c r="AR13" s="861"/>
      <c r="AS13" s="861"/>
      <c r="AT13" s="861"/>
      <c r="AU13" s="599"/>
      <c r="AV13" s="599"/>
      <c r="AW13" s="705"/>
      <c r="AX13" s="222"/>
      <c r="AY13" s="222"/>
      <c r="AZ13" s="222"/>
      <c r="BA13" s="222"/>
      <c r="BB13" s="222"/>
      <c r="BC13" s="222"/>
      <c r="BD13" s="222"/>
      <c r="BE13" s="222"/>
      <c r="BF13" s="222"/>
      <c r="BG13" s="222"/>
      <c r="BH13" s="222"/>
      <c r="BI13" s="222"/>
      <c r="BJ13" s="222"/>
      <c r="BK13" s="222"/>
    </row>
    <row r="14" spans="1:63" s="46" customFormat="1" ht="17.25" customHeight="1">
      <c r="A14" s="222"/>
      <c r="B14" s="862"/>
      <c r="C14" s="3007"/>
      <c r="D14" s="3007"/>
      <c r="E14" s="3007"/>
      <c r="F14" s="3007"/>
      <c r="G14" s="3007"/>
      <c r="H14" s="3007"/>
      <c r="I14" s="3007"/>
      <c r="J14" s="3007"/>
      <c r="K14" s="3007"/>
      <c r="L14" s="3007"/>
      <c r="M14" s="3007"/>
      <c r="N14" s="3007"/>
      <c r="O14" s="3007"/>
      <c r="P14" s="3007"/>
      <c r="Q14" s="3007"/>
      <c r="R14" s="222"/>
      <c r="S14" s="222"/>
      <c r="T14" s="222"/>
      <c r="U14" s="222"/>
      <c r="V14" s="222"/>
      <c r="W14" s="482"/>
      <c r="X14" s="222"/>
      <c r="Y14" s="849"/>
      <c r="Z14" s="222"/>
      <c r="AA14" s="222"/>
      <c r="AB14" s="873" t="b">
        <v>1</v>
      </c>
      <c r="AC14" s="593" t="s">
        <v>415</v>
      </c>
      <c r="AD14" s="861"/>
      <c r="AE14" s="593"/>
      <c r="AF14" s="593"/>
      <c r="AG14" s="222"/>
      <c r="AH14" s="873" t="b">
        <v>0</v>
      </c>
      <c r="AI14" s="593" t="s">
        <v>416</v>
      </c>
      <c r="AJ14" s="861"/>
      <c r="AK14" s="861"/>
      <c r="AL14" s="861"/>
      <c r="AM14" s="861"/>
      <c r="AN14" s="861"/>
      <c r="AO14" s="861"/>
      <c r="AP14" s="861"/>
      <c r="AQ14" s="861"/>
      <c r="AR14" s="861"/>
      <c r="AS14" s="861"/>
      <c r="AT14" s="861"/>
      <c r="AU14" s="599"/>
      <c r="AV14" s="599"/>
      <c r="AW14" s="705"/>
      <c r="AX14" s="222"/>
      <c r="AY14" s="222"/>
      <c r="AZ14" s="222"/>
      <c r="BA14" s="222"/>
      <c r="BB14" s="222"/>
      <c r="BC14" s="222"/>
      <c r="BD14" s="222"/>
      <c r="BE14" s="222"/>
      <c r="BF14" s="222"/>
      <c r="BG14" s="222"/>
      <c r="BH14" s="222"/>
      <c r="BI14" s="222"/>
      <c r="BJ14" s="222"/>
      <c r="BK14" s="222"/>
    </row>
    <row r="15" spans="1:63" s="46" customFormat="1" ht="20.100000000000001" customHeight="1">
      <c r="A15" s="222"/>
      <c r="B15" s="348" t="s">
        <v>49</v>
      </c>
      <c r="C15" s="3007" t="s">
        <v>1061</v>
      </c>
      <c r="D15" s="3007"/>
      <c r="E15" s="3007"/>
      <c r="F15" s="3007"/>
      <c r="G15" s="3007"/>
      <c r="H15" s="3007"/>
      <c r="I15" s="3007"/>
      <c r="J15" s="3007"/>
      <c r="K15" s="3007"/>
      <c r="L15" s="3007"/>
      <c r="M15" s="3007"/>
      <c r="N15" s="3007"/>
      <c r="O15" s="3007"/>
      <c r="P15" s="3007"/>
      <c r="Q15" s="3007"/>
      <c r="R15" s="222"/>
      <c r="S15" s="222"/>
      <c r="T15" s="222"/>
      <c r="U15" s="222"/>
      <c r="V15" s="222"/>
      <c r="W15" s="482"/>
      <c r="X15" s="222"/>
      <c r="Y15" s="849"/>
      <c r="Z15" s="222"/>
      <c r="AA15" s="222"/>
      <c r="AB15" s="873" t="b">
        <v>0</v>
      </c>
      <c r="AC15" s="593" t="s">
        <v>417</v>
      </c>
      <c r="AD15" s="861"/>
      <c r="AE15" s="593"/>
      <c r="AF15" s="593"/>
      <c r="AG15" s="222"/>
      <c r="AH15" s="873" t="b">
        <v>0</v>
      </c>
      <c r="AI15" s="593" t="s">
        <v>418</v>
      </c>
      <c r="AJ15" s="861"/>
      <c r="AK15" s="861"/>
      <c r="AL15" s="861"/>
      <c r="AM15" s="861"/>
      <c r="AN15" s="861"/>
      <c r="AO15" s="222"/>
      <c r="AP15" s="861"/>
      <c r="AQ15" s="861"/>
      <c r="AR15" s="861"/>
      <c r="AS15" s="861"/>
      <c r="AT15" s="861"/>
      <c r="AU15" s="599"/>
      <c r="AV15" s="599"/>
      <c r="AW15" s="705"/>
      <c r="AX15" s="222"/>
      <c r="AY15" s="222"/>
      <c r="AZ15" s="222"/>
      <c r="BA15" s="222"/>
      <c r="BB15" s="222"/>
      <c r="BC15" s="222"/>
      <c r="BD15" s="222"/>
      <c r="BE15" s="222"/>
      <c r="BF15" s="222"/>
      <c r="BG15" s="222"/>
      <c r="BH15" s="222"/>
      <c r="BI15" s="222"/>
      <c r="BJ15" s="222"/>
      <c r="BK15" s="222"/>
    </row>
    <row r="16" spans="1:63" s="46" customFormat="1" ht="19.5">
      <c r="A16" s="222"/>
      <c r="B16" s="348"/>
      <c r="C16" s="3007"/>
      <c r="D16" s="3007"/>
      <c r="E16" s="3007"/>
      <c r="F16" s="3007"/>
      <c r="G16" s="3007"/>
      <c r="H16" s="3007"/>
      <c r="I16" s="3007"/>
      <c r="J16" s="3007"/>
      <c r="K16" s="3007"/>
      <c r="L16" s="3007"/>
      <c r="M16" s="3007"/>
      <c r="N16" s="3007"/>
      <c r="O16" s="3007"/>
      <c r="P16" s="3007"/>
      <c r="Q16" s="3007"/>
      <c r="R16" s="222"/>
      <c r="S16" s="222"/>
      <c r="T16" s="222"/>
      <c r="U16" s="222"/>
      <c r="V16" s="222"/>
      <c r="W16" s="482"/>
      <c r="X16" s="222"/>
      <c r="Y16" s="849"/>
      <c r="Z16" s="222"/>
      <c r="AA16" s="222"/>
      <c r="AB16" s="873" t="b">
        <v>0</v>
      </c>
      <c r="AC16" s="593" t="s">
        <v>419</v>
      </c>
      <c r="AD16" s="861"/>
      <c r="AE16" s="593"/>
      <c r="AF16" s="593"/>
      <c r="AG16" s="222"/>
      <c r="AH16" s="873" t="b">
        <v>0</v>
      </c>
      <c r="AI16" s="582" t="s">
        <v>1021</v>
      </c>
      <c r="AJ16" s="625"/>
      <c r="AK16" s="582"/>
      <c r="AL16" s="599"/>
      <c r="AM16" s="2617"/>
      <c r="AN16" s="2617"/>
      <c r="AO16" s="2617"/>
      <c r="AP16" s="2617"/>
      <c r="AQ16" s="2617"/>
      <c r="AR16" s="2617"/>
      <c r="AS16" s="1736" t="str">
        <f>IF(AND(electrical_funding_source_others=TRUE,ISBLANK(electrical_funding_source_others_specify)),"Please specify.",IF(AND(electrical_funding_source_others=FALSE,(electrical_funding_source_others_specify&gt;0)),"Please check Others if you have entries.",""))</f>
        <v/>
      </c>
      <c r="AT16" s="861"/>
      <c r="AU16" s="599"/>
      <c r="AV16" s="599"/>
      <c r="AW16" s="705"/>
      <c r="AX16" s="222"/>
      <c r="AY16" s="222"/>
      <c r="AZ16" s="222"/>
      <c r="BA16" s="222"/>
      <c r="BB16" s="222"/>
      <c r="BC16" s="222"/>
      <c r="BD16" s="222"/>
      <c r="BE16" s="222"/>
      <c r="BF16" s="222"/>
      <c r="BG16" s="222"/>
      <c r="BH16" s="222"/>
      <c r="BI16" s="222"/>
      <c r="BJ16" s="222"/>
      <c r="BK16" s="222"/>
    </row>
    <row r="17" spans="1:68" s="46" customFormat="1" ht="19.5">
      <c r="A17" s="222"/>
      <c r="B17" s="348" t="s">
        <v>50</v>
      </c>
      <c r="C17" s="3007" t="s">
        <v>1062</v>
      </c>
      <c r="D17" s="3007"/>
      <c r="E17" s="3007"/>
      <c r="F17" s="3007"/>
      <c r="G17" s="3007"/>
      <c r="H17" s="3007"/>
      <c r="I17" s="3007"/>
      <c r="J17" s="3007"/>
      <c r="K17" s="3007"/>
      <c r="L17" s="3007"/>
      <c r="M17" s="3007"/>
      <c r="N17" s="3007"/>
      <c r="O17" s="3007"/>
      <c r="P17" s="3007"/>
      <c r="Q17" s="3007"/>
      <c r="R17" s="222"/>
      <c r="S17" s="222"/>
      <c r="T17" s="222"/>
      <c r="U17" s="222"/>
      <c r="V17" s="222"/>
      <c r="W17" s="482"/>
      <c r="X17" s="860" t="s">
        <v>50</v>
      </c>
      <c r="Y17" s="222" t="s">
        <v>1110</v>
      </c>
      <c r="Z17" s="222"/>
      <c r="AA17" s="222"/>
      <c r="AB17" s="861"/>
      <c r="AC17" s="593"/>
      <c r="AD17" s="861"/>
      <c r="AE17" s="593"/>
      <c r="AF17" s="593"/>
      <c r="AG17" s="222"/>
      <c r="AH17" s="861"/>
      <c r="AI17" s="593"/>
      <c r="AJ17" s="861"/>
      <c r="AK17" s="861"/>
      <c r="AL17" s="861"/>
      <c r="AM17" s="861"/>
      <c r="AN17" s="2617">
        <v>24</v>
      </c>
      <c r="AO17" s="2617"/>
      <c r="AP17" s="2617"/>
      <c r="AQ17" s="2617"/>
      <c r="AR17" s="2617"/>
      <c r="AS17" s="2617"/>
      <c r="AT17" s="861"/>
      <c r="AU17" s="599"/>
      <c r="AV17" s="599"/>
      <c r="AW17" s="705"/>
      <c r="AX17" s="222"/>
      <c r="AY17" s="222"/>
      <c r="AZ17" s="222"/>
      <c r="BA17" s="222"/>
      <c r="BB17" s="222"/>
      <c r="BC17" s="222"/>
      <c r="BD17" s="222"/>
      <c r="BE17" s="222"/>
      <c r="BF17" s="222"/>
      <c r="BG17" s="222"/>
      <c r="BH17" s="222"/>
      <c r="BI17" s="222"/>
      <c r="BJ17" s="222"/>
      <c r="BK17" s="222"/>
    </row>
    <row r="18" spans="1:68" s="46" customFormat="1" ht="7.5" customHeight="1" thickBot="1">
      <c r="A18" s="222"/>
      <c r="B18" s="800"/>
      <c r="C18" s="3007"/>
      <c r="D18" s="3007"/>
      <c r="E18" s="3007"/>
      <c r="F18" s="3007"/>
      <c r="G18" s="3007"/>
      <c r="H18" s="3007"/>
      <c r="I18" s="3007"/>
      <c r="J18" s="3007"/>
      <c r="K18" s="3007"/>
      <c r="L18" s="3007"/>
      <c r="M18" s="3007"/>
      <c r="N18" s="3007"/>
      <c r="O18" s="3007"/>
      <c r="P18" s="3007"/>
      <c r="Q18" s="3007"/>
      <c r="R18" s="222"/>
      <c r="S18" s="222"/>
      <c r="T18" s="222"/>
      <c r="U18" s="222"/>
      <c r="V18" s="222"/>
      <c r="W18" s="863"/>
      <c r="X18" s="864"/>
      <c r="Y18" s="865"/>
      <c r="Z18" s="865"/>
      <c r="AA18" s="865"/>
      <c r="AB18" s="866"/>
      <c r="AC18" s="596"/>
      <c r="AD18" s="866"/>
      <c r="AE18" s="596"/>
      <c r="AF18" s="596"/>
      <c r="AG18" s="709"/>
      <c r="AH18" s="709"/>
      <c r="AI18" s="866"/>
      <c r="AJ18" s="866"/>
      <c r="AK18" s="866"/>
      <c r="AL18" s="866"/>
      <c r="AM18" s="866"/>
      <c r="AN18" s="866"/>
      <c r="AO18" s="866"/>
      <c r="AP18" s="866"/>
      <c r="AQ18" s="866"/>
      <c r="AR18" s="866"/>
      <c r="AS18" s="866"/>
      <c r="AT18" s="866"/>
      <c r="AU18" s="786"/>
      <c r="AV18" s="786"/>
      <c r="AW18" s="710"/>
      <c r="AX18" s="222"/>
      <c r="AY18" s="222"/>
      <c r="AZ18" s="222"/>
      <c r="BA18" s="222"/>
      <c r="BB18" s="222"/>
      <c r="BC18" s="222"/>
      <c r="BD18" s="222"/>
      <c r="BE18" s="222"/>
      <c r="BF18" s="222"/>
      <c r="BG18" s="222"/>
      <c r="BH18" s="222"/>
      <c r="BI18" s="222"/>
      <c r="BJ18" s="222"/>
      <c r="BK18" s="222"/>
    </row>
    <row r="19" spans="1:68" s="46" customFormat="1" ht="29.1" customHeight="1">
      <c r="A19" s="222"/>
      <c r="B19" s="800"/>
      <c r="C19" s="3007"/>
      <c r="D19" s="3007"/>
      <c r="E19" s="3007"/>
      <c r="F19" s="3007"/>
      <c r="G19" s="3007"/>
      <c r="H19" s="3007"/>
      <c r="I19" s="3007"/>
      <c r="J19" s="3007"/>
      <c r="K19" s="3007"/>
      <c r="L19" s="3007"/>
      <c r="M19" s="3007"/>
      <c r="N19" s="3007"/>
      <c r="O19" s="3007"/>
      <c r="P19" s="3007"/>
      <c r="Q19" s="3007"/>
      <c r="R19" s="222"/>
      <c r="S19" s="222"/>
      <c r="T19" s="222"/>
      <c r="U19" s="222"/>
      <c r="V19" s="222"/>
      <c r="W19" s="348" t="s">
        <v>47</v>
      </c>
      <c r="X19" s="3009" t="s">
        <v>1063</v>
      </c>
      <c r="Y19" s="3009"/>
      <c r="Z19" s="3009"/>
      <c r="AA19" s="3009"/>
      <c r="AB19" s="3009"/>
      <c r="AC19" s="3009"/>
      <c r="AD19" s="3009"/>
      <c r="AE19" s="3009"/>
      <c r="AF19" s="3009"/>
      <c r="AG19" s="3009"/>
      <c r="AH19" s="3009"/>
      <c r="AI19" s="3009"/>
      <c r="AJ19" s="3009"/>
      <c r="AK19" s="3009"/>
      <c r="AL19" s="3009"/>
      <c r="AM19" s="3009"/>
      <c r="AN19" s="3009"/>
      <c r="AO19" s="3009"/>
      <c r="AP19" s="3009"/>
      <c r="AQ19" s="3009"/>
      <c r="AR19" s="3009"/>
      <c r="AS19" s="3009"/>
      <c r="AT19" s="3009"/>
      <c r="AU19" s="3009"/>
      <c r="AV19" s="3009"/>
      <c r="AW19" s="3009"/>
      <c r="AX19" s="222"/>
      <c r="AY19" s="222"/>
      <c r="AZ19" s="222"/>
      <c r="BA19" s="222"/>
      <c r="BB19" s="222"/>
      <c r="BC19" s="222"/>
      <c r="BD19" s="222"/>
      <c r="BE19" s="222"/>
      <c r="BF19" s="222"/>
      <c r="BG19" s="222"/>
      <c r="BH19" s="222"/>
      <c r="BI19" s="222"/>
      <c r="BJ19" s="222"/>
      <c r="BK19" s="222"/>
    </row>
    <row r="20" spans="1:68" s="46" customFormat="1" ht="29.1" customHeight="1">
      <c r="A20" s="222"/>
      <c r="B20" s="222"/>
      <c r="C20" s="222"/>
      <c r="D20" s="222"/>
      <c r="E20" s="222"/>
      <c r="F20" s="222"/>
      <c r="G20" s="222"/>
      <c r="H20" s="222"/>
      <c r="I20" s="222"/>
      <c r="J20" s="222"/>
      <c r="K20" s="222"/>
      <c r="L20" s="222"/>
      <c r="M20" s="222"/>
      <c r="N20" s="222"/>
      <c r="O20" s="222"/>
      <c r="P20" s="222"/>
      <c r="Q20" s="222"/>
      <c r="R20" s="867"/>
      <c r="S20" s="867"/>
      <c r="T20" s="867"/>
      <c r="U20" s="867"/>
      <c r="V20" s="867"/>
      <c r="W20" s="348" t="s">
        <v>48</v>
      </c>
      <c r="X20" s="3007" t="s">
        <v>1064</v>
      </c>
      <c r="Y20" s="3007"/>
      <c r="Z20" s="3007"/>
      <c r="AA20" s="3007"/>
      <c r="AB20" s="3007"/>
      <c r="AC20" s="3007"/>
      <c r="AD20" s="3007"/>
      <c r="AE20" s="3007"/>
      <c r="AF20" s="3007"/>
      <c r="AG20" s="3007"/>
      <c r="AH20" s="3007"/>
      <c r="AI20" s="3007"/>
      <c r="AJ20" s="3007"/>
      <c r="AK20" s="3007"/>
      <c r="AL20" s="3007"/>
      <c r="AM20" s="3007"/>
      <c r="AN20" s="3007"/>
      <c r="AO20" s="3007"/>
      <c r="AP20" s="3007"/>
      <c r="AQ20" s="3007"/>
      <c r="AR20" s="3007"/>
      <c r="AS20" s="3007"/>
      <c r="AT20" s="3007"/>
      <c r="AU20" s="3007"/>
      <c r="AV20" s="3007"/>
      <c r="AW20" s="3007"/>
      <c r="AX20" s="222"/>
      <c r="AY20" s="222"/>
      <c r="AZ20" s="222"/>
      <c r="BA20" s="222"/>
      <c r="BB20" s="222"/>
      <c r="BC20" s="222"/>
      <c r="BD20" s="222"/>
      <c r="BE20" s="222"/>
      <c r="BF20" s="222"/>
      <c r="BG20" s="222"/>
      <c r="BH20" s="222"/>
      <c r="BI20" s="222"/>
      <c r="BJ20" s="222"/>
      <c r="BK20" s="222"/>
    </row>
    <row r="21" spans="1:68" s="46" customFormat="1" ht="15.75" customHeight="1">
      <c r="A21" s="222"/>
      <c r="B21" s="309"/>
      <c r="C21" s="309"/>
      <c r="D21" s="309"/>
      <c r="E21" s="309"/>
      <c r="F21" s="309"/>
      <c r="G21" s="309"/>
      <c r="H21" s="309"/>
      <c r="I21" s="309"/>
      <c r="J21" s="309"/>
      <c r="K21" s="309"/>
      <c r="L21" s="309"/>
      <c r="M21" s="309"/>
      <c r="N21" s="309"/>
      <c r="O21" s="309"/>
      <c r="P21" s="309"/>
      <c r="Q21" s="309"/>
      <c r="R21" s="222"/>
      <c r="S21" s="222"/>
      <c r="T21" s="222"/>
      <c r="U21" s="222"/>
      <c r="V21" s="222"/>
      <c r="W21" s="868" t="s">
        <v>49</v>
      </c>
      <c r="X21" s="3008" t="s">
        <v>1065</v>
      </c>
      <c r="Y21" s="3008"/>
      <c r="Z21" s="3008"/>
      <c r="AA21" s="3008"/>
      <c r="AB21" s="3008"/>
      <c r="AC21" s="3008"/>
      <c r="AD21" s="3008"/>
      <c r="AE21" s="3008"/>
      <c r="AF21" s="3008"/>
      <c r="AG21" s="3008"/>
      <c r="AH21" s="3008"/>
      <c r="AI21" s="3008"/>
      <c r="AJ21" s="3008"/>
      <c r="AK21" s="3008"/>
      <c r="AL21" s="3008"/>
      <c r="AM21" s="3008"/>
      <c r="AN21" s="3008"/>
      <c r="AO21" s="3008"/>
      <c r="AP21" s="3008"/>
      <c r="AQ21" s="3008"/>
      <c r="AR21" s="3008"/>
      <c r="AS21" s="3008"/>
      <c r="AT21" s="3008"/>
      <c r="AU21" s="3008"/>
      <c r="AV21" s="3008"/>
      <c r="AW21" s="3008"/>
      <c r="AX21" s="222"/>
      <c r="AY21" s="222"/>
      <c r="AZ21" s="222"/>
      <c r="BA21" s="222"/>
      <c r="BB21" s="222"/>
      <c r="BC21" s="222"/>
      <c r="BD21" s="222"/>
      <c r="BE21" s="222"/>
      <c r="BF21" s="222"/>
      <c r="BG21" s="222"/>
      <c r="BH21" s="222"/>
      <c r="BI21" s="222"/>
      <c r="BJ21" s="222"/>
      <c r="BK21" s="222"/>
    </row>
    <row r="22" spans="1:68" s="46" customFormat="1" ht="30.75" customHeight="1">
      <c r="A22" s="222"/>
      <c r="B22" s="857"/>
      <c r="C22" s="222"/>
      <c r="D22" s="857"/>
      <c r="E22" s="222"/>
      <c r="F22" s="857"/>
      <c r="G22" s="222"/>
      <c r="H22" s="857"/>
      <c r="I22" s="222"/>
      <c r="J22" s="857"/>
      <c r="K22" s="222"/>
      <c r="L22" s="857"/>
      <c r="M22" s="222"/>
      <c r="N22" s="857"/>
      <c r="O22" s="222"/>
      <c r="P22" s="857"/>
      <c r="Q22" s="599"/>
      <c r="R22" s="580"/>
      <c r="S22" s="580"/>
      <c r="T22" s="580"/>
      <c r="U22" s="580"/>
      <c r="V22" s="580"/>
      <c r="W22" s="857"/>
      <c r="X22" s="222"/>
      <c r="Y22" s="857"/>
      <c r="Z22" s="222"/>
      <c r="AA22" s="857"/>
      <c r="AB22" s="222"/>
      <c r="AC22" s="857"/>
      <c r="AD22" s="222"/>
      <c r="AE22" s="222"/>
      <c r="AF22" s="222"/>
      <c r="AG22" s="857"/>
      <c r="AH22" s="222"/>
      <c r="AI22" s="222"/>
      <c r="AJ22" s="857"/>
      <c r="AK22" s="222"/>
      <c r="AL22" s="857"/>
      <c r="AM22" s="601"/>
      <c r="AN22" s="601"/>
      <c r="AO22" s="601"/>
      <c r="AP22" s="601"/>
      <c r="AQ22" s="601"/>
      <c r="AR22" s="601"/>
      <c r="AS22" s="601"/>
      <c r="AT22" s="601"/>
      <c r="AU22" s="601"/>
      <c r="AV22" s="601"/>
      <c r="AW22" s="601"/>
      <c r="AX22" s="601"/>
      <c r="AY22" s="222"/>
      <c r="AZ22" s="222"/>
      <c r="BA22" s="222"/>
      <c r="BB22" s="222"/>
      <c r="BC22" s="222"/>
      <c r="BD22" s="222"/>
      <c r="BE22" s="222"/>
      <c r="BF22" s="222"/>
      <c r="BG22" s="222"/>
      <c r="BH22" s="222"/>
      <c r="BI22" s="222"/>
      <c r="BJ22" s="222"/>
      <c r="BK22" s="222"/>
    </row>
    <row r="23" spans="1:68" s="46" customFormat="1">
      <c r="A23" s="222"/>
      <c r="B23" s="223" t="s">
        <v>420</v>
      </c>
      <c r="C23" s="222"/>
      <c r="D23" s="222"/>
      <c r="E23" s="222"/>
      <c r="F23" s="222"/>
      <c r="G23" s="222"/>
      <c r="H23" s="222"/>
      <c r="I23" s="222"/>
      <c r="J23" s="222"/>
      <c r="K23" s="222"/>
      <c r="L23" s="222"/>
      <c r="M23" s="222"/>
      <c r="N23" s="222"/>
      <c r="O23" s="222"/>
      <c r="P23" s="222"/>
      <c r="Q23" s="222"/>
      <c r="R23" s="222"/>
      <c r="S23" s="222"/>
      <c r="T23" s="222"/>
      <c r="U23" s="222"/>
      <c r="V23" s="222"/>
      <c r="W23" s="222"/>
      <c r="X23" s="222"/>
      <c r="Y23" s="222"/>
      <c r="Z23" s="222"/>
      <c r="AA23" s="222"/>
      <c r="AB23" s="222"/>
      <c r="AC23" s="222"/>
      <c r="AD23" s="222"/>
      <c r="AE23" s="222"/>
      <c r="AF23" s="222"/>
      <c r="AG23" s="222"/>
      <c r="AH23" s="222"/>
      <c r="AI23" s="222"/>
      <c r="AJ23" s="223" t="s">
        <v>421</v>
      </c>
      <c r="AK23" s="222"/>
      <c r="AL23" s="222"/>
      <c r="AM23" s="222"/>
      <c r="AN23" s="222"/>
      <c r="AO23" s="222"/>
      <c r="AP23" s="222"/>
      <c r="AQ23" s="222"/>
      <c r="AR23" s="222"/>
      <c r="AS23" s="222"/>
      <c r="AT23" s="222"/>
      <c r="AU23" s="222"/>
      <c r="AV23" s="222"/>
      <c r="AW23" s="222"/>
      <c r="AX23" s="222"/>
      <c r="AY23" s="222"/>
      <c r="AZ23" s="222"/>
      <c r="BA23" s="222"/>
      <c r="BB23" s="222"/>
      <c r="BC23" s="222"/>
      <c r="BD23" s="222"/>
      <c r="BE23" s="222"/>
      <c r="BF23" s="222"/>
      <c r="BG23" s="222"/>
      <c r="BH23" s="222"/>
      <c r="BI23" s="222"/>
      <c r="BJ23" s="222"/>
      <c r="BK23" s="222"/>
    </row>
    <row r="24" spans="1:68" s="1" customFormat="1" ht="21.75" customHeight="1">
      <c r="A24" s="331"/>
      <c r="B24" s="1822" t="s">
        <v>11918</v>
      </c>
      <c r="C24" s="1822"/>
      <c r="D24" s="1822"/>
      <c r="E24" s="1822"/>
      <c r="F24" s="1822"/>
      <c r="G24" s="1822"/>
      <c r="H24" s="1822"/>
      <c r="I24" s="1822"/>
      <c r="J24" s="1822"/>
      <c r="K24" s="1822"/>
      <c r="L24" s="1822"/>
      <c r="M24" s="1822"/>
      <c r="N24" s="1822"/>
      <c r="O24" s="1822"/>
      <c r="P24" s="1822"/>
      <c r="Q24" s="331"/>
      <c r="R24" s="331"/>
      <c r="S24" s="331"/>
      <c r="T24" s="331"/>
      <c r="U24" s="331"/>
      <c r="V24" s="331"/>
      <c r="W24" s="331"/>
      <c r="X24" s="331"/>
      <c r="Y24" s="331"/>
      <c r="Z24" s="331"/>
      <c r="AA24" s="331"/>
      <c r="AB24" s="331"/>
      <c r="AC24" s="331"/>
      <c r="AD24" s="331"/>
      <c r="AE24" s="331"/>
      <c r="AF24" s="331"/>
      <c r="AG24" s="331"/>
      <c r="AH24" s="331"/>
      <c r="AI24" s="331"/>
      <c r="AJ24" s="1822" t="s">
        <v>11919</v>
      </c>
      <c r="AK24" s="1822"/>
      <c r="AL24" s="1822"/>
      <c r="AM24" s="1822"/>
      <c r="AN24" s="1822"/>
      <c r="AO24" s="1822"/>
      <c r="AP24" s="1822"/>
      <c r="AQ24" s="1822"/>
      <c r="AR24" s="1822"/>
      <c r="AS24" s="1822"/>
      <c r="AT24" s="1822"/>
      <c r="AU24" s="1822"/>
      <c r="AV24" s="1822"/>
      <c r="AW24" s="1822"/>
      <c r="AX24" s="387"/>
      <c r="AY24" s="331"/>
      <c r="AZ24" s="331"/>
      <c r="BA24" s="331"/>
      <c r="BB24" s="331"/>
      <c r="BC24" s="331"/>
      <c r="BD24" s="331"/>
      <c r="BE24" s="331"/>
      <c r="BF24" s="331"/>
      <c r="BG24" s="331"/>
      <c r="BH24" s="331"/>
      <c r="BI24" s="331"/>
      <c r="BJ24" s="331"/>
      <c r="BK24" s="331"/>
    </row>
    <row r="25" spans="1:68" s="2" customFormat="1" ht="13.5">
      <c r="A25" s="325"/>
      <c r="B25" s="1811" t="s">
        <v>37</v>
      </c>
      <c r="C25" s="1811"/>
      <c r="D25" s="1811"/>
      <c r="E25" s="1811"/>
      <c r="F25" s="1811"/>
      <c r="G25" s="1811"/>
      <c r="H25" s="1811"/>
      <c r="I25" s="1811"/>
      <c r="J25" s="1811"/>
      <c r="K25" s="1811"/>
      <c r="L25" s="1811"/>
      <c r="M25" s="1811"/>
      <c r="N25" s="1811"/>
      <c r="O25" s="1811"/>
      <c r="P25" s="1811"/>
      <c r="Q25" s="281"/>
      <c r="R25" s="281"/>
      <c r="S25" s="281"/>
      <c r="T25" s="281"/>
      <c r="U25" s="281"/>
      <c r="V25" s="281"/>
      <c r="W25" s="281"/>
      <c r="X25" s="281"/>
      <c r="Y25" s="281"/>
      <c r="Z25" s="281"/>
      <c r="AA25" s="281"/>
      <c r="AB25" s="281"/>
      <c r="AC25" s="281"/>
      <c r="AD25" s="281"/>
      <c r="AE25" s="281"/>
      <c r="AF25" s="281"/>
      <c r="AG25" s="281"/>
      <c r="AH25" s="281"/>
      <c r="AI25" s="281"/>
      <c r="AJ25" s="2519" t="s">
        <v>37</v>
      </c>
      <c r="AK25" s="2519"/>
      <c r="AL25" s="2519"/>
      <c r="AM25" s="2519"/>
      <c r="AN25" s="2519"/>
      <c r="AO25" s="2519"/>
      <c r="AP25" s="2519"/>
      <c r="AQ25" s="2519"/>
      <c r="AR25" s="2519"/>
      <c r="AS25" s="2519"/>
      <c r="AT25" s="2519"/>
      <c r="AU25" s="2519"/>
      <c r="AV25" s="2519"/>
      <c r="AW25" s="2519"/>
      <c r="AX25" s="247"/>
      <c r="AY25" s="325"/>
      <c r="AZ25" s="325"/>
      <c r="BA25" s="325"/>
      <c r="BB25" s="325"/>
      <c r="BC25" s="325"/>
      <c r="BD25" s="325"/>
      <c r="BE25" s="325"/>
      <c r="BF25" s="325"/>
      <c r="BG25" s="325"/>
      <c r="BH25" s="325"/>
      <c r="BI25" s="325"/>
      <c r="BJ25" s="325"/>
      <c r="BK25" s="325"/>
    </row>
    <row r="26" spans="1:68" s="46" customFormat="1" ht="21.75" customHeight="1">
      <c r="A26" s="222"/>
      <c r="B26" s="223" t="s">
        <v>58</v>
      </c>
      <c r="C26" s="222"/>
      <c r="D26" s="222"/>
      <c r="E26" s="222"/>
      <c r="F26" s="1822" t="s">
        <v>11908</v>
      </c>
      <c r="G26" s="1822"/>
      <c r="H26" s="1822"/>
      <c r="I26" s="1822"/>
      <c r="J26" s="1822"/>
      <c r="K26" s="1822"/>
      <c r="L26" s="1822"/>
      <c r="M26" s="1822"/>
      <c r="N26" s="1822"/>
      <c r="O26" s="1822"/>
      <c r="P26" s="1822"/>
      <c r="Q26" s="222"/>
      <c r="R26" s="222"/>
      <c r="S26" s="222"/>
      <c r="T26" s="222"/>
      <c r="U26" s="222"/>
      <c r="V26" s="222"/>
      <c r="W26" s="222"/>
      <c r="X26" s="222"/>
      <c r="Y26" s="222"/>
      <c r="Z26" s="222"/>
      <c r="AA26" s="222"/>
      <c r="AB26" s="222"/>
      <c r="AC26" s="222"/>
      <c r="AD26" s="222"/>
      <c r="AE26" s="222"/>
      <c r="AF26" s="222"/>
      <c r="AG26" s="222"/>
      <c r="AH26" s="222"/>
      <c r="AI26" s="222"/>
      <c r="AJ26" s="223" t="s">
        <v>58</v>
      </c>
      <c r="AK26" s="222"/>
      <c r="AL26" s="222"/>
      <c r="AM26" s="222"/>
      <c r="AN26" s="1822" t="s">
        <v>11907</v>
      </c>
      <c r="AO26" s="1822"/>
      <c r="AP26" s="1822"/>
      <c r="AQ26" s="1822"/>
      <c r="AR26" s="1822"/>
      <c r="AS26" s="1822"/>
      <c r="AT26" s="1822"/>
      <c r="AU26" s="1822"/>
      <c r="AV26" s="1822"/>
      <c r="AW26" s="1822"/>
      <c r="AX26" s="387"/>
      <c r="AY26" s="222"/>
      <c r="AZ26" s="222"/>
      <c r="BA26" s="222"/>
      <c r="BB26" s="222"/>
      <c r="BC26" s="222"/>
      <c r="BD26" s="222"/>
      <c r="BE26" s="222"/>
      <c r="BF26" s="222"/>
      <c r="BG26" s="222"/>
      <c r="BH26" s="222"/>
      <c r="BI26" s="222"/>
      <c r="BJ26" s="222"/>
      <c r="BK26" s="222"/>
    </row>
    <row r="27" spans="1:68" s="46" customFormat="1" ht="30.75" customHeight="1">
      <c r="A27" s="222"/>
      <c r="B27" s="223"/>
      <c r="C27" s="222"/>
      <c r="D27" s="222"/>
      <c r="E27" s="222"/>
      <c r="F27" s="222"/>
      <c r="G27" s="222"/>
      <c r="H27" s="222"/>
      <c r="I27" s="222"/>
      <c r="J27" s="222"/>
      <c r="K27" s="222"/>
      <c r="L27" s="222"/>
      <c r="M27" s="222"/>
      <c r="N27" s="222"/>
      <c r="O27" s="222"/>
      <c r="P27" s="222"/>
      <c r="Q27" s="222"/>
      <c r="R27" s="222"/>
      <c r="S27" s="222"/>
      <c r="T27" s="222"/>
      <c r="U27" s="222"/>
      <c r="V27" s="222"/>
      <c r="W27" s="222"/>
      <c r="X27" s="222"/>
      <c r="Y27" s="222"/>
      <c r="Z27" s="222"/>
      <c r="AA27" s="222"/>
      <c r="AB27" s="222"/>
      <c r="AC27" s="222"/>
      <c r="AD27" s="222"/>
      <c r="AE27" s="222"/>
      <c r="AF27" s="222"/>
      <c r="AG27" s="222"/>
      <c r="AH27" s="222"/>
      <c r="AI27" s="222"/>
      <c r="AJ27" s="222"/>
      <c r="AK27" s="222"/>
      <c r="AL27" s="222"/>
      <c r="AM27" s="222"/>
      <c r="AN27" s="222"/>
      <c r="AO27" s="222"/>
      <c r="AP27" s="222"/>
      <c r="AQ27" s="222"/>
      <c r="AR27" s="222"/>
      <c r="AS27" s="222"/>
      <c r="AT27" s="222"/>
      <c r="AU27" s="222"/>
      <c r="AV27" s="222"/>
      <c r="AW27" s="222"/>
      <c r="AX27" s="222"/>
      <c r="AY27" s="222"/>
      <c r="AZ27" s="222"/>
      <c r="BA27" s="222"/>
      <c r="BB27" s="222"/>
      <c r="BC27" s="222"/>
      <c r="BD27" s="222"/>
      <c r="BE27" s="222"/>
      <c r="BF27" s="222"/>
      <c r="BG27" s="222"/>
      <c r="BH27" s="222"/>
      <c r="BI27" s="222"/>
      <c r="BJ27" s="222"/>
      <c r="BK27" s="222"/>
    </row>
    <row r="28" spans="1:68" s="46" customFormat="1" ht="30.75" customHeight="1">
      <c r="A28" s="222"/>
      <c r="B28" s="869"/>
      <c r="C28" s="869"/>
      <c r="D28" s="869"/>
      <c r="E28" s="869"/>
      <c r="F28" s="869"/>
      <c r="G28" s="869"/>
      <c r="H28" s="869"/>
      <c r="I28" s="869"/>
      <c r="J28" s="869"/>
      <c r="K28" s="869"/>
      <c r="L28" s="869"/>
      <c r="M28" s="869"/>
      <c r="N28" s="869"/>
      <c r="O28" s="869"/>
      <c r="P28" s="869"/>
      <c r="Q28" s="309"/>
      <c r="R28" s="222"/>
      <c r="S28" s="222"/>
      <c r="T28" s="222"/>
      <c r="U28" s="222"/>
      <c r="V28" s="222"/>
      <c r="W28" s="869"/>
      <c r="X28" s="869"/>
      <c r="Y28" s="869"/>
      <c r="Z28" s="869"/>
      <c r="AA28" s="869"/>
      <c r="AB28" s="869"/>
      <c r="AC28" s="869"/>
      <c r="AD28" s="869"/>
      <c r="AE28" s="869"/>
      <c r="AF28" s="869"/>
      <c r="AG28" s="869"/>
      <c r="AH28" s="869"/>
      <c r="AI28" s="869"/>
      <c r="AJ28" s="869"/>
      <c r="AK28" s="869"/>
      <c r="AL28" s="869"/>
      <c r="AM28" s="869"/>
      <c r="AN28" s="869"/>
      <c r="AO28" s="869"/>
      <c r="AP28" s="869"/>
      <c r="AQ28" s="869"/>
      <c r="AR28" s="869"/>
      <c r="AS28" s="869"/>
      <c r="AT28" s="869"/>
      <c r="AU28" s="222"/>
      <c r="AV28" s="222"/>
      <c r="AW28" s="222"/>
      <c r="AX28" s="222"/>
      <c r="AY28" s="222"/>
      <c r="AZ28" s="222"/>
      <c r="BA28" s="222"/>
      <c r="BB28" s="222"/>
      <c r="BC28" s="222"/>
      <c r="BD28" s="222"/>
      <c r="BE28" s="222"/>
      <c r="BF28" s="222"/>
      <c r="BG28" s="222"/>
      <c r="BH28" s="222"/>
      <c r="BI28" s="222"/>
      <c r="BJ28" s="222"/>
      <c r="BK28" s="222"/>
    </row>
    <row r="29" spans="1:68" s="46" customFormat="1">
      <c r="A29" s="222"/>
      <c r="B29" s="223" t="s">
        <v>32</v>
      </c>
      <c r="C29" s="222"/>
      <c r="D29" s="222"/>
      <c r="E29" s="222"/>
      <c r="F29" s="222"/>
      <c r="G29" s="222"/>
      <c r="H29" s="222"/>
      <c r="I29" s="222"/>
      <c r="J29" s="222"/>
      <c r="K29" s="222"/>
      <c r="L29" s="222"/>
      <c r="M29" s="222"/>
      <c r="N29" s="222"/>
      <c r="O29" s="222"/>
      <c r="P29" s="222"/>
      <c r="Q29" s="222"/>
      <c r="R29" s="222"/>
      <c r="S29" s="222"/>
      <c r="T29" s="222"/>
      <c r="U29" s="222"/>
      <c r="V29" s="222"/>
      <c r="W29" s="222"/>
      <c r="X29" s="222"/>
      <c r="Y29" s="222"/>
      <c r="Z29" s="222"/>
      <c r="AA29" s="222"/>
      <c r="AB29" s="222"/>
      <c r="AC29" s="222"/>
      <c r="AD29" s="222"/>
      <c r="AE29" s="222"/>
      <c r="AF29" s="222"/>
      <c r="AG29" s="222"/>
      <c r="AH29" s="222"/>
      <c r="AI29" s="222"/>
      <c r="AJ29" s="223" t="s">
        <v>33</v>
      </c>
      <c r="AK29" s="222"/>
      <c r="AL29" s="222"/>
      <c r="AM29" s="222"/>
      <c r="AN29" s="222"/>
      <c r="AO29" s="222"/>
      <c r="AP29" s="222"/>
      <c r="AQ29" s="222"/>
      <c r="AR29" s="222"/>
      <c r="AS29" s="222"/>
      <c r="AT29" s="222"/>
      <c r="AU29" s="222"/>
      <c r="AV29" s="222"/>
      <c r="AW29" s="222"/>
      <c r="AX29" s="222"/>
      <c r="AY29" s="222"/>
      <c r="AZ29" s="222"/>
      <c r="BA29" s="222"/>
      <c r="BB29" s="222"/>
      <c r="BC29" s="222"/>
      <c r="BD29" s="222"/>
      <c r="BE29" s="222"/>
      <c r="BF29" s="222"/>
      <c r="BG29" s="222"/>
      <c r="BH29" s="222"/>
      <c r="BI29" s="222"/>
      <c r="BJ29" s="222"/>
      <c r="BK29" s="222"/>
    </row>
    <row r="30" spans="1:68" s="46" customFormat="1" ht="21.75" customHeight="1">
      <c r="A30" s="222"/>
      <c r="B30" s="223" t="s">
        <v>73</v>
      </c>
      <c r="C30" s="222"/>
      <c r="D30" s="222"/>
      <c r="E30" s="222"/>
      <c r="F30" s="2012" t="str">
        <f>activesheet!E21</f>
        <v>MELCHESIEDICK Q. BOLANIO / March 17, 2023</v>
      </c>
      <c r="G30" s="2012"/>
      <c r="H30" s="2012"/>
      <c r="I30" s="2012"/>
      <c r="J30" s="2012"/>
      <c r="K30" s="2012"/>
      <c r="L30" s="2012"/>
      <c r="M30" s="2012"/>
      <c r="N30" s="2012"/>
      <c r="O30" s="2012"/>
      <c r="P30" s="2012"/>
      <c r="Q30" s="222"/>
      <c r="R30" s="222"/>
      <c r="S30" s="222"/>
      <c r="T30" s="222"/>
      <c r="U30" s="222"/>
      <c r="V30" s="222"/>
      <c r="W30" s="222"/>
      <c r="X30" s="222"/>
      <c r="Y30" s="222"/>
      <c r="Z30" s="222"/>
      <c r="AA30" s="222"/>
      <c r="AB30" s="222"/>
      <c r="AC30" s="222"/>
      <c r="AD30" s="222"/>
      <c r="AE30" s="222"/>
      <c r="AF30" s="222"/>
      <c r="AG30" s="222"/>
      <c r="AH30" s="222"/>
      <c r="AI30" s="222"/>
      <c r="AJ30" s="1940" t="str">
        <f>activesheet!E25</f>
        <v>MICHAEL T. JAMIS / March 17, 2023</v>
      </c>
      <c r="AK30" s="1940"/>
      <c r="AL30" s="1940"/>
      <c r="AM30" s="1940"/>
      <c r="AN30" s="1940"/>
      <c r="AO30" s="1940"/>
      <c r="AP30" s="1940"/>
      <c r="AQ30" s="1940"/>
      <c r="AR30" s="1940"/>
      <c r="AS30" s="1940"/>
      <c r="AT30" s="1940"/>
      <c r="AU30" s="1940"/>
      <c r="AV30" s="1940"/>
      <c r="AW30" s="1940"/>
      <c r="AX30" s="664"/>
      <c r="AY30" s="222"/>
      <c r="AZ30" s="222"/>
      <c r="BA30" s="222"/>
      <c r="BB30" s="222"/>
      <c r="BC30" s="222"/>
      <c r="BD30" s="222"/>
      <c r="BE30" s="222"/>
      <c r="BF30" s="222"/>
      <c r="BG30" s="222"/>
      <c r="BH30" s="222"/>
      <c r="BI30" s="222"/>
      <c r="BJ30" s="222"/>
      <c r="BK30" s="222"/>
    </row>
    <row r="31" spans="1:68" s="104" customFormat="1">
      <c r="A31" s="870"/>
      <c r="B31" s="322"/>
      <c r="C31" s="870"/>
      <c r="D31" s="870"/>
      <c r="E31" s="870"/>
      <c r="F31" s="1811" t="s">
        <v>37</v>
      </c>
      <c r="G31" s="1811"/>
      <c r="H31" s="1811"/>
      <c r="I31" s="1811"/>
      <c r="J31" s="1811"/>
      <c r="K31" s="1811"/>
      <c r="L31" s="1811"/>
      <c r="M31" s="1811"/>
      <c r="N31" s="1811"/>
      <c r="O31" s="1811"/>
      <c r="P31" s="1811"/>
      <c r="Q31" s="321"/>
      <c r="R31" s="321"/>
      <c r="S31" s="321"/>
      <c r="T31" s="871"/>
      <c r="U31" s="871"/>
      <c r="V31" s="871"/>
      <c r="W31" s="871"/>
      <c r="X31" s="871"/>
      <c r="Y31" s="871"/>
      <c r="Z31" s="871"/>
      <c r="AA31" s="871"/>
      <c r="AB31" s="871"/>
      <c r="AC31" s="871"/>
      <c r="AD31" s="871"/>
      <c r="AE31" s="871"/>
      <c r="AF31" s="871"/>
      <c r="AG31" s="871"/>
      <c r="AH31" s="871"/>
      <c r="AI31" s="871"/>
      <c r="AJ31" s="1941"/>
      <c r="AK31" s="1941"/>
      <c r="AL31" s="1941"/>
      <c r="AM31" s="1941"/>
      <c r="AN31" s="1941"/>
      <c r="AO31" s="1941"/>
      <c r="AP31" s="1941"/>
      <c r="AQ31" s="1941"/>
      <c r="AR31" s="1941"/>
      <c r="AS31" s="1941"/>
      <c r="AT31" s="1941"/>
      <c r="AU31" s="1941"/>
      <c r="AV31" s="1941"/>
      <c r="AW31" s="1941"/>
      <c r="AX31" s="664"/>
      <c r="AY31" s="321"/>
      <c r="AZ31" s="872"/>
      <c r="BA31" s="872"/>
      <c r="BB31" s="872"/>
      <c r="BC31" s="872"/>
      <c r="BD31" s="872"/>
      <c r="BE31" s="872"/>
      <c r="BF31" s="872"/>
      <c r="BG31" s="872"/>
      <c r="BH31" s="872"/>
      <c r="BI31" s="872"/>
      <c r="BJ31" s="872"/>
      <c r="BK31" s="872"/>
      <c r="BL31" s="105"/>
      <c r="BM31" s="105"/>
      <c r="BN31" s="105"/>
      <c r="BO31" s="105"/>
      <c r="BP31" s="105"/>
    </row>
    <row r="32" spans="1:68" s="46" customFormat="1" ht="21.75" customHeight="1">
      <c r="A32" s="222"/>
      <c r="B32" s="223" t="s">
        <v>240</v>
      </c>
      <c r="C32" s="222"/>
      <c r="D32" s="222"/>
      <c r="E32" s="222"/>
      <c r="F32" s="2012" t="str">
        <f>activesheet!E22</f>
        <v>SECONDARY SCHOOL PRINCIPAL IV</v>
      </c>
      <c r="G32" s="2012"/>
      <c r="H32" s="2012"/>
      <c r="I32" s="2012"/>
      <c r="J32" s="2012"/>
      <c r="K32" s="2012"/>
      <c r="L32" s="2012"/>
      <c r="M32" s="2012"/>
      <c r="N32" s="2012"/>
      <c r="O32" s="2012"/>
      <c r="P32" s="2012"/>
      <c r="Q32" s="222"/>
      <c r="R32" s="222"/>
      <c r="S32" s="222"/>
      <c r="T32" s="222"/>
      <c r="U32" s="222"/>
      <c r="V32" s="222"/>
      <c r="W32" s="222"/>
      <c r="X32" s="222"/>
      <c r="Y32" s="222"/>
      <c r="Z32" s="222"/>
      <c r="AA32" s="222"/>
      <c r="AB32" s="222"/>
      <c r="AC32" s="222"/>
      <c r="AD32" s="222"/>
      <c r="AE32" s="222"/>
      <c r="AF32" s="222"/>
      <c r="AG32" s="222"/>
      <c r="AH32" s="222"/>
      <c r="AI32" s="222"/>
      <c r="AJ32" s="1811" t="s">
        <v>37</v>
      </c>
      <c r="AK32" s="1811"/>
      <c r="AL32" s="1811"/>
      <c r="AM32" s="1811"/>
      <c r="AN32" s="1811"/>
      <c r="AO32" s="1811"/>
      <c r="AP32" s="1811"/>
      <c r="AQ32" s="1811"/>
      <c r="AR32" s="1811"/>
      <c r="AS32" s="1811"/>
      <c r="AT32" s="1811"/>
      <c r="AU32" s="1811"/>
      <c r="AV32" s="1811"/>
      <c r="AW32" s="1811"/>
      <c r="AX32" s="247"/>
      <c r="AY32" s="222"/>
      <c r="AZ32" s="222"/>
      <c r="BA32" s="222"/>
      <c r="BB32" s="222"/>
      <c r="BC32" s="222"/>
      <c r="BD32" s="222"/>
      <c r="BE32" s="222"/>
      <c r="BF32" s="222"/>
      <c r="BG32" s="222"/>
      <c r="BH32" s="222"/>
      <c r="BI32" s="222"/>
      <c r="BJ32" s="222"/>
      <c r="BK32" s="222"/>
    </row>
    <row r="33" spans="1:63">
      <c r="A33" s="222"/>
      <c r="B33" s="222"/>
      <c r="C33" s="222"/>
      <c r="D33" s="222"/>
      <c r="E33" s="222"/>
      <c r="F33" s="222"/>
      <c r="G33" s="222"/>
      <c r="H33" s="222"/>
      <c r="I33" s="222"/>
      <c r="J33" s="222"/>
      <c r="K33" s="222"/>
      <c r="L33" s="222"/>
      <c r="M33" s="222"/>
      <c r="N33" s="222"/>
      <c r="O33" s="222"/>
      <c r="P33" s="222"/>
      <c r="Q33" s="222"/>
      <c r="R33" s="222"/>
      <c r="S33" s="222"/>
      <c r="T33" s="222"/>
      <c r="U33" s="222"/>
      <c r="V33" s="222"/>
      <c r="W33" s="222"/>
      <c r="X33" s="222"/>
      <c r="Y33" s="222"/>
      <c r="Z33" s="222"/>
      <c r="AA33" s="222"/>
      <c r="AB33" s="222"/>
      <c r="AC33" s="222"/>
      <c r="AD33" s="222"/>
      <c r="AE33" s="222"/>
      <c r="AF33" s="222"/>
      <c r="AG33" s="222"/>
      <c r="AH33" s="222"/>
      <c r="AI33" s="222"/>
      <c r="AJ33" s="222"/>
      <c r="AK33" s="222"/>
      <c r="AL33" s="222"/>
      <c r="AM33" s="222"/>
      <c r="AN33" s="222"/>
      <c r="AO33" s="222"/>
      <c r="AP33" s="222"/>
      <c r="AQ33" s="222"/>
      <c r="AR33" s="222"/>
      <c r="AS33" s="222"/>
      <c r="AT33" s="222"/>
      <c r="AU33" s="222"/>
      <c r="AV33" s="222"/>
      <c r="AW33" s="222"/>
      <c r="AX33" s="222"/>
      <c r="AY33" s="222"/>
      <c r="AZ33" s="222"/>
      <c r="BA33" s="222"/>
      <c r="BB33" s="222"/>
      <c r="BC33" s="222"/>
      <c r="BD33" s="222"/>
      <c r="BE33" s="222"/>
      <c r="BF33" s="222"/>
      <c r="BG33" s="222"/>
      <c r="BH33" s="222"/>
      <c r="BI33" s="222"/>
      <c r="BJ33" s="222"/>
      <c r="BK33" s="222"/>
    </row>
    <row r="34" spans="1:63">
      <c r="A34" s="222"/>
      <c r="B34" s="222"/>
      <c r="C34" s="222"/>
      <c r="D34" s="222"/>
      <c r="E34" s="222"/>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c r="AK34" s="222"/>
      <c r="AL34" s="222"/>
      <c r="AM34" s="222"/>
      <c r="AN34" s="222"/>
      <c r="AO34" s="222"/>
      <c r="AP34" s="222"/>
      <c r="AQ34" s="222"/>
      <c r="AR34" s="222"/>
      <c r="AS34" s="222"/>
      <c r="AT34" s="222"/>
      <c r="AU34" s="222"/>
      <c r="AV34" s="222"/>
      <c r="AW34" s="222"/>
      <c r="AX34" s="222"/>
      <c r="AY34" s="222"/>
      <c r="AZ34" s="222"/>
      <c r="BA34" s="222"/>
      <c r="BB34" s="222"/>
      <c r="BC34" s="222"/>
      <c r="BD34" s="222"/>
      <c r="BE34" s="222"/>
      <c r="BF34" s="222"/>
      <c r="BG34" s="222"/>
      <c r="BH34" s="222"/>
      <c r="BI34" s="222"/>
      <c r="BJ34" s="222"/>
      <c r="BK34" s="222"/>
    </row>
    <row r="35" spans="1:63">
      <c r="A35" s="222"/>
      <c r="B35" s="222"/>
      <c r="C35" s="222"/>
      <c r="D35" s="222"/>
      <c r="E35" s="222"/>
      <c r="F35" s="222"/>
      <c r="G35" s="222"/>
      <c r="H35" s="222"/>
      <c r="I35" s="222"/>
      <c r="J35" s="222"/>
      <c r="K35" s="222"/>
      <c r="L35" s="222"/>
      <c r="M35" s="222"/>
      <c r="N35" s="222"/>
      <c r="O35" s="222"/>
      <c r="P35" s="222"/>
      <c r="Q35" s="222"/>
      <c r="R35" s="222"/>
      <c r="S35" s="222"/>
      <c r="T35" s="222"/>
      <c r="U35" s="222"/>
      <c r="V35" s="222"/>
      <c r="W35" s="222"/>
      <c r="X35" s="222"/>
      <c r="Y35" s="222"/>
      <c r="Z35" s="222"/>
      <c r="AA35" s="222"/>
      <c r="AB35" s="222"/>
      <c r="AC35" s="222"/>
      <c r="AD35" s="222"/>
      <c r="AE35" s="222"/>
      <c r="AF35" s="222"/>
      <c r="AG35" s="222"/>
      <c r="AH35" s="222"/>
      <c r="AI35" s="222"/>
      <c r="AJ35" s="222"/>
      <c r="AK35" s="222"/>
      <c r="AL35" s="222"/>
      <c r="AM35" s="222"/>
      <c r="AN35" s="222"/>
      <c r="AO35" s="222"/>
      <c r="AP35" s="222"/>
      <c r="AQ35" s="222"/>
      <c r="AR35" s="222"/>
      <c r="AS35" s="222"/>
      <c r="AT35" s="222"/>
      <c r="AU35" s="222"/>
      <c r="AV35" s="222"/>
      <c r="AW35" s="222"/>
      <c r="AX35" s="222"/>
      <c r="AY35" s="222"/>
      <c r="AZ35" s="222"/>
      <c r="BA35" s="222"/>
      <c r="BB35" s="222"/>
      <c r="BC35" s="222"/>
      <c r="BD35" s="222"/>
      <c r="BE35" s="222"/>
      <c r="BF35" s="222"/>
      <c r="BG35" s="222"/>
      <c r="BH35" s="222"/>
      <c r="BI35" s="222"/>
      <c r="BJ35" s="222"/>
      <c r="BK35" s="222"/>
    </row>
    <row r="36" spans="1:63">
      <c r="A36" s="222"/>
      <c r="B36" s="222"/>
      <c r="C36" s="222"/>
      <c r="D36" s="222"/>
      <c r="E36" s="222"/>
      <c r="F36" s="222"/>
      <c r="G36" s="222"/>
      <c r="H36" s="222"/>
      <c r="I36" s="222"/>
      <c r="J36" s="222"/>
      <c r="K36" s="222"/>
      <c r="L36" s="222"/>
      <c r="M36" s="222"/>
      <c r="N36" s="222"/>
      <c r="O36" s="222"/>
      <c r="P36" s="222"/>
      <c r="Q36" s="222"/>
      <c r="R36" s="222"/>
      <c r="S36" s="222"/>
      <c r="T36" s="222"/>
      <c r="U36" s="222"/>
      <c r="V36" s="222"/>
      <c r="W36" s="222"/>
      <c r="X36" s="222"/>
      <c r="Y36" s="222"/>
      <c r="Z36" s="222"/>
      <c r="AA36" s="222"/>
      <c r="AB36" s="222"/>
      <c r="AC36" s="222"/>
      <c r="AD36" s="222"/>
      <c r="AE36" s="222"/>
      <c r="AF36" s="222"/>
      <c r="AG36" s="222"/>
      <c r="AH36" s="222"/>
      <c r="AI36" s="222"/>
      <c r="AJ36" s="222"/>
      <c r="AK36" s="222"/>
      <c r="AL36" s="222"/>
      <c r="AM36" s="222"/>
      <c r="AN36" s="222"/>
      <c r="AO36" s="222"/>
      <c r="AP36" s="222"/>
      <c r="AQ36" s="222"/>
      <c r="AR36" s="222"/>
      <c r="AS36" s="222"/>
      <c r="AT36" s="222"/>
      <c r="AU36" s="222"/>
      <c r="AV36" s="222"/>
      <c r="AW36" s="222"/>
      <c r="AX36" s="222"/>
      <c r="AY36" s="222"/>
      <c r="AZ36" s="222"/>
      <c r="BA36" s="222"/>
      <c r="BB36" s="222"/>
      <c r="BC36" s="222"/>
      <c r="BD36" s="222"/>
      <c r="BE36" s="222"/>
      <c r="BF36" s="222"/>
      <c r="BG36" s="222"/>
      <c r="BH36" s="222"/>
      <c r="BI36" s="222"/>
      <c r="BJ36" s="222"/>
      <c r="BK36" s="222"/>
    </row>
    <row r="37" spans="1:63">
      <c r="A37" s="222"/>
      <c r="B37" s="222"/>
      <c r="C37" s="222"/>
      <c r="D37" s="222"/>
      <c r="E37" s="222"/>
      <c r="F37" s="222"/>
      <c r="G37" s="222"/>
      <c r="H37" s="222"/>
      <c r="I37" s="222"/>
      <c r="J37" s="222"/>
      <c r="K37" s="222"/>
      <c r="L37" s="222"/>
      <c r="M37" s="222"/>
      <c r="N37" s="222"/>
      <c r="O37" s="222"/>
      <c r="P37" s="222"/>
      <c r="Q37" s="222"/>
      <c r="R37" s="222"/>
      <c r="S37" s="222"/>
      <c r="T37" s="222"/>
      <c r="U37" s="222"/>
      <c r="V37" s="222"/>
      <c r="W37" s="222"/>
      <c r="X37" s="222"/>
      <c r="Y37" s="222"/>
      <c r="Z37" s="222"/>
      <c r="AA37" s="222"/>
      <c r="AB37" s="222"/>
      <c r="AC37" s="222"/>
      <c r="AD37" s="222"/>
      <c r="AE37" s="222"/>
      <c r="AF37" s="222"/>
      <c r="AG37" s="222"/>
      <c r="AH37" s="222"/>
      <c r="AI37" s="222"/>
      <c r="AJ37" s="222"/>
      <c r="AK37" s="222"/>
      <c r="AL37" s="222"/>
      <c r="AM37" s="222"/>
      <c r="AN37" s="222"/>
      <c r="AO37" s="222"/>
      <c r="AP37" s="222"/>
      <c r="AQ37" s="222"/>
      <c r="AR37" s="222"/>
      <c r="AS37" s="222"/>
      <c r="AT37" s="222"/>
      <c r="AU37" s="222"/>
      <c r="AV37" s="222"/>
      <c r="AW37" s="222"/>
      <c r="AX37" s="222"/>
      <c r="AY37" s="222"/>
      <c r="AZ37" s="222"/>
      <c r="BA37" s="222"/>
      <c r="BB37" s="222"/>
      <c r="BC37" s="222"/>
      <c r="BD37" s="222"/>
      <c r="BE37" s="222"/>
      <c r="BF37" s="222"/>
      <c r="BG37" s="222"/>
      <c r="BH37" s="222"/>
      <c r="BI37" s="222"/>
      <c r="BJ37" s="222"/>
      <c r="BK37" s="222"/>
    </row>
    <row r="38" spans="1:63">
      <c r="A38" s="222"/>
      <c r="B38" s="222"/>
      <c r="C38" s="222"/>
      <c r="D38" s="222"/>
      <c r="E38" s="222"/>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c r="AF38" s="222"/>
      <c r="AG38" s="222"/>
      <c r="AH38" s="222"/>
      <c r="AI38" s="222"/>
      <c r="AJ38" s="222"/>
      <c r="AK38" s="222"/>
      <c r="AL38" s="222"/>
      <c r="AM38" s="222"/>
      <c r="AN38" s="222"/>
      <c r="AO38" s="222"/>
      <c r="AP38" s="222"/>
      <c r="AQ38" s="222"/>
      <c r="AR38" s="222"/>
      <c r="AS38" s="222"/>
      <c r="AT38" s="222"/>
      <c r="AU38" s="222"/>
      <c r="AV38" s="222"/>
      <c r="AW38" s="222"/>
      <c r="AX38" s="222"/>
      <c r="AY38" s="222"/>
      <c r="AZ38" s="222"/>
      <c r="BA38" s="222"/>
      <c r="BB38" s="222"/>
      <c r="BC38" s="222"/>
      <c r="BD38" s="222"/>
      <c r="BE38" s="222"/>
      <c r="BF38" s="222"/>
      <c r="BG38" s="222"/>
      <c r="BH38" s="222"/>
      <c r="BI38" s="222"/>
      <c r="BJ38" s="222"/>
      <c r="BK38" s="222"/>
    </row>
    <row r="39" spans="1:63">
      <c r="A39" s="222"/>
      <c r="B39" s="222"/>
      <c r="C39" s="222"/>
      <c r="D39" s="222"/>
      <c r="E39" s="222"/>
      <c r="F39" s="222"/>
      <c r="G39" s="222"/>
      <c r="H39" s="222"/>
      <c r="I39" s="222"/>
      <c r="J39" s="222"/>
      <c r="K39" s="222"/>
      <c r="L39" s="222"/>
      <c r="M39" s="222"/>
      <c r="N39" s="222"/>
      <c r="O39" s="222"/>
      <c r="P39" s="222"/>
      <c r="Q39" s="222"/>
      <c r="R39" s="222"/>
      <c r="S39" s="222"/>
      <c r="T39" s="222"/>
      <c r="U39" s="222"/>
      <c r="V39" s="222"/>
      <c r="W39" s="222"/>
      <c r="X39" s="222"/>
      <c r="Y39" s="222"/>
      <c r="Z39" s="222"/>
      <c r="AA39" s="222"/>
      <c r="AB39" s="222"/>
      <c r="AC39" s="222"/>
      <c r="AD39" s="222"/>
      <c r="AE39" s="222"/>
      <c r="AF39" s="222"/>
      <c r="AG39" s="222"/>
      <c r="AH39" s="222"/>
      <c r="AI39" s="222"/>
      <c r="AJ39" s="222"/>
      <c r="AK39" s="222"/>
      <c r="AL39" s="222"/>
      <c r="AM39" s="222"/>
      <c r="AN39" s="222"/>
      <c r="AO39" s="222"/>
      <c r="AP39" s="222"/>
      <c r="AQ39" s="222"/>
      <c r="AR39" s="222"/>
      <c r="AS39" s="222"/>
      <c r="AT39" s="222"/>
      <c r="AU39" s="222"/>
      <c r="AV39" s="222"/>
      <c r="AW39" s="222"/>
      <c r="AX39" s="222"/>
      <c r="AY39" s="222"/>
      <c r="AZ39" s="222"/>
      <c r="BA39" s="222"/>
      <c r="BB39" s="222"/>
      <c r="BC39" s="222"/>
      <c r="BD39" s="222"/>
      <c r="BE39" s="222"/>
      <c r="BF39" s="222"/>
      <c r="BG39" s="222"/>
      <c r="BH39" s="222"/>
      <c r="BI39" s="222"/>
      <c r="BJ39" s="222"/>
      <c r="BK39" s="222"/>
    </row>
    <row r="40" spans="1:63">
      <c r="A40" s="222"/>
      <c r="B40" s="222"/>
      <c r="C40" s="222"/>
      <c r="D40" s="222"/>
      <c r="E40" s="222"/>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c r="AK40" s="222"/>
      <c r="AL40" s="222"/>
      <c r="AM40" s="222"/>
      <c r="AN40" s="222"/>
      <c r="AO40" s="222"/>
      <c r="AP40" s="222"/>
      <c r="AQ40" s="222"/>
      <c r="AR40" s="222"/>
      <c r="AS40" s="222"/>
      <c r="AT40" s="222"/>
      <c r="AU40" s="222"/>
      <c r="AV40" s="222"/>
      <c r="AW40" s="222"/>
      <c r="AX40" s="222"/>
      <c r="AY40" s="222"/>
      <c r="AZ40" s="222"/>
      <c r="BA40" s="222"/>
      <c r="BB40" s="222"/>
      <c r="BC40" s="222"/>
      <c r="BD40" s="222"/>
      <c r="BE40" s="222"/>
      <c r="BF40" s="222"/>
      <c r="BG40" s="222"/>
      <c r="BH40" s="222"/>
      <c r="BI40" s="222"/>
      <c r="BJ40" s="222"/>
      <c r="BK40" s="222"/>
    </row>
    <row r="41" spans="1:63">
      <c r="A41" s="222"/>
      <c r="B41" s="222"/>
      <c r="C41" s="222"/>
      <c r="D41" s="222"/>
      <c r="E41" s="222"/>
      <c r="F41" s="222"/>
      <c r="G41" s="222"/>
      <c r="H41" s="222"/>
      <c r="I41" s="222"/>
      <c r="J41" s="222"/>
      <c r="K41" s="222"/>
      <c r="L41" s="222"/>
      <c r="M41" s="222"/>
      <c r="N41" s="222"/>
      <c r="O41" s="222"/>
      <c r="P41" s="222"/>
      <c r="Q41" s="222"/>
      <c r="R41" s="222"/>
      <c r="S41" s="222"/>
      <c r="T41" s="222"/>
      <c r="U41" s="222"/>
      <c r="V41" s="222"/>
      <c r="W41" s="222"/>
      <c r="X41" s="222"/>
      <c r="Y41" s="222"/>
      <c r="Z41" s="222"/>
      <c r="AA41" s="222"/>
      <c r="AB41" s="222"/>
      <c r="AC41" s="222"/>
      <c r="AD41" s="222"/>
      <c r="AE41" s="222"/>
      <c r="AF41" s="222"/>
      <c r="AG41" s="222"/>
      <c r="AH41" s="222"/>
      <c r="AI41" s="222"/>
      <c r="AJ41" s="222"/>
      <c r="AK41" s="222"/>
      <c r="AL41" s="222"/>
      <c r="AM41" s="222"/>
      <c r="AN41" s="222"/>
      <c r="AO41" s="222"/>
      <c r="AP41" s="222"/>
      <c r="AQ41" s="222"/>
      <c r="AR41" s="222"/>
      <c r="AS41" s="222"/>
      <c r="AT41" s="222"/>
      <c r="AU41" s="222"/>
      <c r="AV41" s="222"/>
      <c r="AW41" s="222"/>
      <c r="AX41" s="222"/>
      <c r="AY41" s="222"/>
      <c r="AZ41" s="222"/>
      <c r="BA41" s="222"/>
      <c r="BB41" s="222"/>
      <c r="BC41" s="222"/>
      <c r="BD41" s="222"/>
      <c r="BE41" s="222"/>
      <c r="BF41" s="222"/>
      <c r="BG41" s="222"/>
      <c r="BH41" s="222"/>
      <c r="BI41" s="222"/>
      <c r="BJ41" s="222"/>
      <c r="BK41" s="222"/>
    </row>
    <row r="42" spans="1:63">
      <c r="A42" s="222"/>
      <c r="B42" s="222"/>
      <c r="C42" s="222"/>
      <c r="D42" s="222"/>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c r="AE42" s="222"/>
      <c r="AF42" s="222"/>
      <c r="AG42" s="222"/>
      <c r="AH42" s="222"/>
      <c r="AI42" s="222"/>
      <c r="AJ42" s="222"/>
      <c r="AK42" s="222"/>
      <c r="AL42" s="222"/>
      <c r="AM42" s="222"/>
      <c r="AN42" s="222"/>
      <c r="AO42" s="222"/>
      <c r="AP42" s="222"/>
      <c r="AQ42" s="222"/>
      <c r="AR42" s="222"/>
      <c r="AS42" s="222"/>
      <c r="AT42" s="222"/>
      <c r="AU42" s="222"/>
      <c r="AV42" s="222"/>
      <c r="AW42" s="222"/>
      <c r="AX42" s="222"/>
      <c r="AY42" s="222"/>
      <c r="AZ42" s="222"/>
      <c r="BA42" s="222"/>
      <c r="BB42" s="222"/>
      <c r="BC42" s="222"/>
      <c r="BD42" s="222"/>
      <c r="BE42" s="222"/>
      <c r="BF42" s="222"/>
      <c r="BG42" s="222"/>
      <c r="BH42" s="222"/>
      <c r="BI42" s="222"/>
      <c r="BJ42" s="222"/>
      <c r="BK42" s="222"/>
    </row>
    <row r="43" spans="1:63">
      <c r="A43" s="222"/>
      <c r="B43" s="222"/>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c r="AF43" s="222"/>
      <c r="AG43" s="222"/>
      <c r="AH43" s="222"/>
      <c r="AI43" s="222"/>
      <c r="AJ43" s="222"/>
      <c r="AK43" s="222"/>
      <c r="AL43" s="222"/>
      <c r="AM43" s="222"/>
      <c r="AN43" s="222"/>
      <c r="AO43" s="222"/>
      <c r="AP43" s="222"/>
      <c r="AQ43" s="222"/>
      <c r="AR43" s="222"/>
      <c r="AS43" s="222"/>
      <c r="AT43" s="222"/>
      <c r="AU43" s="222"/>
      <c r="AV43" s="222"/>
      <c r="AW43" s="222"/>
      <c r="AX43" s="222"/>
      <c r="AY43" s="222"/>
      <c r="AZ43" s="222"/>
      <c r="BA43" s="222"/>
      <c r="BB43" s="222"/>
      <c r="BC43" s="222"/>
      <c r="BD43" s="222"/>
      <c r="BE43" s="222"/>
      <c r="BF43" s="222"/>
      <c r="BG43" s="222"/>
      <c r="BH43" s="222"/>
      <c r="BI43" s="222"/>
      <c r="BJ43" s="222"/>
      <c r="BK43" s="222"/>
    </row>
    <row r="44" spans="1:63">
      <c r="A44" s="222"/>
      <c r="B44" s="222"/>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c r="AK44" s="222"/>
      <c r="AL44" s="222"/>
      <c r="AM44" s="222"/>
      <c r="AN44" s="222"/>
      <c r="AO44" s="222"/>
      <c r="AP44" s="222"/>
      <c r="AQ44" s="222"/>
      <c r="AR44" s="222"/>
      <c r="AS44" s="222"/>
      <c r="AT44" s="222"/>
      <c r="AU44" s="222"/>
      <c r="AV44" s="222"/>
      <c r="AW44" s="222"/>
      <c r="AX44" s="222"/>
      <c r="AY44" s="222"/>
      <c r="AZ44" s="222"/>
      <c r="BA44" s="222"/>
      <c r="BB44" s="222"/>
      <c r="BC44" s="222"/>
      <c r="BD44" s="222"/>
      <c r="BE44" s="222"/>
      <c r="BF44" s="222"/>
      <c r="BG44" s="222"/>
      <c r="BH44" s="222"/>
      <c r="BI44" s="222"/>
      <c r="BJ44" s="222"/>
      <c r="BK44" s="222"/>
    </row>
    <row r="45" spans="1:63">
      <c r="A45" s="222"/>
      <c r="B45" s="222"/>
      <c r="C45" s="222"/>
      <c r="D45" s="222"/>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c r="AE45" s="222"/>
      <c r="AF45" s="222"/>
      <c r="AG45" s="222"/>
      <c r="AH45" s="222"/>
      <c r="AI45" s="222"/>
      <c r="AJ45" s="222"/>
      <c r="AK45" s="222"/>
      <c r="AL45" s="222"/>
      <c r="AM45" s="222"/>
      <c r="AN45" s="222"/>
      <c r="AO45" s="222"/>
      <c r="AP45" s="222"/>
      <c r="AQ45" s="222"/>
      <c r="AR45" s="222"/>
      <c r="AS45" s="222"/>
      <c r="AT45" s="222"/>
      <c r="AU45" s="222"/>
      <c r="AV45" s="222"/>
      <c r="AW45" s="222"/>
      <c r="AX45" s="222"/>
      <c r="AY45" s="222"/>
      <c r="AZ45" s="222"/>
      <c r="BA45" s="222"/>
      <c r="BB45" s="222"/>
      <c r="BC45" s="222"/>
      <c r="BD45" s="222"/>
      <c r="BE45" s="222"/>
      <c r="BF45" s="222"/>
      <c r="BG45" s="222"/>
      <c r="BH45" s="222"/>
      <c r="BI45" s="222"/>
      <c r="BJ45" s="222"/>
      <c r="BK45" s="222"/>
    </row>
    <row r="46" spans="1:63">
      <c r="A46" s="222"/>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c r="AK46" s="222"/>
      <c r="AL46" s="222"/>
      <c r="AM46" s="222"/>
      <c r="AN46" s="222"/>
      <c r="AO46" s="222"/>
      <c r="AP46" s="222"/>
      <c r="AQ46" s="222"/>
      <c r="AR46" s="222"/>
      <c r="AS46" s="222"/>
      <c r="AT46" s="222"/>
      <c r="AU46" s="222"/>
      <c r="AV46" s="222"/>
      <c r="AW46" s="222"/>
      <c r="AX46" s="222"/>
      <c r="AY46" s="222"/>
      <c r="AZ46" s="222"/>
      <c r="BA46" s="222"/>
      <c r="BB46" s="222"/>
      <c r="BC46" s="222"/>
      <c r="BD46" s="222"/>
      <c r="BE46" s="222"/>
      <c r="BF46" s="222"/>
      <c r="BG46" s="222"/>
      <c r="BH46" s="222"/>
      <c r="BI46" s="222"/>
      <c r="BJ46" s="222"/>
      <c r="BK46" s="222"/>
    </row>
    <row r="47" spans="1:63">
      <c r="A47" s="222"/>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c r="AF47" s="222"/>
      <c r="AG47" s="222"/>
      <c r="AH47" s="222"/>
      <c r="AI47" s="222"/>
      <c r="AJ47" s="222"/>
      <c r="AK47" s="222"/>
      <c r="AL47" s="222"/>
      <c r="AM47" s="222"/>
      <c r="AN47" s="222"/>
      <c r="AO47" s="222"/>
      <c r="AP47" s="222"/>
      <c r="AQ47" s="222"/>
      <c r="AR47" s="222"/>
      <c r="AS47" s="222"/>
      <c r="AT47" s="222"/>
      <c r="AU47" s="222"/>
      <c r="AV47" s="222"/>
      <c r="AW47" s="222"/>
      <c r="AX47" s="222"/>
      <c r="AY47" s="222"/>
      <c r="AZ47" s="222"/>
      <c r="BA47" s="222"/>
      <c r="BB47" s="222"/>
      <c r="BC47" s="222"/>
      <c r="BD47" s="222"/>
      <c r="BE47" s="222"/>
      <c r="BF47" s="222"/>
      <c r="BG47" s="222"/>
      <c r="BH47" s="222"/>
      <c r="BI47" s="222"/>
      <c r="BJ47" s="222"/>
      <c r="BK47" s="222"/>
    </row>
    <row r="48" spans="1:63">
      <c r="A48" s="222"/>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c r="AE48" s="222"/>
      <c r="AF48" s="222"/>
      <c r="AG48" s="222"/>
      <c r="AH48" s="222"/>
      <c r="AI48" s="222"/>
      <c r="AJ48" s="222"/>
      <c r="AK48" s="222"/>
      <c r="AL48" s="222"/>
      <c r="AM48" s="222"/>
      <c r="AN48" s="222"/>
      <c r="AO48" s="222"/>
      <c r="AP48" s="222"/>
      <c r="AQ48" s="222"/>
      <c r="AR48" s="222"/>
      <c r="AS48" s="222"/>
      <c r="AT48" s="222"/>
      <c r="AU48" s="222"/>
      <c r="AV48" s="222"/>
      <c r="AW48" s="222"/>
      <c r="AX48" s="222"/>
      <c r="AY48" s="222"/>
      <c r="AZ48" s="222"/>
      <c r="BA48" s="222"/>
      <c r="BB48" s="222"/>
      <c r="BC48" s="222"/>
      <c r="BD48" s="222"/>
      <c r="BE48" s="222"/>
      <c r="BF48" s="222"/>
      <c r="BG48" s="222"/>
      <c r="BH48" s="222"/>
      <c r="BI48" s="222"/>
      <c r="BJ48" s="222"/>
      <c r="BK48" s="222"/>
    </row>
  </sheetData>
  <sheetProtection algorithmName="SHA-512" hashValue="J9506gqp2eybUBEAPrBAIQV+FQoGsMsCsCDXVfQWf0mfk/ZCWKqPcpnx+vtCvALWf10jkxseWOYQwuSEyZCpIQ==" saltValue="tS7vsaXLISqnVKIkq8lAwg==" spinCount="100000" sheet="1" objects="1" scenarios="1"/>
  <customSheetViews>
    <customSheetView guid="{6EFEFCA0-BF14-457A-85A3-29CBF2A862A5}" showGridLines="0" fitToPage="1">
      <selection sqref="A1:BB33"/>
      <colBreaks count="1" manualBreakCount="1">
        <brk id="52" max="1048575" man="1"/>
      </colBreaks>
      <pageMargins left="0.23622047244094491" right="0.78740157480314965" top="0.19685039370078741" bottom="0.19685039370078741" header="0" footer="0.11811023622047245"/>
      <printOptions horizontalCentered="1" verticalCentered="1"/>
      <pageSetup paperSize="5" scale="81" orientation="landscape" r:id="rId1"/>
      <headerFooter>
        <oddFooter>&amp;L&amp;F &amp;A&amp;RPage 24 of 61</oddFooter>
      </headerFooter>
    </customSheetView>
  </customSheetViews>
  <mergeCells count="33">
    <mergeCell ref="B7:I7"/>
    <mergeCell ref="J7:Q7"/>
    <mergeCell ref="B8:I8"/>
    <mergeCell ref="J8:Q8"/>
    <mergeCell ref="B2:T2"/>
    <mergeCell ref="B3:S3"/>
    <mergeCell ref="B4:I5"/>
    <mergeCell ref="J4:Q5"/>
    <mergeCell ref="B6:I6"/>
    <mergeCell ref="J6:Q6"/>
    <mergeCell ref="B9:B12"/>
    <mergeCell ref="C9:Q12"/>
    <mergeCell ref="AJ10:AO10"/>
    <mergeCell ref="AQ12:AV12"/>
    <mergeCell ref="C13:Q14"/>
    <mergeCell ref="C15:Q16"/>
    <mergeCell ref="AM16:AR16"/>
    <mergeCell ref="C17:Q19"/>
    <mergeCell ref="AN17:AS17"/>
    <mergeCell ref="X19:AW19"/>
    <mergeCell ref="X20:AW20"/>
    <mergeCell ref="X21:AW21"/>
    <mergeCell ref="B24:P24"/>
    <mergeCell ref="AJ24:AW24"/>
    <mergeCell ref="B25:P25"/>
    <mergeCell ref="AJ25:AW25"/>
    <mergeCell ref="F32:P32"/>
    <mergeCell ref="AJ32:AW32"/>
    <mergeCell ref="F26:P26"/>
    <mergeCell ref="AN26:AW26"/>
    <mergeCell ref="F30:P30"/>
    <mergeCell ref="AJ30:AW31"/>
    <mergeCell ref="F31:P31"/>
  </mergeCells>
  <dataValidations count="3">
    <dataValidation type="decimal" allowBlank="1" showInputMessage="1" showErrorMessage="1" errorTitle="GSHSP SY 2022-2023" error="Please enter valid number between 0-1,000,000.00." sqref="AQ12:AV12" xr:uid="{93D3ACA8-147F-4DF2-80B5-A6F8F6567AE4}">
      <formula1>0</formula1>
      <formula2>1000000</formula2>
    </dataValidation>
    <dataValidation type="whole" allowBlank="1" showInputMessage="1" showErrorMessage="1" errorTitle="GSHSP SY 2022-2023" error="Please enter valid number between 0-24." sqref="AN17:AS17" xr:uid="{42B60AE1-CD12-4623-A416-AEBFE390F728}">
      <formula1>0</formula1>
      <formula2>24</formula2>
    </dataValidation>
    <dataValidation type="decimal" allowBlank="1" showInputMessage="1" showErrorMessage="1" errorTitle="GSHSP SY 2022-2023" error="Please enter valid number between 0-20,000,000.00." sqref="J6:Q8" xr:uid="{8ED4DB0E-88E1-4110-9F2B-15CF2A242FCF}">
      <formula1>0</formula1>
      <formula2>20000000</formula2>
    </dataValidation>
  </dataValidations>
  <printOptions horizontalCentered="1" verticalCentered="1"/>
  <pageMargins left="0.23622047244094491" right="0.78740157480314965" top="0.19685039370078741" bottom="0.19685039370078741" header="0" footer="0.11811023622047245"/>
  <pageSetup paperSize="5" scale="81" orientation="landscape" r:id="rId2"/>
  <headerFooter>
    <oddFooter>&amp;L&amp;F &amp;A&amp;RPage 24 of 61</oddFooter>
  </headerFooter>
  <colBreaks count="1" manualBreakCount="1">
    <brk id="52" max="1048575" man="1"/>
  </colBreaks>
  <drawing r:id="rId3"/>
  <legacyDrawing r:id="rId4"/>
  <mc:AlternateContent xmlns:mc="http://schemas.openxmlformats.org/markup-compatibility/2006">
    <mc:Choice Requires="x14">
      <controls>
        <mc:AlternateContent xmlns:mc="http://schemas.openxmlformats.org/markup-compatibility/2006">
          <mc:Choice Requires="x14">
            <control shapeId="63489" r:id="rId5" name="Check Box 1">
              <controlPr defaultSize="0" autoFill="0" autoLine="0" autoPict="0">
                <anchor moveWithCells="1">
                  <from>
                    <xdr:col>27</xdr:col>
                    <xdr:colOff>28575</xdr:colOff>
                    <xdr:row>5</xdr:row>
                    <xdr:rowOff>9525</xdr:rowOff>
                  </from>
                  <to>
                    <xdr:col>27</xdr:col>
                    <xdr:colOff>266700</xdr:colOff>
                    <xdr:row>6</xdr:row>
                    <xdr:rowOff>0</xdr:rowOff>
                  </to>
                </anchor>
              </controlPr>
            </control>
          </mc:Choice>
        </mc:AlternateContent>
        <mc:AlternateContent xmlns:mc="http://schemas.openxmlformats.org/markup-compatibility/2006">
          <mc:Choice Requires="x14">
            <control shapeId="63490" r:id="rId6" name="Check Box 2">
              <controlPr defaultSize="0" autoFill="0" autoLine="0" autoPict="0">
                <anchor moveWithCells="1">
                  <from>
                    <xdr:col>27</xdr:col>
                    <xdr:colOff>28575</xdr:colOff>
                    <xdr:row>5</xdr:row>
                    <xdr:rowOff>257175</xdr:rowOff>
                  </from>
                  <to>
                    <xdr:col>28</xdr:col>
                    <xdr:colOff>0</xdr:colOff>
                    <xdr:row>7</xdr:row>
                    <xdr:rowOff>0</xdr:rowOff>
                  </to>
                </anchor>
              </controlPr>
            </control>
          </mc:Choice>
        </mc:AlternateContent>
        <mc:AlternateContent xmlns:mc="http://schemas.openxmlformats.org/markup-compatibility/2006">
          <mc:Choice Requires="x14">
            <control shapeId="63491" r:id="rId7" name="Check Box 3">
              <controlPr defaultSize="0" autoFill="0" autoLine="0" autoPict="0">
                <anchor moveWithCells="1">
                  <from>
                    <xdr:col>30</xdr:col>
                    <xdr:colOff>28575</xdr:colOff>
                    <xdr:row>7</xdr:row>
                    <xdr:rowOff>9525</xdr:rowOff>
                  </from>
                  <to>
                    <xdr:col>31</xdr:col>
                    <xdr:colOff>9525</xdr:colOff>
                    <xdr:row>8</xdr:row>
                    <xdr:rowOff>9525</xdr:rowOff>
                  </to>
                </anchor>
              </controlPr>
            </control>
          </mc:Choice>
        </mc:AlternateContent>
        <mc:AlternateContent xmlns:mc="http://schemas.openxmlformats.org/markup-compatibility/2006">
          <mc:Choice Requires="x14">
            <control shapeId="63492" r:id="rId8" name="Check Box 4">
              <controlPr defaultSize="0" autoFill="0" autoLine="0" autoPict="0">
                <anchor moveWithCells="1">
                  <from>
                    <xdr:col>30</xdr:col>
                    <xdr:colOff>28575</xdr:colOff>
                    <xdr:row>7</xdr:row>
                    <xdr:rowOff>257175</xdr:rowOff>
                  </from>
                  <to>
                    <xdr:col>30</xdr:col>
                    <xdr:colOff>266700</xdr:colOff>
                    <xdr:row>8</xdr:row>
                    <xdr:rowOff>257175</xdr:rowOff>
                  </to>
                </anchor>
              </controlPr>
            </control>
          </mc:Choice>
        </mc:AlternateContent>
        <mc:AlternateContent xmlns:mc="http://schemas.openxmlformats.org/markup-compatibility/2006">
          <mc:Choice Requires="x14">
            <control shapeId="63493" r:id="rId9" name="Check Box 5">
              <controlPr defaultSize="0" autoFill="0" autoLine="0" autoPict="0">
                <anchor moveWithCells="1">
                  <from>
                    <xdr:col>30</xdr:col>
                    <xdr:colOff>38100</xdr:colOff>
                    <xdr:row>9</xdr:row>
                    <xdr:rowOff>28575</xdr:rowOff>
                  </from>
                  <to>
                    <xdr:col>30</xdr:col>
                    <xdr:colOff>266700</xdr:colOff>
                    <xdr:row>9</xdr:row>
                    <xdr:rowOff>257175</xdr:rowOff>
                  </to>
                </anchor>
              </controlPr>
            </control>
          </mc:Choice>
        </mc:AlternateContent>
        <mc:AlternateContent xmlns:mc="http://schemas.openxmlformats.org/markup-compatibility/2006">
          <mc:Choice Requires="x14">
            <control shapeId="63494" r:id="rId10" name="Check Box 6">
              <controlPr defaultSize="0" autoFill="0" autoLine="0" autoPict="0">
                <anchor moveWithCells="1">
                  <from>
                    <xdr:col>27</xdr:col>
                    <xdr:colOff>28575</xdr:colOff>
                    <xdr:row>9</xdr:row>
                    <xdr:rowOff>257175</xdr:rowOff>
                  </from>
                  <to>
                    <xdr:col>28</xdr:col>
                    <xdr:colOff>9525</xdr:colOff>
                    <xdr:row>11</xdr:row>
                    <xdr:rowOff>9525</xdr:rowOff>
                  </to>
                </anchor>
              </controlPr>
            </control>
          </mc:Choice>
        </mc:AlternateContent>
        <mc:AlternateContent xmlns:mc="http://schemas.openxmlformats.org/markup-compatibility/2006">
          <mc:Choice Requires="x14">
            <control shapeId="63495" r:id="rId11" name="Check Box 7">
              <controlPr defaultSize="0" autoFill="0" autoLine="0" autoPict="0">
                <anchor moveWithCells="1">
                  <from>
                    <xdr:col>27</xdr:col>
                    <xdr:colOff>28575</xdr:colOff>
                    <xdr:row>12</xdr:row>
                    <xdr:rowOff>257175</xdr:rowOff>
                  </from>
                  <to>
                    <xdr:col>27</xdr:col>
                    <xdr:colOff>257175</xdr:colOff>
                    <xdr:row>14</xdr:row>
                    <xdr:rowOff>28575</xdr:rowOff>
                  </to>
                </anchor>
              </controlPr>
            </control>
          </mc:Choice>
        </mc:AlternateContent>
        <mc:AlternateContent xmlns:mc="http://schemas.openxmlformats.org/markup-compatibility/2006">
          <mc:Choice Requires="x14">
            <control shapeId="63496" r:id="rId12" name="Check Box 8">
              <controlPr defaultSize="0" autoFill="0" autoLine="0" autoPict="0">
                <anchor moveWithCells="1">
                  <from>
                    <xdr:col>27</xdr:col>
                    <xdr:colOff>38100</xdr:colOff>
                    <xdr:row>14</xdr:row>
                    <xdr:rowOff>9525</xdr:rowOff>
                  </from>
                  <to>
                    <xdr:col>28</xdr:col>
                    <xdr:colOff>9525</xdr:colOff>
                    <xdr:row>14</xdr:row>
                    <xdr:rowOff>219075</xdr:rowOff>
                  </to>
                </anchor>
              </controlPr>
            </control>
          </mc:Choice>
        </mc:AlternateContent>
        <mc:AlternateContent xmlns:mc="http://schemas.openxmlformats.org/markup-compatibility/2006">
          <mc:Choice Requires="x14">
            <control shapeId="63497" r:id="rId13" name="Check Box 9">
              <controlPr defaultSize="0" autoFill="0" autoLine="0" autoPict="0">
                <anchor moveWithCells="1">
                  <from>
                    <xdr:col>27</xdr:col>
                    <xdr:colOff>28575</xdr:colOff>
                    <xdr:row>15</xdr:row>
                    <xdr:rowOff>28575</xdr:rowOff>
                  </from>
                  <to>
                    <xdr:col>27</xdr:col>
                    <xdr:colOff>276225</xdr:colOff>
                    <xdr:row>16</xdr:row>
                    <xdr:rowOff>9525</xdr:rowOff>
                  </to>
                </anchor>
              </controlPr>
            </control>
          </mc:Choice>
        </mc:AlternateContent>
        <mc:AlternateContent xmlns:mc="http://schemas.openxmlformats.org/markup-compatibility/2006">
          <mc:Choice Requires="x14">
            <control shapeId="63498" r:id="rId14" name="Check Box 10">
              <controlPr defaultSize="0" autoFill="0" autoLine="0" autoPict="0">
                <anchor moveWithCells="1">
                  <from>
                    <xdr:col>33</xdr:col>
                    <xdr:colOff>28575</xdr:colOff>
                    <xdr:row>13</xdr:row>
                    <xdr:rowOff>28575</xdr:rowOff>
                  </from>
                  <to>
                    <xdr:col>33</xdr:col>
                    <xdr:colOff>238125</xdr:colOff>
                    <xdr:row>14</xdr:row>
                    <xdr:rowOff>28575</xdr:rowOff>
                  </to>
                </anchor>
              </controlPr>
            </control>
          </mc:Choice>
        </mc:AlternateContent>
        <mc:AlternateContent xmlns:mc="http://schemas.openxmlformats.org/markup-compatibility/2006">
          <mc:Choice Requires="x14">
            <control shapeId="63499" r:id="rId15" name="Check Box 11">
              <controlPr defaultSize="0" autoFill="0" autoLine="0" autoPict="0">
                <anchor moveWithCells="1">
                  <from>
                    <xdr:col>33</xdr:col>
                    <xdr:colOff>28575</xdr:colOff>
                    <xdr:row>14</xdr:row>
                    <xdr:rowOff>28575</xdr:rowOff>
                  </from>
                  <to>
                    <xdr:col>34</xdr:col>
                    <xdr:colOff>9525</xdr:colOff>
                    <xdr:row>15</xdr:row>
                    <xdr:rowOff>28575</xdr:rowOff>
                  </to>
                </anchor>
              </controlPr>
            </control>
          </mc:Choice>
        </mc:AlternateContent>
        <mc:AlternateContent xmlns:mc="http://schemas.openxmlformats.org/markup-compatibility/2006">
          <mc:Choice Requires="x14">
            <control shapeId="63500" r:id="rId16" name="Check Box 12">
              <controlPr defaultSize="0" autoFill="0" autoLine="0" autoPict="0">
                <anchor moveWithCells="1">
                  <from>
                    <xdr:col>33</xdr:col>
                    <xdr:colOff>28575</xdr:colOff>
                    <xdr:row>15</xdr:row>
                    <xdr:rowOff>9525</xdr:rowOff>
                  </from>
                  <to>
                    <xdr:col>33</xdr:col>
                    <xdr:colOff>219075</xdr:colOff>
                    <xdr:row>15</xdr:row>
                    <xdr:rowOff>238125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1C420-1EEA-44C0-B1DD-F0C40DE0E3EB}">
  <sheetPr codeName="Sheet1">
    <tabColor rgb="FFFFFF00"/>
    <pageSetUpPr fitToPage="1"/>
  </sheetPr>
  <dimension ref="A1:BY72"/>
  <sheetViews>
    <sheetView showGridLines="0" topLeftCell="I44" zoomScaleNormal="100" workbookViewId="0">
      <selection sqref="A1:BA57"/>
    </sheetView>
  </sheetViews>
  <sheetFormatPr defaultColWidth="8.875" defaultRowHeight="15.75"/>
  <cols>
    <col min="1" max="1" width="2.125" style="51" customWidth="1"/>
    <col min="2" max="28" width="3.625" style="51" customWidth="1"/>
    <col min="29" max="29" width="14.875" style="51" customWidth="1"/>
    <col min="30" max="50" width="3.625" style="51" customWidth="1"/>
    <col min="51" max="51" width="2.125" style="51" customWidth="1"/>
    <col min="52" max="254" width="3.625" style="51" customWidth="1"/>
    <col min="255" max="270" width="8.875" style="51"/>
    <col min="271" max="271" width="1.625" style="51" customWidth="1"/>
    <col min="272" max="278" width="3.625" style="51" customWidth="1"/>
    <col min="279" max="279" width="3.375" style="51" customWidth="1"/>
    <col min="280" max="510" width="3.625" style="51" customWidth="1"/>
    <col min="511" max="526" width="8.875" style="51"/>
    <col min="527" max="527" width="1.625" style="51" customWidth="1"/>
    <col min="528" max="534" width="3.625" style="51" customWidth="1"/>
    <col min="535" max="535" width="3.375" style="51" customWidth="1"/>
    <col min="536" max="766" width="3.625" style="51" customWidth="1"/>
    <col min="767" max="782" width="8.875" style="51"/>
    <col min="783" max="783" width="1.625" style="51" customWidth="1"/>
    <col min="784" max="790" width="3.625" style="51" customWidth="1"/>
    <col min="791" max="791" width="3.375" style="51" customWidth="1"/>
    <col min="792" max="1022" width="3.625" style="51" customWidth="1"/>
    <col min="1023" max="1038" width="8.875" style="51"/>
    <col min="1039" max="1039" width="1.625" style="51" customWidth="1"/>
    <col min="1040" max="1046" width="3.625" style="51" customWidth="1"/>
    <col min="1047" max="1047" width="3.375" style="51" customWidth="1"/>
    <col min="1048" max="1278" width="3.625" style="51" customWidth="1"/>
    <col min="1279" max="1294" width="8.875" style="51"/>
    <col min="1295" max="1295" width="1.625" style="51" customWidth="1"/>
    <col min="1296" max="1302" width="3.625" style="51" customWidth="1"/>
    <col min="1303" max="1303" width="3.375" style="51" customWidth="1"/>
    <col min="1304" max="1534" width="3.625" style="51" customWidth="1"/>
    <col min="1535" max="1550" width="8.875" style="51"/>
    <col min="1551" max="1551" width="1.625" style="51" customWidth="1"/>
    <col min="1552" max="1558" width="3.625" style="51" customWidth="1"/>
    <col min="1559" max="1559" width="3.375" style="51" customWidth="1"/>
    <col min="1560" max="1790" width="3.625" style="51" customWidth="1"/>
    <col min="1791" max="1806" width="8.875" style="51"/>
    <col min="1807" max="1807" width="1.625" style="51" customWidth="1"/>
    <col min="1808" max="1814" width="3.625" style="51" customWidth="1"/>
    <col min="1815" max="1815" width="3.375" style="51" customWidth="1"/>
    <col min="1816" max="2046" width="3.625" style="51" customWidth="1"/>
    <col min="2047" max="2062" width="8.875" style="51"/>
    <col min="2063" max="2063" width="1.625" style="51" customWidth="1"/>
    <col min="2064" max="2070" width="3.625" style="51" customWidth="1"/>
    <col min="2071" max="2071" width="3.375" style="51" customWidth="1"/>
    <col min="2072" max="2302" width="3.625" style="51" customWidth="1"/>
    <col min="2303" max="2318" width="8.875" style="51"/>
    <col min="2319" max="2319" width="1.625" style="51" customWidth="1"/>
    <col min="2320" max="2326" width="3.625" style="51" customWidth="1"/>
    <col min="2327" max="2327" width="3.375" style="51" customWidth="1"/>
    <col min="2328" max="2558" width="3.625" style="51" customWidth="1"/>
    <col min="2559" max="2574" width="8.875" style="51"/>
    <col min="2575" max="2575" width="1.625" style="51" customWidth="1"/>
    <col min="2576" max="2582" width="3.625" style="51" customWidth="1"/>
    <col min="2583" max="2583" width="3.375" style="51" customWidth="1"/>
    <col min="2584" max="2814" width="3.625" style="51" customWidth="1"/>
    <col min="2815" max="2830" width="8.875" style="51"/>
    <col min="2831" max="2831" width="1.625" style="51" customWidth="1"/>
    <col min="2832" max="2838" width="3.625" style="51" customWidth="1"/>
    <col min="2839" max="2839" width="3.375" style="51" customWidth="1"/>
    <col min="2840" max="3070" width="3.625" style="51" customWidth="1"/>
    <col min="3071" max="3086" width="8.875" style="51"/>
    <col min="3087" max="3087" width="1.625" style="51" customWidth="1"/>
    <col min="3088" max="3094" width="3.625" style="51" customWidth="1"/>
    <col min="3095" max="3095" width="3.375" style="51" customWidth="1"/>
    <col min="3096" max="3326" width="3.625" style="51" customWidth="1"/>
    <col min="3327" max="3342" width="8.875" style="51"/>
    <col min="3343" max="3343" width="1.625" style="51" customWidth="1"/>
    <col min="3344" max="3350" width="3.625" style="51" customWidth="1"/>
    <col min="3351" max="3351" width="3.375" style="51" customWidth="1"/>
    <col min="3352" max="3582" width="3.625" style="51" customWidth="1"/>
    <col min="3583" max="3598" width="8.875" style="51"/>
    <col min="3599" max="3599" width="1.625" style="51" customWidth="1"/>
    <col min="3600" max="3606" width="3.625" style="51" customWidth="1"/>
    <col min="3607" max="3607" width="3.375" style="51" customWidth="1"/>
    <col min="3608" max="3838" width="3.625" style="51" customWidth="1"/>
    <col min="3839" max="3854" width="8.875" style="51"/>
    <col min="3855" max="3855" width="1.625" style="51" customWidth="1"/>
    <col min="3856" max="3862" width="3.625" style="51" customWidth="1"/>
    <col min="3863" max="3863" width="3.375" style="51" customWidth="1"/>
    <col min="3864" max="4094" width="3.625" style="51" customWidth="1"/>
    <col min="4095" max="4110" width="8.875" style="51"/>
    <col min="4111" max="4111" width="1.625" style="51" customWidth="1"/>
    <col min="4112" max="4118" width="3.625" style="51" customWidth="1"/>
    <col min="4119" max="4119" width="3.375" style="51" customWidth="1"/>
    <col min="4120" max="4350" width="3.625" style="51" customWidth="1"/>
    <col min="4351" max="4366" width="8.875" style="51"/>
    <col min="4367" max="4367" width="1.625" style="51" customWidth="1"/>
    <col min="4368" max="4374" width="3.625" style="51" customWidth="1"/>
    <col min="4375" max="4375" width="3.375" style="51" customWidth="1"/>
    <col min="4376" max="4606" width="3.625" style="51" customWidth="1"/>
    <col min="4607" max="4622" width="8.875" style="51"/>
    <col min="4623" max="4623" width="1.625" style="51" customWidth="1"/>
    <col min="4624" max="4630" width="3.625" style="51" customWidth="1"/>
    <col min="4631" max="4631" width="3.375" style="51" customWidth="1"/>
    <col min="4632" max="4862" width="3.625" style="51" customWidth="1"/>
    <col min="4863" max="4878" width="8.875" style="51"/>
    <col min="4879" max="4879" width="1.625" style="51" customWidth="1"/>
    <col min="4880" max="4886" width="3.625" style="51" customWidth="1"/>
    <col min="4887" max="4887" width="3.375" style="51" customWidth="1"/>
    <col min="4888" max="5118" width="3.625" style="51" customWidth="1"/>
    <col min="5119" max="5134" width="8.875" style="51"/>
    <col min="5135" max="5135" width="1.625" style="51" customWidth="1"/>
    <col min="5136" max="5142" width="3.625" style="51" customWidth="1"/>
    <col min="5143" max="5143" width="3.375" style="51" customWidth="1"/>
    <col min="5144" max="5374" width="3.625" style="51" customWidth="1"/>
    <col min="5375" max="5390" width="8.875" style="51"/>
    <col min="5391" max="5391" width="1.625" style="51" customWidth="1"/>
    <col min="5392" max="5398" width="3.625" style="51" customWidth="1"/>
    <col min="5399" max="5399" width="3.375" style="51" customWidth="1"/>
    <col min="5400" max="5630" width="3.625" style="51" customWidth="1"/>
    <col min="5631" max="5646" width="8.875" style="51"/>
    <col min="5647" max="5647" width="1.625" style="51" customWidth="1"/>
    <col min="5648" max="5654" width="3.625" style="51" customWidth="1"/>
    <col min="5655" max="5655" width="3.375" style="51" customWidth="1"/>
    <col min="5656" max="5886" width="3.625" style="51" customWidth="1"/>
    <col min="5887" max="5902" width="8.875" style="51"/>
    <col min="5903" max="5903" width="1.625" style="51" customWidth="1"/>
    <col min="5904" max="5910" width="3.625" style="51" customWidth="1"/>
    <col min="5911" max="5911" width="3.375" style="51" customWidth="1"/>
    <col min="5912" max="6142" width="3.625" style="51" customWidth="1"/>
    <col min="6143" max="6158" width="8.875" style="51"/>
    <col min="6159" max="6159" width="1.625" style="51" customWidth="1"/>
    <col min="6160" max="6166" width="3.625" style="51" customWidth="1"/>
    <col min="6167" max="6167" width="3.375" style="51" customWidth="1"/>
    <col min="6168" max="6398" width="3.625" style="51" customWidth="1"/>
    <col min="6399" max="6414" width="8.875" style="51"/>
    <col min="6415" max="6415" width="1.625" style="51" customWidth="1"/>
    <col min="6416" max="6422" width="3.625" style="51" customWidth="1"/>
    <col min="6423" max="6423" width="3.375" style="51" customWidth="1"/>
    <col min="6424" max="6654" width="3.625" style="51" customWidth="1"/>
    <col min="6655" max="6670" width="8.875" style="51"/>
    <col min="6671" max="6671" width="1.625" style="51" customWidth="1"/>
    <col min="6672" max="6678" width="3.625" style="51" customWidth="1"/>
    <col min="6679" max="6679" width="3.375" style="51" customWidth="1"/>
    <col min="6680" max="6910" width="3.625" style="51" customWidth="1"/>
    <col min="6911" max="6926" width="8.875" style="51"/>
    <col min="6927" max="6927" width="1.625" style="51" customWidth="1"/>
    <col min="6928" max="6934" width="3.625" style="51" customWidth="1"/>
    <col min="6935" max="6935" width="3.375" style="51" customWidth="1"/>
    <col min="6936" max="7166" width="3.625" style="51" customWidth="1"/>
    <col min="7167" max="7182" width="8.875" style="51"/>
    <col min="7183" max="7183" width="1.625" style="51" customWidth="1"/>
    <col min="7184" max="7190" width="3.625" style="51" customWidth="1"/>
    <col min="7191" max="7191" width="3.375" style="51" customWidth="1"/>
    <col min="7192" max="7422" width="3.625" style="51" customWidth="1"/>
    <col min="7423" max="7438" width="8.875" style="51"/>
    <col min="7439" max="7439" width="1.625" style="51" customWidth="1"/>
    <col min="7440" max="7446" width="3.625" style="51" customWidth="1"/>
    <col min="7447" max="7447" width="3.375" style="51" customWidth="1"/>
    <col min="7448" max="7678" width="3.625" style="51" customWidth="1"/>
    <col min="7679" max="7694" width="8.875" style="51"/>
    <col min="7695" max="7695" width="1.625" style="51" customWidth="1"/>
    <col min="7696" max="7702" width="3.625" style="51" customWidth="1"/>
    <col min="7703" max="7703" width="3.375" style="51" customWidth="1"/>
    <col min="7704" max="7934" width="3.625" style="51" customWidth="1"/>
    <col min="7935" max="7950" width="8.875" style="51"/>
    <col min="7951" max="7951" width="1.625" style="51" customWidth="1"/>
    <col min="7952" max="7958" width="3.625" style="51" customWidth="1"/>
    <col min="7959" max="7959" width="3.375" style="51" customWidth="1"/>
    <col min="7960" max="8190" width="3.625" style="51" customWidth="1"/>
    <col min="8191" max="8206" width="8.875" style="51"/>
    <col min="8207" max="8207" width="1.625" style="51" customWidth="1"/>
    <col min="8208" max="8214" width="3.625" style="51" customWidth="1"/>
    <col min="8215" max="8215" width="3.375" style="51" customWidth="1"/>
    <col min="8216" max="8446" width="3.625" style="51" customWidth="1"/>
    <col min="8447" max="8462" width="8.875" style="51"/>
    <col min="8463" max="8463" width="1.625" style="51" customWidth="1"/>
    <col min="8464" max="8470" width="3.625" style="51" customWidth="1"/>
    <col min="8471" max="8471" width="3.375" style="51" customWidth="1"/>
    <col min="8472" max="8702" width="3.625" style="51" customWidth="1"/>
    <col min="8703" max="8718" width="8.875" style="51"/>
    <col min="8719" max="8719" width="1.625" style="51" customWidth="1"/>
    <col min="8720" max="8726" width="3.625" style="51" customWidth="1"/>
    <col min="8727" max="8727" width="3.375" style="51" customWidth="1"/>
    <col min="8728" max="8958" width="3.625" style="51" customWidth="1"/>
    <col min="8959" max="8974" width="8.875" style="51"/>
    <col min="8975" max="8975" width="1.625" style="51" customWidth="1"/>
    <col min="8976" max="8982" width="3.625" style="51" customWidth="1"/>
    <col min="8983" max="8983" width="3.375" style="51" customWidth="1"/>
    <col min="8984" max="9214" width="3.625" style="51" customWidth="1"/>
    <col min="9215" max="9230" width="8.875" style="51"/>
    <col min="9231" max="9231" width="1.625" style="51" customWidth="1"/>
    <col min="9232" max="9238" width="3.625" style="51" customWidth="1"/>
    <col min="9239" max="9239" width="3.375" style="51" customWidth="1"/>
    <col min="9240" max="9470" width="3.625" style="51" customWidth="1"/>
    <col min="9471" max="9486" width="8.875" style="51"/>
    <col min="9487" max="9487" width="1.625" style="51" customWidth="1"/>
    <col min="9488" max="9494" width="3.625" style="51" customWidth="1"/>
    <col min="9495" max="9495" width="3.375" style="51" customWidth="1"/>
    <col min="9496" max="9726" width="3.625" style="51" customWidth="1"/>
    <col min="9727" max="9742" width="8.875" style="51"/>
    <col min="9743" max="9743" width="1.625" style="51" customWidth="1"/>
    <col min="9744" max="9750" width="3.625" style="51" customWidth="1"/>
    <col min="9751" max="9751" width="3.375" style="51" customWidth="1"/>
    <col min="9752" max="9982" width="3.625" style="51" customWidth="1"/>
    <col min="9983" max="9998" width="8.875" style="51"/>
    <col min="9999" max="9999" width="1.625" style="51" customWidth="1"/>
    <col min="10000" max="10006" width="3.625" style="51" customWidth="1"/>
    <col min="10007" max="10007" width="3.375" style="51" customWidth="1"/>
    <col min="10008" max="10238" width="3.625" style="51" customWidth="1"/>
    <col min="10239" max="10254" width="8.875" style="51"/>
    <col min="10255" max="10255" width="1.625" style="51" customWidth="1"/>
    <col min="10256" max="10262" width="3.625" style="51" customWidth="1"/>
    <col min="10263" max="10263" width="3.375" style="51" customWidth="1"/>
    <col min="10264" max="10494" width="3.625" style="51" customWidth="1"/>
    <col min="10495" max="10510" width="8.875" style="51"/>
    <col min="10511" max="10511" width="1.625" style="51" customWidth="1"/>
    <col min="10512" max="10518" width="3.625" style="51" customWidth="1"/>
    <col min="10519" max="10519" width="3.375" style="51" customWidth="1"/>
    <col min="10520" max="10750" width="3.625" style="51" customWidth="1"/>
    <col min="10751" max="10766" width="8.875" style="51"/>
    <col min="10767" max="10767" width="1.625" style="51" customWidth="1"/>
    <col min="10768" max="10774" width="3.625" style="51" customWidth="1"/>
    <col min="10775" max="10775" width="3.375" style="51" customWidth="1"/>
    <col min="10776" max="11006" width="3.625" style="51" customWidth="1"/>
    <col min="11007" max="11022" width="8.875" style="51"/>
    <col min="11023" max="11023" width="1.625" style="51" customWidth="1"/>
    <col min="11024" max="11030" width="3.625" style="51" customWidth="1"/>
    <col min="11031" max="11031" width="3.375" style="51" customWidth="1"/>
    <col min="11032" max="11262" width="3.625" style="51" customWidth="1"/>
    <col min="11263" max="11278" width="8.875" style="51"/>
    <col min="11279" max="11279" width="1.625" style="51" customWidth="1"/>
    <col min="11280" max="11286" width="3.625" style="51" customWidth="1"/>
    <col min="11287" max="11287" width="3.375" style="51" customWidth="1"/>
    <col min="11288" max="11518" width="3.625" style="51" customWidth="1"/>
    <col min="11519" max="11534" width="8.875" style="51"/>
    <col min="11535" max="11535" width="1.625" style="51" customWidth="1"/>
    <col min="11536" max="11542" width="3.625" style="51" customWidth="1"/>
    <col min="11543" max="11543" width="3.375" style="51" customWidth="1"/>
    <col min="11544" max="11774" width="3.625" style="51" customWidth="1"/>
    <col min="11775" max="11790" width="8.875" style="51"/>
    <col min="11791" max="11791" width="1.625" style="51" customWidth="1"/>
    <col min="11792" max="11798" width="3.625" style="51" customWidth="1"/>
    <col min="11799" max="11799" width="3.375" style="51" customWidth="1"/>
    <col min="11800" max="12030" width="3.625" style="51" customWidth="1"/>
    <col min="12031" max="12046" width="8.875" style="51"/>
    <col min="12047" max="12047" width="1.625" style="51" customWidth="1"/>
    <col min="12048" max="12054" width="3.625" style="51" customWidth="1"/>
    <col min="12055" max="12055" width="3.375" style="51" customWidth="1"/>
    <col min="12056" max="12286" width="3.625" style="51" customWidth="1"/>
    <col min="12287" max="12302" width="8.875" style="51"/>
    <col min="12303" max="12303" width="1.625" style="51" customWidth="1"/>
    <col min="12304" max="12310" width="3.625" style="51" customWidth="1"/>
    <col min="12311" max="12311" width="3.375" style="51" customWidth="1"/>
    <col min="12312" max="12542" width="3.625" style="51" customWidth="1"/>
    <col min="12543" max="12558" width="8.875" style="51"/>
    <col min="12559" max="12559" width="1.625" style="51" customWidth="1"/>
    <col min="12560" max="12566" width="3.625" style="51" customWidth="1"/>
    <col min="12567" max="12567" width="3.375" style="51" customWidth="1"/>
    <col min="12568" max="12798" width="3.625" style="51" customWidth="1"/>
    <col min="12799" max="12814" width="8.875" style="51"/>
    <col min="12815" max="12815" width="1.625" style="51" customWidth="1"/>
    <col min="12816" max="12822" width="3.625" style="51" customWidth="1"/>
    <col min="12823" max="12823" width="3.375" style="51" customWidth="1"/>
    <col min="12824" max="13054" width="3.625" style="51" customWidth="1"/>
    <col min="13055" max="13070" width="8.875" style="51"/>
    <col min="13071" max="13071" width="1.625" style="51" customWidth="1"/>
    <col min="13072" max="13078" width="3.625" style="51" customWidth="1"/>
    <col min="13079" max="13079" width="3.375" style="51" customWidth="1"/>
    <col min="13080" max="13310" width="3.625" style="51" customWidth="1"/>
    <col min="13311" max="13326" width="8.875" style="51"/>
    <col min="13327" max="13327" width="1.625" style="51" customWidth="1"/>
    <col min="13328" max="13334" width="3.625" style="51" customWidth="1"/>
    <col min="13335" max="13335" width="3.375" style="51" customWidth="1"/>
    <col min="13336" max="13566" width="3.625" style="51" customWidth="1"/>
    <col min="13567" max="13582" width="8.875" style="51"/>
    <col min="13583" max="13583" width="1.625" style="51" customWidth="1"/>
    <col min="13584" max="13590" width="3.625" style="51" customWidth="1"/>
    <col min="13591" max="13591" width="3.375" style="51" customWidth="1"/>
    <col min="13592" max="13822" width="3.625" style="51" customWidth="1"/>
    <col min="13823" max="13838" width="8.875" style="51"/>
    <col min="13839" max="13839" width="1.625" style="51" customWidth="1"/>
    <col min="13840" max="13846" width="3.625" style="51" customWidth="1"/>
    <col min="13847" max="13847" width="3.375" style="51" customWidth="1"/>
    <col min="13848" max="14078" width="3.625" style="51" customWidth="1"/>
    <col min="14079" max="14094" width="8.875" style="51"/>
    <col min="14095" max="14095" width="1.625" style="51" customWidth="1"/>
    <col min="14096" max="14102" width="3.625" style="51" customWidth="1"/>
    <col min="14103" max="14103" width="3.375" style="51" customWidth="1"/>
    <col min="14104" max="14334" width="3.625" style="51" customWidth="1"/>
    <col min="14335" max="14350" width="8.875" style="51"/>
    <col min="14351" max="14351" width="1.625" style="51" customWidth="1"/>
    <col min="14352" max="14358" width="3.625" style="51" customWidth="1"/>
    <col min="14359" max="14359" width="3.375" style="51" customWidth="1"/>
    <col min="14360" max="14590" width="3.625" style="51" customWidth="1"/>
    <col min="14591" max="14606" width="8.875" style="51"/>
    <col min="14607" max="14607" width="1.625" style="51" customWidth="1"/>
    <col min="14608" max="14614" width="3.625" style="51" customWidth="1"/>
    <col min="14615" max="14615" width="3.375" style="51" customWidth="1"/>
    <col min="14616" max="14846" width="3.625" style="51" customWidth="1"/>
    <col min="14847" max="14862" width="8.875" style="51"/>
    <col min="14863" max="14863" width="1.625" style="51" customWidth="1"/>
    <col min="14864" max="14870" width="3.625" style="51" customWidth="1"/>
    <col min="14871" max="14871" width="3.375" style="51" customWidth="1"/>
    <col min="14872" max="15102" width="3.625" style="51" customWidth="1"/>
    <col min="15103" max="15118" width="8.875" style="51"/>
    <col min="15119" max="15119" width="1.625" style="51" customWidth="1"/>
    <col min="15120" max="15126" width="3.625" style="51" customWidth="1"/>
    <col min="15127" max="15127" width="3.375" style="51" customWidth="1"/>
    <col min="15128" max="15358" width="3.625" style="51" customWidth="1"/>
    <col min="15359" max="15374" width="8.875" style="51"/>
    <col min="15375" max="15375" width="1.625" style="51" customWidth="1"/>
    <col min="15376" max="15382" width="3.625" style="51" customWidth="1"/>
    <col min="15383" max="15383" width="3.375" style="51" customWidth="1"/>
    <col min="15384" max="15614" width="3.625" style="51" customWidth="1"/>
    <col min="15615" max="15630" width="8.875" style="51"/>
    <col min="15631" max="15631" width="1.625" style="51" customWidth="1"/>
    <col min="15632" max="15638" width="3.625" style="51" customWidth="1"/>
    <col min="15639" max="15639" width="3.375" style="51" customWidth="1"/>
    <col min="15640" max="15870" width="3.625" style="51" customWidth="1"/>
    <col min="15871" max="15886" width="8.875" style="51"/>
    <col min="15887" max="15887" width="1.625" style="51" customWidth="1"/>
    <col min="15888" max="15894" width="3.625" style="51" customWidth="1"/>
    <col min="15895" max="15895" width="3.375" style="51" customWidth="1"/>
    <col min="15896" max="16126" width="3.625" style="51" customWidth="1"/>
    <col min="16127" max="16142" width="8.875" style="51"/>
    <col min="16143" max="16143" width="1.625" style="51" customWidth="1"/>
    <col min="16144" max="16150" width="3.625" style="51" customWidth="1"/>
    <col min="16151" max="16151" width="3.375" style="51" customWidth="1"/>
    <col min="16152" max="16384" width="3.625" style="51" customWidth="1"/>
  </cols>
  <sheetData>
    <row r="1" spans="1:64" ht="6.9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row>
    <row r="2" spans="1:64" s="41" customFormat="1">
      <c r="A2" s="593"/>
      <c r="B2" s="259" t="s">
        <v>11403</v>
      </c>
      <c r="C2" s="593"/>
      <c r="D2" s="259"/>
      <c r="E2" s="259"/>
      <c r="F2" s="259"/>
      <c r="G2" s="259"/>
      <c r="H2" s="259"/>
      <c r="I2" s="876"/>
      <c r="J2" s="876"/>
      <c r="K2" s="876"/>
      <c r="L2" s="876"/>
      <c r="M2" s="876"/>
      <c r="N2" s="876"/>
      <c r="O2" s="876"/>
      <c r="P2" s="876"/>
      <c r="Q2" s="876"/>
      <c r="R2" s="876"/>
      <c r="S2" s="876"/>
      <c r="T2" s="876"/>
      <c r="U2" s="876"/>
      <c r="V2" s="876"/>
      <c r="W2" s="876"/>
      <c r="X2" s="876"/>
      <c r="Y2" s="876"/>
      <c r="Z2" s="876"/>
      <c r="AA2" s="876"/>
      <c r="AB2" s="876"/>
      <c r="AC2" s="876"/>
      <c r="AD2" s="876"/>
      <c r="AE2" s="876"/>
      <c r="AF2" s="876"/>
      <c r="AG2" s="876"/>
      <c r="AH2" s="593"/>
      <c r="AI2" s="593"/>
      <c r="AJ2" s="593"/>
      <c r="AK2" s="593"/>
      <c r="AL2" s="593"/>
      <c r="AM2" s="593"/>
      <c r="AN2" s="593"/>
      <c r="AO2" s="593"/>
      <c r="AP2" s="593"/>
      <c r="AQ2" s="593"/>
      <c r="AR2" s="593"/>
      <c r="AS2" s="593"/>
      <c r="AT2" s="593"/>
      <c r="AU2" s="593"/>
      <c r="AV2" s="593"/>
      <c r="AW2" s="593"/>
      <c r="AX2" s="593"/>
      <c r="AY2" s="593"/>
      <c r="AZ2" s="593"/>
      <c r="BA2" s="593"/>
      <c r="BB2" s="593"/>
      <c r="BC2" s="593"/>
      <c r="BD2" s="593"/>
      <c r="BE2" s="593"/>
      <c r="BF2" s="593"/>
      <c r="BG2" s="593"/>
      <c r="BH2" s="593"/>
      <c r="BI2" s="593"/>
      <c r="BJ2" s="593"/>
      <c r="BK2" s="593"/>
      <c r="BL2" s="593"/>
    </row>
    <row r="3" spans="1:64" s="41" customFormat="1" ht="18" customHeight="1" thickBot="1">
      <c r="A3" s="593"/>
      <c r="B3" s="583" t="s">
        <v>1017</v>
      </c>
      <c r="C3" s="593"/>
      <c r="D3" s="259"/>
      <c r="E3" s="259"/>
      <c r="F3" s="259"/>
      <c r="G3" s="259"/>
      <c r="H3" s="259"/>
      <c r="I3" s="876"/>
      <c r="J3" s="876"/>
      <c r="K3" s="876"/>
      <c r="L3" s="876"/>
      <c r="M3" s="876"/>
      <c r="N3" s="876"/>
      <c r="O3" s="876"/>
      <c r="P3" s="876"/>
      <c r="Q3" s="876"/>
      <c r="R3" s="876"/>
      <c r="S3" s="876"/>
      <c r="T3" s="876"/>
      <c r="U3" s="876"/>
      <c r="V3" s="876"/>
      <c r="W3" s="876"/>
      <c r="X3" s="876"/>
      <c r="Y3" s="876"/>
      <c r="Z3" s="876"/>
      <c r="AA3" s="876"/>
      <c r="AB3" s="876"/>
      <c r="AC3" s="876"/>
      <c r="AD3" s="876"/>
      <c r="AE3" s="876"/>
      <c r="AF3" s="876"/>
      <c r="AG3" s="876"/>
      <c r="AH3" s="593"/>
      <c r="AI3" s="593"/>
      <c r="AJ3" s="593"/>
      <c r="AK3" s="593"/>
      <c r="AL3" s="593"/>
      <c r="AM3" s="593"/>
      <c r="AN3" s="593"/>
      <c r="AO3" s="593"/>
      <c r="AP3" s="593"/>
      <c r="AQ3" s="593"/>
      <c r="AR3" s="593"/>
      <c r="AS3" s="593"/>
      <c r="AT3" s="593"/>
      <c r="AU3" s="593"/>
      <c r="AV3" s="593"/>
      <c r="AW3" s="593"/>
      <c r="AX3" s="593"/>
      <c r="AY3" s="593"/>
      <c r="AZ3" s="593"/>
      <c r="BA3" s="593"/>
      <c r="BB3" s="593"/>
      <c r="BC3" s="593"/>
      <c r="BD3" s="593"/>
      <c r="BE3" s="593"/>
      <c r="BF3" s="593"/>
      <c r="BG3" s="593"/>
      <c r="BH3" s="593"/>
      <c r="BI3" s="593"/>
      <c r="BJ3" s="593"/>
      <c r="BK3" s="593"/>
      <c r="BL3" s="593"/>
    </row>
    <row r="4" spans="1:64" s="41" customFormat="1" ht="9.9499999999999993" customHeight="1">
      <c r="A4" s="593"/>
      <c r="B4" s="686"/>
      <c r="C4" s="688"/>
      <c r="D4" s="688"/>
      <c r="E4" s="688"/>
      <c r="F4" s="688"/>
      <c r="G4" s="688"/>
      <c r="H4" s="688"/>
      <c r="I4" s="688"/>
      <c r="J4" s="688"/>
      <c r="K4" s="688"/>
      <c r="L4" s="688"/>
      <c r="M4" s="688"/>
      <c r="N4" s="688"/>
      <c r="O4" s="688"/>
      <c r="P4" s="688"/>
      <c r="Q4" s="688"/>
      <c r="R4" s="688"/>
      <c r="S4" s="688"/>
      <c r="T4" s="688"/>
      <c r="U4" s="688"/>
      <c r="V4" s="688"/>
      <c r="W4" s="688"/>
      <c r="X4" s="688"/>
      <c r="Y4" s="688"/>
      <c r="Z4" s="688"/>
      <c r="AA4" s="688"/>
      <c r="AB4" s="688"/>
      <c r="AC4" s="688"/>
      <c r="AD4" s="688"/>
      <c r="AE4" s="688"/>
      <c r="AF4" s="688"/>
      <c r="AG4" s="688"/>
      <c r="AH4" s="688"/>
      <c r="AI4" s="688"/>
      <c r="AJ4" s="688"/>
      <c r="AK4" s="688"/>
      <c r="AL4" s="688"/>
      <c r="AM4" s="877"/>
      <c r="AN4" s="877"/>
      <c r="AO4" s="877"/>
      <c r="AP4" s="877"/>
      <c r="AQ4" s="877"/>
      <c r="AR4" s="878"/>
      <c r="AS4" s="878"/>
      <c r="AT4" s="878"/>
      <c r="AU4" s="878"/>
      <c r="AV4" s="878"/>
      <c r="AW4" s="878"/>
      <c r="AX4" s="689"/>
      <c r="AY4" s="593"/>
      <c r="AZ4" s="593"/>
      <c r="BA4" s="593"/>
      <c r="BB4" s="593"/>
      <c r="BC4" s="593"/>
      <c r="BD4" s="593"/>
      <c r="BE4" s="593"/>
      <c r="BF4" s="593"/>
      <c r="BG4" s="593"/>
      <c r="BH4" s="593"/>
      <c r="BI4" s="593"/>
      <c r="BJ4" s="593"/>
      <c r="BK4" s="593"/>
      <c r="BL4" s="593"/>
    </row>
    <row r="5" spans="1:64" s="101" customFormat="1" ht="19.5" customHeight="1">
      <c r="A5" s="580"/>
      <c r="B5" s="879"/>
      <c r="C5" s="580" t="s">
        <v>479</v>
      </c>
      <c r="D5" s="580"/>
      <c r="E5" s="880"/>
      <c r="F5" s="880"/>
      <c r="G5" s="880"/>
      <c r="H5" s="880"/>
      <c r="I5" s="880"/>
      <c r="J5" s="880"/>
      <c r="K5" s="880"/>
      <c r="L5" s="880"/>
      <c r="M5" s="880"/>
      <c r="N5" s="880"/>
      <c r="O5" s="881"/>
      <c r="P5" s="928"/>
      <c r="Q5" s="580"/>
      <c r="R5" s="580"/>
      <c r="S5" s="882" t="s">
        <v>1111</v>
      </c>
      <c r="T5" s="580"/>
      <c r="U5" s="883"/>
      <c r="V5" s="580"/>
      <c r="W5" s="580"/>
      <c r="X5" s="580"/>
      <c r="Y5" s="580"/>
      <c r="Z5" s="580"/>
      <c r="AA5" s="580"/>
      <c r="AB5" s="3012">
        <v>37707</v>
      </c>
      <c r="AC5" s="3012"/>
      <c r="AD5" s="3012"/>
      <c r="AE5" s="3012"/>
      <c r="AF5" s="3012"/>
      <c r="AG5" s="599"/>
      <c r="AH5" s="580"/>
      <c r="AI5" s="580"/>
      <c r="AJ5" s="580" t="s">
        <v>480</v>
      </c>
      <c r="AK5" s="580"/>
      <c r="AL5" s="580"/>
      <c r="AM5" s="433"/>
      <c r="AN5" s="433"/>
      <c r="AO5" s="433"/>
      <c r="AP5" s="433"/>
      <c r="AQ5" s="433"/>
      <c r="AR5" s="433"/>
      <c r="AS5" s="580"/>
      <c r="AT5" s="433"/>
      <c r="AU5" s="433"/>
      <c r="AV5" s="433"/>
      <c r="AW5" s="433"/>
      <c r="AX5" s="691"/>
      <c r="AY5" s="580"/>
      <c r="AZ5" s="580"/>
      <c r="BA5" s="580"/>
      <c r="BB5" s="580"/>
      <c r="BC5" s="580"/>
      <c r="BD5" s="580"/>
      <c r="BE5" s="580"/>
      <c r="BF5" s="580"/>
      <c r="BG5" s="580"/>
      <c r="BH5" s="580"/>
      <c r="BI5" s="580"/>
      <c r="BJ5" s="580"/>
      <c r="BK5" s="580"/>
      <c r="BL5" s="580"/>
    </row>
    <row r="6" spans="1:64" s="101" customFormat="1" ht="19.5" customHeight="1">
      <c r="A6" s="580"/>
      <c r="B6" s="879"/>
      <c r="C6" s="884" t="s">
        <v>1112</v>
      </c>
      <c r="D6" s="884"/>
      <c r="E6" s="885"/>
      <c r="F6" s="885"/>
      <c r="G6" s="885"/>
      <c r="H6" s="885"/>
      <c r="I6" s="885"/>
      <c r="J6" s="885"/>
      <c r="K6" s="885"/>
      <c r="L6" s="885"/>
      <c r="M6" s="885"/>
      <c r="N6" s="885"/>
      <c r="O6" s="886"/>
      <c r="P6" s="580"/>
      <c r="Q6" s="580"/>
      <c r="R6" s="580"/>
      <c r="S6" s="593"/>
      <c r="T6" s="593"/>
      <c r="U6" s="593"/>
      <c r="V6" s="259"/>
      <c r="W6" s="259"/>
      <c r="X6" s="259"/>
      <c r="Y6" s="259"/>
      <c r="Z6" s="259"/>
      <c r="AA6" s="876"/>
      <c r="AB6" s="876"/>
      <c r="AC6" s="876"/>
      <c r="AD6" s="876"/>
      <c r="AE6" s="876"/>
      <c r="AF6" s="580"/>
      <c r="AG6" s="580"/>
      <c r="AH6" s="580"/>
      <c r="AI6" s="580"/>
      <c r="AJ6" s="884"/>
      <c r="AK6" s="580" t="s">
        <v>481</v>
      </c>
      <c r="AL6" s="580"/>
      <c r="AM6" s="433"/>
      <c r="AN6" s="433"/>
      <c r="AO6" s="580"/>
      <c r="AP6" s="580"/>
      <c r="AQ6" s="580"/>
      <c r="AR6" s="580"/>
      <c r="AS6" s="580"/>
      <c r="AT6" s="580"/>
      <c r="AU6" s="580"/>
      <c r="AV6" s="580"/>
      <c r="AW6" s="580"/>
      <c r="AX6" s="691"/>
      <c r="AY6" s="580"/>
      <c r="AZ6" s="580"/>
      <c r="BA6" s="580"/>
      <c r="BB6" s="580"/>
      <c r="BC6" s="580"/>
      <c r="BD6" s="580"/>
      <c r="BE6" s="580"/>
      <c r="BF6" s="580"/>
      <c r="BG6" s="580"/>
      <c r="BH6" s="580"/>
      <c r="BI6" s="580"/>
      <c r="BJ6" s="580"/>
      <c r="BK6" s="580"/>
      <c r="BL6" s="580"/>
    </row>
    <row r="7" spans="1:64" s="101" customFormat="1" ht="19.5" customHeight="1" thickBot="1">
      <c r="A7" s="580"/>
      <c r="B7" s="879"/>
      <c r="C7" s="580"/>
      <c r="D7" s="884"/>
      <c r="E7" s="929" t="b">
        <v>1</v>
      </c>
      <c r="F7" s="580" t="s">
        <v>482</v>
      </c>
      <c r="G7" s="884"/>
      <c r="H7" s="884"/>
      <c r="I7" s="929" t="b">
        <v>0</v>
      </c>
      <c r="J7" s="580" t="s">
        <v>483</v>
      </c>
      <c r="K7" s="884"/>
      <c r="L7" s="884"/>
      <c r="M7" s="884"/>
      <c r="N7" s="887"/>
      <c r="O7" s="884"/>
      <c r="P7" s="888"/>
      <c r="Q7" s="580"/>
      <c r="R7" s="580"/>
      <c r="S7" s="580" t="s">
        <v>1113</v>
      </c>
      <c r="T7" s="881"/>
      <c r="U7" s="580"/>
      <c r="V7" s="889"/>
      <c r="W7" s="889"/>
      <c r="X7" s="889"/>
      <c r="Y7" s="889"/>
      <c r="Z7" s="889"/>
      <c r="AA7" s="889"/>
      <c r="AB7" s="889"/>
      <c r="AC7" s="889"/>
      <c r="AD7" s="889"/>
      <c r="AE7" s="889"/>
      <c r="AF7" s="889"/>
      <c r="AG7" s="580"/>
      <c r="AH7" s="580"/>
      <c r="AI7" s="580"/>
      <c r="AJ7" s="580"/>
      <c r="AK7" s="580"/>
      <c r="AL7" s="930" t="b">
        <v>0</v>
      </c>
      <c r="AM7" s="580" t="s">
        <v>484</v>
      </c>
      <c r="AN7" s="890"/>
      <c r="AO7" s="580"/>
      <c r="AP7" s="930"/>
      <c r="AQ7" s="580" t="s">
        <v>485</v>
      </c>
      <c r="AR7" s="580"/>
      <c r="AS7" s="580"/>
      <c r="AT7" s="580"/>
      <c r="AU7" s="580"/>
      <c r="AV7" s="580"/>
      <c r="AW7" s="580"/>
      <c r="AX7" s="691"/>
      <c r="AY7" s="580"/>
      <c r="AZ7" s="580"/>
      <c r="BA7" s="580"/>
      <c r="BB7" s="580"/>
      <c r="BC7" s="580"/>
      <c r="BD7" s="580"/>
      <c r="BE7" s="580"/>
      <c r="BF7" s="580"/>
      <c r="BG7" s="580"/>
      <c r="BH7" s="580"/>
      <c r="BI7" s="580"/>
      <c r="BJ7" s="580"/>
      <c r="BK7" s="580"/>
      <c r="BL7" s="580"/>
    </row>
    <row r="8" spans="1:64" s="101" customFormat="1" ht="32.450000000000003" customHeight="1" thickBot="1">
      <c r="A8" s="580"/>
      <c r="B8" s="879"/>
      <c r="C8" s="580"/>
      <c r="D8" s="884"/>
      <c r="E8" s="930" t="b">
        <v>0</v>
      </c>
      <c r="F8" s="580" t="s">
        <v>417</v>
      </c>
      <c r="G8" s="884"/>
      <c r="H8" s="884"/>
      <c r="I8" s="930" t="b">
        <v>0</v>
      </c>
      <c r="J8" s="580" t="s">
        <v>486</v>
      </c>
      <c r="K8" s="884"/>
      <c r="L8" s="884"/>
      <c r="M8" s="884"/>
      <c r="N8" s="884"/>
      <c r="O8" s="884"/>
      <c r="P8" s="580"/>
      <c r="Q8" s="580"/>
      <c r="R8" s="580"/>
      <c r="S8" s="3049" t="s">
        <v>487</v>
      </c>
      <c r="T8" s="3050"/>
      <c r="U8" s="3050"/>
      <c r="V8" s="3050"/>
      <c r="W8" s="3050"/>
      <c r="X8" s="3050"/>
      <c r="Y8" s="3050"/>
      <c r="Z8" s="3050"/>
      <c r="AA8" s="3050"/>
      <c r="AB8" s="3050"/>
      <c r="AC8" s="3051"/>
      <c r="AD8" s="3052" t="s">
        <v>488</v>
      </c>
      <c r="AE8" s="3053"/>
      <c r="AF8" s="3054"/>
      <c r="AG8" s="580"/>
      <c r="AH8" s="580"/>
      <c r="AI8" s="580"/>
      <c r="AJ8" s="580"/>
      <c r="AK8" s="580" t="s">
        <v>489</v>
      </c>
      <c r="AL8" s="888"/>
      <c r="AM8" s="582"/>
      <c r="AN8" s="891"/>
      <c r="AO8" s="891"/>
      <c r="AP8" s="891"/>
      <c r="AQ8" s="891"/>
      <c r="AR8" s="891"/>
      <c r="AS8" s="580"/>
      <c r="AT8" s="891"/>
      <c r="AU8" s="891"/>
      <c r="AV8" s="891"/>
      <c r="AW8" s="891"/>
      <c r="AX8" s="691"/>
      <c r="AY8" s="580"/>
      <c r="AZ8" s="580"/>
      <c r="BA8" s="580"/>
      <c r="BB8" s="580"/>
      <c r="BC8" s="580"/>
      <c r="BD8" s="580"/>
      <c r="BE8" s="580"/>
      <c r="BF8" s="580"/>
      <c r="BG8" s="580"/>
      <c r="BH8" s="580"/>
      <c r="BI8" s="580"/>
      <c r="BJ8" s="580"/>
      <c r="BK8" s="580"/>
      <c r="BL8" s="580"/>
    </row>
    <row r="9" spans="1:64" s="101" customFormat="1" ht="18.95" customHeight="1">
      <c r="A9" s="580"/>
      <c r="B9" s="879"/>
      <c r="C9" s="580" t="s">
        <v>490</v>
      </c>
      <c r="D9" s="890"/>
      <c r="E9" s="890"/>
      <c r="F9" s="881"/>
      <c r="G9" s="881"/>
      <c r="H9" s="888"/>
      <c r="I9" s="930" t="b">
        <v>1</v>
      </c>
      <c r="J9" s="892" t="s">
        <v>484</v>
      </c>
      <c r="K9" s="881"/>
      <c r="L9" s="580"/>
      <c r="M9" s="931"/>
      <c r="N9" s="580" t="s">
        <v>485</v>
      </c>
      <c r="O9" s="580"/>
      <c r="P9" s="580"/>
      <c r="Q9" s="580"/>
      <c r="R9" s="580"/>
      <c r="S9" s="932" t="b">
        <v>1</v>
      </c>
      <c r="T9" s="894" t="s">
        <v>491</v>
      </c>
      <c r="U9" s="895"/>
      <c r="V9" s="895"/>
      <c r="W9" s="895"/>
      <c r="X9" s="1784"/>
      <c r="Y9" s="895"/>
      <c r="Z9" s="895"/>
      <c r="AA9" s="896"/>
      <c r="AB9" s="895"/>
      <c r="AC9" s="1783" t="str">
        <f>IF(AND(site_mode_donation=TRUE,ISBLANK(site_modeyr_donation)),"Please specify year","")</f>
        <v/>
      </c>
      <c r="AD9" s="3055">
        <v>1991</v>
      </c>
      <c r="AE9" s="3056"/>
      <c r="AF9" s="3057"/>
      <c r="AG9" s="580"/>
      <c r="AH9" s="580"/>
      <c r="AI9" s="580"/>
      <c r="AJ9" s="580"/>
      <c r="AK9" s="580"/>
      <c r="AL9" s="930" t="b">
        <v>0</v>
      </c>
      <c r="AM9" s="580" t="s">
        <v>484</v>
      </c>
      <c r="AN9" s="890"/>
      <c r="AO9" s="580"/>
      <c r="AP9" s="930"/>
      <c r="AQ9" s="580" t="s">
        <v>485</v>
      </c>
      <c r="AR9" s="580"/>
      <c r="AS9" s="580"/>
      <c r="AT9" s="580"/>
      <c r="AU9" s="580"/>
      <c r="AV9" s="580"/>
      <c r="AW9" s="580"/>
      <c r="AX9" s="691"/>
      <c r="AY9" s="580"/>
      <c r="AZ9" s="580"/>
      <c r="BA9" s="580"/>
      <c r="BB9" s="580"/>
      <c r="BC9" s="580"/>
      <c r="BD9" s="580"/>
      <c r="BE9" s="580"/>
      <c r="BF9" s="580"/>
      <c r="BG9" s="580"/>
      <c r="BH9" s="580"/>
      <c r="BI9" s="580"/>
      <c r="BJ9" s="580"/>
      <c r="BK9" s="580"/>
      <c r="BL9" s="580"/>
    </row>
    <row r="10" spans="1:64" s="101" customFormat="1" ht="14.1" customHeight="1">
      <c r="A10" s="580"/>
      <c r="B10" s="879"/>
      <c r="C10" s="580"/>
      <c r="D10" s="897" t="s">
        <v>1114</v>
      </c>
      <c r="E10" s="890"/>
      <c r="F10" s="881"/>
      <c r="G10" s="881"/>
      <c r="H10" s="881"/>
      <c r="I10" s="881"/>
      <c r="J10" s="881"/>
      <c r="K10" s="881"/>
      <c r="L10" s="881"/>
      <c r="M10" s="881"/>
      <c r="N10" s="881"/>
      <c r="O10" s="580"/>
      <c r="P10" s="580"/>
      <c r="Q10" s="580"/>
      <c r="R10" s="580"/>
      <c r="S10" s="933" t="b">
        <v>1</v>
      </c>
      <c r="T10" s="898" t="s">
        <v>492</v>
      </c>
      <c r="U10" s="899"/>
      <c r="V10" s="900"/>
      <c r="W10" s="900"/>
      <c r="X10" s="896"/>
      <c r="Y10" s="900"/>
      <c r="Z10" s="900"/>
      <c r="AA10" s="900"/>
      <c r="AB10" s="900"/>
      <c r="AC10" s="1783" t="str">
        <f>IF(AND(site_mode_purchase=TRUE,ISBLANK(site_modeyr_purchase)),"Please specify year","")</f>
        <v/>
      </c>
      <c r="AD10" s="3032">
        <v>1993</v>
      </c>
      <c r="AE10" s="3033"/>
      <c r="AF10" s="3034"/>
      <c r="AG10" s="580"/>
      <c r="AH10" s="580"/>
      <c r="AI10" s="580"/>
      <c r="AJ10" s="580" t="s">
        <v>493</v>
      </c>
      <c r="AK10" s="580"/>
      <c r="AL10" s="580"/>
      <c r="AM10" s="433"/>
      <c r="AN10" s="433"/>
      <c r="AO10" s="433"/>
      <c r="AP10" s="433"/>
      <c r="AQ10" s="433"/>
      <c r="AR10" s="433"/>
      <c r="AS10" s="580"/>
      <c r="AT10" s="433"/>
      <c r="AU10" s="433"/>
      <c r="AV10" s="433"/>
      <c r="AW10" s="433"/>
      <c r="AX10" s="901"/>
      <c r="AY10" s="580"/>
      <c r="AZ10" s="580"/>
      <c r="BA10" s="580"/>
      <c r="BB10" s="580"/>
      <c r="BC10" s="580"/>
      <c r="BD10" s="580"/>
      <c r="BE10" s="580"/>
      <c r="BF10" s="580"/>
      <c r="BG10" s="580"/>
      <c r="BH10" s="580"/>
      <c r="BI10" s="580"/>
      <c r="BJ10" s="580"/>
      <c r="BK10" s="580"/>
      <c r="BL10" s="580"/>
    </row>
    <row r="11" spans="1:64" s="101" customFormat="1" ht="19.5" customHeight="1">
      <c r="A11" s="580"/>
      <c r="B11" s="879"/>
      <c r="C11" s="881"/>
      <c r="D11" s="580"/>
      <c r="E11" s="930" t="b">
        <v>1</v>
      </c>
      <c r="F11" s="582" t="s">
        <v>494</v>
      </c>
      <c r="G11" s="881"/>
      <c r="H11" s="881"/>
      <c r="I11" s="881"/>
      <c r="J11" s="881"/>
      <c r="K11" s="881"/>
      <c r="L11" s="881"/>
      <c r="M11" s="881"/>
      <c r="N11" s="881"/>
      <c r="O11" s="580"/>
      <c r="P11" s="580"/>
      <c r="Q11" s="580"/>
      <c r="R11" s="580"/>
      <c r="S11" s="933" t="b">
        <v>0</v>
      </c>
      <c r="T11" s="898" t="s">
        <v>495</v>
      </c>
      <c r="U11" s="902"/>
      <c r="V11" s="902"/>
      <c r="W11" s="902"/>
      <c r="X11" s="1783"/>
      <c r="Y11" s="580"/>
      <c r="Z11" s="902"/>
      <c r="AA11" s="902"/>
      <c r="AB11" s="902"/>
      <c r="AC11" s="1783" t="str">
        <f>IF(AND(site_mode_usufruct_agree=TRUE,ISBLANK(site_modeyr_usufruct_agree)),"Please specify year","")</f>
        <v/>
      </c>
      <c r="AD11" s="3029"/>
      <c r="AE11" s="3030"/>
      <c r="AF11" s="3031"/>
      <c r="AG11" s="580"/>
      <c r="AH11" s="580"/>
      <c r="AI11" s="580"/>
      <c r="AJ11" s="884"/>
      <c r="AK11" s="580" t="s">
        <v>481</v>
      </c>
      <c r="AL11" s="580"/>
      <c r="AM11" s="433"/>
      <c r="AN11" s="433"/>
      <c r="AO11" s="580"/>
      <c r="AP11" s="580"/>
      <c r="AQ11" s="580"/>
      <c r="AR11" s="580"/>
      <c r="AS11" s="580"/>
      <c r="AT11" s="580"/>
      <c r="AU11" s="580"/>
      <c r="AV11" s="580"/>
      <c r="AW11" s="580"/>
      <c r="AX11" s="901"/>
      <c r="AY11" s="580"/>
      <c r="AZ11" s="580"/>
      <c r="BA11" s="580"/>
      <c r="BB11" s="580"/>
      <c r="BC11" s="580"/>
      <c r="BD11" s="580"/>
      <c r="BE11" s="580"/>
      <c r="BF11" s="580"/>
      <c r="BG11" s="580"/>
      <c r="BH11" s="580"/>
      <c r="BI11" s="580"/>
      <c r="BJ11" s="580"/>
      <c r="BK11" s="580"/>
      <c r="BL11" s="580"/>
    </row>
    <row r="12" spans="1:64" s="101" customFormat="1" ht="19.5" customHeight="1">
      <c r="A12" s="580"/>
      <c r="B12" s="879"/>
      <c r="C12" s="881"/>
      <c r="D12" s="580"/>
      <c r="E12" s="930" t="b">
        <v>1</v>
      </c>
      <c r="F12" s="582" t="s">
        <v>496</v>
      </c>
      <c r="G12" s="881"/>
      <c r="H12" s="881"/>
      <c r="I12" s="881"/>
      <c r="J12" s="881"/>
      <c r="K12" s="881"/>
      <c r="L12" s="881"/>
      <c r="M12" s="881"/>
      <c r="N12" s="881"/>
      <c r="O12" s="580"/>
      <c r="P12" s="580"/>
      <c r="Q12" s="580"/>
      <c r="R12" s="580"/>
      <c r="S12" s="933" t="b">
        <v>0</v>
      </c>
      <c r="T12" s="898" t="s">
        <v>497</v>
      </c>
      <c r="U12" s="902"/>
      <c r="V12" s="902"/>
      <c r="W12" s="902"/>
      <c r="X12" s="902"/>
      <c r="Y12" s="902"/>
      <c r="Z12" s="902"/>
      <c r="AA12" s="902"/>
      <c r="AB12" s="902"/>
      <c r="AC12" s="1783" t="str">
        <f>IF(AND(site_mode_expropriation=TRUE,ISBLANK(site_modeyr_expropriation)),"Please specify year","")</f>
        <v/>
      </c>
      <c r="AD12" s="3029"/>
      <c r="AE12" s="3030"/>
      <c r="AF12" s="3031"/>
      <c r="AG12" s="580"/>
      <c r="AH12" s="580"/>
      <c r="AI12" s="580"/>
      <c r="AJ12" s="580"/>
      <c r="AK12" s="580"/>
      <c r="AL12" s="930" t="b">
        <v>0</v>
      </c>
      <c r="AM12" s="580" t="s">
        <v>484</v>
      </c>
      <c r="AN12" s="890"/>
      <c r="AO12" s="580"/>
      <c r="AP12" s="930"/>
      <c r="AQ12" s="580" t="s">
        <v>485</v>
      </c>
      <c r="AR12" s="891"/>
      <c r="AS12" s="580"/>
      <c r="AT12" s="890"/>
      <c r="AU12" s="433"/>
      <c r="AV12" s="433"/>
      <c r="AW12" s="433"/>
      <c r="AX12" s="901"/>
      <c r="AY12" s="580"/>
      <c r="AZ12" s="580"/>
      <c r="BA12" s="580"/>
      <c r="BB12" s="580"/>
      <c r="BC12" s="580"/>
      <c r="BD12" s="580"/>
      <c r="BE12" s="580"/>
      <c r="BF12" s="580"/>
      <c r="BG12" s="580"/>
      <c r="BH12" s="580"/>
      <c r="BI12" s="580"/>
      <c r="BJ12" s="580"/>
      <c r="BK12" s="580"/>
      <c r="BL12" s="580"/>
    </row>
    <row r="13" spans="1:64" s="101" customFormat="1" ht="19.5" customHeight="1">
      <c r="A13" s="580"/>
      <c r="B13" s="879"/>
      <c r="C13" s="881"/>
      <c r="D13" s="580"/>
      <c r="E13" s="930" t="b">
        <v>0</v>
      </c>
      <c r="F13" s="582" t="s">
        <v>498</v>
      </c>
      <c r="G13" s="881"/>
      <c r="H13" s="881"/>
      <c r="I13" s="881"/>
      <c r="J13" s="881"/>
      <c r="K13" s="881"/>
      <c r="L13" s="881"/>
      <c r="M13" s="881"/>
      <c r="N13" s="881"/>
      <c r="O13" s="580"/>
      <c r="P13" s="580"/>
      <c r="Q13" s="580"/>
      <c r="R13" s="580"/>
      <c r="S13" s="933" t="b">
        <v>0</v>
      </c>
      <c r="T13" s="898" t="s">
        <v>499</v>
      </c>
      <c r="U13" s="900"/>
      <c r="V13" s="900"/>
      <c r="W13" s="900"/>
      <c r="X13" s="900"/>
      <c r="Y13" s="900"/>
      <c r="Z13" s="900"/>
      <c r="AA13" s="900"/>
      <c r="AB13" s="900"/>
      <c r="AC13" s="1783" t="str">
        <f>IF(AND(site_mode_exchange_swapping=TRUE,ISBLANK(site_modeyr_exchange_swapping)),"Please specify year","")</f>
        <v/>
      </c>
      <c r="AD13" s="3032"/>
      <c r="AE13" s="3033"/>
      <c r="AF13" s="3034"/>
      <c r="AG13" s="580"/>
      <c r="AH13" s="580"/>
      <c r="AI13" s="580"/>
      <c r="AJ13" s="580"/>
      <c r="AK13" s="580" t="s">
        <v>500</v>
      </c>
      <c r="AL13" s="888"/>
      <c r="AM13" s="582"/>
      <c r="AN13" s="891"/>
      <c r="AO13" s="891"/>
      <c r="AP13" s="891"/>
      <c r="AQ13" s="891"/>
      <c r="AR13" s="891"/>
      <c r="AS13" s="580"/>
      <c r="AT13" s="891"/>
      <c r="AU13" s="891"/>
      <c r="AV13" s="891"/>
      <c r="AW13" s="891"/>
      <c r="AX13" s="901"/>
      <c r="AY13" s="580"/>
      <c r="AZ13" s="580"/>
      <c r="BA13" s="580"/>
      <c r="BB13" s="580"/>
      <c r="BC13" s="580"/>
      <c r="BD13" s="580"/>
      <c r="BE13" s="580"/>
      <c r="BF13" s="580"/>
      <c r="BG13" s="580"/>
      <c r="BH13" s="580"/>
      <c r="BI13" s="580"/>
      <c r="BJ13" s="580"/>
      <c r="BK13" s="580"/>
      <c r="BL13" s="580"/>
    </row>
    <row r="14" spans="1:64" s="101" customFormat="1" ht="19.5" customHeight="1">
      <c r="A14" s="580"/>
      <c r="B14" s="879"/>
      <c r="C14" s="881"/>
      <c r="D14" s="580"/>
      <c r="E14" s="930" t="b">
        <v>0</v>
      </c>
      <c r="F14" s="582" t="s">
        <v>501</v>
      </c>
      <c r="G14" s="881"/>
      <c r="H14" s="881"/>
      <c r="I14" s="881"/>
      <c r="J14" s="881"/>
      <c r="K14" s="881"/>
      <c r="L14" s="881"/>
      <c r="M14" s="881"/>
      <c r="N14" s="881"/>
      <c r="O14" s="580"/>
      <c r="P14" s="580"/>
      <c r="Q14" s="580"/>
      <c r="R14" s="580"/>
      <c r="S14" s="933" t="b">
        <v>0</v>
      </c>
      <c r="T14" s="898" t="s">
        <v>502</v>
      </c>
      <c r="U14" s="900"/>
      <c r="V14" s="900"/>
      <c r="W14" s="900"/>
      <c r="X14" s="900"/>
      <c r="Y14" s="900"/>
      <c r="Z14" s="900"/>
      <c r="AA14" s="900"/>
      <c r="AB14" s="900"/>
      <c r="AC14" s="1783" t="str">
        <f>IF(AND(site_mode_pres_proc=TRUE,ISBLANK(site_modeyr_pres_proc)),"Please specify year","")</f>
        <v/>
      </c>
      <c r="AD14" s="3032"/>
      <c r="AE14" s="3033"/>
      <c r="AF14" s="3034"/>
      <c r="AG14" s="580"/>
      <c r="AH14" s="580"/>
      <c r="AI14" s="580"/>
      <c r="AJ14" s="580"/>
      <c r="AK14" s="580"/>
      <c r="AL14" s="930" t="b">
        <v>0</v>
      </c>
      <c r="AM14" s="580" t="s">
        <v>484</v>
      </c>
      <c r="AN14" s="890"/>
      <c r="AO14" s="580"/>
      <c r="AP14" s="930"/>
      <c r="AQ14" s="580" t="s">
        <v>485</v>
      </c>
      <c r="AR14" s="891"/>
      <c r="AS14" s="580"/>
      <c r="AT14" s="891"/>
      <c r="AU14" s="891"/>
      <c r="AV14" s="891"/>
      <c r="AW14" s="891"/>
      <c r="AX14" s="901"/>
      <c r="AY14" s="580"/>
      <c r="AZ14" s="580"/>
      <c r="BA14" s="580"/>
      <c r="BB14" s="580"/>
      <c r="BC14" s="580"/>
      <c r="BD14" s="580"/>
      <c r="BE14" s="580"/>
      <c r="BF14" s="580"/>
      <c r="BG14" s="580"/>
      <c r="BH14" s="580"/>
      <c r="BI14" s="580"/>
      <c r="BJ14" s="580"/>
      <c r="BK14" s="580"/>
      <c r="BL14" s="580"/>
    </row>
    <row r="15" spans="1:64" s="101" customFormat="1" ht="19.5" customHeight="1">
      <c r="A15" s="580"/>
      <c r="B15" s="879"/>
      <c r="C15" s="881"/>
      <c r="D15" s="580"/>
      <c r="E15" s="930" t="b">
        <v>0</v>
      </c>
      <c r="F15" s="582" t="s">
        <v>502</v>
      </c>
      <c r="G15" s="881"/>
      <c r="H15" s="881"/>
      <c r="I15" s="881"/>
      <c r="J15" s="881"/>
      <c r="K15" s="881"/>
      <c r="L15" s="881"/>
      <c r="M15" s="881"/>
      <c r="N15" s="881"/>
      <c r="O15" s="580"/>
      <c r="P15" s="580"/>
      <c r="Q15" s="580"/>
      <c r="R15" s="580"/>
      <c r="S15" s="933" t="b">
        <v>0</v>
      </c>
      <c r="T15" s="898" t="s">
        <v>501</v>
      </c>
      <c r="U15" s="900"/>
      <c r="V15" s="900"/>
      <c r="W15" s="900"/>
      <c r="X15" s="900"/>
      <c r="Y15" s="900"/>
      <c r="Z15" s="900"/>
      <c r="AA15" s="903"/>
      <c r="AB15" s="900"/>
      <c r="AC15" s="1783" t="str">
        <f>IF(AND(site_mode_spl_patent=TRUE,ISBLANK(site_modeyr_spl_patent)),"Please specify year","")</f>
        <v/>
      </c>
      <c r="AD15" s="3032"/>
      <c r="AE15" s="3033"/>
      <c r="AF15" s="3034"/>
      <c r="AG15" s="580"/>
      <c r="AH15" s="580"/>
      <c r="AI15" s="580"/>
      <c r="AJ15" s="580"/>
      <c r="AK15" s="580"/>
      <c r="AL15" s="580"/>
      <c r="AM15" s="580"/>
      <c r="AN15" s="580"/>
      <c r="AO15" s="580"/>
      <c r="AP15" s="580"/>
      <c r="AQ15" s="580"/>
      <c r="AR15" s="580"/>
      <c r="AS15" s="580"/>
      <c r="AT15" s="580"/>
      <c r="AU15" s="580"/>
      <c r="AV15" s="580"/>
      <c r="AW15" s="580"/>
      <c r="AX15" s="901"/>
      <c r="AY15" s="580"/>
      <c r="AZ15" s="580"/>
      <c r="BA15" s="580"/>
      <c r="BB15" s="580"/>
      <c r="BC15" s="580"/>
      <c r="BD15" s="580"/>
      <c r="BE15" s="580"/>
      <c r="BF15" s="580"/>
      <c r="BG15" s="580"/>
      <c r="BH15" s="580"/>
      <c r="BI15" s="580"/>
      <c r="BJ15" s="580"/>
      <c r="BK15" s="580"/>
      <c r="BL15" s="580"/>
    </row>
    <row r="16" spans="1:64" s="101" customFormat="1" ht="19.5" customHeight="1">
      <c r="A16" s="580"/>
      <c r="B16" s="879"/>
      <c r="C16" s="881"/>
      <c r="D16" s="580"/>
      <c r="E16" s="930" t="b">
        <v>1</v>
      </c>
      <c r="F16" s="582" t="s">
        <v>503</v>
      </c>
      <c r="G16" s="881"/>
      <c r="H16" s="881"/>
      <c r="I16" s="881"/>
      <c r="J16" s="881"/>
      <c r="K16" s="881"/>
      <c r="L16" s="881"/>
      <c r="M16" s="881"/>
      <c r="N16" s="881"/>
      <c r="O16" s="580"/>
      <c r="P16" s="580"/>
      <c r="Q16" s="580"/>
      <c r="R16" s="580"/>
      <c r="S16" s="934" t="b">
        <v>0</v>
      </c>
      <c r="T16" s="3047" t="s">
        <v>504</v>
      </c>
      <c r="U16" s="3047"/>
      <c r="V16" s="3047"/>
      <c r="W16" s="3047"/>
      <c r="X16" s="3047"/>
      <c r="Y16" s="3047"/>
      <c r="Z16" s="3047"/>
      <c r="AA16" s="3047"/>
      <c r="AB16" s="3047"/>
      <c r="AC16" s="1785" t="str">
        <f>IF(AND(site_mode_cloa=TRUE,ISBLANK(site_modeyr_cloa)),"Please specify year","")</f>
        <v/>
      </c>
      <c r="AD16" s="3035"/>
      <c r="AE16" s="3036"/>
      <c r="AF16" s="3037"/>
      <c r="AG16" s="580"/>
      <c r="AH16" s="580"/>
      <c r="AI16" s="580"/>
      <c r="AJ16" s="580" t="s">
        <v>1115</v>
      </c>
      <c r="AK16" s="891"/>
      <c r="AL16" s="882"/>
      <c r="AM16" s="580"/>
      <c r="AN16" s="580"/>
      <c r="AO16" s="904"/>
      <c r="AP16" s="904"/>
      <c r="AQ16" s="891"/>
      <c r="AR16" s="891"/>
      <c r="AS16" s="580"/>
      <c r="AT16" s="580"/>
      <c r="AU16" s="580"/>
      <c r="AV16" s="580"/>
      <c r="AW16" s="580"/>
      <c r="AX16" s="901"/>
      <c r="AY16" s="580"/>
      <c r="AZ16" s="580"/>
      <c r="BA16" s="580"/>
      <c r="BB16" s="580"/>
      <c r="BC16" s="580"/>
      <c r="BD16" s="580"/>
      <c r="BE16" s="580"/>
      <c r="BF16" s="580"/>
      <c r="BG16" s="580"/>
      <c r="BH16" s="580"/>
      <c r="BI16" s="580"/>
      <c r="BJ16" s="580"/>
      <c r="BK16" s="580"/>
      <c r="BL16" s="580"/>
    </row>
    <row r="17" spans="1:76" s="101" customFormat="1" ht="19.5" customHeight="1">
      <c r="A17" s="580"/>
      <c r="B17" s="879"/>
      <c r="C17" s="881"/>
      <c r="D17" s="580"/>
      <c r="E17" s="930" t="b">
        <v>0</v>
      </c>
      <c r="F17" s="582" t="s">
        <v>505</v>
      </c>
      <c r="G17" s="881"/>
      <c r="H17" s="881"/>
      <c r="I17" s="881"/>
      <c r="J17" s="881"/>
      <c r="K17" s="881"/>
      <c r="L17" s="881"/>
      <c r="M17" s="881"/>
      <c r="N17" s="881"/>
      <c r="O17" s="580"/>
      <c r="P17" s="580"/>
      <c r="Q17" s="580"/>
      <c r="R17" s="580"/>
      <c r="S17" s="893"/>
      <c r="T17" s="3048"/>
      <c r="U17" s="3048"/>
      <c r="V17" s="3048"/>
      <c r="W17" s="3048"/>
      <c r="X17" s="3048"/>
      <c r="Y17" s="3048"/>
      <c r="Z17" s="3048"/>
      <c r="AA17" s="3048"/>
      <c r="AB17" s="3048"/>
      <c r="AC17" s="1782"/>
      <c r="AD17" s="3038"/>
      <c r="AE17" s="3039"/>
      <c r="AF17" s="3040"/>
      <c r="AG17" s="580"/>
      <c r="AH17" s="580"/>
      <c r="AI17" s="580"/>
      <c r="AJ17" s="580"/>
      <c r="AK17" s="904"/>
      <c r="AL17" s="930" t="b">
        <v>1</v>
      </c>
      <c r="AM17" s="582" t="s">
        <v>506</v>
      </c>
      <c r="AN17" s="580"/>
      <c r="AO17" s="580"/>
      <c r="AP17" s="580"/>
      <c r="AQ17" s="580"/>
      <c r="AR17" s="580"/>
      <c r="AS17" s="580"/>
      <c r="AT17" s="580"/>
      <c r="AU17" s="580"/>
      <c r="AV17" s="580"/>
      <c r="AW17" s="580"/>
      <c r="AX17" s="901"/>
      <c r="AY17" s="580"/>
      <c r="AZ17" s="580"/>
      <c r="BA17" s="580"/>
      <c r="BB17" s="580"/>
      <c r="BC17" s="580"/>
      <c r="BD17" s="580"/>
      <c r="BE17" s="580"/>
      <c r="BF17" s="580"/>
      <c r="BG17" s="580"/>
      <c r="BH17" s="580"/>
      <c r="BI17" s="580"/>
      <c r="BJ17" s="580"/>
      <c r="BK17" s="580"/>
      <c r="BL17" s="580"/>
    </row>
    <row r="18" spans="1:76" s="101" customFormat="1" ht="19.5" customHeight="1">
      <c r="A18" s="580"/>
      <c r="B18" s="879"/>
      <c r="C18" s="881"/>
      <c r="D18" s="580"/>
      <c r="E18" s="930" t="b">
        <v>0</v>
      </c>
      <c r="F18" s="582" t="s">
        <v>507</v>
      </c>
      <c r="G18" s="881"/>
      <c r="H18" s="881"/>
      <c r="I18" s="881"/>
      <c r="J18" s="881"/>
      <c r="K18" s="881"/>
      <c r="L18" s="881"/>
      <c r="M18" s="881"/>
      <c r="N18" s="881"/>
      <c r="O18" s="580"/>
      <c r="P18" s="580"/>
      <c r="Q18" s="580"/>
      <c r="R18" s="580"/>
      <c r="S18" s="933" t="b">
        <v>0</v>
      </c>
      <c r="T18" s="898" t="s">
        <v>508</v>
      </c>
      <c r="U18" s="900"/>
      <c r="V18" s="900"/>
      <c r="W18" s="900"/>
      <c r="X18" s="900"/>
      <c r="Y18" s="900"/>
      <c r="Z18" s="900"/>
      <c r="AA18" s="903"/>
      <c r="AB18" s="900"/>
      <c r="AC18" s="1785" t="str">
        <f>IF(AND(site_mode_slup=TRUE,ISBLANK(site_modeyr_slup)),"Please specify year","")</f>
        <v/>
      </c>
      <c r="AD18" s="3032"/>
      <c r="AE18" s="3033"/>
      <c r="AF18" s="3034"/>
      <c r="AG18" s="580"/>
      <c r="AH18" s="580"/>
      <c r="AI18" s="580"/>
      <c r="AJ18" s="580"/>
      <c r="AK18" s="904"/>
      <c r="AL18" s="930" t="b">
        <v>0</v>
      </c>
      <c r="AM18" s="582" t="s">
        <v>509</v>
      </c>
      <c r="AN18" s="582"/>
      <c r="AO18" s="580"/>
      <c r="AP18" s="580"/>
      <c r="AQ18" s="580"/>
      <c r="AR18" s="580"/>
      <c r="AS18" s="580"/>
      <c r="AT18" s="580"/>
      <c r="AU18" s="580"/>
      <c r="AV18" s="580"/>
      <c r="AW18" s="580"/>
      <c r="AX18" s="901"/>
      <c r="AY18" s="580"/>
      <c r="AZ18" s="580"/>
      <c r="BA18" s="580"/>
      <c r="BB18" s="580"/>
      <c r="BC18" s="580"/>
      <c r="BD18" s="580"/>
      <c r="BE18" s="580"/>
      <c r="BF18" s="580"/>
      <c r="BG18" s="580"/>
      <c r="BH18" s="580"/>
      <c r="BI18" s="580"/>
      <c r="BJ18" s="580"/>
      <c r="BK18" s="580"/>
      <c r="BL18" s="580"/>
    </row>
    <row r="19" spans="1:76" s="101" customFormat="1" ht="19.5" customHeight="1">
      <c r="A19" s="580"/>
      <c r="B19" s="879"/>
      <c r="C19" s="881"/>
      <c r="D19" s="580"/>
      <c r="E19" s="930" t="b">
        <v>0</v>
      </c>
      <c r="F19" s="582" t="s">
        <v>510</v>
      </c>
      <c r="G19" s="881"/>
      <c r="H19" s="881"/>
      <c r="I19" s="881"/>
      <c r="J19" s="881"/>
      <c r="K19" s="881"/>
      <c r="L19" s="881"/>
      <c r="M19" s="881"/>
      <c r="N19" s="881"/>
      <c r="O19" s="580"/>
      <c r="P19" s="580"/>
      <c r="Q19" s="580"/>
      <c r="R19" s="580"/>
      <c r="S19" s="935" t="b">
        <v>0</v>
      </c>
      <c r="T19" s="905" t="s">
        <v>1021</v>
      </c>
      <c r="U19" s="906"/>
      <c r="V19" s="906"/>
      <c r="W19" s="906"/>
      <c r="X19" s="3046"/>
      <c r="Y19" s="3046"/>
      <c r="Z19" s="3046"/>
      <c r="AA19" s="3046"/>
      <c r="AB19" s="3046"/>
      <c r="AC19" s="1785"/>
      <c r="AD19" s="3035"/>
      <c r="AE19" s="3036"/>
      <c r="AF19" s="3037"/>
      <c r="AG19" s="580"/>
      <c r="AH19" s="580"/>
      <c r="AI19" s="580"/>
      <c r="AJ19" s="580"/>
      <c r="AK19" s="904"/>
      <c r="AL19" s="930" t="b">
        <v>0</v>
      </c>
      <c r="AM19" s="582" t="s">
        <v>511</v>
      </c>
      <c r="AN19" s="582"/>
      <c r="AO19" s="706"/>
      <c r="AP19" s="580"/>
      <c r="AQ19" s="580"/>
      <c r="AR19" s="580"/>
      <c r="AS19" s="580"/>
      <c r="AT19" s="580"/>
      <c r="AU19" s="580"/>
      <c r="AV19" s="580"/>
      <c r="AW19" s="580"/>
      <c r="AX19" s="901"/>
      <c r="AY19" s="580"/>
      <c r="AZ19" s="580"/>
      <c r="BA19" s="580"/>
      <c r="BB19" s="580"/>
      <c r="BC19" s="580"/>
      <c r="BD19" s="580"/>
      <c r="BE19" s="580"/>
      <c r="BF19" s="580"/>
      <c r="BG19" s="580"/>
      <c r="BH19" s="580"/>
      <c r="BI19" s="580"/>
      <c r="BJ19" s="580"/>
      <c r="BK19" s="580"/>
      <c r="BL19" s="580"/>
    </row>
    <row r="20" spans="1:76" s="101" customFormat="1" ht="19.5" customHeight="1">
      <c r="A20" s="580"/>
      <c r="B20" s="879"/>
      <c r="C20" s="881"/>
      <c r="D20" s="580"/>
      <c r="E20" s="930" t="b">
        <v>0</v>
      </c>
      <c r="F20" s="582" t="s">
        <v>508</v>
      </c>
      <c r="G20" s="881"/>
      <c r="H20" s="881"/>
      <c r="I20" s="881"/>
      <c r="J20" s="881"/>
      <c r="K20" s="881"/>
      <c r="L20" s="881"/>
      <c r="M20" s="881"/>
      <c r="N20" s="881"/>
      <c r="O20" s="580"/>
      <c r="P20" s="580"/>
      <c r="Q20" s="580"/>
      <c r="R20" s="580"/>
      <c r="S20" s="907"/>
      <c r="T20" s="2617"/>
      <c r="U20" s="2617"/>
      <c r="V20" s="2617"/>
      <c r="W20" s="2617"/>
      <c r="X20" s="2617"/>
      <c r="Y20" s="2617"/>
      <c r="Z20" s="2617"/>
      <c r="AA20" s="2617"/>
      <c r="AB20" s="2617"/>
      <c r="AC20" s="698"/>
      <c r="AD20" s="3041"/>
      <c r="AE20" s="3042"/>
      <c r="AF20" s="3043"/>
      <c r="AG20" s="580"/>
      <c r="AH20" s="580"/>
      <c r="AI20" s="580"/>
      <c r="AJ20" s="580"/>
      <c r="AK20" s="580"/>
      <c r="AL20" s="930" t="b">
        <v>0</v>
      </c>
      <c r="AM20" s="582" t="s">
        <v>1021</v>
      </c>
      <c r="AN20" s="625"/>
      <c r="AO20" s="582"/>
      <c r="AP20" s="599"/>
      <c r="AQ20" s="2617"/>
      <c r="AR20" s="2617"/>
      <c r="AS20" s="2617"/>
      <c r="AT20" s="2617"/>
      <c r="AU20" s="2617"/>
      <c r="AV20" s="599"/>
      <c r="AW20" s="599"/>
      <c r="AX20" s="901"/>
      <c r="AY20" s="580"/>
      <c r="AZ20" s="580"/>
      <c r="BA20" s="580"/>
      <c r="BB20" s="580"/>
      <c r="BC20" s="580"/>
      <c r="BD20" s="580"/>
      <c r="BE20" s="580"/>
      <c r="BF20" s="580"/>
      <c r="BG20" s="580"/>
      <c r="BH20" s="580"/>
      <c r="BI20" s="580"/>
      <c r="BJ20" s="580"/>
      <c r="BK20" s="580"/>
      <c r="BL20" s="580"/>
    </row>
    <row r="21" spans="1:76" s="101" customFormat="1" ht="3" customHeight="1" thickBot="1">
      <c r="A21" s="580"/>
      <c r="B21" s="879"/>
      <c r="C21" s="881"/>
      <c r="D21" s="580"/>
      <c r="E21" s="930"/>
      <c r="F21" s="582"/>
      <c r="G21" s="881"/>
      <c r="H21" s="881"/>
      <c r="I21" s="881"/>
      <c r="J21" s="881"/>
      <c r="K21" s="881"/>
      <c r="L21" s="881"/>
      <c r="M21" s="881"/>
      <c r="N21" s="881"/>
      <c r="O21" s="580"/>
      <c r="P21" s="580"/>
      <c r="Q21" s="580"/>
      <c r="R21" s="580"/>
      <c r="S21" s="908"/>
      <c r="T21" s="909"/>
      <c r="U21" s="909"/>
      <c r="V21" s="909"/>
      <c r="W21" s="909"/>
      <c r="X21" s="909"/>
      <c r="Y21" s="909"/>
      <c r="Z21" s="909"/>
      <c r="AA21" s="909"/>
      <c r="AB21" s="909"/>
      <c r="AC21" s="910"/>
      <c r="AD21" s="911"/>
      <c r="AE21" s="911"/>
      <c r="AF21" s="912"/>
      <c r="AG21" s="580"/>
      <c r="AH21" s="580"/>
      <c r="AI21" s="580"/>
      <c r="AJ21" s="580"/>
      <c r="AK21" s="580"/>
      <c r="AL21" s="888"/>
      <c r="AM21" s="582"/>
      <c r="AN21" s="582"/>
      <c r="AO21" s="580"/>
      <c r="AP21" s="706"/>
      <c r="AQ21" s="706"/>
      <c r="AR21" s="913"/>
      <c r="AS21" s="913"/>
      <c r="AT21" s="913"/>
      <c r="AU21" s="913"/>
      <c r="AV21" s="913"/>
      <c r="AW21" s="913"/>
      <c r="AX21" s="901"/>
      <c r="AY21" s="580"/>
      <c r="AZ21" s="580"/>
      <c r="BA21" s="580"/>
      <c r="BB21" s="580"/>
      <c r="BC21" s="580"/>
      <c r="BD21" s="580"/>
      <c r="BE21" s="580"/>
      <c r="BF21" s="580"/>
      <c r="BG21" s="580"/>
      <c r="BH21" s="580"/>
      <c r="BI21" s="580"/>
      <c r="BJ21" s="580"/>
      <c r="BK21" s="580"/>
      <c r="BL21" s="580"/>
    </row>
    <row r="22" spans="1:76" s="101" customFormat="1" ht="19.5" customHeight="1">
      <c r="A22" s="580"/>
      <c r="B22" s="879"/>
      <c r="C22" s="881"/>
      <c r="D22" s="580"/>
      <c r="E22" s="930" t="b">
        <v>0</v>
      </c>
      <c r="F22" s="582" t="s">
        <v>512</v>
      </c>
      <c r="G22" s="881"/>
      <c r="H22" s="881"/>
      <c r="I22" s="881"/>
      <c r="J22" s="881"/>
      <c r="K22" s="881"/>
      <c r="L22" s="881"/>
      <c r="M22" s="881"/>
      <c r="N22" s="881"/>
      <c r="O22" s="580"/>
      <c r="P22" s="580"/>
      <c r="Q22" s="580"/>
      <c r="R22" s="580"/>
      <c r="S22" s="580"/>
      <c r="T22" s="1716" t="str">
        <f>IF(AND(site_mode_others=TRUE,ISBLANK(site_mode_specify)),"Please specify.",IF(AND(site_mode_others=FALSE,(site_mode_specify&gt;0)),"Please check Others if you have entries.",IF(AND(site_mode_others=TRUE,(site_mode_specify&gt;0),ISBLANK(site_modeyr_others)),"Please provide Year Acquired.","")))</f>
        <v/>
      </c>
      <c r="U22" s="580"/>
      <c r="V22" s="580"/>
      <c r="W22" s="580"/>
      <c r="X22" s="580"/>
      <c r="Y22" s="580"/>
      <c r="Z22" s="580"/>
      <c r="AA22" s="580"/>
      <c r="AB22" s="580"/>
      <c r="AC22" s="580"/>
      <c r="AD22" s="580"/>
      <c r="AE22" s="580"/>
      <c r="AF22" s="580"/>
      <c r="AG22" s="580"/>
      <c r="AH22" s="580"/>
      <c r="AI22" s="580"/>
      <c r="AJ22" s="580"/>
      <c r="AK22" s="580"/>
      <c r="AL22" s="580"/>
      <c r="AM22" s="580"/>
      <c r="AN22" s="580"/>
      <c r="AO22" s="580"/>
      <c r="AP22" s="580"/>
      <c r="AQ22" s="1716" t="str">
        <f>IF(AND(site_leg_own_others=TRUE,ISBLANK(site_leg_own_specify)),"Please specify.",IF(AND(site_leg_own_others=FALSE,(site_leg_own_specify&gt;0)),"Please check Others if you have entries.",""))</f>
        <v/>
      </c>
      <c r="AR22" s="580"/>
      <c r="AS22" s="580"/>
      <c r="AT22" s="580"/>
      <c r="AU22" s="580"/>
      <c r="AV22" s="580"/>
      <c r="AW22" s="580"/>
      <c r="AX22" s="901"/>
      <c r="AY22" s="580"/>
      <c r="AZ22" s="580"/>
      <c r="BA22" s="580"/>
      <c r="BB22" s="580"/>
      <c r="BC22" s="580"/>
      <c r="BD22" s="580"/>
      <c r="BE22" s="580"/>
      <c r="BF22" s="580"/>
      <c r="BG22" s="580"/>
      <c r="BH22" s="580"/>
      <c r="BI22" s="580"/>
      <c r="BJ22" s="580"/>
      <c r="BK22" s="580"/>
      <c r="BL22" s="580"/>
    </row>
    <row r="23" spans="1:76" s="102" customFormat="1" ht="19.5" customHeight="1">
      <c r="A23" s="599"/>
      <c r="B23" s="879"/>
      <c r="C23" s="580"/>
      <c r="D23" s="580"/>
      <c r="E23" s="930" t="b">
        <v>0</v>
      </c>
      <c r="F23" s="582" t="s">
        <v>513</v>
      </c>
      <c r="G23" s="580"/>
      <c r="H23" s="580"/>
      <c r="I23" s="580"/>
      <c r="J23" s="580"/>
      <c r="K23" s="580"/>
      <c r="L23" s="580"/>
      <c r="M23" s="580"/>
      <c r="N23" s="580"/>
      <c r="O23" s="580"/>
      <c r="P23" s="599"/>
      <c r="Q23" s="580"/>
      <c r="R23" s="580"/>
      <c r="S23" s="580"/>
      <c r="T23" s="580"/>
      <c r="U23" s="580"/>
      <c r="V23" s="580"/>
      <c r="W23" s="580"/>
      <c r="X23" s="580"/>
      <c r="Y23" s="580"/>
      <c r="Z23" s="580"/>
      <c r="AA23" s="580"/>
      <c r="AB23" s="580"/>
      <c r="AC23" s="580"/>
      <c r="AD23" s="580"/>
      <c r="AE23" s="580"/>
      <c r="AF23" s="580"/>
      <c r="AG23" s="580"/>
      <c r="AH23" s="580"/>
      <c r="AI23" s="580"/>
      <c r="AJ23" s="580" t="s">
        <v>1116</v>
      </c>
      <c r="AK23" s="891"/>
      <c r="AL23" s="882"/>
      <c r="AM23" s="580"/>
      <c r="AN23" s="582"/>
      <c r="AO23" s="580"/>
      <c r="AP23" s="580"/>
      <c r="AQ23" s="580"/>
      <c r="AR23" s="580"/>
      <c r="AS23" s="580"/>
      <c r="AT23" s="580"/>
      <c r="AU23" s="580"/>
      <c r="AV23" s="580"/>
      <c r="AW23" s="580"/>
      <c r="AX23" s="901"/>
      <c r="AY23" s="599"/>
      <c r="AZ23" s="599"/>
      <c r="BA23" s="599"/>
      <c r="BB23" s="599"/>
      <c r="BC23" s="599"/>
      <c r="BD23" s="599"/>
      <c r="BE23" s="599"/>
      <c r="BF23" s="599"/>
      <c r="BG23" s="599"/>
      <c r="BH23" s="599"/>
      <c r="BI23" s="599"/>
      <c r="BJ23" s="599"/>
      <c r="BK23" s="599"/>
      <c r="BL23" s="599"/>
    </row>
    <row r="24" spans="1:76" s="102" customFormat="1" ht="19.5" customHeight="1">
      <c r="A24" s="599"/>
      <c r="B24" s="879"/>
      <c r="C24" s="599"/>
      <c r="D24" s="599"/>
      <c r="E24" s="930" t="b">
        <v>0</v>
      </c>
      <c r="F24" s="582" t="s">
        <v>514</v>
      </c>
      <c r="G24" s="599"/>
      <c r="H24" s="599"/>
      <c r="I24" s="599"/>
      <c r="J24" s="599"/>
      <c r="K24" s="599"/>
      <c r="L24" s="599"/>
      <c r="M24" s="599"/>
      <c r="N24" s="599"/>
      <c r="O24" s="599"/>
      <c r="P24" s="599"/>
      <c r="Q24" s="888"/>
      <c r="R24" s="582"/>
      <c r="S24" s="580"/>
      <c r="T24" s="580"/>
      <c r="U24" s="580"/>
      <c r="V24" s="580"/>
      <c r="W24" s="580"/>
      <c r="X24" s="580"/>
      <c r="Y24" s="580"/>
      <c r="Z24" s="580"/>
      <c r="AA24" s="580"/>
      <c r="AB24" s="580"/>
      <c r="AC24" s="580"/>
      <c r="AD24" s="580"/>
      <c r="AE24" s="580"/>
      <c r="AF24" s="580"/>
      <c r="AG24" s="580"/>
      <c r="AH24" s="580"/>
      <c r="AI24" s="580"/>
      <c r="AJ24" s="580"/>
      <c r="AK24" s="904"/>
      <c r="AL24" s="930" t="b">
        <v>0</v>
      </c>
      <c r="AM24" s="582" t="s">
        <v>515</v>
      </c>
      <c r="AN24" s="582"/>
      <c r="AO24" s="580"/>
      <c r="AP24" s="580"/>
      <c r="AQ24" s="580"/>
      <c r="AR24" s="580"/>
      <c r="AS24" s="580"/>
      <c r="AT24" s="580"/>
      <c r="AU24" s="580"/>
      <c r="AV24" s="580"/>
      <c r="AW24" s="580"/>
      <c r="AX24" s="901"/>
      <c r="AY24" s="599"/>
      <c r="AZ24" s="599"/>
      <c r="BA24" s="599"/>
      <c r="BB24" s="599"/>
      <c r="BC24" s="599"/>
      <c r="BD24" s="599"/>
      <c r="BE24" s="599"/>
      <c r="BF24" s="599"/>
      <c r="BG24" s="599"/>
      <c r="BH24" s="599"/>
      <c r="BI24" s="599"/>
      <c r="BJ24" s="599"/>
      <c r="BK24" s="599"/>
      <c r="BL24" s="599"/>
    </row>
    <row r="25" spans="1:76" s="102" customFormat="1" ht="15" customHeight="1">
      <c r="A25" s="599"/>
      <c r="B25" s="879"/>
      <c r="C25" s="599"/>
      <c r="D25" s="599"/>
      <c r="E25" s="930" t="b">
        <v>0</v>
      </c>
      <c r="F25" s="582" t="s">
        <v>1669</v>
      </c>
      <c r="G25" s="625"/>
      <c r="H25" s="582"/>
      <c r="I25" s="599"/>
      <c r="J25" s="582"/>
      <c r="K25" s="582"/>
      <c r="L25" s="582"/>
      <c r="M25" s="582"/>
      <c r="N25" s="582"/>
      <c r="O25" s="599"/>
      <c r="P25" s="599"/>
      <c r="Q25" s="599"/>
      <c r="R25" s="599"/>
      <c r="S25" s="599"/>
      <c r="T25" s="599"/>
      <c r="U25" s="599"/>
      <c r="V25" s="3044"/>
      <c r="W25" s="3044"/>
      <c r="X25" s="3044"/>
      <c r="Y25" s="3044"/>
      <c r="Z25" s="580"/>
      <c r="AA25" s="580"/>
      <c r="AB25" s="580"/>
      <c r="AC25" s="580"/>
      <c r="AD25" s="580"/>
      <c r="AE25" s="580"/>
      <c r="AF25" s="580"/>
      <c r="AG25" s="580"/>
      <c r="AH25" s="580"/>
      <c r="AI25" s="580"/>
      <c r="AJ25" s="580"/>
      <c r="AK25" s="904"/>
      <c r="AL25" s="930" t="b">
        <v>0</v>
      </c>
      <c r="AM25" s="582" t="s">
        <v>516</v>
      </c>
      <c r="AN25" s="582"/>
      <c r="AO25" s="580"/>
      <c r="AP25" s="580"/>
      <c r="AQ25" s="580"/>
      <c r="AR25" s="580"/>
      <c r="AS25" s="580"/>
      <c r="AT25" s="580"/>
      <c r="AU25" s="580"/>
      <c r="AV25" s="580"/>
      <c r="AW25" s="580"/>
      <c r="AX25" s="901"/>
      <c r="AY25" s="599"/>
      <c r="AZ25" s="599"/>
      <c r="BA25" s="599"/>
      <c r="BB25" s="599"/>
      <c r="BC25" s="599"/>
      <c r="BD25" s="599"/>
      <c r="BE25" s="599"/>
      <c r="BF25" s="599"/>
      <c r="BG25" s="599"/>
      <c r="BH25" s="599"/>
      <c r="BI25" s="599"/>
      <c r="BJ25" s="599"/>
      <c r="BK25" s="599"/>
      <c r="BL25" s="599"/>
    </row>
    <row r="26" spans="1:76" s="102" customFormat="1" ht="20.45" customHeight="1">
      <c r="A26" s="599"/>
      <c r="B26" s="879"/>
      <c r="C26" s="599"/>
      <c r="D26" s="599"/>
      <c r="E26" s="936" t="b">
        <v>0</v>
      </c>
      <c r="F26" s="593" t="s">
        <v>1021</v>
      </c>
      <c r="G26" s="599"/>
      <c r="H26" s="599"/>
      <c r="I26" s="599"/>
      <c r="J26" s="3045"/>
      <c r="K26" s="3045"/>
      <c r="L26" s="3045"/>
      <c r="M26" s="3045"/>
      <c r="N26" s="3045"/>
      <c r="O26" s="767" t="str">
        <f>IF(AND(site_yes_others=TRUE,ISBLANK(site_specify)),"Please specify.",IF(AND(site_yes_others=FALSE,(site_specify&gt;0)),"Please check Others if you have entries.",""))</f>
        <v/>
      </c>
      <c r="P26" s="599"/>
      <c r="Q26" s="888"/>
      <c r="R26" s="582"/>
      <c r="S26" s="580"/>
      <c r="T26" s="580"/>
      <c r="U26" s="580"/>
      <c r="V26" s="913"/>
      <c r="W26" s="913"/>
      <c r="X26" s="913"/>
      <c r="Y26" s="913"/>
      <c r="Z26" s="580"/>
      <c r="AA26" s="580"/>
      <c r="AB26" s="580"/>
      <c r="AC26" s="580"/>
      <c r="AD26" s="580"/>
      <c r="AE26" s="580"/>
      <c r="AF26" s="580"/>
      <c r="AG26" s="580"/>
      <c r="AH26" s="580"/>
      <c r="AI26" s="580"/>
      <c r="AJ26" s="580"/>
      <c r="AK26" s="904"/>
      <c r="AL26" s="888"/>
      <c r="AM26" s="582"/>
      <c r="AN26" s="582"/>
      <c r="AO26" s="580"/>
      <c r="AP26" s="580"/>
      <c r="AQ26" s="580"/>
      <c r="AR26" s="580"/>
      <c r="AS26" s="580"/>
      <c r="AT26" s="580"/>
      <c r="AU26" s="580"/>
      <c r="AV26" s="580"/>
      <c r="AW26" s="580"/>
      <c r="AX26" s="901"/>
      <c r="AY26" s="599"/>
      <c r="AZ26" s="599"/>
      <c r="BA26" s="599"/>
      <c r="BB26" s="599"/>
      <c r="BC26" s="599"/>
      <c r="BD26" s="599"/>
      <c r="BE26" s="599"/>
      <c r="BF26" s="599"/>
      <c r="BG26" s="599"/>
      <c r="BH26" s="599"/>
      <c r="BI26" s="599"/>
      <c r="BJ26" s="599"/>
      <c r="BK26" s="599"/>
      <c r="BL26" s="599"/>
    </row>
    <row r="27" spans="1:76" s="102" customFormat="1" ht="3.95" customHeight="1" thickBot="1">
      <c r="A27" s="599"/>
      <c r="B27" s="914"/>
      <c r="C27" s="915"/>
      <c r="D27" s="915"/>
      <c r="E27" s="915"/>
      <c r="F27" s="915"/>
      <c r="G27" s="915"/>
      <c r="H27" s="915"/>
      <c r="I27" s="915"/>
      <c r="J27" s="915"/>
      <c r="K27" s="915"/>
      <c r="L27" s="915"/>
      <c r="M27" s="915"/>
      <c r="N27" s="915"/>
      <c r="O27" s="915"/>
      <c r="P27" s="915"/>
      <c r="Q27" s="915"/>
      <c r="R27" s="915"/>
      <c r="S27" s="915"/>
      <c r="T27" s="915"/>
      <c r="U27" s="915"/>
      <c r="V27" s="915"/>
      <c r="W27" s="915"/>
      <c r="X27" s="915"/>
      <c r="Y27" s="915"/>
      <c r="Z27" s="915"/>
      <c r="AA27" s="915"/>
      <c r="AB27" s="915"/>
      <c r="AC27" s="915"/>
      <c r="AD27" s="915"/>
      <c r="AE27" s="915"/>
      <c r="AF27" s="915"/>
      <c r="AG27" s="915"/>
      <c r="AH27" s="915"/>
      <c r="AI27" s="915"/>
      <c r="AJ27" s="915"/>
      <c r="AK27" s="915"/>
      <c r="AL27" s="915"/>
      <c r="AM27" s="786"/>
      <c r="AN27" s="786"/>
      <c r="AO27" s="786"/>
      <c r="AP27" s="786"/>
      <c r="AQ27" s="786"/>
      <c r="AR27" s="786"/>
      <c r="AS27" s="786"/>
      <c r="AT27" s="786"/>
      <c r="AU27" s="786"/>
      <c r="AV27" s="916"/>
      <c r="AW27" s="916"/>
      <c r="AX27" s="710"/>
      <c r="AY27" s="599"/>
      <c r="AZ27" s="599"/>
      <c r="BA27" s="599"/>
      <c r="BB27" s="599"/>
      <c r="BC27" s="599"/>
      <c r="BD27" s="599"/>
      <c r="BE27" s="599"/>
      <c r="BF27" s="599"/>
      <c r="BG27" s="599"/>
      <c r="BH27" s="599"/>
      <c r="BI27" s="599"/>
      <c r="BJ27" s="599"/>
      <c r="BK27" s="599"/>
      <c r="BL27" s="599"/>
    </row>
    <row r="28" spans="1:76" s="102" customFormat="1" ht="9" customHeight="1">
      <c r="A28" s="599"/>
      <c r="B28" s="240"/>
      <c r="C28" s="917"/>
      <c r="D28" s="918"/>
      <c r="E28" s="918"/>
      <c r="F28" s="918"/>
      <c r="G28" s="918"/>
      <c r="H28" s="918"/>
      <c r="I28" s="918"/>
      <c r="J28" s="918"/>
      <c r="K28" s="918"/>
      <c r="L28" s="918"/>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582"/>
      <c r="AJ28" s="240"/>
      <c r="AK28" s="240"/>
      <c r="AL28" s="240"/>
      <c r="AM28" s="240"/>
      <c r="AN28" s="240"/>
      <c r="AO28" s="240"/>
      <c r="AP28" s="240"/>
      <c r="AQ28" s="240"/>
      <c r="AR28" s="240"/>
      <c r="AS28" s="240"/>
      <c r="AT28" s="240"/>
      <c r="AU28" s="240"/>
      <c r="AV28" s="240"/>
      <c r="AW28" s="240"/>
      <c r="AX28" s="240"/>
      <c r="AY28" s="599"/>
      <c r="AZ28" s="599"/>
      <c r="BA28" s="599"/>
      <c r="BB28" s="599"/>
      <c r="BC28" s="599"/>
      <c r="BD28" s="599"/>
      <c r="BE28" s="599"/>
      <c r="BF28" s="599"/>
      <c r="BG28" s="599"/>
      <c r="BH28" s="599"/>
      <c r="BI28" s="599"/>
      <c r="BJ28" s="599"/>
      <c r="BK28" s="599"/>
      <c r="BL28" s="599"/>
    </row>
    <row r="29" spans="1:76" s="102" customFormat="1" ht="20.100000000000001" customHeight="1">
      <c r="A29" s="599"/>
      <c r="B29" s="679" t="s">
        <v>47</v>
      </c>
      <c r="C29" s="2650" t="s">
        <v>1066</v>
      </c>
      <c r="D29" s="2650"/>
      <c r="E29" s="2650"/>
      <c r="F29" s="2650"/>
      <c r="G29" s="2650"/>
      <c r="H29" s="2650"/>
      <c r="I29" s="2650"/>
      <c r="J29" s="2650"/>
      <c r="K29" s="2650"/>
      <c r="L29" s="2650"/>
      <c r="M29" s="2650"/>
      <c r="N29" s="2650"/>
      <c r="O29" s="2650"/>
      <c r="P29" s="2650"/>
      <c r="Q29" s="2650"/>
      <c r="R29" s="2650"/>
      <c r="S29" s="2650"/>
      <c r="T29" s="2650"/>
      <c r="U29" s="2650"/>
      <c r="V29" s="2650"/>
      <c r="W29" s="2650"/>
      <c r="X29" s="2650"/>
      <c r="Y29" s="2650"/>
      <c r="Z29" s="2650"/>
      <c r="AA29" s="2650"/>
      <c r="AB29" s="2650"/>
      <c r="AC29" s="2650"/>
      <c r="AD29" s="2650"/>
      <c r="AE29" s="2650"/>
      <c r="AF29" s="2650"/>
      <c r="AG29" s="2650"/>
      <c r="AH29" s="2650"/>
      <c r="AI29" s="2650"/>
      <c r="AJ29" s="2650"/>
      <c r="AK29" s="2650"/>
      <c r="AL29" s="2650"/>
      <c r="AM29" s="2650"/>
      <c r="AN29" s="2650"/>
      <c r="AO29" s="2650"/>
      <c r="AP29" s="2650"/>
      <c r="AQ29" s="2650"/>
      <c r="AR29" s="2650"/>
      <c r="AS29" s="2650"/>
      <c r="AT29" s="2650"/>
      <c r="AU29" s="2650"/>
      <c r="AV29" s="2650"/>
      <c r="AW29" s="2650"/>
      <c r="AX29" s="2650"/>
      <c r="AY29" s="599"/>
      <c r="AZ29" s="599"/>
      <c r="BA29" s="599"/>
      <c r="BB29" s="599"/>
      <c r="BC29" s="599"/>
      <c r="BD29" s="599"/>
      <c r="BE29" s="599"/>
      <c r="BF29" s="599"/>
      <c r="BG29" s="599"/>
      <c r="BH29" s="599"/>
      <c r="BI29" s="599"/>
      <c r="BJ29" s="599"/>
      <c r="BK29" s="599"/>
      <c r="BL29" s="599"/>
    </row>
    <row r="30" spans="1:76" s="3" customFormat="1" ht="20.100000000000001" customHeight="1">
      <c r="A30" s="240"/>
      <c r="B30" s="919"/>
      <c r="C30" s="920" t="s">
        <v>517</v>
      </c>
      <c r="D30" s="240"/>
      <c r="E30" s="680"/>
      <c r="F30" s="680"/>
      <c r="G30" s="680"/>
      <c r="H30" s="680"/>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0"/>
      <c r="AL30" s="680"/>
      <c r="AM30" s="680"/>
      <c r="AN30" s="680"/>
      <c r="AO30" s="680"/>
      <c r="AP30" s="680"/>
      <c r="AQ30" s="680"/>
      <c r="AR30" s="680"/>
      <c r="AS30" s="680"/>
      <c r="AT30" s="680"/>
      <c r="AU30" s="680"/>
      <c r="AV30" s="680"/>
      <c r="AW30" s="680"/>
      <c r="AX30" s="680"/>
      <c r="AY30" s="240"/>
      <c r="AZ30" s="240"/>
      <c r="BA30" s="240"/>
      <c r="BB30" s="240"/>
      <c r="BC30" s="240"/>
      <c r="BD30" s="240"/>
      <c r="BE30" s="240"/>
      <c r="BF30" s="593"/>
      <c r="BG30" s="240"/>
      <c r="BH30" s="240"/>
      <c r="BI30" s="240"/>
      <c r="BJ30" s="240"/>
      <c r="BK30" s="240"/>
      <c r="BL30" s="240"/>
      <c r="BX30" s="14"/>
    </row>
    <row r="31" spans="1:76" s="3" customFormat="1" ht="20.100000000000001" customHeight="1">
      <c r="A31" s="240"/>
      <c r="B31" s="920"/>
      <c r="C31" s="920"/>
      <c r="D31" s="2650" t="s">
        <v>1067</v>
      </c>
      <c r="E31" s="2650"/>
      <c r="F31" s="2650"/>
      <c r="G31" s="2650"/>
      <c r="H31" s="2650"/>
      <c r="I31" s="2650"/>
      <c r="J31" s="2650"/>
      <c r="K31" s="2650"/>
      <c r="L31" s="2650"/>
      <c r="M31" s="2650"/>
      <c r="N31" s="2650"/>
      <c r="O31" s="2650"/>
      <c r="P31" s="2650"/>
      <c r="Q31" s="2650"/>
      <c r="R31" s="2650"/>
      <c r="S31" s="2650"/>
      <c r="T31" s="2650"/>
      <c r="U31" s="2650"/>
      <c r="V31" s="2650"/>
      <c r="W31" s="2650"/>
      <c r="X31" s="2650"/>
      <c r="Y31" s="2650"/>
      <c r="Z31" s="2650"/>
      <c r="AA31" s="2650"/>
      <c r="AB31" s="2650"/>
      <c r="AC31" s="2650"/>
      <c r="AD31" s="2650"/>
      <c r="AE31" s="2650"/>
      <c r="AF31" s="2650"/>
      <c r="AG31" s="2650"/>
      <c r="AH31" s="2650"/>
      <c r="AI31" s="2650"/>
      <c r="AJ31" s="2650"/>
      <c r="AK31" s="2650"/>
      <c r="AL31" s="2650"/>
      <c r="AM31" s="2650"/>
      <c r="AN31" s="2650"/>
      <c r="AO31" s="2650"/>
      <c r="AP31" s="2650"/>
      <c r="AQ31" s="2650"/>
      <c r="AR31" s="2650"/>
      <c r="AS31" s="2650"/>
      <c r="AT31" s="2650"/>
      <c r="AU31" s="2650"/>
      <c r="AV31" s="2650"/>
      <c r="AW31" s="2650"/>
      <c r="AX31" s="2650"/>
      <c r="AY31" s="680"/>
      <c r="AZ31" s="680"/>
      <c r="BA31" s="680"/>
      <c r="BB31" s="680"/>
      <c r="BC31" s="680"/>
      <c r="BD31" s="680"/>
      <c r="BE31" s="680"/>
      <c r="BF31" s="680"/>
      <c r="BG31" s="680"/>
      <c r="BH31" s="680"/>
      <c r="BI31" s="680"/>
      <c r="BJ31" s="680"/>
      <c r="BK31" s="680"/>
      <c r="BL31" s="680"/>
      <c r="BM31" s="121"/>
      <c r="BX31" s="14"/>
    </row>
    <row r="32" spans="1:76" s="3" customFormat="1" ht="20.100000000000001" customHeight="1">
      <c r="A32" s="240"/>
      <c r="B32" s="920"/>
      <c r="C32" s="920"/>
      <c r="D32" s="921" t="s">
        <v>276</v>
      </c>
      <c r="E32" s="2652" t="s">
        <v>1068</v>
      </c>
      <c r="F32" s="2652"/>
      <c r="G32" s="2652"/>
      <c r="H32" s="2652"/>
      <c r="I32" s="2652"/>
      <c r="J32" s="2652"/>
      <c r="K32" s="2652"/>
      <c r="L32" s="2652"/>
      <c r="M32" s="2652"/>
      <c r="N32" s="2652"/>
      <c r="O32" s="2652"/>
      <c r="P32" s="2652"/>
      <c r="Q32" s="2652"/>
      <c r="R32" s="2652"/>
      <c r="S32" s="2652"/>
      <c r="T32" s="2652"/>
      <c r="U32" s="2652"/>
      <c r="V32" s="2652"/>
      <c r="W32" s="2652"/>
      <c r="X32" s="2652"/>
      <c r="Y32" s="2652"/>
      <c r="Z32" s="2652"/>
      <c r="AA32" s="2652"/>
      <c r="AB32" s="2652"/>
      <c r="AC32" s="2652"/>
      <c r="AD32" s="2652"/>
      <c r="AE32" s="2652"/>
      <c r="AF32" s="2652"/>
      <c r="AG32" s="2652"/>
      <c r="AH32" s="2652"/>
      <c r="AI32" s="2652"/>
      <c r="AJ32" s="2652"/>
      <c r="AK32" s="2652"/>
      <c r="AL32" s="2652"/>
      <c r="AM32" s="2652"/>
      <c r="AN32" s="2652"/>
      <c r="AO32" s="2652"/>
      <c r="AP32" s="2652"/>
      <c r="AQ32" s="2652"/>
      <c r="AR32" s="2652"/>
      <c r="AS32" s="2652"/>
      <c r="AT32" s="2652"/>
      <c r="AU32" s="2652"/>
      <c r="AV32" s="2652"/>
      <c r="AW32" s="2652"/>
      <c r="AX32" s="2652"/>
      <c r="AY32" s="680"/>
      <c r="AZ32" s="680"/>
      <c r="BA32" s="680"/>
      <c r="BB32" s="680"/>
      <c r="BC32" s="680"/>
      <c r="BD32" s="680"/>
      <c r="BE32" s="680"/>
      <c r="BF32" s="680"/>
      <c r="BG32" s="680"/>
      <c r="BH32" s="680"/>
      <c r="BI32" s="680"/>
      <c r="BJ32" s="680"/>
      <c r="BK32" s="680"/>
      <c r="BL32" s="680"/>
      <c r="BM32" s="121"/>
      <c r="BX32" s="14"/>
    </row>
    <row r="33" spans="1:77" s="3" customFormat="1" ht="20.100000000000001" customHeight="1">
      <c r="A33" s="240"/>
      <c r="B33" s="920"/>
      <c r="C33" s="920"/>
      <c r="D33" s="921" t="s">
        <v>277</v>
      </c>
      <c r="E33" s="2652" t="s">
        <v>1069</v>
      </c>
      <c r="F33" s="2652"/>
      <c r="G33" s="2652"/>
      <c r="H33" s="2652"/>
      <c r="I33" s="2652"/>
      <c r="J33" s="2652"/>
      <c r="K33" s="2652"/>
      <c r="L33" s="2652"/>
      <c r="M33" s="2652"/>
      <c r="N33" s="2652"/>
      <c r="O33" s="2652"/>
      <c r="P33" s="2652"/>
      <c r="Q33" s="2652"/>
      <c r="R33" s="2652"/>
      <c r="S33" s="2652"/>
      <c r="T33" s="2652"/>
      <c r="U33" s="2652"/>
      <c r="V33" s="2652"/>
      <c r="W33" s="2652"/>
      <c r="X33" s="2652"/>
      <c r="Y33" s="2652"/>
      <c r="Z33" s="2652"/>
      <c r="AA33" s="2652"/>
      <c r="AB33" s="2652"/>
      <c r="AC33" s="2652"/>
      <c r="AD33" s="2652"/>
      <c r="AE33" s="2652"/>
      <c r="AF33" s="2652"/>
      <c r="AG33" s="2652"/>
      <c r="AH33" s="2652"/>
      <c r="AI33" s="2652"/>
      <c r="AJ33" s="2652"/>
      <c r="AK33" s="2652"/>
      <c r="AL33" s="2652"/>
      <c r="AM33" s="2652"/>
      <c r="AN33" s="2652"/>
      <c r="AO33" s="2652"/>
      <c r="AP33" s="2652"/>
      <c r="AQ33" s="2652"/>
      <c r="AR33" s="2652"/>
      <c r="AS33" s="2652"/>
      <c r="AT33" s="2652"/>
      <c r="AU33" s="2652"/>
      <c r="AV33" s="2652"/>
      <c r="AW33" s="2652"/>
      <c r="AX33" s="2652"/>
      <c r="AY33" s="680"/>
      <c r="AZ33" s="680"/>
      <c r="BA33" s="680"/>
      <c r="BB33" s="680"/>
      <c r="BC33" s="680"/>
      <c r="BD33" s="680"/>
      <c r="BE33" s="680"/>
      <c r="BF33" s="680"/>
      <c r="BG33" s="680"/>
      <c r="BH33" s="680"/>
      <c r="BI33" s="680"/>
      <c r="BJ33" s="680"/>
      <c r="BK33" s="680"/>
      <c r="BL33" s="680"/>
      <c r="BM33" s="121"/>
      <c r="BX33" s="14"/>
    </row>
    <row r="34" spans="1:77" s="3" customFormat="1" ht="20.100000000000001" customHeight="1">
      <c r="A34" s="240"/>
      <c r="B34" s="920"/>
      <c r="C34" s="920"/>
      <c r="D34" s="921" t="s">
        <v>278</v>
      </c>
      <c r="E34" s="2652" t="s">
        <v>1070</v>
      </c>
      <c r="F34" s="2652"/>
      <c r="G34" s="2652"/>
      <c r="H34" s="2652"/>
      <c r="I34" s="2652"/>
      <c r="J34" s="2652"/>
      <c r="K34" s="2652"/>
      <c r="L34" s="2652"/>
      <c r="M34" s="2652"/>
      <c r="N34" s="2652"/>
      <c r="O34" s="2652"/>
      <c r="P34" s="2652"/>
      <c r="Q34" s="2652"/>
      <c r="R34" s="2652"/>
      <c r="S34" s="2652"/>
      <c r="T34" s="2652"/>
      <c r="U34" s="2652"/>
      <c r="V34" s="2652"/>
      <c r="W34" s="2652"/>
      <c r="X34" s="2652"/>
      <c r="Y34" s="2652"/>
      <c r="Z34" s="2652"/>
      <c r="AA34" s="2652"/>
      <c r="AB34" s="2652"/>
      <c r="AC34" s="2652"/>
      <c r="AD34" s="2652"/>
      <c r="AE34" s="2652"/>
      <c r="AF34" s="2652"/>
      <c r="AG34" s="2652"/>
      <c r="AH34" s="2652"/>
      <c r="AI34" s="2652"/>
      <c r="AJ34" s="2652"/>
      <c r="AK34" s="2652"/>
      <c r="AL34" s="2652"/>
      <c r="AM34" s="2652"/>
      <c r="AN34" s="2652"/>
      <c r="AO34" s="2652"/>
      <c r="AP34" s="2652"/>
      <c r="AQ34" s="2652"/>
      <c r="AR34" s="2652"/>
      <c r="AS34" s="2652"/>
      <c r="AT34" s="2652"/>
      <c r="AU34" s="2652"/>
      <c r="AV34" s="2652"/>
      <c r="AW34" s="2652"/>
      <c r="AX34" s="2652"/>
      <c r="AY34" s="680"/>
      <c r="AZ34" s="680"/>
      <c r="BA34" s="680"/>
      <c r="BB34" s="680"/>
      <c r="BC34" s="680"/>
      <c r="BD34" s="680"/>
      <c r="BE34" s="680"/>
      <c r="BF34" s="680"/>
      <c r="BG34" s="680"/>
      <c r="BH34" s="240"/>
      <c r="BI34" s="240"/>
      <c r="BJ34" s="240"/>
      <c r="BK34" s="240"/>
      <c r="BL34" s="240"/>
      <c r="BX34" s="14"/>
    </row>
    <row r="35" spans="1:77" s="3" customFormat="1" ht="20.100000000000001" customHeight="1">
      <c r="A35" s="240"/>
      <c r="B35" s="920"/>
      <c r="C35" s="920"/>
      <c r="D35" s="921" t="s">
        <v>518</v>
      </c>
      <c r="E35" s="2652" t="s">
        <v>1815</v>
      </c>
      <c r="F35" s="2652"/>
      <c r="G35" s="2652"/>
      <c r="H35" s="2652"/>
      <c r="I35" s="2652"/>
      <c r="J35" s="2652"/>
      <c r="K35" s="2652"/>
      <c r="L35" s="2652"/>
      <c r="M35" s="2652"/>
      <c r="N35" s="2652"/>
      <c r="O35" s="2652"/>
      <c r="P35" s="2652"/>
      <c r="Q35" s="2652"/>
      <c r="R35" s="2652"/>
      <c r="S35" s="2652"/>
      <c r="T35" s="2652"/>
      <c r="U35" s="2652"/>
      <c r="V35" s="2652"/>
      <c r="W35" s="2652"/>
      <c r="X35" s="2652"/>
      <c r="Y35" s="2652"/>
      <c r="Z35" s="2652"/>
      <c r="AA35" s="2652"/>
      <c r="AB35" s="2652"/>
      <c r="AC35" s="2652"/>
      <c r="AD35" s="2652"/>
      <c r="AE35" s="2652"/>
      <c r="AF35" s="2652"/>
      <c r="AG35" s="2652"/>
      <c r="AH35" s="2652"/>
      <c r="AI35" s="2652"/>
      <c r="AJ35" s="2652"/>
      <c r="AK35" s="2652"/>
      <c r="AL35" s="2652"/>
      <c r="AM35" s="2652"/>
      <c r="AN35" s="2652"/>
      <c r="AO35" s="2652"/>
      <c r="AP35" s="2652"/>
      <c r="AQ35" s="2652"/>
      <c r="AR35" s="2652"/>
      <c r="AS35" s="2652"/>
      <c r="AT35" s="2652"/>
      <c r="AU35" s="2652"/>
      <c r="AV35" s="2652"/>
      <c r="AW35" s="2652"/>
      <c r="AX35" s="2652"/>
      <c r="AY35" s="680"/>
      <c r="AZ35" s="680"/>
      <c r="BA35" s="680"/>
      <c r="BB35" s="680"/>
      <c r="BC35" s="680"/>
      <c r="BD35" s="680"/>
      <c r="BE35" s="680"/>
      <c r="BF35" s="680"/>
      <c r="BG35" s="680"/>
      <c r="BH35" s="240"/>
      <c r="BI35" s="240"/>
      <c r="BJ35" s="240"/>
      <c r="BK35" s="240"/>
      <c r="BL35" s="240"/>
      <c r="BX35" s="14"/>
    </row>
    <row r="36" spans="1:77" s="32" customFormat="1" ht="20.100000000000001" customHeight="1">
      <c r="A36" s="347"/>
      <c r="B36" s="920"/>
      <c r="C36" s="920"/>
      <c r="D36" s="921" t="s">
        <v>519</v>
      </c>
      <c r="E36" s="2652" t="s">
        <v>1071</v>
      </c>
      <c r="F36" s="2652"/>
      <c r="G36" s="2652"/>
      <c r="H36" s="2652"/>
      <c r="I36" s="2652"/>
      <c r="J36" s="2652"/>
      <c r="K36" s="2652"/>
      <c r="L36" s="2652"/>
      <c r="M36" s="2652"/>
      <c r="N36" s="2652"/>
      <c r="O36" s="2652"/>
      <c r="P36" s="2652"/>
      <c r="Q36" s="2652"/>
      <c r="R36" s="2652"/>
      <c r="S36" s="2652"/>
      <c r="T36" s="2652"/>
      <c r="U36" s="2652"/>
      <c r="V36" s="2652"/>
      <c r="W36" s="2652"/>
      <c r="X36" s="2652"/>
      <c r="Y36" s="2652"/>
      <c r="Z36" s="2652"/>
      <c r="AA36" s="2652"/>
      <c r="AB36" s="2652"/>
      <c r="AC36" s="2652"/>
      <c r="AD36" s="2652"/>
      <c r="AE36" s="2652"/>
      <c r="AF36" s="2652"/>
      <c r="AG36" s="2652"/>
      <c r="AH36" s="2652"/>
      <c r="AI36" s="2652"/>
      <c r="AJ36" s="2652"/>
      <c r="AK36" s="2652"/>
      <c r="AL36" s="2652"/>
      <c r="AM36" s="2652"/>
      <c r="AN36" s="2652"/>
      <c r="AO36" s="2652"/>
      <c r="AP36" s="2652"/>
      <c r="AQ36" s="2652"/>
      <c r="AR36" s="2652"/>
      <c r="AS36" s="2652"/>
      <c r="AT36" s="2652"/>
      <c r="AU36" s="2652"/>
      <c r="AV36" s="2652"/>
      <c r="AW36" s="2652"/>
      <c r="AX36" s="2652"/>
      <c r="AY36" s="680"/>
      <c r="AZ36" s="680"/>
      <c r="BA36" s="680"/>
      <c r="BB36" s="680"/>
      <c r="BC36" s="680"/>
      <c r="BD36" s="680"/>
      <c r="BE36" s="680"/>
      <c r="BF36" s="680"/>
      <c r="BG36" s="680"/>
      <c r="BH36" s="680"/>
      <c r="BI36" s="680"/>
      <c r="BJ36" s="680"/>
      <c r="BK36" s="680"/>
      <c r="BL36" s="680"/>
      <c r="BM36" s="121"/>
      <c r="BY36" s="13"/>
    </row>
    <row r="37" spans="1:77" s="32" customFormat="1" ht="20.100000000000001" customHeight="1">
      <c r="A37" s="347"/>
      <c r="B37" s="920"/>
      <c r="C37" s="920"/>
      <c r="D37" s="921" t="s">
        <v>520</v>
      </c>
      <c r="E37" s="2652" t="s">
        <v>1072</v>
      </c>
      <c r="F37" s="2652"/>
      <c r="G37" s="2652"/>
      <c r="H37" s="2652"/>
      <c r="I37" s="2652"/>
      <c r="J37" s="2652"/>
      <c r="K37" s="2652"/>
      <c r="L37" s="2652"/>
      <c r="M37" s="2652"/>
      <c r="N37" s="2652"/>
      <c r="O37" s="2652"/>
      <c r="P37" s="2652"/>
      <c r="Q37" s="2652"/>
      <c r="R37" s="2652"/>
      <c r="S37" s="2652"/>
      <c r="T37" s="2652"/>
      <c r="U37" s="2652"/>
      <c r="V37" s="2652"/>
      <c r="W37" s="2652"/>
      <c r="X37" s="2652"/>
      <c r="Y37" s="2652"/>
      <c r="Z37" s="2652"/>
      <c r="AA37" s="2652"/>
      <c r="AB37" s="2652"/>
      <c r="AC37" s="2652"/>
      <c r="AD37" s="2652"/>
      <c r="AE37" s="2652"/>
      <c r="AF37" s="2652"/>
      <c r="AG37" s="2652"/>
      <c r="AH37" s="2652"/>
      <c r="AI37" s="2652"/>
      <c r="AJ37" s="2652"/>
      <c r="AK37" s="2652"/>
      <c r="AL37" s="2652"/>
      <c r="AM37" s="2652"/>
      <c r="AN37" s="2652"/>
      <c r="AO37" s="2652"/>
      <c r="AP37" s="2652"/>
      <c r="AQ37" s="2652"/>
      <c r="AR37" s="2652"/>
      <c r="AS37" s="2652"/>
      <c r="AT37" s="2652"/>
      <c r="AU37" s="2652"/>
      <c r="AV37" s="2652"/>
      <c r="AW37" s="2652"/>
      <c r="AX37" s="2652"/>
      <c r="AY37" s="680"/>
      <c r="AZ37" s="680"/>
      <c r="BA37" s="680"/>
      <c r="BB37" s="680"/>
      <c r="BC37" s="680"/>
      <c r="BD37" s="680"/>
      <c r="BE37" s="680"/>
      <c r="BF37" s="680"/>
      <c r="BG37" s="680"/>
      <c r="BH37" s="680"/>
      <c r="BI37" s="680"/>
      <c r="BJ37" s="680"/>
      <c r="BK37" s="680"/>
      <c r="BL37" s="680"/>
      <c r="BM37" s="121"/>
      <c r="BY37" s="13"/>
    </row>
    <row r="38" spans="1:77" s="32" customFormat="1" ht="20.100000000000001" customHeight="1">
      <c r="A38" s="347"/>
      <c r="B38" s="920"/>
      <c r="C38" s="920"/>
      <c r="D38" s="921" t="s">
        <v>521</v>
      </c>
      <c r="E38" s="2652" t="s">
        <v>1073</v>
      </c>
      <c r="F38" s="2652"/>
      <c r="G38" s="2652"/>
      <c r="H38" s="2652"/>
      <c r="I38" s="2652"/>
      <c r="J38" s="2652"/>
      <c r="K38" s="2652"/>
      <c r="L38" s="2652"/>
      <c r="M38" s="2652"/>
      <c r="N38" s="2652"/>
      <c r="O38" s="2652"/>
      <c r="P38" s="2652"/>
      <c r="Q38" s="2652"/>
      <c r="R38" s="2652"/>
      <c r="S38" s="2652"/>
      <c r="T38" s="2652"/>
      <c r="U38" s="2652"/>
      <c r="V38" s="2652"/>
      <c r="W38" s="2652"/>
      <c r="X38" s="2652"/>
      <c r="Y38" s="2652"/>
      <c r="Z38" s="2652"/>
      <c r="AA38" s="2652"/>
      <c r="AB38" s="2652"/>
      <c r="AC38" s="2652"/>
      <c r="AD38" s="2652"/>
      <c r="AE38" s="2652"/>
      <c r="AF38" s="2652"/>
      <c r="AG38" s="2652"/>
      <c r="AH38" s="2652"/>
      <c r="AI38" s="2652"/>
      <c r="AJ38" s="2652"/>
      <c r="AK38" s="2652"/>
      <c r="AL38" s="2652"/>
      <c r="AM38" s="2652"/>
      <c r="AN38" s="2652"/>
      <c r="AO38" s="2652"/>
      <c r="AP38" s="2652"/>
      <c r="AQ38" s="2652"/>
      <c r="AR38" s="2652"/>
      <c r="AS38" s="2652"/>
      <c r="AT38" s="2652"/>
      <c r="AU38" s="2652"/>
      <c r="AV38" s="2652"/>
      <c r="AW38" s="2652"/>
      <c r="AX38" s="2652"/>
      <c r="AY38" s="680"/>
      <c r="AZ38" s="680"/>
      <c r="BA38" s="680"/>
      <c r="BB38" s="680"/>
      <c r="BC38" s="680"/>
      <c r="BD38" s="680"/>
      <c r="BE38" s="680"/>
      <c r="BF38" s="680"/>
      <c r="BG38" s="680"/>
      <c r="BH38" s="680"/>
      <c r="BI38" s="680"/>
      <c r="BJ38" s="680"/>
      <c r="BK38" s="680"/>
      <c r="BL38" s="680"/>
      <c r="BM38" s="121"/>
      <c r="BY38" s="13"/>
    </row>
    <row r="39" spans="1:77" s="32" customFormat="1" ht="20.100000000000001" customHeight="1">
      <c r="A39" s="347"/>
      <c r="B39" s="920"/>
      <c r="C39" s="920"/>
      <c r="D39" s="921" t="s">
        <v>522</v>
      </c>
      <c r="E39" s="2652" t="s">
        <v>1074</v>
      </c>
      <c r="F39" s="2652"/>
      <c r="G39" s="2652"/>
      <c r="H39" s="2652"/>
      <c r="I39" s="2652"/>
      <c r="J39" s="2652"/>
      <c r="K39" s="2652"/>
      <c r="L39" s="2652"/>
      <c r="M39" s="2652"/>
      <c r="N39" s="2652"/>
      <c r="O39" s="2652"/>
      <c r="P39" s="2652"/>
      <c r="Q39" s="2652"/>
      <c r="R39" s="2652"/>
      <c r="S39" s="2652"/>
      <c r="T39" s="2652"/>
      <c r="U39" s="2652"/>
      <c r="V39" s="2652"/>
      <c r="W39" s="2652"/>
      <c r="X39" s="2652"/>
      <c r="Y39" s="2652"/>
      <c r="Z39" s="2652"/>
      <c r="AA39" s="2652"/>
      <c r="AB39" s="2652"/>
      <c r="AC39" s="2652"/>
      <c r="AD39" s="2652"/>
      <c r="AE39" s="2652"/>
      <c r="AF39" s="2652"/>
      <c r="AG39" s="2652"/>
      <c r="AH39" s="2652"/>
      <c r="AI39" s="2652"/>
      <c r="AJ39" s="2652"/>
      <c r="AK39" s="2652"/>
      <c r="AL39" s="2652"/>
      <c r="AM39" s="2652"/>
      <c r="AN39" s="2652"/>
      <c r="AO39" s="2652"/>
      <c r="AP39" s="2652"/>
      <c r="AQ39" s="2652"/>
      <c r="AR39" s="2652"/>
      <c r="AS39" s="2652"/>
      <c r="AT39" s="2652"/>
      <c r="AU39" s="2652"/>
      <c r="AV39" s="2652"/>
      <c r="AW39" s="2652"/>
      <c r="AX39" s="2652"/>
      <c r="AY39" s="922"/>
      <c r="AZ39" s="922"/>
      <c r="BA39" s="922"/>
      <c r="BB39" s="922"/>
      <c r="BC39" s="922"/>
      <c r="BD39" s="922"/>
      <c r="BE39" s="922"/>
      <c r="BF39" s="922"/>
      <c r="BG39" s="922"/>
      <c r="BH39" s="922"/>
      <c r="BI39" s="922"/>
      <c r="BJ39" s="922"/>
      <c r="BK39" s="922"/>
      <c r="BL39" s="922"/>
      <c r="BM39" s="122"/>
      <c r="BY39" s="13"/>
    </row>
    <row r="40" spans="1:77" s="32" customFormat="1" ht="20.100000000000001" customHeight="1">
      <c r="A40" s="347"/>
      <c r="B40" s="920"/>
      <c r="C40" s="920"/>
      <c r="D40" s="921" t="s">
        <v>523</v>
      </c>
      <c r="E40" s="2652" t="s">
        <v>1075</v>
      </c>
      <c r="F40" s="2652"/>
      <c r="G40" s="2652"/>
      <c r="H40" s="2652"/>
      <c r="I40" s="2652"/>
      <c r="J40" s="2652"/>
      <c r="K40" s="2652"/>
      <c r="L40" s="2652"/>
      <c r="M40" s="2652"/>
      <c r="N40" s="2652"/>
      <c r="O40" s="2652"/>
      <c r="P40" s="2652"/>
      <c r="Q40" s="2652"/>
      <c r="R40" s="2652"/>
      <c r="S40" s="2652"/>
      <c r="T40" s="2652"/>
      <c r="U40" s="2652"/>
      <c r="V40" s="2652"/>
      <c r="W40" s="2652"/>
      <c r="X40" s="2652"/>
      <c r="Y40" s="2652"/>
      <c r="Z40" s="2652"/>
      <c r="AA40" s="2652"/>
      <c r="AB40" s="2652"/>
      <c r="AC40" s="2652"/>
      <c r="AD40" s="2652"/>
      <c r="AE40" s="2652"/>
      <c r="AF40" s="2652"/>
      <c r="AG40" s="2652"/>
      <c r="AH40" s="2652"/>
      <c r="AI40" s="2652"/>
      <c r="AJ40" s="2652"/>
      <c r="AK40" s="2652"/>
      <c r="AL40" s="2652"/>
      <c r="AM40" s="2652"/>
      <c r="AN40" s="2652"/>
      <c r="AO40" s="2652"/>
      <c r="AP40" s="2652"/>
      <c r="AQ40" s="2652"/>
      <c r="AR40" s="2652"/>
      <c r="AS40" s="2652"/>
      <c r="AT40" s="2652"/>
      <c r="AU40" s="2652"/>
      <c r="AV40" s="2652"/>
      <c r="AW40" s="2652"/>
      <c r="AX40" s="2652"/>
      <c r="AY40" s="680"/>
      <c r="AZ40" s="680"/>
      <c r="BA40" s="680"/>
      <c r="BB40" s="680"/>
      <c r="BC40" s="680"/>
      <c r="BD40" s="680"/>
      <c r="BE40" s="680"/>
      <c r="BF40" s="680"/>
      <c r="BG40" s="680"/>
      <c r="BH40" s="680"/>
      <c r="BI40" s="680"/>
      <c r="BJ40" s="680"/>
      <c r="BK40" s="680"/>
      <c r="BL40" s="680"/>
      <c r="BM40" s="121"/>
      <c r="BY40" s="13"/>
    </row>
    <row r="41" spans="1:77" s="32" customFormat="1" ht="20.100000000000001" customHeight="1">
      <c r="A41" s="347"/>
      <c r="B41" s="920"/>
      <c r="C41" s="920"/>
      <c r="D41" s="921" t="s">
        <v>524</v>
      </c>
      <c r="E41" s="2652" t="s">
        <v>1076</v>
      </c>
      <c r="F41" s="2652"/>
      <c r="G41" s="2652"/>
      <c r="H41" s="2652"/>
      <c r="I41" s="2652"/>
      <c r="J41" s="2652"/>
      <c r="K41" s="2652"/>
      <c r="L41" s="2652"/>
      <c r="M41" s="2652"/>
      <c r="N41" s="2652"/>
      <c r="O41" s="2652"/>
      <c r="P41" s="2652"/>
      <c r="Q41" s="2652"/>
      <c r="R41" s="2652"/>
      <c r="S41" s="2652"/>
      <c r="T41" s="2652"/>
      <c r="U41" s="2652"/>
      <c r="V41" s="2652"/>
      <c r="W41" s="2652"/>
      <c r="X41" s="2652"/>
      <c r="Y41" s="2652"/>
      <c r="Z41" s="2652"/>
      <c r="AA41" s="2652"/>
      <c r="AB41" s="2652"/>
      <c r="AC41" s="2652"/>
      <c r="AD41" s="2652"/>
      <c r="AE41" s="2652"/>
      <c r="AF41" s="2652"/>
      <c r="AG41" s="2652"/>
      <c r="AH41" s="2652"/>
      <c r="AI41" s="2652"/>
      <c r="AJ41" s="2652"/>
      <c r="AK41" s="2652"/>
      <c r="AL41" s="2652"/>
      <c r="AM41" s="2652"/>
      <c r="AN41" s="2652"/>
      <c r="AO41" s="2652"/>
      <c r="AP41" s="2652"/>
      <c r="AQ41" s="2652"/>
      <c r="AR41" s="2652"/>
      <c r="AS41" s="2652"/>
      <c r="AT41" s="2652"/>
      <c r="AU41" s="2652"/>
      <c r="AV41" s="2652"/>
      <c r="AW41" s="2652"/>
      <c r="AX41" s="2652"/>
      <c r="AY41" s="680"/>
      <c r="AZ41" s="680"/>
      <c r="BA41" s="680"/>
      <c r="BB41" s="680"/>
      <c r="BC41" s="680"/>
      <c r="BD41" s="680"/>
      <c r="BE41" s="680"/>
      <c r="BF41" s="680"/>
      <c r="BG41" s="680"/>
      <c r="BH41" s="680"/>
      <c r="BI41" s="680"/>
      <c r="BJ41" s="680"/>
      <c r="BK41" s="680"/>
      <c r="BL41" s="680"/>
      <c r="BY41" s="13"/>
    </row>
    <row r="42" spans="1:77" s="32" customFormat="1" ht="20.100000000000001" customHeight="1">
      <c r="A42" s="347"/>
      <c r="B42" s="920"/>
      <c r="C42" s="920"/>
      <c r="D42" s="921" t="s">
        <v>525</v>
      </c>
      <c r="E42" s="2652" t="s">
        <v>1284</v>
      </c>
      <c r="F42" s="2652"/>
      <c r="G42" s="2652"/>
      <c r="H42" s="2652"/>
      <c r="I42" s="2652"/>
      <c r="J42" s="2652"/>
      <c r="K42" s="2652"/>
      <c r="L42" s="2652"/>
      <c r="M42" s="2652"/>
      <c r="N42" s="2652"/>
      <c r="O42" s="2652"/>
      <c r="P42" s="2652"/>
      <c r="Q42" s="2652"/>
      <c r="R42" s="2652"/>
      <c r="S42" s="2652"/>
      <c r="T42" s="2652"/>
      <c r="U42" s="2652"/>
      <c r="V42" s="2652"/>
      <c r="W42" s="2652"/>
      <c r="X42" s="2652"/>
      <c r="Y42" s="2652"/>
      <c r="Z42" s="2652"/>
      <c r="AA42" s="2652"/>
      <c r="AB42" s="2652"/>
      <c r="AC42" s="2652"/>
      <c r="AD42" s="2652"/>
      <c r="AE42" s="2652"/>
      <c r="AF42" s="2652"/>
      <c r="AG42" s="2652"/>
      <c r="AH42" s="2652"/>
      <c r="AI42" s="2652"/>
      <c r="AJ42" s="2652"/>
      <c r="AK42" s="2652"/>
      <c r="AL42" s="2652"/>
      <c r="AM42" s="2652"/>
      <c r="AN42" s="2652"/>
      <c r="AO42" s="2652"/>
      <c r="AP42" s="2652"/>
      <c r="AQ42" s="2652"/>
      <c r="AR42" s="2652"/>
      <c r="AS42" s="2652"/>
      <c r="AT42" s="2652"/>
      <c r="AU42" s="2652"/>
      <c r="AV42" s="2652"/>
      <c r="AW42" s="2652"/>
      <c r="AX42" s="2652"/>
      <c r="AY42" s="680"/>
      <c r="AZ42" s="680"/>
      <c r="BA42" s="680"/>
      <c r="BB42" s="680"/>
      <c r="BC42" s="680"/>
      <c r="BD42" s="680"/>
      <c r="BE42" s="680"/>
      <c r="BF42" s="680"/>
      <c r="BG42" s="680"/>
      <c r="BH42" s="680"/>
      <c r="BI42" s="680"/>
      <c r="BJ42" s="680"/>
      <c r="BK42" s="680"/>
      <c r="BL42" s="680"/>
      <c r="BM42" s="121"/>
      <c r="BY42" s="13"/>
    </row>
    <row r="43" spans="1:77" s="32" customFormat="1" ht="20.100000000000001" customHeight="1">
      <c r="A43" s="347"/>
      <c r="B43" s="920"/>
      <c r="C43" s="920"/>
      <c r="D43" s="921" t="s">
        <v>526</v>
      </c>
      <c r="E43" s="2652" t="s">
        <v>1077</v>
      </c>
      <c r="F43" s="2652"/>
      <c r="G43" s="2652"/>
      <c r="H43" s="2652"/>
      <c r="I43" s="2652"/>
      <c r="J43" s="2652"/>
      <c r="K43" s="2652"/>
      <c r="L43" s="2652"/>
      <c r="M43" s="2652"/>
      <c r="N43" s="2652"/>
      <c r="O43" s="2652"/>
      <c r="P43" s="2652"/>
      <c r="Q43" s="2652"/>
      <c r="R43" s="2652"/>
      <c r="S43" s="2652"/>
      <c r="T43" s="2652"/>
      <c r="U43" s="2652"/>
      <c r="V43" s="2652"/>
      <c r="W43" s="2652"/>
      <c r="X43" s="2652"/>
      <c r="Y43" s="2652"/>
      <c r="Z43" s="2652"/>
      <c r="AA43" s="2652"/>
      <c r="AB43" s="2652"/>
      <c r="AC43" s="2652"/>
      <c r="AD43" s="2652"/>
      <c r="AE43" s="2652"/>
      <c r="AF43" s="2652"/>
      <c r="AG43" s="2652"/>
      <c r="AH43" s="2652"/>
      <c r="AI43" s="2652"/>
      <c r="AJ43" s="2652"/>
      <c r="AK43" s="2652"/>
      <c r="AL43" s="2652"/>
      <c r="AM43" s="2652"/>
      <c r="AN43" s="2652"/>
      <c r="AO43" s="2652"/>
      <c r="AP43" s="2652"/>
      <c r="AQ43" s="2652"/>
      <c r="AR43" s="2652"/>
      <c r="AS43" s="2652"/>
      <c r="AT43" s="2652"/>
      <c r="AU43" s="2652"/>
      <c r="AV43" s="2652"/>
      <c r="AW43" s="2652"/>
      <c r="AX43" s="2652"/>
      <c r="AY43" s="680"/>
      <c r="AZ43" s="680"/>
      <c r="BA43" s="680"/>
      <c r="BB43" s="680"/>
      <c r="BC43" s="680"/>
      <c r="BD43" s="680"/>
      <c r="BE43" s="680"/>
      <c r="BF43" s="680"/>
      <c r="BG43" s="680"/>
      <c r="BH43" s="680"/>
      <c r="BI43" s="680"/>
      <c r="BJ43" s="680"/>
      <c r="BK43" s="680"/>
      <c r="BL43" s="680"/>
      <c r="BY43" s="13"/>
    </row>
    <row r="44" spans="1:77" s="32" customFormat="1" ht="20.100000000000001" customHeight="1">
      <c r="A44" s="347"/>
      <c r="B44" s="920"/>
      <c r="C44" s="920"/>
      <c r="D44" s="921" t="s">
        <v>527</v>
      </c>
      <c r="E44" s="2644" t="s">
        <v>1816</v>
      </c>
      <c r="F44" s="2644"/>
      <c r="G44" s="2644"/>
      <c r="H44" s="2644"/>
      <c r="I44" s="2644"/>
      <c r="J44" s="2644"/>
      <c r="K44" s="2644"/>
      <c r="L44" s="2644"/>
      <c r="M44" s="2644"/>
      <c r="N44" s="2644"/>
      <c r="O44" s="2644"/>
      <c r="P44" s="2644"/>
      <c r="Q44" s="2644"/>
      <c r="R44" s="2644"/>
      <c r="S44" s="2644"/>
      <c r="T44" s="2644"/>
      <c r="U44" s="2644"/>
      <c r="V44" s="2644"/>
      <c r="W44" s="2644"/>
      <c r="X44" s="2644"/>
      <c r="Y44" s="2644"/>
      <c r="Z44" s="2644"/>
      <c r="AA44" s="2644"/>
      <c r="AB44" s="2644"/>
      <c r="AC44" s="2644"/>
      <c r="AD44" s="2644"/>
      <c r="AE44" s="2644"/>
      <c r="AF44" s="2644"/>
      <c r="AG44" s="2644"/>
      <c r="AH44" s="2644"/>
      <c r="AI44" s="2644"/>
      <c r="AJ44" s="2644"/>
      <c r="AK44" s="2644"/>
      <c r="AL44" s="2644"/>
      <c r="AM44" s="2644"/>
      <c r="AN44" s="2644"/>
      <c r="AO44" s="2644"/>
      <c r="AP44" s="2644"/>
      <c r="AQ44" s="2644"/>
      <c r="AR44" s="2644"/>
      <c r="AS44" s="2644"/>
      <c r="AT44" s="2644"/>
      <c r="AU44" s="2644"/>
      <c r="AV44" s="2644"/>
      <c r="AW44" s="2644"/>
      <c r="AX44" s="923"/>
      <c r="AY44" s="680"/>
      <c r="AZ44" s="680"/>
      <c r="BA44" s="680"/>
      <c r="BB44" s="680"/>
      <c r="BC44" s="680"/>
      <c r="BD44" s="680"/>
      <c r="BE44" s="680"/>
      <c r="BF44" s="680"/>
      <c r="BG44" s="680"/>
      <c r="BH44" s="680"/>
      <c r="BI44" s="680"/>
      <c r="BJ44" s="680"/>
      <c r="BK44" s="680"/>
      <c r="BL44" s="680"/>
      <c r="BY44" s="13"/>
    </row>
    <row r="45" spans="1:77" s="32" customFormat="1" ht="20.100000000000001" customHeight="1">
      <c r="A45" s="347"/>
      <c r="B45" s="920"/>
      <c r="C45" s="920"/>
      <c r="D45" s="921"/>
      <c r="E45" s="681" t="s">
        <v>1285</v>
      </c>
      <c r="F45" s="814"/>
      <c r="G45" s="814"/>
      <c r="H45" s="814"/>
      <c r="I45" s="814"/>
      <c r="J45" s="814"/>
      <c r="K45" s="814"/>
      <c r="L45" s="814"/>
      <c r="M45" s="814"/>
      <c r="N45" s="814"/>
      <c r="O45" s="814"/>
      <c r="P45" s="814"/>
      <c r="Q45" s="814"/>
      <c r="R45" s="814"/>
      <c r="S45" s="814"/>
      <c r="T45" s="814"/>
      <c r="U45" s="814"/>
      <c r="V45" s="814"/>
      <c r="W45" s="814"/>
      <c r="X45" s="814"/>
      <c r="Y45" s="814"/>
      <c r="Z45" s="814"/>
      <c r="AA45" s="814"/>
      <c r="AB45" s="814"/>
      <c r="AC45" s="814"/>
      <c r="AD45" s="814"/>
      <c r="AE45" s="814"/>
      <c r="AF45" s="814"/>
      <c r="AG45" s="814"/>
      <c r="AH45" s="814"/>
      <c r="AI45" s="814"/>
      <c r="AJ45" s="814"/>
      <c r="AK45" s="814"/>
      <c r="AL45" s="814"/>
      <c r="AM45" s="814"/>
      <c r="AN45" s="814"/>
      <c r="AO45" s="814"/>
      <c r="AP45" s="814"/>
      <c r="AQ45" s="814"/>
      <c r="AR45" s="814"/>
      <c r="AS45" s="814"/>
      <c r="AT45" s="814"/>
      <c r="AU45" s="814"/>
      <c r="AV45" s="814"/>
      <c r="AW45" s="814"/>
      <c r="AX45" s="923"/>
      <c r="AY45" s="680"/>
      <c r="AZ45" s="680"/>
      <c r="BA45" s="680"/>
      <c r="BB45" s="680"/>
      <c r="BC45" s="680"/>
      <c r="BD45" s="680"/>
      <c r="BE45" s="680"/>
      <c r="BF45" s="680"/>
      <c r="BG45" s="680"/>
      <c r="BH45" s="680"/>
      <c r="BI45" s="680"/>
      <c r="BJ45" s="680"/>
      <c r="BK45" s="680"/>
      <c r="BL45" s="680"/>
      <c r="BY45" s="13"/>
    </row>
    <row r="46" spans="1:77" s="32" customFormat="1" ht="20.100000000000001" customHeight="1">
      <c r="A46" s="347"/>
      <c r="B46" s="920"/>
      <c r="C46" s="920"/>
      <c r="D46" s="921" t="s">
        <v>1286</v>
      </c>
      <c r="E46" s="2652" t="s">
        <v>1078</v>
      </c>
      <c r="F46" s="2652"/>
      <c r="G46" s="2652"/>
      <c r="H46" s="2652"/>
      <c r="I46" s="2652"/>
      <c r="J46" s="2652"/>
      <c r="K46" s="2652"/>
      <c r="L46" s="2652"/>
      <c r="M46" s="2652"/>
      <c r="N46" s="2652"/>
      <c r="O46" s="2652"/>
      <c r="P46" s="2652"/>
      <c r="Q46" s="2652"/>
      <c r="R46" s="2652"/>
      <c r="S46" s="2652"/>
      <c r="T46" s="2652"/>
      <c r="U46" s="2652"/>
      <c r="V46" s="2652"/>
      <c r="W46" s="2652"/>
      <c r="X46" s="2652"/>
      <c r="Y46" s="2652"/>
      <c r="Z46" s="2652"/>
      <c r="AA46" s="2652"/>
      <c r="AB46" s="2652"/>
      <c r="AC46" s="2652"/>
      <c r="AD46" s="2652"/>
      <c r="AE46" s="2652"/>
      <c r="AF46" s="2652"/>
      <c r="AG46" s="2652"/>
      <c r="AH46" s="2652"/>
      <c r="AI46" s="2652"/>
      <c r="AJ46" s="2652"/>
      <c r="AK46" s="2652"/>
      <c r="AL46" s="2652"/>
      <c r="AM46" s="2652"/>
      <c r="AN46" s="2652"/>
      <c r="AO46" s="2652"/>
      <c r="AP46" s="2652"/>
      <c r="AQ46" s="2652"/>
      <c r="AR46" s="2652"/>
      <c r="AS46" s="2652"/>
      <c r="AT46" s="2652"/>
      <c r="AU46" s="2652"/>
      <c r="AV46" s="2652"/>
      <c r="AW46" s="2652"/>
      <c r="AX46" s="2652"/>
      <c r="AY46" s="680"/>
      <c r="AZ46" s="680"/>
      <c r="BA46" s="680"/>
      <c r="BB46" s="680"/>
      <c r="BC46" s="680"/>
      <c r="BD46" s="680"/>
      <c r="BE46" s="680"/>
      <c r="BF46" s="680"/>
      <c r="BG46" s="680"/>
      <c r="BH46" s="680"/>
      <c r="BI46" s="680"/>
      <c r="BJ46" s="680"/>
      <c r="BK46" s="680"/>
      <c r="BL46" s="680"/>
      <c r="BY46" s="13"/>
    </row>
    <row r="47" spans="1:77" s="32" customFormat="1" ht="15.75" customHeight="1">
      <c r="A47" s="347"/>
      <c r="B47" s="920"/>
      <c r="C47" s="920"/>
      <c r="D47" s="921"/>
      <c r="E47" s="923"/>
      <c r="F47" s="923"/>
      <c r="G47" s="923"/>
      <c r="H47" s="923"/>
      <c r="I47" s="923"/>
      <c r="J47" s="923"/>
      <c r="K47" s="923"/>
      <c r="L47" s="923"/>
      <c r="M47" s="923"/>
      <c r="N47" s="923"/>
      <c r="O47" s="923"/>
      <c r="P47" s="923"/>
      <c r="Q47" s="923"/>
      <c r="R47" s="923"/>
      <c r="S47" s="923"/>
      <c r="T47" s="923"/>
      <c r="U47" s="923"/>
      <c r="V47" s="923"/>
      <c r="W47" s="923"/>
      <c r="X47" s="923"/>
      <c r="Y47" s="923"/>
      <c r="Z47" s="923"/>
      <c r="AA47" s="923"/>
      <c r="AB47" s="923"/>
      <c r="AC47" s="923"/>
      <c r="AD47" s="923"/>
      <c r="AE47" s="923"/>
      <c r="AF47" s="923"/>
      <c r="AG47" s="923"/>
      <c r="AH47" s="923"/>
      <c r="AI47" s="923"/>
      <c r="AJ47" s="923"/>
      <c r="AK47" s="923"/>
      <c r="AL47" s="923"/>
      <c r="AM47" s="923"/>
      <c r="AN47" s="923"/>
      <c r="AO47" s="923"/>
      <c r="AP47" s="923"/>
      <c r="AQ47" s="923"/>
      <c r="AR47" s="923"/>
      <c r="AS47" s="923"/>
      <c r="AT47" s="923"/>
      <c r="AU47" s="923"/>
      <c r="AV47" s="923"/>
      <c r="AW47" s="923"/>
      <c r="AX47" s="923"/>
      <c r="AY47" s="680"/>
      <c r="AZ47" s="680"/>
      <c r="BA47" s="680"/>
      <c r="BB47" s="680"/>
      <c r="BC47" s="680"/>
      <c r="BD47" s="680"/>
      <c r="BE47" s="680"/>
      <c r="BF47" s="680"/>
      <c r="BG47" s="680"/>
      <c r="BH47" s="680"/>
      <c r="BI47" s="680"/>
      <c r="BJ47" s="680"/>
      <c r="BK47" s="680"/>
      <c r="BL47" s="680"/>
      <c r="BY47" s="13"/>
    </row>
    <row r="48" spans="1:77" s="32" customFormat="1" ht="15.75" customHeight="1">
      <c r="A48" s="347"/>
      <c r="B48" s="924" t="s">
        <v>1117</v>
      </c>
      <c r="C48" s="680"/>
      <c r="D48" s="680"/>
      <c r="E48" s="680"/>
      <c r="F48" s="680"/>
      <c r="G48" s="680"/>
      <c r="H48" s="680"/>
      <c r="I48" s="680"/>
      <c r="J48" s="680"/>
      <c r="K48" s="680"/>
      <c r="L48" s="680"/>
      <c r="M48" s="680"/>
      <c r="N48" s="680"/>
      <c r="O48" s="680"/>
      <c r="P48" s="680"/>
      <c r="Q48" s="680"/>
      <c r="R48" s="680"/>
      <c r="S48" s="680"/>
      <c r="T48" s="680"/>
      <c r="U48" s="680"/>
      <c r="V48" s="680"/>
      <c r="W48" s="680"/>
      <c r="X48" s="680"/>
      <c r="Y48" s="680"/>
      <c r="Z48" s="680"/>
      <c r="AA48" s="680"/>
      <c r="AB48" s="680"/>
      <c r="AC48" s="680"/>
      <c r="AD48" s="680"/>
      <c r="AE48" s="680"/>
      <c r="AF48" s="680"/>
      <c r="AG48" s="680"/>
      <c r="AH48" s="680"/>
      <c r="AI48" s="680"/>
      <c r="AJ48" s="680"/>
      <c r="AK48" s="680"/>
      <c r="AL48" s="680"/>
      <c r="AM48" s="680"/>
      <c r="AN48" s="680"/>
      <c r="AO48" s="680"/>
      <c r="AP48" s="680"/>
      <c r="AQ48" s="680"/>
      <c r="AR48" s="680"/>
      <c r="AS48" s="680"/>
      <c r="AT48" s="680"/>
      <c r="AU48" s="680"/>
      <c r="AV48" s="680"/>
      <c r="AW48" s="680"/>
      <c r="AX48" s="680"/>
      <c r="AY48" s="925"/>
      <c r="AZ48" s="925"/>
      <c r="BA48" s="925"/>
      <c r="BB48" s="925"/>
      <c r="BC48" s="925"/>
      <c r="BD48" s="925"/>
      <c r="BE48" s="925"/>
      <c r="BF48" s="925"/>
      <c r="BG48" s="925"/>
      <c r="BH48" s="925"/>
      <c r="BI48" s="347"/>
      <c r="BJ48" s="347"/>
      <c r="BK48" s="347"/>
      <c r="BL48" s="347"/>
      <c r="BX48" s="13"/>
    </row>
    <row r="49" spans="1:75" s="32" customFormat="1" ht="9.9499999999999993" customHeight="1">
      <c r="A49" s="347"/>
      <c r="B49" s="484"/>
      <c r="C49" s="484"/>
      <c r="D49" s="484"/>
      <c r="E49" s="484"/>
      <c r="F49" s="484"/>
      <c r="G49" s="484"/>
      <c r="H49" s="484"/>
      <c r="I49" s="484"/>
      <c r="J49" s="484"/>
      <c r="K49" s="484"/>
      <c r="L49" s="484"/>
      <c r="M49" s="484"/>
      <c r="N49" s="484"/>
      <c r="O49" s="484"/>
      <c r="P49" s="484"/>
      <c r="Q49" s="484"/>
      <c r="R49" s="484"/>
      <c r="S49" s="484"/>
      <c r="T49" s="484"/>
      <c r="U49" s="484"/>
      <c r="V49" s="484"/>
      <c r="W49" s="484"/>
      <c r="X49" s="484"/>
      <c r="Y49" s="484"/>
      <c r="Z49" s="484"/>
      <c r="AA49" s="484"/>
      <c r="AB49" s="484"/>
      <c r="AC49" s="484"/>
      <c r="AD49" s="484"/>
      <c r="AE49" s="484"/>
      <c r="AF49" s="484"/>
      <c r="AG49" s="484"/>
      <c r="AH49" s="484"/>
      <c r="AI49" s="484"/>
      <c r="AJ49" s="484"/>
      <c r="AK49" s="484"/>
      <c r="AL49" s="484"/>
      <c r="AM49" s="484"/>
      <c r="AN49" s="484"/>
      <c r="AO49" s="484"/>
      <c r="AP49" s="484"/>
      <c r="AQ49" s="484"/>
      <c r="AR49" s="484"/>
      <c r="AS49" s="484"/>
      <c r="AT49" s="484"/>
      <c r="AU49" s="484"/>
      <c r="AV49" s="484"/>
      <c r="AW49" s="925"/>
      <c r="AX49" s="925"/>
      <c r="AY49" s="925"/>
      <c r="AZ49" s="925"/>
      <c r="BA49" s="925"/>
      <c r="BB49" s="925"/>
      <c r="BC49" s="925"/>
      <c r="BD49" s="925"/>
      <c r="BE49" s="925"/>
      <c r="BF49" s="925"/>
      <c r="BG49" s="925"/>
      <c r="BH49" s="347"/>
      <c r="BI49" s="347"/>
      <c r="BJ49" s="347"/>
      <c r="BK49" s="347"/>
      <c r="BL49" s="347"/>
      <c r="BW49" s="13"/>
    </row>
    <row r="50" spans="1:75" s="3" customFormat="1" ht="14.1" customHeight="1">
      <c r="A50" s="240"/>
      <c r="B50" s="2650" t="s">
        <v>1118</v>
      </c>
      <c r="C50" s="2650"/>
      <c r="D50" s="2650"/>
      <c r="E50" s="2650"/>
      <c r="F50" s="2650"/>
      <c r="G50" s="2650"/>
      <c r="H50" s="2650"/>
      <c r="I50" s="2650"/>
      <c r="J50" s="2650"/>
      <c r="K50" s="2650"/>
      <c r="L50" s="2650"/>
      <c r="M50" s="2650"/>
      <c r="N50" s="2650"/>
      <c r="O50" s="2650"/>
      <c r="P50" s="2650"/>
      <c r="Q50" s="2650"/>
      <c r="R50" s="2650"/>
      <c r="S50" s="2650"/>
      <c r="T50" s="2650"/>
      <c r="U50" s="2650"/>
      <c r="V50" s="2650"/>
      <c r="W50" s="2650"/>
      <c r="X50" s="2650"/>
      <c r="Y50" s="2650"/>
      <c r="Z50" s="2650"/>
      <c r="AA50" s="2650"/>
      <c r="AB50" s="2650"/>
      <c r="AC50" s="2650"/>
      <c r="AD50" s="2650"/>
      <c r="AE50" s="2650"/>
      <c r="AF50" s="2650"/>
      <c r="AG50" s="2650"/>
      <c r="AH50" s="2650"/>
      <c r="AI50" s="2650"/>
      <c r="AJ50" s="2650"/>
      <c r="AK50" s="2650"/>
      <c r="AL50" s="2650"/>
      <c r="AM50" s="2650"/>
      <c r="AN50" s="2650"/>
      <c r="AO50" s="2650"/>
      <c r="AP50" s="2650"/>
      <c r="AQ50" s="2650"/>
      <c r="AR50" s="2650"/>
      <c r="AS50" s="2650"/>
      <c r="AT50" s="2650"/>
      <c r="AU50" s="2650"/>
      <c r="AV50" s="2650"/>
      <c r="AW50" s="2650"/>
      <c r="AX50" s="813"/>
      <c r="AY50" s="813"/>
      <c r="AZ50" s="813"/>
      <c r="BA50" s="813"/>
      <c r="BB50" s="813"/>
      <c r="BC50" s="813"/>
      <c r="BD50" s="813"/>
      <c r="BE50" s="813"/>
      <c r="BF50" s="813"/>
      <c r="BG50" s="813"/>
      <c r="BH50" s="240"/>
      <c r="BI50" s="240"/>
      <c r="BJ50" s="240"/>
      <c r="BK50" s="240"/>
      <c r="BL50" s="240"/>
      <c r="BW50" s="14"/>
    </row>
    <row r="51" spans="1:75" ht="30.75" customHeight="1">
      <c r="A51" s="238"/>
      <c r="B51" s="487"/>
      <c r="C51" s="239"/>
      <c r="D51" s="487"/>
      <c r="E51" s="239"/>
      <c r="F51" s="487"/>
      <c r="G51" s="239"/>
      <c r="H51" s="487"/>
      <c r="I51" s="239"/>
      <c r="J51" s="487"/>
      <c r="K51" s="239"/>
      <c r="L51" s="487"/>
      <c r="M51" s="239"/>
      <c r="N51" s="487"/>
      <c r="O51" s="239"/>
      <c r="P51" s="238"/>
      <c r="Q51" s="238"/>
      <c r="R51" s="238"/>
      <c r="S51" s="487"/>
      <c r="T51" s="239"/>
      <c r="U51" s="487"/>
      <c r="V51" s="239"/>
      <c r="W51" s="487"/>
      <c r="X51" s="239"/>
      <c r="Y51" s="487"/>
      <c r="Z51" s="239"/>
      <c r="AA51" s="487"/>
      <c r="AB51" s="239"/>
      <c r="AC51" s="487"/>
      <c r="AD51" s="239"/>
      <c r="AE51" s="487"/>
      <c r="AF51" s="239"/>
      <c r="AG51" s="238"/>
      <c r="AH51" s="238"/>
      <c r="AI51" s="238"/>
      <c r="AJ51" s="238"/>
      <c r="AK51" s="487"/>
      <c r="AL51" s="239"/>
      <c r="AM51" s="487"/>
      <c r="AN51" s="239"/>
      <c r="AO51" s="487"/>
      <c r="AP51" s="239"/>
      <c r="AQ51" s="487"/>
      <c r="AR51" s="239"/>
      <c r="AS51" s="487"/>
      <c r="AT51" s="239"/>
      <c r="AU51" s="487"/>
      <c r="AV51" s="239"/>
      <c r="AW51" s="487"/>
      <c r="AX51" s="239"/>
      <c r="AY51" s="238"/>
      <c r="AZ51" s="238"/>
      <c r="BA51" s="238"/>
      <c r="BB51" s="238"/>
      <c r="BC51" s="238"/>
      <c r="BD51" s="238"/>
      <c r="BE51" s="238"/>
      <c r="BF51" s="238"/>
      <c r="BG51" s="238"/>
      <c r="BH51" s="238"/>
      <c r="BI51" s="238"/>
      <c r="BJ51" s="238"/>
      <c r="BK51" s="238"/>
      <c r="BL51" s="238"/>
    </row>
    <row r="52" spans="1:75">
      <c r="A52" s="238"/>
      <c r="B52" s="223" t="s">
        <v>32</v>
      </c>
      <c r="C52" s="238"/>
      <c r="D52" s="238"/>
      <c r="E52" s="238"/>
      <c r="F52" s="238"/>
      <c r="G52" s="238"/>
      <c r="H52" s="238"/>
      <c r="I52" s="238"/>
      <c r="J52" s="238"/>
      <c r="K52" s="238"/>
      <c r="L52" s="238"/>
      <c r="M52" s="238"/>
      <c r="N52" s="238"/>
      <c r="O52" s="238"/>
      <c r="P52" s="238"/>
      <c r="Q52" s="238"/>
      <c r="R52" s="238"/>
      <c r="S52" s="223" t="s">
        <v>421</v>
      </c>
      <c r="T52" s="241"/>
      <c r="U52" s="241"/>
      <c r="V52" s="241"/>
      <c r="W52" s="241"/>
      <c r="X52" s="241"/>
      <c r="Y52" s="241"/>
      <c r="Z52" s="241"/>
      <c r="AA52" s="241"/>
      <c r="AB52" s="241"/>
      <c r="AC52" s="241"/>
      <c r="AD52" s="241"/>
      <c r="AE52" s="241"/>
      <c r="AF52" s="241"/>
      <c r="AG52" s="238"/>
      <c r="AH52" s="238"/>
      <c r="AI52" s="238"/>
      <c r="AJ52" s="238"/>
      <c r="AK52" s="223" t="s">
        <v>33</v>
      </c>
      <c r="AL52" s="238"/>
      <c r="AM52" s="238"/>
      <c r="AN52" s="238"/>
      <c r="AO52" s="238"/>
      <c r="AP52" s="238"/>
      <c r="AQ52" s="238"/>
      <c r="AR52" s="238"/>
      <c r="AS52" s="238"/>
      <c r="AT52" s="238"/>
      <c r="AU52" s="238"/>
      <c r="AV52" s="238"/>
      <c r="AW52" s="238"/>
      <c r="AX52" s="238"/>
      <c r="AY52" s="238"/>
      <c r="AZ52" s="238"/>
      <c r="BA52" s="238"/>
      <c r="BB52" s="238"/>
      <c r="BC52" s="238"/>
      <c r="BD52" s="238"/>
      <c r="BE52" s="238"/>
      <c r="BF52" s="238"/>
      <c r="BG52" s="238"/>
      <c r="BH52" s="238"/>
      <c r="BI52" s="238"/>
      <c r="BJ52" s="238"/>
      <c r="BK52" s="238"/>
      <c r="BL52" s="238"/>
    </row>
    <row r="53" spans="1:75" ht="21.75" customHeight="1">
      <c r="A53" s="238"/>
      <c r="B53" s="223" t="s">
        <v>73</v>
      </c>
      <c r="C53" s="238"/>
      <c r="D53" s="238"/>
      <c r="E53" s="238"/>
      <c r="F53" s="1913" t="str">
        <f>activesheet!E21</f>
        <v>MELCHESIEDICK Q. BOLANIO / March 17, 2023</v>
      </c>
      <c r="G53" s="1913"/>
      <c r="H53" s="1913"/>
      <c r="I53" s="1913"/>
      <c r="J53" s="1913"/>
      <c r="K53" s="1913"/>
      <c r="L53" s="1913"/>
      <c r="M53" s="1913"/>
      <c r="N53" s="1913"/>
      <c r="O53" s="1913"/>
      <c r="P53" s="238"/>
      <c r="Q53" s="238"/>
      <c r="R53" s="238"/>
      <c r="S53" s="1913" t="str">
        <f>activesheet!E2308</f>
        <v>BRYAN REY P. JAMIS / March 17. 2023</v>
      </c>
      <c r="T53" s="1913"/>
      <c r="U53" s="1913"/>
      <c r="V53" s="1913"/>
      <c r="W53" s="1913"/>
      <c r="X53" s="1913"/>
      <c r="Y53" s="1913"/>
      <c r="Z53" s="1913"/>
      <c r="AA53" s="1913"/>
      <c r="AB53" s="1913"/>
      <c r="AC53" s="1913"/>
      <c r="AD53" s="1913"/>
      <c r="AE53" s="1913"/>
      <c r="AF53" s="1913"/>
      <c r="AG53" s="238"/>
      <c r="AH53" s="238"/>
      <c r="AI53" s="238"/>
      <c r="AJ53" s="238"/>
      <c r="AK53" s="1940" t="str">
        <f>activesheet!E25</f>
        <v>MICHAEL T. JAMIS / March 17, 2023</v>
      </c>
      <c r="AL53" s="1940"/>
      <c r="AM53" s="1940"/>
      <c r="AN53" s="1940"/>
      <c r="AO53" s="1940"/>
      <c r="AP53" s="1940"/>
      <c r="AQ53" s="1940"/>
      <c r="AR53" s="1940"/>
      <c r="AS53" s="1940"/>
      <c r="AT53" s="1940"/>
      <c r="AU53" s="1940"/>
      <c r="AV53" s="1940"/>
      <c r="AW53" s="1940"/>
      <c r="AX53" s="1940"/>
      <c r="AY53" s="238"/>
      <c r="AZ53" s="238"/>
      <c r="BA53" s="238"/>
      <c r="BB53" s="238"/>
      <c r="BC53" s="238"/>
      <c r="BD53" s="238"/>
      <c r="BE53" s="238"/>
      <c r="BF53" s="238"/>
      <c r="BG53" s="238"/>
      <c r="BH53" s="238"/>
      <c r="BI53" s="238"/>
      <c r="BJ53" s="238"/>
      <c r="BK53" s="238"/>
      <c r="BL53" s="238"/>
    </row>
    <row r="54" spans="1:75" s="58" customFormat="1" ht="15.75" customHeight="1">
      <c r="A54" s="926"/>
      <c r="B54" s="228"/>
      <c r="C54" s="926"/>
      <c r="D54" s="926"/>
      <c r="E54" s="926"/>
      <c r="F54" s="1811" t="s">
        <v>37</v>
      </c>
      <c r="G54" s="1811"/>
      <c r="H54" s="1811"/>
      <c r="I54" s="1811"/>
      <c r="J54" s="1811"/>
      <c r="K54" s="1811"/>
      <c r="L54" s="1811"/>
      <c r="M54" s="1811"/>
      <c r="N54" s="1811"/>
      <c r="O54" s="1811"/>
      <c r="P54" s="281"/>
      <c r="Q54" s="281"/>
      <c r="R54" s="281"/>
      <c r="S54" s="1811" t="s">
        <v>37</v>
      </c>
      <c r="T54" s="1811"/>
      <c r="U54" s="1811"/>
      <c r="V54" s="1811"/>
      <c r="W54" s="1811"/>
      <c r="X54" s="1811"/>
      <c r="Y54" s="1811"/>
      <c r="Z54" s="1811"/>
      <c r="AA54" s="1811"/>
      <c r="AB54" s="1811"/>
      <c r="AC54" s="1811"/>
      <c r="AD54" s="1811"/>
      <c r="AE54" s="1811"/>
      <c r="AF54" s="1811"/>
      <c r="AG54" s="281"/>
      <c r="AH54" s="281"/>
      <c r="AI54" s="281"/>
      <c r="AJ54" s="281"/>
      <c r="AK54" s="1941"/>
      <c r="AL54" s="1941"/>
      <c r="AM54" s="1941"/>
      <c r="AN54" s="1941"/>
      <c r="AO54" s="1941"/>
      <c r="AP54" s="1941"/>
      <c r="AQ54" s="1941"/>
      <c r="AR54" s="1941"/>
      <c r="AS54" s="1941"/>
      <c r="AT54" s="1941"/>
      <c r="AU54" s="1941"/>
      <c r="AV54" s="1941"/>
      <c r="AW54" s="1941"/>
      <c r="AX54" s="1941"/>
      <c r="AY54" s="926"/>
      <c r="AZ54" s="926"/>
      <c r="BA54" s="926"/>
      <c r="BB54" s="927"/>
      <c r="BC54" s="927"/>
      <c r="BD54" s="927"/>
      <c r="BE54" s="927"/>
      <c r="BF54" s="927"/>
      <c r="BG54" s="927"/>
      <c r="BH54" s="927"/>
      <c r="BI54" s="927"/>
      <c r="BJ54" s="927"/>
      <c r="BK54" s="927"/>
      <c r="BL54" s="927"/>
      <c r="BM54" s="120"/>
      <c r="BN54" s="120"/>
      <c r="BO54" s="120"/>
      <c r="BP54" s="120"/>
      <c r="BQ54" s="120"/>
    </row>
    <row r="55" spans="1:75" ht="21.75" customHeight="1">
      <c r="A55" s="238"/>
      <c r="B55" s="223" t="s">
        <v>240</v>
      </c>
      <c r="C55" s="238"/>
      <c r="D55" s="238"/>
      <c r="E55" s="238"/>
      <c r="F55" s="1913" t="str">
        <f>activesheet!E22</f>
        <v>SECONDARY SCHOOL PRINCIPAL IV</v>
      </c>
      <c r="G55" s="1913"/>
      <c r="H55" s="1913"/>
      <c r="I55" s="1913"/>
      <c r="J55" s="1913"/>
      <c r="K55" s="1913"/>
      <c r="L55" s="1913"/>
      <c r="M55" s="1913"/>
      <c r="N55" s="1913"/>
      <c r="O55" s="1913"/>
      <c r="P55" s="238"/>
      <c r="Q55" s="238"/>
      <c r="R55" s="238"/>
      <c r="S55" s="223" t="s">
        <v>58</v>
      </c>
      <c r="T55" s="241"/>
      <c r="U55" s="241"/>
      <c r="V55" s="241"/>
      <c r="W55" s="1913" t="str">
        <f>activesheet!E2309</f>
        <v>ENGINEER III</v>
      </c>
      <c r="X55" s="1913"/>
      <c r="Y55" s="1913"/>
      <c r="Z55" s="1913"/>
      <c r="AA55" s="1913"/>
      <c r="AB55" s="1913"/>
      <c r="AC55" s="1913"/>
      <c r="AD55" s="1913"/>
      <c r="AE55" s="1913"/>
      <c r="AF55" s="1913"/>
      <c r="AG55" s="238"/>
      <c r="AH55" s="238"/>
      <c r="AI55" s="238"/>
      <c r="AJ55" s="238"/>
      <c r="AK55" s="1811" t="s">
        <v>37</v>
      </c>
      <c r="AL55" s="1811"/>
      <c r="AM55" s="1811"/>
      <c r="AN55" s="1811"/>
      <c r="AO55" s="1811"/>
      <c r="AP55" s="1811"/>
      <c r="AQ55" s="1811"/>
      <c r="AR55" s="1811"/>
      <c r="AS55" s="1811"/>
      <c r="AT55" s="1811"/>
      <c r="AU55" s="1811"/>
      <c r="AV55" s="1811"/>
      <c r="AW55" s="1811"/>
      <c r="AX55" s="1811"/>
      <c r="AY55" s="238"/>
      <c r="AZ55" s="238"/>
      <c r="BA55" s="238"/>
      <c r="BB55" s="238"/>
      <c r="BC55" s="238"/>
      <c r="BD55" s="238"/>
      <c r="BE55" s="238"/>
      <c r="BF55" s="238"/>
      <c r="BG55" s="238"/>
      <c r="BH55" s="238"/>
      <c r="BI55" s="238"/>
      <c r="BJ55" s="238"/>
      <c r="BK55" s="238"/>
      <c r="BL55" s="238"/>
    </row>
    <row r="56" spans="1:75" ht="15.75" customHeight="1">
      <c r="A56" s="238"/>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c r="Z56" s="238"/>
      <c r="AA56" s="238"/>
      <c r="AB56" s="238"/>
      <c r="AC56" s="238"/>
      <c r="AD56" s="238"/>
      <c r="AE56" s="238"/>
      <c r="AF56" s="238"/>
      <c r="AG56" s="238"/>
      <c r="AH56" s="238"/>
      <c r="AI56" s="238"/>
      <c r="AJ56" s="238"/>
      <c r="AK56" s="238"/>
      <c r="AL56" s="238"/>
      <c r="AM56" s="238"/>
      <c r="AN56" s="238"/>
      <c r="AO56" s="238"/>
      <c r="AP56" s="238"/>
      <c r="AQ56" s="238"/>
      <c r="AR56" s="238"/>
      <c r="AS56" s="238"/>
      <c r="AT56" s="238"/>
      <c r="AU56" s="238"/>
      <c r="AV56" s="238"/>
      <c r="AW56" s="238"/>
      <c r="AX56" s="238"/>
      <c r="AY56" s="238"/>
      <c r="AZ56" s="238"/>
      <c r="BA56" s="238"/>
      <c r="BB56" s="238"/>
      <c r="BC56" s="238"/>
      <c r="BD56" s="238"/>
      <c r="BE56" s="238"/>
      <c r="BF56" s="238"/>
      <c r="BG56" s="238"/>
      <c r="BH56" s="238"/>
      <c r="BI56" s="238"/>
      <c r="BJ56" s="238"/>
      <c r="BK56" s="238"/>
      <c r="BL56" s="238"/>
    </row>
    <row r="57" spans="1:75" ht="15.75" customHeight="1">
      <c r="A57" s="238"/>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c r="Z57" s="238"/>
      <c r="AA57" s="238"/>
      <c r="AB57" s="238"/>
      <c r="AC57" s="238"/>
      <c r="AD57" s="238"/>
      <c r="AE57" s="238"/>
      <c r="AF57" s="238"/>
      <c r="AG57" s="238"/>
      <c r="AH57" s="238"/>
      <c r="AI57" s="238"/>
      <c r="AJ57" s="238"/>
      <c r="AK57" s="238"/>
      <c r="AL57" s="238"/>
      <c r="AM57" s="238"/>
      <c r="AN57" s="238"/>
      <c r="AO57" s="238"/>
      <c r="AP57" s="238"/>
      <c r="AQ57" s="238"/>
      <c r="AR57" s="238"/>
      <c r="AS57" s="238"/>
      <c r="AT57" s="238"/>
      <c r="AU57" s="238"/>
      <c r="AV57" s="238"/>
      <c r="AW57" s="238"/>
      <c r="AX57" s="238"/>
      <c r="AY57" s="238"/>
      <c r="AZ57" s="238"/>
      <c r="BA57" s="238"/>
      <c r="BB57" s="238"/>
      <c r="BC57" s="238"/>
      <c r="BD57" s="238"/>
      <c r="BE57" s="238"/>
      <c r="BF57" s="238"/>
      <c r="BG57" s="238"/>
      <c r="BH57" s="238"/>
      <c r="BI57" s="238"/>
      <c r="BJ57" s="238"/>
      <c r="BK57" s="238"/>
      <c r="BL57" s="238"/>
    </row>
    <row r="58" spans="1:75" ht="15.75" customHeight="1">
      <c r="A58" s="238"/>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c r="AB58" s="238"/>
      <c r="AC58" s="238"/>
      <c r="AD58" s="238"/>
      <c r="AE58" s="238"/>
      <c r="AF58" s="238"/>
      <c r="AG58" s="238"/>
      <c r="AH58" s="238"/>
      <c r="AI58" s="238"/>
      <c r="AJ58" s="238"/>
      <c r="AK58" s="238"/>
      <c r="AL58" s="238"/>
      <c r="AM58" s="238"/>
      <c r="AN58" s="238"/>
      <c r="AO58" s="238"/>
      <c r="AP58" s="238"/>
      <c r="AQ58" s="238"/>
      <c r="AR58" s="238"/>
      <c r="AS58" s="238"/>
      <c r="AT58" s="238"/>
      <c r="AU58" s="238"/>
      <c r="AV58" s="238"/>
      <c r="AW58" s="238"/>
      <c r="AX58" s="238"/>
      <c r="AY58" s="238"/>
      <c r="AZ58" s="238"/>
      <c r="BA58" s="238"/>
      <c r="BB58" s="238"/>
      <c r="BC58" s="238"/>
      <c r="BD58" s="238"/>
      <c r="BE58" s="238"/>
      <c r="BF58" s="238"/>
      <c r="BG58" s="238"/>
      <c r="BH58" s="238"/>
      <c r="BI58" s="238"/>
      <c r="BJ58" s="238"/>
      <c r="BK58" s="238"/>
      <c r="BL58" s="238"/>
    </row>
    <row r="59" spans="1:75" ht="15.75" customHeight="1">
      <c r="A59" s="238"/>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c r="AB59" s="238"/>
      <c r="AC59" s="238"/>
      <c r="AD59" s="238"/>
      <c r="AE59" s="238"/>
      <c r="AF59" s="238"/>
      <c r="AG59" s="238"/>
      <c r="AH59" s="238"/>
      <c r="AI59" s="238"/>
      <c r="AJ59" s="238"/>
      <c r="AK59" s="238"/>
      <c r="AL59" s="238"/>
      <c r="AM59" s="238"/>
      <c r="AN59" s="238"/>
      <c r="AO59" s="238"/>
      <c r="AP59" s="238"/>
      <c r="AQ59" s="238"/>
      <c r="AR59" s="238"/>
      <c r="AS59" s="238"/>
      <c r="AT59" s="238"/>
      <c r="AU59" s="238"/>
      <c r="AV59" s="238"/>
      <c r="AW59" s="238"/>
      <c r="AX59" s="238"/>
      <c r="AY59" s="238"/>
      <c r="AZ59" s="238"/>
      <c r="BA59" s="238"/>
      <c r="BB59" s="238"/>
      <c r="BC59" s="238"/>
      <c r="BD59" s="238"/>
      <c r="BE59" s="238"/>
      <c r="BF59" s="238"/>
      <c r="BG59" s="238"/>
      <c r="BH59" s="238"/>
      <c r="BI59" s="238"/>
      <c r="BJ59" s="238"/>
      <c r="BK59" s="238"/>
      <c r="BL59" s="238"/>
    </row>
    <row r="60" spans="1:75" ht="15.75" customHeight="1">
      <c r="A60" s="238"/>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c r="AB60" s="238"/>
      <c r="AC60" s="238"/>
      <c r="AD60" s="238"/>
      <c r="AE60" s="238"/>
      <c r="AF60" s="238"/>
      <c r="AG60" s="238"/>
      <c r="AH60" s="238"/>
      <c r="AI60" s="238"/>
      <c r="AJ60" s="238"/>
      <c r="AK60" s="238"/>
      <c r="AL60" s="238"/>
      <c r="AM60" s="238"/>
      <c r="AN60" s="238"/>
      <c r="AO60" s="238"/>
      <c r="AP60" s="238"/>
      <c r="AQ60" s="238"/>
      <c r="AR60" s="238"/>
      <c r="AS60" s="238"/>
      <c r="AT60" s="238"/>
      <c r="AU60" s="238"/>
      <c r="AV60" s="238"/>
      <c r="AW60" s="238"/>
      <c r="AX60" s="238"/>
      <c r="AY60" s="238"/>
      <c r="AZ60" s="238"/>
      <c r="BA60" s="238"/>
      <c r="BB60" s="238"/>
      <c r="BC60" s="238"/>
      <c r="BD60" s="238"/>
      <c r="BE60" s="238"/>
      <c r="BF60" s="238"/>
      <c r="BG60" s="238"/>
      <c r="BH60" s="238"/>
      <c r="BI60" s="238"/>
      <c r="BJ60" s="238"/>
      <c r="BK60" s="238"/>
      <c r="BL60" s="238"/>
    </row>
    <row r="61" spans="1:75" ht="15.75" customHeight="1">
      <c r="A61" s="238"/>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F61" s="238"/>
      <c r="AG61" s="238"/>
      <c r="AH61" s="238"/>
      <c r="AI61" s="238"/>
      <c r="AJ61" s="238"/>
      <c r="AK61" s="238"/>
      <c r="AL61" s="238"/>
      <c r="AM61" s="238"/>
      <c r="AN61" s="238"/>
      <c r="AO61" s="238"/>
      <c r="AP61" s="238"/>
      <c r="AQ61" s="238"/>
      <c r="AR61" s="238"/>
      <c r="AS61" s="238"/>
      <c r="AT61" s="238"/>
      <c r="AU61" s="238"/>
      <c r="AV61" s="238"/>
      <c r="AW61" s="238"/>
      <c r="AX61" s="238"/>
      <c r="AY61" s="238"/>
      <c r="AZ61" s="238"/>
      <c r="BA61" s="238"/>
      <c r="BB61" s="238"/>
      <c r="BC61" s="238"/>
      <c r="BD61" s="238"/>
      <c r="BE61" s="238"/>
      <c r="BF61" s="238"/>
      <c r="BG61" s="238"/>
      <c r="BH61" s="238"/>
      <c r="BI61" s="238"/>
      <c r="BJ61" s="238"/>
      <c r="BK61" s="238"/>
      <c r="BL61" s="238"/>
    </row>
    <row r="62" spans="1:75" ht="15.75" customHeight="1">
      <c r="A62" s="238"/>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c r="AB62" s="238"/>
      <c r="AC62" s="238"/>
      <c r="AD62" s="238"/>
      <c r="AE62" s="238"/>
      <c r="AF62" s="238"/>
      <c r="AG62" s="238"/>
      <c r="AH62" s="238"/>
      <c r="AI62" s="238"/>
      <c r="AJ62" s="238"/>
      <c r="AK62" s="238"/>
      <c r="AL62" s="238"/>
      <c r="AM62" s="238"/>
      <c r="AN62" s="238"/>
      <c r="AO62" s="238"/>
      <c r="AP62" s="238"/>
      <c r="AQ62" s="238"/>
      <c r="AR62" s="238"/>
      <c r="AS62" s="238"/>
      <c r="AT62" s="238"/>
      <c r="AU62" s="238"/>
      <c r="AV62" s="238"/>
      <c r="AW62" s="238"/>
      <c r="AX62" s="238"/>
      <c r="AY62" s="238"/>
      <c r="AZ62" s="238"/>
      <c r="BA62" s="238"/>
      <c r="BB62" s="238"/>
      <c r="BC62" s="238"/>
      <c r="BD62" s="238"/>
      <c r="BE62" s="238"/>
      <c r="BF62" s="238"/>
      <c r="BG62" s="238"/>
      <c r="BH62" s="238"/>
      <c r="BI62" s="238"/>
      <c r="BJ62" s="238"/>
      <c r="BK62" s="238"/>
      <c r="BL62" s="238"/>
    </row>
    <row r="63" spans="1:75" ht="15.75" customHeight="1">
      <c r="A63" s="238"/>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38"/>
      <c r="AW63" s="238"/>
      <c r="AX63" s="238"/>
      <c r="AY63" s="238"/>
      <c r="AZ63" s="238"/>
      <c r="BA63" s="238"/>
      <c r="BB63" s="238"/>
      <c r="BC63" s="238"/>
      <c r="BD63" s="238"/>
      <c r="BE63" s="238"/>
      <c r="BF63" s="238"/>
      <c r="BG63" s="238"/>
      <c r="BH63" s="238"/>
      <c r="BI63" s="238"/>
      <c r="BJ63" s="238"/>
      <c r="BK63" s="238"/>
      <c r="BL63" s="238"/>
    </row>
    <row r="64" spans="1:75" ht="15.75" customHeight="1">
      <c r="A64" s="238"/>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238"/>
      <c r="AO64" s="238"/>
      <c r="AP64" s="238"/>
      <c r="AQ64" s="238"/>
      <c r="AR64" s="238"/>
      <c r="AS64" s="238"/>
      <c r="AT64" s="238"/>
      <c r="AU64" s="238"/>
      <c r="AV64" s="238"/>
      <c r="AW64" s="238"/>
      <c r="AX64" s="238"/>
      <c r="AY64" s="238"/>
      <c r="AZ64" s="238"/>
      <c r="BA64" s="238"/>
      <c r="BB64" s="238"/>
      <c r="BC64" s="238"/>
      <c r="BD64" s="238"/>
      <c r="BE64" s="238"/>
      <c r="BF64" s="238"/>
      <c r="BG64" s="238"/>
      <c r="BH64" s="238"/>
      <c r="BI64" s="238"/>
      <c r="BJ64" s="238"/>
      <c r="BK64" s="238"/>
      <c r="BL64" s="238"/>
    </row>
    <row r="65" spans="1:64" ht="15.75" customHeight="1">
      <c r="A65" s="238"/>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38"/>
      <c r="AW65" s="238"/>
      <c r="AX65" s="238"/>
      <c r="AY65" s="238"/>
      <c r="AZ65" s="238"/>
      <c r="BA65" s="238"/>
      <c r="BB65" s="238"/>
      <c r="BC65" s="238"/>
      <c r="BD65" s="238"/>
      <c r="BE65" s="238"/>
      <c r="BF65" s="238"/>
      <c r="BG65" s="238"/>
      <c r="BH65" s="238"/>
      <c r="BI65" s="238"/>
      <c r="BJ65" s="238"/>
      <c r="BK65" s="238"/>
      <c r="BL65" s="238"/>
    </row>
    <row r="66" spans="1:64" ht="15.75" customHeight="1">
      <c r="A66" s="238"/>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c r="AB66" s="238"/>
      <c r="AC66" s="238"/>
      <c r="AD66" s="238"/>
      <c r="AE66" s="238"/>
      <c r="AF66" s="238"/>
      <c r="AG66" s="238"/>
      <c r="AH66" s="238"/>
      <c r="AI66" s="238"/>
      <c r="AJ66" s="238"/>
      <c r="AK66" s="238"/>
      <c r="AL66" s="238"/>
      <c r="AM66" s="238"/>
      <c r="AN66" s="238"/>
      <c r="AO66" s="238"/>
      <c r="AP66" s="238"/>
      <c r="AQ66" s="238"/>
      <c r="AR66" s="238"/>
      <c r="AS66" s="238"/>
      <c r="AT66" s="238"/>
      <c r="AU66" s="238"/>
      <c r="AV66" s="238"/>
      <c r="AW66" s="238"/>
      <c r="AX66" s="238"/>
      <c r="AY66" s="238"/>
      <c r="AZ66" s="238"/>
      <c r="BA66" s="238"/>
      <c r="BB66" s="238"/>
      <c r="BC66" s="238"/>
      <c r="BD66" s="238"/>
      <c r="BE66" s="238"/>
      <c r="BF66" s="238"/>
      <c r="BG66" s="238"/>
      <c r="BH66" s="238"/>
      <c r="BI66" s="238"/>
      <c r="BJ66" s="238"/>
      <c r="BK66" s="238"/>
      <c r="BL66" s="238"/>
    </row>
    <row r="67" spans="1:64" ht="15.75" customHeight="1">
      <c r="A67" s="238"/>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c r="AB67" s="238"/>
      <c r="AC67" s="238"/>
      <c r="AD67" s="238"/>
      <c r="AE67" s="238"/>
      <c r="AF67" s="238"/>
      <c r="AG67" s="238"/>
      <c r="AH67" s="238"/>
      <c r="AI67" s="238"/>
      <c r="AJ67" s="238"/>
      <c r="AK67" s="238"/>
      <c r="AL67" s="238"/>
      <c r="AM67" s="238"/>
      <c r="AN67" s="238"/>
      <c r="AO67" s="238"/>
      <c r="AP67" s="238"/>
      <c r="AQ67" s="238"/>
      <c r="AR67" s="238"/>
      <c r="AS67" s="238"/>
      <c r="AT67" s="238"/>
      <c r="AU67" s="238"/>
      <c r="AV67" s="238"/>
      <c r="AW67" s="238"/>
      <c r="AX67" s="238"/>
      <c r="AY67" s="238"/>
      <c r="AZ67" s="238"/>
      <c r="BA67" s="238"/>
      <c r="BB67" s="238"/>
      <c r="BC67" s="238"/>
      <c r="BD67" s="238"/>
      <c r="BE67" s="238"/>
      <c r="BF67" s="238"/>
      <c r="BG67" s="238"/>
      <c r="BH67" s="238"/>
      <c r="BI67" s="238"/>
      <c r="BJ67" s="238"/>
      <c r="BK67" s="238"/>
      <c r="BL67" s="238"/>
    </row>
    <row r="68" spans="1:64" ht="15.75" customHeight="1"/>
    <row r="69" spans="1:64" ht="15.75" customHeight="1"/>
    <row r="70" spans="1:64" ht="15.75" customHeight="1"/>
    <row r="71" spans="1:64" ht="15.75" customHeight="1"/>
    <row r="72" spans="1:64" ht="15.75" customHeight="1"/>
  </sheetData>
  <sheetProtection algorithmName="SHA-512" hashValue="RfkeVFm5B+eGQhUCXQX7rH1fn96egqwpMavrL8cxj0WvOvFkO5uKBwr3fOJZXa0L+6M/LB6yWyjpMnhgZ3+/ag==" saltValue="V3x+CgnH8JLJa9l63GbpVg==" spinCount="100000" sheet="1" objects="1" scenarios="1"/>
  <customSheetViews>
    <customSheetView guid="{6EFEFCA0-BF14-457A-85A3-29CBF2A862A5}" showGridLines="0" fitToPage="1" topLeftCell="A37">
      <selection sqref="A1:BA57"/>
      <pageMargins left="0.43307086614173229" right="0.43307086614173229" top="0.19685039370078741" bottom="0.19685039370078741" header="0" footer="0.11811023622047245"/>
      <printOptions horizontalCentered="1" verticalCentered="1"/>
      <pageSetup paperSize="5" scale="58" orientation="landscape" r:id="rId1"/>
      <headerFooter>
        <oddFooter>&amp;L&amp;10&amp;F &amp;A&amp;R&amp;10Page 25 of 61</oddFooter>
      </headerFooter>
    </customSheetView>
  </customSheetViews>
  <mergeCells count="44">
    <mergeCell ref="AD11:AF11"/>
    <mergeCell ref="AB5:AF5"/>
    <mergeCell ref="S8:AC8"/>
    <mergeCell ref="AD8:AF8"/>
    <mergeCell ref="AD9:AF9"/>
    <mergeCell ref="AD10:AF10"/>
    <mergeCell ref="C29:AX29"/>
    <mergeCell ref="AD12:AF12"/>
    <mergeCell ref="AD13:AF13"/>
    <mergeCell ref="AD14:AF14"/>
    <mergeCell ref="AD15:AF15"/>
    <mergeCell ref="AD16:AF17"/>
    <mergeCell ref="AD18:AF18"/>
    <mergeCell ref="AD19:AF20"/>
    <mergeCell ref="T20:AB20"/>
    <mergeCell ref="AQ20:AU20"/>
    <mergeCell ref="V25:Y25"/>
    <mergeCell ref="J26:N26"/>
    <mergeCell ref="X19:AB19"/>
    <mergeCell ref="T16:AB17"/>
    <mergeCell ref="E42:AX42"/>
    <mergeCell ref="D31:AX31"/>
    <mergeCell ref="E32:AX32"/>
    <mergeCell ref="E33:AX33"/>
    <mergeCell ref="E34:AX34"/>
    <mergeCell ref="E35:AX35"/>
    <mergeCell ref="E36:AX36"/>
    <mergeCell ref="E37:AX37"/>
    <mergeCell ref="E38:AX38"/>
    <mergeCell ref="E39:AX39"/>
    <mergeCell ref="E40:AX40"/>
    <mergeCell ref="E41:AX41"/>
    <mergeCell ref="F55:O55"/>
    <mergeCell ref="W55:AF55"/>
    <mergeCell ref="AK55:AX55"/>
    <mergeCell ref="E43:AX43"/>
    <mergeCell ref="E44:AW44"/>
    <mergeCell ref="E46:AX46"/>
    <mergeCell ref="B50:AW50"/>
    <mergeCell ref="F53:O53"/>
    <mergeCell ref="S53:AF53"/>
    <mergeCell ref="AK53:AX54"/>
    <mergeCell ref="F54:O54"/>
    <mergeCell ref="S54:AF54"/>
  </mergeCells>
  <conditionalFormatting sqref="D10">
    <cfRule type="expression" dxfId="62" priority="1">
      <formula>$E$26</formula>
    </cfRule>
    <cfRule type="expression" dxfId="61" priority="2">
      <formula>$E$25</formula>
    </cfRule>
    <cfRule type="expression" dxfId="60" priority="3">
      <formula>$E$24</formula>
    </cfRule>
    <cfRule type="expression" dxfId="59" priority="4">
      <formula>$E$23</formula>
    </cfRule>
    <cfRule type="expression" dxfId="58" priority="5">
      <formula>$E$22</formula>
    </cfRule>
    <cfRule type="expression" dxfId="57" priority="6">
      <formula>$E$20</formula>
    </cfRule>
    <cfRule type="expression" dxfId="56" priority="7">
      <formula>$E$20</formula>
    </cfRule>
    <cfRule type="expression" dxfId="55" priority="8">
      <formula>$E$19</formula>
    </cfRule>
    <cfRule type="expression" dxfId="54" priority="9">
      <formula>$E$18</formula>
    </cfRule>
    <cfRule type="expression" dxfId="53" priority="10">
      <formula>$E$17</formula>
    </cfRule>
    <cfRule type="expression" dxfId="52" priority="11">
      <formula>$E$16</formula>
    </cfRule>
    <cfRule type="expression" dxfId="51" priority="12">
      <formula>$E$15</formula>
    </cfRule>
    <cfRule type="expression" dxfId="50" priority="13">
      <formula>$E$14</formula>
    </cfRule>
    <cfRule type="expression" dxfId="49" priority="14">
      <formula>$E$13</formula>
    </cfRule>
    <cfRule type="expression" dxfId="48" priority="15">
      <formula>$E$12</formula>
    </cfRule>
    <cfRule type="expression" dxfId="47" priority="16">
      <formula>$E$11</formula>
    </cfRule>
    <cfRule type="expression" dxfId="46" priority="17">
      <formula>$I$9</formula>
    </cfRule>
  </conditionalFormatting>
  <dataValidations count="3">
    <dataValidation type="decimal" allowBlank="1" showInputMessage="1" showErrorMessage="1" errorTitle="GSHSP SY 2022-2023" error="Please enter valid number between 0-200,000." sqref="AB5:AF5" xr:uid="{577F4303-A7BC-47D6-BBB1-686ABE58B070}">
      <formula1>0</formula1>
      <formula2>200000</formula2>
    </dataValidation>
    <dataValidation type="whole" allowBlank="1" showInputMessage="1" showErrorMessage="1" errorTitle="GSHSP SY 2021-2022" error="Please enter valid year." sqref="AD21:AF21" xr:uid="{6D304C22-1D2C-458F-BFB2-4B61A8A3D462}">
      <formula1>1800</formula1>
      <formula2>2021</formula2>
    </dataValidation>
    <dataValidation type="whole" allowBlank="1" showInputMessage="1" showErrorMessage="1" errorTitle="GSHSP SY 2022-2023" error="Please enter valid year." sqref="AD9:AF20" xr:uid="{6FC82855-D3BB-4181-B52E-146B83331C24}">
      <formula1>1800</formula1>
      <formula2>2022</formula2>
    </dataValidation>
  </dataValidations>
  <printOptions horizontalCentered="1" verticalCentered="1"/>
  <pageMargins left="0.43307086614173229" right="0.43307086614173229" top="0.19685039370078741" bottom="0.19685039370078741" header="0" footer="0.11811023622047245"/>
  <pageSetup paperSize="5" scale="58" orientation="landscape" r:id="rId2"/>
  <headerFooter>
    <oddFooter>&amp;L&amp;10&amp;F &amp;A&amp;R&amp;10Page 25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64513" r:id="rId5" name="Check Box 1">
              <controlPr defaultSize="0" autoFill="0" autoLine="0" autoPict="0">
                <anchor moveWithCells="1">
                  <from>
                    <xdr:col>4</xdr:col>
                    <xdr:colOff>28575</xdr:colOff>
                    <xdr:row>6</xdr:row>
                    <xdr:rowOff>28575</xdr:rowOff>
                  </from>
                  <to>
                    <xdr:col>5</xdr:col>
                    <xdr:colOff>28575</xdr:colOff>
                    <xdr:row>6</xdr:row>
                    <xdr:rowOff>238125</xdr:rowOff>
                  </to>
                </anchor>
              </controlPr>
            </control>
          </mc:Choice>
        </mc:AlternateContent>
        <mc:AlternateContent xmlns:mc="http://schemas.openxmlformats.org/markup-compatibility/2006">
          <mc:Choice Requires="x14">
            <control shapeId="64514" r:id="rId6" name="Check Box 2">
              <controlPr defaultSize="0" autoFill="0" autoLine="0" autoPict="0">
                <anchor moveWithCells="1">
                  <from>
                    <xdr:col>4</xdr:col>
                    <xdr:colOff>28575</xdr:colOff>
                    <xdr:row>7</xdr:row>
                    <xdr:rowOff>85725</xdr:rowOff>
                  </from>
                  <to>
                    <xdr:col>5</xdr:col>
                    <xdr:colOff>28575</xdr:colOff>
                    <xdr:row>7</xdr:row>
                    <xdr:rowOff>295275</xdr:rowOff>
                  </to>
                </anchor>
              </controlPr>
            </control>
          </mc:Choice>
        </mc:AlternateContent>
        <mc:AlternateContent xmlns:mc="http://schemas.openxmlformats.org/markup-compatibility/2006">
          <mc:Choice Requires="x14">
            <control shapeId="64515" r:id="rId7" name="Check Box 3">
              <controlPr defaultSize="0" autoFill="0" autoLine="0" autoPict="0">
                <anchor moveWithCells="1">
                  <from>
                    <xdr:col>8</xdr:col>
                    <xdr:colOff>28575</xdr:colOff>
                    <xdr:row>6</xdr:row>
                    <xdr:rowOff>28575</xdr:rowOff>
                  </from>
                  <to>
                    <xdr:col>8</xdr:col>
                    <xdr:colOff>257175</xdr:colOff>
                    <xdr:row>6</xdr:row>
                    <xdr:rowOff>190500</xdr:rowOff>
                  </to>
                </anchor>
              </controlPr>
            </control>
          </mc:Choice>
        </mc:AlternateContent>
        <mc:AlternateContent xmlns:mc="http://schemas.openxmlformats.org/markup-compatibility/2006">
          <mc:Choice Requires="x14">
            <control shapeId="64516" r:id="rId8" name="Check Box 4">
              <controlPr defaultSize="0" autoFill="0" autoLine="0" autoPict="0">
                <anchor moveWithCells="1">
                  <from>
                    <xdr:col>8</xdr:col>
                    <xdr:colOff>28575</xdr:colOff>
                    <xdr:row>7</xdr:row>
                    <xdr:rowOff>76200</xdr:rowOff>
                  </from>
                  <to>
                    <xdr:col>8</xdr:col>
                    <xdr:colOff>266700</xdr:colOff>
                    <xdr:row>7</xdr:row>
                    <xdr:rowOff>295275</xdr:rowOff>
                  </to>
                </anchor>
              </controlPr>
            </control>
          </mc:Choice>
        </mc:AlternateContent>
        <mc:AlternateContent xmlns:mc="http://schemas.openxmlformats.org/markup-compatibility/2006">
          <mc:Choice Requires="x14">
            <control shapeId="64517" r:id="rId9" name="Check Box 5">
              <controlPr defaultSize="0" autoFill="0" autoLine="0" autoPict="0">
                <anchor moveWithCells="1">
                  <from>
                    <xdr:col>8</xdr:col>
                    <xdr:colOff>28575</xdr:colOff>
                    <xdr:row>8</xdr:row>
                    <xdr:rowOff>9525</xdr:rowOff>
                  </from>
                  <to>
                    <xdr:col>8</xdr:col>
                    <xdr:colOff>257175</xdr:colOff>
                    <xdr:row>8</xdr:row>
                    <xdr:rowOff>228600</xdr:rowOff>
                  </to>
                </anchor>
              </controlPr>
            </control>
          </mc:Choice>
        </mc:AlternateContent>
        <mc:AlternateContent xmlns:mc="http://schemas.openxmlformats.org/markup-compatibility/2006">
          <mc:Choice Requires="x14">
            <control shapeId="64518" r:id="rId10" name="Check Box 6">
              <controlPr defaultSize="0" autoFill="0" autoLine="0" autoPict="0">
                <anchor moveWithCells="1">
                  <from>
                    <xdr:col>12</xdr:col>
                    <xdr:colOff>28575</xdr:colOff>
                    <xdr:row>8</xdr:row>
                    <xdr:rowOff>9525</xdr:rowOff>
                  </from>
                  <to>
                    <xdr:col>12</xdr:col>
                    <xdr:colOff>238125</xdr:colOff>
                    <xdr:row>9</xdr:row>
                    <xdr:rowOff>9525</xdr:rowOff>
                  </to>
                </anchor>
              </controlPr>
            </control>
          </mc:Choice>
        </mc:AlternateContent>
        <mc:AlternateContent xmlns:mc="http://schemas.openxmlformats.org/markup-compatibility/2006">
          <mc:Choice Requires="x14">
            <control shapeId="64519" r:id="rId11" name="Check Box 7">
              <controlPr defaultSize="0" autoFill="0" autoLine="0" autoPict="0">
                <anchor moveWithCells="1">
                  <from>
                    <xdr:col>4</xdr:col>
                    <xdr:colOff>28575</xdr:colOff>
                    <xdr:row>10</xdr:row>
                    <xdr:rowOff>9525</xdr:rowOff>
                  </from>
                  <to>
                    <xdr:col>4</xdr:col>
                    <xdr:colOff>238125</xdr:colOff>
                    <xdr:row>10</xdr:row>
                    <xdr:rowOff>238125</xdr:rowOff>
                  </to>
                </anchor>
              </controlPr>
            </control>
          </mc:Choice>
        </mc:AlternateContent>
        <mc:AlternateContent xmlns:mc="http://schemas.openxmlformats.org/markup-compatibility/2006">
          <mc:Choice Requires="x14">
            <control shapeId="64520" r:id="rId12" name="Check Box 8">
              <controlPr defaultSize="0" autoFill="0" autoLine="0" autoPict="0">
                <anchor moveWithCells="1">
                  <from>
                    <xdr:col>4</xdr:col>
                    <xdr:colOff>28575</xdr:colOff>
                    <xdr:row>11</xdr:row>
                    <xdr:rowOff>0</xdr:rowOff>
                  </from>
                  <to>
                    <xdr:col>4</xdr:col>
                    <xdr:colOff>257175</xdr:colOff>
                    <xdr:row>11</xdr:row>
                    <xdr:rowOff>238125</xdr:rowOff>
                  </to>
                </anchor>
              </controlPr>
            </control>
          </mc:Choice>
        </mc:AlternateContent>
        <mc:AlternateContent xmlns:mc="http://schemas.openxmlformats.org/markup-compatibility/2006">
          <mc:Choice Requires="x14">
            <control shapeId="64521" r:id="rId13" name="Check Box 9">
              <controlPr defaultSize="0" autoFill="0" autoLine="0" autoPict="0">
                <anchor moveWithCells="1">
                  <from>
                    <xdr:col>4</xdr:col>
                    <xdr:colOff>28575</xdr:colOff>
                    <xdr:row>11</xdr:row>
                    <xdr:rowOff>238125</xdr:rowOff>
                  </from>
                  <to>
                    <xdr:col>4</xdr:col>
                    <xdr:colOff>238125</xdr:colOff>
                    <xdr:row>12</xdr:row>
                    <xdr:rowOff>238125</xdr:rowOff>
                  </to>
                </anchor>
              </controlPr>
            </control>
          </mc:Choice>
        </mc:AlternateContent>
        <mc:AlternateContent xmlns:mc="http://schemas.openxmlformats.org/markup-compatibility/2006">
          <mc:Choice Requires="x14">
            <control shapeId="64522" r:id="rId14" name="Check Box 10">
              <controlPr defaultSize="0" autoFill="0" autoLine="0" autoPict="0">
                <anchor moveWithCells="1">
                  <from>
                    <xdr:col>4</xdr:col>
                    <xdr:colOff>28575</xdr:colOff>
                    <xdr:row>13</xdr:row>
                    <xdr:rowOff>0</xdr:rowOff>
                  </from>
                  <to>
                    <xdr:col>4</xdr:col>
                    <xdr:colOff>257175</xdr:colOff>
                    <xdr:row>13</xdr:row>
                    <xdr:rowOff>238125</xdr:rowOff>
                  </to>
                </anchor>
              </controlPr>
            </control>
          </mc:Choice>
        </mc:AlternateContent>
        <mc:AlternateContent xmlns:mc="http://schemas.openxmlformats.org/markup-compatibility/2006">
          <mc:Choice Requires="x14">
            <control shapeId="64523" r:id="rId15" name="Check Box 11">
              <controlPr defaultSize="0" autoFill="0" autoLine="0" autoPict="0">
                <anchor moveWithCells="1">
                  <from>
                    <xdr:col>4</xdr:col>
                    <xdr:colOff>28575</xdr:colOff>
                    <xdr:row>14</xdr:row>
                    <xdr:rowOff>0</xdr:rowOff>
                  </from>
                  <to>
                    <xdr:col>4</xdr:col>
                    <xdr:colOff>257175</xdr:colOff>
                    <xdr:row>14</xdr:row>
                    <xdr:rowOff>219075</xdr:rowOff>
                  </to>
                </anchor>
              </controlPr>
            </control>
          </mc:Choice>
        </mc:AlternateContent>
        <mc:AlternateContent xmlns:mc="http://schemas.openxmlformats.org/markup-compatibility/2006">
          <mc:Choice Requires="x14">
            <control shapeId="64524" r:id="rId16" name="Check Box 12">
              <controlPr defaultSize="0" autoFill="0" autoLine="0" autoPict="0">
                <anchor moveWithCells="1">
                  <from>
                    <xdr:col>4</xdr:col>
                    <xdr:colOff>28575</xdr:colOff>
                    <xdr:row>15</xdr:row>
                    <xdr:rowOff>0</xdr:rowOff>
                  </from>
                  <to>
                    <xdr:col>4</xdr:col>
                    <xdr:colOff>238125</xdr:colOff>
                    <xdr:row>15</xdr:row>
                    <xdr:rowOff>200025</xdr:rowOff>
                  </to>
                </anchor>
              </controlPr>
            </control>
          </mc:Choice>
        </mc:AlternateContent>
        <mc:AlternateContent xmlns:mc="http://schemas.openxmlformats.org/markup-compatibility/2006">
          <mc:Choice Requires="x14">
            <control shapeId="64525" r:id="rId17" name="Check Box 13">
              <controlPr defaultSize="0" autoFill="0" autoLine="0" autoPict="0">
                <anchor moveWithCells="1">
                  <from>
                    <xdr:col>4</xdr:col>
                    <xdr:colOff>28575</xdr:colOff>
                    <xdr:row>16</xdr:row>
                    <xdr:rowOff>0</xdr:rowOff>
                  </from>
                  <to>
                    <xdr:col>4</xdr:col>
                    <xdr:colOff>219075</xdr:colOff>
                    <xdr:row>16</xdr:row>
                    <xdr:rowOff>219075</xdr:rowOff>
                  </to>
                </anchor>
              </controlPr>
            </control>
          </mc:Choice>
        </mc:AlternateContent>
        <mc:AlternateContent xmlns:mc="http://schemas.openxmlformats.org/markup-compatibility/2006">
          <mc:Choice Requires="x14">
            <control shapeId="64526" r:id="rId18" name="Check Box 14">
              <controlPr defaultSize="0" autoFill="0" autoLine="0" autoPict="0">
                <anchor moveWithCells="1">
                  <from>
                    <xdr:col>4</xdr:col>
                    <xdr:colOff>28575</xdr:colOff>
                    <xdr:row>17</xdr:row>
                    <xdr:rowOff>9525</xdr:rowOff>
                  </from>
                  <to>
                    <xdr:col>4</xdr:col>
                    <xdr:colOff>238125</xdr:colOff>
                    <xdr:row>17</xdr:row>
                    <xdr:rowOff>219075</xdr:rowOff>
                  </to>
                </anchor>
              </controlPr>
            </control>
          </mc:Choice>
        </mc:AlternateContent>
        <mc:AlternateContent xmlns:mc="http://schemas.openxmlformats.org/markup-compatibility/2006">
          <mc:Choice Requires="x14">
            <control shapeId="64527" r:id="rId19" name="Check Box 15">
              <controlPr defaultSize="0" autoFill="0" autoLine="0" autoPict="0">
                <anchor moveWithCells="1">
                  <from>
                    <xdr:col>4</xdr:col>
                    <xdr:colOff>28575</xdr:colOff>
                    <xdr:row>18</xdr:row>
                    <xdr:rowOff>28575</xdr:rowOff>
                  </from>
                  <to>
                    <xdr:col>4</xdr:col>
                    <xdr:colOff>257175</xdr:colOff>
                    <xdr:row>18</xdr:row>
                    <xdr:rowOff>238125</xdr:rowOff>
                  </to>
                </anchor>
              </controlPr>
            </control>
          </mc:Choice>
        </mc:AlternateContent>
        <mc:AlternateContent xmlns:mc="http://schemas.openxmlformats.org/markup-compatibility/2006">
          <mc:Choice Requires="x14">
            <control shapeId="64528" r:id="rId20" name="Check Box 16">
              <controlPr defaultSize="0" autoFill="0" autoLine="0" autoPict="0">
                <anchor moveWithCells="1">
                  <from>
                    <xdr:col>4</xdr:col>
                    <xdr:colOff>28575</xdr:colOff>
                    <xdr:row>19</xdr:row>
                    <xdr:rowOff>28575</xdr:rowOff>
                  </from>
                  <to>
                    <xdr:col>4</xdr:col>
                    <xdr:colOff>219075</xdr:colOff>
                    <xdr:row>19</xdr:row>
                    <xdr:rowOff>219075</xdr:rowOff>
                  </to>
                </anchor>
              </controlPr>
            </control>
          </mc:Choice>
        </mc:AlternateContent>
        <mc:AlternateContent xmlns:mc="http://schemas.openxmlformats.org/markup-compatibility/2006">
          <mc:Choice Requires="x14">
            <control shapeId="64529" r:id="rId21" name="Check Box 17">
              <controlPr defaultSize="0" autoFill="0" autoLine="0" autoPict="0">
                <anchor moveWithCells="1">
                  <from>
                    <xdr:col>4</xdr:col>
                    <xdr:colOff>28575</xdr:colOff>
                    <xdr:row>20</xdr:row>
                    <xdr:rowOff>38100</xdr:rowOff>
                  </from>
                  <to>
                    <xdr:col>4</xdr:col>
                    <xdr:colOff>266700</xdr:colOff>
                    <xdr:row>21</xdr:row>
                    <xdr:rowOff>228600</xdr:rowOff>
                  </to>
                </anchor>
              </controlPr>
            </control>
          </mc:Choice>
        </mc:AlternateContent>
        <mc:AlternateContent xmlns:mc="http://schemas.openxmlformats.org/markup-compatibility/2006">
          <mc:Choice Requires="x14">
            <control shapeId="64530" r:id="rId22" name="Check Box 18">
              <controlPr defaultSize="0" autoFill="0" autoLine="0" autoPict="0">
                <anchor moveWithCells="1">
                  <from>
                    <xdr:col>4</xdr:col>
                    <xdr:colOff>28575</xdr:colOff>
                    <xdr:row>22</xdr:row>
                    <xdr:rowOff>9525</xdr:rowOff>
                  </from>
                  <to>
                    <xdr:col>4</xdr:col>
                    <xdr:colOff>219075</xdr:colOff>
                    <xdr:row>22</xdr:row>
                    <xdr:rowOff>228600</xdr:rowOff>
                  </to>
                </anchor>
              </controlPr>
            </control>
          </mc:Choice>
        </mc:AlternateContent>
        <mc:AlternateContent xmlns:mc="http://schemas.openxmlformats.org/markup-compatibility/2006">
          <mc:Choice Requires="x14">
            <control shapeId="64531" r:id="rId23" name="Check Box 19">
              <controlPr defaultSize="0" autoFill="0" autoLine="0" autoPict="0">
                <anchor moveWithCells="1">
                  <from>
                    <xdr:col>4</xdr:col>
                    <xdr:colOff>28575</xdr:colOff>
                    <xdr:row>23</xdr:row>
                    <xdr:rowOff>9525</xdr:rowOff>
                  </from>
                  <to>
                    <xdr:col>4</xdr:col>
                    <xdr:colOff>257175</xdr:colOff>
                    <xdr:row>24</xdr:row>
                    <xdr:rowOff>0</xdr:rowOff>
                  </to>
                </anchor>
              </controlPr>
            </control>
          </mc:Choice>
        </mc:AlternateContent>
        <mc:AlternateContent xmlns:mc="http://schemas.openxmlformats.org/markup-compatibility/2006">
          <mc:Choice Requires="x14">
            <control shapeId="64532" r:id="rId24" name="Check Box 20">
              <controlPr defaultSize="0" autoFill="0" autoLine="0" autoPict="0">
                <anchor moveWithCells="1">
                  <from>
                    <xdr:col>4</xdr:col>
                    <xdr:colOff>28575</xdr:colOff>
                    <xdr:row>23</xdr:row>
                    <xdr:rowOff>238125</xdr:rowOff>
                  </from>
                  <to>
                    <xdr:col>4</xdr:col>
                    <xdr:colOff>238125</xdr:colOff>
                    <xdr:row>25</xdr:row>
                    <xdr:rowOff>9525</xdr:rowOff>
                  </to>
                </anchor>
              </controlPr>
            </control>
          </mc:Choice>
        </mc:AlternateContent>
        <mc:AlternateContent xmlns:mc="http://schemas.openxmlformats.org/markup-compatibility/2006">
          <mc:Choice Requires="x14">
            <control shapeId="64533" r:id="rId25" name="Check Box 21">
              <controlPr defaultSize="0" autoFill="0" autoLine="0" autoPict="0">
                <anchor moveWithCells="1">
                  <from>
                    <xdr:col>4</xdr:col>
                    <xdr:colOff>28575</xdr:colOff>
                    <xdr:row>25</xdr:row>
                    <xdr:rowOff>28575</xdr:rowOff>
                  </from>
                  <to>
                    <xdr:col>4</xdr:col>
                    <xdr:colOff>266700</xdr:colOff>
                    <xdr:row>25</xdr:row>
                    <xdr:rowOff>238125</xdr:rowOff>
                  </to>
                </anchor>
              </controlPr>
            </control>
          </mc:Choice>
        </mc:AlternateContent>
        <mc:AlternateContent xmlns:mc="http://schemas.openxmlformats.org/markup-compatibility/2006">
          <mc:Choice Requires="x14">
            <control shapeId="64534" r:id="rId26" name="Check Box 22">
              <controlPr defaultSize="0" autoFill="0" autoLine="0" autoPict="0">
                <anchor moveWithCells="1">
                  <from>
                    <xdr:col>18</xdr:col>
                    <xdr:colOff>28575</xdr:colOff>
                    <xdr:row>8</xdr:row>
                    <xdr:rowOff>0</xdr:rowOff>
                  </from>
                  <to>
                    <xdr:col>18</xdr:col>
                    <xdr:colOff>257175</xdr:colOff>
                    <xdr:row>8</xdr:row>
                    <xdr:rowOff>219075</xdr:rowOff>
                  </to>
                </anchor>
              </controlPr>
            </control>
          </mc:Choice>
        </mc:AlternateContent>
        <mc:AlternateContent xmlns:mc="http://schemas.openxmlformats.org/markup-compatibility/2006">
          <mc:Choice Requires="x14">
            <control shapeId="64535" r:id="rId27" name="Check Box 23">
              <controlPr defaultSize="0" autoFill="0" autoLine="0" autoPict="0">
                <anchor moveWithCells="1">
                  <from>
                    <xdr:col>18</xdr:col>
                    <xdr:colOff>28575</xdr:colOff>
                    <xdr:row>8</xdr:row>
                    <xdr:rowOff>219075</xdr:rowOff>
                  </from>
                  <to>
                    <xdr:col>18</xdr:col>
                    <xdr:colOff>219075</xdr:colOff>
                    <xdr:row>10</xdr:row>
                    <xdr:rowOff>28575</xdr:rowOff>
                  </to>
                </anchor>
              </controlPr>
            </control>
          </mc:Choice>
        </mc:AlternateContent>
        <mc:AlternateContent xmlns:mc="http://schemas.openxmlformats.org/markup-compatibility/2006">
          <mc:Choice Requires="x14">
            <control shapeId="64536" r:id="rId28" name="Check Box 24">
              <controlPr defaultSize="0" autoFill="0" autoLine="0" autoPict="0">
                <anchor moveWithCells="1">
                  <from>
                    <xdr:col>18</xdr:col>
                    <xdr:colOff>28575</xdr:colOff>
                    <xdr:row>10</xdr:row>
                    <xdr:rowOff>28575</xdr:rowOff>
                  </from>
                  <to>
                    <xdr:col>18</xdr:col>
                    <xdr:colOff>257175</xdr:colOff>
                    <xdr:row>10</xdr:row>
                    <xdr:rowOff>238125</xdr:rowOff>
                  </to>
                </anchor>
              </controlPr>
            </control>
          </mc:Choice>
        </mc:AlternateContent>
        <mc:AlternateContent xmlns:mc="http://schemas.openxmlformats.org/markup-compatibility/2006">
          <mc:Choice Requires="x14">
            <control shapeId="64537" r:id="rId29" name="Check Box 25">
              <controlPr defaultSize="0" autoFill="0" autoLine="0" autoPict="0">
                <anchor moveWithCells="1">
                  <from>
                    <xdr:col>18</xdr:col>
                    <xdr:colOff>28575</xdr:colOff>
                    <xdr:row>11</xdr:row>
                    <xdr:rowOff>9525</xdr:rowOff>
                  </from>
                  <to>
                    <xdr:col>18</xdr:col>
                    <xdr:colOff>238125</xdr:colOff>
                    <xdr:row>11</xdr:row>
                    <xdr:rowOff>257175</xdr:rowOff>
                  </to>
                </anchor>
              </controlPr>
            </control>
          </mc:Choice>
        </mc:AlternateContent>
        <mc:AlternateContent xmlns:mc="http://schemas.openxmlformats.org/markup-compatibility/2006">
          <mc:Choice Requires="x14">
            <control shapeId="64538" r:id="rId30" name="Check Box 26">
              <controlPr defaultSize="0" autoFill="0" autoLine="0" autoPict="0">
                <anchor moveWithCells="1">
                  <from>
                    <xdr:col>18</xdr:col>
                    <xdr:colOff>28575</xdr:colOff>
                    <xdr:row>12</xdr:row>
                    <xdr:rowOff>0</xdr:rowOff>
                  </from>
                  <to>
                    <xdr:col>18</xdr:col>
                    <xdr:colOff>257175</xdr:colOff>
                    <xdr:row>12</xdr:row>
                    <xdr:rowOff>219075</xdr:rowOff>
                  </to>
                </anchor>
              </controlPr>
            </control>
          </mc:Choice>
        </mc:AlternateContent>
        <mc:AlternateContent xmlns:mc="http://schemas.openxmlformats.org/markup-compatibility/2006">
          <mc:Choice Requires="x14">
            <control shapeId="64539" r:id="rId31" name="Check Box 27">
              <controlPr defaultSize="0" autoFill="0" autoLine="0" autoPict="0">
                <anchor moveWithCells="1">
                  <from>
                    <xdr:col>18</xdr:col>
                    <xdr:colOff>28575</xdr:colOff>
                    <xdr:row>13</xdr:row>
                    <xdr:rowOff>9525</xdr:rowOff>
                  </from>
                  <to>
                    <xdr:col>18</xdr:col>
                    <xdr:colOff>266700</xdr:colOff>
                    <xdr:row>13</xdr:row>
                    <xdr:rowOff>219075</xdr:rowOff>
                  </to>
                </anchor>
              </controlPr>
            </control>
          </mc:Choice>
        </mc:AlternateContent>
        <mc:AlternateContent xmlns:mc="http://schemas.openxmlformats.org/markup-compatibility/2006">
          <mc:Choice Requires="x14">
            <control shapeId="64540" r:id="rId32" name="Check Box 28">
              <controlPr defaultSize="0" autoFill="0" autoLine="0" autoPict="0">
                <anchor moveWithCells="1">
                  <from>
                    <xdr:col>18</xdr:col>
                    <xdr:colOff>28575</xdr:colOff>
                    <xdr:row>14</xdr:row>
                    <xdr:rowOff>9525</xdr:rowOff>
                  </from>
                  <to>
                    <xdr:col>18</xdr:col>
                    <xdr:colOff>238125</xdr:colOff>
                    <xdr:row>14</xdr:row>
                    <xdr:rowOff>238125</xdr:rowOff>
                  </to>
                </anchor>
              </controlPr>
            </control>
          </mc:Choice>
        </mc:AlternateContent>
        <mc:AlternateContent xmlns:mc="http://schemas.openxmlformats.org/markup-compatibility/2006">
          <mc:Choice Requires="x14">
            <control shapeId="64541" r:id="rId33" name="Check Box 29">
              <controlPr defaultSize="0" autoFill="0" autoLine="0" autoPict="0">
                <anchor moveWithCells="1">
                  <from>
                    <xdr:col>18</xdr:col>
                    <xdr:colOff>28575</xdr:colOff>
                    <xdr:row>14</xdr:row>
                    <xdr:rowOff>257175</xdr:rowOff>
                  </from>
                  <to>
                    <xdr:col>18</xdr:col>
                    <xdr:colOff>266700</xdr:colOff>
                    <xdr:row>15</xdr:row>
                    <xdr:rowOff>219075</xdr:rowOff>
                  </to>
                </anchor>
              </controlPr>
            </control>
          </mc:Choice>
        </mc:AlternateContent>
        <mc:AlternateContent xmlns:mc="http://schemas.openxmlformats.org/markup-compatibility/2006">
          <mc:Choice Requires="x14">
            <control shapeId="64542" r:id="rId34" name="Check Box 30">
              <controlPr defaultSize="0" autoFill="0" autoLine="0" autoPict="0">
                <anchor moveWithCells="1">
                  <from>
                    <xdr:col>18</xdr:col>
                    <xdr:colOff>28575</xdr:colOff>
                    <xdr:row>17</xdr:row>
                    <xdr:rowOff>28575</xdr:rowOff>
                  </from>
                  <to>
                    <xdr:col>18</xdr:col>
                    <xdr:colOff>257175</xdr:colOff>
                    <xdr:row>17</xdr:row>
                    <xdr:rowOff>219075</xdr:rowOff>
                  </to>
                </anchor>
              </controlPr>
            </control>
          </mc:Choice>
        </mc:AlternateContent>
        <mc:AlternateContent xmlns:mc="http://schemas.openxmlformats.org/markup-compatibility/2006">
          <mc:Choice Requires="x14">
            <control shapeId="64543" r:id="rId35" name="Check Box 31">
              <controlPr defaultSize="0" autoFill="0" autoLine="0" autoPict="0">
                <anchor moveWithCells="1">
                  <from>
                    <xdr:col>18</xdr:col>
                    <xdr:colOff>28575</xdr:colOff>
                    <xdr:row>18</xdr:row>
                    <xdr:rowOff>28575</xdr:rowOff>
                  </from>
                  <to>
                    <xdr:col>18</xdr:col>
                    <xdr:colOff>228600</xdr:colOff>
                    <xdr:row>18</xdr:row>
                    <xdr:rowOff>219075</xdr:rowOff>
                  </to>
                </anchor>
              </controlPr>
            </control>
          </mc:Choice>
        </mc:AlternateContent>
        <mc:AlternateContent xmlns:mc="http://schemas.openxmlformats.org/markup-compatibility/2006">
          <mc:Choice Requires="x14">
            <control shapeId="64544" r:id="rId36" name="Check Box 32">
              <controlPr defaultSize="0" autoFill="0" autoLine="0" autoPict="0">
                <anchor moveWithCells="1">
                  <from>
                    <xdr:col>37</xdr:col>
                    <xdr:colOff>38100</xdr:colOff>
                    <xdr:row>6</xdr:row>
                    <xdr:rowOff>9525</xdr:rowOff>
                  </from>
                  <to>
                    <xdr:col>38</xdr:col>
                    <xdr:colOff>28575</xdr:colOff>
                    <xdr:row>6</xdr:row>
                    <xdr:rowOff>238125</xdr:rowOff>
                  </to>
                </anchor>
              </controlPr>
            </control>
          </mc:Choice>
        </mc:AlternateContent>
        <mc:AlternateContent xmlns:mc="http://schemas.openxmlformats.org/markup-compatibility/2006">
          <mc:Choice Requires="x14">
            <control shapeId="64545" r:id="rId37" name="Check Box 33">
              <controlPr defaultSize="0" autoFill="0" autoLine="0" autoPict="0">
                <anchor moveWithCells="1">
                  <from>
                    <xdr:col>41</xdr:col>
                    <xdr:colOff>28575</xdr:colOff>
                    <xdr:row>6</xdr:row>
                    <xdr:rowOff>28575</xdr:rowOff>
                  </from>
                  <to>
                    <xdr:col>41</xdr:col>
                    <xdr:colOff>257175</xdr:colOff>
                    <xdr:row>6</xdr:row>
                    <xdr:rowOff>219075</xdr:rowOff>
                  </to>
                </anchor>
              </controlPr>
            </control>
          </mc:Choice>
        </mc:AlternateContent>
        <mc:AlternateContent xmlns:mc="http://schemas.openxmlformats.org/markup-compatibility/2006">
          <mc:Choice Requires="x14">
            <control shapeId="64546" r:id="rId38" name="Check Box 34">
              <controlPr defaultSize="0" autoFill="0" autoLine="0" autoPict="0">
                <anchor moveWithCells="1">
                  <from>
                    <xdr:col>37</xdr:col>
                    <xdr:colOff>28575</xdr:colOff>
                    <xdr:row>11</xdr:row>
                    <xdr:rowOff>9525</xdr:rowOff>
                  </from>
                  <to>
                    <xdr:col>37</xdr:col>
                    <xdr:colOff>238125</xdr:colOff>
                    <xdr:row>11</xdr:row>
                    <xdr:rowOff>238125</xdr:rowOff>
                  </to>
                </anchor>
              </controlPr>
            </control>
          </mc:Choice>
        </mc:AlternateContent>
        <mc:AlternateContent xmlns:mc="http://schemas.openxmlformats.org/markup-compatibility/2006">
          <mc:Choice Requires="x14">
            <control shapeId="64547" r:id="rId39" name="Check Box 35">
              <controlPr defaultSize="0" autoFill="0" autoLine="0" autoPict="0">
                <anchor moveWithCells="1">
                  <from>
                    <xdr:col>41</xdr:col>
                    <xdr:colOff>28575</xdr:colOff>
                    <xdr:row>11</xdr:row>
                    <xdr:rowOff>28575</xdr:rowOff>
                  </from>
                  <to>
                    <xdr:col>42</xdr:col>
                    <xdr:colOff>9525</xdr:colOff>
                    <xdr:row>11</xdr:row>
                    <xdr:rowOff>219075</xdr:rowOff>
                  </to>
                </anchor>
              </controlPr>
            </control>
          </mc:Choice>
        </mc:AlternateContent>
        <mc:AlternateContent xmlns:mc="http://schemas.openxmlformats.org/markup-compatibility/2006">
          <mc:Choice Requires="x14">
            <control shapeId="64548" r:id="rId40" name="Check Box 36">
              <controlPr defaultSize="0" autoFill="0" autoLine="0" autoPict="0">
                <anchor moveWithCells="1">
                  <from>
                    <xdr:col>37</xdr:col>
                    <xdr:colOff>28575</xdr:colOff>
                    <xdr:row>13</xdr:row>
                    <xdr:rowOff>9525</xdr:rowOff>
                  </from>
                  <to>
                    <xdr:col>38</xdr:col>
                    <xdr:colOff>0</xdr:colOff>
                    <xdr:row>13</xdr:row>
                    <xdr:rowOff>238125</xdr:rowOff>
                  </to>
                </anchor>
              </controlPr>
            </control>
          </mc:Choice>
        </mc:AlternateContent>
        <mc:AlternateContent xmlns:mc="http://schemas.openxmlformats.org/markup-compatibility/2006">
          <mc:Choice Requires="x14">
            <control shapeId="64549" r:id="rId41" name="Check Box 37">
              <controlPr defaultSize="0" autoFill="0" autoLine="0" autoPict="0">
                <anchor moveWithCells="1">
                  <from>
                    <xdr:col>41</xdr:col>
                    <xdr:colOff>38100</xdr:colOff>
                    <xdr:row>13</xdr:row>
                    <xdr:rowOff>28575</xdr:rowOff>
                  </from>
                  <to>
                    <xdr:col>42</xdr:col>
                    <xdr:colOff>9525</xdr:colOff>
                    <xdr:row>13</xdr:row>
                    <xdr:rowOff>228600</xdr:rowOff>
                  </to>
                </anchor>
              </controlPr>
            </control>
          </mc:Choice>
        </mc:AlternateContent>
        <mc:AlternateContent xmlns:mc="http://schemas.openxmlformats.org/markup-compatibility/2006">
          <mc:Choice Requires="x14">
            <control shapeId="64550" r:id="rId42" name="Check Box 38">
              <controlPr defaultSize="0" autoFill="0" autoLine="0" autoPict="0">
                <anchor moveWithCells="1">
                  <from>
                    <xdr:col>37</xdr:col>
                    <xdr:colOff>28575</xdr:colOff>
                    <xdr:row>16</xdr:row>
                    <xdr:rowOff>9525</xdr:rowOff>
                  </from>
                  <to>
                    <xdr:col>37</xdr:col>
                    <xdr:colOff>257175</xdr:colOff>
                    <xdr:row>16</xdr:row>
                    <xdr:rowOff>238125</xdr:rowOff>
                  </to>
                </anchor>
              </controlPr>
            </control>
          </mc:Choice>
        </mc:AlternateContent>
        <mc:AlternateContent xmlns:mc="http://schemas.openxmlformats.org/markup-compatibility/2006">
          <mc:Choice Requires="x14">
            <control shapeId="64551" r:id="rId43" name="Check Box 39">
              <controlPr defaultSize="0" autoFill="0" autoLine="0" autoPict="0">
                <anchor moveWithCells="1">
                  <from>
                    <xdr:col>37</xdr:col>
                    <xdr:colOff>28575</xdr:colOff>
                    <xdr:row>17</xdr:row>
                    <xdr:rowOff>28575</xdr:rowOff>
                  </from>
                  <to>
                    <xdr:col>37</xdr:col>
                    <xdr:colOff>238125</xdr:colOff>
                    <xdr:row>17</xdr:row>
                    <xdr:rowOff>238125</xdr:rowOff>
                  </to>
                </anchor>
              </controlPr>
            </control>
          </mc:Choice>
        </mc:AlternateContent>
        <mc:AlternateContent xmlns:mc="http://schemas.openxmlformats.org/markup-compatibility/2006">
          <mc:Choice Requires="x14">
            <control shapeId="64552" r:id="rId44" name="Check Box 40">
              <controlPr defaultSize="0" autoFill="0" autoLine="0" autoPict="0">
                <anchor moveWithCells="1">
                  <from>
                    <xdr:col>37</xdr:col>
                    <xdr:colOff>28575</xdr:colOff>
                    <xdr:row>18</xdr:row>
                    <xdr:rowOff>28575</xdr:rowOff>
                  </from>
                  <to>
                    <xdr:col>37</xdr:col>
                    <xdr:colOff>257175</xdr:colOff>
                    <xdr:row>18</xdr:row>
                    <xdr:rowOff>200025</xdr:rowOff>
                  </to>
                </anchor>
              </controlPr>
            </control>
          </mc:Choice>
        </mc:AlternateContent>
        <mc:AlternateContent xmlns:mc="http://schemas.openxmlformats.org/markup-compatibility/2006">
          <mc:Choice Requires="x14">
            <control shapeId="64553" r:id="rId45" name="Check Box 41">
              <controlPr defaultSize="0" autoFill="0" autoLine="0" autoPict="0">
                <anchor moveWithCells="1">
                  <from>
                    <xdr:col>37</xdr:col>
                    <xdr:colOff>28575</xdr:colOff>
                    <xdr:row>19</xdr:row>
                    <xdr:rowOff>9525</xdr:rowOff>
                  </from>
                  <to>
                    <xdr:col>37</xdr:col>
                    <xdr:colOff>257175</xdr:colOff>
                    <xdr:row>19</xdr:row>
                    <xdr:rowOff>238125</xdr:rowOff>
                  </to>
                </anchor>
              </controlPr>
            </control>
          </mc:Choice>
        </mc:AlternateContent>
        <mc:AlternateContent xmlns:mc="http://schemas.openxmlformats.org/markup-compatibility/2006">
          <mc:Choice Requires="x14">
            <control shapeId="64554" r:id="rId46" name="Check Box 42">
              <controlPr defaultSize="0" autoFill="0" autoLine="0" autoPict="0">
                <anchor moveWithCells="1">
                  <from>
                    <xdr:col>37</xdr:col>
                    <xdr:colOff>28575</xdr:colOff>
                    <xdr:row>23</xdr:row>
                    <xdr:rowOff>28575</xdr:rowOff>
                  </from>
                  <to>
                    <xdr:col>37</xdr:col>
                    <xdr:colOff>257175</xdr:colOff>
                    <xdr:row>23</xdr:row>
                    <xdr:rowOff>238125</xdr:rowOff>
                  </to>
                </anchor>
              </controlPr>
            </control>
          </mc:Choice>
        </mc:AlternateContent>
        <mc:AlternateContent xmlns:mc="http://schemas.openxmlformats.org/markup-compatibility/2006">
          <mc:Choice Requires="x14">
            <control shapeId="64555" r:id="rId47" name="Check Box 43">
              <controlPr defaultSize="0" autoFill="0" autoLine="0" autoPict="0">
                <anchor moveWithCells="1">
                  <from>
                    <xdr:col>37</xdr:col>
                    <xdr:colOff>28575</xdr:colOff>
                    <xdr:row>23</xdr:row>
                    <xdr:rowOff>228600</xdr:rowOff>
                  </from>
                  <to>
                    <xdr:col>37</xdr:col>
                    <xdr:colOff>257175</xdr:colOff>
                    <xdr:row>24</xdr:row>
                    <xdr:rowOff>180975</xdr:rowOff>
                  </to>
                </anchor>
              </controlPr>
            </control>
          </mc:Choice>
        </mc:AlternateContent>
        <mc:AlternateContent xmlns:mc="http://schemas.openxmlformats.org/markup-compatibility/2006">
          <mc:Choice Requires="x14">
            <control shapeId="64556" r:id="rId48" name="Check Box 44">
              <controlPr defaultSize="0" autoFill="0" autoLine="0" autoPict="0">
                <anchor moveWithCells="1">
                  <from>
                    <xdr:col>37</xdr:col>
                    <xdr:colOff>28575</xdr:colOff>
                    <xdr:row>8</xdr:row>
                    <xdr:rowOff>9525</xdr:rowOff>
                  </from>
                  <to>
                    <xdr:col>37</xdr:col>
                    <xdr:colOff>266700</xdr:colOff>
                    <xdr:row>8</xdr:row>
                    <xdr:rowOff>228600</xdr:rowOff>
                  </to>
                </anchor>
              </controlPr>
            </control>
          </mc:Choice>
        </mc:AlternateContent>
        <mc:AlternateContent xmlns:mc="http://schemas.openxmlformats.org/markup-compatibility/2006">
          <mc:Choice Requires="x14">
            <control shapeId="64557" r:id="rId49" name="Check Box 45">
              <controlPr defaultSize="0" autoFill="0" autoLine="0" autoPict="0">
                <anchor moveWithCells="1">
                  <from>
                    <xdr:col>41</xdr:col>
                    <xdr:colOff>28575</xdr:colOff>
                    <xdr:row>8</xdr:row>
                    <xdr:rowOff>9525</xdr:rowOff>
                  </from>
                  <to>
                    <xdr:col>42</xdr:col>
                    <xdr:colOff>38100</xdr:colOff>
                    <xdr:row>8</xdr:row>
                    <xdr:rowOff>238125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tabColor rgb="FFFFFF00"/>
    <pageSetUpPr fitToPage="1"/>
  </sheetPr>
  <dimension ref="A1:BY58"/>
  <sheetViews>
    <sheetView showGridLines="0" topLeftCell="A28" zoomScaleNormal="100" workbookViewId="0">
      <selection sqref="A1:BC43"/>
    </sheetView>
  </sheetViews>
  <sheetFormatPr defaultColWidth="8.875" defaultRowHeight="15.75"/>
  <cols>
    <col min="1" max="1" width="2.125" style="51" customWidth="1"/>
    <col min="2" max="51" width="3.625" style="51" customWidth="1"/>
    <col min="52" max="52" width="2.125" style="51" customWidth="1"/>
    <col min="53" max="256" width="3.625" style="51" customWidth="1"/>
    <col min="257" max="272" width="9" style="51"/>
    <col min="273" max="273" width="1.625" style="51" customWidth="1"/>
    <col min="274" max="280" width="3.625" style="51" customWidth="1"/>
    <col min="281" max="281" width="3.375" style="51" customWidth="1"/>
    <col min="282" max="512" width="3.625" style="51" customWidth="1"/>
    <col min="513" max="528" width="9" style="51"/>
    <col min="529" max="529" width="1.625" style="51" customWidth="1"/>
    <col min="530" max="536" width="3.625" style="51" customWidth="1"/>
    <col min="537" max="537" width="3.375" style="51" customWidth="1"/>
    <col min="538" max="768" width="3.625" style="51" customWidth="1"/>
    <col min="769" max="784" width="9" style="51"/>
    <col min="785" max="785" width="1.625" style="51" customWidth="1"/>
    <col min="786" max="792" width="3.625" style="51" customWidth="1"/>
    <col min="793" max="793" width="3.375" style="51" customWidth="1"/>
    <col min="794" max="1024" width="3.625" style="51" customWidth="1"/>
    <col min="1025" max="1040" width="9" style="51"/>
    <col min="1041" max="1041" width="1.625" style="51" customWidth="1"/>
    <col min="1042" max="1048" width="3.625" style="51" customWidth="1"/>
    <col min="1049" max="1049" width="3.375" style="51" customWidth="1"/>
    <col min="1050" max="1280" width="3.625" style="51" customWidth="1"/>
    <col min="1281" max="1296" width="9" style="51"/>
    <col min="1297" max="1297" width="1.625" style="51" customWidth="1"/>
    <col min="1298" max="1304" width="3.625" style="51" customWidth="1"/>
    <col min="1305" max="1305" width="3.375" style="51" customWidth="1"/>
    <col min="1306" max="1536" width="3.625" style="51" customWidth="1"/>
    <col min="1537" max="1552" width="9" style="51"/>
    <col min="1553" max="1553" width="1.625" style="51" customWidth="1"/>
    <col min="1554" max="1560" width="3.625" style="51" customWidth="1"/>
    <col min="1561" max="1561" width="3.375" style="51" customWidth="1"/>
    <col min="1562" max="1792" width="3.625" style="51" customWidth="1"/>
    <col min="1793" max="1808" width="9" style="51"/>
    <col min="1809" max="1809" width="1.625" style="51" customWidth="1"/>
    <col min="1810" max="1816" width="3.625" style="51" customWidth="1"/>
    <col min="1817" max="1817" width="3.375" style="51" customWidth="1"/>
    <col min="1818" max="2048" width="3.625" style="51" customWidth="1"/>
    <col min="2049" max="2064" width="9" style="51"/>
    <col min="2065" max="2065" width="1.625" style="51" customWidth="1"/>
    <col min="2066" max="2072" width="3.625" style="51" customWidth="1"/>
    <col min="2073" max="2073" width="3.375" style="51" customWidth="1"/>
    <col min="2074" max="2304" width="3.625" style="51" customWidth="1"/>
    <col min="2305" max="2320" width="9" style="51"/>
    <col min="2321" max="2321" width="1.625" style="51" customWidth="1"/>
    <col min="2322" max="2328" width="3.625" style="51" customWidth="1"/>
    <col min="2329" max="2329" width="3.375" style="51" customWidth="1"/>
    <col min="2330" max="2560" width="3.625" style="51" customWidth="1"/>
    <col min="2561" max="2576" width="9" style="51"/>
    <col min="2577" max="2577" width="1.625" style="51" customWidth="1"/>
    <col min="2578" max="2584" width="3.625" style="51" customWidth="1"/>
    <col min="2585" max="2585" width="3.375" style="51" customWidth="1"/>
    <col min="2586" max="2816" width="3.625" style="51" customWidth="1"/>
    <col min="2817" max="2832" width="9" style="51"/>
    <col min="2833" max="2833" width="1.625" style="51" customWidth="1"/>
    <col min="2834" max="2840" width="3.625" style="51" customWidth="1"/>
    <col min="2841" max="2841" width="3.375" style="51" customWidth="1"/>
    <col min="2842" max="3072" width="3.625" style="51" customWidth="1"/>
    <col min="3073" max="3088" width="9" style="51"/>
    <col min="3089" max="3089" width="1.625" style="51" customWidth="1"/>
    <col min="3090" max="3096" width="3.625" style="51" customWidth="1"/>
    <col min="3097" max="3097" width="3.375" style="51" customWidth="1"/>
    <col min="3098" max="3328" width="3.625" style="51" customWidth="1"/>
    <col min="3329" max="3344" width="9" style="51"/>
    <col min="3345" max="3345" width="1.625" style="51" customWidth="1"/>
    <col min="3346" max="3352" width="3.625" style="51" customWidth="1"/>
    <col min="3353" max="3353" width="3.375" style="51" customWidth="1"/>
    <col min="3354" max="3584" width="3.625" style="51" customWidth="1"/>
    <col min="3585" max="3600" width="9" style="51"/>
    <col min="3601" max="3601" width="1.625" style="51" customWidth="1"/>
    <col min="3602" max="3608" width="3.625" style="51" customWidth="1"/>
    <col min="3609" max="3609" width="3.375" style="51" customWidth="1"/>
    <col min="3610" max="3840" width="3.625" style="51" customWidth="1"/>
    <col min="3841" max="3856" width="9" style="51"/>
    <col min="3857" max="3857" width="1.625" style="51" customWidth="1"/>
    <col min="3858" max="3864" width="3.625" style="51" customWidth="1"/>
    <col min="3865" max="3865" width="3.375" style="51" customWidth="1"/>
    <col min="3866" max="4096" width="3.625" style="51" customWidth="1"/>
    <col min="4097" max="4112" width="9" style="51"/>
    <col min="4113" max="4113" width="1.625" style="51" customWidth="1"/>
    <col min="4114" max="4120" width="3.625" style="51" customWidth="1"/>
    <col min="4121" max="4121" width="3.375" style="51" customWidth="1"/>
    <col min="4122" max="4352" width="3.625" style="51" customWidth="1"/>
    <col min="4353" max="4368" width="9" style="51"/>
    <col min="4369" max="4369" width="1.625" style="51" customWidth="1"/>
    <col min="4370" max="4376" width="3.625" style="51" customWidth="1"/>
    <col min="4377" max="4377" width="3.375" style="51" customWidth="1"/>
    <col min="4378" max="4608" width="3.625" style="51" customWidth="1"/>
    <col min="4609" max="4624" width="9" style="51"/>
    <col min="4625" max="4625" width="1.625" style="51" customWidth="1"/>
    <col min="4626" max="4632" width="3.625" style="51" customWidth="1"/>
    <col min="4633" max="4633" width="3.375" style="51" customWidth="1"/>
    <col min="4634" max="4864" width="3.625" style="51" customWidth="1"/>
    <col min="4865" max="4880" width="9" style="51"/>
    <col min="4881" max="4881" width="1.625" style="51" customWidth="1"/>
    <col min="4882" max="4888" width="3.625" style="51" customWidth="1"/>
    <col min="4889" max="4889" width="3.375" style="51" customWidth="1"/>
    <col min="4890" max="5120" width="3.625" style="51" customWidth="1"/>
    <col min="5121" max="5136" width="9" style="51"/>
    <col min="5137" max="5137" width="1.625" style="51" customWidth="1"/>
    <col min="5138" max="5144" width="3.625" style="51" customWidth="1"/>
    <col min="5145" max="5145" width="3.375" style="51" customWidth="1"/>
    <col min="5146" max="5376" width="3.625" style="51" customWidth="1"/>
    <col min="5377" max="5392" width="9" style="51"/>
    <col min="5393" max="5393" width="1.625" style="51" customWidth="1"/>
    <col min="5394" max="5400" width="3.625" style="51" customWidth="1"/>
    <col min="5401" max="5401" width="3.375" style="51" customWidth="1"/>
    <col min="5402" max="5632" width="3.625" style="51" customWidth="1"/>
    <col min="5633" max="5648" width="9" style="51"/>
    <col min="5649" max="5649" width="1.625" style="51" customWidth="1"/>
    <col min="5650" max="5656" width="3.625" style="51" customWidth="1"/>
    <col min="5657" max="5657" width="3.375" style="51" customWidth="1"/>
    <col min="5658" max="5888" width="3.625" style="51" customWidth="1"/>
    <col min="5889" max="5904" width="9" style="51"/>
    <col min="5905" max="5905" width="1.625" style="51" customWidth="1"/>
    <col min="5906" max="5912" width="3.625" style="51" customWidth="1"/>
    <col min="5913" max="5913" width="3.375" style="51" customWidth="1"/>
    <col min="5914" max="6144" width="3.625" style="51" customWidth="1"/>
    <col min="6145" max="6160" width="9" style="51"/>
    <col min="6161" max="6161" width="1.625" style="51" customWidth="1"/>
    <col min="6162" max="6168" width="3.625" style="51" customWidth="1"/>
    <col min="6169" max="6169" width="3.375" style="51" customWidth="1"/>
    <col min="6170" max="6400" width="3.625" style="51" customWidth="1"/>
    <col min="6401" max="6416" width="9" style="51"/>
    <col min="6417" max="6417" width="1.625" style="51" customWidth="1"/>
    <col min="6418" max="6424" width="3.625" style="51" customWidth="1"/>
    <col min="6425" max="6425" width="3.375" style="51" customWidth="1"/>
    <col min="6426" max="6656" width="3.625" style="51" customWidth="1"/>
    <col min="6657" max="6672" width="9" style="51"/>
    <col min="6673" max="6673" width="1.625" style="51" customWidth="1"/>
    <col min="6674" max="6680" width="3.625" style="51" customWidth="1"/>
    <col min="6681" max="6681" width="3.375" style="51" customWidth="1"/>
    <col min="6682" max="6912" width="3.625" style="51" customWidth="1"/>
    <col min="6913" max="6928" width="9" style="51"/>
    <col min="6929" max="6929" width="1.625" style="51" customWidth="1"/>
    <col min="6930" max="6936" width="3.625" style="51" customWidth="1"/>
    <col min="6937" max="6937" width="3.375" style="51" customWidth="1"/>
    <col min="6938" max="7168" width="3.625" style="51" customWidth="1"/>
    <col min="7169" max="7184" width="9" style="51"/>
    <col min="7185" max="7185" width="1.625" style="51" customWidth="1"/>
    <col min="7186" max="7192" width="3.625" style="51" customWidth="1"/>
    <col min="7193" max="7193" width="3.375" style="51" customWidth="1"/>
    <col min="7194" max="7424" width="3.625" style="51" customWidth="1"/>
    <col min="7425" max="7440" width="9" style="51"/>
    <col min="7441" max="7441" width="1.625" style="51" customWidth="1"/>
    <col min="7442" max="7448" width="3.625" style="51" customWidth="1"/>
    <col min="7449" max="7449" width="3.375" style="51" customWidth="1"/>
    <col min="7450" max="7680" width="3.625" style="51" customWidth="1"/>
    <col min="7681" max="7696" width="9" style="51"/>
    <col min="7697" max="7697" width="1.625" style="51" customWidth="1"/>
    <col min="7698" max="7704" width="3.625" style="51" customWidth="1"/>
    <col min="7705" max="7705" width="3.375" style="51" customWidth="1"/>
    <col min="7706" max="7936" width="3.625" style="51" customWidth="1"/>
    <col min="7937" max="7952" width="9" style="51"/>
    <col min="7953" max="7953" width="1.625" style="51" customWidth="1"/>
    <col min="7954" max="7960" width="3.625" style="51" customWidth="1"/>
    <col min="7961" max="7961" width="3.375" style="51" customWidth="1"/>
    <col min="7962" max="8192" width="3.625" style="51" customWidth="1"/>
    <col min="8193" max="8208" width="9" style="51"/>
    <col min="8209" max="8209" width="1.625" style="51" customWidth="1"/>
    <col min="8210" max="8216" width="3.625" style="51" customWidth="1"/>
    <col min="8217" max="8217" width="3.375" style="51" customWidth="1"/>
    <col min="8218" max="8448" width="3.625" style="51" customWidth="1"/>
    <col min="8449" max="8464" width="9" style="51"/>
    <col min="8465" max="8465" width="1.625" style="51" customWidth="1"/>
    <col min="8466" max="8472" width="3.625" style="51" customWidth="1"/>
    <col min="8473" max="8473" width="3.375" style="51" customWidth="1"/>
    <col min="8474" max="8704" width="3.625" style="51" customWidth="1"/>
    <col min="8705" max="8720" width="9" style="51"/>
    <col min="8721" max="8721" width="1.625" style="51" customWidth="1"/>
    <col min="8722" max="8728" width="3.625" style="51" customWidth="1"/>
    <col min="8729" max="8729" width="3.375" style="51" customWidth="1"/>
    <col min="8730" max="8960" width="3.625" style="51" customWidth="1"/>
    <col min="8961" max="8976" width="9" style="51"/>
    <col min="8977" max="8977" width="1.625" style="51" customWidth="1"/>
    <col min="8978" max="8984" width="3.625" style="51" customWidth="1"/>
    <col min="8985" max="8985" width="3.375" style="51" customWidth="1"/>
    <col min="8986" max="9216" width="3.625" style="51" customWidth="1"/>
    <col min="9217" max="9232" width="9" style="51"/>
    <col min="9233" max="9233" width="1.625" style="51" customWidth="1"/>
    <col min="9234" max="9240" width="3.625" style="51" customWidth="1"/>
    <col min="9241" max="9241" width="3.375" style="51" customWidth="1"/>
    <col min="9242" max="9472" width="3.625" style="51" customWidth="1"/>
    <col min="9473" max="9488" width="9" style="51"/>
    <col min="9489" max="9489" width="1.625" style="51" customWidth="1"/>
    <col min="9490" max="9496" width="3.625" style="51" customWidth="1"/>
    <col min="9497" max="9497" width="3.375" style="51" customWidth="1"/>
    <col min="9498" max="9728" width="3.625" style="51" customWidth="1"/>
    <col min="9729" max="9744" width="9" style="51"/>
    <col min="9745" max="9745" width="1.625" style="51" customWidth="1"/>
    <col min="9746" max="9752" width="3.625" style="51" customWidth="1"/>
    <col min="9753" max="9753" width="3.375" style="51" customWidth="1"/>
    <col min="9754" max="9984" width="3.625" style="51" customWidth="1"/>
    <col min="9985" max="10000" width="9" style="51"/>
    <col min="10001" max="10001" width="1.625" style="51" customWidth="1"/>
    <col min="10002" max="10008" width="3.625" style="51" customWidth="1"/>
    <col min="10009" max="10009" width="3.375" style="51" customWidth="1"/>
    <col min="10010" max="10240" width="3.625" style="51" customWidth="1"/>
    <col min="10241" max="10256" width="9" style="51"/>
    <col min="10257" max="10257" width="1.625" style="51" customWidth="1"/>
    <col min="10258" max="10264" width="3.625" style="51" customWidth="1"/>
    <col min="10265" max="10265" width="3.375" style="51" customWidth="1"/>
    <col min="10266" max="10496" width="3.625" style="51" customWidth="1"/>
    <col min="10497" max="10512" width="9" style="51"/>
    <col min="10513" max="10513" width="1.625" style="51" customWidth="1"/>
    <col min="10514" max="10520" width="3.625" style="51" customWidth="1"/>
    <col min="10521" max="10521" width="3.375" style="51" customWidth="1"/>
    <col min="10522" max="10752" width="3.625" style="51" customWidth="1"/>
    <col min="10753" max="10768" width="9" style="51"/>
    <col min="10769" max="10769" width="1.625" style="51" customWidth="1"/>
    <col min="10770" max="10776" width="3.625" style="51" customWidth="1"/>
    <col min="10777" max="10777" width="3.375" style="51" customWidth="1"/>
    <col min="10778" max="11008" width="3.625" style="51" customWidth="1"/>
    <col min="11009" max="11024" width="9" style="51"/>
    <col min="11025" max="11025" width="1.625" style="51" customWidth="1"/>
    <col min="11026" max="11032" width="3.625" style="51" customWidth="1"/>
    <col min="11033" max="11033" width="3.375" style="51" customWidth="1"/>
    <col min="11034" max="11264" width="3.625" style="51" customWidth="1"/>
    <col min="11265" max="11280" width="9" style="51"/>
    <col min="11281" max="11281" width="1.625" style="51" customWidth="1"/>
    <col min="11282" max="11288" width="3.625" style="51" customWidth="1"/>
    <col min="11289" max="11289" width="3.375" style="51" customWidth="1"/>
    <col min="11290" max="11520" width="3.625" style="51" customWidth="1"/>
    <col min="11521" max="11536" width="9" style="51"/>
    <col min="11537" max="11537" width="1.625" style="51" customWidth="1"/>
    <col min="11538" max="11544" width="3.625" style="51" customWidth="1"/>
    <col min="11545" max="11545" width="3.375" style="51" customWidth="1"/>
    <col min="11546" max="11776" width="3.625" style="51" customWidth="1"/>
    <col min="11777" max="11792" width="9" style="51"/>
    <col min="11793" max="11793" width="1.625" style="51" customWidth="1"/>
    <col min="11794" max="11800" width="3.625" style="51" customWidth="1"/>
    <col min="11801" max="11801" width="3.375" style="51" customWidth="1"/>
    <col min="11802" max="12032" width="3.625" style="51" customWidth="1"/>
    <col min="12033" max="12048" width="9" style="51"/>
    <col min="12049" max="12049" width="1.625" style="51" customWidth="1"/>
    <col min="12050" max="12056" width="3.625" style="51" customWidth="1"/>
    <col min="12057" max="12057" width="3.375" style="51" customWidth="1"/>
    <col min="12058" max="12288" width="3.625" style="51" customWidth="1"/>
    <col min="12289" max="12304" width="9" style="51"/>
    <col min="12305" max="12305" width="1.625" style="51" customWidth="1"/>
    <col min="12306" max="12312" width="3.625" style="51" customWidth="1"/>
    <col min="12313" max="12313" width="3.375" style="51" customWidth="1"/>
    <col min="12314" max="12544" width="3.625" style="51" customWidth="1"/>
    <col min="12545" max="12560" width="9" style="51"/>
    <col min="12561" max="12561" width="1.625" style="51" customWidth="1"/>
    <col min="12562" max="12568" width="3.625" style="51" customWidth="1"/>
    <col min="12569" max="12569" width="3.375" style="51" customWidth="1"/>
    <col min="12570" max="12800" width="3.625" style="51" customWidth="1"/>
    <col min="12801" max="12816" width="9" style="51"/>
    <col min="12817" max="12817" width="1.625" style="51" customWidth="1"/>
    <col min="12818" max="12824" width="3.625" style="51" customWidth="1"/>
    <col min="12825" max="12825" width="3.375" style="51" customWidth="1"/>
    <col min="12826" max="13056" width="3.625" style="51" customWidth="1"/>
    <col min="13057" max="13072" width="9" style="51"/>
    <col min="13073" max="13073" width="1.625" style="51" customWidth="1"/>
    <col min="13074" max="13080" width="3.625" style="51" customWidth="1"/>
    <col min="13081" max="13081" width="3.375" style="51" customWidth="1"/>
    <col min="13082" max="13312" width="3.625" style="51" customWidth="1"/>
    <col min="13313" max="13328" width="9" style="51"/>
    <col min="13329" max="13329" width="1.625" style="51" customWidth="1"/>
    <col min="13330" max="13336" width="3.625" style="51" customWidth="1"/>
    <col min="13337" max="13337" width="3.375" style="51" customWidth="1"/>
    <col min="13338" max="13568" width="3.625" style="51" customWidth="1"/>
    <col min="13569" max="13584" width="9" style="51"/>
    <col min="13585" max="13585" width="1.625" style="51" customWidth="1"/>
    <col min="13586" max="13592" width="3.625" style="51" customWidth="1"/>
    <col min="13593" max="13593" width="3.375" style="51" customWidth="1"/>
    <col min="13594" max="13824" width="3.625" style="51" customWidth="1"/>
    <col min="13825" max="13840" width="9" style="51"/>
    <col min="13841" max="13841" width="1.625" style="51" customWidth="1"/>
    <col min="13842" max="13848" width="3.625" style="51" customWidth="1"/>
    <col min="13849" max="13849" width="3.375" style="51" customWidth="1"/>
    <col min="13850" max="14080" width="3.625" style="51" customWidth="1"/>
    <col min="14081" max="14096" width="9" style="51"/>
    <col min="14097" max="14097" width="1.625" style="51" customWidth="1"/>
    <col min="14098" max="14104" width="3.625" style="51" customWidth="1"/>
    <col min="14105" max="14105" width="3.375" style="51" customWidth="1"/>
    <col min="14106" max="14336" width="3.625" style="51" customWidth="1"/>
    <col min="14337" max="14352" width="9" style="51"/>
    <col min="14353" max="14353" width="1.625" style="51" customWidth="1"/>
    <col min="14354" max="14360" width="3.625" style="51" customWidth="1"/>
    <col min="14361" max="14361" width="3.375" style="51" customWidth="1"/>
    <col min="14362" max="14592" width="3.625" style="51" customWidth="1"/>
    <col min="14593" max="14608" width="9" style="51"/>
    <col min="14609" max="14609" width="1.625" style="51" customWidth="1"/>
    <col min="14610" max="14616" width="3.625" style="51" customWidth="1"/>
    <col min="14617" max="14617" width="3.375" style="51" customWidth="1"/>
    <col min="14618" max="14848" width="3.625" style="51" customWidth="1"/>
    <col min="14849" max="14864" width="9" style="51"/>
    <col min="14865" max="14865" width="1.625" style="51" customWidth="1"/>
    <col min="14866" max="14872" width="3.625" style="51" customWidth="1"/>
    <col min="14873" max="14873" width="3.375" style="51" customWidth="1"/>
    <col min="14874" max="15104" width="3.625" style="51" customWidth="1"/>
    <col min="15105" max="15120" width="9" style="51"/>
    <col min="15121" max="15121" width="1.625" style="51" customWidth="1"/>
    <col min="15122" max="15128" width="3.625" style="51" customWidth="1"/>
    <col min="15129" max="15129" width="3.375" style="51" customWidth="1"/>
    <col min="15130" max="15360" width="3.625" style="51" customWidth="1"/>
    <col min="15361" max="15376" width="9" style="51"/>
    <col min="15377" max="15377" width="1.625" style="51" customWidth="1"/>
    <col min="15378" max="15384" width="3.625" style="51" customWidth="1"/>
    <col min="15385" max="15385" width="3.375" style="51" customWidth="1"/>
    <col min="15386" max="15616" width="3.625" style="51" customWidth="1"/>
    <col min="15617" max="15632" width="9" style="51"/>
    <col min="15633" max="15633" width="1.625" style="51" customWidth="1"/>
    <col min="15634" max="15640" width="3.625" style="51" customWidth="1"/>
    <col min="15641" max="15641" width="3.375" style="51" customWidth="1"/>
    <col min="15642" max="15872" width="3.625" style="51" customWidth="1"/>
    <col min="15873" max="15888" width="9" style="51"/>
    <col min="15889" max="15889" width="1.625" style="51" customWidth="1"/>
    <col min="15890" max="15896" width="3.625" style="51" customWidth="1"/>
    <col min="15897" max="15897" width="3.375" style="51" customWidth="1"/>
    <col min="15898" max="16128" width="3.625" style="51" customWidth="1"/>
    <col min="16129" max="16144" width="9" style="51"/>
    <col min="16145" max="16145" width="1.625" style="51" customWidth="1"/>
    <col min="16146" max="16152" width="3.625" style="51" customWidth="1"/>
    <col min="16153" max="16153" width="3.375" style="51" customWidth="1"/>
    <col min="16154" max="16384" width="3.625" style="51" customWidth="1"/>
  </cols>
  <sheetData>
    <row r="1" spans="1:77" ht="12"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row>
    <row r="2" spans="1:77" s="5" customFormat="1" ht="15.75" customHeight="1">
      <c r="A2" s="273"/>
      <c r="B2" s="800" t="s">
        <v>1465</v>
      </c>
      <c r="C2" s="380"/>
      <c r="D2" s="380"/>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801"/>
      <c r="AY2" s="801"/>
      <c r="AZ2" s="801"/>
      <c r="BA2" s="801"/>
      <c r="BB2" s="801"/>
      <c r="BC2" s="801"/>
      <c r="BD2" s="801"/>
      <c r="BE2" s="801"/>
      <c r="BF2" s="801"/>
      <c r="BG2" s="106"/>
      <c r="BH2" s="106"/>
      <c r="BX2" s="13"/>
    </row>
    <row r="3" spans="1:77" s="5" customFormat="1" ht="15.75" customHeight="1">
      <c r="A3" s="273"/>
      <c r="B3" s="800"/>
      <c r="C3" s="380"/>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80"/>
      <c r="AR3" s="380"/>
      <c r="AS3" s="380"/>
      <c r="AT3" s="380"/>
      <c r="AU3" s="380"/>
      <c r="AV3" s="380"/>
      <c r="AW3" s="380"/>
      <c r="AX3" s="801"/>
      <c r="AY3" s="801"/>
      <c r="AZ3" s="801"/>
      <c r="BA3" s="801"/>
      <c r="BB3" s="801"/>
      <c r="BC3" s="801"/>
      <c r="BD3" s="801"/>
      <c r="BE3" s="801"/>
      <c r="BF3" s="801"/>
      <c r="BG3" s="106"/>
      <c r="BH3" s="106"/>
      <c r="BX3" s="13"/>
    </row>
    <row r="4" spans="1:77" s="5" customFormat="1" ht="15.75" customHeight="1">
      <c r="A4" s="273"/>
      <c r="B4" s="348" t="s">
        <v>48</v>
      </c>
      <c r="C4" s="2224" t="s">
        <v>1119</v>
      </c>
      <c r="D4" s="2224"/>
      <c r="E4" s="2224"/>
      <c r="F4" s="2224"/>
      <c r="G4" s="2224"/>
      <c r="H4" s="2224"/>
      <c r="I4" s="2224"/>
      <c r="J4" s="2224"/>
      <c r="K4" s="2224"/>
      <c r="L4" s="2224"/>
      <c r="M4" s="2224"/>
      <c r="N4" s="2224"/>
      <c r="O4" s="2224"/>
      <c r="P4" s="2224"/>
      <c r="Q4" s="2224"/>
      <c r="R4" s="2224"/>
      <c r="S4" s="2224"/>
      <c r="T4" s="2224"/>
      <c r="U4" s="2224"/>
      <c r="V4" s="2224"/>
      <c r="W4" s="2224"/>
      <c r="X4" s="2224"/>
      <c r="Y4" s="2224"/>
      <c r="Z4" s="2224"/>
      <c r="AA4" s="2224"/>
      <c r="AB4" s="2224"/>
      <c r="AC4" s="2224"/>
      <c r="AD4" s="2224"/>
      <c r="AE4" s="2224"/>
      <c r="AF4" s="2224"/>
      <c r="AG4" s="2224"/>
      <c r="AH4" s="2224"/>
      <c r="AI4" s="2224"/>
      <c r="AJ4" s="2224"/>
      <c r="AK4" s="2224"/>
      <c r="AL4" s="2224"/>
      <c r="AM4" s="2224"/>
      <c r="AN4" s="2224"/>
      <c r="AO4" s="2224"/>
      <c r="AP4" s="2224"/>
      <c r="AQ4" s="2224"/>
      <c r="AR4" s="2224"/>
      <c r="AS4" s="2224"/>
      <c r="AT4" s="2224"/>
      <c r="AU4" s="2224"/>
      <c r="AV4" s="2224"/>
      <c r="AW4" s="2224"/>
      <c r="AX4" s="2224"/>
      <c r="AY4" s="2224"/>
      <c r="AZ4" s="801"/>
      <c r="BA4" s="801"/>
      <c r="BB4" s="801"/>
      <c r="BC4" s="801"/>
      <c r="BD4" s="801"/>
      <c r="BE4" s="801"/>
      <c r="BF4" s="801"/>
      <c r="BG4" s="106"/>
      <c r="BH4" s="106"/>
      <c r="BX4" s="13"/>
    </row>
    <row r="5" spans="1:77" s="5" customFormat="1" ht="15.75" customHeight="1">
      <c r="A5" s="273"/>
      <c r="B5" s="348" t="s">
        <v>49</v>
      </c>
      <c r="C5" s="2224" t="s">
        <v>1120</v>
      </c>
      <c r="D5" s="2224"/>
      <c r="E5" s="2224"/>
      <c r="F5" s="2224"/>
      <c r="G5" s="2224"/>
      <c r="H5" s="2224"/>
      <c r="I5" s="2224"/>
      <c r="J5" s="2224"/>
      <c r="K5" s="2224"/>
      <c r="L5" s="2224"/>
      <c r="M5" s="2224"/>
      <c r="N5" s="2224"/>
      <c r="O5" s="2224"/>
      <c r="P5" s="2224"/>
      <c r="Q5" s="2224"/>
      <c r="R5" s="2224"/>
      <c r="S5" s="2224"/>
      <c r="T5" s="2224"/>
      <c r="U5" s="2224"/>
      <c r="V5" s="2224"/>
      <c r="W5" s="2224"/>
      <c r="X5" s="2224"/>
      <c r="Y5" s="2224"/>
      <c r="Z5" s="2224"/>
      <c r="AA5" s="2224"/>
      <c r="AB5" s="2224"/>
      <c r="AC5" s="2224"/>
      <c r="AD5" s="2224"/>
      <c r="AE5" s="2224"/>
      <c r="AF5" s="2224"/>
      <c r="AG5" s="2224"/>
      <c r="AH5" s="2224"/>
      <c r="AI5" s="2224"/>
      <c r="AJ5" s="2224"/>
      <c r="AK5" s="2224"/>
      <c r="AL5" s="2224"/>
      <c r="AM5" s="2224"/>
      <c r="AN5" s="2224"/>
      <c r="AO5" s="2224"/>
      <c r="AP5" s="2224"/>
      <c r="AQ5" s="2224"/>
      <c r="AR5" s="2224"/>
      <c r="AS5" s="2224"/>
      <c r="AT5" s="2224"/>
      <c r="AU5" s="2224"/>
      <c r="AV5" s="2224"/>
      <c r="AW5" s="2224"/>
      <c r="AX5" s="2224"/>
      <c r="AY5" s="2224"/>
      <c r="AZ5" s="937"/>
      <c r="BA5" s="937"/>
      <c r="BB5" s="937"/>
      <c r="BC5" s="937"/>
      <c r="BD5" s="937"/>
      <c r="BE5" s="937"/>
      <c r="BF5" s="937"/>
      <c r="BG5" s="107"/>
      <c r="BH5" s="107"/>
      <c r="BI5" s="107"/>
      <c r="BY5" s="13"/>
    </row>
    <row r="6" spans="1:77" s="5" customFormat="1" ht="15.75" customHeight="1">
      <c r="A6" s="273"/>
      <c r="B6" s="938"/>
      <c r="C6" s="375" t="s">
        <v>276</v>
      </c>
      <c r="D6" s="2224" t="s">
        <v>1121</v>
      </c>
      <c r="E6" s="2224"/>
      <c r="F6" s="2224"/>
      <c r="G6" s="2224"/>
      <c r="H6" s="2224"/>
      <c r="I6" s="2224"/>
      <c r="J6" s="2224"/>
      <c r="K6" s="2224"/>
      <c r="L6" s="2224"/>
      <c r="M6" s="2224"/>
      <c r="N6" s="2224"/>
      <c r="O6" s="2224"/>
      <c r="P6" s="2224"/>
      <c r="Q6" s="2224"/>
      <c r="R6" s="2224"/>
      <c r="S6" s="2224"/>
      <c r="T6" s="2224"/>
      <c r="U6" s="2224"/>
      <c r="V6" s="2224"/>
      <c r="W6" s="2224"/>
      <c r="X6" s="2224"/>
      <c r="Y6" s="2224"/>
      <c r="Z6" s="2224"/>
      <c r="AA6" s="2224"/>
      <c r="AB6" s="2224"/>
      <c r="AC6" s="2224"/>
      <c r="AD6" s="2224"/>
      <c r="AE6" s="2224"/>
      <c r="AF6" s="2224"/>
      <c r="AG6" s="2224"/>
      <c r="AH6" s="2224"/>
      <c r="AI6" s="2224"/>
      <c r="AJ6" s="2224"/>
      <c r="AK6" s="2224"/>
      <c r="AL6" s="2224"/>
      <c r="AM6" s="2224"/>
      <c r="AN6" s="2224"/>
      <c r="AO6" s="2224"/>
      <c r="AP6" s="2224"/>
      <c r="AQ6" s="2224"/>
      <c r="AR6" s="2224"/>
      <c r="AS6" s="2224"/>
      <c r="AT6" s="2224"/>
      <c r="AU6" s="2224"/>
      <c r="AV6" s="2224"/>
      <c r="AW6" s="2224"/>
      <c r="AX6" s="2224"/>
      <c r="AY6" s="2224"/>
      <c r="AZ6" s="937"/>
      <c r="BA6" s="937"/>
      <c r="BB6" s="937"/>
      <c r="BC6" s="937"/>
      <c r="BD6" s="937"/>
      <c r="BE6" s="937"/>
      <c r="BF6" s="937"/>
      <c r="BG6" s="107"/>
      <c r="BH6" s="107"/>
      <c r="BI6" s="107"/>
      <c r="BY6" s="13"/>
    </row>
    <row r="7" spans="1:77" s="11" customFormat="1" ht="15.75" customHeight="1">
      <c r="A7" s="430"/>
      <c r="B7" s="938"/>
      <c r="C7" s="380"/>
      <c r="D7" s="380" t="s">
        <v>528</v>
      </c>
      <c r="E7" s="3007" t="s">
        <v>1122</v>
      </c>
      <c r="F7" s="3007"/>
      <c r="G7" s="3007"/>
      <c r="H7" s="3007"/>
      <c r="I7" s="3007"/>
      <c r="J7" s="3007"/>
      <c r="K7" s="3007"/>
      <c r="L7" s="3007"/>
      <c r="M7" s="3007"/>
      <c r="N7" s="3007"/>
      <c r="O7" s="3007"/>
      <c r="P7" s="3007"/>
      <c r="Q7" s="3007"/>
      <c r="R7" s="3007"/>
      <c r="S7" s="3007"/>
      <c r="T7" s="3007"/>
      <c r="U7" s="3007"/>
      <c r="V7" s="3007"/>
      <c r="W7" s="3007"/>
      <c r="X7" s="3007"/>
      <c r="Y7" s="3007"/>
      <c r="Z7" s="3007"/>
      <c r="AA7" s="3007"/>
      <c r="AB7" s="3007"/>
      <c r="AC7" s="3007"/>
      <c r="AD7" s="3007"/>
      <c r="AE7" s="3007"/>
      <c r="AF7" s="3007"/>
      <c r="AG7" s="3007"/>
      <c r="AH7" s="3007"/>
      <c r="AI7" s="3007"/>
      <c r="AJ7" s="3007"/>
      <c r="AK7" s="3007"/>
      <c r="AL7" s="3007"/>
      <c r="AM7" s="3007"/>
      <c r="AN7" s="3007"/>
      <c r="AO7" s="3007"/>
      <c r="AP7" s="3007"/>
      <c r="AQ7" s="3007"/>
      <c r="AR7" s="3007"/>
      <c r="AS7" s="3007"/>
      <c r="AT7" s="3007"/>
      <c r="AU7" s="3007"/>
      <c r="AV7" s="3007"/>
      <c r="AW7" s="3007"/>
      <c r="AX7" s="3007"/>
      <c r="AY7" s="3007"/>
      <c r="AZ7" s="376"/>
      <c r="BA7" s="376"/>
      <c r="BB7" s="376"/>
      <c r="BC7" s="376"/>
      <c r="BD7" s="376"/>
      <c r="BE7" s="376"/>
      <c r="BF7" s="376"/>
      <c r="BG7" s="163"/>
      <c r="BH7" s="163"/>
      <c r="BX7" s="14"/>
    </row>
    <row r="8" spans="1:77" s="5" customFormat="1" ht="32.25" customHeight="1">
      <c r="A8" s="273"/>
      <c r="B8" s="938"/>
      <c r="C8" s="380"/>
      <c r="D8" s="380" t="s">
        <v>529</v>
      </c>
      <c r="E8" s="3007" t="s">
        <v>1123</v>
      </c>
      <c r="F8" s="3007"/>
      <c r="G8" s="3007"/>
      <c r="H8" s="3007"/>
      <c r="I8" s="3007"/>
      <c r="J8" s="3007"/>
      <c r="K8" s="3007"/>
      <c r="L8" s="3007"/>
      <c r="M8" s="3007"/>
      <c r="N8" s="3007"/>
      <c r="O8" s="3007"/>
      <c r="P8" s="3007"/>
      <c r="Q8" s="3007"/>
      <c r="R8" s="3007"/>
      <c r="S8" s="3007"/>
      <c r="T8" s="3007"/>
      <c r="U8" s="3007"/>
      <c r="V8" s="3007"/>
      <c r="W8" s="3007"/>
      <c r="X8" s="3007"/>
      <c r="Y8" s="3007"/>
      <c r="Z8" s="3007"/>
      <c r="AA8" s="3007"/>
      <c r="AB8" s="3007"/>
      <c r="AC8" s="3007"/>
      <c r="AD8" s="3007"/>
      <c r="AE8" s="3007"/>
      <c r="AF8" s="3007"/>
      <c r="AG8" s="3007"/>
      <c r="AH8" s="3007"/>
      <c r="AI8" s="3007"/>
      <c r="AJ8" s="3007"/>
      <c r="AK8" s="3007"/>
      <c r="AL8" s="3007"/>
      <c r="AM8" s="3007"/>
      <c r="AN8" s="3007"/>
      <c r="AO8" s="3007"/>
      <c r="AP8" s="3007"/>
      <c r="AQ8" s="3007"/>
      <c r="AR8" s="3007"/>
      <c r="AS8" s="3007"/>
      <c r="AT8" s="3007"/>
      <c r="AU8" s="3007"/>
      <c r="AV8" s="3007"/>
      <c r="AW8" s="3007"/>
      <c r="AX8" s="3007"/>
      <c r="AY8" s="3007"/>
      <c r="AZ8" s="937"/>
      <c r="BA8" s="937"/>
      <c r="BB8" s="937"/>
      <c r="BC8" s="937"/>
      <c r="BD8" s="937"/>
      <c r="BE8" s="937"/>
      <c r="BF8" s="937"/>
      <c r="BG8" s="107"/>
      <c r="BH8" s="107"/>
      <c r="BX8" s="13"/>
    </row>
    <row r="9" spans="1:77" s="5" customFormat="1" ht="15.75" customHeight="1">
      <c r="A9" s="273"/>
      <c r="B9" s="938"/>
      <c r="C9" s="380"/>
      <c r="D9" s="380" t="s">
        <v>530</v>
      </c>
      <c r="E9" s="3007" t="s">
        <v>1124</v>
      </c>
      <c r="F9" s="3007"/>
      <c r="G9" s="3007"/>
      <c r="H9" s="3007"/>
      <c r="I9" s="3007"/>
      <c r="J9" s="3007"/>
      <c r="K9" s="3007"/>
      <c r="L9" s="3007"/>
      <c r="M9" s="3007"/>
      <c r="N9" s="3007"/>
      <c r="O9" s="3007"/>
      <c r="P9" s="3007"/>
      <c r="Q9" s="3007"/>
      <c r="R9" s="3007"/>
      <c r="S9" s="3007"/>
      <c r="T9" s="3007"/>
      <c r="U9" s="3007"/>
      <c r="V9" s="3007"/>
      <c r="W9" s="3007"/>
      <c r="X9" s="3007"/>
      <c r="Y9" s="3007"/>
      <c r="Z9" s="3007"/>
      <c r="AA9" s="3007"/>
      <c r="AB9" s="3007"/>
      <c r="AC9" s="3007"/>
      <c r="AD9" s="3007"/>
      <c r="AE9" s="3007"/>
      <c r="AF9" s="3007"/>
      <c r="AG9" s="3007"/>
      <c r="AH9" s="3007"/>
      <c r="AI9" s="3007"/>
      <c r="AJ9" s="3007"/>
      <c r="AK9" s="3007"/>
      <c r="AL9" s="3007"/>
      <c r="AM9" s="3007"/>
      <c r="AN9" s="3007"/>
      <c r="AO9" s="3007"/>
      <c r="AP9" s="3007"/>
      <c r="AQ9" s="3007"/>
      <c r="AR9" s="3007"/>
      <c r="AS9" s="3007"/>
      <c r="AT9" s="3007"/>
      <c r="AU9" s="3007"/>
      <c r="AV9" s="3007"/>
      <c r="AW9" s="3007"/>
      <c r="AX9" s="3007"/>
      <c r="AY9" s="3007"/>
      <c r="AZ9" s="939"/>
      <c r="BA9" s="939"/>
      <c r="BB9" s="939"/>
      <c r="BC9" s="939"/>
      <c r="BD9" s="939"/>
      <c r="BE9" s="939"/>
      <c r="BF9" s="939"/>
      <c r="BG9" s="108"/>
      <c r="BH9" s="108"/>
      <c r="BX9" s="13"/>
    </row>
    <row r="10" spans="1:77" s="5" customFormat="1" ht="14.1" customHeight="1">
      <c r="A10" s="273"/>
      <c r="B10" s="938"/>
      <c r="C10" s="380"/>
      <c r="D10" s="380" t="s">
        <v>531</v>
      </c>
      <c r="E10" s="3007" t="s">
        <v>1125</v>
      </c>
      <c r="F10" s="3007"/>
      <c r="G10" s="3007"/>
      <c r="H10" s="3007"/>
      <c r="I10" s="3007"/>
      <c r="J10" s="3007"/>
      <c r="K10" s="3007"/>
      <c r="L10" s="3007"/>
      <c r="M10" s="3007"/>
      <c r="N10" s="3007"/>
      <c r="O10" s="3007"/>
      <c r="P10" s="3007"/>
      <c r="Q10" s="3007"/>
      <c r="R10" s="3007"/>
      <c r="S10" s="3007"/>
      <c r="T10" s="3007"/>
      <c r="U10" s="3007"/>
      <c r="V10" s="3007"/>
      <c r="W10" s="3007"/>
      <c r="X10" s="3007"/>
      <c r="Y10" s="3007"/>
      <c r="Z10" s="3007"/>
      <c r="AA10" s="3007"/>
      <c r="AB10" s="3007"/>
      <c r="AC10" s="3007"/>
      <c r="AD10" s="3007"/>
      <c r="AE10" s="3007"/>
      <c r="AF10" s="3007"/>
      <c r="AG10" s="3007"/>
      <c r="AH10" s="3007"/>
      <c r="AI10" s="3007"/>
      <c r="AJ10" s="3007"/>
      <c r="AK10" s="3007"/>
      <c r="AL10" s="3007"/>
      <c r="AM10" s="3007"/>
      <c r="AN10" s="3007"/>
      <c r="AO10" s="3007"/>
      <c r="AP10" s="3007"/>
      <c r="AQ10" s="3007"/>
      <c r="AR10" s="3007"/>
      <c r="AS10" s="3007"/>
      <c r="AT10" s="3007"/>
      <c r="AU10" s="3007"/>
      <c r="AV10" s="3007"/>
      <c r="AW10" s="3007"/>
      <c r="AX10" s="3007"/>
      <c r="AY10" s="3007"/>
      <c r="AZ10" s="939"/>
      <c r="BA10" s="939"/>
      <c r="BB10" s="939"/>
      <c r="BC10" s="939"/>
      <c r="BD10" s="939"/>
      <c r="BE10" s="939"/>
      <c r="BF10" s="939"/>
      <c r="BG10" s="108"/>
      <c r="BH10" s="108"/>
      <c r="BX10" s="13"/>
    </row>
    <row r="11" spans="1:77" s="5" customFormat="1" ht="14.1" customHeight="1">
      <c r="A11" s="273"/>
      <c r="B11" s="938"/>
      <c r="C11" s="375" t="s">
        <v>277</v>
      </c>
      <c r="D11" s="2224" t="s">
        <v>1126</v>
      </c>
      <c r="E11" s="2224"/>
      <c r="F11" s="2224"/>
      <c r="G11" s="2224"/>
      <c r="H11" s="2224"/>
      <c r="I11" s="2224"/>
      <c r="J11" s="2224"/>
      <c r="K11" s="2224"/>
      <c r="L11" s="2224"/>
      <c r="M11" s="2224"/>
      <c r="N11" s="2224"/>
      <c r="O11" s="2224"/>
      <c r="P11" s="2224"/>
      <c r="Q11" s="2224"/>
      <c r="R11" s="2224"/>
      <c r="S11" s="2224"/>
      <c r="T11" s="2224"/>
      <c r="U11" s="2224"/>
      <c r="V11" s="2224"/>
      <c r="W11" s="2224"/>
      <c r="X11" s="2224"/>
      <c r="Y11" s="2224"/>
      <c r="Z11" s="2224"/>
      <c r="AA11" s="2224"/>
      <c r="AB11" s="2224"/>
      <c r="AC11" s="2224"/>
      <c r="AD11" s="2224"/>
      <c r="AE11" s="2224"/>
      <c r="AF11" s="2224"/>
      <c r="AG11" s="2224"/>
      <c r="AH11" s="2224"/>
      <c r="AI11" s="2224"/>
      <c r="AJ11" s="2224"/>
      <c r="AK11" s="2224"/>
      <c r="AL11" s="2224"/>
      <c r="AM11" s="2224"/>
      <c r="AN11" s="2224"/>
      <c r="AO11" s="2224"/>
      <c r="AP11" s="2224"/>
      <c r="AQ11" s="2224"/>
      <c r="AR11" s="2224"/>
      <c r="AS11" s="2224"/>
      <c r="AT11" s="2224"/>
      <c r="AU11" s="2224"/>
      <c r="AV11" s="2224"/>
      <c r="AW11" s="2224"/>
      <c r="AX11" s="2224"/>
      <c r="AY11" s="2224"/>
      <c r="AZ11" s="939"/>
      <c r="BA11" s="939"/>
      <c r="BB11" s="939"/>
      <c r="BC11" s="939"/>
      <c r="BD11" s="939"/>
      <c r="BE11" s="939"/>
      <c r="BF11" s="939"/>
      <c r="BG11" s="108"/>
      <c r="BH11" s="12"/>
      <c r="BX11" s="13"/>
    </row>
    <row r="12" spans="1:77" s="5" customFormat="1" ht="14.1" customHeight="1">
      <c r="A12" s="273"/>
      <c r="B12" s="938"/>
      <c r="C12" s="375" t="s">
        <v>278</v>
      </c>
      <c r="D12" s="2224" t="s">
        <v>1127</v>
      </c>
      <c r="E12" s="2224"/>
      <c r="F12" s="2224"/>
      <c r="G12" s="2224"/>
      <c r="H12" s="2224"/>
      <c r="I12" s="2224"/>
      <c r="J12" s="2224"/>
      <c r="K12" s="2224"/>
      <c r="L12" s="2224"/>
      <c r="M12" s="2224"/>
      <c r="N12" s="2224"/>
      <c r="O12" s="2224"/>
      <c r="P12" s="2224"/>
      <c r="Q12" s="2224"/>
      <c r="R12" s="2224"/>
      <c r="S12" s="2224"/>
      <c r="T12" s="2224"/>
      <c r="U12" s="2224"/>
      <c r="V12" s="2224"/>
      <c r="W12" s="2224"/>
      <c r="X12" s="2224"/>
      <c r="Y12" s="2224"/>
      <c r="Z12" s="2224"/>
      <c r="AA12" s="2224"/>
      <c r="AB12" s="2224"/>
      <c r="AC12" s="2224"/>
      <c r="AD12" s="2224"/>
      <c r="AE12" s="2224"/>
      <c r="AF12" s="2224"/>
      <c r="AG12" s="2224"/>
      <c r="AH12" s="2224"/>
      <c r="AI12" s="2224"/>
      <c r="AJ12" s="2224"/>
      <c r="AK12" s="2224"/>
      <c r="AL12" s="2224"/>
      <c r="AM12" s="2224"/>
      <c r="AN12" s="2224"/>
      <c r="AO12" s="2224"/>
      <c r="AP12" s="2224"/>
      <c r="AQ12" s="2224"/>
      <c r="AR12" s="2224"/>
      <c r="AS12" s="2224"/>
      <c r="AT12" s="2224"/>
      <c r="AU12" s="2224"/>
      <c r="AV12" s="2224"/>
      <c r="AW12" s="2224"/>
      <c r="AX12" s="2224"/>
      <c r="AY12" s="2224"/>
      <c r="AZ12" s="939"/>
      <c r="BA12" s="939"/>
      <c r="BB12" s="939"/>
      <c r="BC12" s="939"/>
      <c r="BD12" s="939"/>
      <c r="BE12" s="939"/>
      <c r="BF12" s="939"/>
      <c r="BG12" s="108"/>
      <c r="BH12" s="12"/>
      <c r="BX12" s="13"/>
    </row>
    <row r="13" spans="1:77" s="5" customFormat="1" ht="14.1" customHeight="1">
      <c r="A13" s="273"/>
      <c r="B13" s="938"/>
      <c r="C13" s="375" t="s">
        <v>518</v>
      </c>
      <c r="D13" s="2224" t="s">
        <v>1128</v>
      </c>
      <c r="E13" s="2224"/>
      <c r="F13" s="2224"/>
      <c r="G13" s="2224"/>
      <c r="H13" s="2224"/>
      <c r="I13" s="2224"/>
      <c r="J13" s="2224"/>
      <c r="K13" s="2224"/>
      <c r="L13" s="2224"/>
      <c r="M13" s="2224"/>
      <c r="N13" s="2224"/>
      <c r="O13" s="2224"/>
      <c r="P13" s="2224"/>
      <c r="Q13" s="2224"/>
      <c r="R13" s="2224"/>
      <c r="S13" s="2224"/>
      <c r="T13" s="2224"/>
      <c r="U13" s="2224"/>
      <c r="V13" s="2224"/>
      <c r="W13" s="2224"/>
      <c r="X13" s="2224"/>
      <c r="Y13" s="2224"/>
      <c r="Z13" s="2224"/>
      <c r="AA13" s="2224"/>
      <c r="AB13" s="2224"/>
      <c r="AC13" s="2224"/>
      <c r="AD13" s="2224"/>
      <c r="AE13" s="2224"/>
      <c r="AF13" s="2224"/>
      <c r="AG13" s="2224"/>
      <c r="AH13" s="2224"/>
      <c r="AI13" s="2224"/>
      <c r="AJ13" s="2224"/>
      <c r="AK13" s="2224"/>
      <c r="AL13" s="2224"/>
      <c r="AM13" s="2224"/>
      <c r="AN13" s="2224"/>
      <c r="AO13" s="2224"/>
      <c r="AP13" s="2224"/>
      <c r="AQ13" s="2224"/>
      <c r="AR13" s="2224"/>
      <c r="AS13" s="2224"/>
      <c r="AT13" s="2224"/>
      <c r="AU13" s="2224"/>
      <c r="AV13" s="2224"/>
      <c r="AW13" s="2224"/>
      <c r="AX13" s="2224"/>
      <c r="AY13" s="2224"/>
      <c r="AZ13" s="939"/>
      <c r="BA13" s="939"/>
      <c r="BB13" s="939"/>
      <c r="BC13" s="939"/>
      <c r="BD13" s="939"/>
      <c r="BE13" s="939"/>
      <c r="BF13" s="939"/>
      <c r="BG13" s="108"/>
      <c r="BH13" s="12"/>
      <c r="BX13" s="13"/>
    </row>
    <row r="14" spans="1:77" s="5" customFormat="1" ht="14.1" customHeight="1">
      <c r="A14" s="273"/>
      <c r="B14" s="938"/>
      <c r="C14" s="375" t="s">
        <v>519</v>
      </c>
      <c r="D14" s="2224" t="s">
        <v>1129</v>
      </c>
      <c r="E14" s="2224"/>
      <c r="F14" s="2224"/>
      <c r="G14" s="2224"/>
      <c r="H14" s="2224"/>
      <c r="I14" s="2224"/>
      <c r="J14" s="2224"/>
      <c r="K14" s="2224"/>
      <c r="L14" s="2224"/>
      <c r="M14" s="2224"/>
      <c r="N14" s="2224"/>
      <c r="O14" s="2224"/>
      <c r="P14" s="2224"/>
      <c r="Q14" s="2224"/>
      <c r="R14" s="2224"/>
      <c r="S14" s="2224"/>
      <c r="T14" s="2224"/>
      <c r="U14" s="2224"/>
      <c r="V14" s="2224"/>
      <c r="W14" s="2224"/>
      <c r="X14" s="2224"/>
      <c r="Y14" s="2224"/>
      <c r="Z14" s="2224"/>
      <c r="AA14" s="2224"/>
      <c r="AB14" s="2224"/>
      <c r="AC14" s="2224"/>
      <c r="AD14" s="2224"/>
      <c r="AE14" s="2224"/>
      <c r="AF14" s="2224"/>
      <c r="AG14" s="2224"/>
      <c r="AH14" s="2224"/>
      <c r="AI14" s="2224"/>
      <c r="AJ14" s="2224"/>
      <c r="AK14" s="2224"/>
      <c r="AL14" s="2224"/>
      <c r="AM14" s="2224"/>
      <c r="AN14" s="2224"/>
      <c r="AO14" s="2224"/>
      <c r="AP14" s="2224"/>
      <c r="AQ14" s="2224"/>
      <c r="AR14" s="2224"/>
      <c r="AS14" s="2224"/>
      <c r="AT14" s="2224"/>
      <c r="AU14" s="2224"/>
      <c r="AV14" s="2224"/>
      <c r="AW14" s="2224"/>
      <c r="AX14" s="2224"/>
      <c r="AY14" s="2224"/>
      <c r="AZ14" s="939"/>
      <c r="BA14" s="939"/>
      <c r="BB14" s="939"/>
      <c r="BC14" s="939"/>
      <c r="BD14" s="939"/>
      <c r="BE14" s="939"/>
      <c r="BF14" s="939"/>
      <c r="BG14" s="108"/>
      <c r="BH14" s="12"/>
      <c r="BX14" s="13"/>
    </row>
    <row r="15" spans="1:77" s="5" customFormat="1" ht="45.6" customHeight="1">
      <c r="A15" s="273"/>
      <c r="B15" s="348" t="s">
        <v>50</v>
      </c>
      <c r="C15" s="2224" t="s">
        <v>1130</v>
      </c>
      <c r="D15" s="2224"/>
      <c r="E15" s="2224"/>
      <c r="F15" s="2224"/>
      <c r="G15" s="2224"/>
      <c r="H15" s="2224"/>
      <c r="I15" s="2224"/>
      <c r="J15" s="2224"/>
      <c r="K15" s="2224"/>
      <c r="L15" s="2224"/>
      <c r="M15" s="2224"/>
      <c r="N15" s="2224"/>
      <c r="O15" s="2224"/>
      <c r="P15" s="2224"/>
      <c r="Q15" s="2224"/>
      <c r="R15" s="2224"/>
      <c r="S15" s="2224"/>
      <c r="T15" s="2224"/>
      <c r="U15" s="2224"/>
      <c r="V15" s="2224"/>
      <c r="W15" s="2224"/>
      <c r="X15" s="2224"/>
      <c r="Y15" s="2224"/>
      <c r="Z15" s="2224"/>
      <c r="AA15" s="2224"/>
      <c r="AB15" s="2224"/>
      <c r="AC15" s="2224"/>
      <c r="AD15" s="2224"/>
      <c r="AE15" s="2224"/>
      <c r="AF15" s="2224"/>
      <c r="AG15" s="2224"/>
      <c r="AH15" s="2224"/>
      <c r="AI15" s="2224"/>
      <c r="AJ15" s="2224"/>
      <c r="AK15" s="2224"/>
      <c r="AL15" s="2224"/>
      <c r="AM15" s="2224"/>
      <c r="AN15" s="2224"/>
      <c r="AO15" s="2224"/>
      <c r="AP15" s="2224"/>
      <c r="AQ15" s="2224"/>
      <c r="AR15" s="2224"/>
      <c r="AS15" s="2224"/>
      <c r="AT15" s="2224"/>
      <c r="AU15" s="2224"/>
      <c r="AV15" s="2224"/>
      <c r="AW15" s="2224"/>
      <c r="AX15" s="2224"/>
      <c r="AY15" s="2224"/>
      <c r="AZ15" s="937"/>
      <c r="BA15" s="937"/>
      <c r="BB15" s="937"/>
      <c r="BC15" s="937"/>
      <c r="BD15" s="937"/>
      <c r="BE15" s="937"/>
      <c r="BF15" s="937"/>
      <c r="BG15" s="107"/>
      <c r="BH15" s="107"/>
      <c r="BX15" s="13"/>
    </row>
    <row r="16" spans="1:77" s="5" customFormat="1" ht="30.75" customHeight="1">
      <c r="A16" s="273"/>
      <c r="B16" s="938"/>
      <c r="C16" s="375" t="s">
        <v>276</v>
      </c>
      <c r="D16" s="2224" t="s">
        <v>11363</v>
      </c>
      <c r="E16" s="2224"/>
      <c r="F16" s="2224"/>
      <c r="G16" s="2224"/>
      <c r="H16" s="2224"/>
      <c r="I16" s="2224"/>
      <c r="J16" s="2224"/>
      <c r="K16" s="2224"/>
      <c r="L16" s="2224"/>
      <c r="M16" s="2224"/>
      <c r="N16" s="2224"/>
      <c r="O16" s="2224"/>
      <c r="P16" s="2224"/>
      <c r="Q16" s="2224"/>
      <c r="R16" s="2224"/>
      <c r="S16" s="2224"/>
      <c r="T16" s="2224"/>
      <c r="U16" s="2224"/>
      <c r="V16" s="2224"/>
      <c r="W16" s="2224"/>
      <c r="X16" s="2224"/>
      <c r="Y16" s="2224"/>
      <c r="Z16" s="2224"/>
      <c r="AA16" s="2224"/>
      <c r="AB16" s="2224"/>
      <c r="AC16" s="2224"/>
      <c r="AD16" s="2224"/>
      <c r="AE16" s="2224"/>
      <c r="AF16" s="2224"/>
      <c r="AG16" s="2224"/>
      <c r="AH16" s="2224"/>
      <c r="AI16" s="2224"/>
      <c r="AJ16" s="2224"/>
      <c r="AK16" s="2224"/>
      <c r="AL16" s="2224"/>
      <c r="AM16" s="2224"/>
      <c r="AN16" s="2224"/>
      <c r="AO16" s="2224"/>
      <c r="AP16" s="2224"/>
      <c r="AQ16" s="2224"/>
      <c r="AR16" s="2224"/>
      <c r="AS16" s="2224"/>
      <c r="AT16" s="2224"/>
      <c r="AU16" s="2224"/>
      <c r="AV16" s="2224"/>
      <c r="AW16" s="2224"/>
      <c r="AX16" s="2224"/>
      <c r="AY16" s="2224"/>
      <c r="AZ16" s="937"/>
      <c r="BA16" s="937"/>
      <c r="BB16" s="937"/>
      <c r="BC16" s="937"/>
      <c r="BD16" s="937"/>
      <c r="BE16" s="937"/>
      <c r="BF16" s="937"/>
      <c r="BG16" s="107"/>
      <c r="BH16" s="107"/>
      <c r="BX16" s="13"/>
    </row>
    <row r="17" spans="1:76" s="5" customFormat="1" ht="32.25" customHeight="1">
      <c r="A17" s="273"/>
      <c r="B17" s="348" t="s">
        <v>51</v>
      </c>
      <c r="C17" s="2224" t="s">
        <v>1131</v>
      </c>
      <c r="D17" s="2224"/>
      <c r="E17" s="2224"/>
      <c r="F17" s="2224"/>
      <c r="G17" s="2224"/>
      <c r="H17" s="2224"/>
      <c r="I17" s="2224"/>
      <c r="J17" s="2224"/>
      <c r="K17" s="2224"/>
      <c r="L17" s="2224"/>
      <c r="M17" s="2224"/>
      <c r="N17" s="2224"/>
      <c r="O17" s="2224"/>
      <c r="P17" s="2224"/>
      <c r="Q17" s="2224"/>
      <c r="R17" s="2224"/>
      <c r="S17" s="2224"/>
      <c r="T17" s="2224"/>
      <c r="U17" s="2224"/>
      <c r="V17" s="2224"/>
      <c r="W17" s="2224"/>
      <c r="X17" s="2224"/>
      <c r="Y17" s="2224"/>
      <c r="Z17" s="2224"/>
      <c r="AA17" s="2224"/>
      <c r="AB17" s="2224"/>
      <c r="AC17" s="2224"/>
      <c r="AD17" s="2224"/>
      <c r="AE17" s="2224"/>
      <c r="AF17" s="2224"/>
      <c r="AG17" s="2224"/>
      <c r="AH17" s="2224"/>
      <c r="AI17" s="2224"/>
      <c r="AJ17" s="2224"/>
      <c r="AK17" s="2224"/>
      <c r="AL17" s="2224"/>
      <c r="AM17" s="2224"/>
      <c r="AN17" s="2224"/>
      <c r="AO17" s="2224"/>
      <c r="AP17" s="2224"/>
      <c r="AQ17" s="2224"/>
      <c r="AR17" s="2224"/>
      <c r="AS17" s="2224"/>
      <c r="AT17" s="2224"/>
      <c r="AU17" s="2224"/>
      <c r="AV17" s="2224"/>
      <c r="AW17" s="2224"/>
      <c r="AX17" s="2224"/>
      <c r="AY17" s="2224"/>
      <c r="AZ17" s="937"/>
      <c r="BA17" s="937"/>
      <c r="BB17" s="937"/>
      <c r="BC17" s="937"/>
      <c r="BD17" s="937"/>
      <c r="BE17" s="937"/>
      <c r="BF17" s="937"/>
      <c r="BG17" s="107"/>
      <c r="BH17" s="107"/>
      <c r="BX17" s="13"/>
    </row>
    <row r="18" spans="1:76" s="5" customFormat="1" ht="14.1" customHeight="1">
      <c r="A18" s="273"/>
      <c r="B18" s="938"/>
      <c r="C18" s="375" t="s">
        <v>276</v>
      </c>
      <c r="D18" s="2224" t="s">
        <v>1132</v>
      </c>
      <c r="E18" s="2224"/>
      <c r="F18" s="2224"/>
      <c r="G18" s="2224"/>
      <c r="H18" s="2224"/>
      <c r="I18" s="2224"/>
      <c r="J18" s="2224"/>
      <c r="K18" s="2224"/>
      <c r="L18" s="2224"/>
      <c r="M18" s="2224"/>
      <c r="N18" s="2224"/>
      <c r="O18" s="2224"/>
      <c r="P18" s="2224"/>
      <c r="Q18" s="2224"/>
      <c r="R18" s="2224"/>
      <c r="S18" s="2224"/>
      <c r="T18" s="2224"/>
      <c r="U18" s="2224"/>
      <c r="V18" s="2224"/>
      <c r="W18" s="2224"/>
      <c r="X18" s="2224"/>
      <c r="Y18" s="2224"/>
      <c r="Z18" s="2224"/>
      <c r="AA18" s="2224"/>
      <c r="AB18" s="2224"/>
      <c r="AC18" s="2224"/>
      <c r="AD18" s="2224"/>
      <c r="AE18" s="2224"/>
      <c r="AF18" s="2224"/>
      <c r="AG18" s="2224"/>
      <c r="AH18" s="2224"/>
      <c r="AI18" s="2224"/>
      <c r="AJ18" s="2224"/>
      <c r="AK18" s="2224"/>
      <c r="AL18" s="2224"/>
      <c r="AM18" s="2224"/>
      <c r="AN18" s="2224"/>
      <c r="AO18" s="2224"/>
      <c r="AP18" s="2224"/>
      <c r="AQ18" s="2224"/>
      <c r="AR18" s="2224"/>
      <c r="AS18" s="2224"/>
      <c r="AT18" s="2224"/>
      <c r="AU18" s="2224"/>
      <c r="AV18" s="2224"/>
      <c r="AW18" s="2224"/>
      <c r="AX18" s="2224"/>
      <c r="AY18" s="2224"/>
      <c r="AZ18" s="937"/>
      <c r="BA18" s="937"/>
      <c r="BB18" s="937"/>
      <c r="BC18" s="937"/>
      <c r="BD18" s="937"/>
      <c r="BE18" s="937"/>
      <c r="BF18" s="937"/>
      <c r="BG18" s="107"/>
      <c r="BH18" s="107"/>
      <c r="BX18" s="13"/>
    </row>
    <row r="19" spans="1:76" s="5" customFormat="1" ht="15.75" customHeight="1">
      <c r="A19" s="273"/>
      <c r="B19" s="348" t="s">
        <v>52</v>
      </c>
      <c r="C19" s="272" t="s">
        <v>532</v>
      </c>
      <c r="D19" s="378"/>
      <c r="E19" s="378"/>
      <c r="F19" s="378"/>
      <c r="G19" s="940"/>
      <c r="H19" s="940"/>
      <c r="I19" s="940"/>
      <c r="J19" s="940"/>
      <c r="K19" s="940"/>
      <c r="L19" s="940"/>
      <c r="M19" s="940"/>
      <c r="N19" s="940"/>
      <c r="O19" s="940"/>
      <c r="P19" s="940"/>
      <c r="Q19" s="940"/>
      <c r="R19" s="940"/>
      <c r="S19" s="940"/>
      <c r="T19" s="940"/>
      <c r="U19" s="940"/>
      <c r="V19" s="940"/>
      <c r="W19" s="940"/>
      <c r="X19" s="940"/>
      <c r="Y19" s="940"/>
      <c r="Z19" s="940"/>
      <c r="AA19" s="940"/>
      <c r="AB19" s="940"/>
      <c r="AC19" s="940"/>
      <c r="AD19" s="940"/>
      <c r="AE19" s="940"/>
      <c r="AF19" s="940"/>
      <c r="AG19" s="940"/>
      <c r="AH19" s="940"/>
      <c r="AI19" s="940"/>
      <c r="AJ19" s="940"/>
      <c r="AK19" s="940"/>
      <c r="AL19" s="940"/>
      <c r="AM19" s="940"/>
      <c r="AN19" s="940"/>
      <c r="AO19" s="940"/>
      <c r="AP19" s="940"/>
      <c r="AQ19" s="940"/>
      <c r="AR19" s="940"/>
      <c r="AS19" s="940"/>
      <c r="AT19" s="940"/>
      <c r="AU19" s="940"/>
      <c r="AV19" s="940"/>
      <c r="AW19" s="940"/>
      <c r="AX19" s="937"/>
      <c r="AY19" s="937"/>
      <c r="AZ19" s="937"/>
      <c r="BA19" s="937"/>
      <c r="BB19" s="937"/>
      <c r="BC19" s="937"/>
      <c r="BD19" s="937"/>
      <c r="BE19" s="937"/>
      <c r="BF19" s="937"/>
      <c r="BG19" s="107"/>
      <c r="BH19" s="107"/>
      <c r="BX19" s="13"/>
    </row>
    <row r="20" spans="1:76" s="5" customFormat="1" ht="14.1" customHeight="1">
      <c r="A20" s="273"/>
      <c r="B20" s="938"/>
      <c r="C20" s="375" t="s">
        <v>276</v>
      </c>
      <c r="D20" s="2224" t="s">
        <v>1133</v>
      </c>
      <c r="E20" s="2224"/>
      <c r="F20" s="2224"/>
      <c r="G20" s="2224"/>
      <c r="H20" s="2224"/>
      <c r="I20" s="2224"/>
      <c r="J20" s="2224"/>
      <c r="K20" s="2224"/>
      <c r="L20" s="2224"/>
      <c r="M20" s="2224"/>
      <c r="N20" s="2224"/>
      <c r="O20" s="2224"/>
      <c r="P20" s="2224"/>
      <c r="Q20" s="2224"/>
      <c r="R20" s="2224"/>
      <c r="S20" s="2224"/>
      <c r="T20" s="2224"/>
      <c r="U20" s="2224"/>
      <c r="V20" s="2224"/>
      <c r="W20" s="2224"/>
      <c r="X20" s="2224"/>
      <c r="Y20" s="2224"/>
      <c r="Z20" s="2224"/>
      <c r="AA20" s="2224"/>
      <c r="AB20" s="2224" t="s">
        <v>533</v>
      </c>
      <c r="AC20" s="2224"/>
      <c r="AD20" s="2224"/>
      <c r="AE20" s="2224"/>
      <c r="AF20" s="2224"/>
      <c r="AG20" s="2224"/>
      <c r="AH20" s="2224"/>
      <c r="AI20" s="2224"/>
      <c r="AJ20" s="2224"/>
      <c r="AK20" s="2224"/>
      <c r="AL20" s="2224"/>
      <c r="AM20" s="2224"/>
      <c r="AN20" s="2224"/>
      <c r="AO20" s="2224"/>
      <c r="AP20" s="2224"/>
      <c r="AQ20" s="2224"/>
      <c r="AR20" s="2224"/>
      <c r="AS20" s="2224"/>
      <c r="AT20" s="2224"/>
      <c r="AU20" s="2224"/>
      <c r="AV20" s="2224"/>
      <c r="AW20" s="2224"/>
      <c r="AX20" s="2224"/>
      <c r="AY20" s="2224"/>
      <c r="AZ20" s="939"/>
      <c r="BA20" s="939"/>
      <c r="BB20" s="939"/>
      <c r="BC20" s="939"/>
      <c r="BD20" s="939"/>
      <c r="BE20" s="939"/>
      <c r="BF20" s="939"/>
      <c r="BG20" s="108"/>
      <c r="BH20" s="12"/>
      <c r="BX20" s="13"/>
    </row>
    <row r="21" spans="1:76" s="5" customFormat="1" ht="14.1" customHeight="1">
      <c r="A21" s="273"/>
      <c r="B21" s="938"/>
      <c r="C21" s="375" t="s">
        <v>277</v>
      </c>
      <c r="D21" s="2224" t="s">
        <v>1134</v>
      </c>
      <c r="E21" s="2224"/>
      <c r="F21" s="2224"/>
      <c r="G21" s="2224"/>
      <c r="H21" s="2224"/>
      <c r="I21" s="2224"/>
      <c r="J21" s="2224"/>
      <c r="K21" s="2224"/>
      <c r="L21" s="2224"/>
      <c r="M21" s="2224"/>
      <c r="N21" s="2224"/>
      <c r="O21" s="2224"/>
      <c r="P21" s="2224"/>
      <c r="Q21" s="2224"/>
      <c r="R21" s="2224"/>
      <c r="S21" s="2224"/>
      <c r="T21" s="2224"/>
      <c r="U21" s="2224"/>
      <c r="V21" s="2224"/>
      <c r="W21" s="2224"/>
      <c r="X21" s="2224"/>
      <c r="Y21" s="2224"/>
      <c r="Z21" s="2224"/>
      <c r="AA21" s="2224"/>
      <c r="AB21" s="2224"/>
      <c r="AC21" s="2224"/>
      <c r="AD21" s="2224"/>
      <c r="AE21" s="2224"/>
      <c r="AF21" s="2224"/>
      <c r="AG21" s="2224"/>
      <c r="AH21" s="2224"/>
      <c r="AI21" s="2224"/>
      <c r="AJ21" s="2224"/>
      <c r="AK21" s="2224"/>
      <c r="AL21" s="2224"/>
      <c r="AM21" s="2224"/>
      <c r="AN21" s="2224"/>
      <c r="AO21" s="2224"/>
      <c r="AP21" s="2224"/>
      <c r="AQ21" s="2224"/>
      <c r="AR21" s="2224"/>
      <c r="AS21" s="2224"/>
      <c r="AT21" s="2224"/>
      <c r="AU21" s="2224"/>
      <c r="AV21" s="2224"/>
      <c r="AW21" s="2224"/>
      <c r="AX21" s="2224"/>
      <c r="AY21" s="2224"/>
      <c r="AZ21" s="939"/>
      <c r="BA21" s="939"/>
      <c r="BB21" s="939"/>
      <c r="BC21" s="939"/>
      <c r="BD21" s="939"/>
      <c r="BE21" s="939"/>
      <c r="BF21" s="939"/>
      <c r="BG21" s="108"/>
      <c r="BH21" s="12"/>
      <c r="BX21" s="13"/>
    </row>
    <row r="22" spans="1:76" s="5" customFormat="1" ht="14.1" customHeight="1">
      <c r="A22" s="273"/>
      <c r="B22" s="938"/>
      <c r="C22" s="375" t="s">
        <v>278</v>
      </c>
      <c r="D22" s="2224" t="s">
        <v>1135</v>
      </c>
      <c r="E22" s="2224"/>
      <c r="F22" s="2224"/>
      <c r="G22" s="2224"/>
      <c r="H22" s="2224"/>
      <c r="I22" s="2224"/>
      <c r="J22" s="2224"/>
      <c r="K22" s="2224"/>
      <c r="L22" s="2224"/>
      <c r="M22" s="2224"/>
      <c r="N22" s="2224"/>
      <c r="O22" s="2224"/>
      <c r="P22" s="2224"/>
      <c r="Q22" s="2224"/>
      <c r="R22" s="2224"/>
      <c r="S22" s="2224"/>
      <c r="T22" s="2224"/>
      <c r="U22" s="2224"/>
      <c r="V22" s="2224"/>
      <c r="W22" s="2224"/>
      <c r="X22" s="2224"/>
      <c r="Y22" s="2224"/>
      <c r="Z22" s="2224"/>
      <c r="AA22" s="2224"/>
      <c r="AB22" s="2224"/>
      <c r="AC22" s="2224"/>
      <c r="AD22" s="2224"/>
      <c r="AE22" s="2224"/>
      <c r="AF22" s="2224"/>
      <c r="AG22" s="2224"/>
      <c r="AH22" s="2224"/>
      <c r="AI22" s="2224"/>
      <c r="AJ22" s="2224"/>
      <c r="AK22" s="2224"/>
      <c r="AL22" s="2224"/>
      <c r="AM22" s="2224"/>
      <c r="AN22" s="2224"/>
      <c r="AO22" s="2224"/>
      <c r="AP22" s="2224"/>
      <c r="AQ22" s="2224"/>
      <c r="AR22" s="2224"/>
      <c r="AS22" s="2224"/>
      <c r="AT22" s="2224"/>
      <c r="AU22" s="2224"/>
      <c r="AV22" s="2224"/>
      <c r="AW22" s="2224"/>
      <c r="AX22" s="2224"/>
      <c r="AY22" s="2224"/>
      <c r="AZ22" s="939"/>
      <c r="BA22" s="939"/>
      <c r="BB22" s="939"/>
      <c r="BC22" s="939"/>
      <c r="BD22" s="939"/>
      <c r="BE22" s="939"/>
      <c r="BF22" s="939"/>
      <c r="BG22" s="108"/>
      <c r="BH22" s="12"/>
      <c r="BX22" s="13"/>
    </row>
    <row r="23" spans="1:76" s="5" customFormat="1" ht="15.75" customHeight="1">
      <c r="A23" s="273"/>
      <c r="B23" s="348" t="s">
        <v>53</v>
      </c>
      <c r="C23" s="272" t="s">
        <v>534</v>
      </c>
      <c r="D23" s="378"/>
      <c r="E23" s="378"/>
      <c r="F23" s="378"/>
      <c r="G23" s="940"/>
      <c r="H23" s="940"/>
      <c r="I23" s="940"/>
      <c r="J23" s="940"/>
      <c r="K23" s="940"/>
      <c r="L23" s="940"/>
      <c r="M23" s="940"/>
      <c r="N23" s="940"/>
      <c r="O23" s="940"/>
      <c r="P23" s="940"/>
      <c r="Q23" s="940"/>
      <c r="R23" s="940"/>
      <c r="S23" s="940"/>
      <c r="T23" s="940"/>
      <c r="U23" s="940"/>
      <c r="V23" s="940"/>
      <c r="W23" s="940"/>
      <c r="X23" s="940"/>
      <c r="Y23" s="940"/>
      <c r="Z23" s="940"/>
      <c r="AA23" s="940"/>
      <c r="AB23" s="940"/>
      <c r="AC23" s="940"/>
      <c r="AD23" s="940"/>
      <c r="AE23" s="940"/>
      <c r="AF23" s="940"/>
      <c r="AG23" s="940"/>
      <c r="AH23" s="940"/>
      <c r="AI23" s="940"/>
      <c r="AJ23" s="940"/>
      <c r="AK23" s="940"/>
      <c r="AL23" s="940"/>
      <c r="AM23" s="940"/>
      <c r="AN23" s="940"/>
      <c r="AO23" s="940"/>
      <c r="AP23" s="940"/>
      <c r="AQ23" s="940"/>
      <c r="AR23" s="940"/>
      <c r="AS23" s="940"/>
      <c r="AT23" s="940"/>
      <c r="AU23" s="940"/>
      <c r="AV23" s="940"/>
      <c r="AW23" s="940"/>
      <c r="AX23" s="937"/>
      <c r="AY23" s="937"/>
      <c r="AZ23" s="937"/>
      <c r="BA23" s="937"/>
      <c r="BB23" s="937"/>
      <c r="BC23" s="937"/>
      <c r="BD23" s="937"/>
      <c r="BE23" s="937"/>
      <c r="BF23" s="937"/>
      <c r="BG23" s="107"/>
      <c r="BH23" s="107"/>
      <c r="BX23" s="13"/>
    </row>
    <row r="24" spans="1:76" s="5" customFormat="1" ht="45.75" customHeight="1">
      <c r="A24" s="273"/>
      <c r="B24" s="938"/>
      <c r="C24" s="375" t="s">
        <v>276</v>
      </c>
      <c r="D24" s="2224" t="s">
        <v>1136</v>
      </c>
      <c r="E24" s="2224"/>
      <c r="F24" s="2224"/>
      <c r="G24" s="2224"/>
      <c r="H24" s="2224"/>
      <c r="I24" s="2224"/>
      <c r="J24" s="2224"/>
      <c r="K24" s="2224"/>
      <c r="L24" s="2224"/>
      <c r="M24" s="2224"/>
      <c r="N24" s="2224"/>
      <c r="O24" s="2224"/>
      <c r="P24" s="2224"/>
      <c r="Q24" s="2224"/>
      <c r="R24" s="2224"/>
      <c r="S24" s="2224"/>
      <c r="T24" s="2224"/>
      <c r="U24" s="2224"/>
      <c r="V24" s="2224"/>
      <c r="W24" s="2224"/>
      <c r="X24" s="2224"/>
      <c r="Y24" s="2224"/>
      <c r="Z24" s="2224"/>
      <c r="AA24" s="2224"/>
      <c r="AB24" s="2224" t="s">
        <v>533</v>
      </c>
      <c r="AC24" s="2224"/>
      <c r="AD24" s="2224"/>
      <c r="AE24" s="2224"/>
      <c r="AF24" s="2224"/>
      <c r="AG24" s="2224"/>
      <c r="AH24" s="2224"/>
      <c r="AI24" s="2224"/>
      <c r="AJ24" s="2224"/>
      <c r="AK24" s="2224"/>
      <c r="AL24" s="2224"/>
      <c r="AM24" s="2224"/>
      <c r="AN24" s="2224"/>
      <c r="AO24" s="2224"/>
      <c r="AP24" s="2224"/>
      <c r="AQ24" s="2224"/>
      <c r="AR24" s="2224"/>
      <c r="AS24" s="2224"/>
      <c r="AT24" s="2224"/>
      <c r="AU24" s="2224"/>
      <c r="AV24" s="2224"/>
      <c r="AW24" s="2224"/>
      <c r="AX24" s="2224"/>
      <c r="AY24" s="2224"/>
      <c r="AZ24" s="939"/>
      <c r="BA24" s="939"/>
      <c r="BB24" s="939"/>
      <c r="BC24" s="939"/>
      <c r="BD24" s="939"/>
      <c r="BE24" s="939"/>
      <c r="BF24" s="939"/>
      <c r="BG24" s="108"/>
      <c r="BH24" s="12"/>
      <c r="BX24" s="13"/>
    </row>
    <row r="25" spans="1:76" s="5" customFormat="1" ht="33" customHeight="1">
      <c r="A25" s="273"/>
      <c r="B25" s="938"/>
      <c r="C25" s="375" t="s">
        <v>277</v>
      </c>
      <c r="D25" s="2224" t="s">
        <v>1137</v>
      </c>
      <c r="E25" s="2224"/>
      <c r="F25" s="2224"/>
      <c r="G25" s="2224"/>
      <c r="H25" s="2224"/>
      <c r="I25" s="2224"/>
      <c r="J25" s="2224"/>
      <c r="K25" s="2224"/>
      <c r="L25" s="2224"/>
      <c r="M25" s="2224"/>
      <c r="N25" s="2224"/>
      <c r="O25" s="2224"/>
      <c r="P25" s="2224"/>
      <c r="Q25" s="2224"/>
      <c r="R25" s="2224"/>
      <c r="S25" s="2224"/>
      <c r="T25" s="2224"/>
      <c r="U25" s="2224"/>
      <c r="V25" s="2224"/>
      <c r="W25" s="2224"/>
      <c r="X25" s="2224"/>
      <c r="Y25" s="2224"/>
      <c r="Z25" s="2224"/>
      <c r="AA25" s="2224"/>
      <c r="AB25" s="2224"/>
      <c r="AC25" s="2224"/>
      <c r="AD25" s="2224"/>
      <c r="AE25" s="2224"/>
      <c r="AF25" s="2224"/>
      <c r="AG25" s="2224"/>
      <c r="AH25" s="2224"/>
      <c r="AI25" s="2224"/>
      <c r="AJ25" s="2224"/>
      <c r="AK25" s="2224"/>
      <c r="AL25" s="2224"/>
      <c r="AM25" s="2224"/>
      <c r="AN25" s="2224"/>
      <c r="AO25" s="2224"/>
      <c r="AP25" s="2224"/>
      <c r="AQ25" s="2224"/>
      <c r="AR25" s="2224"/>
      <c r="AS25" s="2224"/>
      <c r="AT25" s="2224"/>
      <c r="AU25" s="2224"/>
      <c r="AV25" s="2224"/>
      <c r="AW25" s="2224"/>
      <c r="AX25" s="2224"/>
      <c r="AY25" s="2224"/>
      <c r="AZ25" s="939"/>
      <c r="BA25" s="939"/>
      <c r="BB25" s="939"/>
      <c r="BC25" s="939"/>
      <c r="BD25" s="939"/>
      <c r="BE25" s="939"/>
      <c r="BF25" s="939"/>
      <c r="BG25" s="108"/>
      <c r="BH25" s="12"/>
      <c r="BX25" s="13"/>
    </row>
    <row r="26" spans="1:76" s="168" customFormat="1" ht="30" customHeight="1">
      <c r="A26" s="941"/>
      <c r="B26" s="941"/>
      <c r="C26" s="941"/>
      <c r="D26" s="941"/>
      <c r="E26" s="941"/>
      <c r="F26" s="941"/>
      <c r="G26" s="941"/>
      <c r="H26" s="941"/>
      <c r="I26" s="941"/>
      <c r="J26" s="941"/>
      <c r="K26" s="941"/>
      <c r="L26" s="941"/>
      <c r="M26" s="941"/>
      <c r="N26" s="941"/>
      <c r="O26" s="941"/>
      <c r="P26" s="941"/>
      <c r="Q26" s="941"/>
      <c r="R26" s="941"/>
      <c r="S26" s="941"/>
      <c r="T26" s="941"/>
      <c r="U26" s="941"/>
      <c r="V26" s="941"/>
      <c r="W26" s="941"/>
      <c r="X26" s="941"/>
      <c r="Y26" s="941"/>
      <c r="Z26" s="941"/>
      <c r="AA26" s="941"/>
      <c r="AB26" s="941"/>
      <c r="AC26" s="941"/>
      <c r="AD26" s="941"/>
      <c r="AE26" s="941"/>
      <c r="AF26" s="941"/>
      <c r="AG26" s="941"/>
      <c r="AH26" s="941"/>
      <c r="AI26" s="941"/>
      <c r="AJ26" s="941"/>
      <c r="AK26" s="941"/>
      <c r="AL26" s="941"/>
      <c r="AM26" s="941"/>
      <c r="AN26" s="941"/>
      <c r="AO26" s="941"/>
      <c r="AP26" s="941"/>
      <c r="AQ26" s="941"/>
      <c r="AR26" s="941"/>
      <c r="AS26" s="941"/>
      <c r="AT26" s="941"/>
      <c r="AU26" s="941"/>
      <c r="AV26" s="941"/>
      <c r="AW26" s="941"/>
      <c r="AX26" s="941"/>
      <c r="AY26" s="941"/>
      <c r="AZ26" s="941"/>
      <c r="BA26" s="941"/>
      <c r="BB26" s="941"/>
      <c r="BC26" s="941"/>
      <c r="BD26" s="941"/>
      <c r="BE26" s="941"/>
      <c r="BF26" s="941"/>
    </row>
    <row r="27" spans="1:76" s="109" customFormat="1">
      <c r="A27" s="942"/>
      <c r="B27" s="275" t="s">
        <v>11404</v>
      </c>
      <c r="C27" s="259"/>
      <c r="D27" s="259"/>
      <c r="E27" s="876"/>
      <c r="F27" s="876"/>
      <c r="G27" s="876"/>
      <c r="H27" s="876"/>
      <c r="I27" s="876"/>
      <c r="J27" s="876"/>
      <c r="K27" s="876"/>
      <c r="L27" s="876"/>
      <c r="M27" s="876"/>
      <c r="N27" s="876"/>
      <c r="O27" s="593"/>
      <c r="P27" s="593"/>
      <c r="Q27" s="593"/>
      <c r="R27" s="593"/>
      <c r="S27" s="593"/>
      <c r="T27" s="593"/>
      <c r="U27" s="593"/>
      <c r="V27" s="593"/>
      <c r="W27" s="593"/>
      <c r="X27" s="593"/>
      <c r="Y27" s="593"/>
      <c r="Z27" s="593"/>
      <c r="AA27" s="593"/>
      <c r="AB27" s="593"/>
      <c r="AC27" s="593"/>
      <c r="AD27" s="942"/>
      <c r="AE27" s="942"/>
      <c r="AF27" s="593"/>
      <c r="AG27" s="593"/>
      <c r="AH27" s="942"/>
      <c r="AI27" s="942"/>
      <c r="AJ27" s="942"/>
      <c r="AK27" s="942"/>
      <c r="AL27" s="942"/>
      <c r="AM27" s="942"/>
      <c r="AN27" s="942"/>
      <c r="AO27" s="942"/>
      <c r="AP27" s="942"/>
      <c r="AQ27" s="942"/>
      <c r="AR27" s="942"/>
      <c r="AS27" s="942"/>
      <c r="AT27" s="942"/>
      <c r="AU27" s="942"/>
      <c r="AV27" s="942"/>
      <c r="AW27" s="942"/>
      <c r="AX27" s="942"/>
      <c r="AY27" s="942"/>
      <c r="AZ27" s="942"/>
      <c r="BA27" s="942"/>
      <c r="BB27" s="942"/>
      <c r="BC27" s="942"/>
      <c r="BD27" s="942"/>
      <c r="BE27" s="942"/>
      <c r="BF27" s="942"/>
    </row>
    <row r="28" spans="1:76" ht="16.5" thickBot="1">
      <c r="A28" s="238"/>
      <c r="B28" s="583" t="s">
        <v>1017</v>
      </c>
      <c r="C28" s="259"/>
      <c r="D28" s="259"/>
      <c r="E28" s="876"/>
      <c r="F28" s="876"/>
      <c r="G28" s="876"/>
      <c r="H28" s="876"/>
      <c r="I28" s="876"/>
      <c r="J28" s="876"/>
      <c r="K28" s="876"/>
      <c r="L28" s="876"/>
      <c r="M28" s="876"/>
      <c r="N28" s="876"/>
      <c r="O28" s="593"/>
      <c r="P28" s="593"/>
      <c r="Q28" s="593"/>
      <c r="R28" s="593"/>
      <c r="S28" s="593"/>
      <c r="T28" s="593"/>
      <c r="U28" s="593"/>
      <c r="V28" s="593"/>
      <c r="W28" s="593"/>
      <c r="X28" s="593"/>
      <c r="Y28" s="593"/>
      <c r="Z28" s="593"/>
      <c r="AA28" s="593"/>
      <c r="AB28" s="593"/>
      <c r="AC28" s="593"/>
      <c r="AD28" s="943"/>
      <c r="AE28" s="943"/>
      <c r="AF28" s="593"/>
      <c r="AG28" s="593"/>
      <c r="AH28" s="943"/>
      <c r="AI28" s="943"/>
      <c r="AJ28" s="943"/>
      <c r="AK28" s="943"/>
      <c r="AL28" s="943"/>
      <c r="AM28" s="943"/>
      <c r="AN28" s="943"/>
      <c r="AO28" s="943"/>
      <c r="AP28" s="943"/>
      <c r="AQ28" s="943"/>
      <c r="AR28" s="943"/>
      <c r="AS28" s="943"/>
      <c r="AT28" s="943"/>
      <c r="AU28" s="943"/>
      <c r="AV28" s="943"/>
      <c r="AW28" s="943"/>
      <c r="AX28" s="943"/>
      <c r="AY28" s="943"/>
      <c r="AZ28" s="943"/>
      <c r="BA28" s="943"/>
      <c r="BB28" s="943"/>
      <c r="BC28" s="238"/>
      <c r="BD28" s="238"/>
      <c r="BE28" s="238"/>
      <c r="BF28" s="238"/>
    </row>
    <row r="29" spans="1:76" s="109" customFormat="1" ht="8.1" customHeight="1">
      <c r="A29" s="942"/>
      <c r="B29" s="944"/>
      <c r="C29" s="877"/>
      <c r="D29" s="877"/>
      <c r="E29" s="878"/>
      <c r="F29" s="878"/>
      <c r="G29" s="878"/>
      <c r="H29" s="878"/>
      <c r="I29" s="878"/>
      <c r="J29" s="878"/>
      <c r="K29" s="878"/>
      <c r="L29" s="878"/>
      <c r="M29" s="878"/>
      <c r="N29" s="878"/>
      <c r="O29" s="688"/>
      <c r="P29" s="688"/>
      <c r="Q29" s="688"/>
      <c r="R29" s="688"/>
      <c r="S29" s="688"/>
      <c r="T29" s="688"/>
      <c r="U29" s="688"/>
      <c r="V29" s="688"/>
      <c r="W29" s="688"/>
      <c r="X29" s="688"/>
      <c r="Y29" s="688"/>
      <c r="Z29" s="688"/>
      <c r="AA29" s="688"/>
      <c r="AB29" s="688"/>
      <c r="AC29" s="688"/>
      <c r="AD29" s="688"/>
      <c r="AE29" s="688"/>
      <c r="AF29" s="688"/>
      <c r="AG29" s="688"/>
      <c r="AH29" s="690"/>
      <c r="AI29" s="593"/>
      <c r="AJ29" s="593"/>
      <c r="AK29" s="593"/>
      <c r="AL29" s="593"/>
      <c r="AM29" s="942"/>
      <c r="AN29" s="942"/>
      <c r="AO29" s="593"/>
      <c r="AP29" s="593"/>
      <c r="AQ29" s="942"/>
      <c r="AR29" s="942"/>
      <c r="AS29" s="942"/>
      <c r="AT29" s="942"/>
      <c r="AU29" s="942"/>
      <c r="AV29" s="942"/>
      <c r="AW29" s="942"/>
      <c r="AX29" s="942"/>
      <c r="AY29" s="942"/>
      <c r="AZ29" s="942"/>
      <c r="BA29" s="942"/>
      <c r="BB29" s="942"/>
      <c r="BC29" s="942"/>
      <c r="BD29" s="942"/>
      <c r="BE29" s="942"/>
      <c r="BF29" s="942"/>
    </row>
    <row r="30" spans="1:76" s="109" customFormat="1" ht="20.100000000000001" customHeight="1">
      <c r="A30" s="942"/>
      <c r="B30" s="945"/>
      <c r="C30" s="946" t="s">
        <v>1138</v>
      </c>
      <c r="D30" s="582"/>
      <c r="E30" s="582"/>
      <c r="F30" s="883"/>
      <c r="G30" s="876"/>
      <c r="H30" s="876"/>
      <c r="I30" s="593"/>
      <c r="J30" s="593"/>
      <c r="K30" s="593"/>
      <c r="L30" s="593"/>
      <c r="M30" s="593"/>
      <c r="N30" s="593"/>
      <c r="O30" s="593"/>
      <c r="P30" s="593"/>
      <c r="Q30" s="593"/>
      <c r="R30" s="593"/>
      <c r="S30" s="593"/>
      <c r="T30" s="593"/>
      <c r="U30" s="593"/>
      <c r="V30" s="593"/>
      <c r="W30" s="593"/>
      <c r="X30" s="593"/>
      <c r="Y30" s="593"/>
      <c r="Z30" s="593"/>
      <c r="AA30" s="593"/>
      <c r="AB30" s="593"/>
      <c r="AC30" s="593"/>
      <c r="AD30" s="593"/>
      <c r="AE30" s="593"/>
      <c r="AF30" s="593"/>
      <c r="AG30" s="593"/>
      <c r="AH30" s="690"/>
      <c r="AI30" s="593"/>
      <c r="AJ30" s="942"/>
      <c r="AK30" s="947" t="s">
        <v>535</v>
      </c>
      <c r="AL30" s="948" t="s">
        <v>226</v>
      </c>
      <c r="AM30" s="949" t="s">
        <v>536</v>
      </c>
      <c r="AN30" s="949"/>
      <c r="AO30" s="593"/>
      <c r="AP30" s="593"/>
      <c r="AQ30" s="593"/>
      <c r="AR30" s="593"/>
      <c r="AS30" s="593"/>
      <c r="AT30" s="593"/>
      <c r="AU30" s="593"/>
      <c r="AV30" s="593"/>
      <c r="AW30" s="593"/>
      <c r="AX30" s="942"/>
      <c r="AY30" s="942"/>
      <c r="AZ30" s="942"/>
      <c r="BA30" s="942"/>
      <c r="BB30" s="942"/>
      <c r="BC30" s="942"/>
      <c r="BD30" s="942"/>
      <c r="BE30" s="942"/>
      <c r="BF30" s="942"/>
    </row>
    <row r="31" spans="1:76" s="109" customFormat="1" ht="20.100000000000001" customHeight="1">
      <c r="A31" s="942"/>
      <c r="B31" s="945"/>
      <c r="C31" s="950"/>
      <c r="D31" s="610" t="b">
        <v>1</v>
      </c>
      <c r="E31" s="582" t="s">
        <v>537</v>
      </c>
      <c r="F31" s="434"/>
      <c r="G31" s="593"/>
      <c r="H31" s="593"/>
      <c r="I31" s="593"/>
      <c r="J31" s="593"/>
      <c r="K31" s="593"/>
      <c r="L31" s="942"/>
      <c r="M31" s="610" t="b">
        <v>0</v>
      </c>
      <c r="N31" s="582" t="s">
        <v>538</v>
      </c>
      <c r="O31" s="593"/>
      <c r="P31" s="593"/>
      <c r="Q31" s="942"/>
      <c r="R31" s="942"/>
      <c r="S31" s="942"/>
      <c r="T31" s="434"/>
      <c r="U31" s="625"/>
      <c r="V31" s="942"/>
      <c r="W31" s="610" t="b">
        <v>0</v>
      </c>
      <c r="X31" s="582" t="s">
        <v>539</v>
      </c>
      <c r="Y31" s="593"/>
      <c r="Z31" s="593"/>
      <c r="AA31" s="593"/>
      <c r="AB31" s="593"/>
      <c r="AC31" s="942"/>
      <c r="AD31" s="942"/>
      <c r="AE31" s="942"/>
      <c r="AF31" s="593"/>
      <c r="AG31" s="593"/>
      <c r="AH31" s="690"/>
      <c r="AI31" s="593"/>
      <c r="AJ31" s="942"/>
      <c r="AK31" s="942"/>
      <c r="AL31" s="951" t="s">
        <v>540</v>
      </c>
      <c r="AM31" s="949" t="s">
        <v>541</v>
      </c>
      <c r="AN31" s="949"/>
      <c r="AO31" s="593"/>
      <c r="AP31" s="593"/>
      <c r="AQ31" s="593"/>
      <c r="AR31" s="593"/>
      <c r="AS31" s="593"/>
      <c r="AT31" s="593"/>
      <c r="AU31" s="593"/>
      <c r="AV31" s="593"/>
      <c r="AW31" s="593"/>
      <c r="AX31" s="942"/>
      <c r="AY31" s="942"/>
      <c r="AZ31" s="942"/>
      <c r="BA31" s="942"/>
      <c r="BB31" s="942"/>
      <c r="BC31" s="942"/>
      <c r="BD31" s="942"/>
      <c r="BE31" s="942"/>
      <c r="BF31" s="942"/>
    </row>
    <row r="32" spans="1:76" s="109" customFormat="1" ht="20.100000000000001" customHeight="1">
      <c r="A32" s="942"/>
      <c r="B32" s="945"/>
      <c r="C32" s="950"/>
      <c r="D32" s="610" t="b">
        <v>0</v>
      </c>
      <c r="E32" s="582" t="s">
        <v>542</v>
      </c>
      <c r="F32" s="434"/>
      <c r="G32" s="593"/>
      <c r="H32" s="593"/>
      <c r="I32" s="593"/>
      <c r="J32" s="593"/>
      <c r="K32" s="593"/>
      <c r="L32" s="942"/>
      <c r="M32" s="610" t="b">
        <v>0</v>
      </c>
      <c r="N32" s="582" t="s">
        <v>543</v>
      </c>
      <c r="O32" s="593"/>
      <c r="P32" s="593"/>
      <c r="Q32" s="942"/>
      <c r="R32" s="942"/>
      <c r="S32" s="942"/>
      <c r="T32" s="434"/>
      <c r="U32" s="625"/>
      <c r="V32" s="942"/>
      <c r="W32" s="610" t="b">
        <v>0</v>
      </c>
      <c r="X32" s="582" t="s">
        <v>1021</v>
      </c>
      <c r="Y32" s="434"/>
      <c r="Z32" s="434"/>
      <c r="AA32" s="434"/>
      <c r="AB32" s="2620"/>
      <c r="AC32" s="2620"/>
      <c r="AD32" s="2620"/>
      <c r="AE32" s="2620"/>
      <c r="AF32" s="2620"/>
      <c r="AG32" s="593"/>
      <c r="AH32" s="690"/>
      <c r="AI32" s="593"/>
      <c r="AJ32" s="942"/>
      <c r="AK32" s="942"/>
      <c r="AL32" s="951" t="s">
        <v>544</v>
      </c>
      <c r="AM32" s="949" t="s">
        <v>545</v>
      </c>
      <c r="AN32" s="949"/>
      <c r="AO32" s="942"/>
      <c r="AP32" s="942"/>
      <c r="AQ32" s="942"/>
      <c r="AR32" s="942"/>
      <c r="AS32" s="942"/>
      <c r="AT32" s="942"/>
      <c r="AU32" s="942"/>
      <c r="AV32" s="942"/>
      <c r="AW32" s="942"/>
      <c r="AX32" s="942"/>
      <c r="AY32" s="942"/>
      <c r="AZ32" s="942"/>
      <c r="BA32" s="942"/>
      <c r="BB32" s="942"/>
      <c r="BC32" s="942"/>
      <c r="BD32" s="942"/>
      <c r="BE32" s="942"/>
      <c r="BF32" s="942"/>
    </row>
    <row r="33" spans="1:70" s="109" customFormat="1" ht="20.100000000000001" customHeight="1">
      <c r="A33" s="942"/>
      <c r="B33" s="945"/>
      <c r="C33" s="950"/>
      <c r="D33" s="610" t="b">
        <v>0</v>
      </c>
      <c r="E33" s="582" t="s">
        <v>546</v>
      </c>
      <c r="F33" s="434"/>
      <c r="G33" s="593"/>
      <c r="H33" s="593"/>
      <c r="I33" s="593"/>
      <c r="J33" s="593"/>
      <c r="K33" s="593"/>
      <c r="L33" s="942"/>
      <c r="M33" s="610" t="b">
        <v>1</v>
      </c>
      <c r="N33" s="582" t="s">
        <v>547</v>
      </c>
      <c r="O33" s="593"/>
      <c r="P33" s="593"/>
      <c r="Q33" s="942"/>
      <c r="R33" s="942"/>
      <c r="S33" s="942"/>
      <c r="T33" s="434"/>
      <c r="U33" s="625"/>
      <c r="V33" s="625"/>
      <c r="W33" s="582"/>
      <c r="X33" s="942"/>
      <c r="Y33" s="593"/>
      <c r="Z33" s="593"/>
      <c r="AA33" s="593"/>
      <c r="AB33" s="1738" t="str">
        <f>IF(AND(loc_other=TRUE,ISBLANK(loc_other_specify)),"Please specify.",IF(AND(loc_other=FALSE,(loc_other_specify&gt;0)),"Please check Others if you have entries.",""))</f>
        <v/>
      </c>
      <c r="AC33" s="942"/>
      <c r="AD33" s="942"/>
      <c r="AE33" s="942"/>
      <c r="AF33" s="593"/>
      <c r="AG33" s="593"/>
      <c r="AH33" s="690"/>
      <c r="AI33" s="593"/>
      <c r="AJ33" s="942"/>
      <c r="AK33" s="942"/>
      <c r="AL33" s="951" t="s">
        <v>548</v>
      </c>
      <c r="AM33" s="949" t="s">
        <v>549</v>
      </c>
      <c r="AN33" s="949"/>
      <c r="AO33" s="942"/>
      <c r="AP33" s="942"/>
      <c r="AQ33" s="942"/>
      <c r="AR33" s="942"/>
      <c r="AS33" s="942"/>
      <c r="AT33" s="942"/>
      <c r="AU33" s="942"/>
      <c r="AV33" s="942"/>
      <c r="AW33" s="942"/>
      <c r="AX33" s="942"/>
      <c r="AY33" s="942"/>
      <c r="AZ33" s="942"/>
      <c r="BA33" s="942"/>
      <c r="BB33" s="942"/>
      <c r="BC33" s="942"/>
      <c r="BD33" s="942"/>
      <c r="BE33" s="942"/>
      <c r="BF33" s="942"/>
    </row>
    <row r="34" spans="1:70" s="109" customFormat="1" ht="8.1" customHeight="1" thickBot="1">
      <c r="A34" s="942"/>
      <c r="B34" s="945"/>
      <c r="C34" s="950"/>
      <c r="D34" s="625"/>
      <c r="E34" s="582"/>
      <c r="F34" s="434"/>
      <c r="G34" s="593"/>
      <c r="H34" s="593"/>
      <c r="I34" s="593"/>
      <c r="J34" s="593"/>
      <c r="K34" s="593"/>
      <c r="L34" s="942"/>
      <c r="M34" s="625"/>
      <c r="N34" s="582"/>
      <c r="O34" s="593"/>
      <c r="P34" s="593"/>
      <c r="Q34" s="942"/>
      <c r="R34" s="942"/>
      <c r="S34" s="942"/>
      <c r="T34" s="434"/>
      <c r="U34" s="625"/>
      <c r="V34" s="625"/>
      <c r="W34" s="582"/>
      <c r="X34" s="434"/>
      <c r="Y34" s="593"/>
      <c r="Z34" s="593"/>
      <c r="AA34" s="593"/>
      <c r="AB34" s="593"/>
      <c r="AC34" s="942"/>
      <c r="AD34" s="942"/>
      <c r="AE34" s="942"/>
      <c r="AF34" s="593"/>
      <c r="AG34" s="593"/>
      <c r="AH34" s="690"/>
      <c r="AI34" s="593"/>
      <c r="AJ34" s="942"/>
      <c r="AK34" s="3058" t="s">
        <v>550</v>
      </c>
      <c r="AL34" s="3058"/>
      <c r="AM34" s="3059" t="s">
        <v>551</v>
      </c>
      <c r="AN34" s="3059"/>
      <c r="AO34" s="3059"/>
      <c r="AP34" s="3059"/>
      <c r="AQ34" s="3059"/>
      <c r="AR34" s="3059"/>
      <c r="AS34" s="3059"/>
      <c r="AT34" s="3059"/>
      <c r="AU34" s="3059"/>
      <c r="AV34" s="3059"/>
      <c r="AW34" s="942"/>
      <c r="AX34" s="942"/>
      <c r="AY34" s="942"/>
      <c r="AZ34" s="942"/>
      <c r="BA34" s="942"/>
      <c r="BB34" s="942"/>
      <c r="BC34" s="942"/>
      <c r="BD34" s="942"/>
      <c r="BE34" s="942"/>
      <c r="BF34" s="942"/>
    </row>
    <row r="35" spans="1:70" s="109" customFormat="1" ht="12" customHeight="1">
      <c r="A35" s="942"/>
      <c r="B35" s="953"/>
      <c r="C35" s="954"/>
      <c r="D35" s="953"/>
      <c r="E35" s="953"/>
      <c r="F35" s="688"/>
      <c r="G35" s="688"/>
      <c r="H35" s="688"/>
      <c r="I35" s="688"/>
      <c r="J35" s="688"/>
      <c r="K35" s="688"/>
      <c r="L35" s="688"/>
      <c r="M35" s="688"/>
      <c r="N35" s="688"/>
      <c r="O35" s="688"/>
      <c r="P35" s="953"/>
      <c r="Q35" s="953"/>
      <c r="R35" s="953"/>
      <c r="S35" s="688"/>
      <c r="T35" s="685"/>
      <c r="U35" s="685"/>
      <c r="V35" s="955"/>
      <c r="W35" s="688"/>
      <c r="X35" s="688"/>
      <c r="Y35" s="688"/>
      <c r="Z35" s="688"/>
      <c r="AA35" s="688"/>
      <c r="AB35" s="688"/>
      <c r="AC35" s="953"/>
      <c r="AD35" s="953"/>
      <c r="AE35" s="953"/>
      <c r="AF35" s="688"/>
      <c r="AG35" s="688"/>
      <c r="AH35" s="593"/>
      <c r="AI35" s="593"/>
      <c r="AJ35" s="942"/>
      <c r="AK35" s="3058"/>
      <c r="AL35" s="3058"/>
      <c r="AM35" s="3059"/>
      <c r="AN35" s="3059"/>
      <c r="AO35" s="3059"/>
      <c r="AP35" s="3059"/>
      <c r="AQ35" s="3059"/>
      <c r="AR35" s="3059"/>
      <c r="AS35" s="3059"/>
      <c r="AT35" s="3059"/>
      <c r="AU35" s="3059"/>
      <c r="AV35" s="3059"/>
      <c r="AW35" s="942"/>
      <c r="AX35" s="942"/>
      <c r="AY35" s="942"/>
      <c r="AZ35" s="942"/>
      <c r="BA35" s="942"/>
      <c r="BB35" s="942"/>
      <c r="BC35" s="942"/>
      <c r="BD35" s="942"/>
      <c r="BE35" s="942"/>
      <c r="BF35" s="942"/>
    </row>
    <row r="36" spans="1:70" s="46" customFormat="1" ht="30" customHeight="1">
      <c r="A36" s="222"/>
      <c r="B36" s="956"/>
      <c r="C36" s="239"/>
      <c r="D36" s="956"/>
      <c r="E36" s="239"/>
      <c r="F36" s="956"/>
      <c r="G36" s="239"/>
      <c r="H36" s="956"/>
      <c r="I36" s="239"/>
      <c r="J36" s="956"/>
      <c r="K36" s="239"/>
      <c r="L36" s="956"/>
      <c r="M36" s="239"/>
      <c r="N36" s="956"/>
      <c r="O36" s="239"/>
      <c r="P36" s="222"/>
      <c r="Q36" s="222"/>
      <c r="R36" s="222"/>
      <c r="S36" s="222"/>
      <c r="T36" s="956"/>
      <c r="U36" s="239"/>
      <c r="V36" s="956"/>
      <c r="W36" s="239"/>
      <c r="X36" s="956"/>
      <c r="Y36" s="239"/>
      <c r="Z36" s="956"/>
      <c r="AA36" s="239"/>
      <c r="AB36" s="956"/>
      <c r="AC36" s="239"/>
      <c r="AD36" s="956"/>
      <c r="AE36" s="239"/>
      <c r="AF36" s="956"/>
      <c r="AG36" s="239"/>
      <c r="AH36" s="222"/>
      <c r="AI36" s="222"/>
      <c r="AJ36" s="222"/>
      <c r="AK36" s="222"/>
      <c r="AL36" s="956"/>
      <c r="AM36" s="239"/>
      <c r="AN36" s="956"/>
      <c r="AO36" s="239"/>
      <c r="AP36" s="956"/>
      <c r="AQ36" s="239"/>
      <c r="AR36" s="956"/>
      <c r="AS36" s="239"/>
      <c r="AT36" s="956"/>
      <c r="AU36" s="239"/>
      <c r="AV36" s="956"/>
      <c r="AW36" s="239"/>
      <c r="AX36" s="956"/>
      <c r="AY36" s="239"/>
      <c r="AZ36" s="222"/>
      <c r="BA36" s="222"/>
      <c r="BB36" s="222"/>
      <c r="BC36" s="222"/>
      <c r="BD36" s="222"/>
      <c r="BE36" s="222"/>
      <c r="BF36" s="222"/>
    </row>
    <row r="37" spans="1:70" s="46" customFormat="1">
      <c r="A37" s="222"/>
      <c r="B37" s="223" t="s">
        <v>74</v>
      </c>
      <c r="C37" s="222"/>
      <c r="D37" s="222"/>
      <c r="E37" s="222"/>
      <c r="F37" s="222"/>
      <c r="G37" s="222"/>
      <c r="H37" s="222"/>
      <c r="I37" s="222"/>
      <c r="J37" s="222"/>
      <c r="K37" s="222"/>
      <c r="L37" s="222"/>
      <c r="M37" s="222"/>
      <c r="N37" s="222"/>
      <c r="O37" s="222"/>
      <c r="P37" s="222"/>
      <c r="Q37" s="222"/>
      <c r="R37" s="222"/>
      <c r="S37" s="222"/>
      <c r="T37" s="223" t="s">
        <v>421</v>
      </c>
      <c r="U37" s="331"/>
      <c r="V37" s="331"/>
      <c r="W37" s="331"/>
      <c r="X37" s="331"/>
      <c r="Y37" s="331"/>
      <c r="Z37" s="331"/>
      <c r="AA37" s="331"/>
      <c r="AB37" s="331"/>
      <c r="AC37" s="331"/>
      <c r="AD37" s="331"/>
      <c r="AE37" s="331"/>
      <c r="AF37" s="331"/>
      <c r="AG37" s="331"/>
      <c r="AH37" s="331"/>
      <c r="AI37" s="222"/>
      <c r="AJ37" s="222"/>
      <c r="AK37" s="222"/>
      <c r="AL37" s="223" t="s">
        <v>33</v>
      </c>
      <c r="AM37" s="222"/>
      <c r="AN37" s="222"/>
      <c r="AO37" s="222"/>
      <c r="AP37" s="222"/>
      <c r="AQ37" s="222"/>
      <c r="AR37" s="222"/>
      <c r="AS37" s="222"/>
      <c r="AT37" s="222"/>
      <c r="AU37" s="222"/>
      <c r="AV37" s="222"/>
      <c r="AW37" s="222"/>
      <c r="AX37" s="222"/>
      <c r="AY37" s="222"/>
      <c r="AZ37" s="222"/>
      <c r="BA37" s="222"/>
      <c r="BB37" s="222"/>
      <c r="BC37" s="222"/>
      <c r="BD37" s="222"/>
      <c r="BE37" s="222"/>
      <c r="BF37" s="222"/>
    </row>
    <row r="38" spans="1:70" s="46" customFormat="1" ht="21.75" customHeight="1">
      <c r="A38" s="222"/>
      <c r="B38" s="223" t="s">
        <v>73</v>
      </c>
      <c r="C38" s="222"/>
      <c r="D38" s="222"/>
      <c r="E38" s="222"/>
      <c r="F38" s="2012" t="str">
        <f>activesheet!E21</f>
        <v>MELCHESIEDICK Q. BOLANIO / March 17, 2023</v>
      </c>
      <c r="G38" s="2012"/>
      <c r="H38" s="2012"/>
      <c r="I38" s="2012"/>
      <c r="J38" s="2012"/>
      <c r="K38" s="2012"/>
      <c r="L38" s="2012"/>
      <c r="M38" s="2012"/>
      <c r="N38" s="2012"/>
      <c r="O38" s="2012"/>
      <c r="P38" s="222"/>
      <c r="Q38" s="222"/>
      <c r="R38" s="222"/>
      <c r="S38" s="222"/>
      <c r="T38" s="2012" t="str">
        <f>activesheet!E2308</f>
        <v>BRYAN REY P. JAMIS / March 17. 2023</v>
      </c>
      <c r="U38" s="2012"/>
      <c r="V38" s="2012"/>
      <c r="W38" s="2012"/>
      <c r="X38" s="2012"/>
      <c r="Y38" s="2012"/>
      <c r="Z38" s="2012"/>
      <c r="AA38" s="2012"/>
      <c r="AB38" s="2012"/>
      <c r="AC38" s="2012"/>
      <c r="AD38" s="2012"/>
      <c r="AE38" s="2012"/>
      <c r="AF38" s="2012"/>
      <c r="AG38" s="2012"/>
      <c r="AH38" s="331"/>
      <c r="AI38" s="222"/>
      <c r="AJ38" s="222"/>
      <c r="AK38" s="222"/>
      <c r="AL38" s="1940" t="str">
        <f>activesheet!E25</f>
        <v>MICHAEL T. JAMIS / March 17, 2023</v>
      </c>
      <c r="AM38" s="1940"/>
      <c r="AN38" s="1940"/>
      <c r="AO38" s="1940"/>
      <c r="AP38" s="1940"/>
      <c r="AQ38" s="1940"/>
      <c r="AR38" s="1940"/>
      <c r="AS38" s="1940"/>
      <c r="AT38" s="1940"/>
      <c r="AU38" s="1940"/>
      <c r="AV38" s="1940"/>
      <c r="AW38" s="1940"/>
      <c r="AX38" s="1940"/>
      <c r="AY38" s="1940"/>
      <c r="AZ38" s="222"/>
      <c r="BA38" s="222"/>
      <c r="BB38" s="222"/>
      <c r="BC38" s="222"/>
      <c r="BD38" s="222"/>
      <c r="BE38" s="222"/>
      <c r="BF38" s="222"/>
    </row>
    <row r="39" spans="1:70" s="2" customFormat="1" ht="15.75" customHeight="1">
      <c r="A39" s="325"/>
      <c r="B39" s="228"/>
      <c r="C39" s="325"/>
      <c r="D39" s="325"/>
      <c r="E39" s="325"/>
      <c r="F39" s="1811" t="s">
        <v>37</v>
      </c>
      <c r="G39" s="1811"/>
      <c r="H39" s="1811"/>
      <c r="I39" s="1811"/>
      <c r="J39" s="1811"/>
      <c r="K39" s="1811"/>
      <c r="L39" s="1811"/>
      <c r="M39" s="1811"/>
      <c r="N39" s="1811"/>
      <c r="O39" s="1811"/>
      <c r="P39" s="281"/>
      <c r="Q39" s="281"/>
      <c r="R39" s="281"/>
      <c r="S39" s="281"/>
      <c r="T39" s="1811" t="s">
        <v>37</v>
      </c>
      <c r="U39" s="1811"/>
      <c r="V39" s="1811"/>
      <c r="W39" s="1811"/>
      <c r="X39" s="1811"/>
      <c r="Y39" s="1811"/>
      <c r="Z39" s="1811"/>
      <c r="AA39" s="1811"/>
      <c r="AB39" s="1811"/>
      <c r="AC39" s="1811"/>
      <c r="AD39" s="1811"/>
      <c r="AE39" s="1811"/>
      <c r="AF39" s="1811"/>
      <c r="AG39" s="1811"/>
      <c r="AH39" s="281"/>
      <c r="AI39" s="281"/>
      <c r="AJ39" s="281"/>
      <c r="AK39" s="281"/>
      <c r="AL39" s="1941"/>
      <c r="AM39" s="1941"/>
      <c r="AN39" s="1941"/>
      <c r="AO39" s="1941"/>
      <c r="AP39" s="1941"/>
      <c r="AQ39" s="1941"/>
      <c r="AR39" s="1941"/>
      <c r="AS39" s="1941"/>
      <c r="AT39" s="1941"/>
      <c r="AU39" s="1941"/>
      <c r="AV39" s="1941"/>
      <c r="AW39" s="1941"/>
      <c r="AX39" s="1941"/>
      <c r="AY39" s="1941"/>
      <c r="AZ39" s="228"/>
      <c r="BA39" s="281"/>
      <c r="BB39" s="560"/>
      <c r="BC39" s="560"/>
      <c r="BD39" s="560"/>
      <c r="BE39" s="560"/>
      <c r="BF39" s="560"/>
      <c r="BG39" s="10"/>
      <c r="BH39" s="10"/>
      <c r="BI39" s="10"/>
      <c r="BJ39" s="10"/>
      <c r="BK39" s="10"/>
      <c r="BL39" s="10"/>
      <c r="BM39" s="10"/>
      <c r="BN39" s="10"/>
      <c r="BO39" s="10"/>
      <c r="BP39" s="10"/>
      <c r="BQ39" s="10"/>
      <c r="BR39" s="10"/>
    </row>
    <row r="40" spans="1:70" s="46" customFormat="1" ht="21.75" customHeight="1">
      <c r="A40" s="222"/>
      <c r="B40" s="223" t="s">
        <v>240</v>
      </c>
      <c r="C40" s="222"/>
      <c r="D40" s="222"/>
      <c r="E40" s="222"/>
      <c r="F40" s="2012" t="str">
        <f>activesheet!E22</f>
        <v>SECONDARY SCHOOL PRINCIPAL IV</v>
      </c>
      <c r="G40" s="2012"/>
      <c r="H40" s="2012"/>
      <c r="I40" s="2012"/>
      <c r="J40" s="2012"/>
      <c r="K40" s="2012"/>
      <c r="L40" s="2012"/>
      <c r="M40" s="2012"/>
      <c r="N40" s="2012"/>
      <c r="O40" s="2012"/>
      <c r="P40" s="222"/>
      <c r="Q40" s="222"/>
      <c r="R40" s="222"/>
      <c r="S40" s="222"/>
      <c r="T40" s="223" t="s">
        <v>58</v>
      </c>
      <c r="U40" s="331"/>
      <c r="V40" s="331"/>
      <c r="W40" s="331"/>
      <c r="X40" s="2012" t="str">
        <f>activesheet!E2309</f>
        <v>ENGINEER III</v>
      </c>
      <c r="Y40" s="2012"/>
      <c r="Z40" s="2012"/>
      <c r="AA40" s="2012"/>
      <c r="AB40" s="2012"/>
      <c r="AC40" s="2012"/>
      <c r="AD40" s="2012"/>
      <c r="AE40" s="2012"/>
      <c r="AF40" s="2012"/>
      <c r="AG40" s="2012"/>
      <c r="AH40" s="222"/>
      <c r="AI40" s="222"/>
      <c r="AJ40" s="222"/>
      <c r="AK40" s="222"/>
      <c r="AL40" s="1811" t="s">
        <v>37</v>
      </c>
      <c r="AM40" s="1811"/>
      <c r="AN40" s="1811"/>
      <c r="AO40" s="1811"/>
      <c r="AP40" s="1811"/>
      <c r="AQ40" s="1811"/>
      <c r="AR40" s="1811"/>
      <c r="AS40" s="1811"/>
      <c r="AT40" s="1811"/>
      <c r="AU40" s="1811"/>
      <c r="AV40" s="1811"/>
      <c r="AW40" s="1811"/>
      <c r="AX40" s="1811"/>
      <c r="AY40" s="1811"/>
      <c r="AZ40" s="222"/>
      <c r="BA40" s="222"/>
      <c r="BB40" s="222"/>
      <c r="BC40" s="222"/>
      <c r="BD40" s="222"/>
      <c r="BE40" s="222"/>
      <c r="BF40" s="222"/>
    </row>
    <row r="41" spans="1:70" ht="15.75" customHeight="1">
      <c r="A41" s="238"/>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38"/>
      <c r="AW41" s="238"/>
      <c r="AX41" s="238"/>
      <c r="AY41" s="238"/>
      <c r="AZ41" s="238"/>
      <c r="BA41" s="238"/>
      <c r="BB41" s="238"/>
      <c r="BC41" s="238"/>
      <c r="BD41" s="238"/>
      <c r="BE41" s="238"/>
      <c r="BF41" s="238"/>
    </row>
    <row r="42" spans="1:70" ht="15.75" customHeight="1">
      <c r="A42" s="238"/>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38"/>
      <c r="AW42" s="238"/>
      <c r="AX42" s="238"/>
      <c r="AY42" s="238"/>
      <c r="AZ42" s="238"/>
      <c r="BA42" s="238"/>
      <c r="BB42" s="238"/>
      <c r="BC42" s="238"/>
      <c r="BD42" s="238"/>
      <c r="BE42" s="238"/>
      <c r="BF42" s="238"/>
    </row>
    <row r="43" spans="1:70" ht="15.75" customHeight="1">
      <c r="A43" s="238"/>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238"/>
      <c r="AO43" s="238"/>
      <c r="AP43" s="238"/>
      <c r="AQ43" s="238"/>
      <c r="AR43" s="238"/>
      <c r="AS43" s="238"/>
      <c r="AT43" s="238"/>
      <c r="AU43" s="238"/>
      <c r="AV43" s="238"/>
      <c r="AW43" s="238"/>
      <c r="AX43" s="238"/>
      <c r="AY43" s="238"/>
      <c r="AZ43" s="238"/>
      <c r="BA43" s="238"/>
      <c r="BB43" s="238"/>
      <c r="BC43" s="238"/>
      <c r="BD43" s="238"/>
      <c r="BE43" s="238"/>
      <c r="BF43" s="238"/>
    </row>
    <row r="44" spans="1:70" ht="15.75" customHeight="1">
      <c r="A44" s="238"/>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c r="AP44" s="238"/>
      <c r="AQ44" s="238"/>
      <c r="AR44" s="238"/>
      <c r="AS44" s="238"/>
      <c r="AT44" s="238"/>
      <c r="AU44" s="238"/>
      <c r="AV44" s="238"/>
      <c r="AW44" s="238"/>
      <c r="AX44" s="238"/>
      <c r="AY44" s="238"/>
      <c r="AZ44" s="238"/>
      <c r="BA44" s="238"/>
      <c r="BB44" s="238"/>
      <c r="BC44" s="238"/>
      <c r="BD44" s="238"/>
      <c r="BE44" s="238"/>
      <c r="BF44" s="238"/>
    </row>
    <row r="45" spans="1:70" ht="15.75" customHeight="1">
      <c r="A45" s="238"/>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38"/>
      <c r="AW45" s="238"/>
      <c r="AX45" s="238"/>
      <c r="AY45" s="238"/>
      <c r="AZ45" s="238"/>
      <c r="BA45" s="238"/>
      <c r="BB45" s="238"/>
      <c r="BC45" s="238"/>
      <c r="BD45" s="238"/>
      <c r="BE45" s="238"/>
      <c r="BF45" s="238"/>
    </row>
    <row r="46" spans="1:70" ht="15.75" customHeight="1">
      <c r="A46" s="238"/>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238"/>
      <c r="AO46" s="238"/>
      <c r="AP46" s="238"/>
      <c r="AQ46" s="238"/>
      <c r="AR46" s="238"/>
      <c r="AS46" s="238"/>
      <c r="AT46" s="238"/>
      <c r="AU46" s="238"/>
      <c r="AV46" s="238"/>
      <c r="AW46" s="238"/>
      <c r="AX46" s="238"/>
      <c r="AY46" s="238"/>
      <c r="AZ46" s="238"/>
      <c r="BA46" s="238"/>
      <c r="BB46" s="238"/>
      <c r="BC46" s="238"/>
      <c r="BD46" s="238"/>
      <c r="BE46" s="238"/>
      <c r="BF46" s="238"/>
    </row>
    <row r="47" spans="1:70" ht="15.75" customHeight="1">
      <c r="A47" s="238"/>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c r="AB47" s="238"/>
      <c r="AC47" s="238"/>
      <c r="AD47" s="238"/>
      <c r="AE47" s="238"/>
      <c r="AF47" s="238"/>
      <c r="AG47" s="238"/>
      <c r="AH47" s="238"/>
      <c r="AI47" s="238"/>
      <c r="AJ47" s="238"/>
      <c r="AK47" s="238"/>
      <c r="AL47" s="238"/>
      <c r="AM47" s="238"/>
      <c r="AN47" s="238"/>
      <c r="AO47" s="238"/>
      <c r="AP47" s="238"/>
      <c r="AQ47" s="238"/>
      <c r="AR47" s="238"/>
      <c r="AS47" s="238"/>
      <c r="AT47" s="238"/>
      <c r="AU47" s="238"/>
      <c r="AV47" s="238"/>
      <c r="AW47" s="238"/>
      <c r="AX47" s="238"/>
      <c r="AY47" s="238"/>
      <c r="AZ47" s="238"/>
      <c r="BA47" s="238"/>
      <c r="BB47" s="238"/>
      <c r="BC47" s="238"/>
      <c r="BD47" s="238"/>
      <c r="BE47" s="238"/>
      <c r="BF47" s="238"/>
    </row>
    <row r="48" spans="1:70" ht="15.75" customHeight="1">
      <c r="A48" s="238"/>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c r="Z48" s="238"/>
      <c r="AA48" s="238"/>
      <c r="AB48" s="238"/>
      <c r="AC48" s="238"/>
      <c r="AD48" s="238"/>
      <c r="AE48" s="238"/>
      <c r="AF48" s="238"/>
      <c r="AG48" s="238"/>
      <c r="AH48" s="238"/>
      <c r="AI48" s="238"/>
      <c r="AJ48" s="238"/>
      <c r="AK48" s="238"/>
      <c r="AL48" s="238"/>
      <c r="AM48" s="238"/>
      <c r="AN48" s="238"/>
      <c r="AO48" s="238"/>
      <c r="AP48" s="238"/>
      <c r="AQ48" s="238"/>
      <c r="AR48" s="238"/>
      <c r="AS48" s="238"/>
      <c r="AT48" s="238"/>
      <c r="AU48" s="238"/>
      <c r="AV48" s="238"/>
      <c r="AW48" s="238"/>
      <c r="AX48" s="238"/>
      <c r="AY48" s="238"/>
      <c r="AZ48" s="238"/>
      <c r="BA48" s="238"/>
      <c r="BB48" s="238"/>
      <c r="BC48" s="238"/>
      <c r="BD48" s="238"/>
      <c r="BE48" s="238"/>
      <c r="BF48" s="238"/>
    </row>
    <row r="49" spans="1:58" ht="15.75" customHeight="1">
      <c r="A49" s="238"/>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38"/>
      <c r="AW49" s="238"/>
      <c r="AX49" s="238"/>
      <c r="AY49" s="238"/>
      <c r="AZ49" s="238"/>
      <c r="BA49" s="238"/>
      <c r="BB49" s="238"/>
      <c r="BC49" s="238"/>
      <c r="BD49" s="238"/>
      <c r="BE49" s="238"/>
      <c r="BF49" s="238"/>
    </row>
    <row r="50" spans="1:58" ht="15.75" customHeight="1">
      <c r="A50" s="238"/>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c r="AB50" s="238"/>
      <c r="AC50" s="238"/>
      <c r="AD50" s="238"/>
      <c r="AE50" s="238"/>
      <c r="AF50" s="238"/>
      <c r="AG50" s="238"/>
      <c r="AH50" s="238"/>
      <c r="AI50" s="238"/>
      <c r="AJ50" s="238"/>
      <c r="AK50" s="238"/>
      <c r="AL50" s="238"/>
      <c r="AM50" s="238"/>
      <c r="AN50" s="238"/>
      <c r="AO50" s="238"/>
      <c r="AP50" s="238"/>
      <c r="AQ50" s="238"/>
      <c r="AR50" s="238"/>
      <c r="AS50" s="238"/>
      <c r="AT50" s="238"/>
      <c r="AU50" s="238"/>
      <c r="AV50" s="238"/>
      <c r="AW50" s="238"/>
      <c r="AX50" s="238"/>
      <c r="AY50" s="238"/>
      <c r="AZ50" s="238"/>
      <c r="BA50" s="238"/>
      <c r="BB50" s="238"/>
      <c r="BC50" s="238"/>
      <c r="BD50" s="238"/>
      <c r="BE50" s="238"/>
      <c r="BF50" s="238"/>
    </row>
    <row r="51" spans="1:58" ht="15.75" customHeight="1">
      <c r="A51" s="238"/>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c r="Z51" s="238"/>
      <c r="AA51" s="238"/>
      <c r="AB51" s="238"/>
      <c r="AC51" s="238"/>
      <c r="AD51" s="238"/>
      <c r="AE51" s="238"/>
      <c r="AF51" s="238"/>
      <c r="AG51" s="238"/>
      <c r="AH51" s="238"/>
      <c r="AI51" s="238"/>
      <c r="AJ51" s="238"/>
      <c r="AK51" s="238"/>
      <c r="AL51" s="238"/>
      <c r="AM51" s="238"/>
      <c r="AN51" s="238"/>
      <c r="AO51" s="238"/>
      <c r="AP51" s="238"/>
      <c r="AQ51" s="238"/>
      <c r="AR51" s="238"/>
      <c r="AS51" s="238"/>
      <c r="AT51" s="238"/>
      <c r="AU51" s="238"/>
      <c r="AV51" s="238"/>
      <c r="AW51" s="238"/>
      <c r="AX51" s="238"/>
      <c r="AY51" s="238"/>
      <c r="AZ51" s="238"/>
      <c r="BA51" s="238"/>
      <c r="BB51" s="238"/>
      <c r="BC51" s="238"/>
      <c r="BD51" s="238"/>
      <c r="BE51" s="238"/>
      <c r="BF51" s="238"/>
    </row>
    <row r="52" spans="1:58" ht="15.75" customHeight="1">
      <c r="A52" s="238"/>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c r="Z52" s="238"/>
      <c r="AA52" s="238"/>
      <c r="AB52" s="238"/>
      <c r="AC52" s="238"/>
      <c r="AD52" s="238"/>
      <c r="AE52" s="238"/>
      <c r="AF52" s="238"/>
      <c r="AG52" s="238"/>
      <c r="AH52" s="238"/>
      <c r="AI52" s="238"/>
      <c r="AJ52" s="238"/>
      <c r="AK52" s="238"/>
      <c r="AL52" s="238"/>
      <c r="AM52" s="238"/>
      <c r="AN52" s="238"/>
      <c r="AO52" s="238"/>
      <c r="AP52" s="238"/>
      <c r="AQ52" s="238"/>
      <c r="AR52" s="238"/>
      <c r="AS52" s="238"/>
      <c r="AT52" s="238"/>
      <c r="AU52" s="238"/>
      <c r="AV52" s="238"/>
      <c r="AW52" s="238"/>
      <c r="AX52" s="238"/>
      <c r="AY52" s="238"/>
      <c r="AZ52" s="238"/>
      <c r="BA52" s="238"/>
      <c r="BB52" s="238"/>
      <c r="BC52" s="238"/>
      <c r="BD52" s="238"/>
      <c r="BE52" s="238"/>
      <c r="BF52" s="238"/>
    </row>
    <row r="53" spans="1:58" ht="15.75" customHeight="1">
      <c r="A53" s="238"/>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c r="Z53" s="238"/>
      <c r="AA53" s="238"/>
      <c r="AB53" s="238"/>
      <c r="AC53" s="238"/>
      <c r="AD53" s="238"/>
      <c r="AE53" s="238"/>
      <c r="AF53" s="238"/>
      <c r="AG53" s="238"/>
      <c r="AH53" s="238"/>
      <c r="AI53" s="238"/>
      <c r="AJ53" s="238"/>
      <c r="AK53" s="238"/>
      <c r="AL53" s="238"/>
      <c r="AM53" s="238"/>
      <c r="AN53" s="238"/>
      <c r="AO53" s="238"/>
      <c r="AP53" s="238"/>
      <c r="AQ53" s="238"/>
      <c r="AR53" s="238"/>
      <c r="AS53" s="238"/>
      <c r="AT53" s="238"/>
      <c r="AU53" s="238"/>
      <c r="AV53" s="238"/>
      <c r="AW53" s="238"/>
      <c r="AX53" s="238"/>
      <c r="AY53" s="238"/>
      <c r="AZ53" s="238"/>
      <c r="BA53" s="238"/>
      <c r="BB53" s="238"/>
      <c r="BC53" s="238"/>
      <c r="BD53" s="238"/>
      <c r="BE53" s="238"/>
      <c r="BF53" s="238"/>
    </row>
    <row r="54" spans="1:58" ht="15.75" customHeight="1">
      <c r="A54" s="238"/>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c r="AB54" s="238"/>
      <c r="AC54" s="238"/>
      <c r="AD54" s="238"/>
      <c r="AE54" s="238"/>
      <c r="AF54" s="238"/>
      <c r="AG54" s="238"/>
      <c r="AH54" s="238"/>
      <c r="AI54" s="238"/>
      <c r="AJ54" s="238"/>
      <c r="AK54" s="238"/>
      <c r="AL54" s="238"/>
      <c r="AM54" s="238"/>
      <c r="AN54" s="238"/>
      <c r="AO54" s="238"/>
      <c r="AP54" s="238"/>
      <c r="AQ54" s="238"/>
      <c r="AR54" s="238"/>
      <c r="AS54" s="238"/>
      <c r="AT54" s="238"/>
      <c r="AU54" s="238"/>
      <c r="AV54" s="238"/>
      <c r="AW54" s="238"/>
      <c r="AX54" s="238"/>
      <c r="AY54" s="238"/>
      <c r="AZ54" s="238"/>
      <c r="BA54" s="238"/>
      <c r="BB54" s="238"/>
      <c r="BC54" s="238"/>
      <c r="BD54" s="238"/>
      <c r="BE54" s="238"/>
      <c r="BF54" s="238"/>
    </row>
    <row r="55" spans="1:58" ht="15.75" customHeight="1">
      <c r="A55" s="238"/>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c r="AB55" s="238"/>
      <c r="AC55" s="238"/>
      <c r="AD55" s="238"/>
      <c r="AE55" s="238"/>
      <c r="AF55" s="238"/>
      <c r="AG55" s="238"/>
      <c r="AH55" s="238"/>
      <c r="AI55" s="238"/>
      <c r="AJ55" s="238"/>
      <c r="AK55" s="238"/>
      <c r="AL55" s="238"/>
      <c r="AM55" s="238"/>
      <c r="AN55" s="238"/>
      <c r="AO55" s="238"/>
      <c r="AP55" s="238"/>
      <c r="AQ55" s="238"/>
      <c r="AR55" s="238"/>
      <c r="AS55" s="238"/>
      <c r="AT55" s="238"/>
      <c r="AU55" s="238"/>
      <c r="AV55" s="238"/>
      <c r="AW55" s="238"/>
      <c r="AX55" s="238"/>
      <c r="AY55" s="238"/>
      <c r="AZ55" s="238"/>
      <c r="BA55" s="238"/>
      <c r="BB55" s="238"/>
      <c r="BC55" s="238"/>
      <c r="BD55" s="238"/>
      <c r="BE55" s="238"/>
      <c r="BF55" s="238"/>
    </row>
    <row r="56" spans="1:58" ht="15.75" customHeight="1"/>
    <row r="57" spans="1:58" ht="15.75" customHeight="1"/>
    <row r="58" spans="1:58" ht="15.75" customHeight="1"/>
  </sheetData>
  <sheetProtection algorithmName="SHA-512" hashValue="KnHYZf5DiPdx+jxj7WT5DxweNWbwg2Oy+RP9JkH1x/g93AQqEMBk6+kU0AnDkqRpjSQasymCH+m14QGHG7b0fQ==" saltValue="90I+PO/x19/LE4lIHUTz0w==" spinCount="100000" sheet="1" objects="1" scenarios="1"/>
  <customSheetViews>
    <customSheetView guid="{6EFEFCA0-BF14-457A-85A3-29CBF2A862A5}" showGridLines="0" fitToPage="1" topLeftCell="A25">
      <selection sqref="A1:BC43"/>
      <pageMargins left="0.23622047244094491" right="0.78740157480314965" top="0.19685039370078741" bottom="0.19685039370078741" header="0" footer="0.11811023622047245"/>
      <printOptions horizontalCentered="1" verticalCentered="1"/>
      <pageSetup paperSize="5" scale="72" orientation="landscape" r:id="rId1"/>
      <headerFooter>
        <oddFooter>&amp;L&amp;10&amp;F &amp;A&amp;R&amp;10Page 26 of 61</oddFooter>
      </headerFooter>
    </customSheetView>
  </customSheetViews>
  <mergeCells count="31">
    <mergeCell ref="C4:AY4"/>
    <mergeCell ref="C5:AY5"/>
    <mergeCell ref="D6:AY6"/>
    <mergeCell ref="E7:AY7"/>
    <mergeCell ref="E8:AY8"/>
    <mergeCell ref="E9:AY9"/>
    <mergeCell ref="E10:AY10"/>
    <mergeCell ref="D11:AY11"/>
    <mergeCell ref="D12:AY12"/>
    <mergeCell ref="D13:AY13"/>
    <mergeCell ref="D14:AY14"/>
    <mergeCell ref="C15:AY15"/>
    <mergeCell ref="D16:AY16"/>
    <mergeCell ref="C17:AY17"/>
    <mergeCell ref="D18:AY18"/>
    <mergeCell ref="D20:AY20"/>
    <mergeCell ref="D21:AY21"/>
    <mergeCell ref="D22:AY22"/>
    <mergeCell ref="D24:AY24"/>
    <mergeCell ref="D25:AY25"/>
    <mergeCell ref="F40:O40"/>
    <mergeCell ref="X40:AG40"/>
    <mergeCell ref="AL40:AY40"/>
    <mergeCell ref="AB32:AF32"/>
    <mergeCell ref="AK34:AL35"/>
    <mergeCell ref="AM34:AV35"/>
    <mergeCell ref="F38:O38"/>
    <mergeCell ref="T38:AG38"/>
    <mergeCell ref="AL38:AY39"/>
    <mergeCell ref="F39:O39"/>
    <mergeCell ref="T39:AG39"/>
  </mergeCells>
  <printOptions horizontalCentered="1" verticalCentered="1"/>
  <pageMargins left="0.23622047244094491" right="0.78740157480314965" top="0.19685039370078741" bottom="0.19685039370078741" header="0" footer="0.11811023622047245"/>
  <pageSetup paperSize="5" scale="72" orientation="landscape" r:id="rId2"/>
  <headerFooter>
    <oddFooter>&amp;L&amp;10&amp;F &amp;A&amp;R&amp;10Page 26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65537" r:id="rId5" name="Check Box 1">
              <controlPr defaultSize="0" autoFill="0" autoLine="0" autoPict="0">
                <anchor moveWithCells="1">
                  <from>
                    <xdr:col>3</xdr:col>
                    <xdr:colOff>28575</xdr:colOff>
                    <xdr:row>30</xdr:row>
                    <xdr:rowOff>28575</xdr:rowOff>
                  </from>
                  <to>
                    <xdr:col>4</xdr:col>
                    <xdr:colOff>9525</xdr:colOff>
                    <xdr:row>30</xdr:row>
                    <xdr:rowOff>238125</xdr:rowOff>
                  </to>
                </anchor>
              </controlPr>
            </control>
          </mc:Choice>
        </mc:AlternateContent>
        <mc:AlternateContent xmlns:mc="http://schemas.openxmlformats.org/markup-compatibility/2006">
          <mc:Choice Requires="x14">
            <control shapeId="65538" r:id="rId6" name="Check Box 2">
              <controlPr defaultSize="0" autoFill="0" autoLine="0" autoPict="0">
                <anchor moveWithCells="1">
                  <from>
                    <xdr:col>3</xdr:col>
                    <xdr:colOff>28575</xdr:colOff>
                    <xdr:row>31</xdr:row>
                    <xdr:rowOff>28575</xdr:rowOff>
                  </from>
                  <to>
                    <xdr:col>3</xdr:col>
                    <xdr:colOff>266700</xdr:colOff>
                    <xdr:row>31</xdr:row>
                    <xdr:rowOff>219075</xdr:rowOff>
                  </to>
                </anchor>
              </controlPr>
            </control>
          </mc:Choice>
        </mc:AlternateContent>
        <mc:AlternateContent xmlns:mc="http://schemas.openxmlformats.org/markup-compatibility/2006">
          <mc:Choice Requires="x14">
            <control shapeId="65539" r:id="rId7" name="Check Box 3">
              <controlPr defaultSize="0" autoFill="0" autoLine="0" autoPict="0">
                <anchor moveWithCells="1">
                  <from>
                    <xdr:col>3</xdr:col>
                    <xdr:colOff>28575</xdr:colOff>
                    <xdr:row>31</xdr:row>
                    <xdr:rowOff>238125</xdr:rowOff>
                  </from>
                  <to>
                    <xdr:col>4</xdr:col>
                    <xdr:colOff>28575</xdr:colOff>
                    <xdr:row>33</xdr:row>
                    <xdr:rowOff>9525</xdr:rowOff>
                  </to>
                </anchor>
              </controlPr>
            </control>
          </mc:Choice>
        </mc:AlternateContent>
        <mc:AlternateContent xmlns:mc="http://schemas.openxmlformats.org/markup-compatibility/2006">
          <mc:Choice Requires="x14">
            <control shapeId="65540" r:id="rId8" name="Check Box 4">
              <controlPr defaultSize="0" autoFill="0" autoLine="0" autoPict="0">
                <anchor moveWithCells="1">
                  <from>
                    <xdr:col>12</xdr:col>
                    <xdr:colOff>28575</xdr:colOff>
                    <xdr:row>30</xdr:row>
                    <xdr:rowOff>9525</xdr:rowOff>
                  </from>
                  <to>
                    <xdr:col>12</xdr:col>
                    <xdr:colOff>257175</xdr:colOff>
                    <xdr:row>30</xdr:row>
                    <xdr:rowOff>219075</xdr:rowOff>
                  </to>
                </anchor>
              </controlPr>
            </control>
          </mc:Choice>
        </mc:AlternateContent>
        <mc:AlternateContent xmlns:mc="http://schemas.openxmlformats.org/markup-compatibility/2006">
          <mc:Choice Requires="x14">
            <control shapeId="65541" r:id="rId9" name="Check Box 5">
              <controlPr defaultSize="0" autoFill="0" autoLine="0" autoPict="0">
                <anchor moveWithCells="1">
                  <from>
                    <xdr:col>12</xdr:col>
                    <xdr:colOff>28575</xdr:colOff>
                    <xdr:row>30</xdr:row>
                    <xdr:rowOff>257175</xdr:rowOff>
                  </from>
                  <to>
                    <xdr:col>12</xdr:col>
                    <xdr:colOff>238125</xdr:colOff>
                    <xdr:row>31</xdr:row>
                    <xdr:rowOff>200025</xdr:rowOff>
                  </to>
                </anchor>
              </controlPr>
            </control>
          </mc:Choice>
        </mc:AlternateContent>
        <mc:AlternateContent xmlns:mc="http://schemas.openxmlformats.org/markup-compatibility/2006">
          <mc:Choice Requires="x14">
            <control shapeId="65542" r:id="rId10" name="Check Box 6">
              <controlPr defaultSize="0" autoFill="0" autoLine="0" autoPict="0">
                <anchor moveWithCells="1">
                  <from>
                    <xdr:col>12</xdr:col>
                    <xdr:colOff>28575</xdr:colOff>
                    <xdr:row>31</xdr:row>
                    <xdr:rowOff>257175</xdr:rowOff>
                  </from>
                  <to>
                    <xdr:col>13</xdr:col>
                    <xdr:colOff>28575</xdr:colOff>
                    <xdr:row>32</xdr:row>
                    <xdr:rowOff>238125</xdr:rowOff>
                  </to>
                </anchor>
              </controlPr>
            </control>
          </mc:Choice>
        </mc:AlternateContent>
        <mc:AlternateContent xmlns:mc="http://schemas.openxmlformats.org/markup-compatibility/2006">
          <mc:Choice Requires="x14">
            <control shapeId="65543" r:id="rId11" name="Check Box 7">
              <controlPr defaultSize="0" autoFill="0" autoLine="0" autoPict="0">
                <anchor moveWithCells="1">
                  <from>
                    <xdr:col>22</xdr:col>
                    <xdr:colOff>28575</xdr:colOff>
                    <xdr:row>30</xdr:row>
                    <xdr:rowOff>28575</xdr:rowOff>
                  </from>
                  <to>
                    <xdr:col>22</xdr:col>
                    <xdr:colOff>238125</xdr:colOff>
                    <xdr:row>30</xdr:row>
                    <xdr:rowOff>238125</xdr:rowOff>
                  </to>
                </anchor>
              </controlPr>
            </control>
          </mc:Choice>
        </mc:AlternateContent>
        <mc:AlternateContent xmlns:mc="http://schemas.openxmlformats.org/markup-compatibility/2006">
          <mc:Choice Requires="x14">
            <control shapeId="65544" r:id="rId12" name="Check Box 8">
              <controlPr defaultSize="0" autoFill="0" autoLine="0" autoPict="0">
                <anchor moveWithCells="1">
                  <from>
                    <xdr:col>22</xdr:col>
                    <xdr:colOff>28575</xdr:colOff>
                    <xdr:row>31</xdr:row>
                    <xdr:rowOff>28575</xdr:rowOff>
                  </from>
                  <to>
                    <xdr:col>23</xdr:col>
                    <xdr:colOff>9525</xdr:colOff>
                    <xdr:row>31</xdr:row>
                    <xdr:rowOff>219075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1763C-63F7-4EF9-A3EA-9B7278E3284E}">
  <sheetPr codeName="Sheet29">
    <tabColor rgb="FFFFFF00"/>
    <pageSetUpPr fitToPage="1"/>
  </sheetPr>
  <dimension ref="A1:BA53"/>
  <sheetViews>
    <sheetView showGridLines="0" zoomScaleNormal="100" workbookViewId="0">
      <selection sqref="A1:AU48"/>
    </sheetView>
  </sheetViews>
  <sheetFormatPr defaultColWidth="9" defaultRowHeight="15.75"/>
  <cols>
    <col min="1" max="1" width="2.125" style="44" customWidth="1"/>
    <col min="2" max="47" width="3.625" style="44" customWidth="1"/>
    <col min="48" max="48" width="2.125" style="44" customWidth="1"/>
    <col min="49" max="50" width="3.625" style="44" customWidth="1"/>
    <col min="51" max="51" width="2.125" style="44" customWidth="1"/>
    <col min="52" max="52" width="3.625" style="44" customWidth="1"/>
    <col min="53" max="53" width="3.625" style="434" customWidth="1"/>
    <col min="54" max="54" width="3.625" style="44" customWidth="1"/>
    <col min="55" max="16384" width="9" style="44"/>
  </cols>
  <sheetData>
    <row r="1" spans="1:53"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c r="AY1" s="434"/>
      <c r="AZ1" s="434"/>
    </row>
    <row r="2" spans="1:53" s="102" customFormat="1" ht="16.5" customHeight="1">
      <c r="A2" s="599"/>
      <c r="B2" s="599"/>
      <c r="C2" s="599"/>
      <c r="D2" s="599"/>
      <c r="E2" s="599"/>
      <c r="F2" s="599"/>
      <c r="G2" s="599"/>
      <c r="H2" s="683" t="s">
        <v>11408</v>
      </c>
      <c r="I2" s="683"/>
      <c r="J2" s="683"/>
      <c r="K2" s="683"/>
      <c r="L2" s="683"/>
      <c r="M2" s="684"/>
      <c r="N2" s="684"/>
      <c r="O2" s="684"/>
      <c r="P2" s="684"/>
      <c r="Q2" s="684"/>
      <c r="R2" s="684"/>
      <c r="S2" s="684"/>
      <c r="T2" s="684"/>
      <c r="U2" s="684"/>
      <c r="V2" s="684"/>
      <c r="W2" s="599"/>
      <c r="X2" s="599"/>
      <c r="Y2" s="599"/>
      <c r="Z2" s="599"/>
      <c r="AA2" s="599"/>
      <c r="AB2" s="599"/>
      <c r="AC2" s="599"/>
      <c r="AD2" s="599"/>
      <c r="AE2" s="599"/>
      <c r="AF2" s="599"/>
      <c r="AG2" s="599"/>
      <c r="AH2" s="599"/>
      <c r="AI2" s="599"/>
      <c r="AJ2" s="599"/>
      <c r="AK2" s="599"/>
      <c r="AL2" s="599"/>
      <c r="AM2" s="599"/>
      <c r="AN2" s="599"/>
      <c r="AO2" s="599"/>
      <c r="AP2" s="599"/>
      <c r="AQ2" s="599"/>
      <c r="AR2" s="599"/>
      <c r="AS2" s="599"/>
      <c r="AT2" s="599"/>
      <c r="AU2" s="599"/>
      <c r="AV2" s="599"/>
      <c r="AW2" s="599"/>
      <c r="AX2" s="599"/>
      <c r="AY2" s="599"/>
      <c r="AZ2" s="599"/>
      <c r="BA2" s="599"/>
    </row>
    <row r="3" spans="1:53" s="40" customFormat="1" ht="20.25" thickBot="1">
      <c r="A3" s="582"/>
      <c r="B3" s="582"/>
      <c r="C3" s="582"/>
      <c r="D3" s="582"/>
      <c r="E3" s="582"/>
      <c r="F3" s="582"/>
      <c r="G3" s="582"/>
      <c r="H3" s="604" t="s">
        <v>1972</v>
      </c>
      <c r="I3" s="582"/>
      <c r="J3" s="582"/>
      <c r="K3" s="582"/>
      <c r="L3" s="582"/>
      <c r="M3" s="582"/>
      <c r="N3" s="582"/>
      <c r="O3" s="582"/>
      <c r="P3" s="582"/>
      <c r="Q3" s="582"/>
      <c r="R3" s="625"/>
      <c r="S3" s="582"/>
      <c r="T3" s="625"/>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row>
    <row r="4" spans="1:53" s="40" customFormat="1">
      <c r="A4" s="582"/>
      <c r="B4" s="582"/>
      <c r="C4" s="582"/>
      <c r="D4" s="582"/>
      <c r="E4" s="582"/>
      <c r="F4" s="582"/>
      <c r="G4" s="582"/>
      <c r="H4" s="2893" t="s">
        <v>552</v>
      </c>
      <c r="I4" s="2894"/>
      <c r="J4" s="2894"/>
      <c r="K4" s="2894"/>
      <c r="L4" s="2894"/>
      <c r="M4" s="2894"/>
      <c r="N4" s="2894"/>
      <c r="O4" s="2894"/>
      <c r="P4" s="2894"/>
      <c r="Q4" s="3096"/>
      <c r="R4" s="2893" t="s">
        <v>43</v>
      </c>
      <c r="S4" s="2894"/>
      <c r="T4" s="2894"/>
      <c r="U4" s="2894"/>
      <c r="V4" s="2894"/>
      <c r="W4" s="2894"/>
      <c r="X4" s="2894"/>
      <c r="Y4" s="3096"/>
      <c r="Z4" s="2893" t="s">
        <v>44</v>
      </c>
      <c r="AA4" s="2894"/>
      <c r="AB4" s="2894"/>
      <c r="AC4" s="2894"/>
      <c r="AD4" s="2894"/>
      <c r="AE4" s="2894"/>
      <c r="AF4" s="2894"/>
      <c r="AG4" s="3143"/>
      <c r="AH4" s="3106" t="s">
        <v>579</v>
      </c>
      <c r="AI4" s="3107"/>
      <c r="AJ4" s="3107"/>
      <c r="AK4" s="3107"/>
      <c r="AL4" s="3107"/>
      <c r="AM4" s="3107"/>
      <c r="AN4" s="3107"/>
      <c r="AO4" s="3108"/>
      <c r="AP4" s="582"/>
      <c r="AQ4" s="582"/>
      <c r="AR4" s="582"/>
      <c r="AS4" s="582"/>
      <c r="AT4" s="582"/>
      <c r="AU4" s="582"/>
      <c r="AV4" s="582"/>
      <c r="AW4" s="582"/>
      <c r="AX4" s="582"/>
      <c r="AY4" s="582"/>
      <c r="AZ4" s="582"/>
      <c r="BA4" s="582"/>
    </row>
    <row r="5" spans="1:53" s="40" customFormat="1">
      <c r="A5" s="582"/>
      <c r="B5" s="582"/>
      <c r="C5" s="582"/>
      <c r="D5" s="582"/>
      <c r="E5" s="582"/>
      <c r="F5" s="582"/>
      <c r="G5" s="582"/>
      <c r="H5" s="3137"/>
      <c r="I5" s="3138"/>
      <c r="J5" s="3138"/>
      <c r="K5" s="3138"/>
      <c r="L5" s="3138"/>
      <c r="M5" s="3138"/>
      <c r="N5" s="3138"/>
      <c r="O5" s="3138"/>
      <c r="P5" s="3138"/>
      <c r="Q5" s="3139"/>
      <c r="R5" s="3097"/>
      <c r="S5" s="3098"/>
      <c r="T5" s="3098"/>
      <c r="U5" s="3098"/>
      <c r="V5" s="3098"/>
      <c r="W5" s="3098"/>
      <c r="X5" s="3098"/>
      <c r="Y5" s="3099"/>
      <c r="Z5" s="3097"/>
      <c r="AA5" s="3098"/>
      <c r="AB5" s="3098"/>
      <c r="AC5" s="3098"/>
      <c r="AD5" s="3098"/>
      <c r="AE5" s="3098"/>
      <c r="AF5" s="3098"/>
      <c r="AG5" s="3144"/>
      <c r="AH5" s="3109"/>
      <c r="AI5" s="3110"/>
      <c r="AJ5" s="3110"/>
      <c r="AK5" s="3110"/>
      <c r="AL5" s="3110"/>
      <c r="AM5" s="3110"/>
      <c r="AN5" s="3110"/>
      <c r="AO5" s="3111"/>
      <c r="AP5" s="582"/>
      <c r="AQ5" s="582"/>
      <c r="AR5" s="582"/>
      <c r="AS5" s="582"/>
      <c r="AT5" s="582"/>
      <c r="AU5" s="582"/>
      <c r="AV5" s="582"/>
      <c r="AW5" s="582"/>
      <c r="AX5" s="582"/>
      <c r="AY5" s="582"/>
      <c r="AZ5" s="582"/>
      <c r="BA5" s="582"/>
    </row>
    <row r="6" spans="1:53" s="40" customFormat="1" ht="16.5" thickBot="1">
      <c r="A6" s="582"/>
      <c r="B6" s="582"/>
      <c r="C6" s="582"/>
      <c r="D6" s="582"/>
      <c r="E6" s="582"/>
      <c r="F6" s="582"/>
      <c r="G6" s="582"/>
      <c r="H6" s="3140"/>
      <c r="I6" s="3141"/>
      <c r="J6" s="3141"/>
      <c r="K6" s="3141"/>
      <c r="L6" s="3141"/>
      <c r="M6" s="3141"/>
      <c r="N6" s="3141"/>
      <c r="O6" s="3141"/>
      <c r="P6" s="3141"/>
      <c r="Q6" s="3142"/>
      <c r="R6" s="2669" t="s">
        <v>45</v>
      </c>
      <c r="S6" s="2670"/>
      <c r="T6" s="2670"/>
      <c r="U6" s="2671"/>
      <c r="V6" s="3112" t="s">
        <v>46</v>
      </c>
      <c r="W6" s="2670"/>
      <c r="X6" s="2670"/>
      <c r="Y6" s="3113"/>
      <c r="Z6" s="2669" t="s">
        <v>45</v>
      </c>
      <c r="AA6" s="2670"/>
      <c r="AB6" s="2670"/>
      <c r="AC6" s="2671"/>
      <c r="AD6" s="3112" t="s">
        <v>46</v>
      </c>
      <c r="AE6" s="2670"/>
      <c r="AF6" s="2670"/>
      <c r="AG6" s="2672"/>
      <c r="AH6" s="3114" t="s">
        <v>45</v>
      </c>
      <c r="AI6" s="2670"/>
      <c r="AJ6" s="2670"/>
      <c r="AK6" s="2671"/>
      <c r="AL6" s="3112" t="s">
        <v>46</v>
      </c>
      <c r="AM6" s="2670"/>
      <c r="AN6" s="2670"/>
      <c r="AO6" s="3113"/>
      <c r="AP6" s="582"/>
      <c r="AQ6" s="582"/>
      <c r="AR6" s="582"/>
      <c r="AS6" s="582"/>
      <c r="AT6" s="582"/>
      <c r="AU6" s="582"/>
      <c r="AV6" s="582"/>
      <c r="AW6" s="582"/>
      <c r="AX6" s="582"/>
      <c r="AY6" s="582"/>
      <c r="AZ6" s="582"/>
      <c r="BA6" s="582"/>
    </row>
    <row r="7" spans="1:53" s="41" customFormat="1" ht="24.95" customHeight="1">
      <c r="A7" s="593"/>
      <c r="B7" s="593"/>
      <c r="C7" s="593"/>
      <c r="D7" s="593"/>
      <c r="E7" s="593"/>
      <c r="F7" s="593"/>
      <c r="G7" s="593"/>
      <c r="H7" s="957"/>
      <c r="I7" s="958" t="s">
        <v>553</v>
      </c>
      <c r="J7" s="958"/>
      <c r="K7" s="958"/>
      <c r="L7" s="958"/>
      <c r="M7" s="958"/>
      <c r="N7" s="958"/>
      <c r="O7" s="958"/>
      <c r="P7" s="958"/>
      <c r="Q7" s="959"/>
      <c r="R7" s="3126">
        <v>0</v>
      </c>
      <c r="S7" s="3127"/>
      <c r="T7" s="3127"/>
      <c r="U7" s="3128"/>
      <c r="V7" s="3129">
        <v>0</v>
      </c>
      <c r="W7" s="3127"/>
      <c r="X7" s="3127"/>
      <c r="Y7" s="3130"/>
      <c r="Z7" s="3126">
        <v>0</v>
      </c>
      <c r="AA7" s="3127"/>
      <c r="AB7" s="3127"/>
      <c r="AC7" s="3128"/>
      <c r="AD7" s="3129">
        <v>0</v>
      </c>
      <c r="AE7" s="3127"/>
      <c r="AF7" s="3127"/>
      <c r="AG7" s="3131"/>
      <c r="AH7" s="3132">
        <f>sch_heath_vacc_mcv_g11_m+sch_heath_vacc_mcv_g12_m</f>
        <v>0</v>
      </c>
      <c r="AI7" s="3133"/>
      <c r="AJ7" s="3133"/>
      <c r="AK7" s="3134"/>
      <c r="AL7" s="3135">
        <f>sch_heath_vacc_mcv_g11_f+sch_heath_vacc_mcv_g12_f</f>
        <v>0</v>
      </c>
      <c r="AM7" s="3133"/>
      <c r="AN7" s="3133"/>
      <c r="AO7" s="3136"/>
      <c r="AP7" s="593"/>
      <c r="AQ7" s="593"/>
      <c r="AR7" s="593"/>
      <c r="AS7" s="593"/>
      <c r="AT7" s="593"/>
      <c r="AU7" s="593"/>
      <c r="AV7" s="593"/>
      <c r="AW7" s="593"/>
      <c r="AX7" s="593"/>
      <c r="AY7" s="593"/>
      <c r="AZ7" s="593"/>
      <c r="BA7" s="593"/>
    </row>
    <row r="8" spans="1:53" s="41" customFormat="1" ht="24.95" customHeight="1" thickBot="1">
      <c r="A8" s="593"/>
      <c r="B8" s="593"/>
      <c r="C8" s="593"/>
      <c r="D8" s="593"/>
      <c r="E8" s="593"/>
      <c r="F8" s="593"/>
      <c r="G8" s="593"/>
      <c r="H8" s="594"/>
      <c r="I8" s="596" t="s">
        <v>554</v>
      </c>
      <c r="J8" s="596"/>
      <c r="K8" s="596"/>
      <c r="L8" s="596"/>
      <c r="M8" s="596"/>
      <c r="N8" s="596"/>
      <c r="O8" s="596"/>
      <c r="P8" s="596"/>
      <c r="Q8" s="597"/>
      <c r="R8" s="3115">
        <v>0</v>
      </c>
      <c r="S8" s="3116"/>
      <c r="T8" s="3116"/>
      <c r="U8" s="3117"/>
      <c r="V8" s="3118">
        <v>0</v>
      </c>
      <c r="W8" s="3116"/>
      <c r="X8" s="3116"/>
      <c r="Y8" s="3119"/>
      <c r="Z8" s="3115">
        <v>0</v>
      </c>
      <c r="AA8" s="3116"/>
      <c r="AB8" s="3116"/>
      <c r="AC8" s="3117"/>
      <c r="AD8" s="3118">
        <v>0</v>
      </c>
      <c r="AE8" s="3116"/>
      <c r="AF8" s="3116"/>
      <c r="AG8" s="3120"/>
      <c r="AH8" s="3121">
        <f>sch_heath_vacc_td_g11_m+sch_heath_vacc_td_g12_m</f>
        <v>0</v>
      </c>
      <c r="AI8" s="3122"/>
      <c r="AJ8" s="3122"/>
      <c r="AK8" s="3123"/>
      <c r="AL8" s="3124">
        <f>sch_heath_vacc_td_g11_f+sch_heath_vacc_td_g12_f</f>
        <v>0</v>
      </c>
      <c r="AM8" s="3122"/>
      <c r="AN8" s="3122"/>
      <c r="AO8" s="3125"/>
      <c r="AP8" s="593"/>
      <c r="AQ8" s="593"/>
      <c r="AR8" s="593"/>
      <c r="AS8" s="593"/>
      <c r="AT8" s="593"/>
      <c r="AU8" s="593"/>
      <c r="AV8" s="593"/>
      <c r="AW8" s="593"/>
      <c r="AX8" s="593"/>
      <c r="AY8" s="593"/>
      <c r="AZ8" s="593"/>
      <c r="BA8" s="593"/>
    </row>
    <row r="9" spans="1:53" s="41" customFormat="1" ht="20.100000000000001" customHeight="1">
      <c r="A9" s="593"/>
      <c r="B9" s="593"/>
      <c r="C9" s="593"/>
      <c r="D9" s="593"/>
      <c r="E9" s="593"/>
      <c r="F9" s="593"/>
      <c r="G9" s="593"/>
      <c r="H9" s="644"/>
      <c r="I9" s="645"/>
      <c r="J9" s="645"/>
      <c r="K9" s="645"/>
      <c r="L9" s="645"/>
      <c r="M9" s="645"/>
      <c r="N9" s="582"/>
      <c r="O9" s="582"/>
      <c r="P9" s="582"/>
      <c r="Q9" s="582"/>
      <c r="R9" s="635"/>
      <c r="S9" s="635"/>
      <c r="T9" s="635"/>
      <c r="U9" s="635"/>
      <c r="V9" s="582"/>
      <c r="W9" s="635"/>
      <c r="X9" s="635"/>
      <c r="Y9" s="635"/>
      <c r="Z9" s="635"/>
      <c r="AA9" s="582"/>
      <c r="AB9" s="635"/>
      <c r="AC9" s="635"/>
      <c r="AD9" s="635"/>
      <c r="AE9" s="635"/>
      <c r="AF9" s="593"/>
      <c r="AG9" s="593"/>
      <c r="AH9" s="593"/>
      <c r="AI9" s="593"/>
      <c r="AJ9" s="960"/>
      <c r="AK9" s="593"/>
      <c r="AL9" s="593"/>
      <c r="AM9" s="593"/>
      <c r="AN9" s="593"/>
      <c r="AO9" s="593"/>
      <c r="AP9" s="593"/>
      <c r="AQ9" s="593"/>
      <c r="AR9" s="593"/>
      <c r="AS9" s="593"/>
      <c r="AT9" s="593"/>
      <c r="AU9" s="593"/>
      <c r="AV9" s="593"/>
      <c r="AW9" s="593"/>
      <c r="AX9" s="593"/>
      <c r="AY9" s="593"/>
      <c r="AZ9" s="593"/>
      <c r="BA9" s="593"/>
    </row>
    <row r="10" spans="1:53" s="40" customFormat="1" ht="20.25" thickBot="1">
      <c r="A10" s="582"/>
      <c r="B10" s="582"/>
      <c r="C10" s="582"/>
      <c r="D10" s="582"/>
      <c r="E10" s="582"/>
      <c r="F10" s="582"/>
      <c r="G10" s="582"/>
      <c r="H10" s="604" t="s">
        <v>1032</v>
      </c>
      <c r="I10" s="582"/>
      <c r="J10" s="582"/>
      <c r="K10" s="582"/>
      <c r="L10" s="582"/>
      <c r="M10" s="582"/>
      <c r="N10" s="582"/>
      <c r="O10" s="582"/>
      <c r="P10" s="582"/>
      <c r="Q10" s="582"/>
      <c r="R10" s="582"/>
      <c r="S10" s="625"/>
      <c r="T10" s="582"/>
      <c r="U10" s="625"/>
      <c r="V10" s="582"/>
      <c r="W10" s="582"/>
      <c r="X10" s="582"/>
      <c r="Y10" s="582"/>
      <c r="Z10" s="582"/>
      <c r="AA10" s="582"/>
      <c r="AB10" s="582"/>
      <c r="AC10" s="582"/>
      <c r="AD10" s="582"/>
      <c r="AE10" s="582"/>
      <c r="AF10" s="582"/>
      <c r="AG10" s="582"/>
      <c r="AH10" s="582"/>
      <c r="AI10" s="645"/>
      <c r="AJ10" s="645"/>
      <c r="AK10" s="645"/>
      <c r="AL10" s="645"/>
      <c r="AM10" s="645"/>
      <c r="AN10" s="645"/>
      <c r="AO10" s="645"/>
      <c r="AP10" s="645"/>
      <c r="AQ10" s="645"/>
      <c r="AR10" s="645"/>
      <c r="AS10" s="645"/>
      <c r="AT10" s="645"/>
      <c r="AU10" s="645"/>
      <c r="AV10" s="645"/>
      <c r="AW10" s="645"/>
      <c r="AX10" s="582"/>
      <c r="AY10" s="582"/>
      <c r="AZ10" s="582"/>
      <c r="BA10" s="582"/>
    </row>
    <row r="11" spans="1:53" s="40" customFormat="1">
      <c r="A11" s="582"/>
      <c r="B11" s="582"/>
      <c r="C11" s="582"/>
      <c r="D11" s="582"/>
      <c r="E11" s="582"/>
      <c r="F11" s="582"/>
      <c r="G11" s="582"/>
      <c r="H11" s="2660" t="s">
        <v>555</v>
      </c>
      <c r="I11" s="2661"/>
      <c r="J11" s="2661"/>
      <c r="K11" s="2661"/>
      <c r="L11" s="2661"/>
      <c r="M11" s="2661"/>
      <c r="N11" s="2661"/>
      <c r="O11" s="2661"/>
      <c r="P11" s="2661"/>
      <c r="Q11" s="2662"/>
      <c r="R11" s="2893" t="s">
        <v>43</v>
      </c>
      <c r="S11" s="2894"/>
      <c r="T11" s="2894"/>
      <c r="U11" s="2894"/>
      <c r="V11" s="2894"/>
      <c r="W11" s="2894"/>
      <c r="X11" s="2894"/>
      <c r="Y11" s="3096"/>
      <c r="Z11" s="3100" t="s">
        <v>44</v>
      </c>
      <c r="AA11" s="3101"/>
      <c r="AB11" s="3101"/>
      <c r="AC11" s="3101"/>
      <c r="AD11" s="3101"/>
      <c r="AE11" s="3101"/>
      <c r="AF11" s="3101"/>
      <c r="AG11" s="3102"/>
      <c r="AH11" s="3106" t="s">
        <v>579</v>
      </c>
      <c r="AI11" s="3107"/>
      <c r="AJ11" s="3107"/>
      <c r="AK11" s="3107"/>
      <c r="AL11" s="3107"/>
      <c r="AM11" s="3107"/>
      <c r="AN11" s="3107"/>
      <c r="AO11" s="3108"/>
      <c r="AP11" s="588"/>
      <c r="AQ11" s="582"/>
      <c r="AR11" s="582"/>
      <c r="AS11" s="582"/>
      <c r="AT11" s="582"/>
      <c r="AU11" s="582"/>
      <c r="AV11" s="582"/>
      <c r="AW11" s="582"/>
      <c r="AX11" s="582"/>
      <c r="AY11" s="582"/>
      <c r="AZ11" s="582"/>
      <c r="BA11" s="582"/>
    </row>
    <row r="12" spans="1:53" s="40" customFormat="1">
      <c r="A12" s="582"/>
      <c r="B12" s="582"/>
      <c r="C12" s="582"/>
      <c r="D12" s="582"/>
      <c r="E12" s="582"/>
      <c r="F12" s="582"/>
      <c r="G12" s="582"/>
      <c r="H12" s="3093"/>
      <c r="I12" s="3094"/>
      <c r="J12" s="3094"/>
      <c r="K12" s="3094"/>
      <c r="L12" s="3094"/>
      <c r="M12" s="3094"/>
      <c r="N12" s="3094"/>
      <c r="O12" s="3094"/>
      <c r="P12" s="3094"/>
      <c r="Q12" s="3095"/>
      <c r="R12" s="3097"/>
      <c r="S12" s="3098"/>
      <c r="T12" s="3098"/>
      <c r="U12" s="3098"/>
      <c r="V12" s="3098"/>
      <c r="W12" s="3098"/>
      <c r="X12" s="3098"/>
      <c r="Y12" s="3099"/>
      <c r="Z12" s="3103"/>
      <c r="AA12" s="3104"/>
      <c r="AB12" s="3104"/>
      <c r="AC12" s="3104"/>
      <c r="AD12" s="3104"/>
      <c r="AE12" s="3104"/>
      <c r="AF12" s="3104"/>
      <c r="AG12" s="3105"/>
      <c r="AH12" s="3109"/>
      <c r="AI12" s="3110"/>
      <c r="AJ12" s="3110"/>
      <c r="AK12" s="3110"/>
      <c r="AL12" s="3110"/>
      <c r="AM12" s="3110"/>
      <c r="AN12" s="3110"/>
      <c r="AO12" s="3111"/>
      <c r="AP12" s="582"/>
      <c r="AQ12" s="582"/>
      <c r="AR12" s="582"/>
      <c r="AS12" s="582"/>
      <c r="AT12" s="582"/>
      <c r="AU12" s="582"/>
      <c r="AV12" s="582"/>
      <c r="AW12" s="582"/>
      <c r="AX12" s="582"/>
      <c r="AY12" s="582"/>
      <c r="AZ12" s="582"/>
      <c r="BA12" s="582"/>
    </row>
    <row r="13" spans="1:53" s="40" customFormat="1" ht="16.5" thickBot="1">
      <c r="A13" s="582"/>
      <c r="B13" s="582"/>
      <c r="C13" s="582"/>
      <c r="D13" s="582"/>
      <c r="E13" s="582"/>
      <c r="F13" s="582"/>
      <c r="G13" s="582"/>
      <c r="H13" s="2663"/>
      <c r="I13" s="2664"/>
      <c r="J13" s="2664"/>
      <c r="K13" s="2664"/>
      <c r="L13" s="2664"/>
      <c r="M13" s="2664"/>
      <c r="N13" s="2664"/>
      <c r="O13" s="2664"/>
      <c r="P13" s="2664"/>
      <c r="Q13" s="2665"/>
      <c r="R13" s="2669" t="s">
        <v>45</v>
      </c>
      <c r="S13" s="2670"/>
      <c r="T13" s="2670"/>
      <c r="U13" s="2671"/>
      <c r="V13" s="3112" t="s">
        <v>46</v>
      </c>
      <c r="W13" s="2670"/>
      <c r="X13" s="2670"/>
      <c r="Y13" s="3113"/>
      <c r="Z13" s="2669" t="s">
        <v>45</v>
      </c>
      <c r="AA13" s="2670"/>
      <c r="AB13" s="2670"/>
      <c r="AC13" s="2671"/>
      <c r="AD13" s="3112" t="s">
        <v>46</v>
      </c>
      <c r="AE13" s="2670"/>
      <c r="AF13" s="2670"/>
      <c r="AG13" s="2672"/>
      <c r="AH13" s="3114" t="s">
        <v>45</v>
      </c>
      <c r="AI13" s="2670"/>
      <c r="AJ13" s="2670"/>
      <c r="AK13" s="2671"/>
      <c r="AL13" s="3112" t="s">
        <v>46</v>
      </c>
      <c r="AM13" s="2670"/>
      <c r="AN13" s="2670"/>
      <c r="AO13" s="3113"/>
      <c r="AP13" s="582"/>
      <c r="AQ13" s="582"/>
      <c r="AR13" s="582"/>
      <c r="AS13" s="582"/>
      <c r="AT13" s="582"/>
      <c r="AU13" s="582"/>
      <c r="AV13" s="582"/>
      <c r="AW13" s="582"/>
      <c r="AX13" s="582"/>
      <c r="AY13" s="582"/>
      <c r="AZ13" s="582"/>
      <c r="BA13" s="582"/>
    </row>
    <row r="14" spans="1:53" s="40" customFormat="1" ht="16.5" customHeight="1">
      <c r="A14" s="582"/>
      <c r="B14" s="582"/>
      <c r="C14" s="582"/>
      <c r="D14" s="582"/>
      <c r="E14" s="582"/>
      <c r="F14" s="582"/>
      <c r="G14" s="582"/>
      <c r="H14" s="961" t="s">
        <v>556</v>
      </c>
      <c r="I14" s="962"/>
      <c r="J14" s="962"/>
      <c r="K14" s="962"/>
      <c r="L14" s="962"/>
      <c r="M14" s="962"/>
      <c r="N14" s="962"/>
      <c r="O14" s="962"/>
      <c r="P14" s="962"/>
      <c r="Q14" s="962"/>
      <c r="R14" s="3090"/>
      <c r="S14" s="3091"/>
      <c r="T14" s="3091"/>
      <c r="U14" s="3091"/>
      <c r="V14" s="3091"/>
      <c r="W14" s="3091"/>
      <c r="X14" s="3091"/>
      <c r="Y14" s="3091"/>
      <c r="Z14" s="3091"/>
      <c r="AA14" s="3091"/>
      <c r="AB14" s="3091"/>
      <c r="AC14" s="3091"/>
      <c r="AD14" s="3091"/>
      <c r="AE14" s="3091"/>
      <c r="AF14" s="3091"/>
      <c r="AG14" s="3091"/>
      <c r="AH14" s="3091"/>
      <c r="AI14" s="3091"/>
      <c r="AJ14" s="3091"/>
      <c r="AK14" s="3091"/>
      <c r="AL14" s="3091"/>
      <c r="AM14" s="3091"/>
      <c r="AN14" s="3091"/>
      <c r="AO14" s="3092"/>
      <c r="AP14" s="582"/>
      <c r="AQ14" s="582"/>
      <c r="AR14" s="582"/>
      <c r="AS14" s="582"/>
      <c r="AT14" s="582"/>
      <c r="AU14" s="582"/>
      <c r="AV14" s="582"/>
      <c r="AW14" s="582"/>
      <c r="AX14" s="582"/>
      <c r="AY14" s="582"/>
      <c r="AZ14" s="582"/>
      <c r="BA14" s="582"/>
    </row>
    <row r="15" spans="1:53" s="41" customFormat="1" ht="24.95" customHeight="1">
      <c r="A15" s="593"/>
      <c r="B15" s="593"/>
      <c r="C15" s="593"/>
      <c r="D15" s="593"/>
      <c r="E15" s="593"/>
      <c r="F15" s="593"/>
      <c r="G15" s="593"/>
      <c r="H15" s="963"/>
      <c r="I15" s="894" t="s">
        <v>557</v>
      </c>
      <c r="J15" s="964"/>
      <c r="K15" s="964"/>
      <c r="L15" s="964"/>
      <c r="M15" s="964"/>
      <c r="N15" s="964"/>
      <c r="O15" s="964"/>
      <c r="P15" s="964"/>
      <c r="Q15" s="964"/>
      <c r="R15" s="3079">
        <v>270</v>
      </c>
      <c r="S15" s="3080"/>
      <c r="T15" s="3080"/>
      <c r="U15" s="3081"/>
      <c r="V15" s="3082">
        <v>180</v>
      </c>
      <c r="W15" s="3080"/>
      <c r="X15" s="3080"/>
      <c r="Y15" s="3083"/>
      <c r="Z15" s="3079">
        <v>201</v>
      </c>
      <c r="AA15" s="3080"/>
      <c r="AB15" s="3080"/>
      <c r="AC15" s="3081"/>
      <c r="AD15" s="3082">
        <v>222</v>
      </c>
      <c r="AE15" s="3080"/>
      <c r="AF15" s="3080"/>
      <c r="AG15" s="3084"/>
      <c r="AH15" s="3085">
        <f>+sch_health_nsw_normal_g11_m+sch_health_nsw_normal_g12_m</f>
        <v>471</v>
      </c>
      <c r="AI15" s="3086"/>
      <c r="AJ15" s="3086"/>
      <c r="AK15" s="3087"/>
      <c r="AL15" s="3088">
        <f>+sch_health_nsw_normal_g11_f+sch_health_nsw_normal_g12_f</f>
        <v>402</v>
      </c>
      <c r="AM15" s="3086"/>
      <c r="AN15" s="3086"/>
      <c r="AO15" s="3089"/>
      <c r="AP15" s="593"/>
      <c r="AQ15" s="593"/>
      <c r="AR15" s="593"/>
      <c r="AS15" s="593"/>
      <c r="AT15" s="593"/>
      <c r="AU15" s="593"/>
      <c r="AV15" s="593"/>
      <c r="AW15" s="593"/>
      <c r="AX15" s="593"/>
      <c r="AY15" s="593"/>
      <c r="AZ15" s="593"/>
      <c r="BA15" s="593"/>
    </row>
    <row r="16" spans="1:53" s="41" customFormat="1" ht="24.95" customHeight="1">
      <c r="A16" s="593"/>
      <c r="B16" s="593"/>
      <c r="C16" s="593"/>
      <c r="D16" s="593"/>
      <c r="E16" s="593"/>
      <c r="F16" s="593"/>
      <c r="G16" s="593"/>
      <c r="H16" s="965"/>
      <c r="I16" s="894" t="s">
        <v>558</v>
      </c>
      <c r="J16" s="964"/>
      <c r="K16" s="964"/>
      <c r="L16" s="964"/>
      <c r="M16" s="964"/>
      <c r="N16" s="964"/>
      <c r="O16" s="964"/>
      <c r="P16" s="964"/>
      <c r="Q16" s="964"/>
      <c r="R16" s="3079">
        <v>0</v>
      </c>
      <c r="S16" s="3080"/>
      <c r="T16" s="3080"/>
      <c r="U16" s="3081"/>
      <c r="V16" s="3082">
        <v>0</v>
      </c>
      <c r="W16" s="3080"/>
      <c r="X16" s="3080"/>
      <c r="Y16" s="3083"/>
      <c r="Z16" s="3079">
        <v>0</v>
      </c>
      <c r="AA16" s="3080"/>
      <c r="AB16" s="3080"/>
      <c r="AC16" s="3081"/>
      <c r="AD16" s="3082">
        <v>0</v>
      </c>
      <c r="AE16" s="3080"/>
      <c r="AF16" s="3080"/>
      <c r="AG16" s="3084"/>
      <c r="AH16" s="3085">
        <f>+sch_health_nsw_obese_g11_m+sch_health_nsw_obese_g12_m</f>
        <v>0</v>
      </c>
      <c r="AI16" s="3086"/>
      <c r="AJ16" s="3086"/>
      <c r="AK16" s="3087"/>
      <c r="AL16" s="3088">
        <f>+sch_health_nsw_obese_g11_f+sch_health_nsw_obese_g12_f</f>
        <v>0</v>
      </c>
      <c r="AM16" s="3086"/>
      <c r="AN16" s="3086"/>
      <c r="AO16" s="3089"/>
      <c r="AP16" s="593"/>
      <c r="AQ16" s="593"/>
      <c r="AR16" s="593"/>
      <c r="AS16" s="593"/>
      <c r="AT16" s="593"/>
      <c r="AU16" s="593"/>
      <c r="AV16" s="593"/>
      <c r="AW16" s="593"/>
      <c r="AX16" s="593"/>
      <c r="AY16" s="593"/>
      <c r="AZ16" s="593"/>
      <c r="BA16" s="593"/>
    </row>
    <row r="17" spans="1:53" s="41" customFormat="1" ht="24.95" customHeight="1">
      <c r="A17" s="593"/>
      <c r="B17" s="593"/>
      <c r="C17" s="593"/>
      <c r="D17" s="593"/>
      <c r="E17" s="593"/>
      <c r="F17" s="593"/>
      <c r="G17" s="593"/>
      <c r="H17" s="965"/>
      <c r="I17" s="894" t="s">
        <v>559</v>
      </c>
      <c r="J17" s="964"/>
      <c r="K17" s="964"/>
      <c r="L17" s="964"/>
      <c r="M17" s="964"/>
      <c r="N17" s="964"/>
      <c r="O17" s="964"/>
      <c r="P17" s="964"/>
      <c r="Q17" s="964"/>
      <c r="R17" s="3079">
        <v>13</v>
      </c>
      <c r="S17" s="3080"/>
      <c r="T17" s="3080"/>
      <c r="U17" s="3081"/>
      <c r="V17" s="3082">
        <v>0</v>
      </c>
      <c r="W17" s="3080"/>
      <c r="X17" s="3080"/>
      <c r="Y17" s="3083"/>
      <c r="Z17" s="3079">
        <v>9</v>
      </c>
      <c r="AA17" s="3080"/>
      <c r="AB17" s="3080"/>
      <c r="AC17" s="3081"/>
      <c r="AD17" s="3082">
        <v>0</v>
      </c>
      <c r="AE17" s="3080"/>
      <c r="AF17" s="3080"/>
      <c r="AG17" s="3084"/>
      <c r="AH17" s="3085">
        <f>+sch_health_nsw_overweight_g11_m+sch_health_nsw_overweight_g12_m</f>
        <v>22</v>
      </c>
      <c r="AI17" s="3086"/>
      <c r="AJ17" s="3086"/>
      <c r="AK17" s="3087"/>
      <c r="AL17" s="3088">
        <f>+sch_health_nsw_overweight_g11_f+sch_health_nsw_overweight_g12_f</f>
        <v>0</v>
      </c>
      <c r="AM17" s="3086"/>
      <c r="AN17" s="3086"/>
      <c r="AO17" s="3089"/>
      <c r="AP17" s="593"/>
      <c r="AQ17" s="593"/>
      <c r="AR17" s="593"/>
      <c r="AS17" s="593"/>
      <c r="AT17" s="593"/>
      <c r="AU17" s="593"/>
      <c r="AV17" s="593"/>
      <c r="AW17" s="593"/>
      <c r="AX17" s="593"/>
      <c r="AY17" s="593"/>
      <c r="AZ17" s="593"/>
      <c r="BA17" s="593"/>
    </row>
    <row r="18" spans="1:53" s="41" customFormat="1" ht="24.95" customHeight="1">
      <c r="A18" s="593"/>
      <c r="B18" s="593"/>
      <c r="C18" s="593"/>
      <c r="D18" s="593"/>
      <c r="E18" s="593"/>
      <c r="F18" s="593"/>
      <c r="G18" s="593"/>
      <c r="H18" s="965"/>
      <c r="I18" s="894" t="s">
        <v>560</v>
      </c>
      <c r="J18" s="964"/>
      <c r="K18" s="964"/>
      <c r="L18" s="964"/>
      <c r="M18" s="964"/>
      <c r="N18" s="964"/>
      <c r="O18" s="964"/>
      <c r="P18" s="964"/>
      <c r="Q18" s="964"/>
      <c r="R18" s="3079">
        <v>4</v>
      </c>
      <c r="S18" s="3080"/>
      <c r="T18" s="3080"/>
      <c r="U18" s="3081"/>
      <c r="V18" s="3082">
        <v>0</v>
      </c>
      <c r="W18" s="3080"/>
      <c r="X18" s="3080"/>
      <c r="Y18" s="3083"/>
      <c r="Z18" s="3079">
        <v>12</v>
      </c>
      <c r="AA18" s="3080"/>
      <c r="AB18" s="3080"/>
      <c r="AC18" s="3081"/>
      <c r="AD18" s="3082">
        <v>0</v>
      </c>
      <c r="AE18" s="3080"/>
      <c r="AF18" s="3080"/>
      <c r="AG18" s="3084"/>
      <c r="AH18" s="3085">
        <f>+sch_health_nsw_severelywasted_g11_m+sch_health_nsw_severelywasted_g12_m</f>
        <v>16</v>
      </c>
      <c r="AI18" s="3086"/>
      <c r="AJ18" s="3086"/>
      <c r="AK18" s="3087"/>
      <c r="AL18" s="3088">
        <f>+sch_health_nsw_severelywasted_g11_f+sch_health_nsw_severelywasted_g12_f</f>
        <v>0</v>
      </c>
      <c r="AM18" s="3086"/>
      <c r="AN18" s="3086"/>
      <c r="AO18" s="3089"/>
      <c r="AP18" s="593"/>
      <c r="AQ18" s="593"/>
      <c r="AR18" s="593"/>
      <c r="AS18" s="593"/>
      <c r="AT18" s="593"/>
      <c r="AU18" s="593"/>
      <c r="AV18" s="593"/>
      <c r="AW18" s="593"/>
      <c r="AX18" s="593"/>
      <c r="AY18" s="593"/>
      <c r="AZ18" s="593"/>
      <c r="BA18" s="593"/>
    </row>
    <row r="19" spans="1:53" s="41" customFormat="1" ht="24.95" customHeight="1" thickBot="1">
      <c r="A19" s="593"/>
      <c r="B19" s="593"/>
      <c r="C19" s="593"/>
      <c r="D19" s="593"/>
      <c r="E19" s="593"/>
      <c r="F19" s="593"/>
      <c r="G19" s="593"/>
      <c r="H19" s="966"/>
      <c r="I19" s="967" t="s">
        <v>561</v>
      </c>
      <c r="J19" s="968"/>
      <c r="K19" s="968"/>
      <c r="L19" s="968"/>
      <c r="M19" s="968"/>
      <c r="N19" s="968"/>
      <c r="O19" s="968"/>
      <c r="P19" s="968"/>
      <c r="Q19" s="968"/>
      <c r="R19" s="3069">
        <v>33</v>
      </c>
      <c r="S19" s="2614"/>
      <c r="T19" s="2614"/>
      <c r="U19" s="3070"/>
      <c r="V19" s="3071">
        <v>40</v>
      </c>
      <c r="W19" s="2614"/>
      <c r="X19" s="2614"/>
      <c r="Y19" s="3072"/>
      <c r="Z19" s="3069">
        <v>17</v>
      </c>
      <c r="AA19" s="2614"/>
      <c r="AB19" s="2614"/>
      <c r="AC19" s="3070"/>
      <c r="AD19" s="3071">
        <v>26</v>
      </c>
      <c r="AE19" s="2614"/>
      <c r="AF19" s="2614"/>
      <c r="AG19" s="3073"/>
      <c r="AH19" s="3074">
        <f>+sch_health_nsw_wasted_g11_m+sch_health_nsw_wasted_g12_m</f>
        <v>50</v>
      </c>
      <c r="AI19" s="3075"/>
      <c r="AJ19" s="3075"/>
      <c r="AK19" s="3076"/>
      <c r="AL19" s="3077">
        <f>+sch_health_nsw_wasted_g11_f+sch_health_nsw_wasted_g12_f</f>
        <v>66</v>
      </c>
      <c r="AM19" s="3075"/>
      <c r="AN19" s="3075"/>
      <c r="AO19" s="3078"/>
      <c r="AP19" s="593"/>
      <c r="AQ19" s="593"/>
      <c r="AR19" s="593"/>
      <c r="AS19" s="593"/>
      <c r="AT19" s="593"/>
      <c r="AU19" s="593"/>
      <c r="AV19" s="593"/>
      <c r="AW19" s="593"/>
      <c r="AX19" s="593"/>
      <c r="AY19" s="593"/>
      <c r="AZ19" s="593"/>
      <c r="BA19" s="593"/>
    </row>
    <row r="20" spans="1:53" s="43" customFormat="1" ht="24.95" customHeight="1" thickTop="1" thickBot="1">
      <c r="A20" s="960"/>
      <c r="B20" s="960"/>
      <c r="C20" s="960"/>
      <c r="D20" s="960"/>
      <c r="E20" s="960"/>
      <c r="F20" s="960"/>
      <c r="G20" s="960"/>
      <c r="H20" s="723"/>
      <c r="I20" s="724" t="s">
        <v>42</v>
      </c>
      <c r="J20" s="724"/>
      <c r="K20" s="724"/>
      <c r="L20" s="724"/>
      <c r="M20" s="724"/>
      <c r="N20" s="724"/>
      <c r="O20" s="724"/>
      <c r="P20" s="724"/>
      <c r="Q20" s="724"/>
      <c r="R20" s="3062">
        <f>SUM(R15:U19)</f>
        <v>320</v>
      </c>
      <c r="S20" s="3063"/>
      <c r="T20" s="3063"/>
      <c r="U20" s="3064"/>
      <c r="V20" s="3062">
        <f>SUM(V15:Y19)</f>
        <v>220</v>
      </c>
      <c r="W20" s="3063"/>
      <c r="X20" s="3063"/>
      <c r="Y20" s="3064"/>
      <c r="Z20" s="3062">
        <f>SUM(Z15:AC19)</f>
        <v>239</v>
      </c>
      <c r="AA20" s="3063"/>
      <c r="AB20" s="3063"/>
      <c r="AC20" s="3064"/>
      <c r="AD20" s="3065">
        <f>SUM(AD15:AG19)</f>
        <v>248</v>
      </c>
      <c r="AE20" s="3063"/>
      <c r="AF20" s="3063"/>
      <c r="AG20" s="3067"/>
      <c r="AH20" s="3068">
        <f>SUM(AH15:AK19)</f>
        <v>559</v>
      </c>
      <c r="AI20" s="3063"/>
      <c r="AJ20" s="3063"/>
      <c r="AK20" s="3064"/>
      <c r="AL20" s="3065">
        <f>SUM(AL15:AO19)</f>
        <v>468</v>
      </c>
      <c r="AM20" s="3063"/>
      <c r="AN20" s="3063"/>
      <c r="AO20" s="3066"/>
      <c r="AP20" s="960"/>
      <c r="AQ20" s="960"/>
      <c r="AR20" s="960"/>
      <c r="AS20" s="960"/>
      <c r="AT20" s="960"/>
      <c r="AU20" s="960"/>
      <c r="AV20" s="960"/>
      <c r="AW20" s="960"/>
      <c r="AX20" s="960"/>
      <c r="AY20" s="960"/>
      <c r="AZ20" s="960"/>
      <c r="BA20" s="960"/>
    </row>
    <row r="21" spans="1:53" s="40" customFormat="1" ht="16.5" customHeight="1">
      <c r="A21" s="582"/>
      <c r="B21" s="582"/>
      <c r="C21" s="582"/>
      <c r="D21" s="582"/>
      <c r="E21" s="582"/>
      <c r="F21" s="582"/>
      <c r="G21" s="582"/>
      <c r="H21" s="961" t="s">
        <v>562</v>
      </c>
      <c r="I21" s="969"/>
      <c r="J21" s="969"/>
      <c r="K21" s="969"/>
      <c r="L21" s="969"/>
      <c r="M21" s="969"/>
      <c r="N21" s="969"/>
      <c r="O21" s="969"/>
      <c r="P21" s="969"/>
      <c r="Q21" s="970"/>
      <c r="R21" s="3090"/>
      <c r="S21" s="3091"/>
      <c r="T21" s="3091"/>
      <c r="U21" s="3091"/>
      <c r="V21" s="3091"/>
      <c r="W21" s="3091"/>
      <c r="X21" s="3091"/>
      <c r="Y21" s="3091"/>
      <c r="Z21" s="3091"/>
      <c r="AA21" s="3091"/>
      <c r="AB21" s="3091"/>
      <c r="AC21" s="3091"/>
      <c r="AD21" s="3091"/>
      <c r="AE21" s="3091"/>
      <c r="AF21" s="3091"/>
      <c r="AG21" s="3091"/>
      <c r="AH21" s="3091"/>
      <c r="AI21" s="3091"/>
      <c r="AJ21" s="3091"/>
      <c r="AK21" s="3091"/>
      <c r="AL21" s="3091"/>
      <c r="AM21" s="3091"/>
      <c r="AN21" s="3091"/>
      <c r="AO21" s="3092"/>
      <c r="AP21" s="582"/>
      <c r="AQ21" s="582"/>
      <c r="AR21" s="582"/>
      <c r="AS21" s="582"/>
      <c r="AT21" s="582"/>
      <c r="AU21" s="582"/>
      <c r="AV21" s="582"/>
      <c r="AW21" s="582"/>
      <c r="AX21" s="582"/>
      <c r="AY21" s="582"/>
      <c r="AZ21" s="582"/>
      <c r="BA21" s="582"/>
    </row>
    <row r="22" spans="1:53" s="41" customFormat="1" ht="24.95" customHeight="1">
      <c r="A22" s="593"/>
      <c r="B22" s="593"/>
      <c r="C22" s="593"/>
      <c r="D22" s="593"/>
      <c r="E22" s="593"/>
      <c r="F22" s="593"/>
      <c r="G22" s="593"/>
      <c r="H22" s="963"/>
      <c r="I22" s="894" t="s">
        <v>563</v>
      </c>
      <c r="J22" s="964"/>
      <c r="K22" s="964"/>
      <c r="L22" s="964"/>
      <c r="M22" s="964"/>
      <c r="N22" s="964"/>
      <c r="O22" s="964"/>
      <c r="P22" s="964"/>
      <c r="Q22" s="964"/>
      <c r="R22" s="3079">
        <v>70</v>
      </c>
      <c r="S22" s="3080"/>
      <c r="T22" s="3080"/>
      <c r="U22" s="3081"/>
      <c r="V22" s="3082">
        <v>4</v>
      </c>
      <c r="W22" s="3080"/>
      <c r="X22" s="3080"/>
      <c r="Y22" s="3083"/>
      <c r="Z22" s="3079">
        <v>35</v>
      </c>
      <c r="AA22" s="3080"/>
      <c r="AB22" s="3080"/>
      <c r="AC22" s="3081"/>
      <c r="AD22" s="3082">
        <v>4</v>
      </c>
      <c r="AE22" s="3080"/>
      <c r="AF22" s="3080"/>
      <c r="AG22" s="3084"/>
      <c r="AH22" s="3085">
        <f>+sch_health_nsh_severely_stunted_g11_m+sch_health_nsh_severely_stunted_g12_m</f>
        <v>105</v>
      </c>
      <c r="AI22" s="3086"/>
      <c r="AJ22" s="3086"/>
      <c r="AK22" s="3087"/>
      <c r="AL22" s="3088">
        <f>+sch_health_nsh_severely_stunted_g11_f+sch_health_nsh_severely_stunted_g12_f</f>
        <v>8</v>
      </c>
      <c r="AM22" s="3086"/>
      <c r="AN22" s="3086"/>
      <c r="AO22" s="3089"/>
      <c r="AP22" s="593"/>
      <c r="AQ22" s="593"/>
      <c r="AR22" s="593"/>
      <c r="AS22" s="593"/>
      <c r="AT22" s="593"/>
      <c r="AU22" s="593"/>
      <c r="AV22" s="593"/>
      <c r="AW22" s="593"/>
      <c r="AX22" s="593"/>
      <c r="AY22" s="593"/>
      <c r="AZ22" s="593"/>
      <c r="BA22" s="593"/>
    </row>
    <row r="23" spans="1:53" s="41" customFormat="1" ht="24.95" customHeight="1">
      <c r="A23" s="593"/>
      <c r="B23" s="593"/>
      <c r="C23" s="593"/>
      <c r="D23" s="593"/>
      <c r="E23" s="593"/>
      <c r="F23" s="593"/>
      <c r="G23" s="593"/>
      <c r="H23" s="965"/>
      <c r="I23" s="894" t="s">
        <v>564</v>
      </c>
      <c r="J23" s="964"/>
      <c r="K23" s="964"/>
      <c r="L23" s="964"/>
      <c r="M23" s="964"/>
      <c r="N23" s="964"/>
      <c r="O23" s="964"/>
      <c r="P23" s="964"/>
      <c r="Q23" s="964"/>
      <c r="R23" s="3079">
        <v>112</v>
      </c>
      <c r="S23" s="3080"/>
      <c r="T23" s="3080"/>
      <c r="U23" s="3081"/>
      <c r="V23" s="3082">
        <v>21</v>
      </c>
      <c r="W23" s="3080"/>
      <c r="X23" s="3080"/>
      <c r="Y23" s="3083"/>
      <c r="Z23" s="3079">
        <v>121</v>
      </c>
      <c r="AA23" s="3080"/>
      <c r="AB23" s="3080"/>
      <c r="AC23" s="3081"/>
      <c r="AD23" s="3082">
        <v>64</v>
      </c>
      <c r="AE23" s="3080"/>
      <c r="AF23" s="3080"/>
      <c r="AG23" s="3084"/>
      <c r="AH23" s="3085">
        <f>+sch_health_nsh_stunted_g11_m+sch_health_nsh_stunted_g12_m</f>
        <v>233</v>
      </c>
      <c r="AI23" s="3086"/>
      <c r="AJ23" s="3086"/>
      <c r="AK23" s="3087"/>
      <c r="AL23" s="3088">
        <f>+sch_health_nsh_stunted_g11_f+sch_health_nsh_stunted_g12_f</f>
        <v>85</v>
      </c>
      <c r="AM23" s="3086"/>
      <c r="AN23" s="3086"/>
      <c r="AO23" s="3089"/>
      <c r="AP23" s="593"/>
      <c r="AQ23" s="593"/>
      <c r="AR23" s="593"/>
      <c r="AS23" s="593"/>
      <c r="AT23" s="593"/>
      <c r="AU23" s="593"/>
      <c r="AV23" s="593"/>
      <c r="AW23" s="593"/>
      <c r="AX23" s="593"/>
      <c r="AY23" s="593"/>
      <c r="AZ23" s="593"/>
      <c r="BA23" s="593"/>
    </row>
    <row r="24" spans="1:53" s="41" customFormat="1" ht="24.95" customHeight="1">
      <c r="A24" s="593"/>
      <c r="B24" s="593"/>
      <c r="C24" s="593"/>
      <c r="D24" s="593"/>
      <c r="E24" s="593"/>
      <c r="F24" s="593"/>
      <c r="G24" s="593"/>
      <c r="H24" s="965"/>
      <c r="I24" s="894" t="s">
        <v>557</v>
      </c>
      <c r="J24" s="964"/>
      <c r="K24" s="964"/>
      <c r="L24" s="964"/>
      <c r="M24" s="964"/>
      <c r="N24" s="964"/>
      <c r="O24" s="964"/>
      <c r="P24" s="964"/>
      <c r="Q24" s="964"/>
      <c r="R24" s="3079">
        <v>137</v>
      </c>
      <c r="S24" s="3080"/>
      <c r="T24" s="3080"/>
      <c r="U24" s="3081"/>
      <c r="V24" s="3082">
        <v>195</v>
      </c>
      <c r="W24" s="3080"/>
      <c r="X24" s="3080"/>
      <c r="Y24" s="3083"/>
      <c r="Z24" s="3079">
        <v>80</v>
      </c>
      <c r="AA24" s="3080"/>
      <c r="AB24" s="3080"/>
      <c r="AC24" s="3081"/>
      <c r="AD24" s="3082">
        <v>178</v>
      </c>
      <c r="AE24" s="3080"/>
      <c r="AF24" s="3080"/>
      <c r="AG24" s="3084"/>
      <c r="AH24" s="3085">
        <f>+sch_health_nsh_normal_g11_m+sch_health_nsh_normal_g12_m</f>
        <v>217</v>
      </c>
      <c r="AI24" s="3086"/>
      <c r="AJ24" s="3086"/>
      <c r="AK24" s="3087"/>
      <c r="AL24" s="3088">
        <f>+sch_health_nsh_normal_g11_f+sch_health_nsh_normal_g12_f</f>
        <v>373</v>
      </c>
      <c r="AM24" s="3086"/>
      <c r="AN24" s="3086"/>
      <c r="AO24" s="3089"/>
      <c r="AP24" s="593"/>
      <c r="AQ24" s="593"/>
      <c r="AR24" s="593"/>
      <c r="AS24" s="593"/>
      <c r="AT24" s="593"/>
      <c r="AU24" s="593"/>
      <c r="AV24" s="593"/>
      <c r="AW24" s="593"/>
      <c r="AX24" s="593"/>
      <c r="AY24" s="593"/>
      <c r="AZ24" s="593"/>
      <c r="BA24" s="593"/>
    </row>
    <row r="25" spans="1:53" s="41" customFormat="1" ht="24.95" customHeight="1" thickBot="1">
      <c r="A25" s="593"/>
      <c r="B25" s="593"/>
      <c r="C25" s="593"/>
      <c r="D25" s="593"/>
      <c r="E25" s="593"/>
      <c r="F25" s="593"/>
      <c r="G25" s="593"/>
      <c r="H25" s="966"/>
      <c r="I25" s="967" t="s">
        <v>565</v>
      </c>
      <c r="J25" s="968"/>
      <c r="K25" s="968"/>
      <c r="L25" s="968"/>
      <c r="M25" s="968"/>
      <c r="N25" s="968"/>
      <c r="O25" s="968"/>
      <c r="P25" s="968"/>
      <c r="Q25" s="968"/>
      <c r="R25" s="3069">
        <v>0</v>
      </c>
      <c r="S25" s="2614"/>
      <c r="T25" s="2614"/>
      <c r="U25" s="3070"/>
      <c r="V25" s="3071">
        <v>0</v>
      </c>
      <c r="W25" s="2614"/>
      <c r="X25" s="2614"/>
      <c r="Y25" s="3072"/>
      <c r="Z25" s="3069">
        <v>0</v>
      </c>
      <c r="AA25" s="2614"/>
      <c r="AB25" s="2614"/>
      <c r="AC25" s="3070"/>
      <c r="AD25" s="3071">
        <v>0</v>
      </c>
      <c r="AE25" s="2614"/>
      <c r="AF25" s="2614"/>
      <c r="AG25" s="3073"/>
      <c r="AH25" s="3074">
        <f>+sch_health_nsh_tall_g11_m+sch_health_nsh_tall_g12_m</f>
        <v>0</v>
      </c>
      <c r="AI25" s="3075"/>
      <c r="AJ25" s="3075"/>
      <c r="AK25" s="3076"/>
      <c r="AL25" s="3077">
        <f>+sch_health_nsh_tall_g11_f+sch_health_nsh_tall_g12_f</f>
        <v>0</v>
      </c>
      <c r="AM25" s="3075"/>
      <c r="AN25" s="3075"/>
      <c r="AO25" s="3078"/>
      <c r="AP25" s="593"/>
      <c r="AQ25" s="593"/>
      <c r="AR25" s="593"/>
      <c r="AS25" s="593"/>
      <c r="AT25" s="593"/>
      <c r="AU25" s="593"/>
      <c r="AV25" s="593"/>
      <c r="AW25" s="593"/>
      <c r="AX25" s="593"/>
      <c r="AY25" s="593"/>
      <c r="AZ25" s="593"/>
      <c r="BA25" s="593"/>
    </row>
    <row r="26" spans="1:53" s="43" customFormat="1" ht="24.95" customHeight="1" thickTop="1" thickBot="1">
      <c r="A26" s="960"/>
      <c r="B26" s="960"/>
      <c r="C26" s="960"/>
      <c r="D26" s="960"/>
      <c r="E26" s="960"/>
      <c r="F26" s="960"/>
      <c r="G26" s="960"/>
      <c r="H26" s="723"/>
      <c r="I26" s="724" t="s">
        <v>42</v>
      </c>
      <c r="J26" s="724"/>
      <c r="K26" s="724"/>
      <c r="L26" s="724"/>
      <c r="M26" s="724"/>
      <c r="N26" s="724"/>
      <c r="O26" s="724"/>
      <c r="P26" s="724"/>
      <c r="Q26" s="724"/>
      <c r="R26" s="3062">
        <f>SUM(R22:U25)</f>
        <v>319</v>
      </c>
      <c r="S26" s="3063"/>
      <c r="T26" s="3063"/>
      <c r="U26" s="3064"/>
      <c r="V26" s="3065">
        <f>SUM(V22:Y25)</f>
        <v>220</v>
      </c>
      <c r="W26" s="3063"/>
      <c r="X26" s="3063"/>
      <c r="Y26" s="3066"/>
      <c r="Z26" s="3062">
        <f>SUM(Z22:AC25)</f>
        <v>236</v>
      </c>
      <c r="AA26" s="3063"/>
      <c r="AB26" s="3063"/>
      <c r="AC26" s="3064"/>
      <c r="AD26" s="3065">
        <f>SUM(AD22:AG25)</f>
        <v>246</v>
      </c>
      <c r="AE26" s="3063"/>
      <c r="AF26" s="3063"/>
      <c r="AG26" s="3067"/>
      <c r="AH26" s="3068">
        <f>SUM(AH22:AK25)</f>
        <v>555</v>
      </c>
      <c r="AI26" s="3063"/>
      <c r="AJ26" s="3063"/>
      <c r="AK26" s="3064"/>
      <c r="AL26" s="3065">
        <f>SUM(AL22:AO25)</f>
        <v>466</v>
      </c>
      <c r="AM26" s="3063"/>
      <c r="AN26" s="3063"/>
      <c r="AO26" s="3066"/>
      <c r="AP26" s="960"/>
      <c r="AQ26" s="960"/>
      <c r="AR26" s="960"/>
      <c r="AS26" s="960"/>
      <c r="AT26" s="960"/>
      <c r="AU26" s="960"/>
      <c r="AV26" s="960"/>
      <c r="AW26" s="960"/>
      <c r="AX26" s="960"/>
      <c r="AY26" s="960"/>
      <c r="AZ26" s="960"/>
      <c r="BA26" s="960"/>
    </row>
    <row r="27" spans="1:53" s="5" customFormat="1" ht="15" customHeight="1">
      <c r="A27" s="273"/>
      <c r="B27" s="273"/>
      <c r="C27" s="273"/>
      <c r="D27" s="273"/>
      <c r="E27" s="273"/>
      <c r="F27" s="273"/>
      <c r="G27" s="273"/>
      <c r="H27" s="971" t="s">
        <v>566</v>
      </c>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row>
    <row r="28" spans="1:53" s="5" customFormat="1" ht="15" customHeight="1">
      <c r="A28" s="273"/>
      <c r="B28" s="273"/>
      <c r="C28" s="273"/>
      <c r="D28" s="273"/>
      <c r="E28" s="273"/>
      <c r="F28" s="273"/>
      <c r="G28" s="273"/>
      <c r="H28" s="273"/>
      <c r="I28" s="600" t="s">
        <v>47</v>
      </c>
      <c r="J28" s="3061" t="s">
        <v>567</v>
      </c>
      <c r="K28" s="3061"/>
      <c r="L28" s="3061"/>
      <c r="M28" s="3061"/>
      <c r="N28" s="3061"/>
      <c r="O28" s="3061"/>
      <c r="P28" s="3061"/>
      <c r="Q28" s="3061"/>
      <c r="R28" s="3061"/>
      <c r="S28" s="3061"/>
      <c r="T28" s="3061"/>
      <c r="U28" s="3061"/>
      <c r="V28" s="3061"/>
      <c r="W28" s="3061"/>
      <c r="X28" s="3061"/>
      <c r="Y28" s="3061"/>
      <c r="Z28" s="3061"/>
      <c r="AA28" s="3061"/>
      <c r="AB28" s="3061"/>
      <c r="AC28" s="3061"/>
      <c r="AD28" s="3061"/>
      <c r="AE28" s="3061"/>
      <c r="AF28" s="3061"/>
      <c r="AG28" s="3061"/>
      <c r="AH28" s="3061"/>
      <c r="AI28" s="3061"/>
      <c r="AJ28" s="3061"/>
      <c r="AK28" s="3061"/>
      <c r="AL28" s="3061"/>
      <c r="AM28" s="3061"/>
      <c r="AN28" s="3061"/>
      <c r="AO28" s="3061"/>
      <c r="AP28" s="3061"/>
      <c r="AQ28" s="3061"/>
      <c r="AR28" s="3061"/>
      <c r="AS28" s="3061"/>
      <c r="AT28" s="972"/>
      <c r="AU28" s="972"/>
      <c r="AV28" s="972"/>
      <c r="AW28" s="273"/>
      <c r="AX28" s="273"/>
      <c r="AY28" s="273"/>
      <c r="AZ28" s="273"/>
      <c r="BA28" s="273"/>
    </row>
    <row r="29" spans="1:53" s="5" customFormat="1" ht="15" customHeight="1">
      <c r="A29" s="273"/>
      <c r="B29" s="273"/>
      <c r="C29" s="273"/>
      <c r="D29" s="273"/>
      <c r="E29" s="273"/>
      <c r="F29" s="273"/>
      <c r="G29" s="273"/>
      <c r="H29" s="273"/>
      <c r="I29" s="600" t="s">
        <v>48</v>
      </c>
      <c r="J29" s="3061" t="s">
        <v>568</v>
      </c>
      <c r="K29" s="3061"/>
      <c r="L29" s="3061"/>
      <c r="M29" s="3061"/>
      <c r="N29" s="3061"/>
      <c r="O29" s="3061"/>
      <c r="P29" s="3061"/>
      <c r="Q29" s="3061"/>
      <c r="R29" s="3061"/>
      <c r="S29" s="3061"/>
      <c r="T29" s="3061"/>
      <c r="U29" s="3061"/>
      <c r="V29" s="3061"/>
      <c r="W29" s="3061"/>
      <c r="X29" s="3061"/>
      <c r="Y29" s="3061"/>
      <c r="Z29" s="3061"/>
      <c r="AA29" s="3061"/>
      <c r="AB29" s="3061"/>
      <c r="AC29" s="3061"/>
      <c r="AD29" s="3061"/>
      <c r="AE29" s="3061"/>
      <c r="AF29" s="3061"/>
      <c r="AG29" s="3061"/>
      <c r="AH29" s="3061"/>
      <c r="AI29" s="3061"/>
      <c r="AJ29" s="3061"/>
      <c r="AK29" s="3061"/>
      <c r="AL29" s="3061"/>
      <c r="AM29" s="3061"/>
      <c r="AN29" s="3061"/>
      <c r="AO29" s="3061"/>
      <c r="AP29" s="3061"/>
      <c r="AQ29" s="3061"/>
      <c r="AR29" s="3061"/>
      <c r="AS29" s="3061"/>
      <c r="AT29" s="972"/>
      <c r="AU29" s="972"/>
      <c r="AV29" s="972"/>
      <c r="AW29" s="273"/>
      <c r="AX29" s="273"/>
      <c r="AY29" s="273"/>
      <c r="AZ29" s="273"/>
      <c r="BA29" s="273"/>
    </row>
    <row r="30" spans="1:53" s="5" customFormat="1" ht="15" customHeight="1">
      <c r="A30" s="273"/>
      <c r="B30" s="273"/>
      <c r="C30" s="273"/>
      <c r="D30" s="273"/>
      <c r="E30" s="273"/>
      <c r="F30" s="273"/>
      <c r="G30" s="273"/>
      <c r="H30" s="273"/>
      <c r="I30" s="600" t="s">
        <v>49</v>
      </c>
      <c r="J30" s="3061" t="s">
        <v>569</v>
      </c>
      <c r="K30" s="3061"/>
      <c r="L30" s="3061"/>
      <c r="M30" s="3061"/>
      <c r="N30" s="3061"/>
      <c r="O30" s="3061"/>
      <c r="P30" s="3061"/>
      <c r="Q30" s="3061"/>
      <c r="R30" s="3061"/>
      <c r="S30" s="3061"/>
      <c r="T30" s="3061"/>
      <c r="U30" s="3061"/>
      <c r="V30" s="3061"/>
      <c r="W30" s="3061"/>
      <c r="X30" s="3061"/>
      <c r="Y30" s="3061"/>
      <c r="Z30" s="3061"/>
      <c r="AA30" s="3061"/>
      <c r="AB30" s="3061"/>
      <c r="AC30" s="3061"/>
      <c r="AD30" s="3061"/>
      <c r="AE30" s="3061"/>
      <c r="AF30" s="3061"/>
      <c r="AG30" s="3061"/>
      <c r="AH30" s="3061"/>
      <c r="AI30" s="3061"/>
      <c r="AJ30" s="3061"/>
      <c r="AK30" s="3061"/>
      <c r="AL30" s="3061"/>
      <c r="AM30" s="3061"/>
      <c r="AN30" s="3061"/>
      <c r="AO30" s="3061"/>
      <c r="AP30" s="3061"/>
      <c r="AQ30" s="3061"/>
      <c r="AR30" s="3061"/>
      <c r="AS30" s="3061"/>
      <c r="AT30" s="972"/>
      <c r="AU30" s="972"/>
      <c r="AV30" s="972"/>
      <c r="AW30" s="273"/>
      <c r="AX30" s="273"/>
      <c r="AY30" s="273"/>
      <c r="AZ30" s="273"/>
      <c r="BA30" s="273"/>
    </row>
    <row r="31" spans="1:53" s="5" customFormat="1" ht="15" customHeight="1">
      <c r="A31" s="273"/>
      <c r="B31" s="273"/>
      <c r="C31" s="273"/>
      <c r="D31" s="273"/>
      <c r="E31" s="273"/>
      <c r="F31" s="273"/>
      <c r="G31" s="273"/>
      <c r="H31" s="273"/>
      <c r="I31" s="600" t="s">
        <v>50</v>
      </c>
      <c r="J31" s="3061" t="s">
        <v>570</v>
      </c>
      <c r="K31" s="3061"/>
      <c r="L31" s="3061"/>
      <c r="M31" s="3061"/>
      <c r="N31" s="3061"/>
      <c r="O31" s="3061"/>
      <c r="P31" s="3061"/>
      <c r="Q31" s="3061"/>
      <c r="R31" s="3061"/>
      <c r="S31" s="3061"/>
      <c r="T31" s="3061"/>
      <c r="U31" s="3061"/>
      <c r="V31" s="3061"/>
      <c r="W31" s="3061"/>
      <c r="X31" s="3061"/>
      <c r="Y31" s="3061"/>
      <c r="Z31" s="3061"/>
      <c r="AA31" s="3061"/>
      <c r="AB31" s="3061"/>
      <c r="AC31" s="3061"/>
      <c r="AD31" s="3061"/>
      <c r="AE31" s="3061"/>
      <c r="AF31" s="3061"/>
      <c r="AG31" s="3061"/>
      <c r="AH31" s="3061"/>
      <c r="AI31" s="3061"/>
      <c r="AJ31" s="3061"/>
      <c r="AK31" s="3061"/>
      <c r="AL31" s="3061"/>
      <c r="AM31" s="3061"/>
      <c r="AN31" s="3061"/>
      <c r="AO31" s="3061"/>
      <c r="AP31" s="3061"/>
      <c r="AQ31" s="3061"/>
      <c r="AR31" s="3061"/>
      <c r="AS31" s="3061"/>
      <c r="AT31" s="972"/>
      <c r="AU31" s="972"/>
      <c r="AV31" s="972"/>
      <c r="AW31" s="273"/>
      <c r="AX31" s="273"/>
      <c r="AY31" s="273"/>
      <c r="AZ31" s="273"/>
      <c r="BA31" s="273"/>
    </row>
    <row r="32" spans="1:53" s="5" customFormat="1" ht="15" customHeight="1">
      <c r="A32" s="273"/>
      <c r="B32" s="273"/>
      <c r="C32" s="273"/>
      <c r="D32" s="273"/>
      <c r="E32" s="273"/>
      <c r="F32" s="273"/>
      <c r="G32" s="273"/>
      <c r="H32" s="273"/>
      <c r="I32" s="600" t="s">
        <v>51</v>
      </c>
      <c r="J32" s="3061" t="s">
        <v>571</v>
      </c>
      <c r="K32" s="3061"/>
      <c r="L32" s="3061"/>
      <c r="M32" s="3061"/>
      <c r="N32" s="3061"/>
      <c r="O32" s="3061"/>
      <c r="P32" s="3061"/>
      <c r="Q32" s="3061"/>
      <c r="R32" s="3061"/>
      <c r="S32" s="3061"/>
      <c r="T32" s="3061"/>
      <c r="U32" s="3061"/>
      <c r="V32" s="3061"/>
      <c r="W32" s="3061"/>
      <c r="X32" s="3061"/>
      <c r="Y32" s="3061"/>
      <c r="Z32" s="3061"/>
      <c r="AA32" s="3061"/>
      <c r="AB32" s="3061"/>
      <c r="AC32" s="3061"/>
      <c r="AD32" s="3061"/>
      <c r="AE32" s="3061"/>
      <c r="AF32" s="3061"/>
      <c r="AG32" s="3061"/>
      <c r="AH32" s="3061"/>
      <c r="AI32" s="3061"/>
      <c r="AJ32" s="3061"/>
      <c r="AK32" s="3061"/>
      <c r="AL32" s="3061"/>
      <c r="AM32" s="3061"/>
      <c r="AN32" s="3061"/>
      <c r="AO32" s="3061"/>
      <c r="AP32" s="3061"/>
      <c r="AQ32" s="3061"/>
      <c r="AR32" s="3061"/>
      <c r="AS32" s="3061"/>
      <c r="AT32" s="972"/>
      <c r="AU32" s="972"/>
      <c r="AV32" s="972"/>
      <c r="AW32" s="273"/>
      <c r="AX32" s="273"/>
      <c r="AY32" s="273"/>
      <c r="AZ32" s="273"/>
      <c r="BA32" s="273"/>
    </row>
    <row r="33" spans="1:53" s="5" customFormat="1" ht="9.9499999999999993" customHeight="1">
      <c r="A33" s="273"/>
      <c r="B33" s="273"/>
      <c r="C33" s="273"/>
      <c r="D33" s="273"/>
      <c r="E33" s="273"/>
      <c r="F33" s="273"/>
      <c r="G33" s="273"/>
      <c r="H33" s="273"/>
      <c r="I33" s="973"/>
      <c r="J33" s="972"/>
      <c r="K33" s="972"/>
      <c r="L33" s="972"/>
      <c r="M33" s="972"/>
      <c r="N33" s="972"/>
      <c r="O33" s="972"/>
      <c r="P33" s="972"/>
      <c r="Q33" s="972"/>
      <c r="R33" s="972"/>
      <c r="S33" s="972"/>
      <c r="T33" s="972"/>
      <c r="U33" s="972"/>
      <c r="V33" s="972"/>
      <c r="W33" s="972"/>
      <c r="X33" s="972"/>
      <c r="Y33" s="972"/>
      <c r="Z33" s="972"/>
      <c r="AA33" s="972"/>
      <c r="AB33" s="972"/>
      <c r="AC33" s="972"/>
      <c r="AD33" s="972"/>
      <c r="AE33" s="972"/>
      <c r="AF33" s="972"/>
      <c r="AG33" s="972"/>
      <c r="AH33" s="972"/>
      <c r="AI33" s="972"/>
      <c r="AJ33" s="972"/>
      <c r="AK33" s="972"/>
      <c r="AL33" s="972"/>
      <c r="AM33" s="972"/>
      <c r="AN33" s="972"/>
      <c r="AO33" s="972"/>
      <c r="AP33" s="972"/>
      <c r="AQ33" s="972"/>
      <c r="AR33" s="972"/>
      <c r="AS33" s="972"/>
      <c r="AT33" s="972"/>
      <c r="AU33" s="972"/>
      <c r="AV33" s="972"/>
      <c r="AW33" s="273"/>
      <c r="AX33" s="273"/>
      <c r="AY33" s="273"/>
      <c r="AZ33" s="273"/>
      <c r="BA33" s="273"/>
    </row>
    <row r="34" spans="1:53" s="5" customFormat="1" ht="15" customHeight="1">
      <c r="A34" s="273"/>
      <c r="B34" s="273"/>
      <c r="C34" s="273"/>
      <c r="D34" s="273"/>
      <c r="E34" s="273"/>
      <c r="F34" s="273"/>
      <c r="G34" s="273"/>
      <c r="H34" s="971" t="s">
        <v>572</v>
      </c>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273"/>
      <c r="AT34" s="273"/>
      <c r="AU34" s="273"/>
      <c r="AV34" s="273"/>
      <c r="AW34" s="273"/>
      <c r="AX34" s="273"/>
      <c r="AY34" s="273"/>
      <c r="AZ34" s="273"/>
      <c r="BA34" s="273"/>
    </row>
    <row r="35" spans="1:53" s="5" customFormat="1" ht="15" customHeight="1">
      <c r="A35" s="273"/>
      <c r="B35" s="273"/>
      <c r="C35" s="273"/>
      <c r="D35" s="273"/>
      <c r="E35" s="273"/>
      <c r="F35" s="273"/>
      <c r="G35" s="273"/>
      <c r="H35" s="273"/>
      <c r="I35" s="600" t="s">
        <v>47</v>
      </c>
      <c r="J35" s="3061" t="s">
        <v>573</v>
      </c>
      <c r="K35" s="3061"/>
      <c r="L35" s="3061"/>
      <c r="M35" s="3061"/>
      <c r="N35" s="3061"/>
      <c r="O35" s="3061"/>
      <c r="P35" s="3061"/>
      <c r="Q35" s="3061"/>
      <c r="R35" s="3061"/>
      <c r="S35" s="3061"/>
      <c r="T35" s="3061"/>
      <c r="U35" s="3061"/>
      <c r="V35" s="3061"/>
      <c r="W35" s="3061"/>
      <c r="X35" s="3061"/>
      <c r="Y35" s="3061"/>
      <c r="Z35" s="3061"/>
      <c r="AA35" s="3061"/>
      <c r="AB35" s="3061"/>
      <c r="AC35" s="3061"/>
      <c r="AD35" s="3061"/>
      <c r="AE35" s="3061"/>
      <c r="AF35" s="3061"/>
      <c r="AG35" s="3061"/>
      <c r="AH35" s="3061"/>
      <c r="AI35" s="3061"/>
      <c r="AJ35" s="3061"/>
      <c r="AK35" s="3061"/>
      <c r="AL35" s="3061"/>
      <c r="AM35" s="3061"/>
      <c r="AN35" s="3061"/>
      <c r="AO35" s="3061"/>
      <c r="AP35" s="3061"/>
      <c r="AQ35" s="3061"/>
      <c r="AR35" s="3061"/>
      <c r="AS35" s="3061"/>
      <c r="AT35" s="972"/>
      <c r="AU35" s="972"/>
      <c r="AV35" s="972"/>
      <c r="AW35" s="273"/>
      <c r="AX35" s="273"/>
      <c r="AY35" s="273"/>
      <c r="AZ35" s="273"/>
      <c r="BA35" s="273"/>
    </row>
    <row r="36" spans="1:53" s="5" customFormat="1" ht="15" customHeight="1">
      <c r="A36" s="273"/>
      <c r="B36" s="273"/>
      <c r="C36" s="273"/>
      <c r="D36" s="273"/>
      <c r="E36" s="273"/>
      <c r="F36" s="273"/>
      <c r="G36" s="273"/>
      <c r="H36" s="273"/>
      <c r="I36" s="600" t="s">
        <v>48</v>
      </c>
      <c r="J36" s="3061" t="s">
        <v>574</v>
      </c>
      <c r="K36" s="3061"/>
      <c r="L36" s="3061"/>
      <c r="M36" s="3061"/>
      <c r="N36" s="3061"/>
      <c r="O36" s="3061"/>
      <c r="P36" s="3061"/>
      <c r="Q36" s="3061"/>
      <c r="R36" s="3061"/>
      <c r="S36" s="3061"/>
      <c r="T36" s="3061"/>
      <c r="U36" s="3061"/>
      <c r="V36" s="3061"/>
      <c r="W36" s="3061"/>
      <c r="X36" s="3061"/>
      <c r="Y36" s="3061"/>
      <c r="Z36" s="3061"/>
      <c r="AA36" s="3061"/>
      <c r="AB36" s="3061"/>
      <c r="AC36" s="3061"/>
      <c r="AD36" s="3061"/>
      <c r="AE36" s="3061"/>
      <c r="AF36" s="3061"/>
      <c r="AG36" s="3061"/>
      <c r="AH36" s="3061"/>
      <c r="AI36" s="3061"/>
      <c r="AJ36" s="3061"/>
      <c r="AK36" s="3061"/>
      <c r="AL36" s="3061"/>
      <c r="AM36" s="3061"/>
      <c r="AN36" s="3061"/>
      <c r="AO36" s="3061"/>
      <c r="AP36" s="3061"/>
      <c r="AQ36" s="3061"/>
      <c r="AR36" s="3061"/>
      <c r="AS36" s="3061"/>
      <c r="AT36" s="972"/>
      <c r="AU36" s="972"/>
      <c r="AV36" s="972"/>
      <c r="AW36" s="273"/>
      <c r="AX36" s="273"/>
      <c r="AY36" s="273"/>
      <c r="AZ36" s="273"/>
      <c r="BA36" s="273"/>
    </row>
    <row r="37" spans="1:53" s="5" customFormat="1" ht="15" customHeight="1">
      <c r="A37" s="273"/>
      <c r="B37" s="273"/>
      <c r="C37" s="273"/>
      <c r="D37" s="273"/>
      <c r="E37" s="273"/>
      <c r="F37" s="273"/>
      <c r="G37" s="273"/>
      <c r="H37" s="273"/>
      <c r="I37" s="600" t="s">
        <v>49</v>
      </c>
      <c r="J37" s="3061" t="s">
        <v>575</v>
      </c>
      <c r="K37" s="3061"/>
      <c r="L37" s="3061"/>
      <c r="M37" s="3061"/>
      <c r="N37" s="3061"/>
      <c r="O37" s="3061"/>
      <c r="P37" s="3061"/>
      <c r="Q37" s="3061"/>
      <c r="R37" s="3061"/>
      <c r="S37" s="3061"/>
      <c r="T37" s="3061"/>
      <c r="U37" s="3061"/>
      <c r="V37" s="3061"/>
      <c r="W37" s="3061"/>
      <c r="X37" s="3061"/>
      <c r="Y37" s="3061"/>
      <c r="Z37" s="3061"/>
      <c r="AA37" s="3061"/>
      <c r="AB37" s="3061"/>
      <c r="AC37" s="3061"/>
      <c r="AD37" s="3061"/>
      <c r="AE37" s="3061"/>
      <c r="AF37" s="3061"/>
      <c r="AG37" s="3061"/>
      <c r="AH37" s="3061"/>
      <c r="AI37" s="3061"/>
      <c r="AJ37" s="3061"/>
      <c r="AK37" s="3061"/>
      <c r="AL37" s="3061"/>
      <c r="AM37" s="3061"/>
      <c r="AN37" s="3061"/>
      <c r="AO37" s="3061"/>
      <c r="AP37" s="3061"/>
      <c r="AQ37" s="3061"/>
      <c r="AR37" s="3061"/>
      <c r="AS37" s="3061"/>
      <c r="AT37" s="972"/>
      <c r="AU37" s="972"/>
      <c r="AV37" s="972"/>
      <c r="AW37" s="273"/>
      <c r="AX37" s="273"/>
      <c r="AY37" s="273"/>
      <c r="AZ37" s="273"/>
      <c r="BA37" s="273"/>
    </row>
    <row r="38" spans="1:53" s="5" customFormat="1" ht="15" customHeight="1">
      <c r="A38" s="273"/>
      <c r="B38" s="273"/>
      <c r="C38" s="273"/>
      <c r="D38" s="273"/>
      <c r="E38" s="273"/>
      <c r="F38" s="273"/>
      <c r="G38" s="273"/>
      <c r="H38" s="273"/>
      <c r="I38" s="600" t="s">
        <v>50</v>
      </c>
      <c r="J38" s="3061" t="s">
        <v>576</v>
      </c>
      <c r="K38" s="3061"/>
      <c r="L38" s="3061"/>
      <c r="M38" s="3061"/>
      <c r="N38" s="3061"/>
      <c r="O38" s="3061"/>
      <c r="P38" s="3061"/>
      <c r="Q38" s="3061"/>
      <c r="R38" s="3061"/>
      <c r="S38" s="3061"/>
      <c r="T38" s="3061"/>
      <c r="U38" s="3061"/>
      <c r="V38" s="3061"/>
      <c r="W38" s="3061"/>
      <c r="X38" s="3061"/>
      <c r="Y38" s="3061"/>
      <c r="Z38" s="3061"/>
      <c r="AA38" s="3061"/>
      <c r="AB38" s="3061"/>
      <c r="AC38" s="3061"/>
      <c r="AD38" s="3061"/>
      <c r="AE38" s="3061"/>
      <c r="AF38" s="3061"/>
      <c r="AG38" s="3061"/>
      <c r="AH38" s="3061"/>
      <c r="AI38" s="3061"/>
      <c r="AJ38" s="3061"/>
      <c r="AK38" s="3061"/>
      <c r="AL38" s="3061"/>
      <c r="AM38" s="3061"/>
      <c r="AN38" s="3061"/>
      <c r="AO38" s="3061"/>
      <c r="AP38" s="3061"/>
      <c r="AQ38" s="3061"/>
      <c r="AR38" s="3061"/>
      <c r="AS38" s="3061"/>
      <c r="AT38" s="972"/>
      <c r="AU38" s="972"/>
      <c r="AV38" s="972"/>
      <c r="AW38" s="273"/>
      <c r="AX38" s="273"/>
      <c r="AY38" s="273"/>
      <c r="AZ38" s="273"/>
      <c r="BA38" s="273"/>
    </row>
    <row r="39" spans="1:53" s="5" customFormat="1" ht="15" customHeight="1">
      <c r="A39" s="273"/>
      <c r="B39" s="273"/>
      <c r="C39" s="273"/>
      <c r="D39" s="273"/>
      <c r="E39" s="273"/>
      <c r="F39" s="273"/>
      <c r="G39" s="273"/>
      <c r="H39" s="273"/>
      <c r="I39" s="600"/>
      <c r="J39" s="974"/>
      <c r="K39" s="974"/>
      <c r="L39" s="974"/>
      <c r="M39" s="974"/>
      <c r="N39" s="974"/>
      <c r="O39" s="974"/>
      <c r="P39" s="974"/>
      <c r="Q39" s="974"/>
      <c r="R39" s="974"/>
      <c r="S39" s="974"/>
      <c r="T39" s="974"/>
      <c r="U39" s="974"/>
      <c r="V39" s="974"/>
      <c r="W39" s="974"/>
      <c r="X39" s="974"/>
      <c r="Y39" s="974"/>
      <c r="Z39" s="974"/>
      <c r="AA39" s="974"/>
      <c r="AB39" s="974"/>
      <c r="AC39" s="974"/>
      <c r="AD39" s="974"/>
      <c r="AE39" s="974"/>
      <c r="AF39" s="974"/>
      <c r="AG39" s="974"/>
      <c r="AH39" s="974"/>
      <c r="AI39" s="974"/>
      <c r="AJ39" s="974"/>
      <c r="AK39" s="974"/>
      <c r="AL39" s="974"/>
      <c r="AM39" s="974"/>
      <c r="AN39" s="974"/>
      <c r="AO39" s="974"/>
      <c r="AP39" s="974"/>
      <c r="AQ39" s="974"/>
      <c r="AR39" s="974"/>
      <c r="AS39" s="974"/>
      <c r="AT39" s="972"/>
      <c r="AU39" s="972"/>
      <c r="AV39" s="972"/>
      <c r="AW39" s="273"/>
      <c r="AX39" s="273"/>
      <c r="AY39" s="273"/>
      <c r="AZ39" s="273"/>
      <c r="BA39" s="273"/>
    </row>
    <row r="40" spans="1:53" s="164" customFormat="1" ht="30.75" customHeight="1">
      <c r="A40" s="260"/>
      <c r="B40" s="260"/>
      <c r="C40" s="260"/>
      <c r="D40" s="260"/>
      <c r="E40" s="260"/>
      <c r="F40" s="260"/>
      <c r="G40" s="260"/>
      <c r="H40" s="260"/>
      <c r="I40" s="260"/>
      <c r="J40" s="260"/>
      <c r="K40" s="227"/>
      <c r="L40" s="260"/>
      <c r="M40" s="227"/>
      <c r="N40" s="260"/>
      <c r="O40" s="227"/>
      <c r="P40" s="260"/>
      <c r="Q40" s="260"/>
      <c r="R40" s="260"/>
      <c r="S40" s="260"/>
      <c r="T40" s="260"/>
      <c r="U40" s="260"/>
      <c r="V40" s="260"/>
      <c r="W40" s="260"/>
      <c r="X40" s="227"/>
      <c r="Y40" s="260"/>
      <c r="Z40" s="227"/>
      <c r="AA40" s="260"/>
      <c r="AB40" s="227"/>
      <c r="AC40" s="260"/>
      <c r="AD40" s="227"/>
      <c r="AE40" s="260"/>
      <c r="AF40" s="227"/>
      <c r="AG40" s="260"/>
      <c r="AH40" s="227"/>
      <c r="AI40" s="260"/>
      <c r="AJ40" s="260"/>
      <c r="AK40" s="260"/>
      <c r="AL40" s="260"/>
      <c r="AM40" s="260"/>
      <c r="AN40" s="260"/>
      <c r="AO40" s="260"/>
      <c r="AP40" s="260"/>
      <c r="AQ40" s="260"/>
      <c r="AR40" s="260"/>
      <c r="AS40" s="260"/>
      <c r="AT40" s="260"/>
      <c r="AU40" s="260"/>
      <c r="AV40" s="260"/>
      <c r="AW40" s="260"/>
      <c r="AX40" s="260"/>
      <c r="AY40" s="260"/>
      <c r="AZ40" s="260"/>
      <c r="BA40" s="260"/>
    </row>
    <row r="41" spans="1:53" s="37" customFormat="1" ht="15">
      <c r="A41" s="263"/>
      <c r="B41" s="332" t="s">
        <v>32</v>
      </c>
      <c r="C41" s="263"/>
      <c r="D41" s="263"/>
      <c r="E41" s="263"/>
      <c r="F41" s="263"/>
      <c r="G41" s="263"/>
      <c r="H41" s="263"/>
      <c r="I41" s="263"/>
      <c r="J41" s="263"/>
      <c r="K41" s="263"/>
      <c r="L41" s="263"/>
      <c r="M41" s="263"/>
      <c r="N41" s="263"/>
      <c r="O41" s="263"/>
      <c r="P41" s="263"/>
      <c r="Q41" s="332" t="s">
        <v>577</v>
      </c>
      <c r="R41" s="263"/>
      <c r="S41" s="263"/>
      <c r="T41" s="263"/>
      <c r="U41" s="263"/>
      <c r="V41" s="263"/>
      <c r="W41" s="263"/>
      <c r="X41" s="263"/>
      <c r="Y41" s="263"/>
      <c r="Z41" s="263"/>
      <c r="AA41" s="263"/>
      <c r="AB41" s="263"/>
      <c r="AC41" s="263"/>
      <c r="AD41" s="263"/>
      <c r="AE41" s="263"/>
      <c r="AF41" s="263"/>
      <c r="AG41" s="263"/>
      <c r="AH41" s="263"/>
      <c r="AI41" s="332" t="s">
        <v>33</v>
      </c>
      <c r="AJ41" s="263"/>
      <c r="AK41" s="263"/>
      <c r="AL41" s="263"/>
      <c r="AM41" s="263"/>
      <c r="AN41" s="263"/>
      <c r="AO41" s="263"/>
      <c r="AP41" s="263"/>
      <c r="AQ41" s="263"/>
      <c r="AR41" s="263"/>
      <c r="AS41" s="263"/>
      <c r="AT41" s="263"/>
      <c r="AU41" s="263"/>
      <c r="AV41" s="263"/>
      <c r="AW41" s="263"/>
      <c r="AX41" s="263"/>
      <c r="AY41" s="263"/>
      <c r="AZ41" s="263"/>
      <c r="BA41" s="263"/>
    </row>
    <row r="42" spans="1:53" s="37" customFormat="1" ht="21.75" customHeight="1">
      <c r="A42" s="263"/>
      <c r="B42" s="332" t="s">
        <v>75</v>
      </c>
      <c r="C42" s="263"/>
      <c r="D42" s="263"/>
      <c r="E42" s="263"/>
      <c r="F42" s="2790" t="str">
        <f>activesheet!E21</f>
        <v>MELCHESIEDICK Q. BOLANIO / March 17, 2023</v>
      </c>
      <c r="G42" s="2790"/>
      <c r="H42" s="2790"/>
      <c r="I42" s="2790"/>
      <c r="J42" s="2790"/>
      <c r="K42" s="2790"/>
      <c r="L42" s="2790"/>
      <c r="M42" s="2790"/>
      <c r="N42" s="2790"/>
      <c r="O42" s="263"/>
      <c r="P42" s="263"/>
      <c r="Q42" s="3060" t="s">
        <v>11920</v>
      </c>
      <c r="R42" s="3060"/>
      <c r="S42" s="3060"/>
      <c r="T42" s="3060"/>
      <c r="U42" s="3060"/>
      <c r="V42" s="3060"/>
      <c r="W42" s="3060"/>
      <c r="X42" s="3060"/>
      <c r="Y42" s="3060"/>
      <c r="Z42" s="3060"/>
      <c r="AA42" s="3060"/>
      <c r="AB42" s="3060"/>
      <c r="AC42" s="3060"/>
      <c r="AD42" s="3060"/>
      <c r="AE42" s="3060"/>
      <c r="AF42" s="3060"/>
      <c r="AG42" s="263"/>
      <c r="AH42" s="263"/>
      <c r="AI42" s="1819" t="str">
        <f>activesheet!E25</f>
        <v>MICHAEL T. JAMIS / March 17, 2023</v>
      </c>
      <c r="AJ42" s="1819"/>
      <c r="AK42" s="1819"/>
      <c r="AL42" s="1819"/>
      <c r="AM42" s="1819"/>
      <c r="AN42" s="1819"/>
      <c r="AO42" s="1819"/>
      <c r="AP42" s="1819"/>
      <c r="AQ42" s="1819"/>
      <c r="AR42" s="1819"/>
      <c r="AS42" s="1819"/>
      <c r="AT42" s="1819"/>
      <c r="AU42" s="1819"/>
      <c r="AV42" s="263"/>
      <c r="AW42" s="263"/>
      <c r="AX42" s="263"/>
      <c r="AY42" s="263"/>
      <c r="AZ42" s="263"/>
      <c r="BA42" s="263"/>
    </row>
    <row r="43" spans="1:53" s="124" customFormat="1" ht="15" customHeight="1">
      <c r="A43" s="975"/>
      <c r="B43" s="225"/>
      <c r="C43" s="975"/>
      <c r="D43" s="975"/>
      <c r="E43" s="975"/>
      <c r="F43" s="1811" t="s">
        <v>37</v>
      </c>
      <c r="G43" s="1811"/>
      <c r="H43" s="1811"/>
      <c r="I43" s="1811"/>
      <c r="J43" s="1811"/>
      <c r="K43" s="1811"/>
      <c r="L43" s="1811"/>
      <c r="M43" s="1811"/>
      <c r="N43" s="1811"/>
      <c r="O43" s="226"/>
      <c r="P43" s="226"/>
      <c r="Q43" s="1811" t="s">
        <v>37</v>
      </c>
      <c r="R43" s="1811"/>
      <c r="S43" s="1811"/>
      <c r="T43" s="1811"/>
      <c r="U43" s="1811"/>
      <c r="V43" s="1811"/>
      <c r="W43" s="1811"/>
      <c r="X43" s="1811"/>
      <c r="Y43" s="1811"/>
      <c r="Z43" s="1811"/>
      <c r="AA43" s="1811"/>
      <c r="AB43" s="1811"/>
      <c r="AC43" s="1811"/>
      <c r="AD43" s="1811"/>
      <c r="AE43" s="1811"/>
      <c r="AF43" s="1811"/>
      <c r="AG43" s="975"/>
      <c r="AH43" s="975"/>
      <c r="AI43" s="1820"/>
      <c r="AJ43" s="1820"/>
      <c r="AK43" s="1820"/>
      <c r="AL43" s="1820"/>
      <c r="AM43" s="1820"/>
      <c r="AN43" s="1820"/>
      <c r="AO43" s="1820"/>
      <c r="AP43" s="1820"/>
      <c r="AQ43" s="1820"/>
      <c r="AR43" s="1820"/>
      <c r="AS43" s="1820"/>
      <c r="AT43" s="1820"/>
      <c r="AU43" s="1820"/>
      <c r="AV43" s="975"/>
      <c r="AW43" s="975"/>
      <c r="AX43" s="975"/>
      <c r="AY43" s="975"/>
      <c r="AZ43" s="975"/>
      <c r="BA43" s="975"/>
    </row>
    <row r="44" spans="1:53" s="37" customFormat="1" ht="21.75" customHeight="1">
      <c r="A44" s="263"/>
      <c r="B44" s="332" t="s">
        <v>58</v>
      </c>
      <c r="C44" s="263"/>
      <c r="D44" s="263"/>
      <c r="E44" s="263"/>
      <c r="F44" s="2790" t="str">
        <f>activesheet!E22</f>
        <v>SECONDARY SCHOOL PRINCIPAL IV</v>
      </c>
      <c r="G44" s="2790"/>
      <c r="H44" s="2790"/>
      <c r="I44" s="2790"/>
      <c r="J44" s="2790"/>
      <c r="K44" s="2790"/>
      <c r="L44" s="2790"/>
      <c r="M44" s="2790"/>
      <c r="N44" s="2790"/>
      <c r="O44" s="263"/>
      <c r="P44" s="263"/>
      <c r="Q44" s="332" t="s">
        <v>58</v>
      </c>
      <c r="R44" s="263"/>
      <c r="S44" s="263"/>
      <c r="T44" s="263"/>
      <c r="U44" s="3060" t="s">
        <v>11909</v>
      </c>
      <c r="V44" s="3060"/>
      <c r="W44" s="3060"/>
      <c r="X44" s="3060"/>
      <c r="Y44" s="3060"/>
      <c r="Z44" s="3060"/>
      <c r="AA44" s="3060"/>
      <c r="AB44" s="3060"/>
      <c r="AC44" s="3060"/>
      <c r="AD44" s="3060"/>
      <c r="AE44" s="3060"/>
      <c r="AF44" s="3060"/>
      <c r="AG44" s="263"/>
      <c r="AH44" s="263"/>
      <c r="AI44" s="1811" t="s">
        <v>37</v>
      </c>
      <c r="AJ44" s="1811"/>
      <c r="AK44" s="1811"/>
      <c r="AL44" s="1811"/>
      <c r="AM44" s="1811"/>
      <c r="AN44" s="1811"/>
      <c r="AO44" s="1811"/>
      <c r="AP44" s="1811"/>
      <c r="AQ44" s="1811"/>
      <c r="AR44" s="1811"/>
      <c r="AS44" s="1811"/>
      <c r="AT44" s="1811"/>
      <c r="AU44" s="1811"/>
      <c r="AV44" s="263"/>
      <c r="AW44" s="263"/>
      <c r="AX44" s="263"/>
      <c r="AY44" s="263"/>
      <c r="AZ44" s="263"/>
      <c r="BA44" s="263"/>
    </row>
    <row r="45" spans="1:53" s="37" customFormat="1" ht="15">
      <c r="A45" s="263"/>
      <c r="B45" s="263"/>
      <c r="C45" s="263"/>
      <c r="D45" s="263"/>
      <c r="E45" s="263"/>
      <c r="F45" s="263"/>
      <c r="G45" s="263"/>
      <c r="H45" s="263"/>
      <c r="I45" s="263"/>
      <c r="J45" s="263"/>
      <c r="K45" s="263"/>
      <c r="L45" s="263"/>
      <c r="M45" s="263"/>
      <c r="N45" s="263"/>
      <c r="O45" s="263"/>
      <c r="P45" s="263"/>
      <c r="Q45" s="263"/>
      <c r="R45" s="263"/>
      <c r="S45" s="263"/>
      <c r="T45" s="263"/>
      <c r="U45" s="263"/>
      <c r="V45" s="263"/>
      <c r="W45" s="263"/>
      <c r="X45" s="263"/>
      <c r="Y45" s="263"/>
      <c r="Z45" s="263"/>
      <c r="AA45" s="263"/>
      <c r="AB45" s="263"/>
      <c r="AC45" s="263"/>
      <c r="AD45" s="263"/>
      <c r="AE45" s="263"/>
      <c r="AF45" s="263"/>
      <c r="AG45" s="263"/>
      <c r="AH45" s="263"/>
      <c r="AI45" s="263"/>
      <c r="AJ45" s="263"/>
      <c r="AK45" s="263"/>
      <c r="AL45" s="263"/>
      <c r="AM45" s="263"/>
      <c r="AN45" s="263"/>
      <c r="AO45" s="263"/>
      <c r="AP45" s="263"/>
      <c r="AQ45" s="263"/>
      <c r="AR45" s="263"/>
      <c r="AS45" s="263"/>
      <c r="AT45" s="263"/>
      <c r="AU45" s="263"/>
      <c r="AV45" s="263"/>
      <c r="AW45" s="263"/>
      <c r="AX45" s="263"/>
      <c r="AY45" s="263"/>
      <c r="AZ45" s="263"/>
      <c r="BA45" s="263"/>
    </row>
    <row r="46" spans="1:53" s="37" customFormat="1" ht="21.75" customHeight="1">
      <c r="A46" s="263"/>
      <c r="B46" s="263"/>
      <c r="C46" s="263"/>
      <c r="D46" s="263"/>
      <c r="E46" s="263"/>
      <c r="F46" s="263"/>
      <c r="G46" s="263"/>
      <c r="H46" s="263"/>
      <c r="I46" s="263"/>
      <c r="J46" s="263"/>
      <c r="K46" s="263"/>
      <c r="L46" s="263"/>
      <c r="M46" s="263"/>
      <c r="N46" s="263"/>
      <c r="O46" s="263"/>
      <c r="P46" s="263"/>
      <c r="Q46" s="263"/>
      <c r="R46" s="263"/>
      <c r="S46" s="263"/>
      <c r="T46" s="263"/>
      <c r="U46" s="263"/>
      <c r="V46" s="263"/>
      <c r="W46" s="263"/>
      <c r="X46" s="263"/>
      <c r="Y46" s="263"/>
      <c r="Z46" s="263"/>
      <c r="AA46" s="263"/>
      <c r="AB46" s="263"/>
      <c r="AC46" s="263"/>
      <c r="AD46" s="263"/>
      <c r="AE46" s="263"/>
      <c r="AF46" s="263"/>
      <c r="AG46" s="263"/>
      <c r="AH46" s="263"/>
      <c r="AI46" s="263"/>
      <c r="AJ46" s="263"/>
      <c r="AK46" s="263"/>
      <c r="AL46" s="263"/>
      <c r="AM46" s="263"/>
      <c r="AN46" s="263"/>
      <c r="AO46" s="263"/>
      <c r="AP46" s="263"/>
      <c r="AQ46" s="263"/>
      <c r="AR46" s="263"/>
      <c r="AS46" s="263"/>
      <c r="AT46" s="263"/>
      <c r="AU46" s="263"/>
      <c r="AV46" s="263"/>
      <c r="AW46" s="263"/>
      <c r="AX46" s="263"/>
      <c r="AY46" s="263"/>
      <c r="AZ46" s="263"/>
      <c r="BA46" s="263"/>
    </row>
    <row r="47" spans="1:53" s="39" customFormat="1" ht="15">
      <c r="A47" s="280"/>
      <c r="B47" s="280"/>
      <c r="C47" s="280"/>
      <c r="D47" s="280"/>
      <c r="E47" s="280"/>
      <c r="F47" s="280"/>
      <c r="G47" s="280"/>
      <c r="H47" s="280"/>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63"/>
      <c r="AL47" s="263"/>
      <c r="AM47" s="263"/>
      <c r="AN47" s="263"/>
      <c r="AO47" s="263"/>
      <c r="AP47" s="263"/>
      <c r="AQ47" s="263"/>
      <c r="AR47" s="263"/>
      <c r="AS47" s="263"/>
      <c r="AT47" s="263"/>
      <c r="AU47" s="263"/>
      <c r="AV47" s="263"/>
      <c r="AW47" s="263"/>
      <c r="AX47" s="280"/>
      <c r="AY47" s="280"/>
      <c r="AZ47" s="280"/>
      <c r="BA47" s="280"/>
    </row>
    <row r="48" spans="1:53">
      <c r="A48" s="434"/>
      <c r="B48" s="434"/>
      <c r="C48" s="434"/>
      <c r="D48" s="976"/>
      <c r="E48" s="976"/>
      <c r="F48" s="976"/>
      <c r="G48" s="976"/>
      <c r="H48" s="976"/>
      <c r="I48" s="976"/>
      <c r="J48" s="976"/>
      <c r="K48" s="976"/>
      <c r="L48" s="976"/>
      <c r="M48" s="976"/>
      <c r="N48" s="976"/>
      <c r="O48" s="976"/>
      <c r="P48" s="976"/>
      <c r="Q48" s="976"/>
      <c r="R48" s="976"/>
      <c r="S48" s="976"/>
      <c r="T48" s="976"/>
      <c r="U48" s="976"/>
      <c r="V48" s="976"/>
      <c r="W48" s="976"/>
      <c r="X48" s="976"/>
      <c r="Y48" s="976"/>
      <c r="Z48" s="976"/>
      <c r="AA48" s="976"/>
      <c r="AB48" s="976"/>
      <c r="AC48" s="434"/>
      <c r="AD48" s="434"/>
      <c r="AE48" s="434"/>
      <c r="AF48" s="434"/>
      <c r="AG48" s="434"/>
      <c r="AH48" s="434"/>
      <c r="AI48" s="434"/>
      <c r="AJ48" s="434"/>
      <c r="AK48" s="280"/>
      <c r="AL48" s="280"/>
      <c r="AM48" s="280"/>
      <c r="AN48" s="280"/>
      <c r="AO48" s="280"/>
      <c r="AP48" s="280"/>
      <c r="AQ48" s="280"/>
      <c r="AR48" s="280"/>
      <c r="AS48" s="280"/>
      <c r="AT48" s="280"/>
      <c r="AU48" s="280"/>
      <c r="AV48" s="280"/>
      <c r="AW48" s="280"/>
      <c r="AX48" s="434"/>
      <c r="AY48" s="434"/>
      <c r="AZ48" s="434"/>
    </row>
    <row r="49" spans="1:52">
      <c r="A49" s="434"/>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976"/>
      <c r="AE49" s="434"/>
      <c r="AF49" s="434"/>
      <c r="AG49" s="434"/>
      <c r="AH49" s="434"/>
      <c r="AI49" s="434"/>
      <c r="AJ49" s="434"/>
      <c r="AK49" s="434"/>
      <c r="AL49" s="434"/>
      <c r="AM49" s="434"/>
      <c r="AN49" s="434"/>
      <c r="AO49" s="434"/>
      <c r="AP49" s="434"/>
      <c r="AQ49" s="434"/>
      <c r="AR49" s="434"/>
      <c r="AS49" s="434"/>
      <c r="AT49" s="434"/>
      <c r="AU49" s="434"/>
      <c r="AV49" s="434"/>
      <c r="AW49" s="434"/>
      <c r="AX49" s="434"/>
      <c r="AY49" s="434"/>
      <c r="AZ49" s="434"/>
    </row>
    <row r="50" spans="1:52">
      <c r="A50" s="434"/>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c r="AD50" s="434"/>
      <c r="AE50" s="434"/>
      <c r="AF50" s="434"/>
      <c r="AG50" s="434"/>
      <c r="AH50" s="434"/>
      <c r="AI50" s="434"/>
      <c r="AJ50" s="434"/>
      <c r="AK50" s="434"/>
      <c r="AL50" s="434"/>
      <c r="AM50" s="434"/>
      <c r="AN50" s="434"/>
      <c r="AO50" s="434"/>
      <c r="AP50" s="434"/>
      <c r="AQ50" s="434"/>
      <c r="AR50" s="434"/>
      <c r="AS50" s="434"/>
      <c r="AT50" s="434"/>
      <c r="AU50" s="434"/>
      <c r="AV50" s="434"/>
      <c r="AW50" s="434"/>
      <c r="AX50" s="434"/>
      <c r="AY50" s="434"/>
      <c r="AZ50" s="434"/>
    </row>
    <row r="51" spans="1:52">
      <c r="A51" s="434"/>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c r="AD51" s="434"/>
      <c r="AE51" s="434"/>
      <c r="AF51" s="434"/>
      <c r="AG51" s="434"/>
      <c r="AH51" s="434"/>
      <c r="AI51" s="434"/>
      <c r="AJ51" s="434"/>
      <c r="AK51" s="434"/>
      <c r="AL51" s="434"/>
      <c r="AM51" s="434"/>
      <c r="AN51" s="434"/>
      <c r="AO51" s="434"/>
      <c r="AP51" s="434"/>
      <c r="AQ51" s="434"/>
      <c r="AR51" s="434"/>
      <c r="AS51" s="434"/>
      <c r="AT51" s="434"/>
      <c r="AU51" s="434"/>
      <c r="AV51" s="434"/>
      <c r="AW51" s="434"/>
      <c r="AX51" s="434"/>
      <c r="AY51" s="434"/>
      <c r="AZ51" s="434"/>
    </row>
    <row r="52" spans="1:52">
      <c r="A52" s="434"/>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c r="AD52" s="434"/>
      <c r="AE52" s="434"/>
      <c r="AF52" s="434"/>
      <c r="AG52" s="434"/>
      <c r="AH52" s="434"/>
      <c r="AI52" s="434"/>
      <c r="AJ52" s="434"/>
      <c r="AK52" s="434"/>
      <c r="AL52" s="434"/>
      <c r="AM52" s="434"/>
      <c r="AN52" s="434"/>
      <c r="AO52" s="434"/>
      <c r="AP52" s="434"/>
      <c r="AQ52" s="434"/>
      <c r="AR52" s="434"/>
      <c r="AS52" s="434"/>
      <c r="AT52" s="434"/>
      <c r="AU52" s="434"/>
      <c r="AV52" s="434"/>
      <c r="AW52" s="434"/>
      <c r="AX52" s="434"/>
      <c r="AY52" s="434"/>
      <c r="AZ52" s="434"/>
    </row>
    <row r="53" spans="1:52">
      <c r="A53" s="434"/>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c r="AD53" s="434"/>
      <c r="AE53" s="434"/>
      <c r="AF53" s="434"/>
      <c r="AG53" s="434"/>
      <c r="AH53" s="434"/>
      <c r="AI53" s="434"/>
      <c r="AJ53" s="434"/>
      <c r="AK53" s="434"/>
      <c r="AL53" s="434"/>
      <c r="AM53" s="434"/>
      <c r="AN53" s="434"/>
      <c r="AO53" s="434"/>
      <c r="AP53" s="434"/>
      <c r="AQ53" s="434"/>
      <c r="AR53" s="434"/>
      <c r="AS53" s="434"/>
      <c r="AT53" s="434"/>
      <c r="AU53" s="434"/>
      <c r="AV53" s="434"/>
      <c r="AW53" s="434"/>
      <c r="AX53" s="434"/>
      <c r="AY53" s="434"/>
      <c r="AZ53" s="434"/>
    </row>
  </sheetData>
  <sheetProtection algorithmName="SHA-512" hashValue="QmJ4C8Rs6PnrmsvTkIG/uR2ufNJui7Co+thK1y7Z50dNjcM6hE/qVTw/2Eb8B5ZM6Z9U7Na+C0VYYA3VmjBEcg==" saltValue="VZWn+M6s40Q2bO3DQCc/bQ==" spinCount="100000" sheet="1" objects="1" scenarios="1"/>
  <customSheetViews>
    <customSheetView guid="{6EFEFCA0-BF14-457A-85A3-29CBF2A862A5}" showGridLines="0" fitToPage="1">
      <selection sqref="A1:AU48"/>
      <pageMargins left="0.23622047244094491" right="0.82677165354330717" top="0.19685039370078741" bottom="0.19685039370078741" header="0" footer="0.11811023622047245"/>
      <printOptions horizontalCentered="1" verticalCentered="1"/>
      <pageSetup paperSize="5" scale="66" orientation="landscape" r:id="rId1"/>
      <headerFooter>
        <oddFooter>&amp;L&amp;10&amp;F &amp;A&amp;R&amp;10Page 27 of 61</oddFooter>
      </headerFooter>
    </customSheetView>
  </customSheetViews>
  <mergeCells count="117">
    <mergeCell ref="H4:Q6"/>
    <mergeCell ref="R4:Y5"/>
    <mergeCell ref="Z4:AG5"/>
    <mergeCell ref="AH4:AO5"/>
    <mergeCell ref="R6:U6"/>
    <mergeCell ref="V6:Y6"/>
    <mergeCell ref="Z6:AC6"/>
    <mergeCell ref="AD6:AG6"/>
    <mergeCell ref="AH6:AK6"/>
    <mergeCell ref="AL6:AO6"/>
    <mergeCell ref="R8:U8"/>
    <mergeCell ref="V8:Y8"/>
    <mergeCell ref="Z8:AC8"/>
    <mergeCell ref="AD8:AG8"/>
    <mergeCell ref="AH8:AK8"/>
    <mergeCell ref="AL8:AO8"/>
    <mergeCell ref="R7:U7"/>
    <mergeCell ref="V7:Y7"/>
    <mergeCell ref="Z7:AC7"/>
    <mergeCell ref="AD7:AG7"/>
    <mergeCell ref="AH7:AK7"/>
    <mergeCell ref="AL7:AO7"/>
    <mergeCell ref="H11:Q13"/>
    <mergeCell ref="R11:Y12"/>
    <mergeCell ref="Z11:AG12"/>
    <mergeCell ref="AH11:AO12"/>
    <mergeCell ref="R13:U13"/>
    <mergeCell ref="V13:Y13"/>
    <mergeCell ref="Z13:AC13"/>
    <mergeCell ref="AD13:AG13"/>
    <mergeCell ref="AH13:AK13"/>
    <mergeCell ref="AL13:AO13"/>
    <mergeCell ref="R16:U16"/>
    <mergeCell ref="V16:Y16"/>
    <mergeCell ref="Z16:AC16"/>
    <mergeCell ref="AD16:AG16"/>
    <mergeCell ref="AH16:AK16"/>
    <mergeCell ref="AL16:AO16"/>
    <mergeCell ref="R14:AO14"/>
    <mergeCell ref="R15:U15"/>
    <mergeCell ref="V15:Y15"/>
    <mergeCell ref="Z15:AC15"/>
    <mergeCell ref="AD15:AG15"/>
    <mergeCell ref="AH15:AK15"/>
    <mergeCell ref="AL15:AO15"/>
    <mergeCell ref="R18:U18"/>
    <mergeCell ref="V18:Y18"/>
    <mergeCell ref="Z18:AC18"/>
    <mergeCell ref="AD18:AG18"/>
    <mergeCell ref="AH18:AK18"/>
    <mergeCell ref="AL18:AO18"/>
    <mergeCell ref="R17:U17"/>
    <mergeCell ref="V17:Y17"/>
    <mergeCell ref="Z17:AC17"/>
    <mergeCell ref="AD17:AG17"/>
    <mergeCell ref="AH17:AK17"/>
    <mergeCell ref="AL17:AO17"/>
    <mergeCell ref="R20:U20"/>
    <mergeCell ref="V20:Y20"/>
    <mergeCell ref="Z20:AC20"/>
    <mergeCell ref="AD20:AG20"/>
    <mergeCell ref="AH20:AK20"/>
    <mergeCell ref="AL20:AO20"/>
    <mergeCell ref="R19:U19"/>
    <mergeCell ref="V19:Y19"/>
    <mergeCell ref="Z19:AC19"/>
    <mergeCell ref="AD19:AG19"/>
    <mergeCell ref="AH19:AK19"/>
    <mergeCell ref="AL19:AO19"/>
    <mergeCell ref="R23:U23"/>
    <mergeCell ref="V23:Y23"/>
    <mergeCell ref="Z23:AC23"/>
    <mergeCell ref="AD23:AG23"/>
    <mergeCell ref="AH23:AK23"/>
    <mergeCell ref="AL23:AO23"/>
    <mergeCell ref="R21:AO21"/>
    <mergeCell ref="R22:U22"/>
    <mergeCell ref="V22:Y22"/>
    <mergeCell ref="Z22:AC22"/>
    <mergeCell ref="AD22:AG22"/>
    <mergeCell ref="AH22:AK22"/>
    <mergeCell ref="AL22:AO22"/>
    <mergeCell ref="R25:U25"/>
    <mergeCell ref="V25:Y25"/>
    <mergeCell ref="Z25:AC25"/>
    <mergeCell ref="AD25:AG25"/>
    <mergeCell ref="AH25:AK25"/>
    <mergeCell ref="AL25:AO25"/>
    <mergeCell ref="R24:U24"/>
    <mergeCell ref="V24:Y24"/>
    <mergeCell ref="Z24:AC24"/>
    <mergeCell ref="AD24:AG24"/>
    <mergeCell ref="AH24:AK24"/>
    <mergeCell ref="AL24:AO24"/>
    <mergeCell ref="J28:AS28"/>
    <mergeCell ref="J29:AS29"/>
    <mergeCell ref="J30:AS30"/>
    <mergeCell ref="J31:AS31"/>
    <mergeCell ref="J32:AS32"/>
    <mergeCell ref="J35:AS35"/>
    <mergeCell ref="R26:U26"/>
    <mergeCell ref="V26:Y26"/>
    <mergeCell ref="Z26:AC26"/>
    <mergeCell ref="AD26:AG26"/>
    <mergeCell ref="AH26:AK26"/>
    <mergeCell ref="AL26:AO26"/>
    <mergeCell ref="F44:N44"/>
    <mergeCell ref="U44:AF44"/>
    <mergeCell ref="AI44:AU44"/>
    <mergeCell ref="J36:AS36"/>
    <mergeCell ref="J37:AS37"/>
    <mergeCell ref="J38:AS38"/>
    <mergeCell ref="F42:N42"/>
    <mergeCell ref="Q42:AF42"/>
    <mergeCell ref="AI42:AU43"/>
    <mergeCell ref="F43:N43"/>
    <mergeCell ref="Q43:AF43"/>
  </mergeCells>
  <dataValidations count="1">
    <dataValidation type="whole" allowBlank="1" showInputMessage="1" showErrorMessage="1" errorTitle="GSHSP SY 2022-2023" error="Please enter valid number between 0-20,000." sqref="R7:AG8 R15:AG19 R22:AG25" xr:uid="{2B71F4D8-1879-48BD-A12D-09B30BEC966D}">
      <formula1>0</formula1>
      <formula2>20000</formula2>
    </dataValidation>
  </dataValidations>
  <printOptions horizontalCentered="1" verticalCentered="1"/>
  <pageMargins left="0.23622047244094491" right="0.82677165354330717" top="0.19685039370078741" bottom="0.19685039370078741" header="0" footer="0.11811023622047245"/>
  <pageSetup paperSize="5" scale="66" orientation="landscape" r:id="rId2"/>
  <headerFooter>
    <oddFooter>&amp;L&amp;10&amp;F &amp;A&amp;R&amp;10Page 27 of 61</oddFooter>
  </headerFooter>
  <ignoredErrors>
    <ignoredError sqref="AH23:AO25 AI22:AO22" unlockedFormula="1"/>
  </ignoredError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7CBC-4BB7-4BB2-A169-DDF49B2568B8}">
  <sheetPr codeName="Sheet31">
    <tabColor rgb="FFFFFF00"/>
    <pageSetUpPr fitToPage="1"/>
  </sheetPr>
  <dimension ref="A1:BA60"/>
  <sheetViews>
    <sheetView showGridLines="0" zoomScaleNormal="100" workbookViewId="0">
      <selection activeCell="O7" sqref="O7"/>
    </sheetView>
  </sheetViews>
  <sheetFormatPr defaultColWidth="9" defaultRowHeight="15.75"/>
  <cols>
    <col min="1" max="1" width="2.125" style="44" customWidth="1"/>
    <col min="2" max="33" width="3.625" style="44" customWidth="1"/>
    <col min="34" max="34" width="2.125" style="44" customWidth="1"/>
    <col min="35" max="42" width="3.625" style="44" customWidth="1"/>
    <col min="43" max="52" width="3.625" style="434" customWidth="1"/>
    <col min="53" max="53" width="9" style="434"/>
    <col min="54" max="16384" width="9" style="44"/>
  </cols>
  <sheetData>
    <row r="1" spans="1:53"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row>
    <row r="2" spans="1:53" s="40" customFormat="1" ht="14.45" customHeight="1" thickBot="1">
      <c r="A2" s="582"/>
      <c r="B2" s="582"/>
      <c r="C2" s="604" t="s">
        <v>1952</v>
      </c>
      <c r="D2" s="582"/>
      <c r="E2" s="582"/>
      <c r="F2" s="582"/>
      <c r="G2" s="582"/>
      <c r="H2" s="582"/>
      <c r="I2" s="582"/>
      <c r="J2" s="582"/>
      <c r="K2" s="582"/>
      <c r="L2" s="582"/>
      <c r="M2" s="582"/>
      <c r="N2" s="625"/>
      <c r="O2" s="582"/>
      <c r="P2" s="979"/>
      <c r="Q2" s="582"/>
      <c r="R2" s="582"/>
      <c r="S2" s="582"/>
      <c r="T2" s="582"/>
      <c r="U2" s="582"/>
      <c r="V2" s="582"/>
      <c r="W2" s="582"/>
      <c r="X2" s="582"/>
      <c r="Y2" s="582"/>
      <c r="Z2" s="582"/>
      <c r="AA2" s="582"/>
      <c r="AB2" s="582"/>
      <c r="AC2" s="582"/>
      <c r="AD2" s="582"/>
      <c r="AE2" s="582"/>
      <c r="AF2" s="980"/>
      <c r="AG2" s="582"/>
      <c r="AH2" s="582"/>
      <c r="AI2" s="582"/>
      <c r="AJ2" s="582"/>
      <c r="AK2" s="582"/>
      <c r="AL2" s="582"/>
      <c r="AM2" s="582"/>
      <c r="AN2" s="582"/>
      <c r="AO2" s="582"/>
      <c r="AP2" s="582"/>
      <c r="AQ2" s="582"/>
      <c r="AR2" s="582"/>
      <c r="AS2" s="582"/>
      <c r="AT2" s="582"/>
      <c r="AU2" s="582"/>
      <c r="AV2" s="582"/>
      <c r="AW2" s="582"/>
      <c r="AX2" s="582"/>
      <c r="AY2" s="582"/>
      <c r="AZ2" s="582"/>
      <c r="BA2" s="582"/>
    </row>
    <row r="3" spans="1:53" s="40" customFormat="1">
      <c r="A3" s="582"/>
      <c r="B3" s="582"/>
      <c r="C3" s="2660" t="s">
        <v>578</v>
      </c>
      <c r="D3" s="2661"/>
      <c r="E3" s="2661"/>
      <c r="F3" s="2661"/>
      <c r="G3" s="2661"/>
      <c r="H3" s="2661"/>
      <c r="I3" s="2661"/>
      <c r="J3" s="2661"/>
      <c r="K3" s="2661"/>
      <c r="L3" s="2661"/>
      <c r="M3" s="2661"/>
      <c r="N3" s="2662"/>
      <c r="O3" s="2893" t="s">
        <v>43</v>
      </c>
      <c r="P3" s="2894"/>
      <c r="Q3" s="2894"/>
      <c r="R3" s="2894"/>
      <c r="S3" s="2894"/>
      <c r="T3" s="3096"/>
      <c r="U3" s="2893" t="s">
        <v>44</v>
      </c>
      <c r="V3" s="2894"/>
      <c r="W3" s="2894"/>
      <c r="X3" s="2894"/>
      <c r="Y3" s="2894"/>
      <c r="Z3" s="3143"/>
      <c r="AA3" s="3107" t="s">
        <v>579</v>
      </c>
      <c r="AB3" s="3107"/>
      <c r="AC3" s="3107"/>
      <c r="AD3" s="3107"/>
      <c r="AE3" s="3107"/>
      <c r="AF3" s="3108"/>
      <c r="AG3" s="582"/>
      <c r="AH3" s="582"/>
      <c r="AI3" s="582"/>
      <c r="AJ3" s="582"/>
      <c r="AK3" s="582"/>
      <c r="AL3" s="582"/>
      <c r="AM3" s="582"/>
      <c r="AN3" s="582"/>
      <c r="AO3" s="582"/>
      <c r="AP3" s="582"/>
      <c r="AQ3" s="582"/>
      <c r="AR3" s="582"/>
      <c r="AS3" s="582"/>
      <c r="AT3" s="582"/>
      <c r="AU3" s="582"/>
      <c r="AV3" s="582"/>
      <c r="AW3" s="582"/>
      <c r="AX3" s="582"/>
      <c r="AY3" s="582"/>
      <c r="AZ3" s="582"/>
      <c r="BA3" s="582"/>
    </row>
    <row r="4" spans="1:53" s="40" customFormat="1">
      <c r="A4" s="582"/>
      <c r="B4" s="582"/>
      <c r="C4" s="3093"/>
      <c r="D4" s="3094"/>
      <c r="E4" s="3094"/>
      <c r="F4" s="3094"/>
      <c r="G4" s="3094"/>
      <c r="H4" s="3094"/>
      <c r="I4" s="3094"/>
      <c r="J4" s="3094"/>
      <c r="K4" s="3094"/>
      <c r="L4" s="3094"/>
      <c r="M4" s="3094"/>
      <c r="N4" s="3095"/>
      <c r="O4" s="3097"/>
      <c r="P4" s="3098"/>
      <c r="Q4" s="3098"/>
      <c r="R4" s="3098"/>
      <c r="S4" s="3098"/>
      <c r="T4" s="3099"/>
      <c r="U4" s="3097"/>
      <c r="V4" s="3098"/>
      <c r="W4" s="3098"/>
      <c r="X4" s="3098"/>
      <c r="Y4" s="3098"/>
      <c r="Z4" s="3144"/>
      <c r="AA4" s="3110"/>
      <c r="AB4" s="3110"/>
      <c r="AC4" s="3110"/>
      <c r="AD4" s="3110"/>
      <c r="AE4" s="3110"/>
      <c r="AF4" s="3111"/>
      <c r="AG4" s="582"/>
      <c r="AH4" s="582"/>
      <c r="AI4" s="582"/>
      <c r="AJ4" s="582"/>
      <c r="AK4" s="582"/>
      <c r="AL4" s="582"/>
      <c r="AM4" s="582"/>
      <c r="AN4" s="582"/>
      <c r="AO4" s="582"/>
      <c r="AP4" s="582"/>
      <c r="AQ4" s="582"/>
      <c r="AR4" s="582"/>
      <c r="AS4" s="582"/>
      <c r="AT4" s="582"/>
      <c r="AU4" s="582"/>
      <c r="AV4" s="582"/>
      <c r="AW4" s="582"/>
      <c r="AX4" s="582"/>
      <c r="AY4" s="582"/>
      <c r="AZ4" s="582"/>
      <c r="BA4" s="582"/>
    </row>
    <row r="5" spans="1:53" s="40" customFormat="1" ht="16.5" thickBot="1">
      <c r="A5" s="582"/>
      <c r="B5" s="582"/>
      <c r="C5" s="3093"/>
      <c r="D5" s="3094"/>
      <c r="E5" s="3094"/>
      <c r="F5" s="3094"/>
      <c r="G5" s="3094"/>
      <c r="H5" s="3094"/>
      <c r="I5" s="3094"/>
      <c r="J5" s="3094"/>
      <c r="K5" s="3094"/>
      <c r="L5" s="3094"/>
      <c r="M5" s="3094"/>
      <c r="N5" s="3095"/>
      <c r="O5" s="2669" t="s">
        <v>45</v>
      </c>
      <c r="P5" s="2670"/>
      <c r="Q5" s="2671"/>
      <c r="R5" s="3112" t="s">
        <v>46</v>
      </c>
      <c r="S5" s="2670"/>
      <c r="T5" s="3113"/>
      <c r="U5" s="2669" t="s">
        <v>45</v>
      </c>
      <c r="V5" s="2670"/>
      <c r="W5" s="2671"/>
      <c r="X5" s="3112" t="s">
        <v>46</v>
      </c>
      <c r="Y5" s="2670"/>
      <c r="Z5" s="2672"/>
      <c r="AA5" s="2670" t="s">
        <v>45</v>
      </c>
      <c r="AB5" s="2670"/>
      <c r="AC5" s="2671"/>
      <c r="AD5" s="3113" t="s">
        <v>46</v>
      </c>
      <c r="AE5" s="3200"/>
      <c r="AF5" s="3200"/>
      <c r="AG5" s="582"/>
      <c r="AH5" s="582"/>
      <c r="AI5" s="582"/>
      <c r="AJ5" s="582"/>
      <c r="AK5" s="582"/>
      <c r="AL5" s="582"/>
      <c r="AM5" s="582"/>
      <c r="AN5" s="582"/>
      <c r="AO5" s="582"/>
      <c r="AP5" s="582"/>
      <c r="AQ5" s="582"/>
      <c r="AR5" s="582"/>
      <c r="AS5" s="582"/>
      <c r="AT5" s="582"/>
      <c r="AU5" s="582"/>
      <c r="AV5" s="582"/>
      <c r="AW5" s="582"/>
      <c r="AX5" s="582"/>
      <c r="AY5" s="582"/>
      <c r="AZ5" s="582"/>
      <c r="BA5" s="582"/>
    </row>
    <row r="6" spans="1:53" s="43" customFormat="1" ht="24.95" customHeight="1" thickBot="1">
      <c r="A6" s="960"/>
      <c r="B6" s="960"/>
      <c r="C6" s="2663"/>
      <c r="D6" s="2664"/>
      <c r="E6" s="2664"/>
      <c r="F6" s="2664"/>
      <c r="G6" s="2664"/>
      <c r="H6" s="2664"/>
      <c r="I6" s="2664"/>
      <c r="J6" s="2664"/>
      <c r="K6" s="2664"/>
      <c r="L6" s="2664"/>
      <c r="M6" s="2664"/>
      <c r="N6" s="2665"/>
      <c r="O6" s="3201">
        <v>0</v>
      </c>
      <c r="P6" s="3202"/>
      <c r="Q6" s="3203"/>
      <c r="R6" s="3204">
        <v>0</v>
      </c>
      <c r="S6" s="3202"/>
      <c r="T6" s="3205"/>
      <c r="U6" s="3201">
        <v>0</v>
      </c>
      <c r="V6" s="3202"/>
      <c r="W6" s="3203"/>
      <c r="X6" s="3204">
        <v>0</v>
      </c>
      <c r="Y6" s="3202"/>
      <c r="Z6" s="3206"/>
      <c r="AA6" s="3207">
        <f>+sch_health_learners_dewormed_g11_m+sch_health_learners_dewormed_g12_m</f>
        <v>0</v>
      </c>
      <c r="AB6" s="3198"/>
      <c r="AC6" s="3208"/>
      <c r="AD6" s="3197">
        <f>+sch_health_learners_dewormed_g11_f+sch_health_learners_dewormed_g12_f</f>
        <v>0</v>
      </c>
      <c r="AE6" s="3198"/>
      <c r="AF6" s="3199"/>
      <c r="AG6" s="960"/>
      <c r="AH6" s="960"/>
      <c r="AI6" s="960"/>
      <c r="AJ6" s="960"/>
      <c r="AK6" s="960"/>
      <c r="AL6" s="960"/>
      <c r="AM6" s="960"/>
      <c r="AN6" s="960"/>
      <c r="AO6" s="960"/>
      <c r="AP6" s="960"/>
      <c r="AQ6" s="960"/>
      <c r="AR6" s="960"/>
      <c r="AS6" s="960"/>
      <c r="AT6" s="960"/>
      <c r="AU6" s="960"/>
      <c r="AV6" s="960"/>
      <c r="AW6" s="960"/>
      <c r="AX6" s="960"/>
      <c r="AY6" s="960"/>
      <c r="AZ6" s="960"/>
      <c r="BA6" s="960"/>
    </row>
    <row r="7" spans="1:53" s="168" customFormat="1" ht="20.100000000000001" customHeight="1">
      <c r="A7" s="941"/>
      <c r="B7" s="941"/>
      <c r="C7" s="941"/>
      <c r="D7" s="941"/>
      <c r="E7" s="941"/>
      <c r="F7" s="941"/>
      <c r="G7" s="941"/>
      <c r="H7" s="941"/>
      <c r="I7" s="941"/>
      <c r="J7" s="941"/>
      <c r="K7" s="941"/>
      <c r="L7" s="941"/>
      <c r="M7" s="941"/>
      <c r="N7" s="941"/>
      <c r="O7" s="941"/>
      <c r="P7" s="941"/>
      <c r="Q7" s="941"/>
      <c r="R7" s="941"/>
      <c r="S7" s="941"/>
      <c r="T7" s="941"/>
      <c r="U7" s="941"/>
      <c r="V7" s="941"/>
      <c r="W7" s="941"/>
      <c r="X7" s="941"/>
      <c r="Y7" s="941"/>
      <c r="Z7" s="941"/>
      <c r="AA7" s="941"/>
      <c r="AB7" s="941"/>
      <c r="AC7" s="941"/>
      <c r="AD7" s="941"/>
      <c r="AE7" s="941"/>
      <c r="AF7" s="941"/>
      <c r="AG7" s="941"/>
      <c r="AH7" s="941"/>
      <c r="AI7" s="941"/>
      <c r="AJ7" s="941"/>
      <c r="AK7" s="941"/>
      <c r="AL7" s="941"/>
      <c r="AM7" s="941"/>
      <c r="AN7" s="941"/>
      <c r="AO7" s="941"/>
      <c r="AP7" s="941"/>
      <c r="AQ7" s="941"/>
      <c r="AR7" s="941"/>
      <c r="AS7" s="941"/>
      <c r="AT7" s="941"/>
      <c r="AU7" s="941"/>
      <c r="AV7" s="941"/>
      <c r="AW7" s="941"/>
      <c r="AX7" s="941"/>
      <c r="AY7" s="941"/>
      <c r="AZ7" s="941"/>
      <c r="BA7" s="941"/>
    </row>
    <row r="8" spans="1:53" s="40" customFormat="1" ht="20.25" thickBot="1">
      <c r="A8" s="582"/>
      <c r="B8" s="582"/>
      <c r="C8" s="604" t="s">
        <v>1385</v>
      </c>
      <c r="D8" s="582"/>
      <c r="E8" s="582"/>
      <c r="F8" s="582"/>
      <c r="G8" s="582"/>
      <c r="H8" s="582"/>
      <c r="I8" s="582"/>
      <c r="J8" s="582"/>
      <c r="K8" s="582"/>
      <c r="L8" s="582"/>
      <c r="M8" s="582"/>
      <c r="N8" s="625"/>
      <c r="O8" s="582"/>
      <c r="P8" s="625"/>
      <c r="Q8" s="582"/>
      <c r="R8" s="582"/>
      <c r="S8" s="582"/>
      <c r="T8" s="582"/>
      <c r="U8" s="582"/>
      <c r="V8" s="582"/>
      <c r="W8" s="582"/>
      <c r="X8" s="582"/>
      <c r="Y8" s="582"/>
      <c r="Z8" s="582"/>
      <c r="AA8" s="582"/>
      <c r="AB8" s="582"/>
      <c r="AC8" s="582"/>
      <c r="AD8" s="981"/>
      <c r="AE8" s="645"/>
      <c r="AF8" s="645"/>
      <c r="AG8" s="645"/>
      <c r="AH8" s="645"/>
      <c r="AI8" s="645"/>
      <c r="AJ8" s="645"/>
      <c r="AK8" s="645"/>
      <c r="AL8" s="645"/>
      <c r="AM8" s="645"/>
      <c r="AN8" s="645"/>
      <c r="AO8" s="645"/>
      <c r="AP8" s="645"/>
      <c r="AQ8" s="645"/>
      <c r="AR8" s="645"/>
      <c r="AS8" s="582"/>
      <c r="AT8" s="582"/>
      <c r="AU8" s="582"/>
      <c r="AV8" s="582"/>
      <c r="AW8" s="582"/>
      <c r="AX8" s="582"/>
      <c r="AY8" s="582"/>
      <c r="AZ8" s="582"/>
      <c r="BA8" s="582"/>
    </row>
    <row r="9" spans="1:53" s="40" customFormat="1">
      <c r="A9" s="582"/>
      <c r="B9" s="582"/>
      <c r="C9" s="2893" t="s">
        <v>580</v>
      </c>
      <c r="D9" s="2894"/>
      <c r="E9" s="2894"/>
      <c r="F9" s="2894"/>
      <c r="G9" s="2894"/>
      <c r="H9" s="2894"/>
      <c r="I9" s="2894"/>
      <c r="J9" s="2894"/>
      <c r="K9" s="2894"/>
      <c r="L9" s="2894"/>
      <c r="M9" s="2894"/>
      <c r="N9" s="2894"/>
      <c r="O9" s="2894"/>
      <c r="P9" s="2894"/>
      <c r="Q9" s="3096"/>
      <c r="R9" s="2660" t="s">
        <v>43</v>
      </c>
      <c r="S9" s="2661"/>
      <c r="T9" s="2661"/>
      <c r="U9" s="2661"/>
      <c r="V9" s="2662"/>
      <c r="W9" s="2893" t="s">
        <v>44</v>
      </c>
      <c r="X9" s="2894"/>
      <c r="Y9" s="2894"/>
      <c r="Z9" s="2894"/>
      <c r="AA9" s="3143"/>
      <c r="AB9" s="2661" t="s">
        <v>579</v>
      </c>
      <c r="AC9" s="2894"/>
      <c r="AD9" s="2894"/>
      <c r="AE9" s="2894"/>
      <c r="AF9" s="3096"/>
      <c r="AG9" s="588"/>
      <c r="AH9" s="582"/>
      <c r="AI9" s="582"/>
      <c r="AJ9" s="582"/>
      <c r="AK9" s="582"/>
      <c r="AL9" s="582"/>
      <c r="AM9" s="582"/>
      <c r="AN9" s="582"/>
      <c r="AO9" s="582"/>
      <c r="AP9" s="582"/>
      <c r="AQ9" s="582"/>
      <c r="AR9" s="582"/>
      <c r="AS9" s="582"/>
      <c r="AT9" s="582"/>
      <c r="AU9" s="582"/>
      <c r="AV9" s="582"/>
      <c r="AW9" s="582"/>
      <c r="AX9" s="582"/>
      <c r="AY9" s="582"/>
      <c r="AZ9" s="582"/>
      <c r="BA9" s="582"/>
    </row>
    <row r="10" spans="1:53" s="40" customFormat="1" ht="16.5" thickBot="1">
      <c r="A10" s="582"/>
      <c r="B10" s="582"/>
      <c r="C10" s="3140"/>
      <c r="D10" s="3141"/>
      <c r="E10" s="3141"/>
      <c r="F10" s="3141"/>
      <c r="G10" s="3141"/>
      <c r="H10" s="3141"/>
      <c r="I10" s="3141"/>
      <c r="J10" s="3141"/>
      <c r="K10" s="3141"/>
      <c r="L10" s="3141"/>
      <c r="M10" s="3141"/>
      <c r="N10" s="3141"/>
      <c r="O10" s="3141"/>
      <c r="P10" s="3141"/>
      <c r="Q10" s="3142"/>
      <c r="R10" s="2663"/>
      <c r="S10" s="2664"/>
      <c r="T10" s="2664"/>
      <c r="U10" s="2664"/>
      <c r="V10" s="2665"/>
      <c r="W10" s="3140"/>
      <c r="X10" s="3141"/>
      <c r="Y10" s="3141"/>
      <c r="Z10" s="3141"/>
      <c r="AA10" s="3186"/>
      <c r="AB10" s="3141"/>
      <c r="AC10" s="3141"/>
      <c r="AD10" s="3141"/>
      <c r="AE10" s="3141"/>
      <c r="AF10" s="3142"/>
      <c r="AG10" s="582"/>
      <c r="AH10" s="582"/>
      <c r="AI10" s="582"/>
      <c r="AJ10" s="582"/>
      <c r="AK10" s="582"/>
      <c r="AL10" s="582"/>
      <c r="AM10" s="582"/>
      <c r="AN10" s="582"/>
      <c r="AO10" s="582"/>
      <c r="AP10" s="582"/>
      <c r="AQ10" s="582"/>
      <c r="AR10" s="582"/>
      <c r="AS10" s="582"/>
      <c r="AT10" s="582"/>
      <c r="AU10" s="582"/>
      <c r="AV10" s="582"/>
      <c r="AW10" s="582"/>
      <c r="AX10" s="582"/>
      <c r="AY10" s="582"/>
      <c r="AZ10" s="582"/>
      <c r="BA10" s="582"/>
    </row>
    <row r="11" spans="1:53" s="41" customFormat="1" ht="25.5" customHeight="1">
      <c r="A11" s="593"/>
      <c r="B11" s="593"/>
      <c r="C11" s="3187" t="s">
        <v>581</v>
      </c>
      <c r="D11" s="3188"/>
      <c r="E11" s="3188"/>
      <c r="F11" s="3188"/>
      <c r="G11" s="3188"/>
      <c r="H11" s="3188"/>
      <c r="I11" s="3188"/>
      <c r="J11" s="3188"/>
      <c r="K11" s="3188"/>
      <c r="L11" s="3188"/>
      <c r="M11" s="3188"/>
      <c r="N11" s="3188"/>
      <c r="O11" s="3188"/>
      <c r="P11" s="3188"/>
      <c r="Q11" s="3189"/>
      <c r="R11" s="3190">
        <v>0</v>
      </c>
      <c r="S11" s="3191"/>
      <c r="T11" s="3191"/>
      <c r="U11" s="3191"/>
      <c r="V11" s="3192"/>
      <c r="W11" s="3190">
        <v>0</v>
      </c>
      <c r="X11" s="3191"/>
      <c r="Y11" s="3191"/>
      <c r="Z11" s="3191"/>
      <c r="AA11" s="3193"/>
      <c r="AB11" s="3194">
        <f>SUM(R11:AA11)</f>
        <v>0</v>
      </c>
      <c r="AC11" s="3195"/>
      <c r="AD11" s="3195"/>
      <c r="AE11" s="3195"/>
      <c r="AF11" s="3196"/>
      <c r="AG11" s="593"/>
      <c r="AH11" s="593"/>
      <c r="AI11" s="593"/>
      <c r="AJ11" s="593"/>
      <c r="AK11" s="593"/>
      <c r="AL11" s="593"/>
      <c r="AM11" s="593"/>
      <c r="AN11" s="593"/>
      <c r="AO11" s="593"/>
      <c r="AP11" s="593"/>
      <c r="AQ11" s="593"/>
      <c r="AR11" s="593"/>
      <c r="AS11" s="593"/>
      <c r="AT11" s="593"/>
      <c r="AU11" s="593"/>
      <c r="AV11" s="593"/>
      <c r="AW11" s="593"/>
      <c r="AX11" s="593"/>
      <c r="AY11" s="593"/>
      <c r="AZ11" s="593"/>
      <c r="BA11" s="593"/>
    </row>
    <row r="12" spans="1:53" s="41" customFormat="1" ht="39" customHeight="1">
      <c r="A12" s="593"/>
      <c r="B12" s="593"/>
      <c r="C12" s="3173" t="s">
        <v>11878</v>
      </c>
      <c r="D12" s="3174"/>
      <c r="E12" s="3174"/>
      <c r="F12" s="3174"/>
      <c r="G12" s="3174"/>
      <c r="H12" s="3174"/>
      <c r="I12" s="3174"/>
      <c r="J12" s="3174"/>
      <c r="K12" s="3174"/>
      <c r="L12" s="3174"/>
      <c r="M12" s="3174"/>
      <c r="N12" s="3174"/>
      <c r="O12" s="3174"/>
      <c r="P12" s="3174"/>
      <c r="Q12" s="3175"/>
      <c r="R12" s="3079">
        <v>0</v>
      </c>
      <c r="S12" s="3080"/>
      <c r="T12" s="3080"/>
      <c r="U12" s="3080"/>
      <c r="V12" s="3083"/>
      <c r="W12" s="3079">
        <v>0</v>
      </c>
      <c r="X12" s="3080"/>
      <c r="Y12" s="3080"/>
      <c r="Z12" s="3080"/>
      <c r="AA12" s="3084"/>
      <c r="AB12" s="3085">
        <f>SUM(R12:AA12)</f>
        <v>0</v>
      </c>
      <c r="AC12" s="3086"/>
      <c r="AD12" s="3086"/>
      <c r="AE12" s="3086"/>
      <c r="AF12" s="3089"/>
      <c r="AG12" s="593"/>
      <c r="AH12" s="593"/>
      <c r="AI12" s="593"/>
      <c r="AJ12" s="593"/>
      <c r="AK12" s="593"/>
      <c r="AL12" s="593"/>
      <c r="AM12" s="593"/>
      <c r="AN12" s="593"/>
      <c r="AO12" s="593"/>
      <c r="AP12" s="593"/>
      <c r="AQ12" s="593"/>
      <c r="AR12" s="593"/>
      <c r="AS12" s="593"/>
      <c r="AT12" s="593"/>
      <c r="AU12" s="593"/>
      <c r="AV12" s="593"/>
      <c r="AW12" s="593"/>
      <c r="AX12" s="593"/>
      <c r="AY12" s="593"/>
      <c r="AZ12" s="593"/>
      <c r="BA12" s="593"/>
    </row>
    <row r="13" spans="1:53" s="41" customFormat="1" ht="39" customHeight="1" thickBot="1">
      <c r="A13" s="593"/>
      <c r="B13" s="593"/>
      <c r="C13" s="3176" t="s">
        <v>11879</v>
      </c>
      <c r="D13" s="3177"/>
      <c r="E13" s="3177"/>
      <c r="F13" s="3177"/>
      <c r="G13" s="3177"/>
      <c r="H13" s="3177"/>
      <c r="I13" s="3177"/>
      <c r="J13" s="3177"/>
      <c r="K13" s="3177"/>
      <c r="L13" s="3177"/>
      <c r="M13" s="3177"/>
      <c r="N13" s="3177"/>
      <c r="O13" s="3177"/>
      <c r="P13" s="3177"/>
      <c r="Q13" s="3178"/>
      <c r="R13" s="3179">
        <v>0</v>
      </c>
      <c r="S13" s="3180"/>
      <c r="T13" s="3180"/>
      <c r="U13" s="3180"/>
      <c r="V13" s="3181"/>
      <c r="W13" s="3179">
        <v>0</v>
      </c>
      <c r="X13" s="3180"/>
      <c r="Y13" s="3180"/>
      <c r="Z13" s="3180"/>
      <c r="AA13" s="3182"/>
      <c r="AB13" s="3183">
        <f>SUM(R13:AA13)</f>
        <v>0</v>
      </c>
      <c r="AC13" s="3184"/>
      <c r="AD13" s="3184"/>
      <c r="AE13" s="3184"/>
      <c r="AF13" s="3185"/>
      <c r="AG13" s="593"/>
      <c r="AH13" s="593"/>
      <c r="AI13" s="593"/>
      <c r="AJ13" s="593"/>
      <c r="AK13" s="593"/>
      <c r="AL13" s="593"/>
      <c r="AM13" s="593"/>
      <c r="AN13" s="593"/>
      <c r="AO13" s="593"/>
      <c r="AP13" s="593"/>
      <c r="AQ13" s="593"/>
      <c r="AR13" s="593"/>
      <c r="AS13" s="593"/>
      <c r="AT13" s="593"/>
      <c r="AU13" s="593"/>
      <c r="AV13" s="593"/>
      <c r="AW13" s="593"/>
      <c r="AX13" s="593"/>
      <c r="AY13" s="593"/>
      <c r="AZ13" s="593"/>
      <c r="BA13" s="593"/>
    </row>
    <row r="14" spans="1:53" s="43" customFormat="1" ht="30" customHeight="1">
      <c r="A14" s="960"/>
      <c r="B14" s="960"/>
      <c r="C14" s="960"/>
      <c r="D14" s="960"/>
      <c r="E14" s="960"/>
      <c r="F14" s="227"/>
      <c r="G14" s="982"/>
      <c r="H14" s="982"/>
      <c r="I14" s="982"/>
      <c r="J14" s="982"/>
      <c r="K14" s="982"/>
      <c r="L14" s="983"/>
      <c r="M14" s="983"/>
      <c r="N14" s="983"/>
      <c r="O14" s="983"/>
      <c r="P14" s="983"/>
      <c r="Q14" s="983"/>
      <c r="R14" s="983"/>
      <c r="S14" s="983"/>
      <c r="T14" s="983"/>
      <c r="U14" s="983"/>
      <c r="V14" s="983"/>
      <c r="W14" s="983"/>
      <c r="X14" s="983"/>
      <c r="Y14" s="983"/>
      <c r="Z14" s="983"/>
      <c r="AA14" s="983"/>
      <c r="AB14" s="983"/>
      <c r="AC14" s="983"/>
      <c r="AD14" s="983"/>
      <c r="AE14" s="983"/>
      <c r="AF14" s="983"/>
      <c r="AG14" s="983"/>
      <c r="AH14" s="983"/>
      <c r="AI14" s="983"/>
      <c r="AJ14" s="983"/>
      <c r="AK14" s="983"/>
      <c r="AL14" s="983"/>
      <c r="AM14" s="983"/>
      <c r="AN14" s="983"/>
      <c r="AO14" s="983"/>
      <c r="AP14" s="983"/>
      <c r="AQ14" s="983"/>
      <c r="AR14" s="983"/>
      <c r="AS14" s="983"/>
      <c r="AT14" s="983"/>
      <c r="AU14" s="983"/>
      <c r="AV14" s="960"/>
      <c r="AW14" s="960"/>
      <c r="AX14" s="960"/>
      <c r="AY14" s="960"/>
      <c r="AZ14" s="960"/>
      <c r="BA14" s="960"/>
    </row>
    <row r="15" spans="1:53">
      <c r="A15" s="434"/>
      <c r="B15" s="434"/>
      <c r="C15" s="611" t="s">
        <v>11407</v>
      </c>
      <c r="D15" s="611"/>
      <c r="E15" s="611"/>
      <c r="F15" s="611"/>
      <c r="G15" s="611"/>
      <c r="H15" s="611"/>
      <c r="I15" s="611"/>
      <c r="J15" s="611"/>
      <c r="K15" s="611"/>
      <c r="L15" s="611"/>
      <c r="M15" s="612"/>
      <c r="N15" s="612"/>
      <c r="O15" s="612"/>
      <c r="P15" s="612"/>
      <c r="Q15" s="612"/>
      <c r="R15" s="612"/>
      <c r="S15" s="612"/>
      <c r="T15" s="612"/>
      <c r="U15" s="612"/>
      <c r="V15" s="612"/>
      <c r="W15" s="612"/>
      <c r="X15" s="612"/>
      <c r="Y15" s="612"/>
      <c r="Z15" s="612"/>
      <c r="AA15" s="612"/>
      <c r="AB15" s="612"/>
      <c r="AC15" s="612"/>
      <c r="AD15" s="612"/>
      <c r="AE15" s="612"/>
      <c r="AF15" s="612"/>
      <c r="AG15" s="612"/>
      <c r="AH15" s="612"/>
      <c r="AI15" s="612"/>
      <c r="AJ15" s="612"/>
      <c r="AK15" s="612"/>
      <c r="AL15" s="612"/>
      <c r="AM15" s="611"/>
      <c r="AN15" s="434"/>
      <c r="AO15" s="434"/>
      <c r="AP15" s="434"/>
    </row>
    <row r="16" spans="1:53" s="40" customFormat="1" ht="16.5" thickBot="1">
      <c r="A16" s="582"/>
      <c r="B16" s="582"/>
      <c r="C16" s="583" t="s">
        <v>1017</v>
      </c>
      <c r="D16" s="582"/>
      <c r="E16" s="582"/>
      <c r="F16" s="582"/>
      <c r="G16" s="582"/>
      <c r="H16" s="582"/>
      <c r="I16" s="582"/>
      <c r="J16" s="582"/>
      <c r="K16" s="582"/>
      <c r="L16" s="582"/>
      <c r="M16" s="582"/>
      <c r="N16" s="582"/>
      <c r="O16" s="582"/>
      <c r="P16" s="582"/>
      <c r="Q16" s="582"/>
      <c r="R16" s="582"/>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c r="BA16" s="582"/>
    </row>
    <row r="17" spans="1:44" ht="5.25" customHeight="1">
      <c r="A17" s="434"/>
      <c r="B17" s="434"/>
      <c r="C17" s="648"/>
      <c r="D17" s="984"/>
      <c r="E17" s="985"/>
      <c r="F17" s="985"/>
      <c r="G17" s="985"/>
      <c r="H17" s="985"/>
      <c r="I17" s="985"/>
      <c r="J17" s="985"/>
      <c r="K17" s="985"/>
      <c r="L17" s="985"/>
      <c r="M17" s="985"/>
      <c r="N17" s="985"/>
      <c r="O17" s="685"/>
      <c r="P17" s="685"/>
      <c r="Q17" s="685"/>
      <c r="R17" s="685"/>
      <c r="S17" s="685"/>
      <c r="T17" s="685"/>
      <c r="U17" s="586"/>
      <c r="V17" s="986"/>
      <c r="W17" s="986"/>
      <c r="X17" s="986"/>
      <c r="Y17" s="986"/>
      <c r="Z17" s="986"/>
      <c r="AA17" s="986"/>
      <c r="AB17" s="685"/>
      <c r="AC17" s="685"/>
      <c r="AD17" s="685"/>
      <c r="AE17" s="685"/>
      <c r="AF17" s="987"/>
      <c r="AG17" s="434"/>
      <c r="AH17" s="434"/>
      <c r="AI17" s="434"/>
      <c r="AJ17" s="434"/>
      <c r="AK17" s="434"/>
      <c r="AL17" s="434"/>
      <c r="AM17" s="434"/>
      <c r="AN17" s="434"/>
      <c r="AO17" s="593"/>
      <c r="AP17" s="593"/>
      <c r="AQ17" s="593"/>
      <c r="AR17" s="593"/>
    </row>
    <row r="18" spans="1:44" ht="19.5">
      <c r="A18" s="434"/>
      <c r="B18" s="434"/>
      <c r="C18" s="988"/>
      <c r="D18" s="989" t="s">
        <v>582</v>
      </c>
      <c r="E18" s="990"/>
      <c r="F18" s="990"/>
      <c r="G18" s="990"/>
      <c r="H18" s="990"/>
      <c r="I18" s="990"/>
      <c r="J18" s="990"/>
      <c r="K18" s="990"/>
      <c r="L18" s="990"/>
      <c r="M18" s="990"/>
      <c r="N18" s="990"/>
      <c r="O18" s="861"/>
      <c r="P18" s="434"/>
      <c r="Q18" s="434"/>
      <c r="R18" s="434"/>
      <c r="S18" s="434"/>
      <c r="T18" s="434"/>
      <c r="U18" s="610" t="b">
        <v>1</v>
      </c>
      <c r="V18" s="582" t="s">
        <v>484</v>
      </c>
      <c r="W18" s="593"/>
      <c r="X18" s="434"/>
      <c r="Y18" s="434"/>
      <c r="Z18" s="610"/>
      <c r="AA18" s="582" t="s">
        <v>485</v>
      </c>
      <c r="AB18" s="593"/>
      <c r="AC18" s="593"/>
      <c r="AD18" s="434"/>
      <c r="AE18" s="861"/>
      <c r="AF18" s="991"/>
      <c r="AG18" s="434"/>
      <c r="AH18" s="434"/>
      <c r="AI18" s="434"/>
      <c r="AJ18" s="434"/>
      <c r="AK18" s="434"/>
      <c r="AL18" s="434"/>
      <c r="AM18" s="434"/>
      <c r="AN18" s="434"/>
      <c r="AO18" s="593"/>
      <c r="AP18" s="593"/>
      <c r="AQ18" s="593"/>
      <c r="AR18" s="593"/>
    </row>
    <row r="19" spans="1:44" ht="6" customHeight="1">
      <c r="A19" s="434"/>
      <c r="B19" s="434"/>
      <c r="C19" s="988"/>
      <c r="D19" s="989"/>
      <c r="E19" s="990"/>
      <c r="F19" s="990"/>
      <c r="G19" s="990"/>
      <c r="H19" s="990"/>
      <c r="I19" s="990"/>
      <c r="J19" s="990"/>
      <c r="K19" s="990"/>
      <c r="L19" s="990"/>
      <c r="M19" s="990"/>
      <c r="N19" s="990"/>
      <c r="O19" s="861"/>
      <c r="P19" s="434"/>
      <c r="Q19" s="434"/>
      <c r="R19" s="434"/>
      <c r="S19" s="434"/>
      <c r="T19" s="434"/>
      <c r="U19" s="861"/>
      <c r="V19" s="593"/>
      <c r="W19" s="593"/>
      <c r="X19" s="434"/>
      <c r="Y19" s="434"/>
      <c r="Z19" s="861"/>
      <c r="AA19" s="593"/>
      <c r="AB19" s="593"/>
      <c r="AC19" s="593"/>
      <c r="AD19" s="434"/>
      <c r="AE19" s="861"/>
      <c r="AF19" s="991"/>
      <c r="AG19" s="434"/>
      <c r="AH19" s="434"/>
      <c r="AI19" s="434"/>
      <c r="AJ19" s="434"/>
      <c r="AK19" s="434"/>
      <c r="AL19" s="434"/>
      <c r="AM19" s="434"/>
      <c r="AN19" s="434"/>
      <c r="AO19" s="593"/>
      <c r="AP19" s="593"/>
      <c r="AQ19" s="593"/>
      <c r="AR19" s="593"/>
    </row>
    <row r="20" spans="1:44" ht="19.5">
      <c r="A20" s="434"/>
      <c r="B20" s="434"/>
      <c r="C20" s="988"/>
      <c r="D20" s="989" t="s">
        <v>583</v>
      </c>
      <c r="E20" s="990"/>
      <c r="F20" s="990"/>
      <c r="G20" s="990"/>
      <c r="H20" s="990"/>
      <c r="I20" s="990"/>
      <c r="J20" s="990"/>
      <c r="K20" s="990"/>
      <c r="L20" s="990"/>
      <c r="M20" s="990"/>
      <c r="N20" s="990"/>
      <c r="O20" s="861"/>
      <c r="P20" s="434"/>
      <c r="Q20" s="434"/>
      <c r="R20" s="434"/>
      <c r="S20" s="434"/>
      <c r="T20" s="434"/>
      <c r="U20" s="610" t="b">
        <v>1</v>
      </c>
      <c r="V20" s="582" t="s">
        <v>484</v>
      </c>
      <c r="W20" s="593"/>
      <c r="X20" s="434"/>
      <c r="Y20" s="434"/>
      <c r="Z20" s="610"/>
      <c r="AA20" s="582" t="s">
        <v>485</v>
      </c>
      <c r="AB20" s="593"/>
      <c r="AC20" s="593"/>
      <c r="AD20" s="434"/>
      <c r="AE20" s="861"/>
      <c r="AF20" s="991"/>
      <c r="AG20" s="434"/>
      <c r="AH20" s="434"/>
      <c r="AI20" s="434"/>
      <c r="AJ20" s="434"/>
      <c r="AK20" s="434"/>
      <c r="AL20" s="434"/>
      <c r="AM20" s="434"/>
      <c r="AN20" s="434"/>
      <c r="AO20" s="593"/>
      <c r="AP20" s="593"/>
      <c r="AQ20" s="593"/>
      <c r="AR20" s="593"/>
    </row>
    <row r="21" spans="1:44" ht="6" customHeight="1">
      <c r="A21" s="434"/>
      <c r="B21" s="434"/>
      <c r="C21" s="988"/>
      <c r="D21" s="989"/>
      <c r="E21" s="990"/>
      <c r="F21" s="990"/>
      <c r="G21" s="990"/>
      <c r="H21" s="990"/>
      <c r="I21" s="990"/>
      <c r="J21" s="990"/>
      <c r="K21" s="990"/>
      <c r="L21" s="990"/>
      <c r="M21" s="990"/>
      <c r="N21" s="990"/>
      <c r="O21" s="861"/>
      <c r="P21" s="434"/>
      <c r="Q21" s="861"/>
      <c r="R21" s="593"/>
      <c r="S21" s="593"/>
      <c r="T21" s="434"/>
      <c r="U21" s="434"/>
      <c r="V21" s="861"/>
      <c r="W21" s="593"/>
      <c r="X21" s="434"/>
      <c r="Y21" s="593"/>
      <c r="Z21" s="593"/>
      <c r="AA21" s="593"/>
      <c r="AB21" s="593"/>
      <c r="AC21" s="593"/>
      <c r="AD21" s="434"/>
      <c r="AE21" s="861"/>
      <c r="AF21" s="991"/>
      <c r="AG21" s="434"/>
      <c r="AH21" s="434"/>
      <c r="AI21" s="434"/>
      <c r="AJ21" s="434"/>
      <c r="AK21" s="434"/>
      <c r="AL21" s="434"/>
      <c r="AM21" s="434"/>
      <c r="AN21" s="434"/>
      <c r="AO21" s="593"/>
      <c r="AP21" s="593"/>
      <c r="AQ21" s="593"/>
      <c r="AR21" s="593"/>
    </row>
    <row r="22" spans="1:44" ht="19.5">
      <c r="A22" s="434"/>
      <c r="B22" s="434"/>
      <c r="C22" s="988"/>
      <c r="D22" s="989" t="s">
        <v>1139</v>
      </c>
      <c r="E22" s="990"/>
      <c r="F22" s="990"/>
      <c r="G22" s="990"/>
      <c r="H22" s="990"/>
      <c r="I22" s="990"/>
      <c r="J22" s="990"/>
      <c r="K22" s="990"/>
      <c r="L22" s="990"/>
      <c r="M22" s="990"/>
      <c r="N22" s="990"/>
      <c r="O22" s="861"/>
      <c r="P22" s="434"/>
      <c r="Q22" s="861"/>
      <c r="R22" s="593"/>
      <c r="S22" s="593"/>
      <c r="T22" s="434"/>
      <c r="U22" s="434"/>
      <c r="V22" s="861"/>
      <c r="W22" s="593"/>
      <c r="X22" s="434"/>
      <c r="Y22" s="593"/>
      <c r="Z22" s="593"/>
      <c r="AA22" s="593"/>
      <c r="AB22" s="593"/>
      <c r="AC22" s="593"/>
      <c r="AD22" s="434"/>
      <c r="AE22" s="861"/>
      <c r="AF22" s="991"/>
      <c r="AG22" s="434"/>
      <c r="AH22" s="434"/>
      <c r="AI22" s="434"/>
      <c r="AJ22" s="434"/>
      <c r="AK22" s="434"/>
      <c r="AL22" s="434"/>
      <c r="AM22" s="434"/>
      <c r="AN22" s="434"/>
      <c r="AO22" s="593"/>
      <c r="AP22" s="593"/>
      <c r="AQ22" s="593"/>
      <c r="AR22" s="593"/>
    </row>
    <row r="23" spans="1:44" ht="6" customHeight="1" thickBot="1">
      <c r="A23" s="434"/>
      <c r="B23" s="434"/>
      <c r="C23" s="988"/>
      <c r="D23" s="434"/>
      <c r="E23" s="989"/>
      <c r="F23" s="990"/>
      <c r="G23" s="990"/>
      <c r="H23" s="990"/>
      <c r="I23" s="990"/>
      <c r="J23" s="990"/>
      <c r="K23" s="990"/>
      <c r="L23" s="990"/>
      <c r="M23" s="990"/>
      <c r="N23" s="990"/>
      <c r="O23" s="861"/>
      <c r="P23" s="434"/>
      <c r="Q23" s="861"/>
      <c r="R23" s="593"/>
      <c r="S23" s="593"/>
      <c r="T23" s="434"/>
      <c r="U23" s="434"/>
      <c r="V23" s="861"/>
      <c r="W23" s="593"/>
      <c r="X23" s="593"/>
      <c r="Y23" s="593"/>
      <c r="Z23" s="593"/>
      <c r="AA23" s="593"/>
      <c r="AB23" s="593"/>
      <c r="AC23" s="593"/>
      <c r="AD23" s="434"/>
      <c r="AE23" s="861"/>
      <c r="AF23" s="991"/>
      <c r="AG23" s="434"/>
      <c r="AH23" s="434"/>
      <c r="AI23" s="434"/>
      <c r="AJ23" s="434"/>
      <c r="AK23" s="434"/>
      <c r="AL23" s="434"/>
      <c r="AM23" s="434"/>
      <c r="AN23" s="434"/>
      <c r="AO23" s="593"/>
      <c r="AP23" s="593"/>
      <c r="AQ23" s="593"/>
      <c r="AR23" s="593"/>
    </row>
    <row r="24" spans="1:44" ht="19.5" customHeight="1">
      <c r="A24" s="434"/>
      <c r="B24" s="434"/>
      <c r="C24" s="988"/>
      <c r="D24" s="434"/>
      <c r="E24" s="989"/>
      <c r="F24" s="3147" t="s">
        <v>584</v>
      </c>
      <c r="G24" s="3148"/>
      <c r="H24" s="3148"/>
      <c r="I24" s="3148"/>
      <c r="J24" s="3148"/>
      <c r="K24" s="3148"/>
      <c r="L24" s="3148"/>
      <c r="M24" s="3148"/>
      <c r="N24" s="3148"/>
      <c r="O24" s="3148"/>
      <c r="P24" s="3148"/>
      <c r="Q24" s="3148"/>
      <c r="R24" s="3149"/>
      <c r="S24" s="3153" t="s">
        <v>585</v>
      </c>
      <c r="T24" s="3154"/>
      <c r="U24" s="3154"/>
      <c r="V24" s="3154"/>
      <c r="W24" s="3154"/>
      <c r="X24" s="3155"/>
      <c r="Y24" s="434"/>
      <c r="Z24" s="434"/>
      <c r="AA24" s="861"/>
      <c r="AB24" s="861"/>
      <c r="AC24" s="861"/>
      <c r="AD24" s="434"/>
      <c r="AE24" s="434"/>
      <c r="AF24" s="991"/>
      <c r="AG24" s="434"/>
      <c r="AH24" s="434"/>
      <c r="AI24" s="434"/>
      <c r="AJ24" s="434"/>
      <c r="AK24" s="434"/>
      <c r="AL24" s="434"/>
      <c r="AM24" s="434"/>
      <c r="AN24" s="434"/>
      <c r="AO24" s="593"/>
      <c r="AP24" s="593"/>
      <c r="AQ24" s="593"/>
      <c r="AR24" s="593"/>
    </row>
    <row r="25" spans="1:44" ht="20.25" thickBot="1">
      <c r="A25" s="434"/>
      <c r="B25" s="434"/>
      <c r="C25" s="988"/>
      <c r="D25" s="434"/>
      <c r="E25" s="989"/>
      <c r="F25" s="3150"/>
      <c r="G25" s="3151"/>
      <c r="H25" s="3151"/>
      <c r="I25" s="3151"/>
      <c r="J25" s="3151"/>
      <c r="K25" s="3151"/>
      <c r="L25" s="3151"/>
      <c r="M25" s="3151"/>
      <c r="N25" s="3151"/>
      <c r="O25" s="3151"/>
      <c r="P25" s="3151"/>
      <c r="Q25" s="3151"/>
      <c r="R25" s="3152"/>
      <c r="S25" s="3156"/>
      <c r="T25" s="3157"/>
      <c r="U25" s="3157"/>
      <c r="V25" s="3157"/>
      <c r="W25" s="3157"/>
      <c r="X25" s="3158"/>
      <c r="Y25" s="434"/>
      <c r="Z25" s="434"/>
      <c r="AA25" s="861"/>
      <c r="AB25" s="861"/>
      <c r="AC25" s="861"/>
      <c r="AD25" s="434"/>
      <c r="AE25" s="434"/>
      <c r="AF25" s="991"/>
      <c r="AG25" s="434"/>
      <c r="AH25" s="434"/>
      <c r="AI25" s="434"/>
      <c r="AJ25" s="434"/>
      <c r="AK25" s="434"/>
      <c r="AL25" s="434"/>
      <c r="AM25" s="434"/>
      <c r="AN25" s="434"/>
      <c r="AO25" s="593"/>
      <c r="AP25" s="593"/>
      <c r="AQ25" s="593"/>
      <c r="AR25" s="593"/>
    </row>
    <row r="26" spans="1:44" ht="19.5">
      <c r="A26" s="434"/>
      <c r="B26" s="434"/>
      <c r="C26" s="988"/>
      <c r="D26" s="434"/>
      <c r="E26" s="989"/>
      <c r="F26" s="3159" t="s">
        <v>586</v>
      </c>
      <c r="G26" s="3160"/>
      <c r="H26" s="3160"/>
      <c r="I26" s="3160"/>
      <c r="J26" s="3160"/>
      <c r="K26" s="3160"/>
      <c r="L26" s="3160"/>
      <c r="M26" s="3160"/>
      <c r="N26" s="3160"/>
      <c r="O26" s="3160"/>
      <c r="P26" s="3160"/>
      <c r="Q26" s="3160"/>
      <c r="R26" s="3161"/>
      <c r="S26" s="3126">
        <v>1</v>
      </c>
      <c r="T26" s="3127"/>
      <c r="U26" s="3127"/>
      <c r="V26" s="3127"/>
      <c r="W26" s="3127"/>
      <c r="X26" s="3130"/>
      <c r="Y26" s="434"/>
      <c r="Z26" s="434"/>
      <c r="AA26" s="861"/>
      <c r="AB26" s="861"/>
      <c r="AC26" s="861"/>
      <c r="AD26" s="434"/>
      <c r="AE26" s="434"/>
      <c r="AF26" s="991"/>
      <c r="AG26" s="434"/>
      <c r="AH26" s="434"/>
      <c r="AI26" s="434"/>
      <c r="AJ26" s="434"/>
      <c r="AK26" s="434"/>
      <c r="AL26" s="434"/>
      <c r="AM26" s="434"/>
      <c r="AN26" s="434"/>
      <c r="AO26" s="593"/>
      <c r="AP26" s="593"/>
      <c r="AQ26" s="593"/>
      <c r="AR26" s="593"/>
    </row>
    <row r="27" spans="1:44" ht="19.5">
      <c r="A27" s="434"/>
      <c r="B27" s="434"/>
      <c r="C27" s="988"/>
      <c r="D27" s="434"/>
      <c r="E27" s="989"/>
      <c r="F27" s="3162" t="s">
        <v>587</v>
      </c>
      <c r="G27" s="3163"/>
      <c r="H27" s="3163"/>
      <c r="I27" s="3163"/>
      <c r="J27" s="3163"/>
      <c r="K27" s="3163"/>
      <c r="L27" s="3163"/>
      <c r="M27" s="3163"/>
      <c r="N27" s="3163"/>
      <c r="O27" s="3163"/>
      <c r="P27" s="3163"/>
      <c r="Q27" s="3163"/>
      <c r="R27" s="3164"/>
      <c r="S27" s="3079">
        <v>2</v>
      </c>
      <c r="T27" s="3080"/>
      <c r="U27" s="3080"/>
      <c r="V27" s="3080"/>
      <c r="W27" s="3080"/>
      <c r="X27" s="3083"/>
      <c r="Y27" s="434"/>
      <c r="Z27" s="434"/>
      <c r="AA27" s="861"/>
      <c r="AB27" s="861"/>
      <c r="AC27" s="861"/>
      <c r="AD27" s="434"/>
      <c r="AE27" s="434"/>
      <c r="AF27" s="991"/>
      <c r="AG27" s="434"/>
      <c r="AH27" s="434"/>
      <c r="AI27" s="434"/>
      <c r="AJ27" s="434"/>
      <c r="AK27" s="434"/>
      <c r="AL27" s="434"/>
      <c r="AM27" s="434"/>
      <c r="AN27" s="434"/>
      <c r="AO27" s="593"/>
      <c r="AP27" s="593"/>
      <c r="AQ27" s="593"/>
      <c r="AR27" s="593"/>
    </row>
    <row r="28" spans="1:44" ht="30.75" customHeight="1">
      <c r="A28" s="434"/>
      <c r="B28" s="434"/>
      <c r="C28" s="988"/>
      <c r="D28" s="434"/>
      <c r="E28" s="989"/>
      <c r="F28" s="3165" t="s">
        <v>1140</v>
      </c>
      <c r="G28" s="3166"/>
      <c r="H28" s="3166"/>
      <c r="I28" s="3166"/>
      <c r="J28" s="3166"/>
      <c r="K28" s="3167"/>
      <c r="L28" s="3167"/>
      <c r="M28" s="3167"/>
      <c r="N28" s="3167"/>
      <c r="O28" s="3167"/>
      <c r="P28" s="3167"/>
      <c r="Q28" s="3167"/>
      <c r="R28" s="3168"/>
      <c r="S28" s="3069">
        <v>0</v>
      </c>
      <c r="T28" s="2614"/>
      <c r="U28" s="2614"/>
      <c r="V28" s="2614"/>
      <c r="W28" s="2614"/>
      <c r="X28" s="3072"/>
      <c r="Y28" s="434"/>
      <c r="Z28" s="434"/>
      <c r="AA28" s="861"/>
      <c r="AB28" s="861"/>
      <c r="AC28" s="861"/>
      <c r="AD28" s="434"/>
      <c r="AE28" s="434"/>
      <c r="AF28" s="991"/>
      <c r="AG28" s="434"/>
      <c r="AH28" s="434"/>
      <c r="AI28" s="434"/>
      <c r="AJ28" s="434"/>
      <c r="AK28" s="434"/>
      <c r="AL28" s="434"/>
      <c r="AM28" s="434"/>
      <c r="AN28" s="434"/>
      <c r="AO28" s="593"/>
      <c r="AP28" s="593"/>
      <c r="AQ28" s="593"/>
      <c r="AR28" s="593"/>
    </row>
    <row r="29" spans="1:44" ht="15" customHeight="1" thickBot="1">
      <c r="A29" s="434"/>
      <c r="B29" s="434"/>
      <c r="C29" s="988"/>
      <c r="D29" s="434"/>
      <c r="E29" s="989"/>
      <c r="F29" s="992"/>
      <c r="G29" s="993"/>
      <c r="H29" s="993"/>
      <c r="I29" s="993"/>
      <c r="J29" s="993"/>
      <c r="K29" s="1739" t="str">
        <f>IF(AND(ISBLANK(sch_clinic_scale_others_specify_unit), sch_clinic_scale_others_unit&gt;0), "Please specify", "")</f>
        <v/>
      </c>
      <c r="L29" s="993"/>
      <c r="M29" s="993"/>
      <c r="N29" s="993"/>
      <c r="O29" s="993"/>
      <c r="P29" s="866"/>
      <c r="Q29" s="994"/>
      <c r="R29" s="995"/>
      <c r="S29" s="3169" t="str">
        <f>IF(AND(sch_clinic_scale_others_specify_unit&gt;0, ISBLANK(sch_clinic_scale_others_unit)), "Please provide details.", "")</f>
        <v/>
      </c>
      <c r="T29" s="3170"/>
      <c r="U29" s="3170"/>
      <c r="V29" s="3170"/>
      <c r="W29" s="3170"/>
      <c r="X29" s="3171"/>
      <c r="Y29" s="434"/>
      <c r="Z29" s="434"/>
      <c r="AA29" s="861"/>
      <c r="AB29" s="861"/>
      <c r="AC29" s="861"/>
      <c r="AD29" s="434"/>
      <c r="AE29" s="434"/>
      <c r="AF29" s="991"/>
      <c r="AG29" s="434"/>
      <c r="AH29" s="434"/>
      <c r="AI29" s="434"/>
      <c r="AJ29" s="434"/>
      <c r="AK29" s="434"/>
      <c r="AL29" s="434"/>
      <c r="AM29" s="434"/>
      <c r="AN29" s="434"/>
      <c r="AO29" s="593"/>
      <c r="AP29" s="593"/>
      <c r="AQ29" s="593"/>
      <c r="AR29" s="593"/>
    </row>
    <row r="30" spans="1:44" ht="6" customHeight="1">
      <c r="A30" s="434"/>
      <c r="B30" s="434"/>
      <c r="C30" s="988"/>
      <c r="D30" s="434"/>
      <c r="E30" s="989"/>
      <c r="F30" s="990"/>
      <c r="G30" s="990"/>
      <c r="H30" s="990"/>
      <c r="I30" s="990"/>
      <c r="J30" s="990"/>
      <c r="K30" s="990"/>
      <c r="L30" s="990"/>
      <c r="M30" s="990"/>
      <c r="N30" s="990"/>
      <c r="O30" s="861"/>
      <c r="P30" s="434"/>
      <c r="Q30" s="861"/>
      <c r="R30" s="593"/>
      <c r="S30" s="593"/>
      <c r="T30" s="434"/>
      <c r="U30" s="434"/>
      <c r="V30" s="861"/>
      <c r="W30" s="593"/>
      <c r="X30" s="593"/>
      <c r="Y30" s="593"/>
      <c r="Z30" s="593"/>
      <c r="AA30" s="593"/>
      <c r="AB30" s="593"/>
      <c r="AC30" s="434"/>
      <c r="AD30" s="861"/>
      <c r="AE30" s="861"/>
      <c r="AF30" s="991"/>
      <c r="AG30" s="434"/>
      <c r="AH30" s="434"/>
      <c r="AI30" s="434"/>
      <c r="AJ30" s="434"/>
      <c r="AK30" s="434"/>
      <c r="AL30" s="434"/>
      <c r="AM30" s="434"/>
      <c r="AN30" s="434"/>
      <c r="AO30" s="593"/>
      <c r="AP30" s="593"/>
      <c r="AQ30" s="593"/>
      <c r="AR30" s="593"/>
    </row>
    <row r="31" spans="1:44" ht="20.25">
      <c r="A31" s="434"/>
      <c r="B31" s="434"/>
      <c r="C31" s="988"/>
      <c r="D31" s="989" t="s">
        <v>1141</v>
      </c>
      <c r="E31" s="633"/>
      <c r="F31" s="634"/>
      <c r="G31" s="634"/>
      <c r="H31" s="634"/>
      <c r="I31" s="634"/>
      <c r="J31" s="634"/>
      <c r="K31" s="634"/>
      <c r="L31" s="634"/>
      <c r="M31" s="634"/>
      <c r="N31" s="634"/>
      <c r="O31" s="625"/>
      <c r="P31" s="582"/>
      <c r="Q31" s="582"/>
      <c r="R31" s="582"/>
      <c r="S31" s="582"/>
      <c r="T31" s="582"/>
      <c r="U31" s="996"/>
      <c r="V31" s="625"/>
      <c r="W31" s="625"/>
      <c r="X31" s="625"/>
      <c r="Y31" s="625"/>
      <c r="Z31" s="625"/>
      <c r="AA31" s="625"/>
      <c r="AB31" s="582"/>
      <c r="AC31" s="582"/>
      <c r="AD31" s="582"/>
      <c r="AE31" s="582"/>
      <c r="AF31" s="592"/>
      <c r="AG31" s="434"/>
      <c r="AH31" s="434"/>
      <c r="AI31" s="434"/>
      <c r="AJ31" s="434"/>
      <c r="AK31" s="434"/>
      <c r="AL31" s="434"/>
      <c r="AM31" s="434"/>
      <c r="AN31" s="434"/>
      <c r="AO31" s="593"/>
      <c r="AP31" s="593"/>
      <c r="AQ31" s="593"/>
      <c r="AR31" s="593"/>
    </row>
    <row r="32" spans="1:44" ht="19.5">
      <c r="A32" s="434"/>
      <c r="B32" s="434"/>
      <c r="C32" s="988"/>
      <c r="D32" s="599"/>
      <c r="E32" s="640"/>
      <c r="F32" s="640"/>
      <c r="G32" s="640"/>
      <c r="H32" s="610" t="b">
        <v>0</v>
      </c>
      <c r="I32" s="582" t="s">
        <v>588</v>
      </c>
      <c r="J32" s="599"/>
      <c r="K32" s="599"/>
      <c r="L32" s="599"/>
      <c r="M32" s="599"/>
      <c r="N32" s="599"/>
      <c r="O32" s="610" t="b">
        <v>1</v>
      </c>
      <c r="P32" s="582" t="s">
        <v>589</v>
      </c>
      <c r="Q32" s="599"/>
      <c r="R32" s="599"/>
      <c r="S32" s="599"/>
      <c r="T32" s="434"/>
      <c r="U32" s="610" t="b">
        <v>0</v>
      </c>
      <c r="V32" s="761" t="s">
        <v>1021</v>
      </c>
      <c r="W32" s="599"/>
      <c r="X32" s="599"/>
      <c r="Y32" s="599"/>
      <c r="Z32" s="3172"/>
      <c r="AA32" s="3172"/>
      <c r="AB32" s="3172"/>
      <c r="AC32" s="3172"/>
      <c r="AD32" s="3172"/>
      <c r="AE32" s="3172"/>
      <c r="AF32" s="997"/>
      <c r="AG32" s="434"/>
      <c r="AH32" s="434"/>
      <c r="AI32" s="434"/>
      <c r="AJ32" s="434"/>
      <c r="AK32" s="434"/>
      <c r="AL32" s="434"/>
      <c r="AM32" s="434"/>
      <c r="AN32" s="434"/>
      <c r="AO32" s="593"/>
      <c r="AP32" s="593"/>
      <c r="AQ32" s="593"/>
      <c r="AR32" s="593"/>
    </row>
    <row r="33" spans="1:53" ht="23.45" customHeight="1">
      <c r="A33" s="434"/>
      <c r="B33" s="434"/>
      <c r="C33" s="988"/>
      <c r="D33" s="599"/>
      <c r="E33" s="640"/>
      <c r="F33" s="640"/>
      <c r="G33" s="640"/>
      <c r="H33" s="610" t="b">
        <v>0</v>
      </c>
      <c r="I33" s="582" t="s">
        <v>590</v>
      </c>
      <c r="J33" s="599"/>
      <c r="K33" s="599"/>
      <c r="L33" s="599"/>
      <c r="M33" s="599"/>
      <c r="N33" s="599"/>
      <c r="O33" s="610" t="b">
        <v>0</v>
      </c>
      <c r="P33" s="582" t="s">
        <v>591</v>
      </c>
      <c r="Q33" s="599"/>
      <c r="R33" s="599"/>
      <c r="S33" s="599"/>
      <c r="T33" s="582"/>
      <c r="U33" s="582"/>
      <c r="V33" s="434"/>
      <c r="W33" s="582"/>
      <c r="X33" s="599"/>
      <c r="Y33" s="599"/>
      <c r="Z33" s="1716" t="str">
        <f>IF(AND(sch_clinic_tools_height_others_specify_value=TRUE,ISBLANK(sch_clinic_tools_height_others_value)),"Please specify.",IF(AND(sch_clinic_tools_height_others_specify_value=FALSE,(sch_clinic_tools_height_others_value&gt;0)),"Please check Others if you have entries.",""))</f>
        <v/>
      </c>
      <c r="AA33" s="625"/>
      <c r="AB33" s="625"/>
      <c r="AC33" s="625"/>
      <c r="AD33" s="625"/>
      <c r="AE33" s="625"/>
      <c r="AF33" s="705"/>
      <c r="AG33" s="434"/>
      <c r="AH33" s="434"/>
      <c r="AI33" s="434"/>
      <c r="AJ33" s="434"/>
      <c r="AK33" s="434"/>
      <c r="AL33" s="434"/>
      <c r="AM33" s="434"/>
      <c r="AN33" s="434"/>
      <c r="AO33" s="593"/>
      <c r="AP33" s="593"/>
      <c r="AQ33" s="593"/>
      <c r="AR33" s="593"/>
    </row>
    <row r="34" spans="1:53" ht="24.95" customHeight="1">
      <c r="A34" s="434"/>
      <c r="B34" s="434"/>
      <c r="C34" s="988"/>
      <c r="D34" s="989" t="s">
        <v>1142</v>
      </c>
      <c r="E34" s="989"/>
      <c r="F34" s="998"/>
      <c r="G34" s="998"/>
      <c r="H34" s="998"/>
      <c r="I34" s="998"/>
      <c r="J34" s="998"/>
      <c r="K34" s="998"/>
      <c r="L34" s="998"/>
      <c r="M34" s="998"/>
      <c r="N34" s="998"/>
      <c r="O34" s="861"/>
      <c r="P34" s="434"/>
      <c r="Q34" s="434"/>
      <c r="R34" s="593"/>
      <c r="S34" s="593"/>
      <c r="T34" s="593"/>
      <c r="U34" s="999"/>
      <c r="V34" s="861"/>
      <c r="W34" s="861"/>
      <c r="X34" s="3145">
        <v>2</v>
      </c>
      <c r="Y34" s="3145"/>
      <c r="Z34" s="3145"/>
      <c r="AA34" s="3145"/>
      <c r="AB34" s="3145"/>
      <c r="AC34" s="3145"/>
      <c r="AD34" s="593"/>
      <c r="AE34" s="593"/>
      <c r="AF34" s="691"/>
      <c r="AG34" s="434"/>
      <c r="AH34" s="434"/>
      <c r="AI34" s="434"/>
      <c r="AJ34" s="434"/>
      <c r="AK34" s="434"/>
      <c r="AL34" s="434"/>
      <c r="AM34" s="434"/>
      <c r="AN34" s="434"/>
      <c r="AO34" s="593"/>
      <c r="AP34" s="593"/>
      <c r="AQ34" s="593"/>
      <c r="AR34" s="593"/>
    </row>
    <row r="35" spans="1:53" ht="24.95" customHeight="1">
      <c r="A35" s="434"/>
      <c r="B35" s="434"/>
      <c r="C35" s="988"/>
      <c r="D35" s="989" t="s">
        <v>1143</v>
      </c>
      <c r="E35" s="989"/>
      <c r="F35" s="998"/>
      <c r="G35" s="998"/>
      <c r="H35" s="998"/>
      <c r="I35" s="998"/>
      <c r="J35" s="998"/>
      <c r="K35" s="998"/>
      <c r="L35" s="998"/>
      <c r="M35" s="998"/>
      <c r="N35" s="998"/>
      <c r="O35" s="861"/>
      <c r="P35" s="593"/>
      <c r="Q35" s="593"/>
      <c r="R35" s="593"/>
      <c r="S35" s="434"/>
      <c r="T35" s="593"/>
      <c r="U35" s="999"/>
      <c r="V35" s="861"/>
      <c r="W35" s="861"/>
      <c r="X35" s="3145">
        <v>3</v>
      </c>
      <c r="Y35" s="3145"/>
      <c r="Z35" s="3145"/>
      <c r="AA35" s="3145"/>
      <c r="AB35" s="3145"/>
      <c r="AC35" s="3145"/>
      <c r="AD35" s="593"/>
      <c r="AE35" s="593"/>
      <c r="AF35" s="691"/>
      <c r="AG35" s="434"/>
      <c r="AH35" s="434"/>
      <c r="AI35" s="434"/>
      <c r="AJ35" s="434"/>
      <c r="AK35" s="434"/>
      <c r="AL35" s="434"/>
      <c r="AM35" s="434"/>
      <c r="AN35" s="434"/>
      <c r="AO35" s="593"/>
      <c r="AP35" s="593"/>
      <c r="AQ35" s="593"/>
      <c r="AR35" s="593"/>
    </row>
    <row r="36" spans="1:53" ht="24.95" customHeight="1">
      <c r="A36" s="434"/>
      <c r="B36" s="434"/>
      <c r="C36" s="988"/>
      <c r="D36" s="989" t="s">
        <v>1144</v>
      </c>
      <c r="E36" s="989"/>
      <c r="F36" s="998"/>
      <c r="G36" s="998"/>
      <c r="H36" s="998"/>
      <c r="I36" s="998"/>
      <c r="J36" s="998"/>
      <c r="K36" s="998"/>
      <c r="L36" s="998"/>
      <c r="M36" s="998"/>
      <c r="N36" s="998"/>
      <c r="O36" s="861"/>
      <c r="P36" s="593"/>
      <c r="Q36" s="593"/>
      <c r="R36" s="593"/>
      <c r="S36" s="434"/>
      <c r="T36" s="434"/>
      <c r="U36" s="999"/>
      <c r="V36" s="861"/>
      <c r="W36" s="861"/>
      <c r="X36" s="3145">
        <v>2</v>
      </c>
      <c r="Y36" s="3145"/>
      <c r="Z36" s="3145"/>
      <c r="AA36" s="3145"/>
      <c r="AB36" s="3145"/>
      <c r="AC36" s="3145"/>
      <c r="AD36" s="593"/>
      <c r="AE36" s="593"/>
      <c r="AF36" s="691"/>
      <c r="AG36" s="434"/>
      <c r="AH36" s="434"/>
      <c r="AI36" s="434"/>
      <c r="AJ36" s="434"/>
      <c r="AK36" s="434"/>
      <c r="AL36" s="434"/>
      <c r="AM36" s="434"/>
      <c r="AN36" s="434"/>
      <c r="AO36" s="593"/>
      <c r="AP36" s="593"/>
      <c r="AQ36" s="593"/>
      <c r="AR36" s="593"/>
    </row>
    <row r="37" spans="1:53" ht="24.95" customHeight="1">
      <c r="A37" s="434"/>
      <c r="B37" s="434"/>
      <c r="C37" s="988"/>
      <c r="D37" s="989" t="s">
        <v>1145</v>
      </c>
      <c r="E37" s="989"/>
      <c r="F37" s="998"/>
      <c r="G37" s="998"/>
      <c r="H37" s="998"/>
      <c r="I37" s="998"/>
      <c r="J37" s="998"/>
      <c r="K37" s="998"/>
      <c r="L37" s="998"/>
      <c r="M37" s="998"/>
      <c r="N37" s="998"/>
      <c r="O37" s="861"/>
      <c r="P37" s="593"/>
      <c r="Q37" s="593"/>
      <c r="R37" s="593"/>
      <c r="S37" s="593"/>
      <c r="T37" s="593"/>
      <c r="U37" s="999"/>
      <c r="V37" s="861"/>
      <c r="W37" s="861"/>
      <c r="X37" s="3145">
        <v>1</v>
      </c>
      <c r="Y37" s="3145"/>
      <c r="Z37" s="3145"/>
      <c r="AA37" s="3145"/>
      <c r="AB37" s="3145"/>
      <c r="AC37" s="3145"/>
      <c r="AD37" s="593"/>
      <c r="AE37" s="593"/>
      <c r="AF37" s="691"/>
      <c r="AG37" s="434"/>
      <c r="AH37" s="434"/>
      <c r="AI37" s="434"/>
      <c r="AJ37" s="434"/>
      <c r="AK37" s="434"/>
      <c r="AL37" s="434"/>
      <c r="AM37" s="434"/>
      <c r="AN37" s="434"/>
      <c r="AO37" s="593"/>
      <c r="AP37" s="593"/>
      <c r="AQ37" s="593"/>
      <c r="AR37" s="593"/>
    </row>
    <row r="38" spans="1:53" ht="11.25" customHeight="1" thickBot="1">
      <c r="A38" s="434"/>
      <c r="B38" s="434"/>
      <c r="C38" s="646"/>
      <c r="D38" s="642"/>
      <c r="E38" s="642"/>
      <c r="F38" s="1000"/>
      <c r="G38" s="596"/>
      <c r="H38" s="596"/>
      <c r="I38" s="596"/>
      <c r="J38" s="596"/>
      <c r="K38" s="596"/>
      <c r="L38" s="596"/>
      <c r="M38" s="596"/>
      <c r="N38" s="596"/>
      <c r="O38" s="596"/>
      <c r="P38" s="866"/>
      <c r="Q38" s="866"/>
      <c r="R38" s="866"/>
      <c r="S38" s="866"/>
      <c r="T38" s="866"/>
      <c r="U38" s="596"/>
      <c r="V38" s="866"/>
      <c r="W38" s="866"/>
      <c r="X38" s="866"/>
      <c r="Y38" s="866"/>
      <c r="Z38" s="866"/>
      <c r="AA38" s="866"/>
      <c r="AB38" s="596"/>
      <c r="AC38" s="596"/>
      <c r="AD38" s="596"/>
      <c r="AE38" s="596"/>
      <c r="AF38" s="597"/>
      <c r="AG38" s="434"/>
      <c r="AH38" s="434"/>
      <c r="AI38" s="434"/>
      <c r="AJ38" s="434"/>
      <c r="AK38" s="434"/>
      <c r="AL38" s="434"/>
      <c r="AM38" s="434"/>
      <c r="AN38" s="434"/>
      <c r="AO38" s="434"/>
      <c r="AP38" s="434"/>
    </row>
    <row r="39" spans="1:53" s="43" customFormat="1" ht="9.9499999999999993" customHeight="1">
      <c r="A39" s="960"/>
      <c r="B39" s="960"/>
      <c r="C39" s="227"/>
      <c r="D39" s="982"/>
      <c r="E39" s="982"/>
      <c r="F39" s="982"/>
      <c r="G39" s="982"/>
      <c r="H39" s="982"/>
      <c r="I39" s="983"/>
      <c r="J39" s="983"/>
      <c r="K39" s="983"/>
      <c r="L39" s="983"/>
      <c r="M39" s="983"/>
      <c r="N39" s="983"/>
      <c r="O39" s="983"/>
      <c r="P39" s="983"/>
      <c r="Q39" s="983"/>
      <c r="R39" s="983"/>
      <c r="S39" s="983"/>
      <c r="T39" s="983"/>
      <c r="U39" s="983"/>
      <c r="V39" s="983"/>
      <c r="W39" s="983"/>
      <c r="X39" s="983"/>
      <c r="Y39" s="983"/>
      <c r="Z39" s="983"/>
      <c r="AA39" s="983"/>
      <c r="AB39" s="983"/>
      <c r="AC39" s="983"/>
      <c r="AD39" s="983"/>
      <c r="AE39" s="983"/>
      <c r="AF39" s="983"/>
      <c r="AG39" s="983"/>
      <c r="AH39" s="983"/>
      <c r="AI39" s="983"/>
      <c r="AJ39" s="983"/>
      <c r="AK39" s="983"/>
      <c r="AL39" s="983"/>
      <c r="AM39" s="983"/>
      <c r="AN39" s="983"/>
      <c r="AO39" s="983"/>
      <c r="AP39" s="983"/>
      <c r="AQ39" s="983"/>
      <c r="AR39" s="983"/>
      <c r="AS39" s="960"/>
      <c r="AT39" s="960"/>
      <c r="AU39" s="960"/>
      <c r="AV39" s="960"/>
      <c r="AW39" s="960"/>
      <c r="AX39" s="960"/>
      <c r="AY39" s="960"/>
      <c r="AZ39" s="960"/>
      <c r="BA39" s="960"/>
    </row>
    <row r="40" spans="1:53" s="43" customFormat="1" ht="9.9499999999999993" customHeight="1">
      <c r="A40" s="960"/>
      <c r="B40" s="960"/>
      <c r="C40" s="227"/>
      <c r="D40" s="982"/>
      <c r="E40" s="982"/>
      <c r="F40" s="982"/>
      <c r="G40" s="982"/>
      <c r="H40" s="982"/>
      <c r="I40" s="983"/>
      <c r="J40" s="983"/>
      <c r="K40" s="983"/>
      <c r="L40" s="983"/>
      <c r="M40" s="983"/>
      <c r="N40" s="983"/>
      <c r="O40" s="983"/>
      <c r="P40" s="983"/>
      <c r="Q40" s="983"/>
      <c r="R40" s="983"/>
      <c r="S40" s="983"/>
      <c r="T40" s="983"/>
      <c r="U40" s="983"/>
      <c r="V40" s="983"/>
      <c r="W40" s="983"/>
      <c r="X40" s="983"/>
      <c r="Y40" s="983"/>
      <c r="Z40" s="983"/>
      <c r="AA40" s="983"/>
      <c r="AB40" s="983"/>
      <c r="AC40" s="983"/>
      <c r="AD40" s="983"/>
      <c r="AE40" s="983"/>
      <c r="AF40" s="983"/>
      <c r="AG40" s="983"/>
      <c r="AH40" s="983"/>
      <c r="AI40" s="983"/>
      <c r="AJ40" s="983"/>
      <c r="AK40" s="983"/>
      <c r="AL40" s="983"/>
      <c r="AM40" s="983"/>
      <c r="AN40" s="983"/>
      <c r="AO40" s="983"/>
      <c r="AP40" s="983"/>
      <c r="AQ40" s="983"/>
      <c r="AR40" s="983"/>
      <c r="AS40" s="960"/>
      <c r="AT40" s="960"/>
      <c r="AU40" s="960"/>
      <c r="AV40" s="960"/>
      <c r="AW40" s="960"/>
      <c r="AX40" s="960"/>
      <c r="AY40" s="960"/>
      <c r="AZ40" s="960"/>
      <c r="BA40" s="960"/>
    </row>
    <row r="41" spans="1:53" s="164" customFormat="1" ht="30.75" customHeight="1">
      <c r="A41" s="260"/>
      <c r="B41" s="434"/>
      <c r="C41" s="434"/>
      <c r="D41" s="434"/>
      <c r="E41" s="434"/>
      <c r="F41" s="434"/>
      <c r="G41" s="434"/>
      <c r="H41" s="434"/>
      <c r="I41" s="434"/>
      <c r="J41" s="434"/>
      <c r="K41" s="434"/>
      <c r="L41" s="434"/>
      <c r="M41" s="434"/>
      <c r="N41" s="434"/>
      <c r="O41" s="260"/>
      <c r="P41" s="260"/>
      <c r="Q41" s="260"/>
      <c r="R41" s="434"/>
      <c r="S41" s="434"/>
      <c r="T41" s="434"/>
      <c r="U41" s="434"/>
      <c r="V41" s="434"/>
      <c r="W41" s="434"/>
      <c r="X41" s="434"/>
      <c r="Y41" s="434"/>
      <c r="Z41" s="434"/>
      <c r="AA41" s="434"/>
      <c r="AB41" s="434"/>
      <c r="AC41" s="434"/>
      <c r="AD41" s="434"/>
      <c r="AE41" s="260"/>
      <c r="AF41" s="260"/>
      <c r="AG41" s="260"/>
      <c r="AH41" s="260"/>
      <c r="AI41" s="260"/>
      <c r="AJ41" s="260"/>
      <c r="AK41" s="260"/>
      <c r="AL41" s="260"/>
      <c r="AM41" s="260"/>
      <c r="AN41" s="260"/>
      <c r="AO41" s="260"/>
      <c r="AP41" s="260"/>
      <c r="AQ41" s="260"/>
      <c r="AR41" s="260"/>
      <c r="AS41" s="260"/>
      <c r="AT41" s="260"/>
      <c r="AU41" s="260"/>
      <c r="AV41" s="260"/>
      <c r="AW41" s="260"/>
      <c r="AX41" s="260"/>
      <c r="AY41" s="260"/>
      <c r="AZ41" s="260"/>
      <c r="BA41" s="260"/>
    </row>
    <row r="42" spans="1:53" s="37" customFormat="1" ht="15">
      <c r="A42" s="263"/>
      <c r="B42" s="332" t="s">
        <v>32</v>
      </c>
      <c r="C42" s="263"/>
      <c r="D42" s="263"/>
      <c r="E42" s="263"/>
      <c r="F42" s="263"/>
      <c r="G42" s="263"/>
      <c r="H42" s="263"/>
      <c r="I42" s="263"/>
      <c r="J42" s="263"/>
      <c r="K42" s="263"/>
      <c r="L42" s="263"/>
      <c r="M42" s="263"/>
      <c r="N42" s="263"/>
      <c r="O42" s="263"/>
      <c r="P42" s="263"/>
      <c r="Q42" s="263"/>
      <c r="R42" s="332" t="s">
        <v>577</v>
      </c>
      <c r="S42" s="263"/>
      <c r="T42" s="263"/>
      <c r="U42" s="263"/>
      <c r="V42" s="263"/>
      <c r="W42" s="263"/>
      <c r="X42" s="263"/>
      <c r="Y42" s="263"/>
      <c r="Z42" s="263"/>
      <c r="AA42" s="263"/>
      <c r="AB42" s="263"/>
      <c r="AC42" s="263"/>
      <c r="AD42" s="263"/>
      <c r="AE42" s="263"/>
      <c r="AF42" s="263"/>
      <c r="AG42" s="263"/>
      <c r="AH42" s="263"/>
      <c r="AI42" s="263"/>
      <c r="AJ42" s="263"/>
      <c r="AK42" s="263"/>
      <c r="AL42" s="263"/>
      <c r="AM42" s="263"/>
      <c r="AN42" s="263"/>
      <c r="AO42" s="263"/>
      <c r="AP42" s="263"/>
      <c r="AQ42" s="263"/>
      <c r="AR42" s="263"/>
      <c r="AS42" s="263"/>
      <c r="AT42" s="263"/>
      <c r="AU42" s="263"/>
      <c r="AV42" s="263"/>
      <c r="AW42" s="263"/>
      <c r="AX42" s="263"/>
      <c r="AY42" s="263"/>
      <c r="AZ42" s="263"/>
      <c r="BA42" s="263"/>
    </row>
    <row r="43" spans="1:53" s="37" customFormat="1" ht="21.75" customHeight="1">
      <c r="A43" s="263"/>
      <c r="B43" s="332" t="s">
        <v>75</v>
      </c>
      <c r="C43" s="1001"/>
      <c r="D43" s="1001"/>
      <c r="E43" s="1001"/>
      <c r="F43" s="3146" t="str">
        <f>activesheet!E21</f>
        <v>MELCHESIEDICK Q. BOLANIO / March 17, 2023</v>
      </c>
      <c r="G43" s="3146"/>
      <c r="H43" s="3146"/>
      <c r="I43" s="3146"/>
      <c r="J43" s="3146"/>
      <c r="K43" s="3146"/>
      <c r="L43" s="3146"/>
      <c r="M43" s="3146"/>
      <c r="N43" s="3146"/>
      <c r="O43" s="263"/>
      <c r="P43" s="263"/>
      <c r="Q43" s="263"/>
      <c r="R43" s="2790" t="str">
        <f>activesheet!E2417</f>
        <v>RACQUEL N. ACOMPANADO / March 17, 2023</v>
      </c>
      <c r="S43" s="2790"/>
      <c r="T43" s="2790"/>
      <c r="U43" s="2790"/>
      <c r="V43" s="2790"/>
      <c r="W43" s="2790"/>
      <c r="X43" s="2790"/>
      <c r="Y43" s="2790"/>
      <c r="Z43" s="2790"/>
      <c r="AA43" s="2790"/>
      <c r="AB43" s="2790"/>
      <c r="AC43" s="2790"/>
      <c r="AD43" s="2790"/>
      <c r="AE43" s="2790"/>
      <c r="AF43" s="2790"/>
      <c r="AG43" s="2790"/>
      <c r="AH43" s="263"/>
      <c r="AI43" s="263"/>
      <c r="AJ43" s="263"/>
      <c r="AK43" s="263"/>
      <c r="AL43" s="263"/>
      <c r="AM43" s="263"/>
      <c r="AN43" s="263"/>
      <c r="AO43" s="263"/>
      <c r="AP43" s="263"/>
      <c r="AQ43" s="263"/>
      <c r="AR43" s="263"/>
      <c r="AS43" s="263"/>
      <c r="AT43" s="263"/>
      <c r="AU43" s="263"/>
      <c r="AV43" s="263"/>
      <c r="AW43" s="263"/>
      <c r="AX43" s="263"/>
      <c r="AY43" s="263"/>
      <c r="AZ43" s="263"/>
      <c r="BA43" s="263"/>
    </row>
    <row r="44" spans="1:53" s="39" customFormat="1" ht="13.5">
      <c r="A44" s="280"/>
      <c r="B44" s="228"/>
      <c r="C44" s="358"/>
      <c r="D44" s="358"/>
      <c r="E44" s="280"/>
      <c r="F44" s="1811" t="s">
        <v>37</v>
      </c>
      <c r="G44" s="1811"/>
      <c r="H44" s="1811"/>
      <c r="I44" s="1811"/>
      <c r="J44" s="1811"/>
      <c r="K44" s="1811"/>
      <c r="L44" s="1811"/>
      <c r="M44" s="1811"/>
      <c r="N44" s="1811"/>
      <c r="O44" s="281"/>
      <c r="P44" s="281"/>
      <c r="Q44" s="281"/>
      <c r="R44" s="1811" t="s">
        <v>37</v>
      </c>
      <c r="S44" s="1811"/>
      <c r="T44" s="1811"/>
      <c r="U44" s="1811"/>
      <c r="V44" s="1811"/>
      <c r="W44" s="1811"/>
      <c r="X44" s="1811"/>
      <c r="Y44" s="1811"/>
      <c r="Z44" s="1811"/>
      <c r="AA44" s="1811"/>
      <c r="AB44" s="1811"/>
      <c r="AC44" s="1811"/>
      <c r="AD44" s="1811"/>
      <c r="AE44" s="1811"/>
      <c r="AF44" s="1811"/>
      <c r="AG44" s="1811"/>
      <c r="AH44" s="358"/>
      <c r="AI44" s="358"/>
      <c r="AJ44" s="358"/>
      <c r="AK44" s="358"/>
      <c r="AL44" s="358"/>
      <c r="AM44" s="358"/>
      <c r="AN44" s="358"/>
      <c r="AO44" s="280"/>
      <c r="AP44" s="280"/>
      <c r="AQ44" s="280"/>
      <c r="AR44" s="280"/>
      <c r="AS44" s="280"/>
      <c r="AT44" s="280"/>
      <c r="AU44" s="280"/>
      <c r="AV44" s="280"/>
      <c r="AW44" s="975"/>
      <c r="AX44" s="280"/>
      <c r="AY44" s="280"/>
      <c r="AZ44" s="280"/>
      <c r="BA44" s="280"/>
    </row>
    <row r="45" spans="1:53" s="37" customFormat="1" ht="21.75" customHeight="1">
      <c r="A45" s="263"/>
      <c r="B45" s="332" t="s">
        <v>58</v>
      </c>
      <c r="C45" s="263"/>
      <c r="D45" s="263"/>
      <c r="E45" s="263"/>
      <c r="F45" s="2790" t="str">
        <f>activesheet!E22</f>
        <v>SECONDARY SCHOOL PRINCIPAL IV</v>
      </c>
      <c r="G45" s="2790"/>
      <c r="H45" s="2790"/>
      <c r="I45" s="2790"/>
      <c r="J45" s="2790"/>
      <c r="K45" s="2790"/>
      <c r="L45" s="2790"/>
      <c r="M45" s="2790"/>
      <c r="N45" s="2790"/>
      <c r="O45" s="263"/>
      <c r="P45" s="263"/>
      <c r="Q45" s="263"/>
      <c r="R45" s="332" t="s">
        <v>58</v>
      </c>
      <c r="S45" s="263"/>
      <c r="T45" s="263"/>
      <c r="U45" s="263"/>
      <c r="V45" s="2790" t="str">
        <f>activesheet!E2418</f>
        <v>NURSE II</v>
      </c>
      <c r="W45" s="2790"/>
      <c r="X45" s="2790"/>
      <c r="Y45" s="2790"/>
      <c r="Z45" s="2790"/>
      <c r="AA45" s="2790"/>
      <c r="AB45" s="2790"/>
      <c r="AC45" s="2790"/>
      <c r="AD45" s="2790"/>
      <c r="AE45" s="2790"/>
      <c r="AF45" s="2790"/>
      <c r="AG45" s="2790"/>
      <c r="AH45" s="263"/>
      <c r="AI45" s="263"/>
      <c r="AJ45" s="263"/>
      <c r="AK45" s="263"/>
      <c r="AL45" s="263"/>
      <c r="AM45" s="263"/>
      <c r="AN45" s="263"/>
      <c r="AO45" s="263"/>
      <c r="AP45" s="263"/>
      <c r="AQ45" s="263"/>
      <c r="AR45" s="263"/>
      <c r="AS45" s="263"/>
      <c r="AT45" s="263"/>
      <c r="AU45" s="263"/>
      <c r="AV45" s="263"/>
      <c r="AW45" s="263"/>
      <c r="AX45" s="263"/>
      <c r="AY45" s="263"/>
      <c r="AZ45" s="263"/>
      <c r="BA45" s="263"/>
    </row>
    <row r="46" spans="1:53">
      <c r="A46" s="434"/>
      <c r="B46" s="434"/>
      <c r="C46" s="976"/>
      <c r="D46" s="976"/>
      <c r="E46" s="976"/>
      <c r="F46" s="976"/>
      <c r="G46" s="976"/>
      <c r="H46" s="976"/>
      <c r="I46" s="976"/>
      <c r="J46" s="976"/>
      <c r="K46" s="976"/>
      <c r="L46" s="976"/>
      <c r="M46" s="976"/>
      <c r="N46" s="976"/>
      <c r="O46" s="976"/>
      <c r="P46" s="976"/>
      <c r="Q46" s="976"/>
      <c r="R46" s="976"/>
      <c r="S46" s="976"/>
      <c r="T46" s="976"/>
      <c r="U46" s="976"/>
      <c r="V46" s="976"/>
      <c r="W46" s="976"/>
      <c r="X46" s="434"/>
      <c r="Y46" s="434"/>
      <c r="Z46" s="434"/>
      <c r="AA46" s="434"/>
      <c r="AB46" s="434"/>
      <c r="AC46" s="434"/>
      <c r="AD46" s="434"/>
      <c r="AE46" s="434"/>
      <c r="AF46" s="434"/>
      <c r="AG46" s="434"/>
      <c r="AH46" s="434"/>
      <c r="AI46" s="434"/>
      <c r="AJ46" s="434"/>
      <c r="AK46" s="434"/>
      <c r="AL46" s="434"/>
      <c r="AM46" s="434"/>
      <c r="AN46" s="434"/>
      <c r="AO46" s="434"/>
      <c r="AP46" s="434"/>
    </row>
    <row r="47" spans="1:53">
      <c r="A47" s="434"/>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34"/>
    </row>
    <row r="48" spans="1:53">
      <c r="A48" s="434"/>
      <c r="B48" s="434"/>
      <c r="C48" s="434"/>
      <c r="D48" s="434"/>
      <c r="E48" s="434"/>
      <c r="F48" s="434"/>
      <c r="G48" s="434"/>
      <c r="H48" s="434"/>
      <c r="I48" s="434"/>
      <c r="J48" s="434"/>
      <c r="K48" s="332" t="s">
        <v>33</v>
      </c>
      <c r="L48" s="263"/>
      <c r="M48" s="263"/>
      <c r="N48" s="263"/>
      <c r="O48" s="263"/>
      <c r="P48" s="263"/>
      <c r="Q48" s="263"/>
      <c r="R48" s="263"/>
      <c r="S48" s="263"/>
      <c r="T48" s="263"/>
      <c r="U48" s="263"/>
      <c r="V48" s="263"/>
      <c r="W48" s="263"/>
      <c r="X48" s="434"/>
      <c r="Y48" s="434"/>
      <c r="Z48" s="434"/>
      <c r="AA48" s="434"/>
      <c r="AB48" s="434"/>
      <c r="AC48" s="434"/>
      <c r="AD48" s="434"/>
      <c r="AE48" s="434"/>
      <c r="AF48" s="434"/>
      <c r="AG48" s="434"/>
      <c r="AH48" s="434"/>
      <c r="AI48" s="434"/>
      <c r="AJ48" s="434"/>
      <c r="AK48" s="434"/>
      <c r="AL48" s="434"/>
      <c r="AM48" s="434"/>
      <c r="AN48" s="434"/>
      <c r="AO48" s="434"/>
      <c r="AP48" s="434"/>
    </row>
    <row r="49" spans="1:42">
      <c r="A49" s="434"/>
      <c r="B49" s="434"/>
      <c r="C49" s="434"/>
      <c r="D49" s="434"/>
      <c r="E49" s="434"/>
      <c r="F49" s="434"/>
      <c r="G49" s="434"/>
      <c r="H49" s="434"/>
      <c r="I49" s="434"/>
      <c r="J49" s="434"/>
      <c r="K49" s="1819" t="str">
        <f>activesheet!E25</f>
        <v>MICHAEL T. JAMIS / March 17, 2023</v>
      </c>
      <c r="L49" s="1819"/>
      <c r="M49" s="1819"/>
      <c r="N49" s="1819"/>
      <c r="O49" s="1819"/>
      <c r="P49" s="1819"/>
      <c r="Q49" s="1819"/>
      <c r="R49" s="1819"/>
      <c r="S49" s="1819"/>
      <c r="T49" s="1819"/>
      <c r="U49" s="1819"/>
      <c r="V49" s="1819"/>
      <c r="W49" s="1819"/>
      <c r="X49" s="1819"/>
      <c r="Y49" s="434"/>
      <c r="Z49" s="434"/>
      <c r="AA49" s="434"/>
      <c r="AB49" s="434"/>
      <c r="AC49" s="434"/>
      <c r="AD49" s="434"/>
      <c r="AE49" s="434"/>
      <c r="AF49" s="434"/>
      <c r="AG49" s="434"/>
      <c r="AH49" s="434"/>
      <c r="AI49" s="434"/>
      <c r="AJ49" s="434"/>
      <c r="AK49" s="434"/>
      <c r="AL49" s="434"/>
      <c r="AM49" s="434"/>
      <c r="AN49" s="434"/>
      <c r="AO49" s="434"/>
      <c r="AP49" s="434"/>
    </row>
    <row r="50" spans="1:42">
      <c r="A50" s="434"/>
      <c r="B50" s="260"/>
      <c r="C50" s="260"/>
      <c r="D50" s="260"/>
      <c r="E50" s="260"/>
      <c r="F50" s="260"/>
      <c r="G50" s="260"/>
      <c r="H50" s="260"/>
      <c r="I50" s="260"/>
      <c r="J50" s="260"/>
      <c r="K50" s="1820"/>
      <c r="L50" s="1820"/>
      <c r="M50" s="1820"/>
      <c r="N50" s="1820"/>
      <c r="O50" s="1820"/>
      <c r="P50" s="1820"/>
      <c r="Q50" s="1820"/>
      <c r="R50" s="1820"/>
      <c r="S50" s="1820"/>
      <c r="T50" s="1820"/>
      <c r="U50" s="1820"/>
      <c r="V50" s="1820"/>
      <c r="W50" s="1820"/>
      <c r="X50" s="1820"/>
      <c r="Y50" s="434"/>
      <c r="Z50" s="434"/>
      <c r="AA50" s="434"/>
      <c r="AB50" s="434"/>
      <c r="AC50" s="434"/>
      <c r="AD50" s="434"/>
      <c r="AE50" s="434"/>
      <c r="AF50" s="434"/>
      <c r="AG50" s="434"/>
      <c r="AH50" s="434"/>
      <c r="AI50" s="434"/>
      <c r="AJ50" s="434"/>
      <c r="AK50" s="434"/>
      <c r="AL50" s="434"/>
      <c r="AM50" s="434"/>
      <c r="AN50" s="434"/>
      <c r="AO50" s="434"/>
      <c r="AP50" s="434"/>
    </row>
    <row r="51" spans="1:42">
      <c r="A51" s="434"/>
      <c r="B51" s="434"/>
      <c r="C51" s="434"/>
      <c r="D51" s="434"/>
      <c r="E51" s="434"/>
      <c r="F51" s="434"/>
      <c r="G51" s="434"/>
      <c r="H51" s="434"/>
      <c r="I51" s="434"/>
      <c r="J51" s="434"/>
      <c r="K51" s="1811" t="s">
        <v>37</v>
      </c>
      <c r="L51" s="1811"/>
      <c r="M51" s="1811"/>
      <c r="N51" s="1811"/>
      <c r="O51" s="1811"/>
      <c r="P51" s="1811"/>
      <c r="Q51" s="1811"/>
      <c r="R51" s="1811"/>
      <c r="S51" s="1811"/>
      <c r="T51" s="1811"/>
      <c r="U51" s="1811"/>
      <c r="V51" s="1811"/>
      <c r="W51" s="1811"/>
      <c r="X51" s="1811"/>
      <c r="Y51" s="434"/>
      <c r="Z51" s="434"/>
      <c r="AA51" s="434"/>
      <c r="AB51" s="434"/>
      <c r="AC51" s="434"/>
      <c r="AD51" s="434"/>
      <c r="AE51" s="434"/>
      <c r="AF51" s="434"/>
      <c r="AG51" s="434"/>
      <c r="AH51" s="434"/>
      <c r="AI51" s="434"/>
      <c r="AJ51" s="434"/>
      <c r="AK51" s="434"/>
      <c r="AL51" s="434"/>
      <c r="AM51" s="434"/>
      <c r="AN51" s="434"/>
      <c r="AO51" s="434"/>
      <c r="AP51" s="434"/>
    </row>
    <row r="52" spans="1:42">
      <c r="A52" s="434"/>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c r="AD52" s="434"/>
      <c r="AE52" s="434"/>
      <c r="AF52" s="434"/>
      <c r="AG52" s="434"/>
      <c r="AH52" s="434"/>
      <c r="AI52" s="434"/>
      <c r="AJ52" s="434"/>
      <c r="AK52" s="434"/>
      <c r="AL52" s="434"/>
      <c r="AM52" s="434"/>
      <c r="AN52" s="434"/>
      <c r="AO52" s="434"/>
      <c r="AP52" s="434"/>
    </row>
    <row r="53" spans="1:42">
      <c r="A53" s="434"/>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c r="AD53" s="434"/>
      <c r="AE53" s="434"/>
      <c r="AF53" s="434"/>
      <c r="AG53" s="434"/>
      <c r="AH53" s="434"/>
      <c r="AI53" s="434"/>
      <c r="AJ53" s="434"/>
      <c r="AK53" s="434"/>
      <c r="AL53" s="434"/>
      <c r="AM53" s="434"/>
      <c r="AN53" s="434"/>
      <c r="AO53" s="434"/>
      <c r="AP53" s="434"/>
    </row>
    <row r="54" spans="1:42">
      <c r="A54" s="434"/>
      <c r="B54" s="434"/>
      <c r="C54" s="434"/>
      <c r="D54" s="434"/>
      <c r="E54" s="434"/>
      <c r="F54" s="434"/>
      <c r="G54" s="434"/>
      <c r="H54" s="434"/>
      <c r="I54" s="434"/>
      <c r="J54" s="434"/>
      <c r="K54" s="434"/>
      <c r="L54" s="260"/>
      <c r="M54" s="260"/>
      <c r="N54" s="260"/>
      <c r="O54" s="260"/>
      <c r="P54" s="260"/>
      <c r="Q54" s="260"/>
      <c r="R54" s="260"/>
      <c r="S54" s="260"/>
      <c r="T54" s="260"/>
      <c r="U54" s="260"/>
      <c r="V54" s="260"/>
      <c r="W54" s="260"/>
      <c r="X54" s="260"/>
      <c r="Y54" s="260"/>
      <c r="Z54" s="434"/>
      <c r="AA54" s="434"/>
      <c r="AB54" s="434"/>
      <c r="AC54" s="434"/>
      <c r="AD54" s="434"/>
      <c r="AE54" s="434"/>
      <c r="AF54" s="434"/>
      <c r="AG54" s="434"/>
      <c r="AH54" s="434"/>
      <c r="AI54" s="434"/>
      <c r="AJ54" s="434"/>
      <c r="AK54" s="434"/>
      <c r="AL54" s="434"/>
      <c r="AM54" s="434"/>
      <c r="AN54" s="434"/>
      <c r="AO54" s="434"/>
      <c r="AP54" s="434"/>
    </row>
    <row r="55" spans="1:42">
      <c r="A55" s="434"/>
      <c r="B55" s="434"/>
      <c r="C55" s="434"/>
      <c r="D55" s="434"/>
      <c r="E55" s="434"/>
      <c r="F55" s="434"/>
      <c r="G55" s="434"/>
      <c r="H55" s="434"/>
      <c r="I55" s="434"/>
      <c r="J55" s="434"/>
      <c r="K55" s="434"/>
      <c r="L55" s="434"/>
      <c r="M55" s="434"/>
      <c r="N55" s="434"/>
      <c r="O55" s="434"/>
      <c r="P55" s="434"/>
      <c r="Q55" s="434"/>
      <c r="R55" s="434"/>
      <c r="S55" s="434"/>
      <c r="T55" s="434"/>
      <c r="U55" s="434"/>
      <c r="V55" s="434"/>
      <c r="W55" s="434"/>
      <c r="X55" s="434"/>
      <c r="Y55" s="434"/>
      <c r="Z55" s="434"/>
      <c r="AA55" s="434"/>
      <c r="AB55" s="434"/>
      <c r="AC55" s="434"/>
      <c r="AD55" s="434"/>
      <c r="AE55" s="434"/>
      <c r="AF55" s="434"/>
      <c r="AG55" s="434"/>
      <c r="AH55" s="434"/>
      <c r="AI55" s="434"/>
      <c r="AJ55" s="434"/>
      <c r="AK55" s="434"/>
      <c r="AL55" s="434"/>
      <c r="AM55" s="434"/>
      <c r="AN55" s="434"/>
      <c r="AO55" s="434"/>
      <c r="AP55" s="434"/>
    </row>
    <row r="56" spans="1:42">
      <c r="A56" s="434"/>
      <c r="B56" s="434"/>
      <c r="C56" s="434"/>
      <c r="D56" s="434"/>
      <c r="E56" s="434"/>
      <c r="F56" s="434"/>
      <c r="G56" s="434"/>
      <c r="H56" s="434"/>
      <c r="I56" s="434"/>
      <c r="J56" s="434"/>
      <c r="K56" s="434"/>
      <c r="L56" s="434"/>
      <c r="M56" s="434"/>
      <c r="N56" s="434"/>
      <c r="O56" s="434"/>
      <c r="P56" s="434"/>
      <c r="Q56" s="434"/>
      <c r="R56" s="434"/>
      <c r="S56" s="434"/>
      <c r="T56" s="434"/>
      <c r="U56" s="434"/>
      <c r="V56" s="434"/>
      <c r="W56" s="434"/>
      <c r="X56" s="434"/>
      <c r="Y56" s="434"/>
      <c r="Z56" s="434"/>
      <c r="AA56" s="434"/>
      <c r="AB56" s="434"/>
      <c r="AC56" s="434"/>
      <c r="AD56" s="434"/>
      <c r="AE56" s="434"/>
      <c r="AF56" s="434"/>
      <c r="AG56" s="434"/>
      <c r="AH56" s="434"/>
      <c r="AI56" s="434"/>
      <c r="AJ56" s="434"/>
      <c r="AK56" s="434"/>
      <c r="AL56" s="434"/>
      <c r="AM56" s="434"/>
      <c r="AN56" s="434"/>
      <c r="AO56" s="434"/>
      <c r="AP56" s="434"/>
    </row>
    <row r="57" spans="1:42">
      <c r="A57" s="434"/>
      <c r="B57" s="434"/>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c r="AK57" s="434"/>
      <c r="AL57" s="434"/>
      <c r="AM57" s="434"/>
      <c r="AN57" s="434"/>
      <c r="AO57" s="434"/>
      <c r="AP57" s="434"/>
    </row>
    <row r="58" spans="1:42">
      <c r="A58" s="434"/>
      <c r="B58" s="434"/>
      <c r="C58" s="434"/>
      <c r="D58" s="434"/>
      <c r="E58" s="434"/>
      <c r="F58" s="434"/>
      <c r="G58" s="434"/>
      <c r="H58" s="434"/>
      <c r="I58" s="434"/>
      <c r="J58" s="434"/>
      <c r="K58" s="434"/>
      <c r="L58" s="434"/>
      <c r="M58" s="434"/>
      <c r="N58" s="434"/>
      <c r="O58" s="434"/>
      <c r="P58" s="434"/>
      <c r="Q58" s="434"/>
      <c r="R58" s="434"/>
      <c r="S58" s="434"/>
      <c r="T58" s="434"/>
      <c r="U58" s="434"/>
      <c r="V58" s="434"/>
      <c r="W58" s="434"/>
      <c r="X58" s="434"/>
      <c r="Y58" s="434"/>
      <c r="Z58" s="434"/>
      <c r="AA58" s="434"/>
      <c r="AB58" s="434"/>
      <c r="AC58" s="434"/>
      <c r="AD58" s="434"/>
      <c r="AE58" s="434"/>
      <c r="AF58" s="434"/>
      <c r="AG58" s="434"/>
      <c r="AH58" s="434"/>
      <c r="AI58" s="434"/>
      <c r="AJ58" s="434"/>
      <c r="AK58" s="434"/>
      <c r="AL58" s="434"/>
      <c r="AM58" s="434"/>
      <c r="AN58" s="434"/>
      <c r="AO58" s="434"/>
      <c r="AP58" s="434"/>
    </row>
    <row r="59" spans="1:42">
      <c r="A59" s="434"/>
      <c r="B59" s="434"/>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c r="AD59" s="434"/>
      <c r="AE59" s="434"/>
      <c r="AF59" s="434"/>
      <c r="AG59" s="434"/>
      <c r="AH59" s="434"/>
      <c r="AI59" s="434"/>
      <c r="AJ59" s="434"/>
      <c r="AK59" s="434"/>
      <c r="AL59" s="434"/>
      <c r="AM59" s="434"/>
      <c r="AN59" s="434"/>
      <c r="AO59" s="434"/>
      <c r="AP59" s="434"/>
    </row>
    <row r="60" spans="1:42">
      <c r="A60" s="434"/>
      <c r="B60" s="434"/>
      <c r="C60" s="434"/>
      <c r="D60" s="434"/>
      <c r="E60" s="434"/>
      <c r="F60" s="434"/>
      <c r="G60" s="434"/>
      <c r="H60" s="434"/>
      <c r="I60" s="434"/>
      <c r="J60" s="434"/>
      <c r="K60" s="434"/>
      <c r="L60" s="434"/>
      <c r="M60" s="434"/>
      <c r="N60" s="434"/>
      <c r="O60" s="434"/>
      <c r="P60" s="434"/>
      <c r="Q60" s="434"/>
      <c r="R60" s="434"/>
      <c r="S60" s="434"/>
      <c r="T60" s="434"/>
      <c r="U60" s="434"/>
      <c r="V60" s="434"/>
      <c r="W60" s="434"/>
      <c r="X60" s="434"/>
      <c r="Y60" s="434"/>
      <c r="Z60" s="434"/>
      <c r="AA60" s="434"/>
      <c r="AB60" s="434"/>
      <c r="AC60" s="434"/>
      <c r="AD60" s="434"/>
      <c r="AE60" s="434"/>
      <c r="AF60" s="434"/>
      <c r="AG60" s="434"/>
      <c r="AH60" s="434"/>
      <c r="AI60" s="434"/>
      <c r="AJ60" s="434"/>
      <c r="AK60" s="434"/>
      <c r="AL60" s="434"/>
      <c r="AM60" s="434"/>
      <c r="AN60" s="434"/>
      <c r="AO60" s="434"/>
      <c r="AP60" s="434"/>
    </row>
  </sheetData>
  <sheetProtection algorithmName="SHA-512" hashValue="iBxGpeKkKDuCKTWNly5FdmRMhyhI/xs73U9iskZLiMv5HAXmY+pYKTdM46FmdZAW1dy4dNvwAL+HELENK8aG5w==" saltValue="ar0YkVydBrXmD4NK4DzF6w==" spinCount="100000" sheet="1" objects="1" scenarios="1"/>
  <customSheetViews>
    <customSheetView guid="{6EFEFCA0-BF14-457A-85A3-29CBF2A862A5}" showGridLines="0" fitToPage="1">
      <selection activeCell="O7" sqref="O7"/>
      <colBreaks count="1" manualBreakCount="1">
        <brk id="35" min="1" max="50" man="1"/>
      </colBreaks>
      <pageMargins left="0.23622047244094491" right="0.23622047244094491" top="0.19685039370078741" bottom="0.19685039370078741" header="0" footer="0.11811023622047245"/>
      <printOptions horizontalCentered="1" verticalCentered="1"/>
      <pageSetup paperSize="5" scale="73" orientation="portrait" r:id="rId1"/>
      <headerFooter>
        <oddFooter>&amp;L&amp;10&amp;F &amp;A&amp;R&amp;10Page 28 of 61</oddFooter>
      </headerFooter>
    </customSheetView>
  </customSheetViews>
  <mergeCells count="55">
    <mergeCell ref="AD6:AF6"/>
    <mergeCell ref="C3:N6"/>
    <mergeCell ref="O3:T4"/>
    <mergeCell ref="U3:Z4"/>
    <mergeCell ref="AA3:AF4"/>
    <mergeCell ref="O5:Q5"/>
    <mergeCell ref="R5:T5"/>
    <mergeCell ref="U5:W5"/>
    <mergeCell ref="X5:Z5"/>
    <mergeCell ref="AA5:AC5"/>
    <mergeCell ref="AD5:AF5"/>
    <mergeCell ref="O6:Q6"/>
    <mergeCell ref="R6:T6"/>
    <mergeCell ref="U6:W6"/>
    <mergeCell ref="X6:Z6"/>
    <mergeCell ref="AA6:AC6"/>
    <mergeCell ref="C9:Q10"/>
    <mergeCell ref="R9:V10"/>
    <mergeCell ref="W9:AA10"/>
    <mergeCell ref="AB9:AF10"/>
    <mergeCell ref="C11:Q11"/>
    <mergeCell ref="R11:V11"/>
    <mergeCell ref="W11:AA11"/>
    <mergeCell ref="AB11:AF11"/>
    <mergeCell ref="C12:Q12"/>
    <mergeCell ref="R12:V12"/>
    <mergeCell ref="W12:AA12"/>
    <mergeCell ref="AB12:AF12"/>
    <mergeCell ref="C13:Q13"/>
    <mergeCell ref="R13:V13"/>
    <mergeCell ref="W13:AA13"/>
    <mergeCell ref="AB13:AF13"/>
    <mergeCell ref="X34:AC34"/>
    <mergeCell ref="F24:R25"/>
    <mergeCell ref="S24:X25"/>
    <mergeCell ref="F26:R26"/>
    <mergeCell ref="S26:X26"/>
    <mergeCell ref="F27:R27"/>
    <mergeCell ref="S27:X27"/>
    <mergeCell ref="F28:J28"/>
    <mergeCell ref="K28:R28"/>
    <mergeCell ref="S28:X28"/>
    <mergeCell ref="S29:X29"/>
    <mergeCell ref="Z32:AE32"/>
    <mergeCell ref="F45:N45"/>
    <mergeCell ref="V45:AG45"/>
    <mergeCell ref="K49:X50"/>
    <mergeCell ref="K51:X51"/>
    <mergeCell ref="X35:AC35"/>
    <mergeCell ref="X36:AC36"/>
    <mergeCell ref="X37:AC37"/>
    <mergeCell ref="F43:N43"/>
    <mergeCell ref="R43:AG43"/>
    <mergeCell ref="F44:N44"/>
    <mergeCell ref="R44:AG44"/>
  </mergeCells>
  <dataValidations count="2">
    <dataValidation type="whole" allowBlank="1" showInputMessage="1" showErrorMessage="1" errorTitle="GSHSP SY 2022-2023" error="Please enter valid number between 0-20,000." sqref="O6:Z6 R11:AA13" xr:uid="{1ED05693-464D-499D-A128-991F92635868}">
      <formula1>0</formula1>
      <formula2>20000</formula2>
    </dataValidation>
    <dataValidation type="whole" allowBlank="1" showInputMessage="1" showErrorMessage="1" errorTitle="GSHSP SY 2022-2023." error="Please enter valid number between 0-2,000." sqref="S26:X28 X34:AC37" xr:uid="{A1884A28-1474-4199-B7CA-AA7A2495D7D5}">
      <formula1>0</formula1>
      <formula2>2000</formula2>
    </dataValidation>
  </dataValidations>
  <printOptions horizontalCentered="1" verticalCentered="1"/>
  <pageMargins left="0.23622047244094491" right="0.23622047244094491" top="0.19685039370078741" bottom="0.19685039370078741" header="0" footer="0.11811023622047245"/>
  <pageSetup paperSize="5" scale="73" orientation="portrait" r:id="rId2"/>
  <headerFooter>
    <oddFooter>&amp;L&amp;10&amp;F &amp;A&amp;R&amp;10Page 28 of 61</oddFooter>
  </headerFooter>
  <colBreaks count="1" manualBreakCount="1">
    <brk id="35" min="1" max="50" man="1"/>
  </colBreaks>
  <drawing r:id="rId3"/>
  <legacyDrawing r:id="rId4"/>
  <mc:AlternateContent xmlns:mc="http://schemas.openxmlformats.org/markup-compatibility/2006">
    <mc:Choice Requires="x14">
      <controls>
        <mc:AlternateContent xmlns:mc="http://schemas.openxmlformats.org/markup-compatibility/2006">
          <mc:Choice Requires="x14">
            <control shapeId="67585" r:id="rId5" name="Check Box 1">
              <controlPr defaultSize="0" autoFill="0" autoLine="0" autoPict="0">
                <anchor moveWithCells="1">
                  <from>
                    <xdr:col>7</xdr:col>
                    <xdr:colOff>38100</xdr:colOff>
                    <xdr:row>31</xdr:row>
                    <xdr:rowOff>28575</xdr:rowOff>
                  </from>
                  <to>
                    <xdr:col>7</xdr:col>
                    <xdr:colOff>238125</xdr:colOff>
                    <xdr:row>31</xdr:row>
                    <xdr:rowOff>219075</xdr:rowOff>
                  </to>
                </anchor>
              </controlPr>
            </control>
          </mc:Choice>
        </mc:AlternateContent>
        <mc:AlternateContent xmlns:mc="http://schemas.openxmlformats.org/markup-compatibility/2006">
          <mc:Choice Requires="x14">
            <control shapeId="67586" r:id="rId6" name="Check Box 2">
              <controlPr defaultSize="0" autoFill="0" autoLine="0" autoPict="0">
                <anchor moveWithCells="1">
                  <from>
                    <xdr:col>7</xdr:col>
                    <xdr:colOff>47625</xdr:colOff>
                    <xdr:row>32</xdr:row>
                    <xdr:rowOff>28575</xdr:rowOff>
                  </from>
                  <to>
                    <xdr:col>8</xdr:col>
                    <xdr:colOff>47625</xdr:colOff>
                    <xdr:row>32</xdr:row>
                    <xdr:rowOff>238125</xdr:rowOff>
                  </to>
                </anchor>
              </controlPr>
            </control>
          </mc:Choice>
        </mc:AlternateContent>
        <mc:AlternateContent xmlns:mc="http://schemas.openxmlformats.org/markup-compatibility/2006">
          <mc:Choice Requires="x14">
            <control shapeId="67587" r:id="rId7" name="Check Box 3">
              <controlPr defaultSize="0" autoFill="0" autoLine="0" autoPict="0">
                <anchor moveWithCells="1">
                  <from>
                    <xdr:col>14</xdr:col>
                    <xdr:colOff>28575</xdr:colOff>
                    <xdr:row>31</xdr:row>
                    <xdr:rowOff>28575</xdr:rowOff>
                  </from>
                  <to>
                    <xdr:col>14</xdr:col>
                    <xdr:colOff>276225</xdr:colOff>
                    <xdr:row>31</xdr:row>
                    <xdr:rowOff>238125</xdr:rowOff>
                  </to>
                </anchor>
              </controlPr>
            </control>
          </mc:Choice>
        </mc:AlternateContent>
        <mc:AlternateContent xmlns:mc="http://schemas.openxmlformats.org/markup-compatibility/2006">
          <mc:Choice Requires="x14">
            <control shapeId="67588" r:id="rId8" name="Check Box 4">
              <controlPr defaultSize="0" autoFill="0" autoLine="0" autoPict="0">
                <anchor moveWithCells="1">
                  <from>
                    <xdr:col>14</xdr:col>
                    <xdr:colOff>28575</xdr:colOff>
                    <xdr:row>32</xdr:row>
                    <xdr:rowOff>9525</xdr:rowOff>
                  </from>
                  <to>
                    <xdr:col>14</xdr:col>
                    <xdr:colOff>276225</xdr:colOff>
                    <xdr:row>32</xdr:row>
                    <xdr:rowOff>257175</xdr:rowOff>
                  </to>
                </anchor>
              </controlPr>
            </control>
          </mc:Choice>
        </mc:AlternateContent>
        <mc:AlternateContent xmlns:mc="http://schemas.openxmlformats.org/markup-compatibility/2006">
          <mc:Choice Requires="x14">
            <control shapeId="67589" r:id="rId9" name="Check Box 5">
              <controlPr defaultSize="0" autoFill="0" autoLine="0" autoPict="0">
                <anchor moveWithCells="1">
                  <from>
                    <xdr:col>20</xdr:col>
                    <xdr:colOff>28575</xdr:colOff>
                    <xdr:row>31</xdr:row>
                    <xdr:rowOff>28575</xdr:rowOff>
                  </from>
                  <to>
                    <xdr:col>21</xdr:col>
                    <xdr:colOff>9525</xdr:colOff>
                    <xdr:row>31</xdr:row>
                    <xdr:rowOff>257175</xdr:rowOff>
                  </to>
                </anchor>
              </controlPr>
            </control>
          </mc:Choice>
        </mc:AlternateContent>
        <mc:AlternateContent xmlns:mc="http://schemas.openxmlformats.org/markup-compatibility/2006">
          <mc:Choice Requires="x14">
            <control shapeId="67590" r:id="rId10" name="Check Box 6">
              <controlPr defaultSize="0" autoFill="0" autoLine="0" autoPict="0">
                <anchor moveWithCells="1">
                  <from>
                    <xdr:col>20</xdr:col>
                    <xdr:colOff>28575</xdr:colOff>
                    <xdr:row>17</xdr:row>
                    <xdr:rowOff>9525</xdr:rowOff>
                  </from>
                  <to>
                    <xdr:col>21</xdr:col>
                    <xdr:colOff>9525</xdr:colOff>
                    <xdr:row>18</xdr:row>
                    <xdr:rowOff>0</xdr:rowOff>
                  </to>
                </anchor>
              </controlPr>
            </control>
          </mc:Choice>
        </mc:AlternateContent>
        <mc:AlternateContent xmlns:mc="http://schemas.openxmlformats.org/markup-compatibility/2006">
          <mc:Choice Requires="x14">
            <control shapeId="67591" r:id="rId11" name="Check Box 7">
              <controlPr defaultSize="0" autoFill="0" autoLine="0" autoPict="0">
                <anchor moveWithCells="1">
                  <from>
                    <xdr:col>20</xdr:col>
                    <xdr:colOff>28575</xdr:colOff>
                    <xdr:row>19</xdr:row>
                    <xdr:rowOff>9525</xdr:rowOff>
                  </from>
                  <to>
                    <xdr:col>21</xdr:col>
                    <xdr:colOff>28575</xdr:colOff>
                    <xdr:row>19</xdr:row>
                    <xdr:rowOff>238125</xdr:rowOff>
                  </to>
                </anchor>
              </controlPr>
            </control>
          </mc:Choice>
        </mc:AlternateContent>
        <mc:AlternateContent xmlns:mc="http://schemas.openxmlformats.org/markup-compatibility/2006">
          <mc:Choice Requires="x14">
            <control shapeId="67592" r:id="rId12" name="Check Box 8">
              <controlPr defaultSize="0" autoFill="0" autoLine="0" autoPict="0">
                <anchor moveWithCells="1">
                  <from>
                    <xdr:col>25</xdr:col>
                    <xdr:colOff>28575</xdr:colOff>
                    <xdr:row>17</xdr:row>
                    <xdr:rowOff>28575</xdr:rowOff>
                  </from>
                  <to>
                    <xdr:col>25</xdr:col>
                    <xdr:colOff>257175</xdr:colOff>
                    <xdr:row>17</xdr:row>
                    <xdr:rowOff>238125</xdr:rowOff>
                  </to>
                </anchor>
              </controlPr>
            </control>
          </mc:Choice>
        </mc:AlternateContent>
        <mc:AlternateContent xmlns:mc="http://schemas.openxmlformats.org/markup-compatibility/2006">
          <mc:Choice Requires="x14">
            <control shapeId="67593" r:id="rId13" name="Check Box 9">
              <controlPr defaultSize="0" autoFill="0" autoLine="0" autoPict="0">
                <anchor moveWithCells="1">
                  <from>
                    <xdr:col>25</xdr:col>
                    <xdr:colOff>28575</xdr:colOff>
                    <xdr:row>19</xdr:row>
                    <xdr:rowOff>28575</xdr:rowOff>
                  </from>
                  <to>
                    <xdr:col>25</xdr:col>
                    <xdr:colOff>266700</xdr:colOff>
                    <xdr:row>19</xdr:row>
                    <xdr:rowOff>238125</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84049-8E1A-4150-BC46-76001667FAF2}">
  <sheetPr codeName="Sheet32">
    <tabColor rgb="FFFFFF00"/>
    <pageSetUpPr fitToPage="1"/>
  </sheetPr>
  <dimension ref="A1:AT64"/>
  <sheetViews>
    <sheetView showGridLines="0" topLeftCell="A19" zoomScaleNormal="100" workbookViewId="0">
      <selection sqref="A1:AM58"/>
    </sheetView>
  </sheetViews>
  <sheetFormatPr defaultColWidth="9" defaultRowHeight="15.75"/>
  <cols>
    <col min="1" max="1" width="2.125" style="44" customWidth="1"/>
    <col min="2" max="37" width="3.625" style="44" customWidth="1"/>
    <col min="38" max="38" width="2.125" style="44" customWidth="1"/>
    <col min="39" max="39" width="3.625" style="44" customWidth="1"/>
    <col min="40" max="40" width="9" style="44"/>
    <col min="41" max="46" width="9" style="434"/>
    <col min="47" max="16384" width="9" style="44"/>
  </cols>
  <sheetData>
    <row r="1" spans="1:46"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row>
    <row r="2" spans="1:46">
      <c r="A2" s="434"/>
      <c r="B2" s="1002" t="s">
        <v>11406</v>
      </c>
      <c r="C2" s="434"/>
      <c r="D2" s="434"/>
      <c r="E2" s="434"/>
      <c r="F2" s="434"/>
      <c r="G2" s="434"/>
      <c r="H2" s="434"/>
      <c r="I2" s="434"/>
      <c r="J2" s="434"/>
      <c r="K2" s="434"/>
      <c r="L2" s="434"/>
      <c r="M2" s="434"/>
      <c r="N2" s="434"/>
      <c r="O2" s="434"/>
      <c r="P2" s="434"/>
      <c r="Q2" s="434"/>
      <c r="R2" s="434"/>
      <c r="S2" s="434"/>
      <c r="T2" s="434"/>
      <c r="U2" s="434"/>
      <c r="V2" s="434"/>
      <c r="W2" s="434"/>
      <c r="X2" s="434"/>
      <c r="Y2" s="434"/>
      <c r="Z2" s="434"/>
      <c r="AA2" s="434"/>
      <c r="AB2" s="434"/>
      <c r="AC2" s="434"/>
      <c r="AD2" s="434"/>
      <c r="AE2" s="434"/>
      <c r="AF2" s="434"/>
      <c r="AG2" s="434"/>
      <c r="AH2" s="434"/>
      <c r="AI2" s="434"/>
      <c r="AJ2" s="434"/>
      <c r="AK2" s="434"/>
      <c r="AL2" s="434"/>
      <c r="AM2" s="434"/>
      <c r="AN2" s="434"/>
    </row>
    <row r="3" spans="1:46" s="40" customFormat="1" ht="16.5" thickBot="1">
      <c r="A3" s="582"/>
      <c r="B3" s="583" t="s">
        <v>1018</v>
      </c>
      <c r="C3" s="582"/>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row>
    <row r="4" spans="1:46" ht="8.1" customHeight="1">
      <c r="A4" s="434"/>
      <c r="B4" s="1003"/>
      <c r="C4" s="1004"/>
      <c r="D4" s="650"/>
      <c r="E4" s="650"/>
      <c r="F4" s="650"/>
      <c r="G4" s="650"/>
      <c r="H4" s="650"/>
      <c r="I4" s="650"/>
      <c r="J4" s="650"/>
      <c r="K4" s="650"/>
      <c r="L4" s="650"/>
      <c r="M4" s="650"/>
      <c r="N4" s="650"/>
      <c r="O4" s="650"/>
      <c r="P4" s="650"/>
      <c r="Q4" s="650"/>
      <c r="R4" s="650"/>
      <c r="S4" s="650"/>
      <c r="T4" s="650"/>
      <c r="U4" s="650"/>
      <c r="V4" s="650"/>
      <c r="W4" s="650"/>
      <c r="X4" s="650"/>
      <c r="Y4" s="650"/>
      <c r="Z4" s="650"/>
      <c r="AA4" s="650"/>
      <c r="AB4" s="650"/>
      <c r="AC4" s="650"/>
      <c r="AD4" s="650"/>
      <c r="AE4" s="650"/>
      <c r="AF4" s="650"/>
      <c r="AG4" s="650"/>
      <c r="AH4" s="650"/>
      <c r="AI4" s="650"/>
      <c r="AJ4" s="650"/>
      <c r="AK4" s="651"/>
      <c r="AL4" s="434"/>
      <c r="AM4" s="434"/>
      <c r="AN4" s="434"/>
    </row>
    <row r="5" spans="1:46" ht="20.100000000000001" customHeight="1">
      <c r="A5" s="434"/>
      <c r="B5" s="1005" t="s">
        <v>592</v>
      </c>
      <c r="C5" s="1006"/>
      <c r="D5" s="591"/>
      <c r="E5" s="591"/>
      <c r="F5" s="1007"/>
      <c r="G5" s="1007"/>
      <c r="H5" s="1007"/>
      <c r="I5" s="1007"/>
      <c r="J5" s="1007"/>
      <c r="K5" s="1007"/>
      <c r="L5" s="1007"/>
      <c r="M5" s="1007"/>
      <c r="N5" s="1007"/>
      <c r="O5" s="1007"/>
      <c r="P5" s="861"/>
      <c r="Q5" s="593"/>
      <c r="R5" s="593"/>
      <c r="S5" s="434"/>
      <c r="T5" s="434"/>
      <c r="U5" s="1008"/>
      <c r="V5" s="1008"/>
      <c r="W5" s="861"/>
      <c r="X5" s="593"/>
      <c r="Y5" s="434"/>
      <c r="Z5" s="434"/>
      <c r="AA5" s="434"/>
      <c r="AB5" s="434"/>
      <c r="AC5" s="434"/>
      <c r="AD5" s="873" t="b">
        <v>1</v>
      </c>
      <c r="AE5" s="593" t="s">
        <v>391</v>
      </c>
      <c r="AF5" s="434"/>
      <c r="AG5" s="434"/>
      <c r="AH5" s="873"/>
      <c r="AI5" s="593" t="s">
        <v>392</v>
      </c>
      <c r="AJ5" s="434"/>
      <c r="AK5" s="592"/>
      <c r="AL5" s="434"/>
      <c r="AM5" s="434"/>
      <c r="AN5" s="434"/>
    </row>
    <row r="6" spans="1:46" ht="20.100000000000001" customHeight="1">
      <c r="A6" s="434"/>
      <c r="B6" s="1005"/>
      <c r="C6" s="1006"/>
      <c r="D6" s="591"/>
      <c r="E6" s="591" t="s">
        <v>593</v>
      </c>
      <c r="F6" s="1007"/>
      <c r="G6" s="1007"/>
      <c r="H6" s="1007"/>
      <c r="I6" s="1007"/>
      <c r="J6" s="1007"/>
      <c r="K6" s="1007"/>
      <c r="L6" s="1007"/>
      <c r="M6" s="1007"/>
      <c r="N6" s="1007"/>
      <c r="O6" s="1007"/>
      <c r="P6" s="625"/>
      <c r="Q6" s="582"/>
      <c r="R6" s="593"/>
      <c r="S6" s="434"/>
      <c r="T6" s="434"/>
      <c r="U6" s="1007"/>
      <c r="V6" s="1007"/>
      <c r="W6" s="625"/>
      <c r="X6" s="582"/>
      <c r="Y6" s="434"/>
      <c r="Z6" s="434"/>
      <c r="AA6" s="434"/>
      <c r="AB6" s="434"/>
      <c r="AC6" s="434"/>
      <c r="AD6" s="434"/>
      <c r="AE6" s="434"/>
      <c r="AF6" s="434"/>
      <c r="AG6" s="434"/>
      <c r="AH6" s="434"/>
      <c r="AI6" s="434"/>
      <c r="AJ6" s="434"/>
      <c r="AK6" s="592"/>
      <c r="AL6" s="434"/>
      <c r="AM6" s="434"/>
      <c r="AN6" s="434"/>
    </row>
    <row r="7" spans="1:46" ht="20.100000000000001" customHeight="1">
      <c r="A7" s="434"/>
      <c r="B7" s="988"/>
      <c r="C7" s="434"/>
      <c r="D7" s="434"/>
      <c r="E7" s="434"/>
      <c r="F7" s="591" t="s">
        <v>594</v>
      </c>
      <c r="G7" s="631"/>
      <c r="H7" s="631"/>
      <c r="I7" s="631"/>
      <c r="J7" s="631"/>
      <c r="K7" s="631"/>
      <c r="L7" s="631"/>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592"/>
      <c r="AL7" s="434"/>
      <c r="AM7" s="434"/>
      <c r="AN7" s="434"/>
    </row>
    <row r="8" spans="1:46" ht="20.100000000000001" customHeight="1">
      <c r="A8" s="434"/>
      <c r="B8" s="988" t="s">
        <v>40</v>
      </c>
      <c r="C8" s="434"/>
      <c r="D8" s="591"/>
      <c r="E8" s="591"/>
      <c r="F8" s="631"/>
      <c r="G8" s="631"/>
      <c r="H8" s="631"/>
      <c r="I8" s="631"/>
      <c r="J8" s="610" t="b">
        <v>1</v>
      </c>
      <c r="K8" s="756" t="s">
        <v>595</v>
      </c>
      <c r="L8" s="631"/>
      <c r="M8" s="434"/>
      <c r="N8" s="434"/>
      <c r="O8" s="434"/>
      <c r="P8" s="434"/>
      <c r="Q8" s="434"/>
      <c r="R8" s="434"/>
      <c r="S8" s="654"/>
      <c r="T8" s="756"/>
      <c r="U8" s="434"/>
      <c r="V8" s="434"/>
      <c r="W8" s="434"/>
      <c r="X8" s="610" t="b">
        <v>0</v>
      </c>
      <c r="Y8" s="756" t="s">
        <v>596</v>
      </c>
      <c r="Z8" s="434"/>
      <c r="AA8" s="434"/>
      <c r="AB8" s="434"/>
      <c r="AC8" s="434"/>
      <c r="AD8" s="434"/>
      <c r="AE8" s="434"/>
      <c r="AF8" s="434"/>
      <c r="AG8" s="434"/>
      <c r="AH8" s="434"/>
      <c r="AI8" s="434"/>
      <c r="AJ8" s="434"/>
      <c r="AK8" s="592"/>
      <c r="AL8" s="434"/>
      <c r="AM8" s="434"/>
      <c r="AN8" s="434"/>
    </row>
    <row r="9" spans="1:46" ht="20.100000000000001" customHeight="1">
      <c r="A9" s="434"/>
      <c r="B9" s="988"/>
      <c r="C9" s="434"/>
      <c r="D9" s="591"/>
      <c r="E9" s="591"/>
      <c r="F9" s="631"/>
      <c r="G9" s="631"/>
      <c r="H9" s="631"/>
      <c r="I9" s="631"/>
      <c r="J9" s="610" t="b">
        <v>0</v>
      </c>
      <c r="K9" s="756" t="s">
        <v>597</v>
      </c>
      <c r="L9" s="631"/>
      <c r="M9" s="434"/>
      <c r="N9" s="434"/>
      <c r="O9" s="434"/>
      <c r="P9" s="434"/>
      <c r="Q9" s="434"/>
      <c r="R9" s="434"/>
      <c r="S9" s="654"/>
      <c r="T9" s="756"/>
      <c r="U9" s="434"/>
      <c r="V9" s="434"/>
      <c r="W9" s="434"/>
      <c r="X9" s="610" t="b">
        <v>0</v>
      </c>
      <c r="Y9" s="637" t="s">
        <v>1021</v>
      </c>
      <c r="Z9" s="434"/>
      <c r="AA9" s="434"/>
      <c r="AB9" s="434"/>
      <c r="AC9" s="3259"/>
      <c r="AD9" s="3259"/>
      <c r="AE9" s="3259"/>
      <c r="AF9" s="3259"/>
      <c r="AG9" s="3259"/>
      <c r="AH9" s="3259"/>
      <c r="AI9" s="434"/>
      <c r="AJ9" s="434"/>
      <c r="AK9" s="592"/>
      <c r="AL9" s="434"/>
      <c r="AM9" s="434"/>
      <c r="AN9" s="434"/>
    </row>
    <row r="10" spans="1:46" ht="20.100000000000001" customHeight="1">
      <c r="A10" s="434"/>
      <c r="B10" s="988"/>
      <c r="C10" s="434"/>
      <c r="D10" s="591"/>
      <c r="E10" s="591"/>
      <c r="F10" s="631"/>
      <c r="G10" s="631"/>
      <c r="H10" s="631"/>
      <c r="I10" s="631"/>
      <c r="J10" s="610" t="b">
        <v>1</v>
      </c>
      <c r="K10" s="756" t="s">
        <v>598</v>
      </c>
      <c r="L10" s="631"/>
      <c r="M10" s="434"/>
      <c r="N10" s="434"/>
      <c r="O10" s="434"/>
      <c r="P10" s="434"/>
      <c r="Q10" s="434"/>
      <c r="R10" s="434"/>
      <c r="S10" s="654"/>
      <c r="T10" s="756"/>
      <c r="U10" s="434"/>
      <c r="V10" s="434"/>
      <c r="W10" s="434"/>
      <c r="X10" s="434"/>
      <c r="Y10" s="952"/>
      <c r="Z10" s="434"/>
      <c r="AA10" s="434"/>
      <c r="AB10" s="434"/>
      <c r="AC10" s="1738" t="str">
        <f>IF(AND(sch_ws_ifyshs_others=FALSE,sch_ws_ifyshs_others_specify&gt;0),"Please check Others if you have entries.", IF(AND(sch_ws_ifyshs_others=TRUE,ISBLANK(sch_ws_ifyshs_others_specify)), "Please specify.", ""))</f>
        <v/>
      </c>
      <c r="AD10" s="434"/>
      <c r="AE10" s="434"/>
      <c r="AF10" s="434"/>
      <c r="AG10" s="434"/>
      <c r="AH10" s="434"/>
      <c r="AI10" s="434"/>
      <c r="AJ10" s="434"/>
      <c r="AK10" s="592"/>
      <c r="AL10" s="434"/>
      <c r="AM10" s="434"/>
      <c r="AN10" s="434"/>
    </row>
    <row r="11" spans="1:46" ht="20.100000000000001" customHeight="1">
      <c r="A11" s="434"/>
      <c r="B11" s="988"/>
      <c r="C11" s="434"/>
      <c r="D11" s="591"/>
      <c r="E11" s="591"/>
      <c r="F11" s="591" t="s">
        <v>1028</v>
      </c>
      <c r="G11" s="631"/>
      <c r="H11" s="631"/>
      <c r="I11" s="631"/>
      <c r="J11" s="631"/>
      <c r="K11" s="631"/>
      <c r="L11" s="631"/>
      <c r="M11" s="434"/>
      <c r="N11" s="434"/>
      <c r="O11" s="434"/>
      <c r="P11" s="434"/>
      <c r="Q11" s="434"/>
      <c r="R11" s="434"/>
      <c r="S11" s="434"/>
      <c r="T11" s="434"/>
      <c r="U11" s="434"/>
      <c r="V11" s="434"/>
      <c r="W11" s="434"/>
      <c r="X11" s="3012">
        <v>3000</v>
      </c>
      <c r="Y11" s="3012"/>
      <c r="Z11" s="3012"/>
      <c r="AA11" s="3012"/>
      <c r="AB11" s="3012"/>
      <c r="AC11" s="3012"/>
      <c r="AD11" s="3012"/>
      <c r="AE11" s="434"/>
      <c r="AF11" s="434"/>
      <c r="AG11" s="434"/>
      <c r="AH11" s="434"/>
      <c r="AI11" s="434"/>
      <c r="AJ11" s="434"/>
      <c r="AK11" s="592"/>
      <c r="AL11" s="434"/>
      <c r="AM11" s="434"/>
      <c r="AN11" s="434"/>
    </row>
    <row r="12" spans="1:46" ht="20.100000000000001" customHeight="1">
      <c r="A12" s="434"/>
      <c r="B12" s="1009"/>
      <c r="C12" s="631"/>
      <c r="D12" s="434"/>
      <c r="E12" s="591"/>
      <c r="F12" s="591" t="s">
        <v>599</v>
      </c>
      <c r="G12" s="591"/>
      <c r="H12" s="591"/>
      <c r="I12" s="591"/>
      <c r="J12" s="591"/>
      <c r="K12" s="591"/>
      <c r="L12" s="591"/>
      <c r="M12" s="591"/>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1"/>
      <c r="AK12" s="592"/>
      <c r="AL12" s="434"/>
      <c r="AM12" s="434"/>
      <c r="AN12" s="434"/>
    </row>
    <row r="13" spans="1:46" ht="20.100000000000001" customHeight="1">
      <c r="A13" s="434"/>
      <c r="B13" s="628"/>
      <c r="C13" s="591"/>
      <c r="D13" s="434"/>
      <c r="E13" s="631"/>
      <c r="F13" s="1010"/>
      <c r="G13" s="1010"/>
      <c r="H13" s="1010"/>
      <c r="I13" s="1010"/>
      <c r="J13" s="610" t="b">
        <v>1</v>
      </c>
      <c r="K13" s="756" t="s">
        <v>415</v>
      </c>
      <c r="L13" s="1010"/>
      <c r="M13" s="654"/>
      <c r="N13" s="654"/>
      <c r="O13" s="654"/>
      <c r="P13" s="654"/>
      <c r="Q13" s="654"/>
      <c r="R13" s="654"/>
      <c r="S13" s="654"/>
      <c r="T13" s="654"/>
      <c r="U13" s="654"/>
      <c r="V13" s="654"/>
      <c r="W13" s="654"/>
      <c r="X13" s="610" t="b">
        <v>0</v>
      </c>
      <c r="Y13" s="756" t="s">
        <v>416</v>
      </c>
      <c r="Z13" s="1011"/>
      <c r="AA13" s="1010"/>
      <c r="AB13" s="654"/>
      <c r="AC13" s="654"/>
      <c r="AD13" s="654"/>
      <c r="AE13" s="654"/>
      <c r="AF13" s="654"/>
      <c r="AG13" s="654"/>
      <c r="AH13" s="654"/>
      <c r="AI13" s="654"/>
      <c r="AJ13" s="654"/>
      <c r="AK13" s="592"/>
      <c r="AL13" s="434"/>
      <c r="AM13" s="434"/>
      <c r="AN13" s="434"/>
    </row>
    <row r="14" spans="1:46" ht="20.100000000000001" customHeight="1">
      <c r="A14" s="434"/>
      <c r="B14" s="628"/>
      <c r="C14" s="591"/>
      <c r="D14" s="591"/>
      <c r="E14" s="631"/>
      <c r="F14" s="1010"/>
      <c r="G14" s="1010"/>
      <c r="H14" s="1010"/>
      <c r="I14" s="1010"/>
      <c r="J14" s="610" t="b">
        <v>0</v>
      </c>
      <c r="K14" s="756" t="s">
        <v>417</v>
      </c>
      <c r="L14" s="1010"/>
      <c r="M14" s="654"/>
      <c r="N14" s="654"/>
      <c r="O14" s="654"/>
      <c r="P14" s="654"/>
      <c r="Q14" s="654"/>
      <c r="R14" s="654"/>
      <c r="S14" s="654"/>
      <c r="T14" s="654"/>
      <c r="U14" s="654"/>
      <c r="V14" s="654"/>
      <c r="W14" s="654"/>
      <c r="X14" s="610" t="b">
        <v>0</v>
      </c>
      <c r="Y14" s="756" t="s">
        <v>418</v>
      </c>
      <c r="Z14" s="1011"/>
      <c r="AA14" s="1010"/>
      <c r="AB14" s="654"/>
      <c r="AC14" s="654"/>
      <c r="AD14" s="654"/>
      <c r="AE14" s="952"/>
      <c r="AF14" s="654"/>
      <c r="AG14" s="654"/>
      <c r="AH14" s="654"/>
      <c r="AI14" s="654"/>
      <c r="AJ14" s="654"/>
      <c r="AK14" s="592"/>
      <c r="AL14" s="434"/>
      <c r="AM14" s="434"/>
      <c r="AN14" s="434"/>
    </row>
    <row r="15" spans="1:46" ht="20.100000000000001" customHeight="1">
      <c r="A15" s="434"/>
      <c r="B15" s="628"/>
      <c r="C15" s="591"/>
      <c r="D15" s="591"/>
      <c r="E15" s="631"/>
      <c r="F15" s="1010"/>
      <c r="G15" s="1010"/>
      <c r="H15" s="1010"/>
      <c r="I15" s="1010"/>
      <c r="J15" s="610" t="b">
        <v>0</v>
      </c>
      <c r="K15" s="756" t="s">
        <v>419</v>
      </c>
      <c r="L15" s="1010"/>
      <c r="M15" s="654"/>
      <c r="N15" s="654"/>
      <c r="O15" s="654"/>
      <c r="P15" s="654"/>
      <c r="Q15" s="654"/>
      <c r="R15" s="654"/>
      <c r="S15" s="654"/>
      <c r="T15" s="654"/>
      <c r="U15" s="654"/>
      <c r="V15" s="654"/>
      <c r="W15" s="654"/>
      <c r="X15" s="610" t="b">
        <v>0</v>
      </c>
      <c r="Y15" s="637" t="s">
        <v>1021</v>
      </c>
      <c r="Z15" s="434"/>
      <c r="AA15" s="434"/>
      <c r="AB15" s="434"/>
      <c r="AC15" s="434"/>
      <c r="AD15" s="2620"/>
      <c r="AE15" s="2620"/>
      <c r="AF15" s="2620"/>
      <c r="AG15" s="2620"/>
      <c r="AH15" s="2620"/>
      <c r="AI15" s="1735" t="str">
        <f>IF(AND(sch_ws_ifyshs_fundsource_others=FALSE,sch_ws_ifyshs_fundsource_others_specify&gt;0),"Please check Others if you have entries.",IF(AND(sch_ws_ifyshs_fundsource_others=TRUE,ISBLANK(sch_ws_ifyshs_fundsource_others_specify)), "Please specify.", ""))</f>
        <v/>
      </c>
      <c r="AJ15" s="654"/>
      <c r="AK15" s="592"/>
      <c r="AL15" s="434"/>
      <c r="AM15" s="434"/>
      <c r="AN15" s="434"/>
    </row>
    <row r="16" spans="1:46" ht="20.100000000000001" customHeight="1">
      <c r="A16" s="434"/>
      <c r="B16" s="988"/>
      <c r="C16" s="434"/>
      <c r="D16" s="434"/>
      <c r="E16" s="434"/>
      <c r="F16" s="434" t="s">
        <v>600</v>
      </c>
      <c r="G16" s="434"/>
      <c r="H16" s="434"/>
      <c r="I16" s="434"/>
      <c r="J16" s="434"/>
      <c r="K16" s="434"/>
      <c r="L16" s="434"/>
      <c r="M16" s="434"/>
      <c r="N16" s="434"/>
      <c r="O16" s="434"/>
      <c r="P16" s="434"/>
      <c r="Q16" s="434"/>
      <c r="R16" s="434"/>
      <c r="S16" s="434"/>
      <c r="T16" s="434"/>
      <c r="U16" s="434"/>
      <c r="V16" s="434"/>
      <c r="W16" s="434"/>
      <c r="X16" s="434"/>
      <c r="Y16" s="952"/>
      <c r="Z16" s="434"/>
      <c r="AA16" s="434"/>
      <c r="AB16" s="434"/>
      <c r="AC16" s="434"/>
      <c r="AD16" s="873" t="b">
        <v>0</v>
      </c>
      <c r="AE16" s="593" t="s">
        <v>391</v>
      </c>
      <c r="AF16" s="434"/>
      <c r="AG16" s="434"/>
      <c r="AH16" s="873"/>
      <c r="AI16" s="593" t="s">
        <v>392</v>
      </c>
      <c r="AJ16" s="434"/>
      <c r="AK16" s="691"/>
      <c r="AL16" s="434"/>
      <c r="AM16" s="434"/>
      <c r="AN16" s="434"/>
    </row>
    <row r="17" spans="1:40" ht="20.100000000000001" customHeight="1">
      <c r="A17" s="434"/>
      <c r="B17" s="988"/>
      <c r="C17" s="434"/>
      <c r="D17" s="434"/>
      <c r="E17" s="434"/>
      <c r="F17" s="434" t="s">
        <v>601</v>
      </c>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873" t="b">
        <v>0</v>
      </c>
      <c r="AE17" s="593" t="s">
        <v>391</v>
      </c>
      <c r="AF17" s="434"/>
      <c r="AG17" s="434"/>
      <c r="AH17" s="873"/>
      <c r="AI17" s="593" t="s">
        <v>392</v>
      </c>
      <c r="AJ17" s="434"/>
      <c r="AK17" s="691"/>
      <c r="AL17" s="434"/>
      <c r="AM17" s="434"/>
      <c r="AN17" s="434"/>
    </row>
    <row r="18" spans="1:40" ht="20.100000000000001" customHeight="1">
      <c r="A18" s="434"/>
      <c r="B18" s="988"/>
      <c r="C18" s="434"/>
      <c r="D18" s="434"/>
      <c r="E18" s="434"/>
      <c r="F18" s="434"/>
      <c r="G18" s="434" t="s">
        <v>602</v>
      </c>
      <c r="H18" s="434"/>
      <c r="I18" s="434"/>
      <c r="J18" s="434"/>
      <c r="K18" s="434"/>
      <c r="L18" s="434"/>
      <c r="M18" s="434"/>
      <c r="N18" s="434"/>
      <c r="O18" s="434"/>
      <c r="P18" s="434"/>
      <c r="Q18" s="434"/>
      <c r="R18" s="434"/>
      <c r="S18" s="434"/>
      <c r="T18" s="434"/>
      <c r="U18" s="434"/>
      <c r="V18" s="434"/>
      <c r="W18" s="434"/>
      <c r="X18" s="434"/>
      <c r="Y18" s="434"/>
      <c r="Z18" s="434"/>
      <c r="AA18" s="434"/>
      <c r="AB18" s="434"/>
      <c r="AC18" s="434"/>
      <c r="AD18" s="873" t="b">
        <v>0</v>
      </c>
      <c r="AE18" s="593" t="s">
        <v>391</v>
      </c>
      <c r="AF18" s="434"/>
      <c r="AG18" s="434"/>
      <c r="AH18" s="873"/>
      <c r="AI18" s="593" t="s">
        <v>392</v>
      </c>
      <c r="AJ18" s="434"/>
      <c r="AK18" s="691"/>
      <c r="AL18" s="434"/>
      <c r="AM18" s="434"/>
      <c r="AN18" s="434"/>
    </row>
    <row r="19" spans="1:40" ht="19.5">
      <c r="A19" s="434"/>
      <c r="B19" s="988"/>
      <c r="C19" s="434"/>
      <c r="D19" s="434"/>
      <c r="E19" s="434"/>
      <c r="F19" s="434"/>
      <c r="G19" s="434" t="s">
        <v>603</v>
      </c>
      <c r="H19" s="434"/>
      <c r="I19" s="434"/>
      <c r="J19" s="434"/>
      <c r="K19" s="434"/>
      <c r="L19" s="434"/>
      <c r="M19" s="434"/>
      <c r="N19" s="434"/>
      <c r="O19" s="434"/>
      <c r="P19" s="434"/>
      <c r="Q19" s="434"/>
      <c r="R19" s="434"/>
      <c r="S19" s="434"/>
      <c r="T19" s="434"/>
      <c r="U19" s="434"/>
      <c r="V19" s="434"/>
      <c r="W19" s="434"/>
      <c r="X19" s="434"/>
      <c r="Y19" s="434"/>
      <c r="Z19" s="434"/>
      <c r="AA19" s="434"/>
      <c r="AB19" s="434"/>
      <c r="AC19" s="434"/>
      <c r="AD19" s="861"/>
      <c r="AE19" s="593"/>
      <c r="AF19" s="434"/>
      <c r="AG19" s="434"/>
      <c r="AH19" s="861"/>
      <c r="AI19" s="593"/>
      <c r="AJ19" s="434"/>
      <c r="AK19" s="691"/>
      <c r="AL19" s="434"/>
      <c r="AM19" s="434"/>
      <c r="AN19" s="434"/>
    </row>
    <row r="20" spans="1:40" ht="20.100000000000001" customHeight="1">
      <c r="A20" s="434"/>
      <c r="B20" s="628"/>
      <c r="C20" s="591"/>
      <c r="D20" s="591"/>
      <c r="E20" s="631"/>
      <c r="F20" s="1010"/>
      <c r="G20" s="1010"/>
      <c r="H20" s="1010"/>
      <c r="I20" s="1010"/>
      <c r="J20" s="610" t="b">
        <v>0</v>
      </c>
      <c r="K20" s="756" t="s">
        <v>604</v>
      </c>
      <c r="L20" s="1010"/>
      <c r="M20" s="654"/>
      <c r="N20" s="654"/>
      <c r="O20" s="654"/>
      <c r="P20" s="654"/>
      <c r="Q20" s="654"/>
      <c r="R20" s="654"/>
      <c r="S20" s="654"/>
      <c r="T20" s="654"/>
      <c r="U20" s="654"/>
      <c r="V20" s="654"/>
      <c r="W20" s="654"/>
      <c r="X20" s="610" t="b">
        <v>1</v>
      </c>
      <c r="Y20" s="756" t="s">
        <v>605</v>
      </c>
      <c r="Z20" s="1011"/>
      <c r="AA20" s="1010"/>
      <c r="AB20" s="654"/>
      <c r="AC20" s="434"/>
      <c r="AD20" s="654"/>
      <c r="AE20" s="654"/>
      <c r="AF20" s="654"/>
      <c r="AG20" s="654"/>
      <c r="AH20" s="654"/>
      <c r="AI20" s="654"/>
      <c r="AJ20" s="654"/>
      <c r="AK20" s="592"/>
      <c r="AL20" s="434"/>
      <c r="AM20" s="434"/>
      <c r="AN20" s="434"/>
    </row>
    <row r="21" spans="1:40" ht="20.100000000000001" customHeight="1">
      <c r="A21" s="434"/>
      <c r="B21" s="628"/>
      <c r="C21" s="591"/>
      <c r="D21" s="591"/>
      <c r="E21" s="631"/>
      <c r="F21" s="1010"/>
      <c r="G21" s="1010"/>
      <c r="H21" s="1010"/>
      <c r="I21" s="1010"/>
      <c r="J21" s="610" t="b">
        <v>0</v>
      </c>
      <c r="K21" s="756" t="s">
        <v>606</v>
      </c>
      <c r="L21" s="1010"/>
      <c r="M21" s="654"/>
      <c r="N21" s="654"/>
      <c r="O21" s="654"/>
      <c r="P21" s="654"/>
      <c r="Q21" s="654"/>
      <c r="R21" s="654"/>
      <c r="S21" s="654"/>
      <c r="T21" s="654"/>
      <c r="U21" s="654"/>
      <c r="V21" s="654"/>
      <c r="W21" s="654"/>
      <c r="X21" s="610" t="b">
        <v>0</v>
      </c>
      <c r="Y21" s="637" t="s">
        <v>1021</v>
      </c>
      <c r="Z21" s="434"/>
      <c r="AA21" s="434"/>
      <c r="AB21" s="434"/>
      <c r="AC21" s="434"/>
      <c r="AD21" s="2620"/>
      <c r="AE21" s="2620"/>
      <c r="AF21" s="2620"/>
      <c r="AG21" s="2620"/>
      <c r="AH21" s="2620"/>
      <c r="AI21" s="1737" t="str">
        <f>IF(AND(sch_ws_ifyshs_test_frequent_others=FALSE,sch_ws_ifyshs_test_frequent_others_specify&gt;0),"Please check Others if you have entries.", IF(AND(sch_ws_ifyshs_test_frequent_others=TRUE,ISBLANK(sch_ws_ifyshs_test_frequent_others_specify)), "Please specify.", ""))</f>
        <v/>
      </c>
      <c r="AJ21" s="654"/>
      <c r="AK21" s="592"/>
      <c r="AL21" s="434"/>
      <c r="AM21" s="434"/>
      <c r="AN21" s="434"/>
    </row>
    <row r="22" spans="1:40" ht="20.100000000000001" customHeight="1">
      <c r="A22" s="434"/>
      <c r="B22" s="988"/>
      <c r="C22" s="434"/>
      <c r="D22" s="434"/>
      <c r="E22" s="434"/>
      <c r="F22" s="434"/>
      <c r="G22" s="434" t="s">
        <v>607</v>
      </c>
      <c r="H22" s="434"/>
      <c r="I22" s="434"/>
      <c r="J22" s="434"/>
      <c r="K22" s="434"/>
      <c r="L22" s="434"/>
      <c r="M22" s="434"/>
      <c r="N22" s="434"/>
      <c r="O22" s="434"/>
      <c r="P22" s="434"/>
      <c r="Q22" s="434"/>
      <c r="R22" s="434"/>
      <c r="S22" s="434"/>
      <c r="T22" s="434"/>
      <c r="U22" s="3258"/>
      <c r="V22" s="2620"/>
      <c r="W22" s="2620"/>
      <c r="X22" s="2620"/>
      <c r="Y22" s="2620"/>
      <c r="Z22" s="434"/>
      <c r="AA22" s="952"/>
      <c r="AB22" s="434"/>
      <c r="AC22" s="434"/>
      <c r="AD22" s="861"/>
      <c r="AE22" s="434"/>
      <c r="AF22" s="434"/>
      <c r="AG22" s="434"/>
      <c r="AH22" s="861"/>
      <c r="AI22" s="593"/>
      <c r="AJ22" s="434"/>
      <c r="AK22" s="691"/>
      <c r="AL22" s="434"/>
      <c r="AM22" s="434"/>
      <c r="AN22" s="434"/>
    </row>
    <row r="23" spans="1:40" ht="20.100000000000001" customHeight="1">
      <c r="A23" s="434"/>
      <c r="B23" s="988"/>
      <c r="C23" s="434"/>
      <c r="D23" s="434"/>
      <c r="E23" s="434"/>
      <c r="F23" s="434" t="s">
        <v>608</v>
      </c>
      <c r="G23" s="434"/>
      <c r="H23" s="434"/>
      <c r="I23" s="434"/>
      <c r="J23" s="434"/>
      <c r="K23" s="434"/>
      <c r="L23" s="434"/>
      <c r="M23" s="434"/>
      <c r="N23" s="434"/>
      <c r="O23" s="434"/>
      <c r="P23" s="434"/>
      <c r="Q23" s="434"/>
      <c r="R23" s="434"/>
      <c r="S23" s="434"/>
      <c r="T23" s="434"/>
      <c r="U23" s="434"/>
      <c r="V23" s="434"/>
      <c r="W23" s="434"/>
      <c r="X23" s="434"/>
      <c r="Y23" s="434"/>
      <c r="Z23" s="434"/>
      <c r="AA23" s="434"/>
      <c r="AB23" s="434"/>
      <c r="AC23" s="434"/>
      <c r="AD23" s="873" t="b">
        <v>0</v>
      </c>
      <c r="AE23" s="593" t="s">
        <v>391</v>
      </c>
      <c r="AF23" s="434"/>
      <c r="AG23" s="434"/>
      <c r="AH23" s="873"/>
      <c r="AI23" s="593" t="s">
        <v>392</v>
      </c>
      <c r="AJ23" s="434"/>
      <c r="AK23" s="691"/>
      <c r="AL23" s="434"/>
      <c r="AM23" s="434"/>
      <c r="AN23" s="434"/>
    </row>
    <row r="24" spans="1:40" ht="20.100000000000001" customHeight="1">
      <c r="A24" s="434"/>
      <c r="B24" s="988"/>
      <c r="C24" s="434"/>
      <c r="D24" s="434"/>
      <c r="E24" s="434"/>
      <c r="F24" s="434"/>
      <c r="G24" s="434"/>
      <c r="H24" s="434"/>
      <c r="I24" s="434"/>
      <c r="J24" s="434"/>
      <c r="K24" s="434"/>
      <c r="L24" s="434"/>
      <c r="M24" s="434"/>
      <c r="N24" s="434"/>
      <c r="O24" s="434"/>
      <c r="P24" s="434"/>
      <c r="Q24" s="434"/>
      <c r="R24" s="434"/>
      <c r="S24" s="434"/>
      <c r="T24" s="434"/>
      <c r="U24" s="434"/>
      <c r="V24" s="434"/>
      <c r="W24" s="434"/>
      <c r="X24" s="434"/>
      <c r="Y24" s="434"/>
      <c r="Z24" s="434"/>
      <c r="AA24" s="434"/>
      <c r="AB24" s="654"/>
      <c r="AC24" s="654"/>
      <c r="AD24" s="654"/>
      <c r="AE24" s="654"/>
      <c r="AF24" s="654"/>
      <c r="AG24" s="654"/>
      <c r="AH24" s="654"/>
      <c r="AI24" s="654"/>
      <c r="AJ24" s="654"/>
      <c r="AK24" s="592"/>
      <c r="AL24" s="434"/>
      <c r="AM24" s="434"/>
      <c r="AN24" s="434"/>
    </row>
    <row r="25" spans="1:40" ht="20.100000000000001" customHeight="1">
      <c r="A25" s="434"/>
      <c r="B25" s="1005" t="s">
        <v>609</v>
      </c>
      <c r="C25" s="1006"/>
      <c r="D25" s="434"/>
      <c r="E25" s="1012"/>
      <c r="F25" s="1012"/>
      <c r="G25" s="1012"/>
      <c r="H25" s="1012"/>
      <c r="I25" s="1012"/>
      <c r="J25" s="1012"/>
      <c r="K25" s="1012"/>
      <c r="L25" s="1012"/>
      <c r="M25" s="1010"/>
      <c r="N25" s="1010"/>
      <c r="O25" s="1010"/>
      <c r="P25" s="1010"/>
      <c r="Q25" s="1010"/>
      <c r="R25" s="1010"/>
      <c r="S25" s="1010"/>
      <c r="T25" s="1010"/>
      <c r="U25" s="1010"/>
      <c r="V25" s="1010"/>
      <c r="W25" s="654"/>
      <c r="X25" s="434"/>
      <c r="Y25" s="434"/>
      <c r="Z25" s="434"/>
      <c r="AA25" s="434"/>
      <c r="AB25" s="434"/>
      <c r="AC25" s="434"/>
      <c r="AD25" s="873" t="b">
        <v>1</v>
      </c>
      <c r="AE25" s="593" t="s">
        <v>391</v>
      </c>
      <c r="AF25" s="434"/>
      <c r="AG25" s="434"/>
      <c r="AH25" s="873"/>
      <c r="AI25" s="593" t="s">
        <v>392</v>
      </c>
      <c r="AJ25" s="434"/>
      <c r="AK25" s="592"/>
      <c r="AL25" s="434"/>
      <c r="AM25" s="434"/>
      <c r="AN25" s="434"/>
    </row>
    <row r="26" spans="1:40" ht="20.100000000000001" customHeight="1">
      <c r="A26" s="434"/>
      <c r="B26" s="1009"/>
      <c r="C26" s="631"/>
      <c r="D26" s="434"/>
      <c r="E26" s="1012"/>
      <c r="F26" s="434" t="s">
        <v>610</v>
      </c>
      <c r="G26" s="1012"/>
      <c r="H26" s="1012"/>
      <c r="I26" s="1012"/>
      <c r="J26" s="1012"/>
      <c r="K26" s="1012"/>
      <c r="L26" s="1012"/>
      <c r="M26" s="1010"/>
      <c r="N26" s="1010"/>
      <c r="O26" s="1010"/>
      <c r="P26" s="1010"/>
      <c r="Q26" s="1010"/>
      <c r="R26" s="1010"/>
      <c r="S26" s="1010"/>
      <c r="T26" s="1010"/>
      <c r="U26" s="1010"/>
      <c r="V26" s="1010"/>
      <c r="W26" s="1010"/>
      <c r="X26" s="654"/>
      <c r="Y26" s="582"/>
      <c r="Z26" s="434"/>
      <c r="AA26" s="434"/>
      <c r="AB26" s="434"/>
      <c r="AC26" s="434"/>
      <c r="AD26" s="434"/>
      <c r="AE26" s="434"/>
      <c r="AF26" s="434"/>
      <c r="AG26" s="434"/>
      <c r="AH26" s="434"/>
      <c r="AI26" s="434"/>
      <c r="AJ26" s="434"/>
      <c r="AK26" s="592"/>
      <c r="AL26" s="434"/>
      <c r="AM26" s="434"/>
      <c r="AN26" s="434"/>
    </row>
    <row r="27" spans="1:40" ht="20.100000000000001" customHeight="1">
      <c r="A27" s="434"/>
      <c r="B27" s="1009"/>
      <c r="C27" s="631"/>
      <c r="D27" s="434" t="s">
        <v>40</v>
      </c>
      <c r="E27" s="1012"/>
      <c r="F27" s="434"/>
      <c r="G27" s="654"/>
      <c r="H27" s="654"/>
      <c r="I27" s="654"/>
      <c r="J27" s="610" t="b">
        <v>1</v>
      </c>
      <c r="K27" s="756" t="s">
        <v>611</v>
      </c>
      <c r="L27" s="654"/>
      <c r="M27" s="434"/>
      <c r="N27" s="756"/>
      <c r="O27" s="756"/>
      <c r="P27" s="756"/>
      <c r="Q27" s="756"/>
      <c r="R27" s="756"/>
      <c r="S27" s="756"/>
      <c r="T27" s="756"/>
      <c r="U27" s="756"/>
      <c r="V27" s="756"/>
      <c r="W27" s="756"/>
      <c r="X27" s="654"/>
      <c r="Y27" s="582"/>
      <c r="Z27" s="434"/>
      <c r="AA27" s="434"/>
      <c r="AB27" s="434"/>
      <c r="AC27" s="434"/>
      <c r="AD27" s="434"/>
      <c r="AE27" s="434"/>
      <c r="AF27" s="434"/>
      <c r="AG27" s="434"/>
      <c r="AH27" s="434"/>
      <c r="AI27" s="434"/>
      <c r="AJ27" s="434"/>
      <c r="AK27" s="592"/>
      <c r="AL27" s="434"/>
      <c r="AM27" s="434"/>
      <c r="AN27" s="434"/>
    </row>
    <row r="28" spans="1:40" ht="20.100000000000001" customHeight="1">
      <c r="A28" s="434"/>
      <c r="B28" s="1009"/>
      <c r="C28" s="631"/>
      <c r="D28" s="434"/>
      <c r="E28" s="1012"/>
      <c r="F28" s="434"/>
      <c r="G28" s="654"/>
      <c r="H28" s="654"/>
      <c r="I28" s="654"/>
      <c r="J28" s="610" t="b">
        <v>1</v>
      </c>
      <c r="K28" s="756" t="s">
        <v>612</v>
      </c>
      <c r="L28" s="654"/>
      <c r="M28" s="434"/>
      <c r="N28" s="756"/>
      <c r="O28" s="756"/>
      <c r="P28" s="756"/>
      <c r="Q28" s="756"/>
      <c r="R28" s="756"/>
      <c r="S28" s="756"/>
      <c r="T28" s="756"/>
      <c r="U28" s="756"/>
      <c r="V28" s="756"/>
      <c r="W28" s="756"/>
      <c r="X28" s="654"/>
      <c r="Y28" s="582"/>
      <c r="Z28" s="434"/>
      <c r="AA28" s="434"/>
      <c r="AB28" s="434"/>
      <c r="AC28" s="434"/>
      <c r="AD28" s="434"/>
      <c r="AE28" s="434"/>
      <c r="AF28" s="434"/>
      <c r="AG28" s="434"/>
      <c r="AH28" s="1010"/>
      <c r="AI28" s="434"/>
      <c r="AJ28" s="434"/>
      <c r="AK28" s="592"/>
      <c r="AL28" s="434"/>
      <c r="AM28" s="434"/>
      <c r="AN28" s="434"/>
    </row>
    <row r="29" spans="1:40" ht="20.100000000000001" customHeight="1">
      <c r="A29" s="434"/>
      <c r="B29" s="1009"/>
      <c r="C29" s="631"/>
      <c r="D29" s="434"/>
      <c r="E29" s="1012"/>
      <c r="F29" s="434"/>
      <c r="G29" s="654"/>
      <c r="H29" s="654"/>
      <c r="I29" s="654"/>
      <c r="J29" s="610" t="b">
        <v>0</v>
      </c>
      <c r="K29" s="756" t="s">
        <v>613</v>
      </c>
      <c r="L29" s="654"/>
      <c r="M29" s="434"/>
      <c r="N29" s="756"/>
      <c r="O29" s="756"/>
      <c r="P29" s="756"/>
      <c r="Q29" s="756"/>
      <c r="R29" s="756"/>
      <c r="S29" s="756"/>
      <c r="T29" s="756"/>
      <c r="U29" s="756"/>
      <c r="V29" s="756"/>
      <c r="W29" s="756"/>
      <c r="X29" s="654"/>
      <c r="Y29" s="582"/>
      <c r="Z29" s="434"/>
      <c r="AA29" s="434"/>
      <c r="AB29" s="434"/>
      <c r="AC29" s="434"/>
      <c r="AD29" s="434"/>
      <c r="AE29" s="434"/>
      <c r="AF29" s="434"/>
      <c r="AG29" s="434"/>
      <c r="AH29" s="434"/>
      <c r="AI29" s="434"/>
      <c r="AJ29" s="434"/>
      <c r="AK29" s="592"/>
      <c r="AL29" s="434"/>
      <c r="AM29" s="434"/>
      <c r="AN29" s="434"/>
    </row>
    <row r="30" spans="1:40" ht="20.100000000000001" customHeight="1">
      <c r="A30" s="434"/>
      <c r="B30" s="1009"/>
      <c r="C30" s="631"/>
      <c r="D30" s="434"/>
      <c r="E30" s="1012"/>
      <c r="F30" s="952"/>
      <c r="G30" s="654"/>
      <c r="H30" s="654"/>
      <c r="I30" s="654"/>
      <c r="J30" s="610" t="b">
        <v>0</v>
      </c>
      <c r="K30" s="637" t="s">
        <v>1021</v>
      </c>
      <c r="L30" s="434"/>
      <c r="M30" s="434"/>
      <c r="N30" s="434"/>
      <c r="O30" s="434"/>
      <c r="P30" s="2620"/>
      <c r="Q30" s="2620"/>
      <c r="R30" s="2620"/>
      <c r="S30" s="2620"/>
      <c r="T30" s="2620"/>
      <c r="U30" s="1735" t="str">
        <f>IF(AND(sch_ws_mechanism_ifyshs_others=FALSE,sch_ws_mechanism_ifyshs_others_specify&gt;0),"Please check Others if you have entries.",IF(AND(sch_ws_mechanism_ifyshs_others=TRUE,ISBLANK(sch_ws_mechanism_ifyshs_others_specify)), "Please specify.", ""))</f>
        <v/>
      </c>
      <c r="V30" s="434"/>
      <c r="W30" s="756"/>
      <c r="X30" s="654"/>
      <c r="Y30" s="582"/>
      <c r="Z30" s="434"/>
      <c r="AA30" s="434"/>
      <c r="AB30" s="434"/>
      <c r="AC30" s="434"/>
      <c r="AD30" s="434"/>
      <c r="AE30" s="434"/>
      <c r="AF30" s="434"/>
      <c r="AG30" s="434"/>
      <c r="AH30" s="434"/>
      <c r="AI30" s="434"/>
      <c r="AJ30" s="434"/>
      <c r="AK30" s="592"/>
      <c r="AL30" s="434"/>
      <c r="AM30" s="434"/>
      <c r="AN30" s="434"/>
    </row>
    <row r="31" spans="1:40" ht="9.75" customHeight="1" thickBot="1">
      <c r="A31" s="434"/>
      <c r="B31" s="646"/>
      <c r="C31" s="659"/>
      <c r="D31" s="1013"/>
      <c r="E31" s="1014"/>
      <c r="F31" s="1014"/>
      <c r="G31" s="1014"/>
      <c r="H31" s="1014"/>
      <c r="I31" s="1014"/>
      <c r="J31" s="1014"/>
      <c r="K31" s="1014"/>
      <c r="L31" s="1014"/>
      <c r="M31" s="1015"/>
      <c r="N31" s="1015"/>
      <c r="O31" s="1015"/>
      <c r="P31" s="1015"/>
      <c r="Q31" s="1015"/>
      <c r="R31" s="1015"/>
      <c r="S31" s="1015"/>
      <c r="T31" s="1015"/>
      <c r="U31" s="1015"/>
      <c r="V31" s="1015"/>
      <c r="W31" s="1015"/>
      <c r="X31" s="1016"/>
      <c r="Y31" s="596"/>
      <c r="Z31" s="659"/>
      <c r="AA31" s="659"/>
      <c r="AB31" s="1016"/>
      <c r="AC31" s="1016"/>
      <c r="AD31" s="1016"/>
      <c r="AE31" s="1016"/>
      <c r="AF31" s="1016"/>
      <c r="AG31" s="1016"/>
      <c r="AH31" s="1016"/>
      <c r="AI31" s="1016"/>
      <c r="AJ31" s="1016"/>
      <c r="AK31" s="597"/>
      <c r="AL31" s="434"/>
      <c r="AM31" s="434"/>
      <c r="AN31" s="434"/>
    </row>
    <row r="32" spans="1:40">
      <c r="A32" s="434"/>
      <c r="B32" s="3235" t="s">
        <v>1817</v>
      </c>
      <c r="C32" s="3235"/>
      <c r="D32" s="3235"/>
      <c r="E32" s="3235"/>
      <c r="F32" s="3235"/>
      <c r="G32" s="3235"/>
      <c r="H32" s="3235"/>
      <c r="I32" s="3235"/>
      <c r="J32" s="3235"/>
      <c r="K32" s="3235"/>
      <c r="L32" s="3235"/>
      <c r="M32" s="3235"/>
      <c r="N32" s="3235"/>
      <c r="O32" s="3235"/>
      <c r="P32" s="3235"/>
      <c r="Q32" s="3235"/>
      <c r="R32" s="3235"/>
      <c r="S32" s="3235"/>
      <c r="T32" s="3235"/>
      <c r="U32" s="3235"/>
      <c r="V32" s="3235"/>
      <c r="W32" s="3235"/>
      <c r="X32" s="3235"/>
      <c r="Y32" s="3235"/>
      <c r="Z32" s="3235"/>
      <c r="AA32" s="3235"/>
      <c r="AB32" s="3235"/>
      <c r="AC32" s="3235"/>
      <c r="AD32" s="3235"/>
      <c r="AE32" s="3235"/>
      <c r="AF32" s="3235"/>
      <c r="AG32" s="3235"/>
      <c r="AH32" s="3235"/>
      <c r="AI32" s="3235"/>
      <c r="AJ32" s="3235"/>
      <c r="AK32" s="3235"/>
      <c r="AL32" s="434"/>
      <c r="AM32" s="434"/>
      <c r="AN32" s="434"/>
    </row>
    <row r="33" spans="1:46">
      <c r="A33" s="434"/>
      <c r="B33" s="3214" t="s">
        <v>1818</v>
      </c>
      <c r="C33" s="3214"/>
      <c r="D33" s="3214"/>
      <c r="E33" s="3214"/>
      <c r="F33" s="3214"/>
      <c r="G33" s="3214"/>
      <c r="H33" s="3214"/>
      <c r="I33" s="3214"/>
      <c r="J33" s="3214"/>
      <c r="K33" s="3214"/>
      <c r="L33" s="3214"/>
      <c r="M33" s="3214"/>
      <c r="N33" s="3214"/>
      <c r="O33" s="3214"/>
      <c r="P33" s="3214"/>
      <c r="Q33" s="3214"/>
      <c r="R33" s="3214"/>
      <c r="S33" s="3214"/>
      <c r="T33" s="3214"/>
      <c r="U33" s="3214"/>
      <c r="V33" s="3214"/>
      <c r="W33" s="3214"/>
      <c r="X33" s="3214"/>
      <c r="Y33" s="3214"/>
      <c r="Z33" s="3214"/>
      <c r="AA33" s="3214"/>
      <c r="AB33" s="3214"/>
      <c r="AC33" s="3214"/>
      <c r="AD33" s="3214"/>
      <c r="AE33" s="3214"/>
      <c r="AF33" s="3214"/>
      <c r="AG33" s="3214"/>
      <c r="AH33" s="3214"/>
      <c r="AI33" s="3214"/>
      <c r="AJ33" s="3214"/>
      <c r="AK33" s="3214"/>
      <c r="AL33" s="434"/>
      <c r="AM33" s="434"/>
      <c r="AN33" s="434"/>
    </row>
    <row r="34" spans="1:46">
      <c r="A34" s="434"/>
      <c r="B34" s="3214" t="s">
        <v>1819</v>
      </c>
      <c r="C34" s="3214"/>
      <c r="D34" s="3214"/>
      <c r="E34" s="3214"/>
      <c r="F34" s="3214"/>
      <c r="G34" s="3214"/>
      <c r="H34" s="3214"/>
      <c r="I34" s="3214"/>
      <c r="J34" s="3214"/>
      <c r="K34" s="3214"/>
      <c r="L34" s="3214"/>
      <c r="M34" s="3214"/>
      <c r="N34" s="3214"/>
      <c r="O34" s="3214"/>
      <c r="P34" s="3214"/>
      <c r="Q34" s="3214"/>
      <c r="R34" s="3214"/>
      <c r="S34" s="3214"/>
      <c r="T34" s="3214"/>
      <c r="U34" s="3214"/>
      <c r="V34" s="3214"/>
      <c r="W34" s="3214"/>
      <c r="X34" s="3214"/>
      <c r="Y34" s="3214"/>
      <c r="Z34" s="3214"/>
      <c r="AA34" s="3214"/>
      <c r="AB34" s="3214"/>
      <c r="AC34" s="3214"/>
      <c r="AD34" s="3214"/>
      <c r="AE34" s="3214"/>
      <c r="AF34" s="3214"/>
      <c r="AG34" s="3214"/>
      <c r="AH34" s="3214"/>
      <c r="AI34" s="3214"/>
      <c r="AJ34" s="3214"/>
      <c r="AK34" s="3214"/>
      <c r="AL34" s="434"/>
      <c r="AM34" s="434"/>
      <c r="AN34" s="434"/>
    </row>
    <row r="35" spans="1:46">
      <c r="A35" s="434"/>
      <c r="B35" s="3214" t="s">
        <v>1820</v>
      </c>
      <c r="C35" s="3214"/>
      <c r="D35" s="3214"/>
      <c r="E35" s="3214"/>
      <c r="F35" s="3214"/>
      <c r="G35" s="3214"/>
      <c r="H35" s="3214"/>
      <c r="I35" s="3214"/>
      <c r="J35" s="3214"/>
      <c r="K35" s="3214"/>
      <c r="L35" s="3214"/>
      <c r="M35" s="3214"/>
      <c r="N35" s="3214"/>
      <c r="O35" s="3214"/>
      <c r="P35" s="3214"/>
      <c r="Q35" s="3214"/>
      <c r="R35" s="3214"/>
      <c r="S35" s="3214"/>
      <c r="T35" s="3214"/>
      <c r="U35" s="3214"/>
      <c r="V35" s="3214"/>
      <c r="W35" s="3214"/>
      <c r="X35" s="3214"/>
      <c r="Y35" s="3214"/>
      <c r="Z35" s="3214"/>
      <c r="AA35" s="3214"/>
      <c r="AB35" s="3214"/>
      <c r="AC35" s="3214"/>
      <c r="AD35" s="3214"/>
      <c r="AE35" s="3214"/>
      <c r="AF35" s="3214"/>
      <c r="AG35" s="3214"/>
      <c r="AH35" s="3214"/>
      <c r="AI35" s="3214"/>
      <c r="AJ35" s="3214"/>
      <c r="AK35" s="3214"/>
      <c r="AL35" s="434"/>
      <c r="AM35" s="434"/>
      <c r="AN35" s="434"/>
    </row>
    <row r="36" spans="1:46" ht="20.100000000000001" customHeight="1">
      <c r="A36" s="434"/>
      <c r="B36" s="601"/>
      <c r="C36" s="601"/>
      <c r="D36" s="601"/>
      <c r="E36" s="601"/>
      <c r="F36" s="601"/>
      <c r="G36" s="601"/>
      <c r="H36" s="601"/>
      <c r="I36" s="601"/>
      <c r="J36" s="601"/>
      <c r="K36" s="601"/>
      <c r="L36" s="601"/>
      <c r="M36" s="601"/>
      <c r="N36" s="601"/>
      <c r="O36" s="601"/>
      <c r="P36" s="601"/>
      <c r="Q36" s="601"/>
      <c r="R36" s="601"/>
      <c r="S36" s="601"/>
      <c r="T36" s="601"/>
      <c r="U36" s="601"/>
      <c r="V36" s="601"/>
      <c r="W36" s="601"/>
      <c r="X36" s="601"/>
      <c r="Y36" s="601"/>
      <c r="Z36" s="601"/>
      <c r="AA36" s="601"/>
      <c r="AB36" s="601"/>
      <c r="AC36" s="601"/>
      <c r="AD36" s="601"/>
      <c r="AE36" s="601"/>
      <c r="AF36" s="601"/>
      <c r="AG36" s="601"/>
      <c r="AH36" s="601"/>
      <c r="AI36" s="601"/>
      <c r="AJ36" s="601"/>
      <c r="AK36" s="601"/>
      <c r="AL36" s="434"/>
      <c r="AM36" s="434"/>
      <c r="AN36" s="434"/>
    </row>
    <row r="37" spans="1:46" ht="16.5" thickBot="1">
      <c r="A37" s="434"/>
      <c r="B37" s="611" t="s">
        <v>11405</v>
      </c>
      <c r="C37" s="611"/>
      <c r="D37" s="611"/>
      <c r="E37" s="611"/>
      <c r="F37" s="611"/>
      <c r="G37" s="611"/>
      <c r="H37" s="1011"/>
      <c r="I37" s="1011"/>
      <c r="J37" s="1011"/>
      <c r="K37" s="1011"/>
      <c r="L37" s="1011"/>
      <c r="M37" s="1011"/>
      <c r="N37" s="1011"/>
      <c r="O37" s="1011"/>
      <c r="P37" s="1011"/>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row>
    <row r="38" spans="1:46" ht="28.5" customHeight="1">
      <c r="A38" s="434"/>
      <c r="B38" s="3236" t="s">
        <v>614</v>
      </c>
      <c r="C38" s="3237"/>
      <c r="D38" s="3237"/>
      <c r="E38" s="3237"/>
      <c r="F38" s="3237"/>
      <c r="G38" s="3237"/>
      <c r="H38" s="3237"/>
      <c r="I38" s="3237"/>
      <c r="J38" s="3237"/>
      <c r="K38" s="3237"/>
      <c r="L38" s="3238"/>
      <c r="M38" s="3242" t="s">
        <v>78</v>
      </c>
      <c r="N38" s="3243"/>
      <c r="O38" s="3243"/>
      <c r="P38" s="3243"/>
      <c r="Q38" s="3243"/>
      <c r="R38" s="3243"/>
      <c r="S38" s="3243"/>
      <c r="T38" s="3243"/>
      <c r="U38" s="3243"/>
      <c r="V38" s="3244"/>
      <c r="W38" s="3245" t="s">
        <v>79</v>
      </c>
      <c r="X38" s="3246"/>
      <c r="Y38" s="3246"/>
      <c r="Z38" s="3246"/>
      <c r="AA38" s="3247"/>
      <c r="AB38" s="3251" t="s">
        <v>615</v>
      </c>
      <c r="AC38" s="3246"/>
      <c r="AD38" s="3246"/>
      <c r="AE38" s="3246"/>
      <c r="AF38" s="3247"/>
      <c r="AG38" s="3237" t="s">
        <v>616</v>
      </c>
      <c r="AH38" s="3237"/>
      <c r="AI38" s="3237"/>
      <c r="AJ38" s="3237"/>
      <c r="AK38" s="3238"/>
      <c r="AL38" s="434"/>
      <c r="AM38" s="434"/>
      <c r="AN38" s="434"/>
    </row>
    <row r="39" spans="1:46" ht="28.5" customHeight="1" thickBot="1">
      <c r="A39" s="434"/>
      <c r="B39" s="3239"/>
      <c r="C39" s="3240"/>
      <c r="D39" s="3240"/>
      <c r="E39" s="3240"/>
      <c r="F39" s="3240"/>
      <c r="G39" s="3240"/>
      <c r="H39" s="3240"/>
      <c r="I39" s="3240"/>
      <c r="J39" s="3240"/>
      <c r="K39" s="3240"/>
      <c r="L39" s="3241"/>
      <c r="M39" s="3253" t="s">
        <v>617</v>
      </c>
      <c r="N39" s="3254"/>
      <c r="O39" s="3254"/>
      <c r="P39" s="3254"/>
      <c r="Q39" s="3255"/>
      <c r="R39" s="3256" t="s">
        <v>618</v>
      </c>
      <c r="S39" s="3254"/>
      <c r="T39" s="3254"/>
      <c r="U39" s="3254"/>
      <c r="V39" s="3257"/>
      <c r="W39" s="3248"/>
      <c r="X39" s="3249"/>
      <c r="Y39" s="3249"/>
      <c r="Z39" s="3249"/>
      <c r="AA39" s="3250"/>
      <c r="AB39" s="3252"/>
      <c r="AC39" s="3249"/>
      <c r="AD39" s="3249"/>
      <c r="AE39" s="3249"/>
      <c r="AF39" s="3250"/>
      <c r="AG39" s="3240"/>
      <c r="AH39" s="3240"/>
      <c r="AI39" s="3240"/>
      <c r="AJ39" s="3240"/>
      <c r="AK39" s="3241"/>
      <c r="AL39" s="434"/>
      <c r="AM39" s="434"/>
      <c r="AN39" s="434"/>
    </row>
    <row r="40" spans="1:46" ht="30" customHeight="1">
      <c r="A40" s="434"/>
      <c r="B40" s="3224" t="s">
        <v>619</v>
      </c>
      <c r="C40" s="3225"/>
      <c r="D40" s="3226"/>
      <c r="E40" s="3226"/>
      <c r="F40" s="3226"/>
      <c r="G40" s="3226"/>
      <c r="H40" s="3226"/>
      <c r="I40" s="3226"/>
      <c r="J40" s="3226"/>
      <c r="K40" s="3226"/>
      <c r="L40" s="3227"/>
      <c r="M40" s="3228">
        <v>13</v>
      </c>
      <c r="N40" s="3229"/>
      <c r="O40" s="3229"/>
      <c r="P40" s="3229"/>
      <c r="Q40" s="3230"/>
      <c r="R40" s="3231">
        <v>0</v>
      </c>
      <c r="S40" s="3229"/>
      <c r="T40" s="3229"/>
      <c r="U40" s="3229"/>
      <c r="V40" s="3232"/>
      <c r="W40" s="3228">
        <v>0</v>
      </c>
      <c r="X40" s="3229"/>
      <c r="Y40" s="3229"/>
      <c r="Z40" s="3229"/>
      <c r="AA40" s="3233"/>
      <c r="AB40" s="3212">
        <f>SUM(M40:AA40)</f>
        <v>13</v>
      </c>
      <c r="AC40" s="3212"/>
      <c r="AD40" s="3212"/>
      <c r="AE40" s="3212"/>
      <c r="AF40" s="3213"/>
      <c r="AG40" s="3234">
        <v>3</v>
      </c>
      <c r="AH40" s="3229"/>
      <c r="AI40" s="3229"/>
      <c r="AJ40" s="3229"/>
      <c r="AK40" s="3232"/>
      <c r="AL40" s="434"/>
      <c r="AM40" s="434"/>
      <c r="AN40" s="434"/>
    </row>
    <row r="41" spans="1:46" ht="30" customHeight="1" thickBot="1">
      <c r="A41" s="434"/>
      <c r="B41" s="3215" t="s">
        <v>620</v>
      </c>
      <c r="C41" s="3216"/>
      <c r="D41" s="3216"/>
      <c r="E41" s="3216"/>
      <c r="F41" s="3216"/>
      <c r="G41" s="3216"/>
      <c r="H41" s="3216"/>
      <c r="I41" s="3216"/>
      <c r="J41" s="3216"/>
      <c r="K41" s="3216"/>
      <c r="L41" s="3217"/>
      <c r="M41" s="3218">
        <v>13</v>
      </c>
      <c r="N41" s="3210"/>
      <c r="O41" s="3210"/>
      <c r="P41" s="3210"/>
      <c r="Q41" s="3219"/>
      <c r="R41" s="3220">
        <v>0</v>
      </c>
      <c r="S41" s="3210"/>
      <c r="T41" s="3210"/>
      <c r="U41" s="3210"/>
      <c r="V41" s="3211"/>
      <c r="W41" s="3218">
        <v>0</v>
      </c>
      <c r="X41" s="3210"/>
      <c r="Y41" s="3210"/>
      <c r="Z41" s="3210"/>
      <c r="AA41" s="3221"/>
      <c r="AB41" s="3222">
        <f>SUM(M41:AA41)</f>
        <v>13</v>
      </c>
      <c r="AC41" s="3222"/>
      <c r="AD41" s="3222"/>
      <c r="AE41" s="3222"/>
      <c r="AF41" s="3223"/>
      <c r="AG41" s="3209">
        <v>0</v>
      </c>
      <c r="AH41" s="3210"/>
      <c r="AI41" s="3210"/>
      <c r="AJ41" s="3210"/>
      <c r="AK41" s="3211"/>
      <c r="AL41" s="434"/>
      <c r="AM41" s="434"/>
      <c r="AN41" s="434"/>
    </row>
    <row r="42" spans="1:46">
      <c r="A42" s="434"/>
      <c r="B42" s="3214" t="s">
        <v>1821</v>
      </c>
      <c r="C42" s="3214"/>
      <c r="D42" s="3214"/>
      <c r="E42" s="3214"/>
      <c r="F42" s="3214"/>
      <c r="G42" s="3214"/>
      <c r="H42" s="3214"/>
      <c r="I42" s="3214"/>
      <c r="J42" s="3214"/>
      <c r="K42" s="3214"/>
      <c r="L42" s="3214"/>
      <c r="M42" s="3214"/>
      <c r="N42" s="3214"/>
      <c r="O42" s="3214"/>
      <c r="P42" s="3214"/>
      <c r="Q42" s="3214"/>
      <c r="R42" s="3214"/>
      <c r="S42" s="3214"/>
      <c r="T42" s="3214"/>
      <c r="U42" s="3214"/>
      <c r="V42" s="3214"/>
      <c r="W42" s="3214"/>
      <c r="X42" s="3214"/>
      <c r="Y42" s="3214"/>
      <c r="Z42" s="3214"/>
      <c r="AA42" s="3214"/>
      <c r="AB42" s="3214"/>
      <c r="AC42" s="3214"/>
      <c r="AD42" s="3214"/>
      <c r="AE42" s="3214"/>
      <c r="AF42" s="3214"/>
      <c r="AG42" s="3214"/>
      <c r="AH42" s="3214"/>
      <c r="AI42" s="3214"/>
      <c r="AJ42" s="3214"/>
      <c r="AK42" s="3214"/>
      <c r="AL42" s="1017"/>
      <c r="AM42" s="434"/>
      <c r="AN42" s="434"/>
    </row>
    <row r="43" spans="1:46">
      <c r="A43" s="434"/>
      <c r="B43" s="3214" t="s">
        <v>1822</v>
      </c>
      <c r="C43" s="3214"/>
      <c r="D43" s="3214"/>
      <c r="E43" s="3214"/>
      <c r="F43" s="3214"/>
      <c r="G43" s="3214"/>
      <c r="H43" s="3214"/>
      <c r="I43" s="3214"/>
      <c r="J43" s="3214"/>
      <c r="K43" s="3214"/>
      <c r="L43" s="3214"/>
      <c r="M43" s="3214"/>
      <c r="N43" s="3214"/>
      <c r="O43" s="3214"/>
      <c r="P43" s="3214"/>
      <c r="Q43" s="3214"/>
      <c r="R43" s="3214"/>
      <c r="S43" s="3214"/>
      <c r="T43" s="3214"/>
      <c r="U43" s="3214"/>
      <c r="V43" s="3214"/>
      <c r="W43" s="3214"/>
      <c r="X43" s="3214"/>
      <c r="Y43" s="3214"/>
      <c r="Z43" s="3214"/>
      <c r="AA43" s="3214"/>
      <c r="AB43" s="3214"/>
      <c r="AC43" s="3214"/>
      <c r="AD43" s="3214"/>
      <c r="AE43" s="3214"/>
      <c r="AF43" s="3214"/>
      <c r="AG43" s="3214"/>
      <c r="AH43" s="3214"/>
      <c r="AI43" s="3214"/>
      <c r="AJ43" s="3214"/>
      <c r="AK43" s="3214"/>
      <c r="AL43" s="434"/>
      <c r="AM43" s="434"/>
      <c r="AN43" s="1017"/>
    </row>
    <row r="44" spans="1:46" ht="15.75" customHeight="1">
      <c r="A44" s="434"/>
      <c r="B44" s="3214" t="s">
        <v>1823</v>
      </c>
      <c r="C44" s="3214"/>
      <c r="D44" s="3214"/>
      <c r="E44" s="3214"/>
      <c r="F44" s="3214"/>
      <c r="G44" s="3214"/>
      <c r="H44" s="3214"/>
      <c r="I44" s="3214"/>
      <c r="J44" s="3214"/>
      <c r="K44" s="3214"/>
      <c r="L44" s="3214"/>
      <c r="M44" s="3214"/>
      <c r="N44" s="3214"/>
      <c r="O44" s="3214"/>
      <c r="P44" s="3214"/>
      <c r="Q44" s="3214"/>
      <c r="R44" s="3214"/>
      <c r="S44" s="3214"/>
      <c r="T44" s="3214"/>
      <c r="U44" s="3214"/>
      <c r="V44" s="3214"/>
      <c r="W44" s="3214"/>
      <c r="X44" s="3214"/>
      <c r="Y44" s="3214"/>
      <c r="Z44" s="3214"/>
      <c r="AA44" s="3214"/>
      <c r="AB44" s="3214"/>
      <c r="AC44" s="3214"/>
      <c r="AD44" s="3214"/>
      <c r="AE44" s="3214"/>
      <c r="AF44" s="3214"/>
      <c r="AG44" s="3214"/>
      <c r="AH44" s="3214"/>
      <c r="AI44" s="3214"/>
      <c r="AJ44" s="3214"/>
      <c r="AK44" s="3214"/>
      <c r="AL44" s="434"/>
      <c r="AM44" s="434"/>
      <c r="AN44" s="434"/>
    </row>
    <row r="45" spans="1:46">
      <c r="A45" s="434"/>
      <c r="B45" s="3214" t="s">
        <v>1824</v>
      </c>
      <c r="C45" s="3214"/>
      <c r="D45" s="3214"/>
      <c r="E45" s="3214"/>
      <c r="F45" s="3214"/>
      <c r="G45" s="3214"/>
      <c r="H45" s="3214"/>
      <c r="I45" s="3214"/>
      <c r="J45" s="3214"/>
      <c r="K45" s="3214"/>
      <c r="L45" s="3214"/>
      <c r="M45" s="3214"/>
      <c r="N45" s="3214"/>
      <c r="O45" s="3214"/>
      <c r="P45" s="3214"/>
      <c r="Q45" s="3214"/>
      <c r="R45" s="3214"/>
      <c r="S45" s="3214"/>
      <c r="T45" s="3214"/>
      <c r="U45" s="3214"/>
      <c r="V45" s="3214"/>
      <c r="W45" s="3214"/>
      <c r="X45" s="3214"/>
      <c r="Y45" s="3214"/>
      <c r="Z45" s="3214"/>
      <c r="AA45" s="3214"/>
      <c r="AB45" s="3214"/>
      <c r="AC45" s="3214"/>
      <c r="AD45" s="3214"/>
      <c r="AE45" s="3214"/>
      <c r="AF45" s="3214"/>
      <c r="AG45" s="3214"/>
      <c r="AH45" s="3214"/>
      <c r="AI45" s="3214"/>
      <c r="AJ45" s="3214"/>
      <c r="AK45" s="3214"/>
      <c r="AL45" s="434"/>
      <c r="AM45" s="434"/>
      <c r="AN45" s="434"/>
    </row>
    <row r="46" spans="1:46">
      <c r="A46" s="434"/>
      <c r="B46" s="3214" t="s">
        <v>1825</v>
      </c>
      <c r="C46" s="3214"/>
      <c r="D46" s="3214"/>
      <c r="E46" s="3214"/>
      <c r="F46" s="3214"/>
      <c r="G46" s="3214"/>
      <c r="H46" s="3214"/>
      <c r="I46" s="3214"/>
      <c r="J46" s="3214"/>
      <c r="K46" s="3214"/>
      <c r="L46" s="3214"/>
      <c r="M46" s="3214"/>
      <c r="N46" s="3214"/>
      <c r="O46" s="3214"/>
      <c r="P46" s="3214"/>
      <c r="Q46" s="3214"/>
      <c r="R46" s="3214"/>
      <c r="S46" s="3214"/>
      <c r="T46" s="3214"/>
      <c r="U46" s="3214"/>
      <c r="V46" s="3214"/>
      <c r="W46" s="3214"/>
      <c r="X46" s="3214"/>
      <c r="Y46" s="3214"/>
      <c r="Z46" s="3214"/>
      <c r="AA46" s="3214"/>
      <c r="AB46" s="3214"/>
      <c r="AC46" s="3214"/>
      <c r="AD46" s="3214"/>
      <c r="AE46" s="3214"/>
      <c r="AF46" s="3214"/>
      <c r="AG46" s="3214"/>
      <c r="AH46" s="3214"/>
      <c r="AI46" s="3214"/>
      <c r="AJ46" s="3214"/>
      <c r="AK46" s="3214"/>
      <c r="AL46" s="434"/>
      <c r="AM46" s="434"/>
      <c r="AN46" s="434"/>
    </row>
    <row r="47" spans="1:46" s="164" customFormat="1" ht="30.75" customHeight="1">
      <c r="A47" s="260"/>
      <c r="B47" s="260"/>
      <c r="C47" s="227"/>
      <c r="D47" s="260"/>
      <c r="E47" s="227"/>
      <c r="F47" s="260"/>
      <c r="G47" s="227"/>
      <c r="H47" s="260"/>
      <c r="I47" s="227"/>
      <c r="J47" s="260"/>
      <c r="K47" s="227"/>
      <c r="L47" s="260"/>
      <c r="M47" s="227"/>
      <c r="N47" s="260"/>
      <c r="O47" s="227"/>
      <c r="P47" s="260"/>
      <c r="Q47" s="227"/>
      <c r="R47" s="260"/>
      <c r="S47" s="260"/>
      <c r="T47" s="227"/>
      <c r="U47" s="260"/>
      <c r="V47" s="260"/>
      <c r="W47" s="227"/>
      <c r="X47" s="260"/>
      <c r="Y47" s="227"/>
      <c r="Z47" s="260"/>
      <c r="AA47" s="227"/>
      <c r="AB47" s="260"/>
      <c r="AC47" s="227"/>
      <c r="AD47" s="260"/>
      <c r="AE47" s="227"/>
      <c r="AF47" s="260"/>
      <c r="AG47" s="227"/>
      <c r="AH47" s="260"/>
      <c r="AI47" s="260"/>
      <c r="AJ47" s="227"/>
      <c r="AK47" s="260"/>
      <c r="AL47" s="260"/>
      <c r="AM47" s="260"/>
      <c r="AN47" s="260"/>
      <c r="AO47" s="260"/>
      <c r="AP47" s="260"/>
      <c r="AQ47" s="260"/>
      <c r="AR47" s="260"/>
      <c r="AS47" s="260"/>
      <c r="AT47" s="260"/>
    </row>
    <row r="48" spans="1:46" s="37" customFormat="1" ht="15">
      <c r="A48" s="263"/>
      <c r="B48" s="332" t="s">
        <v>74</v>
      </c>
      <c r="C48" s="263"/>
      <c r="D48" s="263"/>
      <c r="E48" s="263"/>
      <c r="F48" s="263"/>
      <c r="G48" s="263"/>
      <c r="H48" s="263"/>
      <c r="I48" s="263"/>
      <c r="J48" s="263"/>
      <c r="K48" s="263"/>
      <c r="L48" s="263"/>
      <c r="M48" s="263"/>
      <c r="N48" s="263"/>
      <c r="O48" s="263"/>
      <c r="P48" s="263"/>
      <c r="Q48" s="263"/>
      <c r="R48" s="263"/>
      <c r="S48" s="263"/>
      <c r="T48" s="263"/>
      <c r="U48" s="263"/>
      <c r="V48" s="332" t="s">
        <v>577</v>
      </c>
      <c r="W48" s="263"/>
      <c r="X48" s="263"/>
      <c r="Y48" s="263"/>
      <c r="Z48" s="263"/>
      <c r="AA48" s="263"/>
      <c r="AB48" s="263"/>
      <c r="AC48" s="263"/>
      <c r="AD48" s="263"/>
      <c r="AE48" s="263"/>
      <c r="AF48" s="263"/>
      <c r="AG48" s="263"/>
      <c r="AH48" s="263"/>
      <c r="AI48" s="263"/>
      <c r="AJ48" s="263"/>
      <c r="AK48" s="263"/>
      <c r="AL48" s="263"/>
      <c r="AM48" s="263"/>
      <c r="AN48" s="263"/>
      <c r="AO48" s="263"/>
      <c r="AP48" s="263"/>
      <c r="AQ48" s="263"/>
      <c r="AR48" s="263"/>
      <c r="AS48" s="263"/>
      <c r="AT48" s="263"/>
    </row>
    <row r="49" spans="1:46" s="37" customFormat="1" ht="21.75" customHeight="1">
      <c r="A49" s="263"/>
      <c r="B49" s="332" t="s">
        <v>75</v>
      </c>
      <c r="C49" s="263"/>
      <c r="D49" s="263"/>
      <c r="E49" s="263"/>
      <c r="F49" s="2790" t="str">
        <f>activesheet!E21</f>
        <v>MELCHESIEDICK Q. BOLANIO / March 17, 2023</v>
      </c>
      <c r="G49" s="2790"/>
      <c r="H49" s="2790"/>
      <c r="I49" s="2790"/>
      <c r="J49" s="2790"/>
      <c r="K49" s="2790"/>
      <c r="L49" s="2790"/>
      <c r="M49" s="2790"/>
      <c r="N49" s="2790"/>
      <c r="O49" s="2790"/>
      <c r="P49" s="2790"/>
      <c r="Q49" s="2790"/>
      <c r="R49" s="263"/>
      <c r="S49" s="263"/>
      <c r="T49" s="263"/>
      <c r="U49" s="263"/>
      <c r="V49" s="2790" t="str">
        <f>activesheet!E2417</f>
        <v>RACQUEL N. ACOMPANADO / March 17, 2023</v>
      </c>
      <c r="W49" s="2790"/>
      <c r="X49" s="2790"/>
      <c r="Y49" s="2790"/>
      <c r="Z49" s="2790"/>
      <c r="AA49" s="2790"/>
      <c r="AB49" s="2790"/>
      <c r="AC49" s="2790"/>
      <c r="AD49" s="2790"/>
      <c r="AE49" s="2790"/>
      <c r="AF49" s="2790"/>
      <c r="AG49" s="2790"/>
      <c r="AH49" s="2790"/>
      <c r="AI49" s="2790"/>
      <c r="AJ49" s="2790"/>
      <c r="AK49" s="2790"/>
      <c r="AL49" s="263"/>
      <c r="AM49" s="263"/>
      <c r="AN49" s="263"/>
      <c r="AO49" s="263"/>
      <c r="AP49" s="263"/>
      <c r="AQ49" s="263"/>
      <c r="AR49" s="263"/>
      <c r="AS49" s="263"/>
      <c r="AT49" s="263"/>
    </row>
    <row r="50" spans="1:46" s="39" customFormat="1" ht="13.5">
      <c r="A50" s="280"/>
      <c r="B50" s="228"/>
      <c r="C50" s="280"/>
      <c r="D50" s="280"/>
      <c r="E50" s="280"/>
      <c r="F50" s="1811" t="s">
        <v>37</v>
      </c>
      <c r="G50" s="1811"/>
      <c r="H50" s="1811"/>
      <c r="I50" s="1811"/>
      <c r="J50" s="1811"/>
      <c r="K50" s="1811"/>
      <c r="L50" s="1811"/>
      <c r="M50" s="1811"/>
      <c r="N50" s="1811"/>
      <c r="O50" s="1811"/>
      <c r="P50" s="1811"/>
      <c r="Q50" s="1811"/>
      <c r="R50" s="281"/>
      <c r="S50" s="281"/>
      <c r="T50" s="281"/>
      <c r="U50" s="281"/>
      <c r="V50" s="1811" t="s">
        <v>37</v>
      </c>
      <c r="W50" s="1811"/>
      <c r="X50" s="1811"/>
      <c r="Y50" s="1811"/>
      <c r="Z50" s="1811"/>
      <c r="AA50" s="1811"/>
      <c r="AB50" s="1811"/>
      <c r="AC50" s="1811"/>
      <c r="AD50" s="1811"/>
      <c r="AE50" s="1811"/>
      <c r="AF50" s="1811"/>
      <c r="AG50" s="1811"/>
      <c r="AH50" s="1811"/>
      <c r="AI50" s="1811"/>
      <c r="AJ50" s="1811"/>
      <c r="AK50" s="1811"/>
      <c r="AL50" s="280"/>
      <c r="AM50" s="280"/>
      <c r="AN50" s="280"/>
      <c r="AO50" s="280"/>
      <c r="AP50" s="280"/>
      <c r="AQ50" s="280"/>
      <c r="AR50" s="280"/>
      <c r="AS50" s="280"/>
      <c r="AT50" s="280"/>
    </row>
    <row r="51" spans="1:46" s="37" customFormat="1" ht="21.75" customHeight="1">
      <c r="A51" s="263"/>
      <c r="B51" s="332" t="s">
        <v>58</v>
      </c>
      <c r="C51" s="263"/>
      <c r="D51" s="263"/>
      <c r="E51" s="263"/>
      <c r="F51" s="2790" t="str">
        <f>activesheet!E22</f>
        <v>SECONDARY SCHOOL PRINCIPAL IV</v>
      </c>
      <c r="G51" s="2790"/>
      <c r="H51" s="2790"/>
      <c r="I51" s="2790"/>
      <c r="J51" s="2790"/>
      <c r="K51" s="2790"/>
      <c r="L51" s="2790"/>
      <c r="M51" s="2790"/>
      <c r="N51" s="2790"/>
      <c r="O51" s="2790"/>
      <c r="P51" s="2790"/>
      <c r="Q51" s="2790"/>
      <c r="R51" s="263"/>
      <c r="S51" s="263"/>
      <c r="T51" s="263"/>
      <c r="U51" s="263"/>
      <c r="V51" s="332" t="s">
        <v>58</v>
      </c>
      <c r="W51" s="263"/>
      <c r="X51" s="263"/>
      <c r="Y51" s="263"/>
      <c r="Z51" s="2790" t="str">
        <f>activesheet!E2418</f>
        <v>NURSE II</v>
      </c>
      <c r="AA51" s="2790"/>
      <c r="AB51" s="2790"/>
      <c r="AC51" s="2790"/>
      <c r="AD51" s="2790"/>
      <c r="AE51" s="2790"/>
      <c r="AF51" s="2790"/>
      <c r="AG51" s="2790"/>
      <c r="AH51" s="2790"/>
      <c r="AI51" s="2790"/>
      <c r="AJ51" s="2790"/>
      <c r="AK51" s="2790"/>
      <c r="AL51" s="263"/>
      <c r="AM51" s="263"/>
      <c r="AN51" s="263"/>
      <c r="AO51" s="263"/>
      <c r="AP51" s="263"/>
      <c r="AQ51" s="263"/>
      <c r="AR51" s="263"/>
      <c r="AS51" s="263"/>
      <c r="AT51" s="263"/>
    </row>
    <row r="52" spans="1:46" s="3" customFormat="1" ht="30.75" customHeight="1">
      <c r="A52" s="240"/>
      <c r="B52" s="239"/>
      <c r="C52" s="240"/>
      <c r="D52" s="239"/>
      <c r="E52" s="240"/>
      <c r="F52" s="239"/>
      <c r="G52" s="240"/>
      <c r="H52" s="239"/>
      <c r="I52" s="240"/>
      <c r="J52" s="239"/>
      <c r="K52" s="240"/>
      <c r="L52" s="260"/>
      <c r="M52" s="227"/>
      <c r="N52" s="260"/>
      <c r="O52" s="227"/>
      <c r="P52" s="260"/>
      <c r="Q52" s="227"/>
      <c r="R52" s="260"/>
      <c r="S52" s="227"/>
      <c r="T52" s="260"/>
      <c r="U52" s="227"/>
      <c r="V52" s="260"/>
      <c r="W52" s="227"/>
      <c r="X52" s="260"/>
      <c r="Y52" s="227"/>
      <c r="Z52" s="260"/>
      <c r="AA52" s="227"/>
      <c r="AB52" s="239"/>
      <c r="AC52" s="240"/>
      <c r="AD52" s="239"/>
      <c r="AE52" s="240"/>
      <c r="AF52" s="239"/>
      <c r="AG52" s="240"/>
      <c r="AH52" s="239"/>
      <c r="AI52" s="240"/>
      <c r="AJ52" s="239"/>
      <c r="AK52" s="240"/>
      <c r="AL52" s="239"/>
      <c r="AM52" s="240"/>
      <c r="AN52" s="240"/>
      <c r="AO52" s="240"/>
      <c r="AP52" s="240"/>
      <c r="AQ52" s="240"/>
      <c r="AR52" s="240"/>
      <c r="AS52" s="240"/>
      <c r="AT52" s="240"/>
    </row>
    <row r="53" spans="1:46" s="37" customFormat="1" ht="15">
      <c r="A53" s="263"/>
      <c r="B53" s="263"/>
      <c r="C53" s="263"/>
      <c r="D53" s="263"/>
      <c r="E53" s="263"/>
      <c r="F53" s="263"/>
      <c r="G53" s="263"/>
      <c r="H53" s="263"/>
      <c r="I53" s="263"/>
      <c r="J53" s="263"/>
      <c r="K53" s="263"/>
      <c r="L53" s="332" t="s">
        <v>33</v>
      </c>
      <c r="M53" s="263"/>
      <c r="N53" s="263"/>
      <c r="O53" s="263"/>
      <c r="P53" s="263"/>
      <c r="Q53" s="263"/>
      <c r="R53" s="263"/>
      <c r="S53" s="263"/>
      <c r="T53" s="263"/>
      <c r="U53" s="263"/>
      <c r="V53" s="263"/>
      <c r="W53" s="263"/>
      <c r="X53" s="263"/>
      <c r="Y53" s="263"/>
      <c r="Z53" s="263"/>
      <c r="AA53" s="263"/>
      <c r="AB53" s="263"/>
      <c r="AC53" s="263"/>
      <c r="AD53" s="263"/>
      <c r="AE53" s="263"/>
      <c r="AF53" s="263"/>
      <c r="AG53" s="263"/>
      <c r="AH53" s="263"/>
      <c r="AI53" s="263"/>
      <c r="AJ53" s="263"/>
      <c r="AK53" s="263"/>
      <c r="AL53" s="263"/>
      <c r="AM53" s="263"/>
      <c r="AN53" s="263"/>
      <c r="AO53" s="263"/>
      <c r="AP53" s="263"/>
      <c r="AQ53" s="263"/>
      <c r="AR53" s="263"/>
      <c r="AS53" s="263"/>
      <c r="AT53" s="263"/>
    </row>
    <row r="54" spans="1:46" s="37" customFormat="1" ht="21.75" customHeight="1">
      <c r="A54" s="263"/>
      <c r="B54" s="263"/>
      <c r="C54" s="263"/>
      <c r="D54" s="263"/>
      <c r="E54" s="263"/>
      <c r="F54" s="263"/>
      <c r="G54" s="263"/>
      <c r="H54" s="263"/>
      <c r="I54" s="263"/>
      <c r="J54" s="263"/>
      <c r="K54" s="263"/>
      <c r="L54" s="1819" t="str">
        <f>activesheet!E25</f>
        <v>MICHAEL T. JAMIS / March 17, 2023</v>
      </c>
      <c r="M54" s="1819"/>
      <c r="N54" s="1819"/>
      <c r="O54" s="1819"/>
      <c r="P54" s="1819"/>
      <c r="Q54" s="1819"/>
      <c r="R54" s="1819"/>
      <c r="S54" s="1819"/>
      <c r="T54" s="1819"/>
      <c r="U54" s="1819"/>
      <c r="V54" s="1819"/>
      <c r="W54" s="1819"/>
      <c r="X54" s="1819"/>
      <c r="Y54" s="1819"/>
      <c r="Z54" s="1819"/>
      <c r="AA54" s="1819"/>
      <c r="AB54" s="263"/>
      <c r="AC54" s="263"/>
      <c r="AD54" s="263"/>
      <c r="AE54" s="263"/>
      <c r="AF54" s="263"/>
      <c r="AG54" s="263"/>
      <c r="AH54" s="263"/>
      <c r="AI54" s="263"/>
      <c r="AJ54" s="263"/>
      <c r="AK54" s="263"/>
      <c r="AL54" s="263"/>
      <c r="AM54" s="263"/>
      <c r="AN54" s="263"/>
      <c r="AO54" s="263"/>
      <c r="AP54" s="263"/>
      <c r="AQ54" s="263"/>
      <c r="AR54" s="263"/>
      <c r="AS54" s="263"/>
      <c r="AT54" s="263"/>
    </row>
    <row r="55" spans="1:46" s="39" customFormat="1" ht="15" customHeight="1">
      <c r="A55" s="280"/>
      <c r="B55" s="280"/>
      <c r="C55" s="280"/>
      <c r="D55" s="280"/>
      <c r="E55" s="280"/>
      <c r="F55" s="280"/>
      <c r="G55" s="280"/>
      <c r="H55" s="280"/>
      <c r="I55" s="280"/>
      <c r="J55" s="280"/>
      <c r="K55" s="280"/>
      <c r="L55" s="1820"/>
      <c r="M55" s="1820"/>
      <c r="N55" s="1820"/>
      <c r="O55" s="1820"/>
      <c r="P55" s="1820"/>
      <c r="Q55" s="1820"/>
      <c r="R55" s="1820"/>
      <c r="S55" s="1820"/>
      <c r="T55" s="1820"/>
      <c r="U55" s="1820"/>
      <c r="V55" s="1820"/>
      <c r="W55" s="1820"/>
      <c r="X55" s="1820"/>
      <c r="Y55" s="1820"/>
      <c r="Z55" s="1820"/>
      <c r="AA55" s="1820"/>
      <c r="AB55" s="280"/>
      <c r="AC55" s="280"/>
      <c r="AD55" s="280"/>
      <c r="AE55" s="280"/>
      <c r="AF55" s="280"/>
      <c r="AG55" s="280"/>
      <c r="AH55" s="280"/>
      <c r="AI55" s="280"/>
      <c r="AJ55" s="280"/>
      <c r="AK55" s="280"/>
      <c r="AL55" s="280"/>
      <c r="AM55" s="280"/>
      <c r="AN55" s="280"/>
      <c r="AO55" s="280"/>
      <c r="AP55" s="280"/>
      <c r="AQ55" s="280"/>
      <c r="AR55" s="280"/>
      <c r="AS55" s="280"/>
      <c r="AT55" s="280"/>
    </row>
    <row r="56" spans="1:46">
      <c r="A56" s="434"/>
      <c r="B56" s="434"/>
      <c r="C56" s="434"/>
      <c r="D56" s="434"/>
      <c r="E56" s="434"/>
      <c r="F56" s="434"/>
      <c r="G56" s="434"/>
      <c r="H56" s="434"/>
      <c r="I56" s="434"/>
      <c r="J56" s="434"/>
      <c r="K56" s="434"/>
      <c r="L56" s="1811" t="s">
        <v>37</v>
      </c>
      <c r="M56" s="1811"/>
      <c r="N56" s="1811"/>
      <c r="O56" s="1811"/>
      <c r="P56" s="1811"/>
      <c r="Q56" s="1811"/>
      <c r="R56" s="1811"/>
      <c r="S56" s="1811"/>
      <c r="T56" s="1811"/>
      <c r="U56" s="1811"/>
      <c r="V56" s="1811"/>
      <c r="W56" s="1811"/>
      <c r="X56" s="1811"/>
      <c r="Y56" s="1811"/>
      <c r="Z56" s="1811"/>
      <c r="AA56" s="1811"/>
      <c r="AB56" s="434"/>
      <c r="AC56" s="434"/>
      <c r="AD56" s="434"/>
      <c r="AE56" s="434"/>
      <c r="AF56" s="434"/>
      <c r="AG56" s="434"/>
      <c r="AH56" s="434"/>
      <c r="AI56" s="434"/>
      <c r="AJ56" s="434"/>
      <c r="AK56" s="434"/>
      <c r="AL56" s="434"/>
      <c r="AM56" s="434"/>
      <c r="AN56" s="434"/>
    </row>
    <row r="57" spans="1:46">
      <c r="A57" s="434"/>
      <c r="B57" s="434"/>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c r="AK57" s="434"/>
      <c r="AL57" s="434"/>
      <c r="AM57" s="434"/>
      <c r="AN57" s="434"/>
    </row>
    <row r="58" spans="1:46">
      <c r="A58" s="434"/>
      <c r="B58" s="434"/>
      <c r="C58" s="434"/>
      <c r="D58" s="434"/>
      <c r="E58" s="434"/>
      <c r="F58" s="434"/>
      <c r="G58" s="434"/>
      <c r="H58" s="434"/>
      <c r="I58" s="434"/>
      <c r="J58" s="434"/>
      <c r="K58" s="434"/>
      <c r="L58" s="434"/>
      <c r="M58" s="434"/>
      <c r="N58" s="434"/>
      <c r="O58" s="434"/>
      <c r="P58" s="434"/>
      <c r="Q58" s="434"/>
      <c r="R58" s="434"/>
      <c r="S58" s="434"/>
      <c r="T58" s="434"/>
      <c r="U58" s="434"/>
      <c r="V58" s="434"/>
      <c r="W58" s="434"/>
      <c r="X58" s="434"/>
      <c r="Y58" s="434"/>
      <c r="Z58" s="434"/>
      <c r="AA58" s="434"/>
      <c r="AB58" s="434"/>
      <c r="AC58" s="434"/>
      <c r="AD58" s="434"/>
      <c r="AE58" s="434"/>
      <c r="AF58" s="434"/>
      <c r="AG58" s="434"/>
      <c r="AH58" s="434"/>
      <c r="AI58" s="434"/>
      <c r="AJ58" s="434"/>
      <c r="AK58" s="434"/>
      <c r="AL58" s="434"/>
      <c r="AM58" s="434"/>
      <c r="AN58" s="434"/>
    </row>
    <row r="59" spans="1:46">
      <c r="A59" s="434"/>
      <c r="B59" s="434"/>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c r="AD59" s="434"/>
      <c r="AE59" s="434"/>
      <c r="AF59" s="434"/>
      <c r="AG59" s="434"/>
      <c r="AH59" s="434"/>
      <c r="AI59" s="434"/>
      <c r="AJ59" s="434"/>
      <c r="AK59" s="434"/>
      <c r="AL59" s="434"/>
      <c r="AM59" s="434"/>
      <c r="AN59" s="434"/>
    </row>
    <row r="60" spans="1:46">
      <c r="A60" s="434"/>
      <c r="B60" s="434"/>
      <c r="C60" s="434"/>
      <c r="D60" s="434"/>
      <c r="E60" s="434"/>
      <c r="F60" s="434"/>
      <c r="G60" s="434"/>
      <c r="H60" s="434"/>
      <c r="I60" s="434"/>
      <c r="J60" s="434"/>
      <c r="K60" s="434"/>
      <c r="L60" s="434"/>
      <c r="M60" s="434"/>
      <c r="N60" s="434"/>
      <c r="O60" s="434"/>
      <c r="P60" s="434"/>
      <c r="Q60" s="434"/>
      <c r="R60" s="434"/>
      <c r="S60" s="434"/>
      <c r="T60" s="434"/>
      <c r="U60" s="434"/>
      <c r="V60" s="434"/>
      <c r="W60" s="434"/>
      <c r="X60" s="434"/>
      <c r="Y60" s="434"/>
      <c r="Z60" s="434"/>
      <c r="AA60" s="434"/>
      <c r="AB60" s="434"/>
      <c r="AC60" s="434"/>
      <c r="AD60" s="434"/>
      <c r="AE60" s="434"/>
      <c r="AF60" s="434"/>
      <c r="AG60" s="434"/>
      <c r="AH60" s="434"/>
      <c r="AI60" s="434"/>
      <c r="AJ60" s="434"/>
      <c r="AK60" s="434"/>
      <c r="AL60" s="434"/>
      <c r="AM60" s="434"/>
      <c r="AN60" s="434"/>
    </row>
    <row r="61" spans="1:46">
      <c r="A61" s="434"/>
      <c r="B61" s="434"/>
      <c r="C61" s="434"/>
      <c r="D61" s="434"/>
      <c r="E61" s="434"/>
      <c r="F61" s="434"/>
      <c r="G61" s="434"/>
      <c r="H61" s="434"/>
      <c r="I61" s="434"/>
      <c r="J61" s="434"/>
      <c r="K61" s="434"/>
      <c r="L61" s="434"/>
      <c r="M61" s="434"/>
      <c r="N61" s="434"/>
      <c r="O61" s="434"/>
      <c r="P61" s="434"/>
      <c r="Q61" s="434"/>
      <c r="R61" s="434"/>
      <c r="S61" s="434"/>
      <c r="T61" s="434"/>
      <c r="U61" s="434"/>
      <c r="V61" s="434"/>
      <c r="W61" s="434"/>
      <c r="X61" s="434"/>
      <c r="Y61" s="434"/>
      <c r="Z61" s="434"/>
      <c r="AA61" s="434"/>
      <c r="AB61" s="434"/>
      <c r="AC61" s="434"/>
      <c r="AD61" s="434"/>
      <c r="AE61" s="434"/>
      <c r="AF61" s="434"/>
      <c r="AG61" s="434"/>
      <c r="AH61" s="434"/>
      <c r="AI61" s="434"/>
      <c r="AJ61" s="434"/>
      <c r="AK61" s="434"/>
      <c r="AL61" s="434"/>
      <c r="AM61" s="434"/>
      <c r="AN61" s="434"/>
    </row>
    <row r="62" spans="1:46">
      <c r="A62" s="434"/>
      <c r="B62" s="434"/>
      <c r="C62" s="434"/>
      <c r="D62" s="434"/>
      <c r="E62" s="434"/>
      <c r="F62" s="434"/>
      <c r="G62" s="434"/>
      <c r="H62" s="434"/>
      <c r="I62" s="434"/>
      <c r="J62" s="434"/>
      <c r="K62" s="434"/>
      <c r="L62" s="434"/>
      <c r="M62" s="434"/>
      <c r="N62" s="434"/>
      <c r="O62" s="434"/>
      <c r="P62" s="434"/>
      <c r="Q62" s="434"/>
      <c r="R62" s="434"/>
      <c r="S62" s="434"/>
      <c r="T62" s="434"/>
      <c r="U62" s="434"/>
      <c r="V62" s="434"/>
      <c r="W62" s="434"/>
      <c r="X62" s="434"/>
      <c r="Y62" s="434"/>
      <c r="Z62" s="434"/>
      <c r="AA62" s="434"/>
      <c r="AB62" s="434"/>
      <c r="AC62" s="434"/>
      <c r="AD62" s="434"/>
      <c r="AE62" s="434"/>
      <c r="AF62" s="434"/>
      <c r="AG62" s="434"/>
      <c r="AH62" s="434"/>
      <c r="AI62" s="434"/>
      <c r="AJ62" s="434"/>
      <c r="AK62" s="434"/>
      <c r="AL62" s="434"/>
      <c r="AM62" s="434"/>
      <c r="AN62" s="434"/>
    </row>
    <row r="63" spans="1:46">
      <c r="A63" s="434"/>
      <c r="B63" s="434"/>
      <c r="C63" s="434"/>
      <c r="D63" s="434"/>
      <c r="E63" s="434"/>
      <c r="F63" s="434"/>
      <c r="G63" s="434"/>
      <c r="H63" s="434"/>
      <c r="I63" s="434"/>
      <c r="J63" s="434"/>
      <c r="K63" s="434"/>
      <c r="L63" s="434"/>
      <c r="M63" s="434"/>
      <c r="N63" s="434"/>
      <c r="O63" s="434"/>
      <c r="P63" s="434"/>
      <c r="Q63" s="434"/>
      <c r="R63" s="434"/>
      <c r="S63" s="434"/>
      <c r="T63" s="434"/>
      <c r="U63" s="434"/>
      <c r="V63" s="434"/>
      <c r="W63" s="434"/>
      <c r="X63" s="434"/>
      <c r="Y63" s="434"/>
      <c r="Z63" s="434"/>
      <c r="AA63" s="434"/>
      <c r="AB63" s="434"/>
      <c r="AC63" s="434"/>
      <c r="AD63" s="434"/>
      <c r="AE63" s="434"/>
      <c r="AF63" s="434"/>
      <c r="AG63" s="434"/>
      <c r="AH63" s="434"/>
      <c r="AI63" s="434"/>
      <c r="AJ63" s="434"/>
      <c r="AK63" s="434"/>
      <c r="AL63" s="434"/>
      <c r="AM63" s="434"/>
      <c r="AN63" s="434"/>
    </row>
    <row r="64" spans="1:46">
      <c r="A64" s="434"/>
      <c r="B64" s="434"/>
      <c r="C64" s="434"/>
      <c r="D64" s="434"/>
      <c r="E64" s="434"/>
      <c r="F64" s="434"/>
      <c r="G64" s="434"/>
      <c r="H64" s="434"/>
      <c r="I64" s="434"/>
      <c r="J64" s="434"/>
      <c r="K64" s="434"/>
      <c r="L64" s="434"/>
      <c r="M64" s="434"/>
      <c r="N64" s="434"/>
      <c r="O64" s="434"/>
      <c r="P64" s="434"/>
      <c r="Q64" s="434"/>
      <c r="R64" s="434"/>
      <c r="S64" s="434"/>
      <c r="T64" s="434"/>
      <c r="U64" s="434"/>
      <c r="V64" s="434"/>
      <c r="W64" s="434"/>
      <c r="X64" s="434"/>
      <c r="Y64" s="434"/>
      <c r="Z64" s="434"/>
      <c r="AA64" s="434"/>
      <c r="AB64" s="434"/>
      <c r="AC64" s="434"/>
      <c r="AD64" s="434"/>
      <c r="AE64" s="434"/>
      <c r="AF64" s="434"/>
      <c r="AG64" s="434"/>
      <c r="AH64" s="434"/>
      <c r="AI64" s="434"/>
      <c r="AJ64" s="434"/>
      <c r="AK64" s="434"/>
      <c r="AL64" s="434"/>
      <c r="AM64" s="434"/>
      <c r="AN64" s="434"/>
    </row>
  </sheetData>
  <sheetProtection algorithmName="SHA-512" hashValue="4B5BA3HFHA+dr+E5Lo2BTVJdVMF5V52xzzaeyfOC9l+FmXiYt3UZ2815NYAR3IbyFw4RIFZHxBQviga+dhop4A==" saltValue="P9aEMLrT5Ip38ZLsYPVULw==" spinCount="100000" sheet="1" objects="1" scenarios="1"/>
  <customSheetViews>
    <customSheetView guid="{6EFEFCA0-BF14-457A-85A3-29CBF2A862A5}" showGridLines="0" fitToPage="1" topLeftCell="A19">
      <selection sqref="A1:AM58"/>
      <pageMargins left="0.23622047244094491" right="0.23622047244094491" top="0.19685039370078741" bottom="0.19685039370078741" header="0" footer="0.11811023622047245"/>
      <printOptions horizontalCentered="1" verticalCentered="1"/>
      <pageSetup paperSize="9" scale="46" orientation="portrait" r:id="rId1"/>
      <headerFooter>
        <oddFooter>&amp;L&amp;10&amp;F &amp;A&amp;R&amp;10Page 29 of of 61</oddFooter>
      </headerFooter>
    </customSheetView>
  </customSheetViews>
  <mergeCells count="42">
    <mergeCell ref="P30:T30"/>
    <mergeCell ref="AD15:AH15"/>
    <mergeCell ref="AD21:AH21"/>
    <mergeCell ref="U22:Y22"/>
    <mergeCell ref="AC9:AH9"/>
    <mergeCell ref="X11:AD11"/>
    <mergeCell ref="AG40:AK40"/>
    <mergeCell ref="B32:AK32"/>
    <mergeCell ref="B33:AK33"/>
    <mergeCell ref="B34:AK34"/>
    <mergeCell ref="B35:AK35"/>
    <mergeCell ref="B38:L39"/>
    <mergeCell ref="M38:V38"/>
    <mergeCell ref="W38:AA39"/>
    <mergeCell ref="AB38:AF39"/>
    <mergeCell ref="AG38:AK39"/>
    <mergeCell ref="M39:Q39"/>
    <mergeCell ref="R39:V39"/>
    <mergeCell ref="M41:Q41"/>
    <mergeCell ref="R41:V41"/>
    <mergeCell ref="W41:AA41"/>
    <mergeCell ref="AB41:AF41"/>
    <mergeCell ref="B40:L40"/>
    <mergeCell ref="M40:Q40"/>
    <mergeCell ref="R40:V40"/>
    <mergeCell ref="W40:AA40"/>
    <mergeCell ref="AG41:AK41"/>
    <mergeCell ref="AB40:AF40"/>
    <mergeCell ref="L56:AA56"/>
    <mergeCell ref="B42:AK42"/>
    <mergeCell ref="B43:AK43"/>
    <mergeCell ref="B44:AK44"/>
    <mergeCell ref="B45:AK45"/>
    <mergeCell ref="B46:AK46"/>
    <mergeCell ref="F49:Q49"/>
    <mergeCell ref="V49:AK49"/>
    <mergeCell ref="F50:Q50"/>
    <mergeCell ref="V50:AK50"/>
    <mergeCell ref="F51:Q51"/>
    <mergeCell ref="Z51:AK51"/>
    <mergeCell ref="L54:AA55"/>
    <mergeCell ref="B41:L41"/>
  </mergeCells>
  <conditionalFormatting sqref="F7">
    <cfRule type="expression" dxfId="45" priority="6">
      <formula>$X$9</formula>
    </cfRule>
    <cfRule type="expression" dxfId="44" priority="7">
      <formula>$X$8</formula>
    </cfRule>
    <cfRule type="expression" dxfId="43" priority="9">
      <formula>$J$10</formula>
    </cfRule>
    <cfRule type="expression" dxfId="42" priority="10">
      <formula>$J$9</formula>
    </cfRule>
    <cfRule type="expression" dxfId="41" priority="11">
      <formula>$J$8</formula>
    </cfRule>
    <cfRule type="expression" dxfId="40" priority="12">
      <formula>$AD$5</formula>
    </cfRule>
  </conditionalFormatting>
  <conditionalFormatting sqref="W8">
    <cfRule type="expression" dxfId="39" priority="8">
      <formula>$X$8</formula>
    </cfRule>
  </conditionalFormatting>
  <conditionalFormatting sqref="F26">
    <cfRule type="expression" dxfId="38" priority="1">
      <formula>$J$30</formula>
    </cfRule>
    <cfRule type="expression" dxfId="37" priority="2">
      <formula>$J$29</formula>
    </cfRule>
    <cfRule type="expression" dxfId="36" priority="3">
      <formula>$J$28</formula>
    </cfRule>
    <cfRule type="expression" dxfId="35" priority="4">
      <formula>$J$27</formula>
    </cfRule>
    <cfRule type="expression" dxfId="34" priority="5">
      <formula>$AD$25</formula>
    </cfRule>
  </conditionalFormatting>
  <dataValidations count="3">
    <dataValidation type="decimal" allowBlank="1" showInputMessage="1" showErrorMessage="1" errorTitle="GSHSP SY 2022-2023" error="Please enter valid amount between 0-1,000,000.00." sqref="X11:AD11" xr:uid="{655A13B4-105A-4DCD-8BE8-0A09BA55ECD9}">
      <formula1>0</formula1>
      <formula2>1000000</formula2>
    </dataValidation>
    <dataValidation type="date" allowBlank="1" showInputMessage="1" showErrorMessage="1" errorTitle="GSHSP SY 2022-2023" error="Please enter date between January 1, 2022 to December 31, 2022." sqref="U22:Y22" xr:uid="{2C22F832-552E-4763-8A5B-455908A087E3}">
      <formula1>44562</formula1>
      <formula2>44926</formula2>
    </dataValidation>
    <dataValidation type="whole" allowBlank="1" showInputMessage="1" showErrorMessage="1" errorTitle="GSHSP SY 2022-2023" error="Please enter valid number between 0-999." sqref="M40:AA41 AG40:AK41" xr:uid="{E99DDE63-EF14-4916-B67A-A4B59255BBF3}">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46" orientation="portrait" r:id="rId2"/>
  <headerFooter>
    <oddFooter>&amp;L&amp;10&amp;F &amp;A&amp;R&amp;10Page 29 of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68609" r:id="rId5" name="Check Box 1">
              <controlPr defaultSize="0" autoFill="0" autoLine="0" autoPict="0">
                <anchor moveWithCells="1">
                  <from>
                    <xdr:col>29</xdr:col>
                    <xdr:colOff>28575</xdr:colOff>
                    <xdr:row>4</xdr:row>
                    <xdr:rowOff>9525</xdr:rowOff>
                  </from>
                  <to>
                    <xdr:col>29</xdr:col>
                    <xdr:colOff>266700</xdr:colOff>
                    <xdr:row>5</xdr:row>
                    <xdr:rowOff>9525</xdr:rowOff>
                  </to>
                </anchor>
              </controlPr>
            </control>
          </mc:Choice>
        </mc:AlternateContent>
        <mc:AlternateContent xmlns:mc="http://schemas.openxmlformats.org/markup-compatibility/2006">
          <mc:Choice Requires="x14">
            <control shapeId="68610" r:id="rId6" name="Check Box 2">
              <controlPr defaultSize="0" autoFill="0" autoLine="0" autoPict="0">
                <anchor moveWithCells="1">
                  <from>
                    <xdr:col>33</xdr:col>
                    <xdr:colOff>28575</xdr:colOff>
                    <xdr:row>4</xdr:row>
                    <xdr:rowOff>0</xdr:rowOff>
                  </from>
                  <to>
                    <xdr:col>33</xdr:col>
                    <xdr:colOff>257175</xdr:colOff>
                    <xdr:row>5</xdr:row>
                    <xdr:rowOff>9525</xdr:rowOff>
                  </to>
                </anchor>
              </controlPr>
            </control>
          </mc:Choice>
        </mc:AlternateContent>
        <mc:AlternateContent xmlns:mc="http://schemas.openxmlformats.org/markup-compatibility/2006">
          <mc:Choice Requires="x14">
            <control shapeId="68611" r:id="rId7" name="Check Box 3">
              <controlPr defaultSize="0" autoFill="0" autoLine="0" autoPict="0">
                <anchor moveWithCells="1">
                  <from>
                    <xdr:col>9</xdr:col>
                    <xdr:colOff>28575</xdr:colOff>
                    <xdr:row>6</xdr:row>
                    <xdr:rowOff>238125</xdr:rowOff>
                  </from>
                  <to>
                    <xdr:col>9</xdr:col>
                    <xdr:colOff>257175</xdr:colOff>
                    <xdr:row>7</xdr:row>
                    <xdr:rowOff>238125</xdr:rowOff>
                  </to>
                </anchor>
              </controlPr>
            </control>
          </mc:Choice>
        </mc:AlternateContent>
        <mc:AlternateContent xmlns:mc="http://schemas.openxmlformats.org/markup-compatibility/2006">
          <mc:Choice Requires="x14">
            <control shapeId="68612" r:id="rId8" name="Check Box 4">
              <controlPr defaultSize="0" autoFill="0" autoLine="0" autoPict="0">
                <anchor moveWithCells="1">
                  <from>
                    <xdr:col>9</xdr:col>
                    <xdr:colOff>28575</xdr:colOff>
                    <xdr:row>8</xdr:row>
                    <xdr:rowOff>9525</xdr:rowOff>
                  </from>
                  <to>
                    <xdr:col>10</xdr:col>
                    <xdr:colOff>28575</xdr:colOff>
                    <xdr:row>8</xdr:row>
                    <xdr:rowOff>219075</xdr:rowOff>
                  </to>
                </anchor>
              </controlPr>
            </control>
          </mc:Choice>
        </mc:AlternateContent>
        <mc:AlternateContent xmlns:mc="http://schemas.openxmlformats.org/markup-compatibility/2006">
          <mc:Choice Requires="x14">
            <control shapeId="68613" r:id="rId9" name="Check Box 5">
              <controlPr defaultSize="0" autoFill="0" autoLine="0" autoPict="0">
                <anchor moveWithCells="1">
                  <from>
                    <xdr:col>9</xdr:col>
                    <xdr:colOff>38100</xdr:colOff>
                    <xdr:row>9</xdr:row>
                    <xdr:rowOff>9525</xdr:rowOff>
                  </from>
                  <to>
                    <xdr:col>10</xdr:col>
                    <xdr:colOff>28575</xdr:colOff>
                    <xdr:row>9</xdr:row>
                    <xdr:rowOff>219075</xdr:rowOff>
                  </to>
                </anchor>
              </controlPr>
            </control>
          </mc:Choice>
        </mc:AlternateContent>
        <mc:AlternateContent xmlns:mc="http://schemas.openxmlformats.org/markup-compatibility/2006">
          <mc:Choice Requires="x14">
            <control shapeId="68614" r:id="rId10" name="Check Box 6">
              <controlPr defaultSize="0" autoFill="0" autoLine="0" autoPict="0">
                <anchor moveWithCells="1">
                  <from>
                    <xdr:col>23</xdr:col>
                    <xdr:colOff>28575</xdr:colOff>
                    <xdr:row>7</xdr:row>
                    <xdr:rowOff>28575</xdr:rowOff>
                  </from>
                  <to>
                    <xdr:col>23</xdr:col>
                    <xdr:colOff>266700</xdr:colOff>
                    <xdr:row>7</xdr:row>
                    <xdr:rowOff>219075</xdr:rowOff>
                  </to>
                </anchor>
              </controlPr>
            </control>
          </mc:Choice>
        </mc:AlternateContent>
        <mc:AlternateContent xmlns:mc="http://schemas.openxmlformats.org/markup-compatibility/2006">
          <mc:Choice Requires="x14">
            <control shapeId="68615" r:id="rId11" name="Check Box 7">
              <controlPr defaultSize="0" autoFill="0" autoLine="0" autoPict="0">
                <anchor moveWithCells="1">
                  <from>
                    <xdr:col>23</xdr:col>
                    <xdr:colOff>28575</xdr:colOff>
                    <xdr:row>8</xdr:row>
                    <xdr:rowOff>28575</xdr:rowOff>
                  </from>
                  <to>
                    <xdr:col>23</xdr:col>
                    <xdr:colOff>238125</xdr:colOff>
                    <xdr:row>8</xdr:row>
                    <xdr:rowOff>219075</xdr:rowOff>
                  </to>
                </anchor>
              </controlPr>
            </control>
          </mc:Choice>
        </mc:AlternateContent>
        <mc:AlternateContent xmlns:mc="http://schemas.openxmlformats.org/markup-compatibility/2006">
          <mc:Choice Requires="x14">
            <control shapeId="68616" r:id="rId12" name="Check Box 8">
              <controlPr defaultSize="0" autoFill="0" autoLine="0" autoPict="0">
                <anchor moveWithCells="1">
                  <from>
                    <xdr:col>9</xdr:col>
                    <xdr:colOff>28575</xdr:colOff>
                    <xdr:row>12</xdr:row>
                    <xdr:rowOff>9525</xdr:rowOff>
                  </from>
                  <to>
                    <xdr:col>9</xdr:col>
                    <xdr:colOff>238125</xdr:colOff>
                    <xdr:row>12</xdr:row>
                    <xdr:rowOff>228600</xdr:rowOff>
                  </to>
                </anchor>
              </controlPr>
            </control>
          </mc:Choice>
        </mc:AlternateContent>
        <mc:AlternateContent xmlns:mc="http://schemas.openxmlformats.org/markup-compatibility/2006">
          <mc:Choice Requires="x14">
            <control shapeId="68617" r:id="rId13" name="Check Box 9">
              <controlPr defaultSize="0" autoFill="0" autoLine="0" autoPict="0">
                <anchor moveWithCells="1">
                  <from>
                    <xdr:col>9</xdr:col>
                    <xdr:colOff>28575</xdr:colOff>
                    <xdr:row>13</xdr:row>
                    <xdr:rowOff>9525</xdr:rowOff>
                  </from>
                  <to>
                    <xdr:col>9</xdr:col>
                    <xdr:colOff>257175</xdr:colOff>
                    <xdr:row>13</xdr:row>
                    <xdr:rowOff>200025</xdr:rowOff>
                  </to>
                </anchor>
              </controlPr>
            </control>
          </mc:Choice>
        </mc:AlternateContent>
        <mc:AlternateContent xmlns:mc="http://schemas.openxmlformats.org/markup-compatibility/2006">
          <mc:Choice Requires="x14">
            <control shapeId="68618" r:id="rId14" name="Check Box 10">
              <controlPr defaultSize="0" autoFill="0" autoLine="0" autoPict="0">
                <anchor moveWithCells="1">
                  <from>
                    <xdr:col>9</xdr:col>
                    <xdr:colOff>28575</xdr:colOff>
                    <xdr:row>14</xdr:row>
                    <xdr:rowOff>0</xdr:rowOff>
                  </from>
                  <to>
                    <xdr:col>10</xdr:col>
                    <xdr:colOff>9525</xdr:colOff>
                    <xdr:row>14</xdr:row>
                    <xdr:rowOff>219075</xdr:rowOff>
                  </to>
                </anchor>
              </controlPr>
            </control>
          </mc:Choice>
        </mc:AlternateContent>
        <mc:AlternateContent xmlns:mc="http://schemas.openxmlformats.org/markup-compatibility/2006">
          <mc:Choice Requires="x14">
            <control shapeId="68619" r:id="rId15" name="Check Box 11">
              <controlPr defaultSize="0" autoFill="0" autoLine="0" autoPict="0">
                <anchor moveWithCells="1">
                  <from>
                    <xdr:col>23</xdr:col>
                    <xdr:colOff>28575</xdr:colOff>
                    <xdr:row>12</xdr:row>
                    <xdr:rowOff>28575</xdr:rowOff>
                  </from>
                  <to>
                    <xdr:col>23</xdr:col>
                    <xdr:colOff>257175</xdr:colOff>
                    <xdr:row>12</xdr:row>
                    <xdr:rowOff>228600</xdr:rowOff>
                  </to>
                </anchor>
              </controlPr>
            </control>
          </mc:Choice>
        </mc:AlternateContent>
        <mc:AlternateContent xmlns:mc="http://schemas.openxmlformats.org/markup-compatibility/2006">
          <mc:Choice Requires="x14">
            <control shapeId="68620" r:id="rId16" name="Check Box 12">
              <controlPr defaultSize="0" autoFill="0" autoLine="0" autoPict="0">
                <anchor moveWithCells="1">
                  <from>
                    <xdr:col>23</xdr:col>
                    <xdr:colOff>28575</xdr:colOff>
                    <xdr:row>13</xdr:row>
                    <xdr:rowOff>28575</xdr:rowOff>
                  </from>
                  <to>
                    <xdr:col>23</xdr:col>
                    <xdr:colOff>257175</xdr:colOff>
                    <xdr:row>13</xdr:row>
                    <xdr:rowOff>219075</xdr:rowOff>
                  </to>
                </anchor>
              </controlPr>
            </control>
          </mc:Choice>
        </mc:AlternateContent>
        <mc:AlternateContent xmlns:mc="http://schemas.openxmlformats.org/markup-compatibility/2006">
          <mc:Choice Requires="x14">
            <control shapeId="68621" r:id="rId17" name="Check Box 13">
              <controlPr defaultSize="0" autoFill="0" autoLine="0" autoPict="0">
                <anchor moveWithCells="1">
                  <from>
                    <xdr:col>23</xdr:col>
                    <xdr:colOff>28575</xdr:colOff>
                    <xdr:row>14</xdr:row>
                    <xdr:rowOff>0</xdr:rowOff>
                  </from>
                  <to>
                    <xdr:col>23</xdr:col>
                    <xdr:colOff>257175</xdr:colOff>
                    <xdr:row>15</xdr:row>
                    <xdr:rowOff>0</xdr:rowOff>
                  </to>
                </anchor>
              </controlPr>
            </control>
          </mc:Choice>
        </mc:AlternateContent>
        <mc:AlternateContent xmlns:mc="http://schemas.openxmlformats.org/markup-compatibility/2006">
          <mc:Choice Requires="x14">
            <control shapeId="68622" r:id="rId18" name="Check Box 14">
              <controlPr defaultSize="0" autoFill="0" autoLine="0" autoPict="0">
                <anchor moveWithCells="1">
                  <from>
                    <xdr:col>29</xdr:col>
                    <xdr:colOff>28575</xdr:colOff>
                    <xdr:row>15</xdr:row>
                    <xdr:rowOff>28575</xdr:rowOff>
                  </from>
                  <to>
                    <xdr:col>29</xdr:col>
                    <xdr:colOff>266700</xdr:colOff>
                    <xdr:row>16</xdr:row>
                    <xdr:rowOff>9525</xdr:rowOff>
                  </to>
                </anchor>
              </controlPr>
            </control>
          </mc:Choice>
        </mc:AlternateContent>
        <mc:AlternateContent xmlns:mc="http://schemas.openxmlformats.org/markup-compatibility/2006">
          <mc:Choice Requires="x14">
            <control shapeId="68623" r:id="rId19" name="Check Box 15">
              <controlPr defaultSize="0" autoFill="0" autoLine="0" autoPict="0">
                <anchor moveWithCells="1">
                  <from>
                    <xdr:col>29</xdr:col>
                    <xdr:colOff>28575</xdr:colOff>
                    <xdr:row>16</xdr:row>
                    <xdr:rowOff>9525</xdr:rowOff>
                  </from>
                  <to>
                    <xdr:col>29</xdr:col>
                    <xdr:colOff>257175</xdr:colOff>
                    <xdr:row>16</xdr:row>
                    <xdr:rowOff>238125</xdr:rowOff>
                  </to>
                </anchor>
              </controlPr>
            </control>
          </mc:Choice>
        </mc:AlternateContent>
        <mc:AlternateContent xmlns:mc="http://schemas.openxmlformats.org/markup-compatibility/2006">
          <mc:Choice Requires="x14">
            <control shapeId="68624" r:id="rId20" name="Check Box 16">
              <controlPr defaultSize="0" autoFill="0" autoLine="0" autoPict="0">
                <anchor moveWithCells="1">
                  <from>
                    <xdr:col>29</xdr:col>
                    <xdr:colOff>28575</xdr:colOff>
                    <xdr:row>17</xdr:row>
                    <xdr:rowOff>28575</xdr:rowOff>
                  </from>
                  <to>
                    <xdr:col>29</xdr:col>
                    <xdr:colOff>266700</xdr:colOff>
                    <xdr:row>17</xdr:row>
                    <xdr:rowOff>257175</xdr:rowOff>
                  </to>
                </anchor>
              </controlPr>
            </control>
          </mc:Choice>
        </mc:AlternateContent>
        <mc:AlternateContent xmlns:mc="http://schemas.openxmlformats.org/markup-compatibility/2006">
          <mc:Choice Requires="x14">
            <control shapeId="68625" r:id="rId21" name="Check Box 17">
              <controlPr defaultSize="0" autoFill="0" autoLine="0" autoPict="0">
                <anchor moveWithCells="1">
                  <from>
                    <xdr:col>33</xdr:col>
                    <xdr:colOff>28575</xdr:colOff>
                    <xdr:row>15</xdr:row>
                    <xdr:rowOff>47625</xdr:rowOff>
                  </from>
                  <to>
                    <xdr:col>33</xdr:col>
                    <xdr:colOff>257175</xdr:colOff>
                    <xdr:row>16</xdr:row>
                    <xdr:rowOff>9525</xdr:rowOff>
                  </to>
                </anchor>
              </controlPr>
            </control>
          </mc:Choice>
        </mc:AlternateContent>
        <mc:AlternateContent xmlns:mc="http://schemas.openxmlformats.org/markup-compatibility/2006">
          <mc:Choice Requires="x14">
            <control shapeId="68626" r:id="rId22" name="Check Box 18">
              <controlPr defaultSize="0" autoFill="0" autoLine="0" autoPict="0">
                <anchor moveWithCells="1">
                  <from>
                    <xdr:col>33</xdr:col>
                    <xdr:colOff>28575</xdr:colOff>
                    <xdr:row>16</xdr:row>
                    <xdr:rowOff>47625</xdr:rowOff>
                  </from>
                  <to>
                    <xdr:col>33</xdr:col>
                    <xdr:colOff>238125</xdr:colOff>
                    <xdr:row>16</xdr:row>
                    <xdr:rowOff>238125</xdr:rowOff>
                  </to>
                </anchor>
              </controlPr>
            </control>
          </mc:Choice>
        </mc:AlternateContent>
        <mc:AlternateContent xmlns:mc="http://schemas.openxmlformats.org/markup-compatibility/2006">
          <mc:Choice Requires="x14">
            <control shapeId="68627" r:id="rId23" name="Check Box 19">
              <controlPr defaultSize="0" autoFill="0" autoLine="0" autoPict="0">
                <anchor moveWithCells="1">
                  <from>
                    <xdr:col>33</xdr:col>
                    <xdr:colOff>28575</xdr:colOff>
                    <xdr:row>17</xdr:row>
                    <xdr:rowOff>9525</xdr:rowOff>
                  </from>
                  <to>
                    <xdr:col>34</xdr:col>
                    <xdr:colOff>28575</xdr:colOff>
                    <xdr:row>18</xdr:row>
                    <xdr:rowOff>9525</xdr:rowOff>
                  </to>
                </anchor>
              </controlPr>
            </control>
          </mc:Choice>
        </mc:AlternateContent>
        <mc:AlternateContent xmlns:mc="http://schemas.openxmlformats.org/markup-compatibility/2006">
          <mc:Choice Requires="x14">
            <control shapeId="68628" r:id="rId24" name="Check Box 20">
              <controlPr defaultSize="0" autoFill="0" autoLine="0" autoPict="0">
                <anchor moveWithCells="1">
                  <from>
                    <xdr:col>9</xdr:col>
                    <xdr:colOff>28575</xdr:colOff>
                    <xdr:row>19</xdr:row>
                    <xdr:rowOff>28575</xdr:rowOff>
                  </from>
                  <to>
                    <xdr:col>10</xdr:col>
                    <xdr:colOff>0</xdr:colOff>
                    <xdr:row>19</xdr:row>
                    <xdr:rowOff>219075</xdr:rowOff>
                  </to>
                </anchor>
              </controlPr>
            </control>
          </mc:Choice>
        </mc:AlternateContent>
        <mc:AlternateContent xmlns:mc="http://schemas.openxmlformats.org/markup-compatibility/2006">
          <mc:Choice Requires="x14">
            <control shapeId="68629" r:id="rId25" name="Check Box 21">
              <controlPr defaultSize="0" autoFill="0" autoLine="0" autoPict="0">
                <anchor moveWithCells="1">
                  <from>
                    <xdr:col>9</xdr:col>
                    <xdr:colOff>28575</xdr:colOff>
                    <xdr:row>20</xdr:row>
                    <xdr:rowOff>28575</xdr:rowOff>
                  </from>
                  <to>
                    <xdr:col>10</xdr:col>
                    <xdr:colOff>0</xdr:colOff>
                    <xdr:row>21</xdr:row>
                    <xdr:rowOff>0</xdr:rowOff>
                  </to>
                </anchor>
              </controlPr>
            </control>
          </mc:Choice>
        </mc:AlternateContent>
        <mc:AlternateContent xmlns:mc="http://schemas.openxmlformats.org/markup-compatibility/2006">
          <mc:Choice Requires="x14">
            <control shapeId="68630" r:id="rId26" name="Check Box 22">
              <controlPr defaultSize="0" autoFill="0" autoLine="0" autoPict="0">
                <anchor moveWithCells="1">
                  <from>
                    <xdr:col>23</xdr:col>
                    <xdr:colOff>28575</xdr:colOff>
                    <xdr:row>19</xdr:row>
                    <xdr:rowOff>9525</xdr:rowOff>
                  </from>
                  <to>
                    <xdr:col>23</xdr:col>
                    <xdr:colOff>228600</xdr:colOff>
                    <xdr:row>19</xdr:row>
                    <xdr:rowOff>228600</xdr:rowOff>
                  </to>
                </anchor>
              </controlPr>
            </control>
          </mc:Choice>
        </mc:AlternateContent>
        <mc:AlternateContent xmlns:mc="http://schemas.openxmlformats.org/markup-compatibility/2006">
          <mc:Choice Requires="x14">
            <control shapeId="68631" r:id="rId27" name="Check Box 23">
              <controlPr defaultSize="0" autoFill="0" autoLine="0" autoPict="0">
                <anchor moveWithCells="1">
                  <from>
                    <xdr:col>23</xdr:col>
                    <xdr:colOff>28575</xdr:colOff>
                    <xdr:row>20</xdr:row>
                    <xdr:rowOff>28575</xdr:rowOff>
                  </from>
                  <to>
                    <xdr:col>24</xdr:col>
                    <xdr:colOff>28575</xdr:colOff>
                    <xdr:row>20</xdr:row>
                    <xdr:rowOff>219075</xdr:rowOff>
                  </to>
                </anchor>
              </controlPr>
            </control>
          </mc:Choice>
        </mc:AlternateContent>
        <mc:AlternateContent xmlns:mc="http://schemas.openxmlformats.org/markup-compatibility/2006">
          <mc:Choice Requires="x14">
            <control shapeId="68632" r:id="rId28" name="Check Box 24">
              <controlPr defaultSize="0" autoFill="0" autoLine="0" autoPict="0">
                <anchor moveWithCells="1">
                  <from>
                    <xdr:col>29</xdr:col>
                    <xdr:colOff>28575</xdr:colOff>
                    <xdr:row>22</xdr:row>
                    <xdr:rowOff>28575</xdr:rowOff>
                  </from>
                  <to>
                    <xdr:col>29</xdr:col>
                    <xdr:colOff>257175</xdr:colOff>
                    <xdr:row>23</xdr:row>
                    <xdr:rowOff>9525</xdr:rowOff>
                  </to>
                </anchor>
              </controlPr>
            </control>
          </mc:Choice>
        </mc:AlternateContent>
        <mc:AlternateContent xmlns:mc="http://schemas.openxmlformats.org/markup-compatibility/2006">
          <mc:Choice Requires="x14">
            <control shapeId="68633" r:id="rId29" name="Check Box 25">
              <controlPr defaultSize="0" autoFill="0" autoLine="0" autoPict="0">
                <anchor moveWithCells="1">
                  <from>
                    <xdr:col>29</xdr:col>
                    <xdr:colOff>28575</xdr:colOff>
                    <xdr:row>24</xdr:row>
                    <xdr:rowOff>28575</xdr:rowOff>
                  </from>
                  <to>
                    <xdr:col>29</xdr:col>
                    <xdr:colOff>266700</xdr:colOff>
                    <xdr:row>24</xdr:row>
                    <xdr:rowOff>238125</xdr:rowOff>
                  </to>
                </anchor>
              </controlPr>
            </control>
          </mc:Choice>
        </mc:AlternateContent>
        <mc:AlternateContent xmlns:mc="http://schemas.openxmlformats.org/markup-compatibility/2006">
          <mc:Choice Requires="x14">
            <control shapeId="68634" r:id="rId30" name="Check Box 26">
              <controlPr defaultSize="0" autoFill="0" autoLine="0" autoPict="0">
                <anchor moveWithCells="1">
                  <from>
                    <xdr:col>33</xdr:col>
                    <xdr:colOff>28575</xdr:colOff>
                    <xdr:row>22</xdr:row>
                    <xdr:rowOff>28575</xdr:rowOff>
                  </from>
                  <to>
                    <xdr:col>34</xdr:col>
                    <xdr:colOff>0</xdr:colOff>
                    <xdr:row>23</xdr:row>
                    <xdr:rowOff>9525</xdr:rowOff>
                  </to>
                </anchor>
              </controlPr>
            </control>
          </mc:Choice>
        </mc:AlternateContent>
        <mc:AlternateContent xmlns:mc="http://schemas.openxmlformats.org/markup-compatibility/2006">
          <mc:Choice Requires="x14">
            <control shapeId="68635" r:id="rId31" name="Check Box 27">
              <controlPr defaultSize="0" autoFill="0" autoLine="0" autoPict="0">
                <anchor moveWithCells="1">
                  <from>
                    <xdr:col>33</xdr:col>
                    <xdr:colOff>28575</xdr:colOff>
                    <xdr:row>24</xdr:row>
                    <xdr:rowOff>28575</xdr:rowOff>
                  </from>
                  <to>
                    <xdr:col>33</xdr:col>
                    <xdr:colOff>266700</xdr:colOff>
                    <xdr:row>25</xdr:row>
                    <xdr:rowOff>9525</xdr:rowOff>
                  </to>
                </anchor>
              </controlPr>
            </control>
          </mc:Choice>
        </mc:AlternateContent>
        <mc:AlternateContent xmlns:mc="http://schemas.openxmlformats.org/markup-compatibility/2006">
          <mc:Choice Requires="x14">
            <control shapeId="68636" r:id="rId32" name="Check Box 28">
              <controlPr defaultSize="0" autoFill="0" autoLine="0" autoPict="0">
                <anchor moveWithCells="1">
                  <from>
                    <xdr:col>9</xdr:col>
                    <xdr:colOff>28575</xdr:colOff>
                    <xdr:row>26</xdr:row>
                    <xdr:rowOff>28575</xdr:rowOff>
                  </from>
                  <to>
                    <xdr:col>9</xdr:col>
                    <xdr:colOff>219075</xdr:colOff>
                    <xdr:row>26</xdr:row>
                    <xdr:rowOff>219075</xdr:rowOff>
                  </to>
                </anchor>
              </controlPr>
            </control>
          </mc:Choice>
        </mc:AlternateContent>
        <mc:AlternateContent xmlns:mc="http://schemas.openxmlformats.org/markup-compatibility/2006">
          <mc:Choice Requires="x14">
            <control shapeId="68637" r:id="rId33" name="Check Box 29">
              <controlPr defaultSize="0" autoFill="0" autoLine="0" autoPict="0">
                <anchor moveWithCells="1">
                  <from>
                    <xdr:col>9</xdr:col>
                    <xdr:colOff>38100</xdr:colOff>
                    <xdr:row>27</xdr:row>
                    <xdr:rowOff>9525</xdr:rowOff>
                  </from>
                  <to>
                    <xdr:col>9</xdr:col>
                    <xdr:colOff>228600</xdr:colOff>
                    <xdr:row>27</xdr:row>
                    <xdr:rowOff>238125</xdr:rowOff>
                  </to>
                </anchor>
              </controlPr>
            </control>
          </mc:Choice>
        </mc:AlternateContent>
        <mc:AlternateContent xmlns:mc="http://schemas.openxmlformats.org/markup-compatibility/2006">
          <mc:Choice Requires="x14">
            <control shapeId="68638" r:id="rId34" name="Check Box 30">
              <controlPr defaultSize="0" autoFill="0" autoLine="0" autoPict="0">
                <anchor moveWithCells="1">
                  <from>
                    <xdr:col>9</xdr:col>
                    <xdr:colOff>28575</xdr:colOff>
                    <xdr:row>28</xdr:row>
                    <xdr:rowOff>28575</xdr:rowOff>
                  </from>
                  <to>
                    <xdr:col>9</xdr:col>
                    <xdr:colOff>266700</xdr:colOff>
                    <xdr:row>28</xdr:row>
                    <xdr:rowOff>219075</xdr:rowOff>
                  </to>
                </anchor>
              </controlPr>
            </control>
          </mc:Choice>
        </mc:AlternateContent>
        <mc:AlternateContent xmlns:mc="http://schemas.openxmlformats.org/markup-compatibility/2006">
          <mc:Choice Requires="x14">
            <control shapeId="68639" r:id="rId35" name="Check Box 31">
              <controlPr defaultSize="0" autoFill="0" autoLine="0" autoPict="0">
                <anchor moveWithCells="1">
                  <from>
                    <xdr:col>9</xdr:col>
                    <xdr:colOff>28575</xdr:colOff>
                    <xdr:row>29</xdr:row>
                    <xdr:rowOff>9525</xdr:rowOff>
                  </from>
                  <to>
                    <xdr:col>9</xdr:col>
                    <xdr:colOff>257175</xdr:colOff>
                    <xdr:row>29</xdr:row>
                    <xdr:rowOff>238125</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8DA01-B12F-4015-BE1D-DFBD2F190999}">
  <sheetPr codeName="Sheet33">
    <tabColor rgb="FFFFFF00"/>
    <pageSetUpPr fitToPage="1"/>
  </sheetPr>
  <dimension ref="A1:BP55"/>
  <sheetViews>
    <sheetView showGridLines="0" zoomScaleNormal="100" workbookViewId="0">
      <selection sqref="A1:BN44"/>
    </sheetView>
  </sheetViews>
  <sheetFormatPr defaultColWidth="9" defaultRowHeight="15.75"/>
  <cols>
    <col min="1" max="1" width="2.125" style="44" customWidth="1"/>
    <col min="2" max="62" width="3.625" style="44" customWidth="1"/>
    <col min="63" max="63" width="2.125" style="44" customWidth="1"/>
    <col min="64" max="67" width="3.625" style="44" customWidth="1"/>
    <col min="68" max="16384" width="9" style="44"/>
  </cols>
  <sheetData>
    <row r="1" spans="1:68"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c r="AY1" s="434"/>
      <c r="AZ1" s="434"/>
      <c r="BA1" s="434"/>
      <c r="BB1" s="434"/>
      <c r="BC1" s="434"/>
      <c r="BD1" s="434"/>
      <c r="BE1" s="434"/>
      <c r="BF1" s="434"/>
      <c r="BG1" s="434"/>
      <c r="BH1" s="434"/>
      <c r="BI1" s="434"/>
      <c r="BJ1" s="434"/>
      <c r="BK1" s="434"/>
      <c r="BL1" s="434"/>
      <c r="BM1" s="434"/>
      <c r="BN1" s="434"/>
      <c r="BO1" s="434"/>
      <c r="BP1" s="434"/>
    </row>
    <row r="2" spans="1:68" s="40" customFormat="1" ht="19.5">
      <c r="A2" s="582"/>
      <c r="B2" s="683" t="s">
        <v>11409</v>
      </c>
      <c r="C2" s="582"/>
      <c r="D2" s="582"/>
      <c r="E2" s="582"/>
      <c r="F2" s="582"/>
      <c r="G2" s="582"/>
      <c r="H2" s="582"/>
      <c r="I2" s="582"/>
      <c r="J2" s="582"/>
      <c r="K2" s="582"/>
      <c r="L2" s="582"/>
      <c r="M2" s="625"/>
      <c r="N2" s="582"/>
      <c r="O2" s="625"/>
      <c r="P2" s="582"/>
      <c r="Q2" s="582"/>
      <c r="R2" s="582"/>
      <c r="S2" s="582"/>
      <c r="T2" s="582"/>
      <c r="U2" s="582"/>
      <c r="V2" s="582"/>
      <c r="W2" s="582"/>
      <c r="X2" s="582"/>
      <c r="Y2" s="582"/>
      <c r="Z2" s="582"/>
      <c r="AA2" s="582"/>
      <c r="AB2" s="582"/>
      <c r="AC2" s="645"/>
      <c r="AD2" s="645"/>
      <c r="AE2" s="645"/>
      <c r="AF2" s="645"/>
      <c r="AG2" s="645"/>
      <c r="AH2" s="645"/>
      <c r="AI2" s="645"/>
      <c r="AJ2" s="645"/>
      <c r="AK2" s="645"/>
      <c r="AL2" s="645"/>
      <c r="AM2" s="645"/>
      <c r="AN2" s="645"/>
      <c r="AO2" s="645"/>
      <c r="AP2" s="645"/>
      <c r="AQ2" s="645"/>
      <c r="AR2" s="582"/>
      <c r="AS2" s="582"/>
      <c r="AT2" s="582"/>
      <c r="AU2" s="582"/>
      <c r="AV2" s="582"/>
      <c r="AW2" s="582"/>
      <c r="AX2" s="582"/>
      <c r="AY2" s="582"/>
      <c r="AZ2" s="582"/>
      <c r="BA2" s="582"/>
      <c r="BB2" s="582"/>
      <c r="BC2" s="582"/>
      <c r="BD2" s="582"/>
      <c r="BE2" s="582"/>
      <c r="BF2" s="582"/>
      <c r="BG2" s="582"/>
      <c r="BH2" s="582"/>
      <c r="BI2" s="582"/>
      <c r="BJ2" s="582"/>
      <c r="BK2" s="582"/>
      <c r="BL2" s="582"/>
      <c r="BM2" s="582"/>
      <c r="BN2" s="582"/>
      <c r="BO2" s="582"/>
      <c r="BP2" s="582"/>
    </row>
    <row r="3" spans="1:68" s="40" customFormat="1" ht="16.350000000000001" customHeight="1" thickBot="1">
      <c r="A3" s="582"/>
      <c r="B3" s="976" t="s">
        <v>1016</v>
      </c>
      <c r="C3" s="582"/>
      <c r="D3" s="582"/>
      <c r="E3" s="582"/>
      <c r="F3" s="582"/>
      <c r="G3" s="582"/>
      <c r="H3" s="582"/>
      <c r="I3" s="582"/>
      <c r="J3" s="582"/>
      <c r="K3" s="582"/>
      <c r="L3" s="582"/>
      <c r="M3" s="625"/>
      <c r="N3" s="582"/>
      <c r="O3" s="625"/>
      <c r="P3" s="582"/>
      <c r="Q3" s="582"/>
      <c r="R3" s="582"/>
      <c r="S3" s="582"/>
      <c r="T3" s="582"/>
      <c r="U3" s="582"/>
      <c r="V3" s="582"/>
      <c r="W3" s="582"/>
      <c r="X3" s="582"/>
      <c r="Y3" s="582"/>
      <c r="Z3" s="582"/>
      <c r="AA3" s="582"/>
      <c r="AB3" s="582"/>
      <c r="AC3" s="645"/>
      <c r="AD3" s="645"/>
      <c r="AE3" s="645"/>
      <c r="AF3" s="645"/>
      <c r="AG3" s="645"/>
      <c r="AH3" s="645"/>
      <c r="AI3" s="645"/>
      <c r="AJ3" s="645"/>
      <c r="AK3" s="645"/>
      <c r="AL3" s="645"/>
      <c r="AM3" s="645"/>
      <c r="AN3" s="645"/>
      <c r="AO3" s="645"/>
      <c r="AP3" s="645"/>
      <c r="AQ3" s="645"/>
      <c r="AR3" s="582"/>
      <c r="AS3" s="582"/>
      <c r="AT3" s="582"/>
      <c r="AU3" s="582"/>
      <c r="AV3" s="582"/>
      <c r="AW3" s="582"/>
      <c r="AX3" s="582"/>
      <c r="AY3" s="582"/>
      <c r="AZ3" s="582"/>
      <c r="BA3" s="582"/>
      <c r="BB3" s="582"/>
      <c r="BC3" s="582"/>
      <c r="BD3" s="582"/>
      <c r="BE3" s="582"/>
      <c r="BF3" s="582"/>
      <c r="BG3" s="582"/>
      <c r="BH3" s="582"/>
      <c r="BI3" s="582"/>
      <c r="BJ3" s="582"/>
      <c r="BK3" s="582"/>
      <c r="BL3" s="582"/>
      <c r="BM3" s="582"/>
      <c r="BN3" s="582"/>
      <c r="BO3" s="582"/>
      <c r="BP3" s="582"/>
    </row>
    <row r="4" spans="1:68" s="40" customFormat="1" ht="15.75" customHeight="1">
      <c r="A4" s="582"/>
      <c r="B4" s="2660" t="s">
        <v>580</v>
      </c>
      <c r="C4" s="2661"/>
      <c r="D4" s="2661"/>
      <c r="E4" s="2661"/>
      <c r="F4" s="2661"/>
      <c r="G4" s="2661"/>
      <c r="H4" s="2661"/>
      <c r="I4" s="2661"/>
      <c r="J4" s="2661"/>
      <c r="K4" s="2661"/>
      <c r="L4" s="2661"/>
      <c r="M4" s="2661"/>
      <c r="N4" s="2661"/>
      <c r="O4" s="2661"/>
      <c r="P4" s="2662"/>
      <c r="Q4" s="2893" t="s">
        <v>43</v>
      </c>
      <c r="R4" s="2894"/>
      <c r="S4" s="2894"/>
      <c r="T4" s="2894"/>
      <c r="U4" s="3096"/>
      <c r="V4" s="3100" t="s">
        <v>44</v>
      </c>
      <c r="W4" s="3101"/>
      <c r="X4" s="3101"/>
      <c r="Y4" s="3101"/>
      <c r="Z4" s="3102"/>
      <c r="AA4" s="3106" t="s">
        <v>579</v>
      </c>
      <c r="AB4" s="3107"/>
      <c r="AC4" s="3107"/>
      <c r="AD4" s="3107"/>
      <c r="AE4" s="3108"/>
      <c r="AF4" s="588"/>
      <c r="AG4" s="582"/>
      <c r="AH4" s="582"/>
      <c r="AI4" s="582"/>
      <c r="AJ4" s="582"/>
      <c r="AK4" s="582"/>
      <c r="AL4" s="582"/>
      <c r="AM4" s="582"/>
      <c r="AN4" s="582"/>
      <c r="AO4" s="582"/>
      <c r="AP4" s="582"/>
      <c r="AQ4" s="582"/>
      <c r="AR4" s="582"/>
      <c r="AS4" s="582"/>
      <c r="AT4" s="582"/>
      <c r="AU4" s="582"/>
      <c r="AV4" s="582"/>
      <c r="AW4" s="582"/>
      <c r="AX4" s="582"/>
      <c r="AY4" s="582"/>
      <c r="AZ4" s="582"/>
      <c r="BA4" s="582"/>
      <c r="BB4" s="582"/>
      <c r="BC4" s="582"/>
      <c r="BD4" s="582"/>
      <c r="BE4" s="582"/>
      <c r="BF4" s="582"/>
      <c r="BG4" s="582"/>
      <c r="BH4" s="582"/>
      <c r="BI4" s="582"/>
      <c r="BJ4" s="582"/>
      <c r="BK4" s="582"/>
      <c r="BL4" s="582"/>
      <c r="BM4" s="582"/>
      <c r="BN4" s="582"/>
      <c r="BO4" s="582"/>
      <c r="BP4" s="582"/>
    </row>
    <row r="5" spans="1:68" s="40" customFormat="1" ht="16.5" thickBot="1">
      <c r="A5" s="582"/>
      <c r="B5" s="2663"/>
      <c r="C5" s="2664"/>
      <c r="D5" s="2664"/>
      <c r="E5" s="2664"/>
      <c r="F5" s="2664"/>
      <c r="G5" s="2664"/>
      <c r="H5" s="2664"/>
      <c r="I5" s="2664"/>
      <c r="J5" s="2664"/>
      <c r="K5" s="2664"/>
      <c r="L5" s="2664"/>
      <c r="M5" s="2664"/>
      <c r="N5" s="2664"/>
      <c r="O5" s="2664"/>
      <c r="P5" s="2665"/>
      <c r="Q5" s="3140"/>
      <c r="R5" s="3141"/>
      <c r="S5" s="3141"/>
      <c r="T5" s="3141"/>
      <c r="U5" s="3142"/>
      <c r="V5" s="3339"/>
      <c r="W5" s="3340"/>
      <c r="X5" s="3340"/>
      <c r="Y5" s="3340"/>
      <c r="Z5" s="3341"/>
      <c r="AA5" s="3342"/>
      <c r="AB5" s="3343"/>
      <c r="AC5" s="3343"/>
      <c r="AD5" s="3343"/>
      <c r="AE5" s="3344"/>
      <c r="AF5" s="582"/>
      <c r="AG5" s="582"/>
      <c r="AH5" s="582"/>
      <c r="AI5" s="582"/>
      <c r="AJ5" s="582"/>
      <c r="AK5" s="582"/>
      <c r="AL5" s="582"/>
      <c r="AM5" s="582"/>
      <c r="AN5" s="582"/>
      <c r="AO5" s="582"/>
      <c r="AP5" s="582"/>
      <c r="AQ5" s="582"/>
      <c r="AR5" s="582"/>
      <c r="AS5" s="582"/>
      <c r="AT5" s="582"/>
      <c r="AU5" s="582"/>
      <c r="AV5" s="582"/>
      <c r="AW5" s="582"/>
      <c r="AX5" s="582"/>
      <c r="AY5" s="582"/>
      <c r="AZ5" s="582"/>
      <c r="BA5" s="582"/>
      <c r="BB5" s="582"/>
      <c r="BC5" s="582"/>
      <c r="BD5" s="582"/>
      <c r="BE5" s="582"/>
      <c r="BF5" s="582"/>
      <c r="BG5" s="582"/>
      <c r="BH5" s="582"/>
      <c r="BI5" s="582"/>
      <c r="BJ5" s="582"/>
      <c r="BK5" s="582"/>
      <c r="BL5" s="582"/>
      <c r="BM5" s="582"/>
      <c r="BN5" s="582"/>
      <c r="BO5" s="582"/>
      <c r="BP5" s="582"/>
    </row>
    <row r="6" spans="1:68" s="41" customFormat="1" ht="25.5" customHeight="1">
      <c r="A6" s="593"/>
      <c r="B6" s="3336" t="s">
        <v>621</v>
      </c>
      <c r="C6" s="3337"/>
      <c r="D6" s="3337"/>
      <c r="E6" s="3337"/>
      <c r="F6" s="3337"/>
      <c r="G6" s="3337"/>
      <c r="H6" s="3337"/>
      <c r="I6" s="3337"/>
      <c r="J6" s="3337"/>
      <c r="K6" s="3337"/>
      <c r="L6" s="3337"/>
      <c r="M6" s="3337"/>
      <c r="N6" s="3337"/>
      <c r="O6" s="3337"/>
      <c r="P6" s="3338"/>
      <c r="Q6" s="3126">
        <v>0</v>
      </c>
      <c r="R6" s="3127"/>
      <c r="S6" s="3127"/>
      <c r="T6" s="3127"/>
      <c r="U6" s="3130"/>
      <c r="V6" s="3126">
        <v>0</v>
      </c>
      <c r="W6" s="3127"/>
      <c r="X6" s="3127"/>
      <c r="Y6" s="3127"/>
      <c r="Z6" s="3131"/>
      <c r="AA6" s="3132">
        <f>SUM(Q6:Z6)</f>
        <v>0</v>
      </c>
      <c r="AB6" s="3133"/>
      <c r="AC6" s="3133"/>
      <c r="AD6" s="3133"/>
      <c r="AE6" s="3136"/>
      <c r="AF6" s="593"/>
      <c r="AG6" s="593"/>
      <c r="AH6" s="593"/>
      <c r="AI6" s="593"/>
      <c r="AJ6" s="593"/>
      <c r="AK6" s="593"/>
      <c r="AL6" s="593"/>
      <c r="AM6" s="593"/>
      <c r="AN6" s="593"/>
      <c r="AO6" s="593"/>
      <c r="AP6" s="593"/>
      <c r="AQ6" s="593"/>
      <c r="AR6" s="593"/>
      <c r="AS6" s="593"/>
      <c r="AT6" s="593"/>
      <c r="AU6" s="593"/>
      <c r="AV6" s="593"/>
      <c r="AW6" s="593"/>
      <c r="AX6" s="593"/>
      <c r="AY6" s="593"/>
      <c r="AZ6" s="593"/>
      <c r="BA6" s="593"/>
      <c r="BB6" s="593"/>
      <c r="BC6" s="593"/>
      <c r="BD6" s="593"/>
      <c r="BE6" s="593"/>
      <c r="BF6" s="593"/>
      <c r="BG6" s="593"/>
      <c r="BH6" s="593"/>
      <c r="BI6" s="593"/>
      <c r="BJ6" s="593"/>
      <c r="BK6" s="593"/>
      <c r="BL6" s="593"/>
      <c r="BM6" s="593"/>
      <c r="BN6" s="593"/>
      <c r="BO6" s="593"/>
      <c r="BP6" s="593"/>
    </row>
    <row r="7" spans="1:68" s="41" customFormat="1" ht="18" customHeight="1">
      <c r="A7" s="593"/>
      <c r="B7" s="3315" t="s">
        <v>1079</v>
      </c>
      <c r="C7" s="3316"/>
      <c r="D7" s="3316"/>
      <c r="E7" s="3316"/>
      <c r="F7" s="3316"/>
      <c r="G7" s="3316"/>
      <c r="H7" s="3316"/>
      <c r="I7" s="3316"/>
      <c r="J7" s="3316"/>
      <c r="K7" s="3316"/>
      <c r="L7" s="3316"/>
      <c r="M7" s="3316"/>
      <c r="N7" s="3316"/>
      <c r="O7" s="3316"/>
      <c r="P7" s="3317"/>
      <c r="Q7" s="3348"/>
      <c r="R7" s="3349"/>
      <c r="S7" s="3349"/>
      <c r="T7" s="3349"/>
      <c r="U7" s="3349"/>
      <c r="V7" s="3349"/>
      <c r="W7" s="3349"/>
      <c r="X7" s="3349"/>
      <c r="Y7" s="3349"/>
      <c r="Z7" s="3349"/>
      <c r="AA7" s="3349"/>
      <c r="AB7" s="3349"/>
      <c r="AC7" s="3349"/>
      <c r="AD7" s="3349"/>
      <c r="AE7" s="3350"/>
      <c r="AF7" s="593"/>
      <c r="AG7" s="593"/>
      <c r="AH7" s="593"/>
      <c r="AI7" s="593"/>
      <c r="AJ7" s="593"/>
      <c r="AK7" s="593"/>
      <c r="AL7" s="593"/>
      <c r="AM7" s="593"/>
      <c r="AN7" s="593"/>
      <c r="AO7" s="593"/>
      <c r="AP7" s="593"/>
      <c r="AQ7" s="593"/>
      <c r="AR7" s="593"/>
      <c r="AS7" s="593"/>
      <c r="AT7" s="593"/>
      <c r="AU7" s="593"/>
      <c r="AV7" s="593"/>
      <c r="AW7" s="593"/>
      <c r="AX7" s="593"/>
      <c r="AY7" s="593"/>
      <c r="AZ7" s="593"/>
      <c r="BA7" s="593"/>
      <c r="BB7" s="593"/>
      <c r="BC7" s="593"/>
      <c r="BD7" s="593"/>
      <c r="BE7" s="593"/>
      <c r="BF7" s="593"/>
      <c r="BG7" s="593"/>
      <c r="BH7" s="593"/>
      <c r="BI7" s="593"/>
      <c r="BJ7" s="593"/>
      <c r="BK7" s="593"/>
      <c r="BL7" s="593"/>
      <c r="BM7" s="593"/>
      <c r="BN7" s="593"/>
      <c r="BO7" s="593"/>
      <c r="BP7" s="593"/>
    </row>
    <row r="8" spans="1:68" s="41" customFormat="1" ht="25.5" customHeight="1">
      <c r="A8" s="593"/>
      <c r="B8" s="3345" t="s">
        <v>622</v>
      </c>
      <c r="C8" s="3346"/>
      <c r="D8" s="3346"/>
      <c r="E8" s="3346"/>
      <c r="F8" s="3346"/>
      <c r="G8" s="3346"/>
      <c r="H8" s="3346"/>
      <c r="I8" s="3346"/>
      <c r="J8" s="3346"/>
      <c r="K8" s="3346"/>
      <c r="L8" s="3346"/>
      <c r="M8" s="3346"/>
      <c r="N8" s="3346"/>
      <c r="O8" s="3346"/>
      <c r="P8" s="3347"/>
      <c r="Q8" s="3079">
        <v>0</v>
      </c>
      <c r="R8" s="3080"/>
      <c r="S8" s="3080"/>
      <c r="T8" s="3080"/>
      <c r="U8" s="3083"/>
      <c r="V8" s="3079">
        <v>0</v>
      </c>
      <c r="W8" s="3080"/>
      <c r="X8" s="3080"/>
      <c r="Y8" s="3080"/>
      <c r="Z8" s="3084"/>
      <c r="AA8" s="3085">
        <f>SUM(Q8:Z8)</f>
        <v>0</v>
      </c>
      <c r="AB8" s="3086"/>
      <c r="AC8" s="3086"/>
      <c r="AD8" s="3086"/>
      <c r="AE8" s="3089"/>
      <c r="AF8" s="593"/>
      <c r="AG8" s="593"/>
      <c r="AH8" s="593"/>
      <c r="AI8" s="593"/>
      <c r="AJ8" s="593"/>
      <c r="AK8" s="593"/>
      <c r="AL8" s="593"/>
      <c r="AM8" s="593"/>
      <c r="AN8" s="593"/>
      <c r="AO8" s="593"/>
      <c r="AP8" s="593"/>
      <c r="AQ8" s="593"/>
      <c r="AR8" s="593"/>
      <c r="AS8" s="593"/>
      <c r="AT8" s="593"/>
      <c r="AU8" s="593"/>
      <c r="AV8" s="593"/>
      <c r="AW8" s="593"/>
      <c r="AX8" s="593"/>
      <c r="AY8" s="593"/>
      <c r="AZ8" s="593"/>
      <c r="BA8" s="593"/>
      <c r="BB8" s="593"/>
      <c r="BC8" s="593"/>
      <c r="BD8" s="593"/>
      <c r="BE8" s="593"/>
      <c r="BF8" s="593"/>
      <c r="BG8" s="593"/>
      <c r="BH8" s="593"/>
      <c r="BI8" s="593"/>
      <c r="BJ8" s="593"/>
      <c r="BK8" s="593"/>
      <c r="BL8" s="593"/>
      <c r="BM8" s="593"/>
      <c r="BN8" s="593"/>
      <c r="BO8" s="593"/>
      <c r="BP8" s="593"/>
    </row>
    <row r="9" spans="1:68" s="41" customFormat="1" ht="25.5" customHeight="1">
      <c r="A9" s="593"/>
      <c r="B9" s="3345" t="s">
        <v>623</v>
      </c>
      <c r="C9" s="3346"/>
      <c r="D9" s="3346"/>
      <c r="E9" s="3346"/>
      <c r="F9" s="3346"/>
      <c r="G9" s="3346"/>
      <c r="H9" s="3346"/>
      <c r="I9" s="3346"/>
      <c r="J9" s="3346"/>
      <c r="K9" s="3346"/>
      <c r="L9" s="3346"/>
      <c r="M9" s="3346"/>
      <c r="N9" s="3346"/>
      <c r="O9" s="3346"/>
      <c r="P9" s="3347"/>
      <c r="Q9" s="3079">
        <v>0</v>
      </c>
      <c r="R9" s="3080"/>
      <c r="S9" s="3080"/>
      <c r="T9" s="3080"/>
      <c r="U9" s="3083"/>
      <c r="V9" s="3079">
        <v>0</v>
      </c>
      <c r="W9" s="3080"/>
      <c r="X9" s="3080"/>
      <c r="Y9" s="3080"/>
      <c r="Z9" s="3084"/>
      <c r="AA9" s="3085">
        <f>SUM(Q9:Z9)</f>
        <v>0</v>
      </c>
      <c r="AB9" s="3086"/>
      <c r="AC9" s="3086"/>
      <c r="AD9" s="3086"/>
      <c r="AE9" s="3089"/>
      <c r="AF9" s="593"/>
      <c r="AG9" s="593"/>
      <c r="AH9" s="593"/>
      <c r="AI9" s="593"/>
      <c r="AJ9" s="593"/>
      <c r="AK9" s="593"/>
      <c r="AL9" s="593"/>
      <c r="AM9" s="593"/>
      <c r="AN9" s="593"/>
      <c r="AO9" s="593"/>
      <c r="AP9" s="593"/>
      <c r="AQ9" s="593"/>
      <c r="AR9" s="593"/>
      <c r="AS9" s="593"/>
      <c r="AT9" s="593"/>
      <c r="AU9" s="593"/>
      <c r="AV9" s="593"/>
      <c r="AW9" s="593"/>
      <c r="AX9" s="593"/>
      <c r="AY9" s="593"/>
      <c r="AZ9" s="593"/>
      <c r="BA9" s="593"/>
      <c r="BB9" s="593"/>
      <c r="BC9" s="593"/>
      <c r="BD9" s="593"/>
      <c r="BE9" s="593"/>
      <c r="BF9" s="593"/>
      <c r="BG9" s="593"/>
      <c r="BH9" s="593"/>
      <c r="BI9" s="593"/>
      <c r="BJ9" s="593"/>
      <c r="BK9" s="593"/>
      <c r="BL9" s="593"/>
      <c r="BM9" s="593"/>
      <c r="BN9" s="593"/>
      <c r="BO9" s="593"/>
      <c r="BP9" s="593"/>
    </row>
    <row r="10" spans="1:68" s="41" customFormat="1" ht="18" customHeight="1">
      <c r="A10" s="593"/>
      <c r="B10" s="3315" t="s">
        <v>1386</v>
      </c>
      <c r="C10" s="3316"/>
      <c r="D10" s="3316"/>
      <c r="E10" s="3316"/>
      <c r="F10" s="3316"/>
      <c r="G10" s="3316"/>
      <c r="H10" s="3316"/>
      <c r="I10" s="3316"/>
      <c r="J10" s="3316"/>
      <c r="K10" s="3316"/>
      <c r="L10" s="3316"/>
      <c r="M10" s="3316"/>
      <c r="N10" s="3316"/>
      <c r="O10" s="3316"/>
      <c r="P10" s="3317"/>
      <c r="Q10" s="3348"/>
      <c r="R10" s="3349"/>
      <c r="S10" s="3349"/>
      <c r="T10" s="3349"/>
      <c r="U10" s="3349"/>
      <c r="V10" s="3349"/>
      <c r="W10" s="3349"/>
      <c r="X10" s="3349"/>
      <c r="Y10" s="3349"/>
      <c r="Z10" s="3349"/>
      <c r="AA10" s="3349"/>
      <c r="AB10" s="3349"/>
      <c r="AC10" s="3349"/>
      <c r="AD10" s="3349"/>
      <c r="AE10" s="3350"/>
      <c r="AF10" s="593"/>
      <c r="AG10" s="593"/>
      <c r="AH10" s="593"/>
      <c r="AI10" s="593"/>
      <c r="AJ10" s="593"/>
      <c r="AK10" s="593"/>
      <c r="AL10" s="593"/>
      <c r="AM10" s="593"/>
      <c r="AN10" s="593"/>
      <c r="AO10" s="593"/>
      <c r="AP10" s="593"/>
      <c r="AQ10" s="593"/>
      <c r="AR10" s="593"/>
      <c r="AS10" s="593"/>
      <c r="AT10" s="593"/>
      <c r="AU10" s="593"/>
      <c r="AV10" s="593"/>
      <c r="AW10" s="593"/>
      <c r="AX10" s="593"/>
      <c r="AY10" s="593"/>
      <c r="AZ10" s="593"/>
      <c r="BA10" s="593"/>
      <c r="BB10" s="593"/>
      <c r="BC10" s="593"/>
      <c r="BD10" s="593"/>
      <c r="BE10" s="593"/>
      <c r="BF10" s="593"/>
      <c r="BG10" s="593"/>
      <c r="BH10" s="593"/>
      <c r="BI10" s="593"/>
      <c r="BJ10" s="593"/>
      <c r="BK10" s="593"/>
      <c r="BL10" s="593"/>
      <c r="BM10" s="593"/>
      <c r="BN10" s="593"/>
      <c r="BO10" s="593"/>
      <c r="BP10" s="593"/>
    </row>
    <row r="11" spans="1:68" s="41" customFormat="1" ht="25.5" customHeight="1">
      <c r="A11" s="593"/>
      <c r="B11" s="3345" t="s">
        <v>1387</v>
      </c>
      <c r="C11" s="3346"/>
      <c r="D11" s="3346"/>
      <c r="E11" s="3346"/>
      <c r="F11" s="3346"/>
      <c r="G11" s="3346"/>
      <c r="H11" s="3346"/>
      <c r="I11" s="3346"/>
      <c r="J11" s="3346"/>
      <c r="K11" s="3346"/>
      <c r="L11" s="3346"/>
      <c r="M11" s="3346"/>
      <c r="N11" s="3346"/>
      <c r="O11" s="3346"/>
      <c r="P11" s="3347"/>
      <c r="Q11" s="3079">
        <v>0</v>
      </c>
      <c r="R11" s="3080"/>
      <c r="S11" s="3080"/>
      <c r="T11" s="3080"/>
      <c r="U11" s="3083"/>
      <c r="V11" s="3079">
        <v>0</v>
      </c>
      <c r="W11" s="3080"/>
      <c r="X11" s="3080"/>
      <c r="Y11" s="3080"/>
      <c r="Z11" s="3084"/>
      <c r="AA11" s="3085">
        <f>SUM(Q11:Z11)</f>
        <v>0</v>
      </c>
      <c r="AB11" s="3086"/>
      <c r="AC11" s="3086"/>
      <c r="AD11" s="3086"/>
      <c r="AE11" s="3089"/>
      <c r="AF11" s="593"/>
      <c r="AG11" s="593"/>
      <c r="AH11" s="593"/>
      <c r="AI11" s="593"/>
      <c r="AJ11" s="593"/>
      <c r="AK11" s="593"/>
      <c r="AL11" s="593"/>
      <c r="AM11" s="593"/>
      <c r="AN11" s="593"/>
      <c r="AO11" s="593"/>
      <c r="AP11" s="593"/>
      <c r="AQ11" s="593"/>
      <c r="AR11" s="593"/>
      <c r="AS11" s="593"/>
      <c r="AT11" s="593"/>
      <c r="AU11" s="593"/>
      <c r="AV11" s="593"/>
      <c r="AW11" s="593"/>
      <c r="AX11" s="593"/>
      <c r="AY11" s="593"/>
      <c r="AZ11" s="593"/>
      <c r="BA11" s="593"/>
      <c r="BB11" s="593"/>
      <c r="BC11" s="593"/>
      <c r="BD11" s="593"/>
      <c r="BE11" s="593"/>
      <c r="BF11" s="593"/>
      <c r="BG11" s="593"/>
      <c r="BH11" s="593"/>
      <c r="BI11" s="593"/>
      <c r="BJ11" s="593"/>
      <c r="BK11" s="593"/>
      <c r="BL11" s="593"/>
      <c r="BM11" s="593"/>
      <c r="BN11" s="593"/>
      <c r="BO11" s="593"/>
      <c r="BP11" s="593"/>
    </row>
    <row r="12" spans="1:68" s="41" customFormat="1" ht="25.5" customHeight="1">
      <c r="A12" s="593"/>
      <c r="B12" s="3345" t="s">
        <v>1388</v>
      </c>
      <c r="C12" s="3346"/>
      <c r="D12" s="3346"/>
      <c r="E12" s="3346"/>
      <c r="F12" s="3346"/>
      <c r="G12" s="3346"/>
      <c r="H12" s="3346"/>
      <c r="I12" s="3346"/>
      <c r="J12" s="3346"/>
      <c r="K12" s="3346"/>
      <c r="L12" s="3346"/>
      <c r="M12" s="3346"/>
      <c r="N12" s="3346"/>
      <c r="O12" s="3346"/>
      <c r="P12" s="3347"/>
      <c r="Q12" s="3079">
        <v>0</v>
      </c>
      <c r="R12" s="3080"/>
      <c r="S12" s="3080"/>
      <c r="T12" s="3080"/>
      <c r="U12" s="3083"/>
      <c r="V12" s="3079">
        <v>0</v>
      </c>
      <c r="W12" s="3080"/>
      <c r="X12" s="3080"/>
      <c r="Y12" s="3080"/>
      <c r="Z12" s="3084"/>
      <c r="AA12" s="3085">
        <f>SUM(Q12:Z12)</f>
        <v>0</v>
      </c>
      <c r="AB12" s="3086"/>
      <c r="AC12" s="3086"/>
      <c r="AD12" s="3086"/>
      <c r="AE12" s="3089"/>
      <c r="AF12" s="593"/>
      <c r="AG12" s="593"/>
      <c r="AH12" s="593"/>
      <c r="AI12" s="593"/>
      <c r="AJ12" s="593"/>
      <c r="AK12" s="593"/>
      <c r="AL12" s="593"/>
      <c r="AM12" s="593"/>
      <c r="AN12" s="593"/>
      <c r="AO12" s="593"/>
      <c r="AP12" s="593"/>
      <c r="AQ12" s="593"/>
      <c r="AR12" s="593"/>
      <c r="AS12" s="593"/>
      <c r="AT12" s="593"/>
      <c r="AU12" s="593"/>
      <c r="AV12" s="593"/>
      <c r="AW12" s="593"/>
      <c r="AX12" s="593"/>
      <c r="AY12" s="593"/>
      <c r="AZ12" s="593"/>
      <c r="BA12" s="593"/>
      <c r="BB12" s="593"/>
      <c r="BC12" s="593"/>
      <c r="BD12" s="593"/>
      <c r="BE12" s="593"/>
      <c r="BF12" s="593"/>
      <c r="BG12" s="593"/>
      <c r="BH12" s="593"/>
      <c r="BI12" s="593"/>
      <c r="BJ12" s="593"/>
      <c r="BK12" s="593"/>
      <c r="BL12" s="593"/>
      <c r="BM12" s="593"/>
      <c r="BN12" s="593"/>
      <c r="BO12" s="593"/>
      <c r="BP12" s="593"/>
    </row>
    <row r="13" spans="1:68" s="41" customFormat="1" ht="25.5" customHeight="1">
      <c r="A13" s="593"/>
      <c r="B13" s="3315" t="s">
        <v>624</v>
      </c>
      <c r="C13" s="3316"/>
      <c r="D13" s="3316"/>
      <c r="E13" s="3316"/>
      <c r="F13" s="3316"/>
      <c r="G13" s="3316"/>
      <c r="H13" s="3316"/>
      <c r="I13" s="3316"/>
      <c r="J13" s="3316"/>
      <c r="K13" s="3316"/>
      <c r="L13" s="3316"/>
      <c r="M13" s="3316"/>
      <c r="N13" s="3316"/>
      <c r="O13" s="3316"/>
      <c r="P13" s="3317"/>
      <c r="Q13" s="3079">
        <v>0</v>
      </c>
      <c r="R13" s="3080"/>
      <c r="S13" s="3080"/>
      <c r="T13" s="3080"/>
      <c r="U13" s="3083"/>
      <c r="V13" s="3079">
        <v>0</v>
      </c>
      <c r="W13" s="3080"/>
      <c r="X13" s="3080"/>
      <c r="Y13" s="3080"/>
      <c r="Z13" s="3084"/>
      <c r="AA13" s="3085">
        <f>SUM(Q13:Z13)</f>
        <v>0</v>
      </c>
      <c r="AB13" s="3086"/>
      <c r="AC13" s="3086"/>
      <c r="AD13" s="3086"/>
      <c r="AE13" s="3089"/>
      <c r="AF13" s="593"/>
      <c r="AG13" s="593"/>
      <c r="AH13" s="593"/>
      <c r="AI13" s="593"/>
      <c r="AJ13" s="593"/>
      <c r="AK13" s="593"/>
      <c r="AL13" s="593"/>
      <c r="AM13" s="593"/>
      <c r="AN13" s="593"/>
      <c r="AO13" s="593"/>
      <c r="AP13" s="593"/>
      <c r="AQ13" s="593"/>
      <c r="AR13" s="593"/>
      <c r="AS13" s="593"/>
      <c r="AT13" s="593"/>
      <c r="AU13" s="593"/>
      <c r="AV13" s="593"/>
      <c r="AW13" s="593"/>
      <c r="AX13" s="593"/>
      <c r="AY13" s="593"/>
      <c r="AZ13" s="593"/>
      <c r="BA13" s="593"/>
      <c r="BB13" s="593"/>
      <c r="BC13" s="593"/>
      <c r="BD13" s="593"/>
      <c r="BE13" s="593"/>
      <c r="BF13" s="593"/>
      <c r="BG13" s="593"/>
      <c r="BH13" s="593"/>
      <c r="BI13" s="593"/>
      <c r="BJ13" s="593"/>
      <c r="BK13" s="593"/>
      <c r="BL13" s="593"/>
      <c r="BM13" s="593"/>
      <c r="BN13" s="593"/>
      <c r="BO13" s="593"/>
      <c r="BP13" s="593"/>
    </row>
    <row r="14" spans="1:68" s="41" customFormat="1" ht="25.5" customHeight="1" thickBot="1">
      <c r="A14" s="593"/>
      <c r="B14" s="3318" t="s">
        <v>625</v>
      </c>
      <c r="C14" s="3319"/>
      <c r="D14" s="3319"/>
      <c r="E14" s="3319"/>
      <c r="F14" s="3319"/>
      <c r="G14" s="3319"/>
      <c r="H14" s="3319"/>
      <c r="I14" s="3319"/>
      <c r="J14" s="3319"/>
      <c r="K14" s="3319"/>
      <c r="L14" s="3319"/>
      <c r="M14" s="3319"/>
      <c r="N14" s="3319"/>
      <c r="O14" s="3319"/>
      <c r="P14" s="3320"/>
      <c r="Q14" s="3179">
        <v>0</v>
      </c>
      <c r="R14" s="3180"/>
      <c r="S14" s="3180"/>
      <c r="T14" s="3180"/>
      <c r="U14" s="3181"/>
      <c r="V14" s="3179">
        <v>0</v>
      </c>
      <c r="W14" s="3180"/>
      <c r="X14" s="3180"/>
      <c r="Y14" s="3180"/>
      <c r="Z14" s="3182"/>
      <c r="AA14" s="3183">
        <f>SUM(Q14:Z14)</f>
        <v>0</v>
      </c>
      <c r="AB14" s="3184"/>
      <c r="AC14" s="3184"/>
      <c r="AD14" s="3184"/>
      <c r="AE14" s="3185"/>
      <c r="AF14" s="593"/>
      <c r="AG14" s="593"/>
      <c r="AH14" s="593"/>
      <c r="AI14" s="593"/>
      <c r="AJ14" s="593"/>
      <c r="AK14" s="593"/>
      <c r="AL14" s="593"/>
      <c r="AM14" s="593"/>
      <c r="AN14" s="593"/>
      <c r="AO14" s="593"/>
      <c r="AP14" s="593"/>
      <c r="AQ14" s="593"/>
      <c r="AR14" s="593"/>
      <c r="AS14" s="593"/>
      <c r="AT14" s="593"/>
      <c r="AU14" s="593"/>
      <c r="AV14" s="593"/>
      <c r="AW14" s="593"/>
      <c r="AX14" s="593"/>
      <c r="AY14" s="593"/>
      <c r="AZ14" s="593"/>
      <c r="BA14" s="593"/>
      <c r="BB14" s="593"/>
      <c r="BC14" s="593"/>
      <c r="BD14" s="593"/>
      <c r="BE14" s="593"/>
      <c r="BF14" s="593"/>
      <c r="BG14" s="593"/>
      <c r="BH14" s="593"/>
      <c r="BI14" s="593"/>
      <c r="BJ14" s="593"/>
      <c r="BK14" s="593"/>
      <c r="BL14" s="593"/>
      <c r="BM14" s="593"/>
      <c r="BN14" s="593"/>
      <c r="BO14" s="593"/>
      <c r="BP14" s="593"/>
    </row>
    <row r="15" spans="1:68" s="43" customFormat="1" ht="7.5" customHeight="1">
      <c r="A15" s="960"/>
      <c r="B15" s="227"/>
      <c r="C15" s="982"/>
      <c r="D15" s="982"/>
      <c r="E15" s="982"/>
      <c r="F15" s="982"/>
      <c r="G15" s="982"/>
      <c r="H15" s="983"/>
      <c r="I15" s="983"/>
      <c r="J15" s="983"/>
      <c r="K15" s="983"/>
      <c r="L15" s="983"/>
      <c r="M15" s="983"/>
      <c r="N15" s="983"/>
      <c r="O15" s="983"/>
      <c r="P15" s="983"/>
      <c r="Q15" s="983"/>
      <c r="R15" s="983"/>
      <c r="S15" s="983"/>
      <c r="T15" s="983"/>
      <c r="U15" s="983"/>
      <c r="V15" s="983"/>
      <c r="W15" s="983"/>
      <c r="X15" s="983"/>
      <c r="Y15" s="983"/>
      <c r="Z15" s="983"/>
      <c r="AA15" s="983"/>
      <c r="AB15" s="983"/>
      <c r="AC15" s="983"/>
      <c r="AD15" s="983"/>
      <c r="AE15" s="983"/>
      <c r="AF15" s="983"/>
      <c r="AG15" s="983"/>
      <c r="AH15" s="983"/>
      <c r="AI15" s="983"/>
      <c r="AJ15" s="983"/>
      <c r="AK15" s="983"/>
      <c r="AL15" s="983"/>
      <c r="AM15" s="983"/>
      <c r="AN15" s="983"/>
      <c r="AO15" s="983"/>
      <c r="AP15" s="983"/>
      <c r="AQ15" s="983"/>
      <c r="AR15" s="960"/>
      <c r="AS15" s="960"/>
      <c r="AT15" s="960"/>
      <c r="AU15" s="960"/>
      <c r="AV15" s="960"/>
      <c r="AW15" s="960"/>
      <c r="AX15" s="960"/>
      <c r="AY15" s="960"/>
      <c r="AZ15" s="960"/>
      <c r="BA15" s="960"/>
      <c r="BB15" s="960"/>
      <c r="BC15" s="960"/>
      <c r="BD15" s="960"/>
      <c r="BE15" s="960"/>
      <c r="BF15" s="960"/>
      <c r="BG15" s="960"/>
      <c r="BH15" s="960"/>
      <c r="BI15" s="960"/>
      <c r="BJ15" s="960"/>
      <c r="BK15" s="960"/>
      <c r="BL15" s="960"/>
      <c r="BM15" s="960"/>
      <c r="BN15" s="960"/>
      <c r="BO15" s="960"/>
      <c r="BP15" s="960"/>
    </row>
    <row r="16" spans="1:68" s="5" customFormat="1" ht="30" customHeight="1">
      <c r="A16" s="273"/>
      <c r="B16" s="1020" t="s">
        <v>47</v>
      </c>
      <c r="C16" s="3007" t="s">
        <v>1029</v>
      </c>
      <c r="D16" s="3007"/>
      <c r="E16" s="3007"/>
      <c r="F16" s="3007"/>
      <c r="G16" s="3007"/>
      <c r="H16" s="3007"/>
      <c r="I16" s="3007"/>
      <c r="J16" s="3007"/>
      <c r="K16" s="3007"/>
      <c r="L16" s="3007"/>
      <c r="M16" s="3007"/>
      <c r="N16" s="3007"/>
      <c r="O16" s="3007"/>
      <c r="P16" s="3007"/>
      <c r="Q16" s="3007"/>
      <c r="R16" s="3007"/>
      <c r="S16" s="3007"/>
      <c r="T16" s="3007"/>
      <c r="U16" s="3007"/>
      <c r="V16" s="3007"/>
      <c r="W16" s="3007"/>
      <c r="X16" s="3007"/>
      <c r="Y16" s="3007"/>
      <c r="Z16" s="3007"/>
      <c r="AA16" s="3007"/>
      <c r="AB16" s="3007"/>
      <c r="AC16" s="3007"/>
      <c r="AD16" s="3007"/>
      <c r="AE16" s="3007"/>
      <c r="AF16" s="1021"/>
      <c r="AG16" s="1021"/>
      <c r="AH16" s="1021"/>
      <c r="AI16" s="1021"/>
      <c r="AJ16" s="1021"/>
      <c r="AK16" s="1021"/>
      <c r="AL16" s="1021"/>
      <c r="AM16" s="1021"/>
      <c r="AN16" s="1021"/>
      <c r="AO16" s="1021"/>
      <c r="AP16" s="380"/>
      <c r="AQ16" s="380"/>
      <c r="AR16" s="380"/>
      <c r="AS16" s="380"/>
      <c r="AT16" s="380"/>
      <c r="AU16" s="380"/>
      <c r="AV16" s="380"/>
      <c r="AW16" s="380"/>
      <c r="AX16" s="380"/>
      <c r="AY16" s="380"/>
      <c r="AZ16" s="380"/>
      <c r="BA16" s="380"/>
      <c r="BB16" s="380"/>
      <c r="BC16" s="380"/>
      <c r="BD16" s="1021"/>
      <c r="BE16" s="1021"/>
      <c r="BF16" s="1021"/>
      <c r="BG16" s="1021"/>
      <c r="BH16" s="1021"/>
      <c r="BI16" s="1021"/>
      <c r="BJ16" s="1021"/>
      <c r="BK16" s="1021"/>
      <c r="BL16" s="1021"/>
      <c r="BM16" s="1021"/>
      <c r="BN16" s="1021"/>
      <c r="BO16" s="273"/>
      <c r="BP16" s="273"/>
    </row>
    <row r="17" spans="1:68" s="5" customFormat="1" ht="15" customHeight="1">
      <c r="A17" s="273"/>
      <c r="B17" s="1020" t="s">
        <v>48</v>
      </c>
      <c r="C17" s="3007" t="s">
        <v>1080</v>
      </c>
      <c r="D17" s="3007"/>
      <c r="E17" s="3007"/>
      <c r="F17" s="3007"/>
      <c r="G17" s="3007"/>
      <c r="H17" s="3007"/>
      <c r="I17" s="3007"/>
      <c r="J17" s="3007"/>
      <c r="K17" s="3007"/>
      <c r="L17" s="3007"/>
      <c r="M17" s="3007"/>
      <c r="N17" s="3007"/>
      <c r="O17" s="3007"/>
      <c r="P17" s="3007"/>
      <c r="Q17" s="3007"/>
      <c r="R17" s="3007"/>
      <c r="S17" s="3007"/>
      <c r="T17" s="3007"/>
      <c r="U17" s="3007"/>
      <c r="V17" s="3007"/>
      <c r="W17" s="3007"/>
      <c r="X17" s="3007"/>
      <c r="Y17" s="3007"/>
      <c r="Z17" s="3007"/>
      <c r="AA17" s="3007"/>
      <c r="AB17" s="3007"/>
      <c r="AC17" s="3007"/>
      <c r="AD17" s="3007"/>
      <c r="AE17" s="3007"/>
      <c r="AF17" s="1021"/>
      <c r="AG17" s="1021"/>
      <c r="AH17" s="1021"/>
      <c r="AI17" s="1021"/>
      <c r="AJ17" s="1021"/>
      <c r="AK17" s="1021"/>
      <c r="AL17" s="1021"/>
      <c r="AM17" s="1021"/>
      <c r="AN17" s="1021"/>
      <c r="AO17" s="1021"/>
      <c r="AP17" s="380"/>
      <c r="AQ17" s="380"/>
      <c r="AR17" s="380"/>
      <c r="AS17" s="380"/>
      <c r="AT17" s="380"/>
      <c r="AU17" s="380"/>
      <c r="AV17" s="380"/>
      <c r="AW17" s="380"/>
      <c r="AX17" s="380"/>
      <c r="AY17" s="380"/>
      <c r="AZ17" s="380"/>
      <c r="BA17" s="380"/>
      <c r="BB17" s="380"/>
      <c r="BC17" s="380"/>
      <c r="BD17" s="1021"/>
      <c r="BE17" s="1021"/>
      <c r="BF17" s="1021"/>
      <c r="BG17" s="1021"/>
      <c r="BH17" s="1021"/>
      <c r="BI17" s="1021"/>
      <c r="BJ17" s="1021"/>
      <c r="BK17" s="1021"/>
      <c r="BL17" s="1021"/>
      <c r="BM17" s="1021"/>
      <c r="BN17" s="1021"/>
      <c r="BO17" s="273"/>
      <c r="BP17" s="273"/>
    </row>
    <row r="18" spans="1:68" s="5" customFormat="1" ht="30" customHeight="1">
      <c r="A18" s="273"/>
      <c r="B18" s="1020" t="s">
        <v>49</v>
      </c>
      <c r="C18" s="3007" t="s">
        <v>1081</v>
      </c>
      <c r="D18" s="3007"/>
      <c r="E18" s="3007"/>
      <c r="F18" s="3007"/>
      <c r="G18" s="3007"/>
      <c r="H18" s="3007"/>
      <c r="I18" s="3007"/>
      <c r="J18" s="3007"/>
      <c r="K18" s="3007"/>
      <c r="L18" s="3007"/>
      <c r="M18" s="3007"/>
      <c r="N18" s="3007"/>
      <c r="O18" s="3007"/>
      <c r="P18" s="3007"/>
      <c r="Q18" s="3007"/>
      <c r="R18" s="3007"/>
      <c r="S18" s="3007"/>
      <c r="T18" s="3007"/>
      <c r="U18" s="3007"/>
      <c r="V18" s="3007"/>
      <c r="W18" s="3007"/>
      <c r="X18" s="3007"/>
      <c r="Y18" s="3007"/>
      <c r="Z18" s="3007"/>
      <c r="AA18" s="3007"/>
      <c r="AB18" s="3007"/>
      <c r="AC18" s="3007"/>
      <c r="AD18" s="3007"/>
      <c r="AE18" s="3007"/>
      <c r="AF18" s="1021"/>
      <c r="AG18" s="1021"/>
      <c r="AH18" s="1021"/>
      <c r="AI18" s="1021"/>
      <c r="AJ18" s="1021"/>
      <c r="AK18" s="1021"/>
      <c r="AL18" s="1021"/>
      <c r="AM18" s="1021"/>
      <c r="AN18" s="1021"/>
      <c r="AO18" s="1021"/>
      <c r="AP18" s="380"/>
      <c r="AQ18" s="380"/>
      <c r="AR18" s="380"/>
      <c r="AS18" s="380"/>
      <c r="AT18" s="380"/>
      <c r="AU18" s="380"/>
      <c r="AV18" s="380"/>
      <c r="AW18" s="380"/>
      <c r="AX18" s="380"/>
      <c r="AY18" s="380"/>
      <c r="AZ18" s="380"/>
      <c r="BA18" s="380"/>
      <c r="BB18" s="380"/>
      <c r="BC18" s="380"/>
      <c r="BD18" s="1021"/>
      <c r="BE18" s="1021"/>
      <c r="BF18" s="1021"/>
      <c r="BG18" s="1021"/>
      <c r="BH18" s="1021"/>
      <c r="BI18" s="1021"/>
      <c r="BJ18" s="1022"/>
      <c r="BK18" s="1022"/>
      <c r="BL18" s="1022"/>
      <c r="BM18" s="1022"/>
      <c r="BN18" s="1022"/>
      <c r="BO18" s="273"/>
      <c r="BP18" s="273"/>
    </row>
    <row r="19" spans="1:68" s="43" customFormat="1" ht="20.100000000000001" customHeight="1">
      <c r="A19" s="960"/>
      <c r="B19" s="227"/>
      <c r="C19" s="982"/>
      <c r="D19" s="982"/>
      <c r="E19" s="982"/>
      <c r="F19" s="982"/>
      <c r="G19" s="982"/>
      <c r="H19" s="983"/>
      <c r="I19" s="983"/>
      <c r="J19" s="983"/>
      <c r="K19" s="983"/>
      <c r="L19" s="983"/>
      <c r="M19" s="983"/>
      <c r="N19" s="983"/>
      <c r="O19" s="983"/>
      <c r="P19" s="983"/>
      <c r="Q19" s="983"/>
      <c r="R19" s="983"/>
      <c r="S19" s="983"/>
      <c r="T19" s="983"/>
      <c r="U19" s="983"/>
      <c r="V19" s="983"/>
      <c r="W19" s="983"/>
      <c r="X19" s="983"/>
      <c r="Y19" s="983"/>
      <c r="Z19" s="983"/>
      <c r="AA19" s="983"/>
      <c r="AB19" s="983"/>
      <c r="AC19" s="983"/>
      <c r="AD19" s="983"/>
      <c r="AE19" s="983"/>
      <c r="AF19" s="983"/>
      <c r="AG19" s="983"/>
      <c r="AH19" s="983"/>
      <c r="AI19" s="983"/>
      <c r="AJ19" s="983"/>
      <c r="AK19" s="983"/>
      <c r="AL19" s="983"/>
      <c r="AM19" s="983"/>
      <c r="AN19" s="983"/>
      <c r="AO19" s="983"/>
      <c r="AP19" s="983"/>
      <c r="AQ19" s="983"/>
      <c r="AR19" s="983"/>
      <c r="AS19" s="960"/>
      <c r="AT19" s="960"/>
      <c r="AU19" s="960"/>
      <c r="AV19" s="960"/>
      <c r="AW19" s="960"/>
      <c r="AX19" s="960"/>
      <c r="AY19" s="960"/>
      <c r="AZ19" s="960"/>
      <c r="BA19" s="960"/>
      <c r="BB19" s="960"/>
      <c r="BC19" s="960"/>
      <c r="BD19" s="960"/>
      <c r="BE19" s="960"/>
      <c r="BF19" s="960"/>
      <c r="BG19" s="960"/>
      <c r="BH19" s="960"/>
      <c r="BI19" s="960"/>
      <c r="BJ19" s="960"/>
      <c r="BK19" s="960"/>
      <c r="BL19" s="960"/>
      <c r="BM19" s="960"/>
      <c r="BN19" s="960"/>
      <c r="BO19" s="960"/>
      <c r="BP19" s="960"/>
    </row>
    <row r="20" spans="1:68" s="40" customFormat="1" ht="19.5">
      <c r="A20" s="582"/>
      <c r="B20" s="683" t="s">
        <v>11410</v>
      </c>
      <c r="C20" s="582"/>
      <c r="D20" s="582"/>
      <c r="E20" s="582"/>
      <c r="F20" s="582"/>
      <c r="G20" s="582"/>
      <c r="H20" s="582"/>
      <c r="I20" s="582"/>
      <c r="J20" s="582"/>
      <c r="K20" s="582"/>
      <c r="L20" s="582"/>
      <c r="M20" s="625"/>
      <c r="N20" s="582"/>
      <c r="O20" s="625"/>
      <c r="P20" s="582"/>
      <c r="Q20" s="582"/>
      <c r="R20" s="582"/>
      <c r="S20" s="582"/>
      <c r="T20" s="582"/>
      <c r="U20" s="582"/>
      <c r="V20" s="582"/>
      <c r="W20" s="582"/>
      <c r="X20" s="582"/>
      <c r="Y20" s="582"/>
      <c r="Z20" s="582"/>
      <c r="AA20" s="582"/>
      <c r="AB20" s="582"/>
      <c r="AC20" s="645"/>
      <c r="AD20" s="645"/>
      <c r="AE20" s="645"/>
      <c r="AF20" s="645"/>
      <c r="AG20" s="645"/>
      <c r="AH20" s="645"/>
      <c r="AI20" s="645"/>
      <c r="AJ20" s="645"/>
      <c r="AK20" s="645"/>
      <c r="AL20" s="645"/>
      <c r="AM20" s="645"/>
      <c r="AN20" s="645"/>
      <c r="AO20" s="645"/>
      <c r="AP20" s="645"/>
      <c r="AQ20" s="645"/>
      <c r="AR20" s="582"/>
      <c r="AS20" s="582"/>
      <c r="AT20" s="582"/>
      <c r="AU20" s="582"/>
      <c r="AV20" s="582"/>
      <c r="AW20" s="582"/>
      <c r="AX20" s="582"/>
      <c r="AY20" s="582"/>
      <c r="AZ20" s="582"/>
      <c r="BA20" s="582"/>
      <c r="BB20" s="582"/>
      <c r="BC20" s="582"/>
      <c r="BD20" s="582"/>
      <c r="BE20" s="582"/>
      <c r="BF20" s="582"/>
      <c r="BG20" s="582"/>
      <c r="BH20" s="582"/>
      <c r="BI20" s="582"/>
      <c r="BJ20" s="582"/>
      <c r="BK20" s="582"/>
      <c r="BL20" s="582"/>
      <c r="BM20" s="582"/>
      <c r="BN20" s="582"/>
      <c r="BO20" s="582"/>
      <c r="BP20" s="582"/>
    </row>
    <row r="21" spans="1:68" s="40" customFormat="1" ht="16.350000000000001" customHeight="1" thickBot="1">
      <c r="A21" s="582"/>
      <c r="B21" s="976" t="s">
        <v>1016</v>
      </c>
      <c r="C21" s="582"/>
      <c r="D21" s="582"/>
      <c r="E21" s="582"/>
      <c r="F21" s="582"/>
      <c r="G21" s="582"/>
      <c r="H21" s="582"/>
      <c r="I21" s="582"/>
      <c r="J21" s="582"/>
      <c r="K21" s="582"/>
      <c r="L21" s="582"/>
      <c r="M21" s="625"/>
      <c r="N21" s="582"/>
      <c r="O21" s="625"/>
      <c r="P21" s="582"/>
      <c r="Q21" s="582"/>
      <c r="R21" s="582"/>
      <c r="S21" s="582"/>
      <c r="T21" s="582"/>
      <c r="U21" s="582"/>
      <c r="V21" s="582"/>
      <c r="W21" s="582"/>
      <c r="X21" s="582"/>
      <c r="Y21" s="582"/>
      <c r="Z21" s="582"/>
      <c r="AA21" s="582"/>
      <c r="AB21" s="582"/>
      <c r="AC21" s="645"/>
      <c r="AD21" s="645"/>
      <c r="AE21" s="645"/>
      <c r="AF21" s="645"/>
      <c r="AG21" s="645"/>
      <c r="AH21" s="645"/>
      <c r="AI21" s="645"/>
      <c r="AJ21" s="645"/>
      <c r="AK21" s="645"/>
      <c r="AL21" s="645"/>
      <c r="AM21" s="645"/>
      <c r="AN21" s="645"/>
      <c r="AO21" s="645"/>
      <c r="AP21" s="645"/>
      <c r="AQ21" s="645"/>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row>
    <row r="22" spans="1:68" s="40" customFormat="1" ht="15.75" customHeight="1">
      <c r="A22" s="582"/>
      <c r="B22" s="2660" t="s">
        <v>580</v>
      </c>
      <c r="C22" s="2661"/>
      <c r="D22" s="2661"/>
      <c r="E22" s="2661"/>
      <c r="F22" s="2661"/>
      <c r="G22" s="2661"/>
      <c r="H22" s="2661"/>
      <c r="I22" s="2661"/>
      <c r="J22" s="2661"/>
      <c r="K22" s="2661"/>
      <c r="L22" s="2661"/>
      <c r="M22" s="2661"/>
      <c r="N22" s="2661"/>
      <c r="O22" s="2661"/>
      <c r="P22" s="2662"/>
      <c r="Q22" s="2893" t="s">
        <v>43</v>
      </c>
      <c r="R22" s="2894"/>
      <c r="S22" s="2894"/>
      <c r="T22" s="2894"/>
      <c r="U22" s="3096"/>
      <c r="V22" s="3100" t="s">
        <v>44</v>
      </c>
      <c r="W22" s="3101"/>
      <c r="X22" s="3101"/>
      <c r="Y22" s="3101"/>
      <c r="Z22" s="3102"/>
      <c r="AA22" s="3106" t="s">
        <v>579</v>
      </c>
      <c r="AB22" s="3107"/>
      <c r="AC22" s="3107"/>
      <c r="AD22" s="3107"/>
      <c r="AE22" s="3108"/>
      <c r="AF22" s="588"/>
      <c r="AG22" s="582"/>
      <c r="AH22" s="582"/>
      <c r="AI22" s="582"/>
      <c r="AJ22" s="582"/>
      <c r="AK22" s="582"/>
      <c r="AL22" s="582"/>
      <c r="AM22" s="582"/>
      <c r="AN22" s="582"/>
      <c r="AO22" s="582"/>
      <c r="AP22" s="582"/>
      <c r="AQ22" s="582"/>
      <c r="AR22" s="582"/>
      <c r="AS22" s="582"/>
      <c r="AT22" s="582"/>
      <c r="AU22" s="582"/>
      <c r="AV22" s="582"/>
      <c r="AW22" s="582"/>
      <c r="AX22" s="582"/>
      <c r="AY22" s="582"/>
      <c r="AZ22" s="582"/>
      <c r="BA22" s="582"/>
      <c r="BB22" s="582"/>
      <c r="BC22" s="582"/>
      <c r="BD22" s="582"/>
      <c r="BE22" s="582"/>
      <c r="BF22" s="582"/>
      <c r="BG22" s="582"/>
      <c r="BH22" s="582"/>
      <c r="BI22" s="582"/>
      <c r="BJ22" s="582"/>
      <c r="BK22" s="582"/>
      <c r="BL22" s="582"/>
      <c r="BM22" s="582"/>
      <c r="BN22" s="582"/>
      <c r="BO22" s="582"/>
      <c r="BP22" s="582"/>
    </row>
    <row r="23" spans="1:68" s="40" customFormat="1" ht="16.5" thickBot="1">
      <c r="A23" s="582"/>
      <c r="B23" s="2663"/>
      <c r="C23" s="2664"/>
      <c r="D23" s="2664"/>
      <c r="E23" s="2664"/>
      <c r="F23" s="2664"/>
      <c r="G23" s="2664"/>
      <c r="H23" s="2664"/>
      <c r="I23" s="2664"/>
      <c r="J23" s="2664"/>
      <c r="K23" s="2664"/>
      <c r="L23" s="2664"/>
      <c r="M23" s="2664"/>
      <c r="N23" s="2664"/>
      <c r="O23" s="2664"/>
      <c r="P23" s="2665"/>
      <c r="Q23" s="3140"/>
      <c r="R23" s="3141"/>
      <c r="S23" s="3141"/>
      <c r="T23" s="3141"/>
      <c r="U23" s="3142"/>
      <c r="V23" s="3339"/>
      <c r="W23" s="3340"/>
      <c r="X23" s="3340"/>
      <c r="Y23" s="3340"/>
      <c r="Z23" s="3341"/>
      <c r="AA23" s="3342"/>
      <c r="AB23" s="3343"/>
      <c r="AC23" s="3343"/>
      <c r="AD23" s="3343"/>
      <c r="AE23" s="3344"/>
      <c r="AF23" s="582"/>
      <c r="AG23" s="582"/>
      <c r="AH23" s="582"/>
      <c r="AI23" s="582"/>
      <c r="AJ23" s="582"/>
      <c r="AK23" s="582"/>
      <c r="AL23" s="582"/>
      <c r="AM23" s="582"/>
      <c r="AN23" s="582"/>
      <c r="AO23" s="582"/>
      <c r="AP23" s="582"/>
      <c r="AQ23" s="582"/>
      <c r="AR23" s="582"/>
      <c r="AS23" s="582"/>
      <c r="AT23" s="582"/>
      <c r="AU23" s="582"/>
      <c r="AV23" s="582"/>
      <c r="AW23" s="582"/>
      <c r="AX23" s="582"/>
      <c r="AY23" s="582"/>
      <c r="AZ23" s="582"/>
      <c r="BA23" s="582"/>
      <c r="BB23" s="582"/>
      <c r="BC23" s="582"/>
      <c r="BD23" s="582"/>
      <c r="BE23" s="582"/>
      <c r="BF23" s="582"/>
      <c r="BG23" s="582"/>
      <c r="BH23" s="582"/>
      <c r="BI23" s="582"/>
      <c r="BJ23" s="582"/>
      <c r="BK23" s="582"/>
      <c r="BL23" s="582"/>
      <c r="BM23" s="582"/>
      <c r="BN23" s="582"/>
      <c r="BO23" s="582"/>
      <c r="BP23" s="582"/>
    </row>
    <row r="24" spans="1:68" s="41" customFormat="1" ht="25.5" customHeight="1">
      <c r="A24" s="593"/>
      <c r="B24" s="3336" t="s">
        <v>621</v>
      </c>
      <c r="C24" s="3337"/>
      <c r="D24" s="3337"/>
      <c r="E24" s="3337"/>
      <c r="F24" s="3337"/>
      <c r="G24" s="3337"/>
      <c r="H24" s="3337"/>
      <c r="I24" s="3337"/>
      <c r="J24" s="3337"/>
      <c r="K24" s="3337"/>
      <c r="L24" s="3337"/>
      <c r="M24" s="3337"/>
      <c r="N24" s="3337"/>
      <c r="O24" s="3337"/>
      <c r="P24" s="3338"/>
      <c r="Q24" s="3126">
        <v>54</v>
      </c>
      <c r="R24" s="3127"/>
      <c r="S24" s="3127"/>
      <c r="T24" s="3127"/>
      <c r="U24" s="3130"/>
      <c r="V24" s="3126">
        <v>39</v>
      </c>
      <c r="W24" s="3127"/>
      <c r="X24" s="3127"/>
      <c r="Y24" s="3127"/>
      <c r="Z24" s="3131"/>
      <c r="AA24" s="3132">
        <f>SUM(Q24:Z24)</f>
        <v>93</v>
      </c>
      <c r="AB24" s="3133"/>
      <c r="AC24" s="3133"/>
      <c r="AD24" s="3133"/>
      <c r="AE24" s="3136"/>
      <c r="AF24" s="593"/>
      <c r="AG24" s="593"/>
      <c r="AH24" s="593"/>
      <c r="AI24" s="593"/>
      <c r="AJ24" s="593"/>
      <c r="AK24" s="593"/>
      <c r="AL24" s="593"/>
      <c r="AM24" s="593"/>
      <c r="AN24" s="593"/>
      <c r="AO24" s="593"/>
      <c r="AP24" s="593"/>
      <c r="AQ24" s="593"/>
      <c r="AR24" s="593"/>
      <c r="AS24" s="593"/>
      <c r="AT24" s="593"/>
      <c r="AU24" s="593"/>
      <c r="AV24" s="593"/>
      <c r="AW24" s="593"/>
      <c r="AX24" s="593"/>
      <c r="AY24" s="593"/>
      <c r="AZ24" s="593"/>
      <c r="BA24" s="593"/>
      <c r="BB24" s="593"/>
      <c r="BC24" s="593"/>
      <c r="BD24" s="593"/>
      <c r="BE24" s="593"/>
      <c r="BF24" s="593"/>
      <c r="BG24" s="593"/>
      <c r="BH24" s="593"/>
      <c r="BI24" s="593"/>
      <c r="BJ24" s="593"/>
      <c r="BK24" s="593"/>
      <c r="BL24" s="593"/>
      <c r="BM24" s="593"/>
      <c r="BN24" s="593"/>
      <c r="BO24" s="593"/>
      <c r="BP24" s="593"/>
    </row>
    <row r="25" spans="1:68" s="41" customFormat="1" ht="25.5" customHeight="1">
      <c r="A25" s="593"/>
      <c r="B25" s="3315" t="s">
        <v>626</v>
      </c>
      <c r="C25" s="3316"/>
      <c r="D25" s="3316"/>
      <c r="E25" s="3316"/>
      <c r="F25" s="3316"/>
      <c r="G25" s="3316"/>
      <c r="H25" s="3316"/>
      <c r="I25" s="3316"/>
      <c r="J25" s="3316"/>
      <c r="K25" s="3316"/>
      <c r="L25" s="3316"/>
      <c r="M25" s="3316"/>
      <c r="N25" s="3316"/>
      <c r="O25" s="3316"/>
      <c r="P25" s="3317"/>
      <c r="Q25" s="3079">
        <v>0</v>
      </c>
      <c r="R25" s="3080"/>
      <c r="S25" s="3080"/>
      <c r="T25" s="3080"/>
      <c r="U25" s="3083"/>
      <c r="V25" s="3079">
        <v>2</v>
      </c>
      <c r="W25" s="3080"/>
      <c r="X25" s="3080"/>
      <c r="Y25" s="3080"/>
      <c r="Z25" s="3084"/>
      <c r="AA25" s="3085">
        <f>SUM(Q25:Z25)</f>
        <v>2</v>
      </c>
      <c r="AB25" s="3086"/>
      <c r="AC25" s="3086"/>
      <c r="AD25" s="3086"/>
      <c r="AE25" s="3089"/>
      <c r="AF25" s="593"/>
      <c r="AG25" s="593"/>
      <c r="AH25" s="593"/>
      <c r="AI25" s="593"/>
      <c r="AJ25" s="593"/>
      <c r="AK25" s="593"/>
      <c r="AL25" s="593"/>
      <c r="AM25" s="593"/>
      <c r="AN25" s="593"/>
      <c r="AO25" s="593"/>
      <c r="AP25" s="593"/>
      <c r="AQ25" s="593"/>
      <c r="AR25" s="593"/>
      <c r="AS25" s="593"/>
      <c r="AT25" s="593"/>
      <c r="AU25" s="593"/>
      <c r="AV25" s="593"/>
      <c r="AW25" s="593"/>
      <c r="AX25" s="593"/>
      <c r="AY25" s="593"/>
      <c r="AZ25" s="593"/>
      <c r="BA25" s="593"/>
      <c r="BB25" s="593"/>
      <c r="BC25" s="593"/>
      <c r="BD25" s="593"/>
      <c r="BE25" s="593"/>
      <c r="BF25" s="593"/>
      <c r="BG25" s="593"/>
      <c r="BH25" s="593"/>
      <c r="BI25" s="593"/>
      <c r="BJ25" s="593"/>
      <c r="BK25" s="593"/>
      <c r="BL25" s="593"/>
      <c r="BM25" s="593"/>
      <c r="BN25" s="593"/>
      <c r="BO25" s="593"/>
      <c r="BP25" s="593"/>
    </row>
    <row r="26" spans="1:68" s="41" customFormat="1" ht="35.1" customHeight="1">
      <c r="A26" s="593"/>
      <c r="B26" s="3315" t="s">
        <v>1389</v>
      </c>
      <c r="C26" s="3316"/>
      <c r="D26" s="3316"/>
      <c r="E26" s="3316"/>
      <c r="F26" s="3316"/>
      <c r="G26" s="3316"/>
      <c r="H26" s="3316"/>
      <c r="I26" s="3316"/>
      <c r="J26" s="3316"/>
      <c r="K26" s="3316"/>
      <c r="L26" s="3316"/>
      <c r="M26" s="3316"/>
      <c r="N26" s="3316"/>
      <c r="O26" s="3316"/>
      <c r="P26" s="3317"/>
      <c r="Q26" s="3079">
        <v>54</v>
      </c>
      <c r="R26" s="3080"/>
      <c r="S26" s="3080"/>
      <c r="T26" s="3080"/>
      <c r="U26" s="3083"/>
      <c r="V26" s="3079">
        <v>39</v>
      </c>
      <c r="W26" s="3080"/>
      <c r="X26" s="3080"/>
      <c r="Y26" s="3080"/>
      <c r="Z26" s="3084"/>
      <c r="AA26" s="3085">
        <f>SUM(Q26:Z26)</f>
        <v>93</v>
      </c>
      <c r="AB26" s="3086"/>
      <c r="AC26" s="3086"/>
      <c r="AD26" s="3086"/>
      <c r="AE26" s="3089"/>
      <c r="AF26" s="593"/>
      <c r="AG26" s="593"/>
      <c r="AH26" s="593"/>
      <c r="AI26" s="593"/>
      <c r="AJ26" s="593"/>
      <c r="AK26" s="593"/>
      <c r="AL26" s="593"/>
      <c r="AM26" s="593"/>
      <c r="AN26" s="593"/>
      <c r="AO26" s="593"/>
      <c r="AP26" s="593"/>
      <c r="AQ26" s="593"/>
      <c r="AR26" s="593"/>
      <c r="AS26" s="593"/>
      <c r="AT26" s="593"/>
      <c r="AU26" s="593"/>
      <c r="AV26" s="593"/>
      <c r="AW26" s="593"/>
      <c r="AX26" s="593"/>
      <c r="AY26" s="593"/>
      <c r="AZ26" s="593"/>
      <c r="BA26" s="593"/>
      <c r="BB26" s="593"/>
      <c r="BC26" s="593"/>
      <c r="BD26" s="593"/>
      <c r="BE26" s="593"/>
      <c r="BF26" s="593"/>
      <c r="BG26" s="593"/>
      <c r="BH26" s="593"/>
      <c r="BI26" s="593"/>
      <c r="BJ26" s="593"/>
      <c r="BK26" s="593"/>
      <c r="BL26" s="593"/>
      <c r="BM26" s="593"/>
      <c r="BN26" s="593"/>
      <c r="BO26" s="593"/>
      <c r="BP26" s="593"/>
    </row>
    <row r="27" spans="1:68" s="41" customFormat="1" ht="35.1" customHeight="1" thickBot="1">
      <c r="A27" s="593"/>
      <c r="B27" s="3318" t="s">
        <v>1390</v>
      </c>
      <c r="C27" s="3319"/>
      <c r="D27" s="3319"/>
      <c r="E27" s="3319"/>
      <c r="F27" s="3319"/>
      <c r="G27" s="3319"/>
      <c r="H27" s="3319"/>
      <c r="I27" s="3319"/>
      <c r="J27" s="3319"/>
      <c r="K27" s="3319"/>
      <c r="L27" s="3319"/>
      <c r="M27" s="3319"/>
      <c r="N27" s="3319"/>
      <c r="O27" s="3319"/>
      <c r="P27" s="3320"/>
      <c r="Q27" s="3179">
        <v>0</v>
      </c>
      <c r="R27" s="3180"/>
      <c r="S27" s="3180"/>
      <c r="T27" s="3180"/>
      <c r="U27" s="3181"/>
      <c r="V27" s="3179">
        <v>0</v>
      </c>
      <c r="W27" s="3180"/>
      <c r="X27" s="3180"/>
      <c r="Y27" s="3180"/>
      <c r="Z27" s="3182"/>
      <c r="AA27" s="3183">
        <f>SUM(Q27:Z27)</f>
        <v>0</v>
      </c>
      <c r="AB27" s="3184"/>
      <c r="AC27" s="3184"/>
      <c r="AD27" s="3184"/>
      <c r="AE27" s="3185"/>
      <c r="AF27" s="593"/>
      <c r="AG27" s="593"/>
      <c r="AH27" s="593"/>
      <c r="AI27" s="593"/>
      <c r="AJ27" s="593"/>
      <c r="AK27" s="593"/>
      <c r="AL27" s="593"/>
      <c r="AM27" s="593"/>
      <c r="AN27" s="593"/>
      <c r="AO27" s="593"/>
      <c r="AP27" s="593"/>
      <c r="AQ27" s="593"/>
      <c r="AR27" s="593"/>
      <c r="AS27" s="593"/>
      <c r="AT27" s="593"/>
      <c r="AU27" s="593"/>
      <c r="AV27" s="593"/>
      <c r="AW27" s="593"/>
      <c r="AX27" s="593"/>
      <c r="AY27" s="593"/>
      <c r="AZ27" s="593"/>
      <c r="BA27" s="593"/>
      <c r="BB27" s="593"/>
      <c r="BC27" s="593"/>
      <c r="BD27" s="593"/>
      <c r="BE27" s="593"/>
      <c r="BF27" s="593"/>
      <c r="BG27" s="593"/>
      <c r="BH27" s="593"/>
      <c r="BI27" s="593"/>
      <c r="BJ27" s="593"/>
      <c r="BK27" s="593"/>
      <c r="BL27" s="593"/>
      <c r="BM27" s="593"/>
      <c r="BN27" s="593"/>
      <c r="BO27" s="593"/>
      <c r="BP27" s="593"/>
    </row>
    <row r="28" spans="1:68" s="43" customFormat="1" ht="20.100000000000001" customHeight="1">
      <c r="A28" s="960"/>
      <c r="B28" s="982"/>
      <c r="C28" s="982"/>
      <c r="D28" s="983"/>
      <c r="E28" s="983"/>
      <c r="F28" s="983"/>
      <c r="G28" s="983"/>
      <c r="H28" s="983"/>
      <c r="I28" s="983"/>
      <c r="J28" s="983"/>
      <c r="K28" s="983"/>
      <c r="L28" s="983"/>
      <c r="M28" s="983"/>
      <c r="N28" s="983"/>
      <c r="O28" s="983"/>
      <c r="P28" s="983"/>
      <c r="Q28" s="983"/>
      <c r="R28" s="983"/>
      <c r="S28" s="983"/>
      <c r="T28" s="983"/>
      <c r="U28" s="983"/>
      <c r="V28" s="983"/>
      <c r="W28" s="983"/>
      <c r="X28" s="983"/>
      <c r="Y28" s="983"/>
      <c r="Z28" s="983"/>
      <c r="AA28" s="983"/>
      <c r="AB28" s="983"/>
      <c r="AC28" s="983"/>
      <c r="AD28" s="983"/>
      <c r="AE28" s="983"/>
      <c r="AF28" s="983"/>
      <c r="AG28" s="983"/>
      <c r="AH28" s="983"/>
      <c r="AI28" s="983"/>
      <c r="AJ28" s="983"/>
      <c r="AK28" s="983"/>
      <c r="AL28" s="983"/>
      <c r="AM28" s="983"/>
      <c r="AN28" s="960"/>
      <c r="AO28" s="960"/>
      <c r="AP28" s="960"/>
      <c r="AQ28" s="960"/>
      <c r="AR28" s="960"/>
      <c r="AS28" s="960"/>
      <c r="AT28" s="960"/>
      <c r="AU28" s="960"/>
      <c r="AV28" s="960"/>
      <c r="AW28" s="960"/>
      <c r="AX28" s="960"/>
      <c r="AY28" s="960"/>
      <c r="AZ28" s="960"/>
      <c r="BA28" s="960"/>
      <c r="BB28" s="960"/>
      <c r="BC28" s="960"/>
      <c r="BD28" s="960"/>
      <c r="BE28" s="960"/>
      <c r="BF28" s="960"/>
      <c r="BG28" s="960"/>
      <c r="BH28" s="960"/>
      <c r="BI28" s="960"/>
      <c r="BJ28" s="960"/>
      <c r="BK28" s="960"/>
      <c r="BL28" s="960"/>
      <c r="BM28" s="960"/>
      <c r="BN28" s="960"/>
      <c r="BO28" s="960"/>
      <c r="BP28" s="960"/>
    </row>
    <row r="29" spans="1:68" s="169" customFormat="1" ht="18.75">
      <c r="A29" s="1023"/>
      <c r="B29" s="1024" t="s">
        <v>11411</v>
      </c>
      <c r="C29" s="1025"/>
      <c r="D29" s="1025"/>
      <c r="E29" s="1025"/>
      <c r="F29" s="1025"/>
      <c r="G29" s="1025"/>
      <c r="H29" s="1025"/>
      <c r="I29" s="1025"/>
      <c r="J29" s="1025"/>
      <c r="K29" s="1025"/>
      <c r="L29" s="1026"/>
      <c r="M29" s="1026"/>
      <c r="N29" s="1026"/>
      <c r="O29" s="1026"/>
      <c r="P29" s="1026"/>
      <c r="Q29" s="1026"/>
      <c r="R29" s="1026"/>
      <c r="S29" s="1026"/>
      <c r="T29" s="1026"/>
      <c r="U29" s="1026"/>
      <c r="V29" s="1026"/>
      <c r="W29" s="1026"/>
      <c r="X29" s="1026"/>
      <c r="Y29" s="1026"/>
      <c r="Z29" s="1026"/>
      <c r="AA29" s="1026"/>
      <c r="AB29" s="1026"/>
      <c r="AC29" s="1026"/>
      <c r="AD29" s="1026"/>
      <c r="AE29" s="1026"/>
      <c r="AF29" s="1026"/>
      <c r="AG29" s="1026"/>
      <c r="AH29" s="1026"/>
      <c r="AI29" s="1026"/>
      <c r="AJ29" s="1026"/>
      <c r="AK29" s="1026"/>
      <c r="AL29" s="1025"/>
      <c r="AM29" s="1023"/>
      <c r="AN29" s="1023"/>
      <c r="AO29" s="1023"/>
      <c r="AP29" s="1023"/>
      <c r="AQ29" s="1023"/>
      <c r="AR29" s="1023"/>
      <c r="AS29" s="1023"/>
      <c r="AT29" s="1023"/>
      <c r="AU29" s="1023"/>
      <c r="AV29" s="1023"/>
      <c r="AW29" s="1023"/>
      <c r="AX29" s="1023"/>
      <c r="AY29" s="1023"/>
      <c r="AZ29" s="1023"/>
      <c r="BA29" s="1023"/>
      <c r="BB29" s="1023"/>
      <c r="BC29" s="1023"/>
      <c r="BD29" s="1023"/>
      <c r="BE29" s="1023"/>
      <c r="BF29" s="1023"/>
      <c r="BG29" s="1023"/>
      <c r="BH29" s="1023"/>
      <c r="BI29" s="1023"/>
      <c r="BJ29" s="1023"/>
      <c r="BK29" s="1023"/>
      <c r="BL29" s="1023"/>
      <c r="BM29" s="1023"/>
      <c r="BN29" s="1023"/>
      <c r="BO29" s="1023"/>
      <c r="BP29" s="1023"/>
    </row>
    <row r="30" spans="1:68" ht="16.5" customHeight="1" thickBot="1">
      <c r="A30" s="434"/>
      <c r="B30" s="1027" t="s">
        <v>1391</v>
      </c>
      <c r="C30" s="434"/>
      <c r="D30" s="989"/>
      <c r="E30" s="998"/>
      <c r="F30" s="998"/>
      <c r="G30" s="998"/>
      <c r="H30" s="998"/>
      <c r="I30" s="998"/>
      <c r="J30" s="998"/>
      <c r="K30" s="998"/>
      <c r="L30" s="998"/>
      <c r="M30" s="998"/>
      <c r="N30" s="861"/>
      <c r="O30" s="593"/>
      <c r="P30" s="593"/>
      <c r="Q30" s="593"/>
      <c r="R30" s="593"/>
      <c r="S30" s="593"/>
      <c r="T30" s="999"/>
      <c r="U30" s="861"/>
      <c r="V30" s="861"/>
      <c r="W30" s="861"/>
      <c r="X30" s="861"/>
      <c r="Y30" s="861"/>
      <c r="Z30" s="861"/>
      <c r="AA30" s="593"/>
      <c r="AB30" s="593"/>
      <c r="AC30" s="593"/>
      <c r="AD30" s="593"/>
      <c r="AE30" s="593"/>
      <c r="AF30" s="593"/>
      <c r="AG30" s="593"/>
      <c r="AH30" s="593"/>
      <c r="AI30" s="593"/>
      <c r="AJ30" s="593"/>
      <c r="AK30" s="434"/>
      <c r="AL30" s="434"/>
      <c r="AM30" s="434"/>
      <c r="AN30" s="434"/>
      <c r="AO30" s="434"/>
      <c r="AP30" s="434"/>
      <c r="AQ30" s="434"/>
      <c r="AR30" s="434"/>
      <c r="AS30" s="434"/>
      <c r="AT30" s="434"/>
      <c r="AU30" s="593"/>
      <c r="AV30" s="434"/>
      <c r="AW30" s="434"/>
      <c r="AX30" s="434"/>
      <c r="AY30" s="434"/>
      <c r="AZ30" s="434"/>
      <c r="BA30" s="434"/>
      <c r="BB30" s="434"/>
      <c r="BC30" s="434"/>
      <c r="BD30" s="434"/>
      <c r="BE30" s="434"/>
      <c r="BF30" s="434"/>
      <c r="BG30" s="434"/>
      <c r="BH30" s="434"/>
      <c r="BI30" s="434"/>
      <c r="BJ30" s="434"/>
      <c r="BK30" s="434"/>
      <c r="BL30" s="434"/>
      <c r="BM30" s="434"/>
      <c r="BN30" s="434"/>
      <c r="BO30" s="434"/>
      <c r="BP30" s="434"/>
    </row>
    <row r="31" spans="1:68">
      <c r="A31" s="434"/>
      <c r="B31" s="3321" t="s">
        <v>964</v>
      </c>
      <c r="C31" s="3322"/>
      <c r="D31" s="3322"/>
      <c r="E31" s="3322"/>
      <c r="F31" s="3323"/>
      <c r="G31" s="3330" t="s">
        <v>11414</v>
      </c>
      <c r="H31" s="3331"/>
      <c r="I31" s="3331"/>
      <c r="J31" s="3331"/>
      <c r="K31" s="3331"/>
      <c r="L31" s="3331"/>
      <c r="M31" s="3331"/>
      <c r="N31" s="3331"/>
      <c r="O31" s="3331"/>
      <c r="P31" s="3331"/>
      <c r="Q31" s="3331"/>
      <c r="R31" s="3331"/>
      <c r="S31" s="3331"/>
      <c r="T31" s="3331"/>
      <c r="U31" s="3331"/>
      <c r="V31" s="3331"/>
      <c r="W31" s="3331"/>
      <c r="X31" s="3331"/>
      <c r="Y31" s="3331"/>
      <c r="Z31" s="3331"/>
      <c r="AA31" s="3331"/>
      <c r="AB31" s="3331"/>
      <c r="AC31" s="3331"/>
      <c r="AD31" s="3331"/>
      <c r="AE31" s="3331"/>
      <c r="AF31" s="3331"/>
      <c r="AG31" s="3331"/>
      <c r="AH31" s="3331"/>
      <c r="AI31" s="3331"/>
      <c r="AJ31" s="3331"/>
      <c r="AK31" s="3331"/>
      <c r="AL31" s="3331"/>
      <c r="AM31" s="3331"/>
      <c r="AN31" s="3331"/>
      <c r="AO31" s="3331"/>
      <c r="AP31" s="3331"/>
      <c r="AQ31" s="3331"/>
      <c r="AR31" s="3331"/>
      <c r="AS31" s="3331"/>
      <c r="AT31" s="3331"/>
      <c r="AU31" s="3331"/>
      <c r="AV31" s="3331"/>
      <c r="AW31" s="3331"/>
      <c r="AX31" s="3331"/>
      <c r="AY31" s="3331"/>
      <c r="AZ31" s="3331"/>
      <c r="BA31" s="3331"/>
      <c r="BB31" s="3331"/>
      <c r="BC31" s="3331"/>
      <c r="BD31" s="3331"/>
      <c r="BE31" s="3331"/>
      <c r="BF31" s="3331"/>
      <c r="BG31" s="3331"/>
      <c r="BH31" s="3331"/>
      <c r="BI31" s="3331"/>
      <c r="BJ31" s="3332"/>
      <c r="BK31" s="593"/>
      <c r="BL31" s="593"/>
      <c r="BM31" s="593"/>
      <c r="BN31" s="593"/>
      <c r="BO31" s="434"/>
      <c r="BP31" s="434"/>
    </row>
    <row r="32" spans="1:68">
      <c r="A32" s="434"/>
      <c r="B32" s="3324"/>
      <c r="C32" s="3325"/>
      <c r="D32" s="3325"/>
      <c r="E32" s="3325"/>
      <c r="F32" s="3326"/>
      <c r="G32" s="3333" t="s">
        <v>965</v>
      </c>
      <c r="H32" s="3334"/>
      <c r="I32" s="3334"/>
      <c r="J32" s="3334"/>
      <c r="K32" s="3334"/>
      <c r="L32" s="3334"/>
      <c r="M32" s="3334"/>
      <c r="N32" s="3334"/>
      <c r="O32" s="3334"/>
      <c r="P32" s="3334"/>
      <c r="Q32" s="3334"/>
      <c r="R32" s="3334"/>
      <c r="S32" s="3334"/>
      <c r="T32" s="3334"/>
      <c r="U32" s="3334"/>
      <c r="V32" s="3334"/>
      <c r="W32" s="3334"/>
      <c r="X32" s="3334"/>
      <c r="Y32" s="3334"/>
      <c r="Z32" s="3334"/>
      <c r="AA32" s="3334"/>
      <c r="AB32" s="3334"/>
      <c r="AC32" s="3334"/>
      <c r="AD32" s="3334"/>
      <c r="AE32" s="3334"/>
      <c r="AF32" s="3334"/>
      <c r="AG32" s="3334"/>
      <c r="AH32" s="3335"/>
      <c r="AI32" s="3333" t="s">
        <v>966</v>
      </c>
      <c r="AJ32" s="3334"/>
      <c r="AK32" s="3334"/>
      <c r="AL32" s="3334"/>
      <c r="AM32" s="3334"/>
      <c r="AN32" s="3334"/>
      <c r="AO32" s="3334"/>
      <c r="AP32" s="3334"/>
      <c r="AQ32" s="3334"/>
      <c r="AR32" s="3334"/>
      <c r="AS32" s="3334"/>
      <c r="AT32" s="3334"/>
      <c r="AU32" s="3334"/>
      <c r="AV32" s="3334"/>
      <c r="AW32" s="3334"/>
      <c r="AX32" s="3334"/>
      <c r="AY32" s="3334"/>
      <c r="AZ32" s="3334"/>
      <c r="BA32" s="3334"/>
      <c r="BB32" s="3334"/>
      <c r="BC32" s="3334"/>
      <c r="BD32" s="3334"/>
      <c r="BE32" s="3334"/>
      <c r="BF32" s="3334"/>
      <c r="BG32" s="3334"/>
      <c r="BH32" s="3334"/>
      <c r="BI32" s="3334"/>
      <c r="BJ32" s="3335"/>
      <c r="BK32" s="434"/>
      <c r="BL32" s="434"/>
      <c r="BM32" s="434"/>
      <c r="BN32" s="434"/>
      <c r="BO32" s="434"/>
      <c r="BP32" s="434"/>
    </row>
    <row r="33" spans="1:68" ht="16.350000000000001" customHeight="1" thickBot="1">
      <c r="A33" s="434"/>
      <c r="B33" s="3324"/>
      <c r="C33" s="3325"/>
      <c r="D33" s="3325"/>
      <c r="E33" s="3325"/>
      <c r="F33" s="3326"/>
      <c r="G33" s="3260" t="s">
        <v>1392</v>
      </c>
      <c r="H33" s="3261"/>
      <c r="I33" s="3261"/>
      <c r="J33" s="3261"/>
      <c r="K33" s="3261"/>
      <c r="L33" s="3261"/>
      <c r="M33" s="3261"/>
      <c r="N33" s="3261"/>
      <c r="O33" s="3261"/>
      <c r="P33" s="3261"/>
      <c r="Q33" s="3261"/>
      <c r="R33" s="3261"/>
      <c r="S33" s="3261"/>
      <c r="T33" s="3262"/>
      <c r="U33" s="3284" t="s">
        <v>11412</v>
      </c>
      <c r="V33" s="3285"/>
      <c r="W33" s="3285"/>
      <c r="X33" s="3285"/>
      <c r="Y33" s="3285"/>
      <c r="Z33" s="3286"/>
      <c r="AA33" s="3266" t="s">
        <v>11413</v>
      </c>
      <c r="AB33" s="3267"/>
      <c r="AC33" s="3267"/>
      <c r="AD33" s="3267"/>
      <c r="AE33" s="3267"/>
      <c r="AF33" s="3267"/>
      <c r="AG33" s="3267"/>
      <c r="AH33" s="3268"/>
      <c r="AI33" s="3260" t="s">
        <v>1392</v>
      </c>
      <c r="AJ33" s="3261"/>
      <c r="AK33" s="3261"/>
      <c r="AL33" s="3261"/>
      <c r="AM33" s="3261"/>
      <c r="AN33" s="3261"/>
      <c r="AO33" s="3261"/>
      <c r="AP33" s="3261"/>
      <c r="AQ33" s="3261"/>
      <c r="AR33" s="3261"/>
      <c r="AS33" s="3261"/>
      <c r="AT33" s="3261"/>
      <c r="AU33" s="3261"/>
      <c r="AV33" s="3262"/>
      <c r="AW33" s="3263" t="s">
        <v>11412</v>
      </c>
      <c r="AX33" s="3264"/>
      <c r="AY33" s="3264"/>
      <c r="AZ33" s="3264"/>
      <c r="BA33" s="3264"/>
      <c r="BB33" s="3265"/>
      <c r="BC33" s="3266" t="s">
        <v>11413</v>
      </c>
      <c r="BD33" s="3267"/>
      <c r="BE33" s="3267"/>
      <c r="BF33" s="3267"/>
      <c r="BG33" s="3267"/>
      <c r="BH33" s="3267"/>
      <c r="BI33" s="3267"/>
      <c r="BJ33" s="3268"/>
      <c r="BK33" s="434"/>
      <c r="BL33" s="434"/>
      <c r="BM33" s="434"/>
      <c r="BN33" s="434"/>
      <c r="BO33" s="434"/>
      <c r="BP33" s="434"/>
    </row>
    <row r="34" spans="1:68" ht="16.5" thickBot="1">
      <c r="A34" s="434"/>
      <c r="B34" s="3327"/>
      <c r="C34" s="3328"/>
      <c r="D34" s="3328"/>
      <c r="E34" s="3328"/>
      <c r="F34" s="3329"/>
      <c r="G34" s="3299" t="s">
        <v>834</v>
      </c>
      <c r="H34" s="3296"/>
      <c r="I34" s="3295" t="s">
        <v>835</v>
      </c>
      <c r="J34" s="3296"/>
      <c r="K34" s="3295" t="s">
        <v>836</v>
      </c>
      <c r="L34" s="3296"/>
      <c r="M34" s="3295" t="s">
        <v>837</v>
      </c>
      <c r="N34" s="3296"/>
      <c r="O34" s="3295" t="s">
        <v>1393</v>
      </c>
      <c r="P34" s="3296"/>
      <c r="Q34" s="3295" t="s">
        <v>839</v>
      </c>
      <c r="R34" s="3296"/>
      <c r="S34" s="3295" t="s">
        <v>828</v>
      </c>
      <c r="T34" s="3298"/>
      <c r="U34" s="3292" t="s">
        <v>828</v>
      </c>
      <c r="V34" s="3293"/>
      <c r="W34" s="3291" t="s">
        <v>829</v>
      </c>
      <c r="X34" s="3291"/>
      <c r="Y34" s="3293" t="s">
        <v>830</v>
      </c>
      <c r="Z34" s="3294"/>
      <c r="AA34" s="3314" t="s">
        <v>11880</v>
      </c>
      <c r="AB34" s="3291"/>
      <c r="AC34" s="3291" t="s">
        <v>831</v>
      </c>
      <c r="AD34" s="3291"/>
      <c r="AE34" s="3295" t="s">
        <v>832</v>
      </c>
      <c r="AF34" s="3296"/>
      <c r="AG34" s="3297" t="s">
        <v>833</v>
      </c>
      <c r="AH34" s="3298"/>
      <c r="AI34" s="3299" t="s">
        <v>834</v>
      </c>
      <c r="AJ34" s="3296"/>
      <c r="AK34" s="3295" t="s">
        <v>835</v>
      </c>
      <c r="AL34" s="3296"/>
      <c r="AM34" s="3295" t="s">
        <v>836</v>
      </c>
      <c r="AN34" s="3296"/>
      <c r="AO34" s="3295" t="s">
        <v>837</v>
      </c>
      <c r="AP34" s="3296"/>
      <c r="AQ34" s="3295" t="s">
        <v>1393</v>
      </c>
      <c r="AR34" s="3296"/>
      <c r="AS34" s="3295" t="s">
        <v>839</v>
      </c>
      <c r="AT34" s="3296"/>
      <c r="AU34" s="3295" t="s">
        <v>828</v>
      </c>
      <c r="AV34" s="3298"/>
      <c r="AW34" s="3292" t="s">
        <v>828</v>
      </c>
      <c r="AX34" s="3293"/>
      <c r="AY34" s="3291" t="s">
        <v>829</v>
      </c>
      <c r="AZ34" s="3291"/>
      <c r="BA34" s="3293" t="s">
        <v>830</v>
      </c>
      <c r="BB34" s="3294"/>
      <c r="BC34" s="3314" t="s">
        <v>11880</v>
      </c>
      <c r="BD34" s="3291"/>
      <c r="BE34" s="3291" t="s">
        <v>831</v>
      </c>
      <c r="BF34" s="3291"/>
      <c r="BG34" s="3291" t="s">
        <v>832</v>
      </c>
      <c r="BH34" s="3291"/>
      <c r="BI34" s="3291" t="s">
        <v>833</v>
      </c>
      <c r="BJ34" s="3302"/>
      <c r="BK34" s="434"/>
      <c r="BL34" s="434"/>
      <c r="BM34" s="434"/>
      <c r="BN34" s="434"/>
      <c r="BO34" s="434"/>
      <c r="BP34" s="434"/>
    </row>
    <row r="35" spans="1:68" ht="25.5" customHeight="1">
      <c r="A35" s="434"/>
      <c r="B35" s="3310" t="s">
        <v>967</v>
      </c>
      <c r="C35" s="3311"/>
      <c r="D35" s="3311"/>
      <c r="E35" s="3311"/>
      <c r="F35" s="3312"/>
      <c r="G35" s="3313">
        <v>0</v>
      </c>
      <c r="H35" s="3308"/>
      <c r="I35" s="3307">
        <v>0</v>
      </c>
      <c r="J35" s="3308"/>
      <c r="K35" s="3307">
        <v>0</v>
      </c>
      <c r="L35" s="3308"/>
      <c r="M35" s="3307">
        <v>0</v>
      </c>
      <c r="N35" s="3308"/>
      <c r="O35" s="3307">
        <v>0</v>
      </c>
      <c r="P35" s="3308"/>
      <c r="Q35" s="3307">
        <v>0</v>
      </c>
      <c r="R35" s="3308"/>
      <c r="S35" s="3307">
        <v>0</v>
      </c>
      <c r="T35" s="3309"/>
      <c r="U35" s="3271">
        <v>0</v>
      </c>
      <c r="V35" s="3272"/>
      <c r="W35" s="3272">
        <v>0</v>
      </c>
      <c r="X35" s="3272"/>
      <c r="Y35" s="3272">
        <v>0</v>
      </c>
      <c r="Z35" s="3300"/>
      <c r="AA35" s="3271">
        <v>0</v>
      </c>
      <c r="AB35" s="3272"/>
      <c r="AC35" s="3272">
        <v>0</v>
      </c>
      <c r="AD35" s="3272"/>
      <c r="AE35" s="3307">
        <v>0</v>
      </c>
      <c r="AF35" s="3308"/>
      <c r="AG35" s="3351">
        <v>0</v>
      </c>
      <c r="AH35" s="3309"/>
      <c r="AI35" s="3313">
        <v>0</v>
      </c>
      <c r="AJ35" s="3308"/>
      <c r="AK35" s="3307">
        <v>0</v>
      </c>
      <c r="AL35" s="3308"/>
      <c r="AM35" s="3307">
        <v>0</v>
      </c>
      <c r="AN35" s="3308"/>
      <c r="AO35" s="3307">
        <v>0</v>
      </c>
      <c r="AP35" s="3308"/>
      <c r="AQ35" s="3307">
        <v>0</v>
      </c>
      <c r="AR35" s="3308"/>
      <c r="AS35" s="3307">
        <v>0</v>
      </c>
      <c r="AT35" s="3308"/>
      <c r="AU35" s="3307">
        <v>0</v>
      </c>
      <c r="AV35" s="3309"/>
      <c r="AW35" s="3271">
        <v>0</v>
      </c>
      <c r="AX35" s="3272"/>
      <c r="AY35" s="3272">
        <v>0</v>
      </c>
      <c r="AZ35" s="3272"/>
      <c r="BA35" s="3272">
        <v>0</v>
      </c>
      <c r="BB35" s="3300"/>
      <c r="BC35" s="3271">
        <v>0</v>
      </c>
      <c r="BD35" s="3272"/>
      <c r="BE35" s="3272">
        <v>0</v>
      </c>
      <c r="BF35" s="3272"/>
      <c r="BG35" s="3272">
        <v>0</v>
      </c>
      <c r="BH35" s="3272"/>
      <c r="BI35" s="3272">
        <v>0</v>
      </c>
      <c r="BJ35" s="3300"/>
      <c r="BK35" s="434"/>
      <c r="BL35" s="434"/>
      <c r="BM35" s="434"/>
      <c r="BN35" s="434"/>
      <c r="BO35" s="434"/>
      <c r="BP35" s="434"/>
    </row>
    <row r="36" spans="1:68" ht="25.5" customHeight="1" thickBot="1">
      <c r="A36" s="434"/>
      <c r="B36" s="3303" t="s">
        <v>1012</v>
      </c>
      <c r="C36" s="3304"/>
      <c r="D36" s="3304"/>
      <c r="E36" s="3304"/>
      <c r="F36" s="3305"/>
      <c r="G36" s="3306">
        <v>0</v>
      </c>
      <c r="H36" s="3283"/>
      <c r="I36" s="3282">
        <v>0</v>
      </c>
      <c r="J36" s="3283"/>
      <c r="K36" s="3282">
        <v>0</v>
      </c>
      <c r="L36" s="3283"/>
      <c r="M36" s="3282">
        <v>0</v>
      </c>
      <c r="N36" s="3283"/>
      <c r="O36" s="3282">
        <v>0</v>
      </c>
      <c r="P36" s="3283"/>
      <c r="Q36" s="3282">
        <v>0</v>
      </c>
      <c r="R36" s="3283"/>
      <c r="S36" s="3282">
        <v>0</v>
      </c>
      <c r="T36" s="3288"/>
      <c r="U36" s="3289">
        <v>0</v>
      </c>
      <c r="V36" s="3290"/>
      <c r="W36" s="3290">
        <v>0</v>
      </c>
      <c r="X36" s="3290"/>
      <c r="Y36" s="3290">
        <v>0</v>
      </c>
      <c r="Z36" s="3301"/>
      <c r="AA36" s="3289">
        <v>0</v>
      </c>
      <c r="AB36" s="3290"/>
      <c r="AC36" s="3290">
        <v>0</v>
      </c>
      <c r="AD36" s="3290"/>
      <c r="AE36" s="3282">
        <v>0</v>
      </c>
      <c r="AF36" s="3283"/>
      <c r="AG36" s="3287">
        <v>0</v>
      </c>
      <c r="AH36" s="3288"/>
      <c r="AI36" s="3306">
        <v>0</v>
      </c>
      <c r="AJ36" s="3283"/>
      <c r="AK36" s="3282">
        <v>0</v>
      </c>
      <c r="AL36" s="3283"/>
      <c r="AM36" s="3282">
        <v>0</v>
      </c>
      <c r="AN36" s="3283"/>
      <c r="AO36" s="3282">
        <v>0</v>
      </c>
      <c r="AP36" s="3283"/>
      <c r="AQ36" s="3282">
        <v>0</v>
      </c>
      <c r="AR36" s="3283"/>
      <c r="AS36" s="3282">
        <v>0</v>
      </c>
      <c r="AT36" s="3283"/>
      <c r="AU36" s="3282">
        <v>0</v>
      </c>
      <c r="AV36" s="3288"/>
      <c r="AW36" s="3289">
        <v>0</v>
      </c>
      <c r="AX36" s="3290"/>
      <c r="AY36" s="3290">
        <v>0</v>
      </c>
      <c r="AZ36" s="3290"/>
      <c r="BA36" s="3290">
        <v>0</v>
      </c>
      <c r="BB36" s="3301"/>
      <c r="BC36" s="3289">
        <v>0</v>
      </c>
      <c r="BD36" s="3290"/>
      <c r="BE36" s="3290">
        <v>0</v>
      </c>
      <c r="BF36" s="3290"/>
      <c r="BG36" s="3290">
        <v>0</v>
      </c>
      <c r="BH36" s="3290"/>
      <c r="BI36" s="3290">
        <v>0</v>
      </c>
      <c r="BJ36" s="3301"/>
      <c r="BK36" s="434"/>
      <c r="BL36" s="434"/>
      <c r="BM36" s="434"/>
      <c r="BN36" s="434"/>
      <c r="BO36" s="434"/>
      <c r="BP36" s="434"/>
    </row>
    <row r="37" spans="1:68" ht="25.5" customHeight="1" thickTop="1" thickBot="1">
      <c r="A37" s="434"/>
      <c r="B37" s="3278" t="s">
        <v>42</v>
      </c>
      <c r="C37" s="3279"/>
      <c r="D37" s="3279"/>
      <c r="E37" s="3279"/>
      <c r="F37" s="3280"/>
      <c r="G37" s="3281">
        <f>SUM(G35:H36)</f>
        <v>0</v>
      </c>
      <c r="H37" s="3270"/>
      <c r="I37" s="3269">
        <f>SUM(I35:J36)</f>
        <v>0</v>
      </c>
      <c r="J37" s="3270"/>
      <c r="K37" s="3269">
        <f>SUM(K35:L36)</f>
        <v>0</v>
      </c>
      <c r="L37" s="3270"/>
      <c r="M37" s="3269">
        <f>SUM(M35:N36)</f>
        <v>0</v>
      </c>
      <c r="N37" s="3270"/>
      <c r="O37" s="3269">
        <f>SUM(O35:P36)</f>
        <v>0</v>
      </c>
      <c r="P37" s="3270"/>
      <c r="Q37" s="3269">
        <f>SUM(Q35:R36)</f>
        <v>0</v>
      </c>
      <c r="R37" s="3270"/>
      <c r="S37" s="3269">
        <f>SUM(S35:T36)</f>
        <v>0</v>
      </c>
      <c r="T37" s="3277"/>
      <c r="U37" s="3274">
        <f>SUM(U35:V36)</f>
        <v>0</v>
      </c>
      <c r="V37" s="3275"/>
      <c r="W37" s="3275">
        <f>SUM(W35:X36)</f>
        <v>0</v>
      </c>
      <c r="X37" s="3275"/>
      <c r="Y37" s="3275">
        <f>SUM(Y35:Z36)</f>
        <v>0</v>
      </c>
      <c r="Z37" s="3276"/>
      <c r="AA37" s="3274">
        <f t="shared" ref="AA37" si="0">SUM(AA35:AB36)</f>
        <v>0</v>
      </c>
      <c r="AB37" s="3275"/>
      <c r="AC37" s="3275">
        <f t="shared" ref="AC37" si="1">SUM(AC35:AD36)</f>
        <v>0</v>
      </c>
      <c r="AD37" s="3275"/>
      <c r="AE37" s="3269">
        <f t="shared" ref="AE37" si="2">SUM(AE35:AF36)</f>
        <v>0</v>
      </c>
      <c r="AF37" s="3270"/>
      <c r="AG37" s="3273">
        <f t="shared" ref="AG37" si="3">SUM(AG35:AH36)</f>
        <v>0</v>
      </c>
      <c r="AH37" s="3270"/>
      <c r="AI37" s="3281">
        <f t="shared" ref="AI37" si="4">SUM(AI35:AJ36)</f>
        <v>0</v>
      </c>
      <c r="AJ37" s="3270"/>
      <c r="AK37" s="3269">
        <f t="shared" ref="AK37" si="5">SUM(AK35:AL36)</f>
        <v>0</v>
      </c>
      <c r="AL37" s="3270"/>
      <c r="AM37" s="3269">
        <f t="shared" ref="AM37" si="6">SUM(AM35:AN36)</f>
        <v>0</v>
      </c>
      <c r="AN37" s="3270"/>
      <c r="AO37" s="3269">
        <f t="shared" ref="AO37" si="7">SUM(AO35:AP36)</f>
        <v>0</v>
      </c>
      <c r="AP37" s="3270"/>
      <c r="AQ37" s="3269">
        <f t="shared" ref="AQ37" si="8">SUM(AQ35:AR36)</f>
        <v>0</v>
      </c>
      <c r="AR37" s="3270"/>
      <c r="AS37" s="3269">
        <f t="shared" ref="AS37" si="9">SUM(AS35:AT36)</f>
        <v>0</v>
      </c>
      <c r="AT37" s="3270"/>
      <c r="AU37" s="3269">
        <f t="shared" ref="AU37" si="10">SUM(AU35:AV36)</f>
        <v>0</v>
      </c>
      <c r="AV37" s="3277"/>
      <c r="AW37" s="3274">
        <f t="shared" ref="AW37" si="11">SUM(AW35:AX36)</f>
        <v>0</v>
      </c>
      <c r="AX37" s="3275"/>
      <c r="AY37" s="3275">
        <f t="shared" ref="AY37" si="12">SUM(AY35:AZ36)</f>
        <v>0</v>
      </c>
      <c r="AZ37" s="3275"/>
      <c r="BA37" s="3275">
        <f t="shared" ref="BA37" si="13">SUM(BA35:BB36)</f>
        <v>0</v>
      </c>
      <c r="BB37" s="3276"/>
      <c r="BC37" s="3274">
        <f t="shared" ref="BC37" si="14">SUM(BC35:BD36)</f>
        <v>0</v>
      </c>
      <c r="BD37" s="3275"/>
      <c r="BE37" s="3275">
        <f t="shared" ref="BE37" si="15">SUM(BE35:BF36)</f>
        <v>0</v>
      </c>
      <c r="BF37" s="3275"/>
      <c r="BG37" s="3275">
        <f t="shared" ref="BG37" si="16">SUM(BG35:BH36)</f>
        <v>0</v>
      </c>
      <c r="BH37" s="3275"/>
      <c r="BI37" s="3275">
        <f t="shared" ref="BI37" si="17">SUM(BI35:BJ36)</f>
        <v>0</v>
      </c>
      <c r="BJ37" s="3276"/>
      <c r="BK37" s="434"/>
      <c r="BL37" s="434"/>
      <c r="BM37" s="434"/>
      <c r="BN37" s="434"/>
      <c r="BO37" s="434"/>
      <c r="BP37" s="434"/>
    </row>
    <row r="38" spans="1:68" ht="30.6" customHeight="1">
      <c r="A38" s="434"/>
      <c r="B38" s="434"/>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4"/>
      <c r="AU38" s="434"/>
      <c r="AV38" s="434"/>
      <c r="AW38" s="434"/>
      <c r="AX38" s="434"/>
      <c r="AY38" s="434"/>
      <c r="AZ38" s="434"/>
      <c r="BA38" s="434"/>
      <c r="BB38" s="434"/>
      <c r="BC38" s="434"/>
      <c r="BD38" s="434"/>
      <c r="BE38" s="434"/>
      <c r="BF38" s="434"/>
      <c r="BG38" s="434"/>
      <c r="BH38" s="434"/>
      <c r="BI38" s="434"/>
      <c r="BJ38" s="434"/>
      <c r="BK38" s="434"/>
      <c r="BL38" s="434"/>
      <c r="BM38" s="434"/>
      <c r="BN38" s="434"/>
      <c r="BO38" s="434"/>
      <c r="BP38" s="434"/>
    </row>
    <row r="39" spans="1:68" s="37" customFormat="1" ht="15">
      <c r="A39" s="263"/>
      <c r="B39" s="332" t="s">
        <v>32</v>
      </c>
      <c r="C39" s="263"/>
      <c r="D39" s="263"/>
      <c r="E39" s="263"/>
      <c r="F39" s="263"/>
      <c r="G39" s="263"/>
      <c r="H39" s="263"/>
      <c r="I39" s="263"/>
      <c r="J39" s="263"/>
      <c r="K39" s="263"/>
      <c r="L39" s="263"/>
      <c r="M39" s="263"/>
      <c r="N39" s="263"/>
      <c r="O39" s="263"/>
      <c r="P39" s="263"/>
      <c r="Q39" s="263"/>
      <c r="R39" s="263"/>
      <c r="S39" s="263"/>
      <c r="T39" s="263"/>
      <c r="U39" s="263"/>
      <c r="V39" s="263"/>
      <c r="W39" s="332" t="s">
        <v>577</v>
      </c>
      <c r="X39" s="263"/>
      <c r="Y39" s="263"/>
      <c r="Z39" s="263"/>
      <c r="AA39" s="263"/>
      <c r="AB39" s="263"/>
      <c r="AC39" s="263"/>
      <c r="AD39" s="263"/>
      <c r="AE39" s="263"/>
      <c r="AF39" s="263"/>
      <c r="AG39" s="263"/>
      <c r="AH39" s="263"/>
      <c r="AI39" s="263"/>
      <c r="AJ39" s="263"/>
      <c r="AK39" s="263"/>
      <c r="AL39" s="263"/>
      <c r="AM39" s="263"/>
      <c r="AN39" s="263"/>
      <c r="AO39" s="263"/>
      <c r="AP39" s="263"/>
      <c r="AQ39" s="263"/>
      <c r="AR39" s="332" t="s">
        <v>33</v>
      </c>
      <c r="AS39" s="263"/>
      <c r="AT39" s="263"/>
      <c r="AU39" s="263"/>
      <c r="AV39" s="263"/>
      <c r="AW39" s="263"/>
      <c r="AX39" s="263"/>
      <c r="AY39" s="263"/>
      <c r="AZ39" s="263"/>
      <c r="BA39" s="263"/>
      <c r="BB39" s="263"/>
      <c r="BC39" s="263"/>
      <c r="BD39" s="263"/>
      <c r="BE39" s="263"/>
      <c r="BF39" s="263"/>
      <c r="BG39" s="263"/>
      <c r="BH39" s="263"/>
      <c r="BI39" s="263"/>
      <c r="BJ39" s="263"/>
      <c r="BK39" s="263"/>
      <c r="BL39" s="263"/>
      <c r="BM39" s="263"/>
      <c r="BN39" s="263"/>
      <c r="BO39" s="263"/>
      <c r="BP39" s="263"/>
    </row>
    <row r="40" spans="1:68" s="37" customFormat="1" ht="21.75" customHeight="1">
      <c r="A40" s="263"/>
      <c r="B40" s="332" t="s">
        <v>75</v>
      </c>
      <c r="C40" s="263"/>
      <c r="D40" s="263"/>
      <c r="E40" s="263"/>
      <c r="F40" s="2790" t="str">
        <f>activesheet!E21</f>
        <v>MELCHESIEDICK Q. BOLANIO / March 17, 2023</v>
      </c>
      <c r="G40" s="2790"/>
      <c r="H40" s="2790"/>
      <c r="I40" s="2790"/>
      <c r="J40" s="2790"/>
      <c r="K40" s="2790"/>
      <c r="L40" s="2790"/>
      <c r="M40" s="2790"/>
      <c r="N40" s="2790"/>
      <c r="O40" s="2790"/>
      <c r="P40" s="2790"/>
      <c r="Q40" s="2790"/>
      <c r="R40" s="2790"/>
      <c r="S40" s="2790"/>
      <c r="T40" s="823"/>
      <c r="U40" s="263"/>
      <c r="V40" s="263"/>
      <c r="W40" s="2790" t="str">
        <f>activesheet!E2417</f>
        <v>RACQUEL N. ACOMPANADO / March 17, 2023</v>
      </c>
      <c r="X40" s="2790"/>
      <c r="Y40" s="2790"/>
      <c r="Z40" s="2790"/>
      <c r="AA40" s="2790"/>
      <c r="AB40" s="2790"/>
      <c r="AC40" s="2790"/>
      <c r="AD40" s="2790"/>
      <c r="AE40" s="2790"/>
      <c r="AF40" s="2790"/>
      <c r="AG40" s="2790"/>
      <c r="AH40" s="2790"/>
      <c r="AI40" s="2790"/>
      <c r="AJ40" s="2790"/>
      <c r="AK40" s="2790"/>
      <c r="AL40" s="2790"/>
      <c r="AM40" s="2790"/>
      <c r="AN40" s="2790"/>
      <c r="AO40" s="823"/>
      <c r="AP40" s="263"/>
      <c r="AQ40" s="263"/>
      <c r="AR40" s="1819" t="str">
        <f>activesheet!E25</f>
        <v>MICHAEL T. JAMIS / March 17, 2023</v>
      </c>
      <c r="AS40" s="1819"/>
      <c r="AT40" s="1819"/>
      <c r="AU40" s="1819"/>
      <c r="AV40" s="1819"/>
      <c r="AW40" s="1819"/>
      <c r="AX40" s="1819"/>
      <c r="AY40" s="1819"/>
      <c r="AZ40" s="1819"/>
      <c r="BA40" s="1819"/>
      <c r="BB40" s="1819"/>
      <c r="BC40" s="1819"/>
      <c r="BD40" s="1819"/>
      <c r="BE40" s="1819"/>
      <c r="BF40" s="1819"/>
      <c r="BG40" s="1819"/>
      <c r="BH40" s="1819"/>
      <c r="BI40" s="1819"/>
      <c r="BJ40" s="263"/>
      <c r="BK40" s="263"/>
      <c r="BL40" s="263"/>
      <c r="BM40" s="263"/>
      <c r="BN40" s="263"/>
      <c r="BO40" s="263"/>
      <c r="BP40" s="263"/>
    </row>
    <row r="41" spans="1:68" s="39" customFormat="1" ht="13.5" customHeight="1">
      <c r="A41" s="280"/>
      <c r="B41" s="228"/>
      <c r="C41" s="280"/>
      <c r="D41" s="280"/>
      <c r="E41" s="280"/>
      <c r="F41" s="1811" t="s">
        <v>37</v>
      </c>
      <c r="G41" s="1811"/>
      <c r="H41" s="1811"/>
      <c r="I41" s="1811"/>
      <c r="J41" s="1811"/>
      <c r="K41" s="1811"/>
      <c r="L41" s="1811"/>
      <c r="M41" s="1811"/>
      <c r="N41" s="1811"/>
      <c r="O41" s="1811"/>
      <c r="P41" s="1811"/>
      <c r="Q41" s="1811"/>
      <c r="R41" s="1811"/>
      <c r="S41" s="1811"/>
      <c r="T41" s="247"/>
      <c r="U41" s="358"/>
      <c r="V41" s="281"/>
      <c r="W41" s="1811" t="s">
        <v>37</v>
      </c>
      <c r="X41" s="1811"/>
      <c r="Y41" s="1811"/>
      <c r="Z41" s="1811"/>
      <c r="AA41" s="1811"/>
      <c r="AB41" s="1811"/>
      <c r="AC41" s="1811"/>
      <c r="AD41" s="1811"/>
      <c r="AE41" s="1811"/>
      <c r="AF41" s="1811"/>
      <c r="AG41" s="1811"/>
      <c r="AH41" s="1811"/>
      <c r="AI41" s="1811"/>
      <c r="AJ41" s="1811"/>
      <c r="AK41" s="1811"/>
      <c r="AL41" s="1811"/>
      <c r="AM41" s="1811"/>
      <c r="AN41" s="1811"/>
      <c r="AO41" s="247"/>
      <c r="AP41" s="280"/>
      <c r="AQ41" s="280"/>
      <c r="AR41" s="1820"/>
      <c r="AS41" s="1820"/>
      <c r="AT41" s="1820"/>
      <c r="AU41" s="1820"/>
      <c r="AV41" s="1820"/>
      <c r="AW41" s="1820"/>
      <c r="AX41" s="1820"/>
      <c r="AY41" s="1820"/>
      <c r="AZ41" s="1820"/>
      <c r="BA41" s="1820"/>
      <c r="BB41" s="1820"/>
      <c r="BC41" s="1820"/>
      <c r="BD41" s="1820"/>
      <c r="BE41" s="1820"/>
      <c r="BF41" s="1820"/>
      <c r="BG41" s="1820"/>
      <c r="BH41" s="1820"/>
      <c r="BI41" s="1820"/>
      <c r="BJ41" s="280"/>
      <c r="BK41" s="280"/>
      <c r="BL41" s="280"/>
      <c r="BM41" s="280"/>
      <c r="BN41" s="280"/>
      <c r="BO41" s="280"/>
      <c r="BP41" s="280"/>
    </row>
    <row r="42" spans="1:68" s="37" customFormat="1" ht="21.75" customHeight="1">
      <c r="A42" s="263"/>
      <c r="B42" s="332" t="s">
        <v>58</v>
      </c>
      <c r="C42" s="263"/>
      <c r="D42" s="263"/>
      <c r="E42" s="263"/>
      <c r="F42" s="2790" t="str">
        <f>activesheet!E22</f>
        <v>SECONDARY SCHOOL PRINCIPAL IV</v>
      </c>
      <c r="G42" s="2790"/>
      <c r="H42" s="2790"/>
      <c r="I42" s="2790"/>
      <c r="J42" s="2790"/>
      <c r="K42" s="2790"/>
      <c r="L42" s="2790"/>
      <c r="M42" s="2790"/>
      <c r="N42" s="2790"/>
      <c r="O42" s="2790"/>
      <c r="P42" s="2790"/>
      <c r="Q42" s="2790"/>
      <c r="R42" s="2790"/>
      <c r="S42" s="2790"/>
      <c r="T42" s="823"/>
      <c r="U42" s="263"/>
      <c r="V42" s="263"/>
      <c r="W42" s="332" t="s">
        <v>58</v>
      </c>
      <c r="X42" s="263"/>
      <c r="Y42" s="263"/>
      <c r="Z42" s="263"/>
      <c r="AA42" s="2790" t="str">
        <f>activesheet!E2418</f>
        <v>NURSE II</v>
      </c>
      <c r="AB42" s="2790"/>
      <c r="AC42" s="2790"/>
      <c r="AD42" s="2790"/>
      <c r="AE42" s="2790"/>
      <c r="AF42" s="2790"/>
      <c r="AG42" s="2790"/>
      <c r="AH42" s="2790"/>
      <c r="AI42" s="2790"/>
      <c r="AJ42" s="2790"/>
      <c r="AK42" s="2790"/>
      <c r="AL42" s="2790"/>
      <c r="AM42" s="2790"/>
      <c r="AN42" s="2790"/>
      <c r="AO42" s="823"/>
      <c r="AP42" s="263"/>
      <c r="AQ42" s="263"/>
      <c r="AR42" s="1811" t="s">
        <v>37</v>
      </c>
      <c r="AS42" s="1811"/>
      <c r="AT42" s="1811"/>
      <c r="AU42" s="1811"/>
      <c r="AV42" s="1811"/>
      <c r="AW42" s="1811"/>
      <c r="AX42" s="1811"/>
      <c r="AY42" s="1811"/>
      <c r="AZ42" s="1811"/>
      <c r="BA42" s="1811"/>
      <c r="BB42" s="1811"/>
      <c r="BC42" s="1811"/>
      <c r="BD42" s="1811"/>
      <c r="BE42" s="1811"/>
      <c r="BF42" s="1811"/>
      <c r="BG42" s="1811"/>
      <c r="BH42" s="1811"/>
      <c r="BI42" s="1811"/>
      <c r="BJ42" s="263"/>
      <c r="BK42" s="263"/>
      <c r="BL42" s="263"/>
      <c r="BM42" s="263"/>
      <c r="BN42" s="263"/>
      <c r="BO42" s="263"/>
      <c r="BP42" s="263"/>
    </row>
    <row r="43" spans="1:68" s="37" customFormat="1" ht="15.6" customHeight="1">
      <c r="A43" s="263"/>
      <c r="B43" s="263"/>
      <c r="C43" s="263"/>
      <c r="D43" s="263"/>
      <c r="E43" s="263"/>
      <c r="F43" s="263"/>
      <c r="G43" s="263"/>
      <c r="H43" s="263"/>
      <c r="I43" s="263"/>
      <c r="J43" s="263"/>
      <c r="K43" s="263"/>
      <c r="L43" s="263"/>
      <c r="M43" s="263"/>
      <c r="N43" s="263"/>
      <c r="O43" s="263"/>
      <c r="P43" s="263"/>
      <c r="Q43" s="263"/>
      <c r="R43" s="263"/>
      <c r="S43" s="263"/>
      <c r="T43" s="263"/>
      <c r="U43" s="263"/>
      <c r="V43" s="263"/>
      <c r="W43" s="263"/>
      <c r="X43" s="263"/>
      <c r="Y43" s="263"/>
      <c r="Z43" s="263"/>
      <c r="AA43" s="263"/>
      <c r="AB43" s="263"/>
      <c r="AC43" s="263"/>
      <c r="AD43" s="263"/>
      <c r="AE43" s="263"/>
      <c r="AF43" s="263"/>
      <c r="AG43" s="263"/>
      <c r="AH43" s="263"/>
      <c r="AI43" s="263"/>
      <c r="AJ43" s="263"/>
      <c r="AK43" s="263"/>
      <c r="AL43" s="263"/>
      <c r="AM43" s="263"/>
      <c r="AN43" s="263"/>
      <c r="AO43" s="263"/>
      <c r="AP43" s="263"/>
      <c r="AQ43" s="263"/>
      <c r="AR43" s="263"/>
      <c r="AS43" s="263"/>
      <c r="AT43" s="263"/>
      <c r="AU43" s="263"/>
      <c r="AV43" s="263"/>
      <c r="AW43" s="263"/>
      <c r="AX43" s="263"/>
      <c r="AY43" s="263"/>
      <c r="AZ43" s="263"/>
      <c r="BA43" s="263"/>
      <c r="BB43" s="263"/>
      <c r="BC43" s="263"/>
      <c r="BD43" s="263"/>
      <c r="BE43" s="263"/>
      <c r="BF43" s="263"/>
      <c r="BG43" s="263"/>
      <c r="BH43" s="263"/>
      <c r="BI43" s="263"/>
      <c r="BJ43" s="263"/>
      <c r="BK43" s="263"/>
      <c r="BL43" s="263"/>
      <c r="BM43" s="263"/>
      <c r="BN43" s="263"/>
      <c r="BO43" s="263"/>
      <c r="BP43" s="263"/>
    </row>
    <row r="44" spans="1:68" s="39" customFormat="1" ht="15">
      <c r="A44" s="280"/>
      <c r="B44" s="280"/>
      <c r="C44" s="280"/>
      <c r="D44" s="280"/>
      <c r="E44" s="280"/>
      <c r="F44" s="280"/>
      <c r="G44" s="280"/>
      <c r="H44" s="280"/>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63"/>
      <c r="AJ44" s="263"/>
      <c r="AK44" s="263"/>
      <c r="AL44" s="263"/>
      <c r="AM44" s="263"/>
      <c r="AN44" s="263"/>
      <c r="AO44" s="263"/>
      <c r="AP44" s="263"/>
      <c r="AQ44" s="263"/>
      <c r="AR44" s="263"/>
      <c r="AS44" s="263"/>
      <c r="AT44" s="263"/>
      <c r="AU44" s="263"/>
      <c r="AV44" s="280"/>
      <c r="AW44" s="280"/>
      <c r="AX44" s="280"/>
      <c r="AY44" s="280"/>
      <c r="AZ44" s="280"/>
      <c r="BA44" s="280"/>
      <c r="BB44" s="280"/>
      <c r="BC44" s="280"/>
      <c r="BD44" s="280"/>
      <c r="BE44" s="280"/>
      <c r="BF44" s="280"/>
      <c r="BG44" s="280"/>
      <c r="BH44" s="280"/>
      <c r="BI44" s="280"/>
      <c r="BJ44" s="280"/>
      <c r="BK44" s="280"/>
      <c r="BL44" s="280"/>
      <c r="BM44" s="280"/>
      <c r="BN44" s="280"/>
      <c r="BO44" s="280"/>
      <c r="BP44" s="280"/>
    </row>
    <row r="45" spans="1:68">
      <c r="A45" s="434"/>
      <c r="B45" s="434"/>
      <c r="C45" s="434"/>
      <c r="D45" s="434"/>
      <c r="E45" s="434"/>
      <c r="F45" s="434"/>
      <c r="G45" s="434"/>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280"/>
      <c r="AJ45" s="280"/>
      <c r="AK45" s="280"/>
      <c r="AL45" s="280"/>
      <c r="AM45" s="280"/>
      <c r="AN45" s="280"/>
      <c r="AO45" s="280"/>
      <c r="AP45" s="280"/>
      <c r="AQ45" s="280"/>
      <c r="AR45" s="280"/>
      <c r="AS45" s="280"/>
      <c r="AT45" s="280"/>
      <c r="AU45" s="280"/>
      <c r="AV45" s="434"/>
      <c r="AW45" s="434"/>
      <c r="AX45" s="434"/>
      <c r="AY45" s="434"/>
      <c r="AZ45" s="434"/>
      <c r="BA45" s="434"/>
      <c r="BB45" s="434"/>
      <c r="BC45" s="434"/>
      <c r="BD45" s="434"/>
      <c r="BE45" s="434"/>
      <c r="BF45" s="434"/>
      <c r="BG45" s="434"/>
      <c r="BH45" s="434"/>
      <c r="BI45" s="434"/>
      <c r="BJ45" s="434"/>
      <c r="BK45" s="434"/>
      <c r="BL45" s="434"/>
      <c r="BM45" s="434"/>
      <c r="BN45" s="434"/>
      <c r="BO45" s="434"/>
      <c r="BP45" s="434"/>
    </row>
    <row r="46" spans="1:68">
      <c r="A46" s="434"/>
      <c r="B46" s="434"/>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4"/>
      <c r="AU46" s="434"/>
      <c r="AV46" s="434"/>
      <c r="AW46" s="434"/>
      <c r="AX46" s="434"/>
      <c r="AY46" s="434"/>
      <c r="AZ46" s="434"/>
      <c r="BA46" s="434"/>
      <c r="BB46" s="434"/>
      <c r="BC46" s="434"/>
      <c r="BD46" s="434"/>
      <c r="BE46" s="434"/>
      <c r="BF46" s="434"/>
      <c r="BG46" s="434"/>
      <c r="BH46" s="434"/>
      <c r="BI46" s="434"/>
      <c r="BJ46" s="434"/>
      <c r="BK46" s="434"/>
      <c r="BL46" s="434"/>
      <c r="BM46" s="434"/>
      <c r="BN46" s="434"/>
      <c r="BO46" s="434"/>
      <c r="BP46" s="434"/>
    </row>
    <row r="47" spans="1:68">
      <c r="A47" s="434"/>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4"/>
      <c r="AU47" s="434"/>
      <c r="AV47" s="434"/>
      <c r="AW47" s="434"/>
      <c r="AX47" s="434"/>
      <c r="AY47" s="434"/>
      <c r="AZ47" s="434"/>
      <c r="BA47" s="434"/>
      <c r="BB47" s="434"/>
      <c r="BC47" s="434"/>
      <c r="BD47" s="434"/>
      <c r="BE47" s="434"/>
      <c r="BF47" s="434"/>
      <c r="BG47" s="434"/>
      <c r="BH47" s="434"/>
      <c r="BI47" s="434"/>
      <c r="BJ47" s="434"/>
      <c r="BK47" s="434"/>
      <c r="BL47" s="434"/>
      <c r="BM47" s="434"/>
      <c r="BN47" s="434"/>
      <c r="BO47" s="434"/>
      <c r="BP47" s="434"/>
    </row>
    <row r="48" spans="1:68">
      <c r="A48" s="434"/>
      <c r="B48" s="434"/>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row>
    <row r="49" spans="1:68">
      <c r="A49" s="434"/>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4"/>
      <c r="AU49" s="434"/>
      <c r="AV49" s="434"/>
      <c r="AW49" s="434"/>
      <c r="AX49" s="434"/>
      <c r="AY49" s="434"/>
      <c r="AZ49" s="434"/>
      <c r="BA49" s="434"/>
      <c r="BB49" s="434"/>
      <c r="BC49" s="434"/>
      <c r="BD49" s="434"/>
      <c r="BE49" s="434"/>
      <c r="BF49" s="434"/>
      <c r="BG49" s="434"/>
      <c r="BH49" s="434"/>
      <c r="BI49" s="434"/>
      <c r="BJ49" s="434"/>
      <c r="BK49" s="434"/>
      <c r="BL49" s="434"/>
      <c r="BM49" s="434"/>
      <c r="BN49" s="434"/>
      <c r="BO49" s="434"/>
      <c r="BP49" s="434"/>
    </row>
    <row r="50" spans="1:68">
      <c r="A50" s="434"/>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c r="AD50" s="434"/>
      <c r="AE50" s="434"/>
      <c r="AF50" s="434"/>
      <c r="AG50" s="434"/>
      <c r="AH50" s="434"/>
      <c r="AI50" s="434"/>
      <c r="AJ50" s="434"/>
      <c r="AK50" s="434"/>
      <c r="AL50" s="434"/>
      <c r="AM50" s="434"/>
      <c r="AN50" s="434"/>
      <c r="AO50" s="434"/>
      <c r="AP50" s="434"/>
      <c r="AQ50" s="434"/>
      <c r="AR50" s="434"/>
      <c r="AS50" s="434"/>
      <c r="AT50" s="434"/>
      <c r="AU50" s="434"/>
      <c r="AV50" s="434"/>
      <c r="AW50" s="434"/>
      <c r="AX50" s="434"/>
      <c r="AY50" s="434"/>
      <c r="AZ50" s="434"/>
      <c r="BA50" s="434"/>
      <c r="BB50" s="434"/>
      <c r="BC50" s="434"/>
      <c r="BD50" s="434"/>
      <c r="BE50" s="434"/>
      <c r="BF50" s="434"/>
      <c r="BG50" s="434"/>
      <c r="BH50" s="434"/>
      <c r="BI50" s="434"/>
      <c r="BJ50" s="434"/>
      <c r="BK50" s="434"/>
      <c r="BL50" s="434"/>
      <c r="BM50" s="434"/>
      <c r="BN50" s="434"/>
      <c r="BO50" s="434"/>
      <c r="BP50" s="434"/>
    </row>
    <row r="51" spans="1:68">
      <c r="A51" s="434"/>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c r="AD51" s="434"/>
      <c r="AE51" s="434"/>
      <c r="AF51" s="434"/>
      <c r="AG51" s="434"/>
      <c r="AH51" s="434"/>
      <c r="AI51" s="434"/>
      <c r="AJ51" s="434"/>
      <c r="AK51" s="434"/>
      <c r="AL51" s="434"/>
      <c r="AM51" s="434"/>
      <c r="AN51" s="434"/>
      <c r="AO51" s="434"/>
      <c r="AP51" s="434"/>
      <c r="AQ51" s="434"/>
      <c r="AR51" s="434"/>
      <c r="AS51" s="434"/>
      <c r="AT51" s="434"/>
      <c r="AU51" s="434"/>
      <c r="AV51" s="434"/>
      <c r="AW51" s="434"/>
      <c r="AX51" s="434"/>
      <c r="AY51" s="434"/>
      <c r="AZ51" s="434"/>
      <c r="BA51" s="434"/>
      <c r="BB51" s="434"/>
      <c r="BC51" s="434"/>
      <c r="BD51" s="434"/>
      <c r="BE51" s="434"/>
      <c r="BF51" s="434"/>
      <c r="BG51" s="434"/>
      <c r="BH51" s="434"/>
      <c r="BI51" s="434"/>
      <c r="BJ51" s="434"/>
      <c r="BK51" s="434"/>
      <c r="BL51" s="434"/>
      <c r="BM51" s="434"/>
      <c r="BN51" s="434"/>
      <c r="BO51" s="434"/>
      <c r="BP51" s="434"/>
    </row>
    <row r="52" spans="1:68">
      <c r="A52" s="434"/>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c r="AD52" s="434"/>
      <c r="AE52" s="434"/>
      <c r="AF52" s="434"/>
      <c r="AG52" s="434"/>
      <c r="AH52" s="434"/>
      <c r="AI52" s="434"/>
      <c r="AJ52" s="434"/>
      <c r="AK52" s="434"/>
      <c r="AL52" s="434"/>
      <c r="AM52" s="434"/>
      <c r="AN52" s="434"/>
      <c r="AO52" s="434"/>
      <c r="AP52" s="434"/>
      <c r="AQ52" s="434"/>
      <c r="AR52" s="434"/>
      <c r="AS52" s="434"/>
      <c r="AT52" s="434"/>
      <c r="AU52" s="434"/>
      <c r="AV52" s="434"/>
      <c r="AW52" s="434"/>
      <c r="AX52" s="434"/>
      <c r="AY52" s="434"/>
      <c r="AZ52" s="434"/>
      <c r="BA52" s="434"/>
      <c r="BB52" s="434"/>
      <c r="BC52" s="434"/>
      <c r="BD52" s="434"/>
      <c r="BE52" s="434"/>
      <c r="BF52" s="434"/>
      <c r="BG52" s="434"/>
      <c r="BH52" s="434"/>
      <c r="BI52" s="434"/>
      <c r="BJ52" s="434"/>
      <c r="BK52" s="434"/>
      <c r="BL52" s="434"/>
      <c r="BM52" s="434"/>
      <c r="BN52" s="434"/>
      <c r="BO52" s="434"/>
      <c r="BP52" s="434"/>
    </row>
    <row r="53" spans="1:68">
      <c r="A53" s="434"/>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c r="AD53" s="434"/>
      <c r="AE53" s="434"/>
      <c r="AF53" s="434"/>
      <c r="AG53" s="434"/>
      <c r="AH53" s="434"/>
      <c r="AI53" s="434"/>
      <c r="AJ53" s="434"/>
      <c r="AK53" s="434"/>
      <c r="AL53" s="434"/>
      <c r="AM53" s="434"/>
      <c r="AN53" s="434"/>
      <c r="AO53" s="434"/>
      <c r="AP53" s="434"/>
      <c r="AQ53" s="434"/>
      <c r="AR53" s="434"/>
      <c r="AS53" s="434"/>
      <c r="AT53" s="434"/>
      <c r="AU53" s="434"/>
      <c r="AV53" s="434"/>
      <c r="AW53" s="434"/>
      <c r="AX53" s="434"/>
      <c r="AY53" s="434"/>
      <c r="AZ53" s="434"/>
      <c r="BA53" s="434"/>
      <c r="BB53" s="434"/>
      <c r="BC53" s="434"/>
      <c r="BD53" s="434"/>
      <c r="BE53" s="434"/>
      <c r="BF53" s="434"/>
      <c r="BG53" s="434"/>
      <c r="BH53" s="434"/>
      <c r="BI53" s="434"/>
      <c r="BJ53" s="434"/>
      <c r="BK53" s="434"/>
      <c r="BL53" s="434"/>
      <c r="BM53" s="434"/>
      <c r="BN53" s="434"/>
      <c r="BO53" s="434"/>
      <c r="BP53" s="434"/>
    </row>
    <row r="54" spans="1:68">
      <c r="A54" s="434"/>
      <c r="B54" s="434"/>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c r="BB54" s="434"/>
      <c r="BC54" s="434"/>
      <c r="BD54" s="434"/>
      <c r="BE54" s="434"/>
      <c r="BF54" s="434"/>
      <c r="BG54" s="434"/>
      <c r="BH54" s="434"/>
      <c r="BI54" s="434"/>
      <c r="BJ54" s="434"/>
      <c r="BK54" s="434"/>
      <c r="BL54" s="434"/>
      <c r="BM54" s="434"/>
      <c r="BN54" s="434"/>
      <c r="BO54" s="434"/>
      <c r="BP54" s="434"/>
    </row>
    <row r="55" spans="1:68">
      <c r="A55" s="434"/>
      <c r="B55" s="434"/>
      <c r="C55" s="434"/>
      <c r="D55" s="434"/>
      <c r="E55" s="434"/>
      <c r="F55" s="434"/>
      <c r="G55" s="434"/>
      <c r="H55" s="434"/>
      <c r="I55" s="434"/>
      <c r="J55" s="434"/>
      <c r="K55" s="434"/>
      <c r="L55" s="434"/>
      <c r="M55" s="434"/>
      <c r="N55" s="434"/>
      <c r="O55" s="434"/>
      <c r="P55" s="434"/>
      <c r="Q55" s="434"/>
      <c r="R55" s="434"/>
      <c r="S55" s="434"/>
      <c r="T55" s="434"/>
      <c r="U55" s="434"/>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4"/>
      <c r="AU55" s="434"/>
      <c r="AV55" s="434"/>
      <c r="AW55" s="434"/>
      <c r="AX55" s="434"/>
      <c r="AY55" s="434"/>
      <c r="AZ55" s="434"/>
      <c r="BA55" s="434"/>
      <c r="BB55" s="434"/>
      <c r="BC55" s="434"/>
      <c r="BD55" s="434"/>
      <c r="BE55" s="434"/>
      <c r="BF55" s="434"/>
      <c r="BG55" s="434"/>
      <c r="BH55" s="434"/>
      <c r="BI55" s="434"/>
      <c r="BJ55" s="434"/>
      <c r="BK55" s="434"/>
      <c r="BL55" s="434"/>
      <c r="BM55" s="434"/>
      <c r="BN55" s="434"/>
      <c r="BO55" s="434"/>
      <c r="BP55" s="434"/>
    </row>
  </sheetData>
  <sheetProtection algorithmName="SHA-512" hashValue="PZv6v8lM+uCNEKBPJvJHNhbqHyHooy7OfX1ZCwXByqnshFQOntCqq3WsHn6c9eETNqHqyGneAeZdhlsYQGYAHQ==" saltValue="GAPfHb8qgOEVQaoRetA+eQ==" spinCount="100000" sheet="1" objects="1" scenarios="1"/>
  <customSheetViews>
    <customSheetView guid="{6EFEFCA0-BF14-457A-85A3-29CBF2A862A5}" showGridLines="0" fitToPage="1">
      <selection sqref="A1:BN44"/>
      <pageMargins left="0.23622047244094491" right="0.23622047244094491" top="0.19685039370078741" bottom="0.19685039370078741" header="0" footer="0.11811023622047245"/>
      <printOptions horizontalCentered="1" verticalCentered="1"/>
      <pageSetup paperSize="9" scale="56" orientation="landscape" r:id="rId1"/>
      <headerFooter>
        <oddFooter>&amp;L&amp;10&amp;F &amp;A&amp;R&amp;10Page 30 of 61</oddFooter>
      </headerFooter>
    </customSheetView>
  </customSheetViews>
  <mergeCells count="192">
    <mergeCell ref="AY36:AZ36"/>
    <mergeCell ref="BA36:BB36"/>
    <mergeCell ref="AG35:AH35"/>
    <mergeCell ref="W35:X35"/>
    <mergeCell ref="Y35:Z35"/>
    <mergeCell ref="AI35:AJ35"/>
    <mergeCell ref="AK35:AL35"/>
    <mergeCell ref="AM35:AN35"/>
    <mergeCell ref="AO35:AP35"/>
    <mergeCell ref="AQ35:AR35"/>
    <mergeCell ref="AS35:AT35"/>
    <mergeCell ref="AU35:AV35"/>
    <mergeCell ref="Y36:Z36"/>
    <mergeCell ref="AI36:AJ36"/>
    <mergeCell ref="AK36:AL36"/>
    <mergeCell ref="AM36:AN36"/>
    <mergeCell ref="AO36:AP36"/>
    <mergeCell ref="AQ36:AR36"/>
    <mergeCell ref="AS36:AT36"/>
    <mergeCell ref="AU36:AV36"/>
    <mergeCell ref="AW36:AX36"/>
    <mergeCell ref="B4:P5"/>
    <mergeCell ref="Q4:U5"/>
    <mergeCell ref="V4:Z5"/>
    <mergeCell ref="AA4:AE5"/>
    <mergeCell ref="B6:P6"/>
    <mergeCell ref="Q6:U6"/>
    <mergeCell ref="V6:Z6"/>
    <mergeCell ref="AA6:AE6"/>
    <mergeCell ref="B9:P9"/>
    <mergeCell ref="Q9:U9"/>
    <mergeCell ref="V9:Z9"/>
    <mergeCell ref="AA9:AE9"/>
    <mergeCell ref="B10:P10"/>
    <mergeCell ref="Q10:AE10"/>
    <mergeCell ref="B7:P7"/>
    <mergeCell ref="Q7:AE7"/>
    <mergeCell ref="B8:P8"/>
    <mergeCell ref="Q8:U8"/>
    <mergeCell ref="V8:Z8"/>
    <mergeCell ref="AA8:AE8"/>
    <mergeCell ref="B13:P13"/>
    <mergeCell ref="Q13:U13"/>
    <mergeCell ref="V13:Z13"/>
    <mergeCell ref="AA13:AE13"/>
    <mergeCell ref="B14:P14"/>
    <mergeCell ref="Q14:U14"/>
    <mergeCell ref="V14:Z14"/>
    <mergeCell ref="AA14:AE14"/>
    <mergeCell ref="B11:P11"/>
    <mergeCell ref="Q11:U11"/>
    <mergeCell ref="V11:Z11"/>
    <mergeCell ref="AA11:AE11"/>
    <mergeCell ref="B12:P12"/>
    <mergeCell ref="Q12:U12"/>
    <mergeCell ref="V12:Z12"/>
    <mergeCell ref="AA12:AE12"/>
    <mergeCell ref="B24:P24"/>
    <mergeCell ref="Q24:U24"/>
    <mergeCell ref="V24:Z24"/>
    <mergeCell ref="AA24:AE24"/>
    <mergeCell ref="B25:P25"/>
    <mergeCell ref="Q25:U25"/>
    <mergeCell ref="V25:Z25"/>
    <mergeCell ref="AA25:AE25"/>
    <mergeCell ref="C16:AE16"/>
    <mergeCell ref="C17:AE17"/>
    <mergeCell ref="C18:AE18"/>
    <mergeCell ref="B22:P23"/>
    <mergeCell ref="Q22:U23"/>
    <mergeCell ref="V22:Z23"/>
    <mergeCell ref="AA22:AE23"/>
    <mergeCell ref="B26:P26"/>
    <mergeCell ref="Q26:U26"/>
    <mergeCell ref="V26:Z26"/>
    <mergeCell ref="AA26:AE26"/>
    <mergeCell ref="B27:P27"/>
    <mergeCell ref="Q27:U27"/>
    <mergeCell ref="V27:Z27"/>
    <mergeCell ref="AA27:AE27"/>
    <mergeCell ref="S34:T34"/>
    <mergeCell ref="U34:V34"/>
    <mergeCell ref="B31:F34"/>
    <mergeCell ref="G31:BJ31"/>
    <mergeCell ref="G32:AH32"/>
    <mergeCell ref="AI32:BJ32"/>
    <mergeCell ref="W34:X34"/>
    <mergeCell ref="Y34:Z34"/>
    <mergeCell ref="AA34:AB34"/>
    <mergeCell ref="AC34:AD34"/>
    <mergeCell ref="G34:H34"/>
    <mergeCell ref="I34:J34"/>
    <mergeCell ref="K34:L34"/>
    <mergeCell ref="M34:N34"/>
    <mergeCell ref="O34:P34"/>
    <mergeCell ref="Q34:R34"/>
    <mergeCell ref="BG34:BH34"/>
    <mergeCell ref="BI34:BJ34"/>
    <mergeCell ref="BC35:BD35"/>
    <mergeCell ref="BE35:BF35"/>
    <mergeCell ref="BG35:BH35"/>
    <mergeCell ref="BI35:BJ35"/>
    <mergeCell ref="B36:F36"/>
    <mergeCell ref="G36:H36"/>
    <mergeCell ref="I36:J36"/>
    <mergeCell ref="K36:L36"/>
    <mergeCell ref="M36:N36"/>
    <mergeCell ref="Q35:R35"/>
    <mergeCell ref="S35:T35"/>
    <mergeCell ref="U35:V35"/>
    <mergeCell ref="AA35:AB35"/>
    <mergeCell ref="AC35:AD35"/>
    <mergeCell ref="AE35:AF35"/>
    <mergeCell ref="B35:F35"/>
    <mergeCell ref="G35:H35"/>
    <mergeCell ref="I35:J35"/>
    <mergeCell ref="K35:L35"/>
    <mergeCell ref="M35:N35"/>
    <mergeCell ref="O35:P35"/>
    <mergeCell ref="BC34:BD34"/>
    <mergeCell ref="BG36:BH36"/>
    <mergeCell ref="BI36:BJ36"/>
    <mergeCell ref="O36:P36"/>
    <mergeCell ref="Q36:R36"/>
    <mergeCell ref="S36:T36"/>
    <mergeCell ref="U36:V36"/>
    <mergeCell ref="AA36:AB36"/>
    <mergeCell ref="AC36:AD36"/>
    <mergeCell ref="AW37:AX37"/>
    <mergeCell ref="AY37:AZ37"/>
    <mergeCell ref="BA37:BB37"/>
    <mergeCell ref="W37:X37"/>
    <mergeCell ref="Y37:Z37"/>
    <mergeCell ref="AI37:AJ37"/>
    <mergeCell ref="AK37:AL37"/>
    <mergeCell ref="AM37:AN37"/>
    <mergeCell ref="AO37:AP37"/>
    <mergeCell ref="AQ37:AR37"/>
    <mergeCell ref="AS37:AT37"/>
    <mergeCell ref="AU37:AV37"/>
    <mergeCell ref="AA37:AB37"/>
    <mergeCell ref="AC37:AD37"/>
    <mergeCell ref="AE37:AF37"/>
    <mergeCell ref="W36:X36"/>
    <mergeCell ref="K37:L37"/>
    <mergeCell ref="O37:P37"/>
    <mergeCell ref="AE36:AF36"/>
    <mergeCell ref="G33:T33"/>
    <mergeCell ref="U33:Z33"/>
    <mergeCell ref="AA33:AH33"/>
    <mergeCell ref="AG36:AH36"/>
    <mergeCell ref="BC36:BD36"/>
    <mergeCell ref="BE36:BF36"/>
    <mergeCell ref="BE34:BF34"/>
    <mergeCell ref="AW34:AX34"/>
    <mergeCell ref="AY34:AZ34"/>
    <mergeCell ref="BA34:BB34"/>
    <mergeCell ref="AE34:AF34"/>
    <mergeCell ref="AG34:AH34"/>
    <mergeCell ref="AI34:AJ34"/>
    <mergeCell ref="AK34:AL34"/>
    <mergeCell ref="AM34:AN34"/>
    <mergeCell ref="AO34:AP34"/>
    <mergeCell ref="AQ34:AR34"/>
    <mergeCell ref="AS34:AT34"/>
    <mergeCell ref="AU34:AV34"/>
    <mergeCell ref="AY35:AZ35"/>
    <mergeCell ref="BA35:BB35"/>
    <mergeCell ref="AI33:AV33"/>
    <mergeCell ref="AW33:BB33"/>
    <mergeCell ref="BC33:BJ33"/>
    <mergeCell ref="M37:N37"/>
    <mergeCell ref="AW35:AX35"/>
    <mergeCell ref="F42:S42"/>
    <mergeCell ref="AA42:AN42"/>
    <mergeCell ref="AR42:BI42"/>
    <mergeCell ref="AG37:AH37"/>
    <mergeCell ref="BC37:BD37"/>
    <mergeCell ref="BE37:BF37"/>
    <mergeCell ref="BG37:BH37"/>
    <mergeCell ref="BI37:BJ37"/>
    <mergeCell ref="F40:S40"/>
    <mergeCell ref="W40:AN40"/>
    <mergeCell ref="AR40:BI41"/>
    <mergeCell ref="F41:S41"/>
    <mergeCell ref="W41:AN41"/>
    <mergeCell ref="Q37:R37"/>
    <mergeCell ref="S37:T37"/>
    <mergeCell ref="U37:V37"/>
    <mergeCell ref="B37:F37"/>
    <mergeCell ref="G37:H37"/>
    <mergeCell ref="I37:J37"/>
  </mergeCells>
  <dataValidations count="2">
    <dataValidation type="whole" allowBlank="1" showInputMessage="1" showErrorMessage="1" errorTitle="GSHSP SY 2022-2023" error="Please enter valid number between 0-20,000." sqref="Q6:Z6 Q8:Z9 Q11:Z14 G35:AH36 Q24:Z27" xr:uid="{1CFFEF1E-BF62-4FFC-9B96-89AADA0DDB73}">
      <formula1>0</formula1>
      <formula2>20000</formula2>
    </dataValidation>
    <dataValidation type="whole" allowBlank="1" showInputMessage="1" showErrorMessage="1" errorTitle="GSHSP SY 2022-2023" error="Please enter valid number between 0-999." sqref="AI35:BJ36" xr:uid="{11DF0F94-F3BE-41EE-8441-563B3C5804F5}">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56" orientation="landscape" r:id="rId2"/>
  <headerFooter>
    <oddFooter>&amp;L&amp;10&amp;F &amp;A&amp;R&amp;10Page 30 of 61</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D2B13-2668-4151-A79B-45D430E8C57C}">
  <sheetPr codeName="Sheet34">
    <tabColor rgb="FFFFFF00"/>
    <pageSetUpPr fitToPage="1"/>
  </sheetPr>
  <dimension ref="A1:BE62"/>
  <sheetViews>
    <sheetView showGridLines="0" topLeftCell="A26" zoomScaleNormal="100" workbookViewId="0">
      <selection sqref="A1:AP47"/>
    </sheetView>
  </sheetViews>
  <sheetFormatPr defaultColWidth="9" defaultRowHeight="15.75"/>
  <cols>
    <col min="1" max="1" width="2.125" style="44" customWidth="1"/>
    <col min="2" max="40" width="3.625" style="44" customWidth="1"/>
    <col min="41" max="41" width="2.125" style="44" customWidth="1"/>
    <col min="42" max="43" width="9" style="44"/>
    <col min="44" max="48" width="9" style="434"/>
    <col min="49" max="16384" width="9" style="44"/>
  </cols>
  <sheetData>
    <row r="1" spans="1:43"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row>
    <row r="2" spans="1:43">
      <c r="A2" s="434"/>
      <c r="B2" s="261" t="s">
        <v>11415</v>
      </c>
      <c r="C2" s="434"/>
      <c r="D2" s="434"/>
      <c r="E2" s="434"/>
      <c r="F2" s="434"/>
      <c r="G2" s="434"/>
      <c r="H2" s="434"/>
      <c r="I2" s="434"/>
      <c r="J2" s="434"/>
      <c r="K2" s="434"/>
      <c r="L2" s="434"/>
      <c r="M2" s="434"/>
      <c r="N2" s="434"/>
      <c r="O2" s="434"/>
      <c r="P2" s="434"/>
      <c r="Q2" s="434"/>
      <c r="R2" s="434"/>
      <c r="S2" s="434"/>
      <c r="T2" s="434"/>
      <c r="U2" s="434"/>
      <c r="V2" s="434"/>
      <c r="W2" s="434"/>
      <c r="X2" s="434"/>
      <c r="Y2" s="434"/>
      <c r="Z2" s="434"/>
      <c r="AA2" s="434"/>
      <c r="AB2" s="434"/>
      <c r="AC2" s="434"/>
      <c r="AD2" s="434"/>
      <c r="AE2" s="434"/>
      <c r="AF2" s="434"/>
      <c r="AG2" s="434"/>
      <c r="AH2" s="434"/>
      <c r="AI2" s="434"/>
      <c r="AJ2" s="434"/>
      <c r="AK2" s="434"/>
      <c r="AL2" s="434"/>
      <c r="AM2" s="434"/>
      <c r="AN2" s="434"/>
      <c r="AO2" s="434"/>
      <c r="AP2" s="434"/>
      <c r="AQ2" s="434"/>
    </row>
    <row r="3" spans="1:43" ht="16.5" thickBot="1">
      <c r="A3" s="434"/>
      <c r="B3" s="1030" t="s">
        <v>1016</v>
      </c>
      <c r="C3" s="434"/>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row>
    <row r="4" spans="1:43" ht="5.0999999999999996" customHeight="1">
      <c r="A4" s="434"/>
      <c r="B4" s="1031"/>
      <c r="C4" s="1032"/>
      <c r="D4" s="1033"/>
      <c r="E4" s="1033"/>
      <c r="F4" s="1033"/>
      <c r="G4" s="1033"/>
      <c r="H4" s="1033"/>
      <c r="I4" s="1033"/>
      <c r="J4" s="1033"/>
      <c r="K4" s="1033"/>
      <c r="L4" s="1033"/>
      <c r="M4" s="1033"/>
      <c r="N4" s="1033"/>
      <c r="O4" s="1034"/>
      <c r="P4" s="1034"/>
      <c r="Q4" s="1034"/>
      <c r="R4" s="1034"/>
      <c r="S4" s="1034"/>
      <c r="T4" s="1034"/>
      <c r="U4" s="1035"/>
      <c r="V4" s="1036"/>
      <c r="W4" s="1036"/>
      <c r="X4" s="1036"/>
      <c r="Y4" s="1036"/>
      <c r="Z4" s="1036"/>
      <c r="AA4" s="1036"/>
      <c r="AB4" s="1034"/>
      <c r="AC4" s="1034"/>
      <c r="AD4" s="1034"/>
      <c r="AE4" s="1034"/>
      <c r="AF4" s="1034"/>
      <c r="AG4" s="1034"/>
      <c r="AH4" s="1034"/>
      <c r="AI4" s="1034"/>
      <c r="AJ4" s="1034"/>
      <c r="AK4" s="1034"/>
      <c r="AL4" s="1032"/>
      <c r="AM4" s="1032"/>
      <c r="AN4" s="1037"/>
      <c r="AO4" s="434"/>
      <c r="AP4" s="434"/>
      <c r="AQ4" s="434"/>
    </row>
    <row r="5" spans="1:43" ht="20.25">
      <c r="A5" s="434"/>
      <c r="B5" s="1038"/>
      <c r="C5" s="1039" t="s">
        <v>47</v>
      </c>
      <c r="D5" s="750" t="s">
        <v>962</v>
      </c>
      <c r="E5" s="750"/>
      <c r="F5" s="750"/>
      <c r="G5" s="750"/>
      <c r="H5" s="750"/>
      <c r="I5" s="750"/>
      <c r="J5" s="750"/>
      <c r="K5" s="750"/>
      <c r="L5" s="750"/>
      <c r="M5" s="750"/>
      <c r="N5" s="750"/>
      <c r="O5" s="1040"/>
      <c r="P5" s="260"/>
      <c r="Q5" s="260"/>
      <c r="R5" s="260"/>
      <c r="S5" s="260"/>
      <c r="T5" s="260"/>
      <c r="U5" s="1041"/>
      <c r="V5" s="1040"/>
      <c r="W5" s="1040"/>
      <c r="X5" s="1040"/>
      <c r="Y5" s="1040"/>
      <c r="Z5" s="1040"/>
      <c r="AA5" s="1070" t="b">
        <v>1</v>
      </c>
      <c r="AB5" s="260" t="s">
        <v>484</v>
      </c>
      <c r="AC5" s="260"/>
      <c r="AD5" s="260"/>
      <c r="AE5" s="260"/>
      <c r="AF5" s="1070"/>
      <c r="AG5" s="260" t="s">
        <v>485</v>
      </c>
      <c r="AH5" s="1040"/>
      <c r="AI5" s="260"/>
      <c r="AJ5" s="260"/>
      <c r="AK5" s="260"/>
      <c r="AL5" s="260"/>
      <c r="AM5" s="260"/>
      <c r="AN5" s="1042"/>
      <c r="AO5" s="434"/>
      <c r="AP5" s="434"/>
      <c r="AQ5" s="434"/>
    </row>
    <row r="6" spans="1:43" ht="6" customHeight="1">
      <c r="A6" s="434"/>
      <c r="B6" s="1038"/>
      <c r="C6" s="260"/>
      <c r="D6" s="260"/>
      <c r="E6" s="1043"/>
      <c r="F6" s="261"/>
      <c r="G6" s="261"/>
      <c r="H6" s="261"/>
      <c r="I6" s="261"/>
      <c r="J6" s="261"/>
      <c r="K6" s="261"/>
      <c r="L6" s="261"/>
      <c r="M6" s="261"/>
      <c r="N6" s="261"/>
      <c r="O6" s="1040"/>
      <c r="P6" s="260"/>
      <c r="Q6" s="1040"/>
      <c r="R6" s="261"/>
      <c r="S6" s="260"/>
      <c r="T6" s="260"/>
      <c r="U6" s="260"/>
      <c r="V6" s="1040"/>
      <c r="W6" s="261"/>
      <c r="X6" s="260"/>
      <c r="Y6" s="260"/>
      <c r="Z6" s="260"/>
      <c r="AA6" s="260"/>
      <c r="AB6" s="260"/>
      <c r="AC6" s="260"/>
      <c r="AD6" s="260"/>
      <c r="AE6" s="1040"/>
      <c r="AF6" s="1040"/>
      <c r="AG6" s="1040"/>
      <c r="AH6" s="1040"/>
      <c r="AI6" s="1040"/>
      <c r="AJ6" s="1040"/>
      <c r="AK6" s="1040"/>
      <c r="AL6" s="260"/>
      <c r="AM6" s="260"/>
      <c r="AN6" s="1042"/>
      <c r="AO6" s="434"/>
      <c r="AP6" s="434"/>
      <c r="AQ6" s="434"/>
    </row>
    <row r="7" spans="1:43" ht="20.25">
      <c r="A7" s="434"/>
      <c r="B7" s="1038"/>
      <c r="C7" s="1039" t="s">
        <v>48</v>
      </c>
      <c r="D7" s="750" t="s">
        <v>963</v>
      </c>
      <c r="E7" s="750"/>
      <c r="F7" s="750"/>
      <c r="G7" s="750"/>
      <c r="H7" s="750"/>
      <c r="I7" s="750"/>
      <c r="J7" s="750"/>
      <c r="K7" s="750"/>
      <c r="L7" s="750"/>
      <c r="M7" s="750"/>
      <c r="N7" s="750"/>
      <c r="O7" s="1040"/>
      <c r="P7" s="260"/>
      <c r="Q7" s="260"/>
      <c r="R7" s="260"/>
      <c r="S7" s="260"/>
      <c r="T7" s="260"/>
      <c r="U7" s="1041"/>
      <c r="V7" s="1040"/>
      <c r="W7" s="1040"/>
      <c r="X7" s="1040"/>
      <c r="Y7" s="1040"/>
      <c r="Z7" s="1040"/>
      <c r="AA7" s="1070" t="b">
        <v>0</v>
      </c>
      <c r="AB7" s="260" t="s">
        <v>484</v>
      </c>
      <c r="AC7" s="260"/>
      <c r="AD7" s="260"/>
      <c r="AE7" s="260"/>
      <c r="AF7" s="1070"/>
      <c r="AG7" s="260" t="s">
        <v>485</v>
      </c>
      <c r="AH7" s="1040"/>
      <c r="AI7" s="260"/>
      <c r="AJ7" s="260"/>
      <c r="AK7" s="260"/>
      <c r="AL7" s="260"/>
      <c r="AM7" s="260"/>
      <c r="AN7" s="1042"/>
      <c r="AO7" s="434"/>
      <c r="AP7" s="434"/>
      <c r="AQ7" s="434"/>
    </row>
    <row r="8" spans="1:43" ht="6" customHeight="1">
      <c r="A8" s="434"/>
      <c r="B8" s="1038"/>
      <c r="C8" s="260"/>
      <c r="D8" s="260"/>
      <c r="E8" s="1043"/>
      <c r="F8" s="261"/>
      <c r="G8" s="261"/>
      <c r="H8" s="261"/>
      <c r="I8" s="261"/>
      <c r="J8" s="261"/>
      <c r="K8" s="261"/>
      <c r="L8" s="261"/>
      <c r="M8" s="261"/>
      <c r="N8" s="261"/>
      <c r="O8" s="1040"/>
      <c r="P8" s="260"/>
      <c r="Q8" s="1040"/>
      <c r="R8" s="261"/>
      <c r="S8" s="260"/>
      <c r="T8" s="260"/>
      <c r="U8" s="260"/>
      <c r="V8" s="1040"/>
      <c r="W8" s="261"/>
      <c r="X8" s="260"/>
      <c r="Y8" s="260"/>
      <c r="Z8" s="260"/>
      <c r="AA8" s="260"/>
      <c r="AB8" s="260"/>
      <c r="AC8" s="260"/>
      <c r="AD8" s="260"/>
      <c r="AE8" s="1040"/>
      <c r="AF8" s="1040"/>
      <c r="AG8" s="1040"/>
      <c r="AH8" s="1040"/>
      <c r="AI8" s="1040"/>
      <c r="AJ8" s="1040"/>
      <c r="AK8" s="1040"/>
      <c r="AL8" s="260"/>
      <c r="AM8" s="260"/>
      <c r="AN8" s="1042"/>
      <c r="AO8" s="434"/>
      <c r="AP8" s="434"/>
      <c r="AQ8" s="434"/>
    </row>
    <row r="9" spans="1:43" ht="20.25">
      <c r="A9" s="434"/>
      <c r="B9" s="1038"/>
      <c r="C9" s="1039" t="s">
        <v>49</v>
      </c>
      <c r="D9" s="750" t="s">
        <v>1082</v>
      </c>
      <c r="E9" s="750"/>
      <c r="F9" s="750"/>
      <c r="G9" s="750"/>
      <c r="H9" s="750"/>
      <c r="I9" s="750"/>
      <c r="J9" s="750"/>
      <c r="K9" s="750"/>
      <c r="L9" s="750"/>
      <c r="M9" s="750"/>
      <c r="N9" s="750"/>
      <c r="O9" s="1040"/>
      <c r="P9" s="260"/>
      <c r="Q9" s="260"/>
      <c r="R9" s="260"/>
      <c r="S9" s="260"/>
      <c r="T9" s="260"/>
      <c r="U9" s="1041"/>
      <c r="V9" s="1040"/>
      <c r="W9" s="1040"/>
      <c r="X9" s="1040"/>
      <c r="Y9" s="1040"/>
      <c r="Z9" s="1040"/>
      <c r="AA9" s="1040"/>
      <c r="AB9" s="260"/>
      <c r="AC9" s="260"/>
      <c r="AD9" s="260"/>
      <c r="AE9" s="260"/>
      <c r="AF9" s="260"/>
      <c r="AG9" s="260"/>
      <c r="AH9" s="260"/>
      <c r="AI9" s="260"/>
      <c r="AJ9" s="260"/>
      <c r="AK9" s="260"/>
      <c r="AL9" s="260"/>
      <c r="AM9" s="260"/>
      <c r="AN9" s="1042"/>
      <c r="AO9" s="434"/>
      <c r="AP9" s="434"/>
      <c r="AQ9" s="434"/>
    </row>
    <row r="10" spans="1:43" ht="6" customHeight="1" thickBot="1">
      <c r="A10" s="434"/>
      <c r="B10" s="1038"/>
      <c r="C10" s="260"/>
      <c r="D10" s="260"/>
      <c r="E10" s="1043"/>
      <c r="F10" s="261"/>
      <c r="G10" s="261"/>
      <c r="H10" s="261"/>
      <c r="I10" s="261"/>
      <c r="J10" s="261"/>
      <c r="K10" s="261"/>
      <c r="L10" s="261"/>
      <c r="M10" s="261"/>
      <c r="N10" s="261"/>
      <c r="O10" s="1040"/>
      <c r="P10" s="260"/>
      <c r="Q10" s="1040"/>
      <c r="R10" s="261"/>
      <c r="S10" s="260"/>
      <c r="T10" s="260"/>
      <c r="U10" s="260"/>
      <c r="V10" s="1040"/>
      <c r="W10" s="261"/>
      <c r="X10" s="260"/>
      <c r="Y10" s="260"/>
      <c r="Z10" s="260"/>
      <c r="AA10" s="260"/>
      <c r="AB10" s="260"/>
      <c r="AC10" s="260"/>
      <c r="AD10" s="260"/>
      <c r="AE10" s="1040"/>
      <c r="AF10" s="1040"/>
      <c r="AG10" s="1040"/>
      <c r="AH10" s="1040"/>
      <c r="AI10" s="1040"/>
      <c r="AJ10" s="1040"/>
      <c r="AK10" s="1040"/>
      <c r="AL10" s="260"/>
      <c r="AM10" s="260"/>
      <c r="AN10" s="1042"/>
      <c r="AO10" s="434"/>
      <c r="AP10" s="434"/>
      <c r="AQ10" s="434"/>
    </row>
    <row r="11" spans="1:43" ht="30" customHeight="1" thickBot="1">
      <c r="A11" s="434"/>
      <c r="B11" s="1038"/>
      <c r="C11" s="260"/>
      <c r="D11" s="3372" t="s">
        <v>281</v>
      </c>
      <c r="E11" s="3373"/>
      <c r="F11" s="3373"/>
      <c r="G11" s="3373"/>
      <c r="H11" s="3373"/>
      <c r="I11" s="3373"/>
      <c r="J11" s="3373"/>
      <c r="K11" s="3374"/>
      <c r="L11" s="3372" t="s">
        <v>685</v>
      </c>
      <c r="M11" s="3373"/>
      <c r="N11" s="3373"/>
      <c r="O11" s="3373"/>
      <c r="P11" s="3373"/>
      <c r="Q11" s="3373"/>
      <c r="R11" s="3374"/>
      <c r="S11" s="1044"/>
      <c r="T11" s="771"/>
      <c r="U11" s="771"/>
      <c r="V11" s="771"/>
      <c r="W11" s="771"/>
      <c r="X11" s="771"/>
      <c r="Y11" s="771"/>
      <c r="Z11" s="771"/>
      <c r="AA11" s="771"/>
      <c r="AB11" s="771"/>
      <c r="AC11" s="771"/>
      <c r="AD11" s="771"/>
      <c r="AE11" s="771"/>
      <c r="AF11" s="771"/>
      <c r="AG11" s="1040"/>
      <c r="AH11" s="1040"/>
      <c r="AI11" s="1040"/>
      <c r="AJ11" s="260"/>
      <c r="AK11" s="260"/>
      <c r="AL11" s="260"/>
      <c r="AM11" s="260"/>
      <c r="AN11" s="1042"/>
      <c r="AO11" s="434"/>
      <c r="AP11" s="434"/>
      <c r="AQ11" s="434"/>
    </row>
    <row r="12" spans="1:43" ht="30" customHeight="1">
      <c r="A12" s="434"/>
      <c r="B12" s="1038"/>
      <c r="C12" s="260"/>
      <c r="D12" s="3375" t="s">
        <v>43</v>
      </c>
      <c r="E12" s="3376"/>
      <c r="F12" s="3376"/>
      <c r="G12" s="3376"/>
      <c r="H12" s="3376"/>
      <c r="I12" s="3376"/>
      <c r="J12" s="3376"/>
      <c r="K12" s="3377"/>
      <c r="L12" s="3378">
        <v>10</v>
      </c>
      <c r="M12" s="3379"/>
      <c r="N12" s="3379"/>
      <c r="O12" s="3379"/>
      <c r="P12" s="3379"/>
      <c r="Q12" s="3379"/>
      <c r="R12" s="3380"/>
      <c r="S12" s="1045"/>
      <c r="T12" s="1046"/>
      <c r="U12" s="1046"/>
      <c r="V12" s="1046"/>
      <c r="W12" s="1046"/>
      <c r="X12" s="1046"/>
      <c r="Y12" s="1046"/>
      <c r="Z12" s="1046"/>
      <c r="AA12" s="1046"/>
      <c r="AB12" s="1046"/>
      <c r="AC12" s="1046"/>
      <c r="AD12" s="1046"/>
      <c r="AE12" s="1046"/>
      <c r="AF12" s="1046"/>
      <c r="AG12" s="1040"/>
      <c r="AH12" s="1040"/>
      <c r="AI12" s="1040"/>
      <c r="AJ12" s="260"/>
      <c r="AK12" s="260"/>
      <c r="AL12" s="260"/>
      <c r="AM12" s="260"/>
      <c r="AN12" s="1042"/>
      <c r="AO12" s="434"/>
      <c r="AP12" s="434"/>
      <c r="AQ12" s="434"/>
    </row>
    <row r="13" spans="1:43" ht="30" customHeight="1" thickBot="1">
      <c r="A13" s="434"/>
      <c r="B13" s="1038"/>
      <c r="C13" s="260"/>
      <c r="D13" s="3381" t="s">
        <v>44</v>
      </c>
      <c r="E13" s="3382"/>
      <c r="F13" s="3382"/>
      <c r="G13" s="3382"/>
      <c r="H13" s="3382"/>
      <c r="I13" s="3382"/>
      <c r="J13" s="3382"/>
      <c r="K13" s="3383"/>
      <c r="L13" s="3384">
        <v>10</v>
      </c>
      <c r="M13" s="3385"/>
      <c r="N13" s="3385"/>
      <c r="O13" s="3385"/>
      <c r="P13" s="3385"/>
      <c r="Q13" s="3385"/>
      <c r="R13" s="3386"/>
      <c r="S13" s="1045"/>
      <c r="T13" s="1046"/>
      <c r="U13" s="1046"/>
      <c r="V13" s="1046"/>
      <c r="W13" s="1046"/>
      <c r="X13" s="1046"/>
      <c r="Y13" s="1046"/>
      <c r="Z13" s="1046"/>
      <c r="AA13" s="1046"/>
      <c r="AB13" s="1046"/>
      <c r="AC13" s="1046"/>
      <c r="AD13" s="1046"/>
      <c r="AE13" s="1046"/>
      <c r="AF13" s="1046"/>
      <c r="AG13" s="1040"/>
      <c r="AH13" s="1040"/>
      <c r="AI13" s="1040"/>
      <c r="AJ13" s="260"/>
      <c r="AK13" s="260"/>
      <c r="AL13" s="260"/>
      <c r="AM13" s="260"/>
      <c r="AN13" s="1042"/>
      <c r="AO13" s="434"/>
      <c r="AP13" s="434"/>
      <c r="AQ13" s="434"/>
    </row>
    <row r="14" spans="1:43" ht="30" customHeight="1" thickTop="1" thickBot="1">
      <c r="A14" s="434"/>
      <c r="B14" s="1038"/>
      <c r="C14" s="260"/>
      <c r="D14" s="3365" t="s">
        <v>42</v>
      </c>
      <c r="E14" s="3366"/>
      <c r="F14" s="3366"/>
      <c r="G14" s="3366"/>
      <c r="H14" s="3366"/>
      <c r="I14" s="3366"/>
      <c r="J14" s="3366"/>
      <c r="K14" s="3367"/>
      <c r="L14" s="3368">
        <f>SUM(L12:R13)</f>
        <v>20</v>
      </c>
      <c r="M14" s="3369"/>
      <c r="N14" s="3369"/>
      <c r="O14" s="3369"/>
      <c r="P14" s="3369"/>
      <c r="Q14" s="3369"/>
      <c r="R14" s="3370"/>
      <c r="S14" s="1045"/>
      <c r="T14" s="1046"/>
      <c r="U14" s="1046"/>
      <c r="V14" s="1046"/>
      <c r="W14" s="1046"/>
      <c r="X14" s="1046"/>
      <c r="Y14" s="1046"/>
      <c r="Z14" s="1046"/>
      <c r="AA14" s="1046"/>
      <c r="AB14" s="1046"/>
      <c r="AC14" s="1046"/>
      <c r="AD14" s="1046"/>
      <c r="AE14" s="1046"/>
      <c r="AF14" s="1046"/>
      <c r="AG14" s="1040"/>
      <c r="AH14" s="1040"/>
      <c r="AI14" s="1040"/>
      <c r="AJ14" s="260"/>
      <c r="AK14" s="260"/>
      <c r="AL14" s="260"/>
      <c r="AM14" s="260"/>
      <c r="AN14" s="1042"/>
      <c r="AO14" s="434"/>
      <c r="AP14" s="434"/>
      <c r="AQ14" s="434"/>
    </row>
    <row r="15" spans="1:43" ht="6" customHeight="1">
      <c r="A15" s="434"/>
      <c r="B15" s="1038"/>
      <c r="C15" s="260"/>
      <c r="D15" s="260"/>
      <c r="E15" s="1043"/>
      <c r="F15" s="261"/>
      <c r="G15" s="261"/>
      <c r="H15" s="261"/>
      <c r="I15" s="261"/>
      <c r="J15" s="261"/>
      <c r="K15" s="261"/>
      <c r="L15" s="261"/>
      <c r="M15" s="261"/>
      <c r="N15" s="261"/>
      <c r="O15" s="1040"/>
      <c r="P15" s="260"/>
      <c r="Q15" s="1040"/>
      <c r="R15" s="261"/>
      <c r="S15" s="260"/>
      <c r="T15" s="260"/>
      <c r="U15" s="260"/>
      <c r="V15" s="1040"/>
      <c r="W15" s="261"/>
      <c r="X15" s="260"/>
      <c r="Y15" s="260"/>
      <c r="Z15" s="260"/>
      <c r="AA15" s="260"/>
      <c r="AB15" s="260"/>
      <c r="AC15" s="260"/>
      <c r="AD15" s="1040"/>
      <c r="AE15" s="1040"/>
      <c r="AF15" s="1040"/>
      <c r="AG15" s="1040"/>
      <c r="AH15" s="1040"/>
      <c r="AI15" s="1040"/>
      <c r="AJ15" s="1040"/>
      <c r="AK15" s="1040"/>
      <c r="AL15" s="260"/>
      <c r="AM15" s="260"/>
      <c r="AN15" s="1042"/>
      <c r="AO15" s="434"/>
      <c r="AP15" s="434"/>
      <c r="AQ15" s="434"/>
    </row>
    <row r="16" spans="1:43" ht="31.5" customHeight="1">
      <c r="A16" s="434"/>
      <c r="B16" s="1038"/>
      <c r="C16" s="1047" t="s">
        <v>50</v>
      </c>
      <c r="D16" s="3371" t="s">
        <v>968</v>
      </c>
      <c r="E16" s="3371"/>
      <c r="F16" s="3371"/>
      <c r="G16" s="3371"/>
      <c r="H16" s="3371"/>
      <c r="I16" s="3371"/>
      <c r="J16" s="3371"/>
      <c r="K16" s="3371"/>
      <c r="L16" s="3371"/>
      <c r="M16" s="3371"/>
      <c r="N16" s="3371"/>
      <c r="O16" s="3371"/>
      <c r="P16" s="3371"/>
      <c r="Q16" s="3371"/>
      <c r="R16" s="3371"/>
      <c r="S16" s="3371"/>
      <c r="T16" s="3371"/>
      <c r="U16" s="3371"/>
      <c r="V16" s="3371"/>
      <c r="W16" s="3371"/>
      <c r="X16" s="1040"/>
      <c r="Y16" s="1040"/>
      <c r="Z16" s="1040"/>
      <c r="AA16" s="1071" t="b">
        <v>1</v>
      </c>
      <c r="AB16" s="1046" t="s">
        <v>484</v>
      </c>
      <c r="AC16" s="1046"/>
      <c r="AD16" s="1046"/>
      <c r="AE16" s="1046"/>
      <c r="AF16" s="1071"/>
      <c r="AG16" s="1046" t="s">
        <v>485</v>
      </c>
      <c r="AH16" s="1040"/>
      <c r="AI16" s="260"/>
      <c r="AJ16" s="260"/>
      <c r="AK16" s="260"/>
      <c r="AL16" s="260"/>
      <c r="AM16" s="260"/>
      <c r="AN16" s="1042"/>
      <c r="AO16" s="434"/>
      <c r="AP16" s="434"/>
      <c r="AQ16" s="434"/>
    </row>
    <row r="17" spans="1:57" ht="6" customHeight="1">
      <c r="A17" s="434"/>
      <c r="B17" s="1038"/>
      <c r="C17" s="260"/>
      <c r="D17" s="260"/>
      <c r="E17" s="1043"/>
      <c r="F17" s="261"/>
      <c r="G17" s="261"/>
      <c r="H17" s="261"/>
      <c r="I17" s="261"/>
      <c r="J17" s="261"/>
      <c r="K17" s="261"/>
      <c r="L17" s="261"/>
      <c r="M17" s="261"/>
      <c r="N17" s="261"/>
      <c r="O17" s="1040"/>
      <c r="P17" s="260"/>
      <c r="Q17" s="1040"/>
      <c r="R17" s="261"/>
      <c r="S17" s="260"/>
      <c r="T17" s="260"/>
      <c r="U17" s="260"/>
      <c r="V17" s="1040"/>
      <c r="W17" s="261"/>
      <c r="X17" s="260"/>
      <c r="Y17" s="260"/>
      <c r="Z17" s="260"/>
      <c r="AA17" s="260"/>
      <c r="AB17" s="260"/>
      <c r="AC17" s="260"/>
      <c r="AD17" s="260"/>
      <c r="AE17" s="1040"/>
      <c r="AF17" s="1040"/>
      <c r="AG17" s="1040"/>
      <c r="AH17" s="1040"/>
      <c r="AI17" s="1040"/>
      <c r="AJ17" s="1040"/>
      <c r="AK17" s="1040"/>
      <c r="AL17" s="260"/>
      <c r="AM17" s="260"/>
      <c r="AN17" s="1042"/>
      <c r="AO17" s="434"/>
      <c r="AP17" s="434"/>
      <c r="AQ17" s="434"/>
    </row>
    <row r="18" spans="1:57" ht="20.25">
      <c r="A18" s="434"/>
      <c r="B18" s="1038"/>
      <c r="C18" s="751" t="s">
        <v>51</v>
      </c>
      <c r="D18" s="750" t="s">
        <v>11416</v>
      </c>
      <c r="E18" s="750"/>
      <c r="F18" s="750"/>
      <c r="G18" s="750"/>
      <c r="H18" s="750"/>
      <c r="I18" s="750"/>
      <c r="J18" s="750"/>
      <c r="K18" s="750"/>
      <c r="L18" s="750"/>
      <c r="M18" s="750"/>
      <c r="N18" s="750"/>
      <c r="O18" s="1040"/>
      <c r="P18" s="260"/>
      <c r="Q18" s="260"/>
      <c r="R18" s="260"/>
      <c r="S18" s="260"/>
      <c r="T18" s="260"/>
      <c r="U18" s="1041"/>
      <c r="V18" s="1040"/>
      <c r="W18" s="1040"/>
      <c r="X18" s="1040"/>
      <c r="Y18" s="1040"/>
      <c r="Z18" s="1040"/>
      <c r="AA18" s="1070" t="b">
        <v>0</v>
      </c>
      <c r="AB18" s="260" t="s">
        <v>484</v>
      </c>
      <c r="AC18" s="260"/>
      <c r="AD18" s="260"/>
      <c r="AE18" s="260"/>
      <c r="AF18" s="1070"/>
      <c r="AG18" s="260" t="s">
        <v>485</v>
      </c>
      <c r="AH18" s="1040"/>
      <c r="AI18" s="260"/>
      <c r="AJ18" s="260"/>
      <c r="AK18" s="260"/>
      <c r="AL18" s="260"/>
      <c r="AM18" s="260"/>
      <c r="AN18" s="1042"/>
      <c r="AO18" s="434"/>
      <c r="AP18" s="434"/>
      <c r="AQ18" s="434"/>
    </row>
    <row r="19" spans="1:57" ht="6" customHeight="1">
      <c r="A19" s="434"/>
      <c r="B19" s="1038"/>
      <c r="C19" s="260"/>
      <c r="D19" s="260"/>
      <c r="E19" s="1043"/>
      <c r="F19" s="261"/>
      <c r="G19" s="261"/>
      <c r="H19" s="261"/>
      <c r="I19" s="261"/>
      <c r="J19" s="261"/>
      <c r="K19" s="261"/>
      <c r="L19" s="261"/>
      <c r="M19" s="261"/>
      <c r="N19" s="261"/>
      <c r="O19" s="1040"/>
      <c r="P19" s="260"/>
      <c r="Q19" s="1040"/>
      <c r="R19" s="261"/>
      <c r="S19" s="260"/>
      <c r="T19" s="260"/>
      <c r="U19" s="260"/>
      <c r="V19" s="1040"/>
      <c r="W19" s="261"/>
      <c r="X19" s="260"/>
      <c r="Y19" s="260"/>
      <c r="Z19" s="260"/>
      <c r="AA19" s="260"/>
      <c r="AB19" s="260"/>
      <c r="AC19" s="260"/>
      <c r="AD19" s="260"/>
      <c r="AE19" s="1040"/>
      <c r="AF19" s="1040"/>
      <c r="AG19" s="1040"/>
      <c r="AH19" s="1040"/>
      <c r="AI19" s="1040"/>
      <c r="AJ19" s="1040"/>
      <c r="AK19" s="1040"/>
      <c r="AL19" s="260"/>
      <c r="AM19" s="260"/>
      <c r="AN19" s="1042"/>
      <c r="AO19" s="434"/>
      <c r="AP19" s="434"/>
      <c r="AQ19" s="434"/>
    </row>
    <row r="20" spans="1:57" ht="18" customHeight="1">
      <c r="A20" s="434"/>
      <c r="B20" s="988"/>
      <c r="C20" s="1048" t="s">
        <v>52</v>
      </c>
      <c r="D20" s="989" t="s">
        <v>1226</v>
      </c>
      <c r="E20" s="989"/>
      <c r="F20" s="998"/>
      <c r="G20" s="998"/>
      <c r="H20" s="998"/>
      <c r="I20" s="998"/>
      <c r="J20" s="998"/>
      <c r="K20" s="998"/>
      <c r="L20" s="998"/>
      <c r="M20" s="998"/>
      <c r="N20" s="998"/>
      <c r="O20" s="861"/>
      <c r="P20" s="593"/>
      <c r="Q20" s="593"/>
      <c r="R20" s="593"/>
      <c r="S20" s="593"/>
      <c r="T20" s="593"/>
      <c r="U20" s="999"/>
      <c r="V20" s="861"/>
      <c r="W20" s="861"/>
      <c r="X20" s="861"/>
      <c r="Y20" s="861"/>
      <c r="Z20" s="861"/>
      <c r="AA20" s="861"/>
      <c r="AB20" s="593"/>
      <c r="AC20" s="593"/>
      <c r="AD20" s="434"/>
      <c r="AE20" s="434"/>
      <c r="AF20" s="873" t="b">
        <v>1</v>
      </c>
      <c r="AG20" s="593" t="s">
        <v>484</v>
      </c>
      <c r="AH20" s="593"/>
      <c r="AI20" s="434"/>
      <c r="AJ20" s="434"/>
      <c r="AK20" s="873"/>
      <c r="AL20" s="593" t="s">
        <v>485</v>
      </c>
      <c r="AM20" s="434"/>
      <c r="AN20" s="997"/>
      <c r="AO20" s="434"/>
      <c r="AP20" s="434"/>
      <c r="AQ20" s="434"/>
      <c r="AT20" s="593"/>
      <c r="AU20" s="593"/>
      <c r="AV20" s="593"/>
      <c r="AW20" s="41"/>
    </row>
    <row r="21" spans="1:57">
      <c r="A21" s="434"/>
      <c r="B21" s="988"/>
      <c r="C21" s="434"/>
      <c r="D21" s="3358" t="s">
        <v>1227</v>
      </c>
      <c r="E21" s="3358"/>
      <c r="F21" s="3358"/>
      <c r="G21" s="3358"/>
      <c r="H21" s="3358"/>
      <c r="I21" s="3358"/>
      <c r="J21" s="3358"/>
      <c r="K21" s="3358"/>
      <c r="L21" s="3358"/>
      <c r="M21" s="3358"/>
      <c r="N21" s="3358"/>
      <c r="O21" s="3358"/>
      <c r="P21" s="3358"/>
      <c r="Q21" s="3358"/>
      <c r="R21" s="3358"/>
      <c r="S21" s="3358"/>
      <c r="T21" s="3358"/>
      <c r="U21" s="3358"/>
      <c r="V21" s="3358"/>
      <c r="W21" s="3358"/>
      <c r="X21" s="3358"/>
      <c r="Y21" s="3358"/>
      <c r="Z21" s="3358"/>
      <c r="AA21" s="3358"/>
      <c r="AB21" s="3358"/>
      <c r="AC21" s="3358"/>
      <c r="AD21" s="3358"/>
      <c r="AE21" s="3358"/>
      <c r="AF21" s="3358"/>
      <c r="AG21" s="3358"/>
      <c r="AH21" s="3358"/>
      <c r="AI21" s="3358"/>
      <c r="AJ21" s="3358"/>
      <c r="AK21" s="3358"/>
      <c r="AL21" s="3358"/>
      <c r="AM21" s="3358"/>
      <c r="AN21" s="997"/>
      <c r="AO21" s="434"/>
      <c r="AP21" s="434"/>
      <c r="AQ21" s="434"/>
      <c r="AW21" s="41"/>
      <c r="AX21" s="41"/>
      <c r="AY21" s="41"/>
      <c r="AZ21" s="41"/>
    </row>
    <row r="22" spans="1:57" ht="6" customHeight="1" thickBot="1">
      <c r="A22" s="434"/>
      <c r="B22" s="988"/>
      <c r="C22" s="434"/>
      <c r="D22" s="434"/>
      <c r="E22" s="1049"/>
      <c r="F22" s="612"/>
      <c r="G22" s="612"/>
      <c r="H22" s="612"/>
      <c r="I22" s="612"/>
      <c r="J22" s="612"/>
      <c r="K22" s="612"/>
      <c r="L22" s="612"/>
      <c r="M22" s="612"/>
      <c r="N22" s="612"/>
      <c r="O22" s="861"/>
      <c r="P22" s="434"/>
      <c r="Q22" s="861"/>
      <c r="R22" s="960"/>
      <c r="S22" s="593"/>
      <c r="T22" s="434"/>
      <c r="U22" s="434"/>
      <c r="V22" s="861"/>
      <c r="W22" s="960"/>
      <c r="X22" s="593"/>
      <c r="Y22" s="593"/>
      <c r="Z22" s="593"/>
      <c r="AA22" s="593"/>
      <c r="AB22" s="593"/>
      <c r="AC22" s="593"/>
      <c r="AD22" s="434"/>
      <c r="AE22" s="861"/>
      <c r="AF22" s="861"/>
      <c r="AG22" s="861"/>
      <c r="AH22" s="861"/>
      <c r="AI22" s="861"/>
      <c r="AJ22" s="861"/>
      <c r="AK22" s="861"/>
      <c r="AL22" s="434"/>
      <c r="AM22" s="434"/>
      <c r="AN22" s="997"/>
      <c r="AO22" s="434"/>
      <c r="AP22" s="434"/>
      <c r="AQ22" s="434"/>
      <c r="AT22" s="593"/>
      <c r="AU22" s="593"/>
      <c r="AV22" s="593"/>
      <c r="AW22" s="41"/>
    </row>
    <row r="23" spans="1:57" ht="81.95" customHeight="1" thickBot="1">
      <c r="A23" s="434"/>
      <c r="B23" s="988"/>
      <c r="C23" s="434"/>
      <c r="D23" s="3359" t="s">
        <v>281</v>
      </c>
      <c r="E23" s="3360"/>
      <c r="F23" s="3360"/>
      <c r="G23" s="3360"/>
      <c r="H23" s="3361"/>
      <c r="I23" s="3362" t="s">
        <v>1228</v>
      </c>
      <c r="J23" s="3363"/>
      <c r="K23" s="3363"/>
      <c r="L23" s="3363"/>
      <c r="M23" s="3364"/>
      <c r="N23" s="3362" t="s">
        <v>1229</v>
      </c>
      <c r="O23" s="3363"/>
      <c r="P23" s="3363"/>
      <c r="Q23" s="3363"/>
      <c r="R23" s="3364"/>
      <c r="S23" s="3362" t="s">
        <v>1230</v>
      </c>
      <c r="T23" s="3363"/>
      <c r="U23" s="3363"/>
      <c r="V23" s="3363"/>
      <c r="W23" s="3364"/>
      <c r="X23" s="3362" t="s">
        <v>969</v>
      </c>
      <c r="Y23" s="3363"/>
      <c r="Z23" s="3363"/>
      <c r="AA23" s="3363"/>
      <c r="AB23" s="3364"/>
      <c r="AC23" s="3362" t="s">
        <v>1231</v>
      </c>
      <c r="AD23" s="3363"/>
      <c r="AE23" s="3363"/>
      <c r="AF23" s="3363"/>
      <c r="AG23" s="3364"/>
      <c r="AH23" s="3362" t="s">
        <v>1232</v>
      </c>
      <c r="AI23" s="3363"/>
      <c r="AJ23" s="3363"/>
      <c r="AK23" s="3363"/>
      <c r="AL23" s="3364"/>
      <c r="AM23" s="1050"/>
      <c r="AN23" s="1051"/>
      <c r="AO23" s="861"/>
      <c r="AP23" s="861"/>
      <c r="AQ23" s="861"/>
      <c r="AR23" s="861"/>
      <c r="BB23" s="41"/>
      <c r="BC23" s="41"/>
      <c r="BD23" s="41"/>
      <c r="BE23" s="41"/>
    </row>
    <row r="24" spans="1:57" ht="30" customHeight="1">
      <c r="A24" s="434"/>
      <c r="B24" s="988"/>
      <c r="C24" s="434"/>
      <c r="D24" s="1052"/>
      <c r="E24" s="1053" t="s">
        <v>43</v>
      </c>
      <c r="F24" s="1053"/>
      <c r="G24" s="1053"/>
      <c r="H24" s="1054"/>
      <c r="I24" s="3355">
        <v>535</v>
      </c>
      <c r="J24" s="3356"/>
      <c r="K24" s="3356"/>
      <c r="L24" s="3356"/>
      <c r="M24" s="3357"/>
      <c r="N24" s="3355">
        <v>535</v>
      </c>
      <c r="O24" s="3356"/>
      <c r="P24" s="3356"/>
      <c r="Q24" s="3356"/>
      <c r="R24" s="3357"/>
      <c r="S24" s="3355">
        <v>535</v>
      </c>
      <c r="T24" s="3356"/>
      <c r="U24" s="3356"/>
      <c r="V24" s="3356"/>
      <c r="W24" s="3357"/>
      <c r="X24" s="3355">
        <v>535</v>
      </c>
      <c r="Y24" s="3356"/>
      <c r="Z24" s="3356"/>
      <c r="AA24" s="3356"/>
      <c r="AB24" s="3357"/>
      <c r="AC24" s="3355">
        <v>535</v>
      </c>
      <c r="AD24" s="3356"/>
      <c r="AE24" s="3356"/>
      <c r="AF24" s="3356"/>
      <c r="AG24" s="3357"/>
      <c r="AH24" s="3355">
        <v>535</v>
      </c>
      <c r="AI24" s="3356"/>
      <c r="AJ24" s="3356"/>
      <c r="AK24" s="3356"/>
      <c r="AL24" s="3357"/>
      <c r="AM24" s="636"/>
      <c r="AN24" s="1051"/>
      <c r="AO24" s="861"/>
      <c r="AP24" s="861"/>
      <c r="AQ24" s="861"/>
      <c r="AR24" s="861"/>
      <c r="BB24" s="41"/>
      <c r="BC24" s="41"/>
      <c r="BD24" s="41"/>
      <c r="BE24" s="41"/>
    </row>
    <row r="25" spans="1:57" ht="30" customHeight="1" thickBot="1">
      <c r="A25" s="434"/>
      <c r="B25" s="988"/>
      <c r="C25" s="434"/>
      <c r="D25" s="1055"/>
      <c r="E25" s="1056" t="s">
        <v>44</v>
      </c>
      <c r="F25" s="1056"/>
      <c r="G25" s="1056"/>
      <c r="H25" s="1057"/>
      <c r="I25" s="3352">
        <v>472</v>
      </c>
      <c r="J25" s="3353"/>
      <c r="K25" s="3353"/>
      <c r="L25" s="3353"/>
      <c r="M25" s="3354"/>
      <c r="N25" s="3352">
        <v>472</v>
      </c>
      <c r="O25" s="3353"/>
      <c r="P25" s="3353"/>
      <c r="Q25" s="3353"/>
      <c r="R25" s="3354"/>
      <c r="S25" s="3352">
        <v>472</v>
      </c>
      <c r="T25" s="3353"/>
      <c r="U25" s="3353"/>
      <c r="V25" s="3353"/>
      <c r="W25" s="3354"/>
      <c r="X25" s="3352">
        <v>472</v>
      </c>
      <c r="Y25" s="3353"/>
      <c r="Z25" s="3353"/>
      <c r="AA25" s="3353"/>
      <c r="AB25" s="3354"/>
      <c r="AC25" s="3352">
        <v>472</v>
      </c>
      <c r="AD25" s="3353"/>
      <c r="AE25" s="3353"/>
      <c r="AF25" s="3353"/>
      <c r="AG25" s="3354"/>
      <c r="AH25" s="3352">
        <v>472</v>
      </c>
      <c r="AI25" s="3353"/>
      <c r="AJ25" s="3353"/>
      <c r="AK25" s="3353"/>
      <c r="AL25" s="3354"/>
      <c r="AM25" s="1058"/>
      <c r="AN25" s="1051"/>
      <c r="AO25" s="861"/>
      <c r="AP25" s="861"/>
      <c r="AQ25" s="861"/>
      <c r="AR25" s="861"/>
      <c r="BB25" s="41"/>
      <c r="BC25" s="41"/>
      <c r="BD25" s="41"/>
      <c r="BE25" s="41"/>
    </row>
    <row r="26" spans="1:57" ht="30" customHeight="1" thickTop="1" thickBot="1">
      <c r="A26" s="434"/>
      <c r="B26" s="988"/>
      <c r="C26" s="434"/>
      <c r="D26" s="1059"/>
      <c r="E26" s="1060" t="s">
        <v>42</v>
      </c>
      <c r="F26" s="1060"/>
      <c r="G26" s="1060"/>
      <c r="H26" s="1061"/>
      <c r="I26" s="3281">
        <f>SUM(I24:M25)</f>
        <v>1007</v>
      </c>
      <c r="J26" s="3273"/>
      <c r="K26" s="3273"/>
      <c r="L26" s="3273"/>
      <c r="M26" s="3277"/>
      <c r="N26" s="3281">
        <f>SUM(N24:R25)</f>
        <v>1007</v>
      </c>
      <c r="O26" s="3273"/>
      <c r="P26" s="3273"/>
      <c r="Q26" s="3273"/>
      <c r="R26" s="3277"/>
      <c r="S26" s="3281">
        <f>SUM(S24:W25)</f>
        <v>1007</v>
      </c>
      <c r="T26" s="3273"/>
      <c r="U26" s="3273"/>
      <c r="V26" s="3273"/>
      <c r="W26" s="3277"/>
      <c r="X26" s="3281">
        <f>SUM(X24:AB25)</f>
        <v>1007</v>
      </c>
      <c r="Y26" s="3273"/>
      <c r="Z26" s="3273"/>
      <c r="AA26" s="3273"/>
      <c r="AB26" s="3277"/>
      <c r="AC26" s="3281">
        <f>SUM(AC24:AG25)</f>
        <v>1007</v>
      </c>
      <c r="AD26" s="3273"/>
      <c r="AE26" s="3273"/>
      <c r="AF26" s="3273"/>
      <c r="AG26" s="3277"/>
      <c r="AH26" s="3281">
        <f>SUM(AH24:AL25)</f>
        <v>1007</v>
      </c>
      <c r="AI26" s="3273"/>
      <c r="AJ26" s="3273"/>
      <c r="AK26" s="3273"/>
      <c r="AL26" s="3277"/>
      <c r="AM26" s="1058"/>
      <c r="AN26" s="1051"/>
      <c r="AO26" s="861"/>
      <c r="AP26" s="861"/>
      <c r="AQ26" s="861"/>
      <c r="AR26" s="861"/>
      <c r="BB26" s="41"/>
      <c r="BC26" s="41"/>
      <c r="BD26" s="41"/>
      <c r="BE26" s="41"/>
    </row>
    <row r="27" spans="1:57" ht="6" customHeight="1">
      <c r="A27" s="434"/>
      <c r="B27" s="988"/>
      <c r="C27" s="434"/>
      <c r="D27" s="434"/>
      <c r="E27" s="1049"/>
      <c r="F27" s="612"/>
      <c r="G27" s="612"/>
      <c r="H27" s="612"/>
      <c r="I27" s="612"/>
      <c r="J27" s="612"/>
      <c r="K27" s="612"/>
      <c r="L27" s="612"/>
      <c r="M27" s="612"/>
      <c r="N27" s="861"/>
      <c r="O27" s="434"/>
      <c r="P27" s="861"/>
      <c r="Q27" s="960"/>
      <c r="R27" s="593"/>
      <c r="S27" s="434"/>
      <c r="T27" s="434"/>
      <c r="U27" s="861"/>
      <c r="V27" s="960"/>
      <c r="W27" s="593"/>
      <c r="X27" s="593"/>
      <c r="Y27" s="593"/>
      <c r="Z27" s="593"/>
      <c r="AA27" s="593"/>
      <c r="AB27" s="593"/>
      <c r="AC27" s="434"/>
      <c r="AD27" s="861"/>
      <c r="AE27" s="861"/>
      <c r="AF27" s="861"/>
      <c r="AG27" s="861"/>
      <c r="AH27" s="861"/>
      <c r="AI27" s="861"/>
      <c r="AJ27" s="861"/>
      <c r="AK27" s="434"/>
      <c r="AL27" s="434"/>
      <c r="AM27" s="434"/>
      <c r="AN27" s="997"/>
      <c r="AO27" s="434"/>
      <c r="AP27" s="434"/>
      <c r="AQ27" s="434"/>
      <c r="AS27" s="593"/>
      <c r="AT27" s="593"/>
      <c r="AU27" s="593"/>
      <c r="AV27" s="593"/>
    </row>
    <row r="28" spans="1:57" ht="18" customHeight="1">
      <c r="A28" s="434"/>
      <c r="B28" s="988"/>
      <c r="C28" s="1048" t="s">
        <v>53</v>
      </c>
      <c r="D28" s="989" t="s">
        <v>1233</v>
      </c>
      <c r="E28" s="989"/>
      <c r="F28" s="998"/>
      <c r="G28" s="998"/>
      <c r="H28" s="998"/>
      <c r="I28" s="998"/>
      <c r="J28" s="998"/>
      <c r="K28" s="998"/>
      <c r="L28" s="998"/>
      <c r="M28" s="998"/>
      <c r="N28" s="998"/>
      <c r="O28" s="861"/>
      <c r="P28" s="593"/>
      <c r="Q28" s="593"/>
      <c r="R28" s="593"/>
      <c r="S28" s="593"/>
      <c r="T28" s="593"/>
      <c r="U28" s="999"/>
      <c r="V28" s="861"/>
      <c r="W28" s="861"/>
      <c r="X28" s="861"/>
      <c r="Y28" s="861"/>
      <c r="Z28" s="861"/>
      <c r="AA28" s="861"/>
      <c r="AB28" s="593"/>
      <c r="AC28" s="593"/>
      <c r="AD28" s="434"/>
      <c r="AE28" s="434"/>
      <c r="AF28" s="873" t="b">
        <v>0</v>
      </c>
      <c r="AG28" s="593" t="s">
        <v>484</v>
      </c>
      <c r="AH28" s="593"/>
      <c r="AI28" s="434"/>
      <c r="AJ28" s="434"/>
      <c r="AK28" s="873"/>
      <c r="AL28" s="593" t="s">
        <v>485</v>
      </c>
      <c r="AM28" s="434"/>
      <c r="AN28" s="997"/>
      <c r="AO28" s="434"/>
      <c r="AP28" s="434"/>
      <c r="AQ28" s="434"/>
      <c r="AT28" s="593"/>
      <c r="AU28" s="593"/>
      <c r="AV28" s="593"/>
      <c r="AW28" s="41"/>
    </row>
    <row r="29" spans="1:57">
      <c r="A29" s="434"/>
      <c r="B29" s="988"/>
      <c r="C29" s="434"/>
      <c r="D29" s="3358" t="s">
        <v>1234</v>
      </c>
      <c r="E29" s="3358"/>
      <c r="F29" s="3358"/>
      <c r="G29" s="3358"/>
      <c r="H29" s="3358"/>
      <c r="I29" s="3358"/>
      <c r="J29" s="3358"/>
      <c r="K29" s="3358"/>
      <c r="L29" s="3358"/>
      <c r="M29" s="3358"/>
      <c r="N29" s="3358"/>
      <c r="O29" s="3358"/>
      <c r="P29" s="3358"/>
      <c r="Q29" s="3358"/>
      <c r="R29" s="3358"/>
      <c r="S29" s="3358"/>
      <c r="T29" s="3358"/>
      <c r="U29" s="3358"/>
      <c r="V29" s="3358"/>
      <c r="W29" s="3358"/>
      <c r="X29" s="3358"/>
      <c r="Y29" s="3358"/>
      <c r="Z29" s="3358"/>
      <c r="AA29" s="3358"/>
      <c r="AB29" s="3358"/>
      <c r="AC29" s="3358"/>
      <c r="AD29" s="3358"/>
      <c r="AE29" s="3358"/>
      <c r="AF29" s="3358"/>
      <c r="AG29" s="3358"/>
      <c r="AH29" s="3358"/>
      <c r="AI29" s="3358"/>
      <c r="AJ29" s="3358"/>
      <c r="AK29" s="3358"/>
      <c r="AL29" s="3358"/>
      <c r="AM29" s="3358"/>
      <c r="AN29" s="997"/>
      <c r="AO29" s="434"/>
      <c r="AP29" s="434"/>
      <c r="AQ29" s="434"/>
      <c r="AW29" s="41"/>
      <c r="AX29" s="41"/>
      <c r="AY29" s="41"/>
      <c r="AZ29" s="41"/>
    </row>
    <row r="30" spans="1:57" ht="6" customHeight="1" thickBot="1">
      <c r="A30" s="434"/>
      <c r="B30" s="988"/>
      <c r="C30" s="434"/>
      <c r="D30" s="434"/>
      <c r="E30" s="1049"/>
      <c r="F30" s="612"/>
      <c r="G30" s="612"/>
      <c r="H30" s="612"/>
      <c r="I30" s="612"/>
      <c r="J30" s="612"/>
      <c r="K30" s="612"/>
      <c r="L30" s="612"/>
      <c r="M30" s="612"/>
      <c r="N30" s="612"/>
      <c r="O30" s="861"/>
      <c r="P30" s="434"/>
      <c r="Q30" s="861"/>
      <c r="R30" s="960"/>
      <c r="S30" s="593"/>
      <c r="T30" s="434"/>
      <c r="U30" s="434"/>
      <c r="V30" s="861"/>
      <c r="W30" s="960"/>
      <c r="X30" s="593"/>
      <c r="Y30" s="593"/>
      <c r="Z30" s="593"/>
      <c r="AA30" s="593"/>
      <c r="AB30" s="593"/>
      <c r="AC30" s="593"/>
      <c r="AD30" s="434"/>
      <c r="AE30" s="861"/>
      <c r="AF30" s="861"/>
      <c r="AG30" s="861"/>
      <c r="AH30" s="861"/>
      <c r="AI30" s="861"/>
      <c r="AJ30" s="861"/>
      <c r="AK30" s="861"/>
      <c r="AL30" s="434"/>
      <c r="AM30" s="434"/>
      <c r="AN30" s="997"/>
      <c r="AO30" s="434"/>
      <c r="AP30" s="434"/>
      <c r="AQ30" s="434"/>
      <c r="AT30" s="593"/>
      <c r="AU30" s="593"/>
      <c r="AV30" s="593"/>
      <c r="AW30" s="41"/>
    </row>
    <row r="31" spans="1:57" ht="81.95" customHeight="1" thickBot="1">
      <c r="A31" s="434"/>
      <c r="B31" s="988"/>
      <c r="C31" s="434"/>
      <c r="D31" s="3359" t="s">
        <v>281</v>
      </c>
      <c r="E31" s="3360"/>
      <c r="F31" s="3360"/>
      <c r="G31" s="3360"/>
      <c r="H31" s="3361"/>
      <c r="I31" s="3362" t="s">
        <v>1228</v>
      </c>
      <c r="J31" s="3363"/>
      <c r="K31" s="3363"/>
      <c r="L31" s="3363"/>
      <c r="M31" s="3364"/>
      <c r="N31" s="3362" t="s">
        <v>1229</v>
      </c>
      <c r="O31" s="3363"/>
      <c r="P31" s="3363"/>
      <c r="Q31" s="3363"/>
      <c r="R31" s="3364"/>
      <c r="S31" s="3362" t="s">
        <v>1230</v>
      </c>
      <c r="T31" s="3363"/>
      <c r="U31" s="3363"/>
      <c r="V31" s="3363"/>
      <c r="W31" s="3364"/>
      <c r="X31" s="3362" t="s">
        <v>969</v>
      </c>
      <c r="Y31" s="3363"/>
      <c r="Z31" s="3363"/>
      <c r="AA31" s="3363"/>
      <c r="AB31" s="3364"/>
      <c r="AC31" s="3362" t="s">
        <v>1231</v>
      </c>
      <c r="AD31" s="3363"/>
      <c r="AE31" s="3363"/>
      <c r="AF31" s="3363"/>
      <c r="AG31" s="3364"/>
      <c r="AH31" s="3362" t="s">
        <v>1232</v>
      </c>
      <c r="AI31" s="3363"/>
      <c r="AJ31" s="3363"/>
      <c r="AK31" s="3363"/>
      <c r="AL31" s="3364"/>
      <c r="AM31" s="1050"/>
      <c r="AN31" s="1051"/>
      <c r="AO31" s="861"/>
      <c r="AP31" s="861"/>
      <c r="AQ31" s="861"/>
      <c r="AR31" s="861"/>
      <c r="BB31" s="41"/>
      <c r="BC31" s="41"/>
      <c r="BD31" s="41"/>
      <c r="BE31" s="41"/>
    </row>
    <row r="32" spans="1:57" ht="30" customHeight="1">
      <c r="A32" s="434"/>
      <c r="B32" s="988"/>
      <c r="C32" s="434"/>
      <c r="D32" s="1052"/>
      <c r="E32" s="1053" t="s">
        <v>43</v>
      </c>
      <c r="F32" s="1053"/>
      <c r="G32" s="1053"/>
      <c r="H32" s="1054"/>
      <c r="I32" s="3355">
        <v>535</v>
      </c>
      <c r="J32" s="3356"/>
      <c r="K32" s="3356"/>
      <c r="L32" s="3356"/>
      <c r="M32" s="3357"/>
      <c r="N32" s="3355">
        <v>535</v>
      </c>
      <c r="O32" s="3356"/>
      <c r="P32" s="3356"/>
      <c r="Q32" s="3356"/>
      <c r="R32" s="3357"/>
      <c r="S32" s="3355">
        <v>535</v>
      </c>
      <c r="T32" s="3356"/>
      <c r="U32" s="3356"/>
      <c r="V32" s="3356"/>
      <c r="W32" s="3357"/>
      <c r="X32" s="3355">
        <v>535</v>
      </c>
      <c r="Y32" s="3356"/>
      <c r="Z32" s="3356"/>
      <c r="AA32" s="3356"/>
      <c r="AB32" s="3357"/>
      <c r="AC32" s="3355">
        <v>535</v>
      </c>
      <c r="AD32" s="3356"/>
      <c r="AE32" s="3356"/>
      <c r="AF32" s="3356"/>
      <c r="AG32" s="3357"/>
      <c r="AH32" s="3355">
        <v>535</v>
      </c>
      <c r="AI32" s="3356"/>
      <c r="AJ32" s="3356"/>
      <c r="AK32" s="3356"/>
      <c r="AL32" s="3357"/>
      <c r="AM32" s="636"/>
      <c r="AN32" s="1051"/>
      <c r="AO32" s="861"/>
      <c r="AP32" s="861"/>
      <c r="AQ32" s="861"/>
      <c r="AR32" s="861"/>
      <c r="BB32" s="41"/>
      <c r="BC32" s="41"/>
      <c r="BD32" s="41"/>
      <c r="BE32" s="41"/>
    </row>
    <row r="33" spans="1:57" ht="30" customHeight="1" thickBot="1">
      <c r="A33" s="434"/>
      <c r="B33" s="988"/>
      <c r="C33" s="434"/>
      <c r="D33" s="1055"/>
      <c r="E33" s="1056" t="s">
        <v>44</v>
      </c>
      <c r="F33" s="1056"/>
      <c r="G33" s="1056"/>
      <c r="H33" s="1057"/>
      <c r="I33" s="3352">
        <v>472</v>
      </c>
      <c r="J33" s="3353"/>
      <c r="K33" s="3353"/>
      <c r="L33" s="3353"/>
      <c r="M33" s="3354"/>
      <c r="N33" s="3352">
        <v>472</v>
      </c>
      <c r="O33" s="3353"/>
      <c r="P33" s="3353"/>
      <c r="Q33" s="3353"/>
      <c r="R33" s="3354"/>
      <c r="S33" s="3352">
        <v>472</v>
      </c>
      <c r="T33" s="3353"/>
      <c r="U33" s="3353"/>
      <c r="V33" s="3353"/>
      <c r="W33" s="3354"/>
      <c r="X33" s="3352">
        <v>472</v>
      </c>
      <c r="Y33" s="3353"/>
      <c r="Z33" s="3353"/>
      <c r="AA33" s="3353"/>
      <c r="AB33" s="3354"/>
      <c r="AC33" s="3352">
        <v>472</v>
      </c>
      <c r="AD33" s="3353"/>
      <c r="AE33" s="3353"/>
      <c r="AF33" s="3353"/>
      <c r="AG33" s="3354"/>
      <c r="AH33" s="3352">
        <v>472</v>
      </c>
      <c r="AI33" s="3353"/>
      <c r="AJ33" s="3353"/>
      <c r="AK33" s="3353"/>
      <c r="AL33" s="3354"/>
      <c r="AM33" s="1058"/>
      <c r="AN33" s="1051"/>
      <c r="AO33" s="861"/>
      <c r="AP33" s="861"/>
      <c r="AQ33" s="861"/>
      <c r="AR33" s="861"/>
      <c r="BB33" s="41"/>
      <c r="BC33" s="41"/>
      <c r="BD33" s="41"/>
      <c r="BE33" s="41"/>
    </row>
    <row r="34" spans="1:57" ht="30" customHeight="1" thickTop="1" thickBot="1">
      <c r="A34" s="434"/>
      <c r="B34" s="988"/>
      <c r="C34" s="434"/>
      <c r="D34" s="1059"/>
      <c r="E34" s="1060" t="s">
        <v>42</v>
      </c>
      <c r="F34" s="1060"/>
      <c r="G34" s="1060"/>
      <c r="H34" s="1061"/>
      <c r="I34" s="3281">
        <f>SUM(I32:M33)</f>
        <v>1007</v>
      </c>
      <c r="J34" s="3273"/>
      <c r="K34" s="3273"/>
      <c r="L34" s="3273"/>
      <c r="M34" s="3277"/>
      <c r="N34" s="3281">
        <f>SUM(N32:R33)</f>
        <v>1007</v>
      </c>
      <c r="O34" s="3273"/>
      <c r="P34" s="3273"/>
      <c r="Q34" s="3273"/>
      <c r="R34" s="3277"/>
      <c r="S34" s="3281">
        <f>SUM(S32:W33)</f>
        <v>1007</v>
      </c>
      <c r="T34" s="3273"/>
      <c r="U34" s="3273"/>
      <c r="V34" s="3273"/>
      <c r="W34" s="3277"/>
      <c r="X34" s="3281">
        <f>SUM(X32:AB33)</f>
        <v>1007</v>
      </c>
      <c r="Y34" s="3273"/>
      <c r="Z34" s="3273"/>
      <c r="AA34" s="3273"/>
      <c r="AB34" s="3277"/>
      <c r="AC34" s="3281">
        <f>SUM(AC32:AG33)</f>
        <v>1007</v>
      </c>
      <c r="AD34" s="3273"/>
      <c r="AE34" s="3273"/>
      <c r="AF34" s="3273"/>
      <c r="AG34" s="3277"/>
      <c r="AH34" s="3281">
        <f>SUM(AH32:AL33)</f>
        <v>1007</v>
      </c>
      <c r="AI34" s="3273"/>
      <c r="AJ34" s="3273"/>
      <c r="AK34" s="3273"/>
      <c r="AL34" s="3277"/>
      <c r="AM34" s="1058"/>
      <c r="AN34" s="1051"/>
      <c r="AO34" s="861"/>
      <c r="AP34" s="861"/>
      <c r="AQ34" s="861"/>
      <c r="AR34" s="861"/>
      <c r="BB34" s="41"/>
      <c r="BC34" s="41"/>
      <c r="BD34" s="41"/>
      <c r="BE34" s="41"/>
    </row>
    <row r="35" spans="1:57" ht="11.1" customHeight="1" thickBot="1">
      <c r="A35" s="434"/>
      <c r="B35" s="1062"/>
      <c r="C35" s="1063"/>
      <c r="D35" s="1064"/>
      <c r="E35" s="1064"/>
      <c r="F35" s="1065"/>
      <c r="G35" s="1066"/>
      <c r="H35" s="1066"/>
      <c r="I35" s="1066"/>
      <c r="J35" s="1066"/>
      <c r="K35" s="1066"/>
      <c r="L35" s="1066"/>
      <c r="M35" s="1066"/>
      <c r="N35" s="1066"/>
      <c r="O35" s="1067"/>
      <c r="P35" s="1067"/>
      <c r="Q35" s="1067"/>
      <c r="R35" s="1067"/>
      <c r="S35" s="1067"/>
      <c r="T35" s="1066"/>
      <c r="U35" s="1067"/>
      <c r="V35" s="1067"/>
      <c r="W35" s="1067"/>
      <c r="X35" s="1067"/>
      <c r="Y35" s="1067"/>
      <c r="Z35" s="1067"/>
      <c r="AA35" s="1066"/>
      <c r="AB35" s="1066"/>
      <c r="AC35" s="1066"/>
      <c r="AD35" s="1066"/>
      <c r="AE35" s="1066"/>
      <c r="AF35" s="1066"/>
      <c r="AG35" s="1066"/>
      <c r="AH35" s="1066"/>
      <c r="AI35" s="1066"/>
      <c r="AJ35" s="1066"/>
      <c r="AK35" s="1063"/>
      <c r="AL35" s="1063"/>
      <c r="AM35" s="1063"/>
      <c r="AN35" s="1068"/>
      <c r="AO35" s="434"/>
      <c r="AP35" s="434"/>
      <c r="AQ35" s="434"/>
    </row>
    <row r="36" spans="1:57" s="164" customFormat="1" ht="30.75" customHeight="1">
      <c r="A36" s="260"/>
      <c r="B36" s="260"/>
      <c r="C36" s="227"/>
      <c r="D36" s="260"/>
      <c r="E36" s="227"/>
      <c r="F36" s="260"/>
      <c r="G36" s="227"/>
      <c r="H36" s="260"/>
      <c r="I36" s="227"/>
      <c r="J36" s="260"/>
      <c r="K36" s="227"/>
      <c r="L36" s="260"/>
      <c r="M36" s="227"/>
      <c r="N36" s="260"/>
      <c r="O36" s="227"/>
      <c r="P36" s="227"/>
      <c r="Q36" s="227"/>
      <c r="R36" s="227"/>
      <c r="S36" s="227"/>
      <c r="T36" s="260"/>
      <c r="U36" s="260"/>
      <c r="V36" s="227"/>
      <c r="W36" s="260"/>
      <c r="X36" s="260"/>
      <c r="Y36" s="227"/>
      <c r="Z36" s="260"/>
      <c r="AA36" s="227"/>
      <c r="AB36" s="260"/>
      <c r="AC36" s="227"/>
      <c r="AD36" s="260"/>
      <c r="AE36" s="227"/>
      <c r="AF36" s="260"/>
      <c r="AG36" s="227"/>
      <c r="AH36" s="260"/>
      <c r="AI36" s="227"/>
      <c r="AJ36" s="260"/>
      <c r="AK36" s="260"/>
      <c r="AL36" s="227"/>
      <c r="AM36" s="260"/>
      <c r="AN36" s="260"/>
      <c r="AO36" s="260"/>
      <c r="AP36" s="260"/>
      <c r="AQ36" s="260"/>
      <c r="AR36" s="260"/>
      <c r="AS36" s="260"/>
      <c r="AT36" s="260"/>
      <c r="AU36" s="260"/>
      <c r="AV36" s="260"/>
    </row>
    <row r="37" spans="1:57" s="37" customFormat="1" ht="15">
      <c r="A37" s="263"/>
      <c r="B37" s="332" t="s">
        <v>74</v>
      </c>
      <c r="C37" s="263"/>
      <c r="D37" s="263"/>
      <c r="E37" s="263"/>
      <c r="F37" s="263"/>
      <c r="G37" s="263"/>
      <c r="H37" s="263"/>
      <c r="I37" s="263"/>
      <c r="J37" s="263"/>
      <c r="K37" s="263"/>
      <c r="L37" s="263"/>
      <c r="M37" s="263"/>
      <c r="N37" s="263"/>
      <c r="O37" s="263"/>
      <c r="P37" s="263"/>
      <c r="Q37" s="263"/>
      <c r="R37" s="263"/>
      <c r="S37" s="263"/>
      <c r="T37" s="263"/>
      <c r="U37" s="263"/>
      <c r="V37" s="263"/>
      <c r="W37" s="263"/>
      <c r="X37" s="263"/>
      <c r="Y37" s="332" t="s">
        <v>577</v>
      </c>
      <c r="Z37" s="263"/>
      <c r="AA37" s="263"/>
      <c r="AB37" s="263"/>
      <c r="AC37" s="263"/>
      <c r="AD37" s="263"/>
      <c r="AE37" s="263"/>
      <c r="AF37" s="263"/>
      <c r="AG37" s="263"/>
      <c r="AH37" s="263"/>
      <c r="AI37" s="263"/>
      <c r="AJ37" s="263"/>
      <c r="AK37" s="263"/>
      <c r="AL37" s="263"/>
      <c r="AM37" s="263"/>
      <c r="AN37" s="263"/>
      <c r="AO37" s="263"/>
      <c r="AP37" s="263"/>
      <c r="AQ37" s="263"/>
      <c r="AR37" s="263"/>
      <c r="AS37" s="263"/>
      <c r="AT37" s="263"/>
      <c r="AU37" s="263"/>
      <c r="AV37" s="263"/>
    </row>
    <row r="38" spans="1:57" s="37" customFormat="1" ht="21.75" customHeight="1">
      <c r="A38" s="263"/>
      <c r="B38" s="332" t="s">
        <v>75</v>
      </c>
      <c r="C38" s="263"/>
      <c r="D38" s="263"/>
      <c r="E38" s="263"/>
      <c r="F38" s="2790" t="str">
        <f>activesheet!E21</f>
        <v>MELCHESIEDICK Q. BOLANIO / March 17, 2023</v>
      </c>
      <c r="G38" s="2790"/>
      <c r="H38" s="2790"/>
      <c r="I38" s="2790"/>
      <c r="J38" s="2790"/>
      <c r="K38" s="2790"/>
      <c r="L38" s="2790"/>
      <c r="M38" s="2790"/>
      <c r="N38" s="2790"/>
      <c r="O38" s="2790"/>
      <c r="P38" s="2790"/>
      <c r="Q38" s="2790"/>
      <c r="R38" s="823"/>
      <c r="S38" s="823"/>
      <c r="T38" s="823"/>
      <c r="U38" s="823"/>
      <c r="V38" s="263"/>
      <c r="W38" s="263"/>
      <c r="X38" s="263"/>
      <c r="Y38" s="2790" t="str">
        <f>activesheet!E2417</f>
        <v>RACQUEL N. ACOMPANADO / March 17, 2023</v>
      </c>
      <c r="Z38" s="2790"/>
      <c r="AA38" s="2790"/>
      <c r="AB38" s="2790"/>
      <c r="AC38" s="2790"/>
      <c r="AD38" s="2790"/>
      <c r="AE38" s="2790"/>
      <c r="AF38" s="2790"/>
      <c r="AG38" s="2790"/>
      <c r="AH38" s="2790"/>
      <c r="AI38" s="2790"/>
      <c r="AJ38" s="2790"/>
      <c r="AK38" s="2790"/>
      <c r="AL38" s="2790"/>
      <c r="AM38" s="2790"/>
      <c r="AN38" s="1069"/>
      <c r="AO38" s="263"/>
      <c r="AP38" s="263"/>
      <c r="AQ38" s="263"/>
      <c r="AR38" s="263"/>
      <c r="AS38" s="263"/>
      <c r="AT38" s="263"/>
      <c r="AU38" s="263"/>
      <c r="AV38" s="263"/>
    </row>
    <row r="39" spans="1:57" s="39" customFormat="1" ht="13.5">
      <c r="A39" s="280"/>
      <c r="B39" s="228"/>
      <c r="C39" s="280"/>
      <c r="D39" s="280"/>
      <c r="E39" s="280"/>
      <c r="F39" s="1811" t="s">
        <v>37</v>
      </c>
      <c r="G39" s="1811"/>
      <c r="H39" s="1811"/>
      <c r="I39" s="1811"/>
      <c r="J39" s="1811"/>
      <c r="K39" s="1811"/>
      <c r="L39" s="1811"/>
      <c r="M39" s="1811"/>
      <c r="N39" s="1811"/>
      <c r="O39" s="1811"/>
      <c r="P39" s="1811"/>
      <c r="Q39" s="1811"/>
      <c r="R39" s="247"/>
      <c r="S39" s="247"/>
      <c r="T39" s="247"/>
      <c r="U39" s="247"/>
      <c r="V39" s="281"/>
      <c r="W39" s="281"/>
      <c r="X39" s="281"/>
      <c r="Y39" s="1811" t="s">
        <v>37</v>
      </c>
      <c r="Z39" s="1811"/>
      <c r="AA39" s="1811"/>
      <c r="AB39" s="1811"/>
      <c r="AC39" s="1811"/>
      <c r="AD39" s="1811"/>
      <c r="AE39" s="1811"/>
      <c r="AF39" s="1811"/>
      <c r="AG39" s="1811"/>
      <c r="AH39" s="1811"/>
      <c r="AI39" s="1811"/>
      <c r="AJ39" s="1811"/>
      <c r="AK39" s="1811"/>
      <c r="AL39" s="1811"/>
      <c r="AM39" s="1811"/>
      <c r="AN39" s="280"/>
      <c r="AO39" s="280"/>
      <c r="AP39" s="280"/>
      <c r="AQ39" s="280"/>
      <c r="AR39" s="280"/>
      <c r="AS39" s="280"/>
      <c r="AT39" s="280"/>
      <c r="AU39" s="280"/>
      <c r="AV39" s="280"/>
    </row>
    <row r="40" spans="1:57" s="37" customFormat="1" ht="21.75" customHeight="1">
      <c r="A40" s="263"/>
      <c r="B40" s="332" t="s">
        <v>58</v>
      </c>
      <c r="C40" s="263"/>
      <c r="D40" s="263"/>
      <c r="E40" s="263"/>
      <c r="F40" s="2790" t="str">
        <f>activesheet!E22</f>
        <v>SECONDARY SCHOOL PRINCIPAL IV</v>
      </c>
      <c r="G40" s="2790"/>
      <c r="H40" s="2790"/>
      <c r="I40" s="2790"/>
      <c r="J40" s="2790"/>
      <c r="K40" s="2790"/>
      <c r="L40" s="2790"/>
      <c r="M40" s="2790"/>
      <c r="N40" s="2790"/>
      <c r="O40" s="2790"/>
      <c r="P40" s="2790"/>
      <c r="Q40" s="2790"/>
      <c r="R40" s="823"/>
      <c r="S40" s="823"/>
      <c r="T40" s="823"/>
      <c r="U40" s="823"/>
      <c r="V40" s="263"/>
      <c r="W40" s="263"/>
      <c r="X40" s="263"/>
      <c r="Y40" s="332" t="s">
        <v>58</v>
      </c>
      <c r="Z40" s="263"/>
      <c r="AA40" s="263"/>
      <c r="AB40" s="263"/>
      <c r="AC40" s="2790" t="str">
        <f>activesheet!E2418</f>
        <v>NURSE II</v>
      </c>
      <c r="AD40" s="2790"/>
      <c r="AE40" s="2790"/>
      <c r="AF40" s="2790"/>
      <c r="AG40" s="2790"/>
      <c r="AH40" s="2790"/>
      <c r="AI40" s="2790"/>
      <c r="AJ40" s="2790"/>
      <c r="AK40" s="2790"/>
      <c r="AL40" s="2790"/>
      <c r="AM40" s="2790"/>
      <c r="AN40" s="1069"/>
      <c r="AO40" s="263"/>
      <c r="AP40" s="263"/>
      <c r="AQ40" s="263"/>
      <c r="AR40" s="263"/>
      <c r="AS40" s="263"/>
      <c r="AT40" s="263"/>
      <c r="AU40" s="263"/>
      <c r="AV40" s="263"/>
    </row>
    <row r="41" spans="1:57" s="3" customFormat="1" ht="30.75" customHeight="1">
      <c r="A41" s="240"/>
      <c r="B41" s="239"/>
      <c r="C41" s="240"/>
      <c r="D41" s="239"/>
      <c r="E41" s="240"/>
      <c r="F41" s="239"/>
      <c r="G41" s="240"/>
      <c r="H41" s="239"/>
      <c r="I41" s="240"/>
      <c r="J41" s="239"/>
      <c r="K41" s="240"/>
      <c r="L41" s="239"/>
      <c r="M41" s="240"/>
      <c r="N41" s="239"/>
      <c r="O41" s="240"/>
      <c r="P41" s="239"/>
      <c r="Q41" s="240"/>
      <c r="R41" s="227"/>
      <c r="S41" s="227"/>
      <c r="T41" s="227"/>
      <c r="U41" s="227"/>
      <c r="V41" s="260"/>
      <c r="W41" s="227"/>
      <c r="X41" s="260"/>
      <c r="Y41" s="239"/>
      <c r="Z41" s="240"/>
      <c r="AA41" s="239"/>
      <c r="AB41" s="240"/>
      <c r="AC41" s="239"/>
      <c r="AD41" s="240"/>
      <c r="AE41" s="239"/>
      <c r="AF41" s="240"/>
      <c r="AG41" s="239"/>
      <c r="AH41" s="240"/>
      <c r="AI41" s="239"/>
      <c r="AJ41" s="240"/>
      <c r="AK41" s="239"/>
      <c r="AL41" s="240"/>
      <c r="AM41" s="239"/>
      <c r="AN41" s="240"/>
      <c r="AO41" s="240"/>
      <c r="AP41" s="240"/>
      <c r="AQ41" s="240"/>
      <c r="AR41" s="240"/>
      <c r="AS41" s="240"/>
      <c r="AT41" s="240"/>
      <c r="AU41" s="240"/>
      <c r="AV41" s="240"/>
    </row>
    <row r="42" spans="1:57" s="37" customFormat="1" ht="15">
      <c r="A42" s="263"/>
      <c r="B42" s="263"/>
      <c r="C42" s="263"/>
      <c r="D42" s="263"/>
      <c r="E42" s="263"/>
      <c r="F42" s="263"/>
      <c r="G42" s="263"/>
      <c r="H42" s="263"/>
      <c r="I42" s="263"/>
      <c r="J42" s="263"/>
      <c r="K42" s="263"/>
      <c r="L42" s="263"/>
      <c r="M42" s="263"/>
      <c r="N42" s="332" t="s">
        <v>33</v>
      </c>
      <c r="O42" s="263"/>
      <c r="P42" s="263"/>
      <c r="Q42" s="263"/>
      <c r="R42" s="263"/>
      <c r="S42" s="263"/>
      <c r="T42" s="263"/>
      <c r="U42" s="263"/>
      <c r="V42" s="263"/>
      <c r="W42" s="263"/>
      <c r="X42" s="263"/>
      <c r="Y42" s="263"/>
      <c r="Z42" s="263"/>
      <c r="AA42" s="263"/>
      <c r="AB42" s="263"/>
      <c r="AC42" s="263"/>
      <c r="AD42" s="263"/>
      <c r="AE42" s="263"/>
      <c r="AF42" s="263"/>
      <c r="AG42" s="263"/>
      <c r="AH42" s="263"/>
      <c r="AI42" s="263"/>
      <c r="AJ42" s="263"/>
      <c r="AK42" s="263"/>
      <c r="AL42" s="263"/>
      <c r="AM42" s="263"/>
      <c r="AN42" s="263"/>
      <c r="AO42" s="263"/>
      <c r="AP42" s="263"/>
      <c r="AQ42" s="263"/>
      <c r="AR42" s="263"/>
      <c r="AS42" s="263"/>
      <c r="AT42" s="263"/>
      <c r="AU42" s="263"/>
      <c r="AV42" s="263"/>
    </row>
    <row r="43" spans="1:57" s="37" customFormat="1" ht="21.75" customHeight="1">
      <c r="A43" s="263"/>
      <c r="B43" s="263"/>
      <c r="C43" s="263"/>
      <c r="D43" s="263"/>
      <c r="E43" s="263"/>
      <c r="F43" s="263"/>
      <c r="G43" s="263"/>
      <c r="H43" s="263"/>
      <c r="I43" s="263"/>
      <c r="J43" s="263"/>
      <c r="K43" s="263"/>
      <c r="L43" s="263"/>
      <c r="M43" s="263"/>
      <c r="N43" s="1819" t="str">
        <f>activesheet!E25</f>
        <v>MICHAEL T. JAMIS / March 17, 2023</v>
      </c>
      <c r="O43" s="1819"/>
      <c r="P43" s="1819"/>
      <c r="Q43" s="1819"/>
      <c r="R43" s="1819"/>
      <c r="S43" s="1819"/>
      <c r="T43" s="1819"/>
      <c r="U43" s="1819"/>
      <c r="V43" s="1819"/>
      <c r="W43" s="1819"/>
      <c r="X43" s="1819"/>
      <c r="Y43" s="1819"/>
      <c r="Z43" s="1819"/>
      <c r="AA43" s="1819"/>
      <c r="AB43" s="1819"/>
      <c r="AC43" s="1819"/>
      <c r="AD43" s="263"/>
      <c r="AE43" s="263"/>
      <c r="AF43" s="263"/>
      <c r="AG43" s="263"/>
      <c r="AH43" s="263"/>
      <c r="AI43" s="263"/>
      <c r="AJ43" s="263"/>
      <c r="AK43" s="263"/>
      <c r="AL43" s="263"/>
      <c r="AM43" s="263"/>
      <c r="AN43" s="263"/>
      <c r="AO43" s="263"/>
      <c r="AP43" s="263"/>
      <c r="AQ43" s="263"/>
      <c r="AR43" s="263"/>
      <c r="AS43" s="263"/>
      <c r="AT43" s="263"/>
      <c r="AU43" s="263"/>
      <c r="AV43" s="263"/>
    </row>
    <row r="44" spans="1:57" s="39" customFormat="1" ht="15" customHeight="1">
      <c r="A44" s="280"/>
      <c r="B44" s="280"/>
      <c r="C44" s="280"/>
      <c r="D44" s="280"/>
      <c r="E44" s="280"/>
      <c r="F44" s="280"/>
      <c r="G44" s="280"/>
      <c r="H44" s="280"/>
      <c r="I44" s="280"/>
      <c r="J44" s="280"/>
      <c r="K44" s="280"/>
      <c r="L44" s="280"/>
      <c r="M44" s="280"/>
      <c r="N44" s="1820"/>
      <c r="O44" s="1820"/>
      <c r="P44" s="1820"/>
      <c r="Q44" s="1820"/>
      <c r="R44" s="1820"/>
      <c r="S44" s="1820"/>
      <c r="T44" s="1820"/>
      <c r="U44" s="1820"/>
      <c r="V44" s="1820"/>
      <c r="W44" s="1820"/>
      <c r="X44" s="1820"/>
      <c r="Y44" s="1820"/>
      <c r="Z44" s="1820"/>
      <c r="AA44" s="1820"/>
      <c r="AB44" s="1820"/>
      <c r="AC44" s="1820"/>
      <c r="AD44" s="280"/>
      <c r="AE44" s="280"/>
      <c r="AF44" s="280"/>
      <c r="AG44" s="280"/>
      <c r="AH44" s="280"/>
      <c r="AI44" s="280"/>
      <c r="AJ44" s="280"/>
      <c r="AK44" s="280"/>
      <c r="AL44" s="280"/>
      <c r="AM44" s="280"/>
      <c r="AN44" s="280"/>
      <c r="AO44" s="280"/>
      <c r="AP44" s="280"/>
      <c r="AQ44" s="280"/>
      <c r="AR44" s="280"/>
      <c r="AS44" s="280"/>
      <c r="AT44" s="280"/>
      <c r="AU44" s="280"/>
      <c r="AV44" s="280"/>
    </row>
    <row r="45" spans="1:57">
      <c r="A45" s="434"/>
      <c r="B45" s="434"/>
      <c r="C45" s="434"/>
      <c r="D45" s="434"/>
      <c r="E45" s="434"/>
      <c r="F45" s="434"/>
      <c r="G45" s="434"/>
      <c r="H45" s="434"/>
      <c r="I45" s="434"/>
      <c r="J45" s="434"/>
      <c r="K45" s="434"/>
      <c r="L45" s="434"/>
      <c r="M45" s="434"/>
      <c r="N45" s="1811" t="s">
        <v>37</v>
      </c>
      <c r="O45" s="1811"/>
      <c r="P45" s="1811"/>
      <c r="Q45" s="1811"/>
      <c r="R45" s="1811"/>
      <c r="S45" s="1811"/>
      <c r="T45" s="1811"/>
      <c r="U45" s="1811"/>
      <c r="V45" s="1811"/>
      <c r="W45" s="1811"/>
      <c r="X45" s="1811"/>
      <c r="Y45" s="1811"/>
      <c r="Z45" s="1811"/>
      <c r="AA45" s="1811"/>
      <c r="AB45" s="1811"/>
      <c r="AC45" s="1811"/>
      <c r="AD45" s="434"/>
      <c r="AE45" s="434"/>
      <c r="AF45" s="434"/>
      <c r="AG45" s="434"/>
      <c r="AH45" s="434"/>
      <c r="AI45" s="434"/>
      <c r="AJ45" s="434"/>
      <c r="AK45" s="434"/>
      <c r="AL45" s="434"/>
      <c r="AM45" s="434"/>
      <c r="AN45" s="434"/>
      <c r="AO45" s="434"/>
      <c r="AP45" s="434"/>
      <c r="AQ45" s="434"/>
    </row>
    <row r="46" spans="1:57">
      <c r="A46" s="434"/>
      <c r="B46" s="434"/>
      <c r="C46" s="434"/>
      <c r="D46" s="434"/>
      <c r="E46" s="434"/>
      <c r="F46" s="434"/>
      <c r="G46" s="434"/>
      <c r="H46" s="434"/>
      <c r="I46" s="434"/>
      <c r="J46" s="434"/>
      <c r="K46" s="434"/>
      <c r="L46" s="434"/>
      <c r="M46" s="434"/>
      <c r="N46" s="239"/>
      <c r="O46" s="240"/>
      <c r="P46" s="239"/>
      <c r="Q46" s="240"/>
      <c r="R46" s="239"/>
      <c r="S46" s="240"/>
      <c r="T46" s="239"/>
      <c r="U46" s="240"/>
      <c r="V46" s="239"/>
      <c r="W46" s="240"/>
      <c r="X46" s="239"/>
      <c r="Y46" s="240"/>
      <c r="Z46" s="239"/>
      <c r="AA46" s="240"/>
      <c r="AB46" s="239"/>
      <c r="AC46" s="240"/>
      <c r="AD46" s="434"/>
      <c r="AE46" s="434"/>
      <c r="AF46" s="434"/>
      <c r="AG46" s="434"/>
      <c r="AH46" s="434"/>
      <c r="AI46" s="434"/>
      <c r="AJ46" s="434"/>
      <c r="AK46" s="434"/>
      <c r="AL46" s="434"/>
      <c r="AM46" s="434"/>
      <c r="AN46" s="434"/>
      <c r="AO46" s="434"/>
      <c r="AP46" s="434"/>
      <c r="AQ46" s="434"/>
    </row>
    <row r="47" spans="1:57">
      <c r="A47" s="434"/>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row>
    <row r="48" spans="1:57">
      <c r="A48" s="434"/>
      <c r="B48" s="434"/>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row>
    <row r="49" spans="1:43">
      <c r="A49" s="434"/>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row>
    <row r="50" spans="1:43">
      <c r="A50" s="434"/>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c r="AD50" s="434"/>
      <c r="AE50" s="434"/>
      <c r="AF50" s="434"/>
      <c r="AG50" s="434"/>
      <c r="AH50" s="434"/>
      <c r="AI50" s="434"/>
      <c r="AJ50" s="434"/>
      <c r="AK50" s="434"/>
      <c r="AL50" s="434"/>
      <c r="AM50" s="434"/>
      <c r="AN50" s="434"/>
      <c r="AO50" s="434"/>
      <c r="AP50" s="434"/>
      <c r="AQ50" s="434"/>
    </row>
    <row r="51" spans="1:43">
      <c r="A51" s="434"/>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c r="AD51" s="434"/>
      <c r="AE51" s="434"/>
      <c r="AF51" s="434"/>
      <c r="AG51" s="434"/>
      <c r="AH51" s="434"/>
      <c r="AI51" s="434"/>
      <c r="AJ51" s="434"/>
      <c r="AK51" s="434"/>
      <c r="AL51" s="434"/>
      <c r="AM51" s="434"/>
      <c r="AN51" s="434"/>
      <c r="AO51" s="434"/>
      <c r="AP51" s="434"/>
      <c r="AQ51" s="434"/>
    </row>
    <row r="52" spans="1:43">
      <c r="A52" s="434"/>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c r="AD52" s="434"/>
      <c r="AE52" s="434"/>
      <c r="AF52" s="434"/>
      <c r="AG52" s="434"/>
      <c r="AH52" s="434"/>
      <c r="AI52" s="434"/>
      <c r="AJ52" s="434"/>
      <c r="AK52" s="434"/>
      <c r="AL52" s="434"/>
      <c r="AM52" s="434"/>
      <c r="AN52" s="434"/>
      <c r="AO52" s="434"/>
      <c r="AP52" s="434"/>
      <c r="AQ52" s="434"/>
    </row>
    <row r="53" spans="1:43">
      <c r="A53" s="434"/>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c r="AD53" s="434"/>
      <c r="AE53" s="434"/>
      <c r="AF53" s="434"/>
      <c r="AG53" s="434"/>
      <c r="AH53" s="434"/>
      <c r="AI53" s="434"/>
      <c r="AJ53" s="434"/>
      <c r="AK53" s="434"/>
      <c r="AL53" s="434"/>
      <c r="AM53" s="434"/>
      <c r="AN53" s="434"/>
      <c r="AO53" s="434"/>
      <c r="AP53" s="434"/>
      <c r="AQ53" s="434"/>
    </row>
    <row r="54" spans="1:43">
      <c r="A54" s="434"/>
      <c r="B54" s="434"/>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row>
    <row r="55" spans="1:43">
      <c r="A55" s="434"/>
      <c r="B55" s="434"/>
      <c r="C55" s="434"/>
      <c r="D55" s="434"/>
      <c r="E55" s="434"/>
      <c r="F55" s="434"/>
      <c r="G55" s="434"/>
      <c r="H55" s="434"/>
      <c r="I55" s="434"/>
      <c r="J55" s="434"/>
      <c r="K55" s="434"/>
      <c r="L55" s="434"/>
      <c r="M55" s="434"/>
      <c r="N55" s="434"/>
      <c r="O55" s="434"/>
      <c r="P55" s="434"/>
      <c r="Q55" s="434"/>
      <c r="R55" s="434"/>
      <c r="S55" s="434"/>
      <c r="T55" s="434"/>
      <c r="U55" s="434"/>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row>
    <row r="56" spans="1:43">
      <c r="A56" s="434"/>
      <c r="B56" s="434"/>
      <c r="C56" s="434"/>
      <c r="D56" s="434"/>
      <c r="E56" s="434"/>
      <c r="F56" s="434"/>
      <c r="G56" s="434"/>
      <c r="H56" s="434"/>
      <c r="I56" s="434"/>
      <c r="J56" s="434"/>
      <c r="K56" s="434"/>
      <c r="L56" s="434"/>
      <c r="M56" s="434"/>
      <c r="N56" s="434"/>
      <c r="O56" s="434"/>
      <c r="P56" s="434"/>
      <c r="Q56" s="434"/>
      <c r="R56" s="434"/>
      <c r="S56" s="434"/>
      <c r="T56" s="434"/>
      <c r="U56" s="434"/>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row>
    <row r="57" spans="1:43">
      <c r="A57" s="434"/>
      <c r="B57" s="434"/>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row>
    <row r="58" spans="1:43">
      <c r="A58" s="434"/>
      <c r="B58" s="434"/>
      <c r="C58" s="434"/>
      <c r="D58" s="434"/>
      <c r="E58" s="434"/>
      <c r="F58" s="434"/>
      <c r="G58" s="434"/>
      <c r="H58" s="434"/>
      <c r="I58" s="434"/>
      <c r="J58" s="434"/>
      <c r="K58" s="434"/>
      <c r="L58" s="434"/>
      <c r="M58" s="434"/>
      <c r="N58" s="434"/>
      <c r="O58" s="434"/>
      <c r="P58" s="434"/>
      <c r="Q58" s="434"/>
      <c r="R58" s="434"/>
      <c r="S58" s="434"/>
      <c r="T58" s="434"/>
      <c r="U58" s="434"/>
      <c r="V58" s="434"/>
      <c r="W58" s="434"/>
      <c r="X58" s="434"/>
      <c r="Y58" s="434"/>
      <c r="Z58" s="434"/>
      <c r="AA58" s="434"/>
      <c r="AB58" s="434"/>
      <c r="AC58" s="434"/>
      <c r="AD58" s="434"/>
      <c r="AE58" s="434"/>
      <c r="AF58" s="434"/>
      <c r="AG58" s="434"/>
      <c r="AH58" s="434"/>
      <c r="AI58" s="434"/>
      <c r="AJ58" s="434"/>
      <c r="AK58" s="434"/>
      <c r="AL58" s="434"/>
      <c r="AM58" s="434"/>
      <c r="AN58" s="434"/>
      <c r="AO58" s="434"/>
      <c r="AP58" s="434"/>
      <c r="AQ58" s="434"/>
    </row>
    <row r="59" spans="1:43">
      <c r="A59" s="434"/>
      <c r="B59" s="434"/>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c r="AD59" s="434"/>
      <c r="AE59" s="434"/>
      <c r="AF59" s="434"/>
      <c r="AG59" s="434"/>
      <c r="AH59" s="434"/>
      <c r="AI59" s="434"/>
      <c r="AJ59" s="434"/>
      <c r="AK59" s="434"/>
      <c r="AL59" s="434"/>
      <c r="AM59" s="434"/>
      <c r="AN59" s="434"/>
      <c r="AO59" s="434"/>
      <c r="AP59" s="434"/>
      <c r="AQ59" s="434"/>
    </row>
    <row r="60" spans="1:43">
      <c r="A60" s="434"/>
      <c r="B60" s="434"/>
      <c r="C60" s="434"/>
      <c r="D60" s="434"/>
      <c r="E60" s="434"/>
      <c r="F60" s="434"/>
      <c r="G60" s="434"/>
      <c r="H60" s="434"/>
      <c r="I60" s="434"/>
      <c r="J60" s="434"/>
      <c r="K60" s="434"/>
      <c r="L60" s="434"/>
      <c r="M60" s="434"/>
      <c r="N60" s="434"/>
      <c r="O60" s="434"/>
      <c r="P60" s="434"/>
      <c r="Q60" s="434"/>
      <c r="R60" s="434"/>
      <c r="S60" s="434"/>
      <c r="T60" s="434"/>
      <c r="U60" s="434"/>
      <c r="V60" s="434"/>
      <c r="W60" s="434"/>
      <c r="X60" s="434"/>
      <c r="Y60" s="434"/>
      <c r="Z60" s="434"/>
      <c r="AA60" s="434"/>
      <c r="AB60" s="434"/>
      <c r="AC60" s="434"/>
      <c r="AD60" s="434"/>
      <c r="AE60" s="434"/>
      <c r="AF60" s="434"/>
      <c r="AG60" s="434"/>
      <c r="AH60" s="434"/>
      <c r="AI60" s="434"/>
      <c r="AJ60" s="434"/>
      <c r="AK60" s="434"/>
      <c r="AL60" s="434"/>
      <c r="AM60" s="434"/>
      <c r="AN60" s="434"/>
      <c r="AO60" s="434"/>
      <c r="AP60" s="434"/>
      <c r="AQ60" s="434"/>
    </row>
    <row r="61" spans="1:43">
      <c r="A61" s="434"/>
      <c r="B61" s="434"/>
      <c r="C61" s="434"/>
      <c r="D61" s="434"/>
      <c r="E61" s="434"/>
      <c r="F61" s="434"/>
      <c r="G61" s="434"/>
      <c r="H61" s="434"/>
      <c r="I61" s="434"/>
      <c r="J61" s="434"/>
      <c r="K61" s="434"/>
      <c r="L61" s="434"/>
      <c r="M61" s="434"/>
      <c r="N61" s="434"/>
      <c r="O61" s="434"/>
      <c r="P61" s="434"/>
      <c r="Q61" s="434"/>
      <c r="R61" s="434"/>
      <c r="S61" s="434"/>
      <c r="T61" s="434"/>
      <c r="U61" s="434"/>
      <c r="V61" s="434"/>
      <c r="W61" s="434"/>
      <c r="X61" s="434"/>
      <c r="Y61" s="434"/>
      <c r="Z61" s="434"/>
      <c r="AA61" s="434"/>
      <c r="AB61" s="434"/>
      <c r="AC61" s="434"/>
      <c r="AD61" s="434"/>
      <c r="AE61" s="434"/>
      <c r="AF61" s="434"/>
      <c r="AG61" s="434"/>
      <c r="AH61" s="434"/>
      <c r="AI61" s="434"/>
      <c r="AJ61" s="434"/>
      <c r="AK61" s="434"/>
      <c r="AL61" s="434"/>
      <c r="AM61" s="434"/>
      <c r="AN61" s="434"/>
      <c r="AO61" s="434"/>
      <c r="AP61" s="434"/>
      <c r="AQ61" s="434"/>
    </row>
    <row r="62" spans="1:43">
      <c r="A62" s="434"/>
      <c r="B62" s="434"/>
      <c r="C62" s="434"/>
      <c r="D62" s="434"/>
      <c r="E62" s="434"/>
      <c r="F62" s="434"/>
      <c r="G62" s="434"/>
      <c r="H62" s="434"/>
      <c r="I62" s="434"/>
      <c r="J62" s="434"/>
      <c r="K62" s="434"/>
      <c r="L62" s="434"/>
      <c r="M62" s="434"/>
      <c r="N62" s="434"/>
      <c r="O62" s="434"/>
      <c r="P62" s="434"/>
      <c r="Q62" s="434"/>
      <c r="R62" s="434"/>
      <c r="S62" s="434"/>
      <c r="T62" s="434"/>
      <c r="U62" s="434"/>
      <c r="V62" s="434"/>
      <c r="W62" s="434"/>
      <c r="X62" s="434"/>
      <c r="Y62" s="434"/>
      <c r="Z62" s="434"/>
      <c r="AA62" s="434"/>
      <c r="AB62" s="434"/>
      <c r="AC62" s="434"/>
      <c r="AD62" s="434"/>
      <c r="AE62" s="434"/>
      <c r="AF62" s="434"/>
      <c r="AG62" s="434"/>
      <c r="AH62" s="434"/>
      <c r="AI62" s="434"/>
      <c r="AJ62" s="434"/>
      <c r="AK62" s="434"/>
      <c r="AL62" s="434"/>
      <c r="AM62" s="434"/>
      <c r="AN62" s="434"/>
      <c r="AO62" s="434"/>
      <c r="AP62" s="434"/>
      <c r="AQ62" s="434"/>
    </row>
  </sheetData>
  <sheetProtection algorithmName="SHA-512" hashValue="MeGNpoUnqTKpmpG0mUnHsQbJ1591KA15m6JWDbfasNLUULgXM1Z6UvWUsyIhjxFjtwSC4Kwlqv5eVmw6RBq+hA==" saltValue="ZqSGqOF/lWJfaUfA6oCckw==" spinCount="100000" sheet="1" objects="1" scenarios="1"/>
  <customSheetViews>
    <customSheetView guid="{6EFEFCA0-BF14-457A-85A3-29CBF2A862A5}" showGridLines="0" fitToPage="1">
      <selection sqref="A1:AP47"/>
      <pageMargins left="0.23622047244094491" right="0.82677165354330717" top="0.19685039370078741" bottom="0.19685039370078741" header="0" footer="0.11811023622047245"/>
      <printOptions horizontalCentered="1" verticalCentered="1"/>
      <pageSetup paperSize="5" scale="60" orientation="landscape" r:id="rId1"/>
      <headerFooter>
        <oddFooter>&amp;L&amp;10&amp;F &amp;A&amp;R&amp;10Page 31 of 61</oddFooter>
      </headerFooter>
    </customSheetView>
  </customSheetViews>
  <mergeCells count="69">
    <mergeCell ref="D11:K11"/>
    <mergeCell ref="L11:R11"/>
    <mergeCell ref="D12:K12"/>
    <mergeCell ref="L12:R12"/>
    <mergeCell ref="D13:K13"/>
    <mergeCell ref="L13:R13"/>
    <mergeCell ref="X24:AB24"/>
    <mergeCell ref="AC24:AG24"/>
    <mergeCell ref="D14:K14"/>
    <mergeCell ref="L14:R14"/>
    <mergeCell ref="D16:W16"/>
    <mergeCell ref="D21:AM21"/>
    <mergeCell ref="D23:H23"/>
    <mergeCell ref="I23:M23"/>
    <mergeCell ref="N23:R23"/>
    <mergeCell ref="S23:W23"/>
    <mergeCell ref="X23:AB23"/>
    <mergeCell ref="AC23:AG23"/>
    <mergeCell ref="AH23:AL23"/>
    <mergeCell ref="AH24:AL24"/>
    <mergeCell ref="I24:M24"/>
    <mergeCell ref="N24:R24"/>
    <mergeCell ref="AH25:AL25"/>
    <mergeCell ref="I26:M26"/>
    <mergeCell ref="N26:R26"/>
    <mergeCell ref="S26:W26"/>
    <mergeCell ref="X26:AB26"/>
    <mergeCell ref="AC26:AG26"/>
    <mergeCell ref="I25:M25"/>
    <mergeCell ref="N25:R25"/>
    <mergeCell ref="S25:W25"/>
    <mergeCell ref="X25:AB25"/>
    <mergeCell ref="AC25:AG25"/>
    <mergeCell ref="S24:W24"/>
    <mergeCell ref="AH32:AL32"/>
    <mergeCell ref="D29:AM29"/>
    <mergeCell ref="D31:H31"/>
    <mergeCell ref="I31:M31"/>
    <mergeCell ref="N31:R31"/>
    <mergeCell ref="S31:W31"/>
    <mergeCell ref="X31:AB31"/>
    <mergeCell ref="AC31:AG31"/>
    <mergeCell ref="AH31:AL31"/>
    <mergeCell ref="I32:M32"/>
    <mergeCell ref="N32:R32"/>
    <mergeCell ref="S32:W32"/>
    <mergeCell ref="X32:AB32"/>
    <mergeCell ref="AC32:AG32"/>
    <mergeCell ref="AH26:AL26"/>
    <mergeCell ref="AH34:AL34"/>
    <mergeCell ref="I33:M33"/>
    <mergeCell ref="N33:R33"/>
    <mergeCell ref="S33:W33"/>
    <mergeCell ref="X33:AB33"/>
    <mergeCell ref="AC33:AG33"/>
    <mergeCell ref="AH33:AL33"/>
    <mergeCell ref="I34:M34"/>
    <mergeCell ref="N34:R34"/>
    <mergeCell ref="S34:W34"/>
    <mergeCell ref="X34:AB34"/>
    <mergeCell ref="AC34:AG34"/>
    <mergeCell ref="N43:AC44"/>
    <mergeCell ref="N45:AC45"/>
    <mergeCell ref="F38:Q38"/>
    <mergeCell ref="Y38:AM38"/>
    <mergeCell ref="F39:Q39"/>
    <mergeCell ref="Y39:AM39"/>
    <mergeCell ref="F40:Q40"/>
    <mergeCell ref="AC40:AM40"/>
  </mergeCells>
  <conditionalFormatting sqref="D21">
    <cfRule type="expression" dxfId="33" priority="8">
      <formula>$AH$26</formula>
    </cfRule>
    <cfRule type="expression" dxfId="32" priority="9">
      <formula>$AC$26</formula>
    </cfRule>
    <cfRule type="expression" dxfId="31" priority="10">
      <formula>$X$26</formula>
    </cfRule>
    <cfRule type="expression" dxfId="30" priority="11">
      <formula>$S$26</formula>
    </cfRule>
    <cfRule type="expression" dxfId="29" priority="12">
      <formula>$I$26</formula>
    </cfRule>
    <cfRule type="expression" dxfId="28" priority="13">
      <formula>$N$26</formula>
    </cfRule>
    <cfRule type="expression" dxfId="27" priority="14">
      <formula>$I$24</formula>
    </cfRule>
    <cfRule type="expression" dxfId="26" priority="16">
      <formula>$AF$20</formula>
    </cfRule>
  </conditionalFormatting>
  <conditionalFormatting sqref="D29">
    <cfRule type="expression" dxfId="25" priority="1">
      <formula>$AH$34</formula>
    </cfRule>
    <cfRule type="expression" dxfId="24" priority="2">
      <formula>$AC$34</formula>
    </cfRule>
    <cfRule type="expression" dxfId="23" priority="3">
      <formula>$X$34</formula>
    </cfRule>
    <cfRule type="expression" dxfId="22" priority="4">
      <formula>$S$34</formula>
    </cfRule>
    <cfRule type="expression" dxfId="21" priority="5">
      <formula>$N$34</formula>
    </cfRule>
    <cfRule type="expression" dxfId="20" priority="6">
      <formula>$I$34</formula>
    </cfRule>
    <cfRule type="expression" dxfId="19" priority="7">
      <formula>$AF$28</formula>
    </cfRule>
  </conditionalFormatting>
  <dataValidations count="2">
    <dataValidation type="whole" allowBlank="1" showInputMessage="1" showErrorMessage="1" errorTitle="GSHSP SY 2022-2023" error="Please enter valid number between 0-20,000." sqref="L12:R13 I24:AL25" xr:uid="{4814A4FD-111D-483C-9361-EF1FE1A26464}">
      <formula1>0</formula1>
      <formula2>20000</formula2>
    </dataValidation>
    <dataValidation type="whole" allowBlank="1" showInputMessage="1" showErrorMessage="1" errorTitle="GSHSP SY 2022-2023" error="Please enter valid number between 0-999." sqref="I32:AL33" xr:uid="{B7759B83-D805-4714-8C39-3A5A3CD58C05}">
      <formula1>0</formula1>
      <formula2>999</formula2>
    </dataValidation>
  </dataValidations>
  <printOptions horizontalCentered="1" verticalCentered="1"/>
  <pageMargins left="0.23622047244094491" right="0.82677165354330717" top="0.19685039370078741" bottom="0.19685039370078741" header="0" footer="0.11811023622047245"/>
  <pageSetup paperSize="5" scale="60" orientation="landscape" r:id="rId2"/>
  <headerFooter>
    <oddFooter>&amp;L&amp;10&amp;F &amp;A&amp;R&amp;10Page 31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0657" r:id="rId5" name="Check Box 1">
              <controlPr defaultSize="0" autoFill="0" autoLine="0" autoPict="0">
                <anchor moveWithCells="1">
                  <from>
                    <xdr:col>26</xdr:col>
                    <xdr:colOff>38100</xdr:colOff>
                    <xdr:row>4</xdr:row>
                    <xdr:rowOff>28575</xdr:rowOff>
                  </from>
                  <to>
                    <xdr:col>26</xdr:col>
                    <xdr:colOff>238125</xdr:colOff>
                    <xdr:row>4</xdr:row>
                    <xdr:rowOff>228600</xdr:rowOff>
                  </to>
                </anchor>
              </controlPr>
            </control>
          </mc:Choice>
        </mc:AlternateContent>
        <mc:AlternateContent xmlns:mc="http://schemas.openxmlformats.org/markup-compatibility/2006">
          <mc:Choice Requires="x14">
            <control shapeId="70658" r:id="rId6" name="Check Box 2">
              <controlPr defaultSize="0" autoFill="0" autoLine="0" autoPict="0">
                <anchor moveWithCells="1">
                  <from>
                    <xdr:col>26</xdr:col>
                    <xdr:colOff>28575</xdr:colOff>
                    <xdr:row>6</xdr:row>
                    <xdr:rowOff>0</xdr:rowOff>
                  </from>
                  <to>
                    <xdr:col>26</xdr:col>
                    <xdr:colOff>228600</xdr:colOff>
                    <xdr:row>6</xdr:row>
                    <xdr:rowOff>257175</xdr:rowOff>
                  </to>
                </anchor>
              </controlPr>
            </control>
          </mc:Choice>
        </mc:AlternateContent>
        <mc:AlternateContent xmlns:mc="http://schemas.openxmlformats.org/markup-compatibility/2006">
          <mc:Choice Requires="x14">
            <control shapeId="70659" r:id="rId7" name="Check Box 3">
              <controlPr defaultSize="0" autoFill="0" autoLine="0" autoPict="0">
                <anchor moveWithCells="1">
                  <from>
                    <xdr:col>26</xdr:col>
                    <xdr:colOff>28575</xdr:colOff>
                    <xdr:row>15</xdr:row>
                    <xdr:rowOff>104775</xdr:rowOff>
                  </from>
                  <to>
                    <xdr:col>26</xdr:col>
                    <xdr:colOff>257175</xdr:colOff>
                    <xdr:row>15</xdr:row>
                    <xdr:rowOff>314325</xdr:rowOff>
                  </to>
                </anchor>
              </controlPr>
            </control>
          </mc:Choice>
        </mc:AlternateContent>
        <mc:AlternateContent xmlns:mc="http://schemas.openxmlformats.org/markup-compatibility/2006">
          <mc:Choice Requires="x14">
            <control shapeId="70660" r:id="rId8" name="Check Box 4">
              <controlPr defaultSize="0" autoFill="0" autoLine="0" autoPict="0">
                <anchor moveWithCells="1">
                  <from>
                    <xdr:col>26</xdr:col>
                    <xdr:colOff>38100</xdr:colOff>
                    <xdr:row>17</xdr:row>
                    <xdr:rowOff>38100</xdr:rowOff>
                  </from>
                  <to>
                    <xdr:col>27</xdr:col>
                    <xdr:colOff>28575</xdr:colOff>
                    <xdr:row>18</xdr:row>
                    <xdr:rowOff>0</xdr:rowOff>
                  </to>
                </anchor>
              </controlPr>
            </control>
          </mc:Choice>
        </mc:AlternateContent>
        <mc:AlternateContent xmlns:mc="http://schemas.openxmlformats.org/markup-compatibility/2006">
          <mc:Choice Requires="x14">
            <control shapeId="70661" r:id="rId9" name="Check Box 5">
              <controlPr defaultSize="0" autoFill="0" autoLine="0" autoPict="0">
                <anchor moveWithCells="1">
                  <from>
                    <xdr:col>31</xdr:col>
                    <xdr:colOff>28575</xdr:colOff>
                    <xdr:row>19</xdr:row>
                    <xdr:rowOff>9525</xdr:rowOff>
                  </from>
                  <to>
                    <xdr:col>31</xdr:col>
                    <xdr:colOff>238125</xdr:colOff>
                    <xdr:row>20</xdr:row>
                    <xdr:rowOff>9525</xdr:rowOff>
                  </to>
                </anchor>
              </controlPr>
            </control>
          </mc:Choice>
        </mc:AlternateContent>
        <mc:AlternateContent xmlns:mc="http://schemas.openxmlformats.org/markup-compatibility/2006">
          <mc:Choice Requires="x14">
            <control shapeId="70662" r:id="rId10" name="Check Box 6">
              <controlPr defaultSize="0" autoFill="0" autoLine="0" autoPict="0">
                <anchor moveWithCells="1">
                  <from>
                    <xdr:col>31</xdr:col>
                    <xdr:colOff>28575</xdr:colOff>
                    <xdr:row>26</xdr:row>
                    <xdr:rowOff>66675</xdr:rowOff>
                  </from>
                  <to>
                    <xdr:col>32</xdr:col>
                    <xdr:colOff>28575</xdr:colOff>
                    <xdr:row>28</xdr:row>
                    <xdr:rowOff>28575</xdr:rowOff>
                  </to>
                </anchor>
              </controlPr>
            </control>
          </mc:Choice>
        </mc:AlternateContent>
        <mc:AlternateContent xmlns:mc="http://schemas.openxmlformats.org/markup-compatibility/2006">
          <mc:Choice Requires="x14">
            <control shapeId="70663" r:id="rId11" name="Check Box 7">
              <controlPr defaultSize="0" autoFill="0" autoLine="0" autoPict="0">
                <anchor moveWithCells="1">
                  <from>
                    <xdr:col>31</xdr:col>
                    <xdr:colOff>28575</xdr:colOff>
                    <xdr:row>4</xdr:row>
                    <xdr:rowOff>28575</xdr:rowOff>
                  </from>
                  <to>
                    <xdr:col>31</xdr:col>
                    <xdr:colOff>257175</xdr:colOff>
                    <xdr:row>5</xdr:row>
                    <xdr:rowOff>9525</xdr:rowOff>
                  </to>
                </anchor>
              </controlPr>
            </control>
          </mc:Choice>
        </mc:AlternateContent>
        <mc:AlternateContent xmlns:mc="http://schemas.openxmlformats.org/markup-compatibility/2006">
          <mc:Choice Requires="x14">
            <control shapeId="70664" r:id="rId12" name="Check Box 8">
              <controlPr defaultSize="0" autoFill="0" autoLine="0" autoPict="0">
                <anchor moveWithCells="1">
                  <from>
                    <xdr:col>31</xdr:col>
                    <xdr:colOff>28575</xdr:colOff>
                    <xdr:row>6</xdr:row>
                    <xdr:rowOff>28575</xdr:rowOff>
                  </from>
                  <to>
                    <xdr:col>31</xdr:col>
                    <xdr:colOff>266700</xdr:colOff>
                    <xdr:row>7</xdr:row>
                    <xdr:rowOff>0</xdr:rowOff>
                  </to>
                </anchor>
              </controlPr>
            </control>
          </mc:Choice>
        </mc:AlternateContent>
        <mc:AlternateContent xmlns:mc="http://schemas.openxmlformats.org/markup-compatibility/2006">
          <mc:Choice Requires="x14">
            <control shapeId="70665" r:id="rId13" name="Check Box 9">
              <controlPr defaultSize="0" autoFill="0" autoLine="0" autoPict="0">
                <anchor moveWithCells="1">
                  <from>
                    <xdr:col>31</xdr:col>
                    <xdr:colOff>28575</xdr:colOff>
                    <xdr:row>15</xdr:row>
                    <xdr:rowOff>104775</xdr:rowOff>
                  </from>
                  <to>
                    <xdr:col>31</xdr:col>
                    <xdr:colOff>257175</xdr:colOff>
                    <xdr:row>15</xdr:row>
                    <xdr:rowOff>314325</xdr:rowOff>
                  </to>
                </anchor>
              </controlPr>
            </control>
          </mc:Choice>
        </mc:AlternateContent>
        <mc:AlternateContent xmlns:mc="http://schemas.openxmlformats.org/markup-compatibility/2006">
          <mc:Choice Requires="x14">
            <control shapeId="70666" r:id="rId14" name="Check Box 10">
              <controlPr defaultSize="0" autoFill="0" autoLine="0" autoPict="0">
                <anchor moveWithCells="1">
                  <from>
                    <xdr:col>31</xdr:col>
                    <xdr:colOff>28575</xdr:colOff>
                    <xdr:row>17</xdr:row>
                    <xdr:rowOff>28575</xdr:rowOff>
                  </from>
                  <to>
                    <xdr:col>31</xdr:col>
                    <xdr:colOff>266700</xdr:colOff>
                    <xdr:row>18</xdr:row>
                    <xdr:rowOff>28575</xdr:rowOff>
                  </to>
                </anchor>
              </controlPr>
            </control>
          </mc:Choice>
        </mc:AlternateContent>
        <mc:AlternateContent xmlns:mc="http://schemas.openxmlformats.org/markup-compatibility/2006">
          <mc:Choice Requires="x14">
            <control shapeId="70667" r:id="rId15" name="Check Box 11">
              <controlPr defaultSize="0" autoFill="0" autoLine="0" autoPict="0">
                <anchor moveWithCells="1">
                  <from>
                    <xdr:col>36</xdr:col>
                    <xdr:colOff>47625</xdr:colOff>
                    <xdr:row>18</xdr:row>
                    <xdr:rowOff>66675</xdr:rowOff>
                  </from>
                  <to>
                    <xdr:col>37</xdr:col>
                    <xdr:colOff>28575</xdr:colOff>
                    <xdr:row>20</xdr:row>
                    <xdr:rowOff>28575</xdr:rowOff>
                  </to>
                </anchor>
              </controlPr>
            </control>
          </mc:Choice>
        </mc:AlternateContent>
        <mc:AlternateContent xmlns:mc="http://schemas.openxmlformats.org/markup-compatibility/2006">
          <mc:Choice Requires="x14">
            <control shapeId="70668" r:id="rId16" name="Check Box 12">
              <controlPr locked="0" defaultSize="0" autoFill="0" autoLine="0" autoPict="0">
                <anchor moveWithCells="1">
                  <from>
                    <xdr:col>36</xdr:col>
                    <xdr:colOff>47625</xdr:colOff>
                    <xdr:row>26</xdr:row>
                    <xdr:rowOff>66675</xdr:rowOff>
                  </from>
                  <to>
                    <xdr:col>36</xdr:col>
                    <xdr:colOff>257175</xdr:colOff>
                    <xdr:row>28</xdr:row>
                    <xdr:rowOff>28575</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74D-B24F-4307-B9AD-EFF36FFD583B}">
  <sheetPr codeName="Sheet35">
    <tabColor rgb="FFFFFF00"/>
    <pageSetUpPr fitToPage="1"/>
  </sheetPr>
  <dimension ref="A1:BJ44"/>
  <sheetViews>
    <sheetView showGridLines="0" zoomScaleNormal="100" workbookViewId="0">
      <selection sqref="A1:AY35"/>
    </sheetView>
  </sheetViews>
  <sheetFormatPr defaultColWidth="9" defaultRowHeight="15.75"/>
  <cols>
    <col min="1" max="1" width="2.125" style="44" customWidth="1"/>
    <col min="2" max="50" width="3.625" style="44" customWidth="1"/>
    <col min="51" max="51" width="2.125" style="44" customWidth="1"/>
    <col min="52" max="16384" width="9" style="44"/>
  </cols>
  <sheetData>
    <row r="1" spans="1:62"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c r="AY1" s="434"/>
      <c r="AZ1" s="434"/>
    </row>
    <row r="2" spans="1:62">
      <c r="A2" s="434"/>
      <c r="B2" s="434"/>
      <c r="C2" s="434"/>
      <c r="D2" s="434"/>
      <c r="E2" s="434"/>
      <c r="F2" s="434"/>
      <c r="G2" s="611" t="s">
        <v>11417</v>
      </c>
      <c r="H2" s="611"/>
      <c r="I2" s="611"/>
      <c r="J2" s="611"/>
      <c r="K2" s="611"/>
      <c r="L2" s="611"/>
      <c r="M2" s="611"/>
      <c r="N2" s="611"/>
      <c r="O2" s="611"/>
      <c r="P2" s="611"/>
      <c r="Q2" s="612"/>
      <c r="R2" s="612"/>
      <c r="S2" s="612"/>
      <c r="T2" s="612"/>
      <c r="U2" s="612"/>
      <c r="V2" s="612"/>
      <c r="W2" s="612"/>
      <c r="X2" s="612"/>
      <c r="Y2" s="612"/>
      <c r="Z2" s="612"/>
      <c r="AA2" s="612"/>
      <c r="AB2" s="612"/>
      <c r="AC2" s="612"/>
      <c r="AD2" s="612"/>
      <c r="AE2" s="612"/>
      <c r="AF2" s="612"/>
      <c r="AG2" s="612"/>
      <c r="AH2" s="612"/>
      <c r="AI2" s="612"/>
      <c r="AJ2" s="612"/>
      <c r="AK2" s="612"/>
      <c r="AL2" s="612"/>
      <c r="AM2" s="612"/>
      <c r="AN2" s="612"/>
      <c r="AO2" s="612"/>
      <c r="AP2" s="612"/>
      <c r="AQ2" s="611"/>
      <c r="AR2" s="434"/>
      <c r="AS2" s="434"/>
      <c r="AT2" s="434"/>
      <c r="AU2" s="434"/>
      <c r="AV2" s="434"/>
      <c r="AW2" s="434"/>
      <c r="AX2" s="434"/>
      <c r="AY2" s="434"/>
      <c r="AZ2" s="434"/>
    </row>
    <row r="3" spans="1:62" s="40" customFormat="1" ht="16.5" thickBot="1">
      <c r="A3" s="582"/>
      <c r="B3" s="582"/>
      <c r="C3" s="582"/>
      <c r="D3" s="582"/>
      <c r="E3" s="582"/>
      <c r="F3" s="582"/>
      <c r="G3" s="583" t="s">
        <v>1016</v>
      </c>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row>
    <row r="4" spans="1:62" ht="6" customHeight="1">
      <c r="A4" s="434"/>
      <c r="B4" s="434"/>
      <c r="C4" s="434"/>
      <c r="D4" s="434"/>
      <c r="E4" s="434"/>
      <c r="F4" s="434"/>
      <c r="G4" s="648"/>
      <c r="H4" s="650"/>
      <c r="I4" s="984"/>
      <c r="J4" s="985"/>
      <c r="K4" s="985"/>
      <c r="L4" s="985"/>
      <c r="M4" s="985"/>
      <c r="N4" s="985"/>
      <c r="O4" s="985"/>
      <c r="P4" s="985"/>
      <c r="Q4" s="985"/>
      <c r="R4" s="985"/>
      <c r="S4" s="985"/>
      <c r="T4" s="685"/>
      <c r="U4" s="685"/>
      <c r="V4" s="685"/>
      <c r="W4" s="685"/>
      <c r="X4" s="685"/>
      <c r="Y4" s="685"/>
      <c r="Z4" s="586"/>
      <c r="AA4" s="986"/>
      <c r="AB4" s="986"/>
      <c r="AC4" s="986"/>
      <c r="AD4" s="986"/>
      <c r="AE4" s="986"/>
      <c r="AF4" s="986"/>
      <c r="AG4" s="685"/>
      <c r="AH4" s="685"/>
      <c r="AI4" s="685"/>
      <c r="AJ4" s="685"/>
      <c r="AK4" s="685"/>
      <c r="AL4" s="685"/>
      <c r="AM4" s="685"/>
      <c r="AN4" s="685"/>
      <c r="AO4" s="685"/>
      <c r="AP4" s="685"/>
      <c r="AQ4" s="685"/>
      <c r="AR4" s="685"/>
      <c r="AS4" s="987"/>
      <c r="AT4" s="434"/>
      <c r="AU4" s="434"/>
      <c r="AV4" s="434"/>
      <c r="AW4" s="434"/>
      <c r="AX4" s="434"/>
      <c r="AY4" s="434"/>
      <c r="AZ4" s="434"/>
      <c r="BA4" s="41"/>
      <c r="BB4" s="41"/>
      <c r="BC4" s="41"/>
      <c r="BD4" s="41"/>
    </row>
    <row r="5" spans="1:62" ht="20.25">
      <c r="A5" s="434"/>
      <c r="B5" s="434"/>
      <c r="C5" s="434"/>
      <c r="D5" s="434"/>
      <c r="E5" s="434"/>
      <c r="F5" s="434"/>
      <c r="G5" s="988"/>
      <c r="H5" s="1048" t="s">
        <v>47</v>
      </c>
      <c r="I5" s="989" t="s">
        <v>627</v>
      </c>
      <c r="J5" s="989"/>
      <c r="K5" s="998"/>
      <c r="L5" s="998"/>
      <c r="M5" s="998"/>
      <c r="N5" s="998"/>
      <c r="O5" s="998"/>
      <c r="P5" s="998"/>
      <c r="Q5" s="998"/>
      <c r="R5" s="998"/>
      <c r="S5" s="998"/>
      <c r="T5" s="861"/>
      <c r="U5" s="593"/>
      <c r="V5" s="593"/>
      <c r="W5" s="593"/>
      <c r="X5" s="593"/>
      <c r="Y5" s="593"/>
      <c r="Z5" s="999"/>
      <c r="AA5" s="861"/>
      <c r="AB5" s="861"/>
      <c r="AC5" s="861"/>
      <c r="AD5" s="861"/>
      <c r="AE5" s="861"/>
      <c r="AF5" s="861"/>
      <c r="AG5" s="593"/>
      <c r="AH5" s="593"/>
      <c r="AI5" s="593"/>
      <c r="AJ5" s="593"/>
      <c r="AK5" s="593"/>
      <c r="AL5" s="593"/>
      <c r="AM5" s="593"/>
      <c r="AN5" s="593"/>
      <c r="AO5" s="593"/>
      <c r="AP5" s="593"/>
      <c r="AQ5" s="593"/>
      <c r="AR5" s="593"/>
      <c r="AS5" s="691"/>
      <c r="AT5" s="434"/>
      <c r="AU5" s="434"/>
      <c r="AV5" s="434"/>
      <c r="AW5" s="434"/>
      <c r="AX5" s="434"/>
      <c r="AY5" s="434"/>
      <c r="AZ5" s="434"/>
      <c r="BA5" s="41"/>
      <c r="BB5" s="41"/>
      <c r="BC5" s="41"/>
      <c r="BD5" s="41"/>
    </row>
    <row r="6" spans="1:62" ht="6" customHeight="1" thickBot="1">
      <c r="A6" s="434"/>
      <c r="B6" s="434"/>
      <c r="C6" s="434"/>
      <c r="D6" s="434"/>
      <c r="E6" s="434"/>
      <c r="F6" s="434"/>
      <c r="G6" s="988"/>
      <c r="H6" s="434"/>
      <c r="I6" s="434"/>
      <c r="J6" s="1049"/>
      <c r="K6" s="612"/>
      <c r="L6" s="612"/>
      <c r="M6" s="612"/>
      <c r="N6" s="612"/>
      <c r="O6" s="612"/>
      <c r="P6" s="612"/>
      <c r="Q6" s="612"/>
      <c r="R6" s="612"/>
      <c r="S6" s="612"/>
      <c r="T6" s="861"/>
      <c r="U6" s="434"/>
      <c r="V6" s="861"/>
      <c r="W6" s="960"/>
      <c r="X6" s="593"/>
      <c r="Y6" s="434"/>
      <c r="Z6" s="434"/>
      <c r="AA6" s="861"/>
      <c r="AB6" s="960"/>
      <c r="AC6" s="593"/>
      <c r="AD6" s="593"/>
      <c r="AE6" s="593"/>
      <c r="AF6" s="593"/>
      <c r="AG6" s="593"/>
      <c r="AH6" s="593"/>
      <c r="AI6" s="434"/>
      <c r="AJ6" s="861"/>
      <c r="AK6" s="861"/>
      <c r="AL6" s="861"/>
      <c r="AM6" s="861"/>
      <c r="AN6" s="861"/>
      <c r="AO6" s="861"/>
      <c r="AP6" s="861"/>
      <c r="AQ6" s="861"/>
      <c r="AR6" s="861"/>
      <c r="AS6" s="991"/>
      <c r="AT6" s="434"/>
      <c r="AU6" s="434"/>
      <c r="AV6" s="434"/>
      <c r="AW6" s="434"/>
      <c r="AX6" s="434"/>
      <c r="AY6" s="434"/>
      <c r="AZ6" s="434"/>
      <c r="BA6" s="41"/>
      <c r="BB6" s="41"/>
      <c r="BC6" s="41"/>
      <c r="BD6" s="41"/>
    </row>
    <row r="7" spans="1:62" ht="20.25">
      <c r="A7" s="434"/>
      <c r="B7" s="434"/>
      <c r="C7" s="434"/>
      <c r="D7" s="434"/>
      <c r="E7" s="434"/>
      <c r="F7" s="434"/>
      <c r="G7" s="988"/>
      <c r="H7" s="434"/>
      <c r="I7" s="3401" t="s">
        <v>628</v>
      </c>
      <c r="J7" s="3402"/>
      <c r="K7" s="3402"/>
      <c r="L7" s="3402"/>
      <c r="M7" s="3402"/>
      <c r="N7" s="3402"/>
      <c r="O7" s="3403"/>
      <c r="P7" s="3407" t="s">
        <v>685</v>
      </c>
      <c r="Q7" s="3408"/>
      <c r="R7" s="3408"/>
      <c r="S7" s="3408"/>
      <c r="T7" s="3408"/>
      <c r="U7" s="3408"/>
      <c r="V7" s="3408"/>
      <c r="W7" s="3408"/>
      <c r="X7" s="3408"/>
      <c r="Y7" s="3408"/>
      <c r="Z7" s="3408"/>
      <c r="AA7" s="3408"/>
      <c r="AB7" s="3408"/>
      <c r="AC7" s="3408"/>
      <c r="AD7" s="3408"/>
      <c r="AE7" s="3408"/>
      <c r="AF7" s="3408"/>
      <c r="AG7" s="3408"/>
      <c r="AH7" s="3408"/>
      <c r="AI7" s="3408"/>
      <c r="AJ7" s="3408"/>
      <c r="AK7" s="3408"/>
      <c r="AL7" s="3408"/>
      <c r="AM7" s="3408"/>
      <c r="AN7" s="3408"/>
      <c r="AO7" s="3408"/>
      <c r="AP7" s="3408"/>
      <c r="AQ7" s="3409"/>
      <c r="AR7" s="1028"/>
      <c r="AS7" s="1072"/>
      <c r="AT7" s="1073"/>
      <c r="AU7" s="1074"/>
      <c r="AV7" s="861"/>
      <c r="AW7" s="861"/>
      <c r="AX7" s="861"/>
      <c r="AY7" s="434"/>
      <c r="AZ7" s="434"/>
      <c r="BG7" s="41"/>
      <c r="BH7" s="41"/>
      <c r="BI7" s="41"/>
      <c r="BJ7" s="41"/>
    </row>
    <row r="8" spans="1:62" ht="20.25">
      <c r="A8" s="434"/>
      <c r="B8" s="434"/>
      <c r="C8" s="434"/>
      <c r="D8" s="434"/>
      <c r="E8" s="434"/>
      <c r="F8" s="434"/>
      <c r="G8" s="988"/>
      <c r="H8" s="434"/>
      <c r="I8" s="3404"/>
      <c r="J8" s="3405"/>
      <c r="K8" s="3405"/>
      <c r="L8" s="3405"/>
      <c r="M8" s="3405"/>
      <c r="N8" s="3405"/>
      <c r="O8" s="3406"/>
      <c r="P8" s="3333" t="s">
        <v>1236</v>
      </c>
      <c r="Q8" s="3334"/>
      <c r="R8" s="3334"/>
      <c r="S8" s="3334"/>
      <c r="T8" s="3334"/>
      <c r="U8" s="3334"/>
      <c r="V8" s="3334"/>
      <c r="W8" s="3334"/>
      <c r="X8" s="3334"/>
      <c r="Y8" s="3334"/>
      <c r="Z8" s="3334"/>
      <c r="AA8" s="3334"/>
      <c r="AB8" s="3334"/>
      <c r="AC8" s="3335"/>
      <c r="AD8" s="3410" t="s">
        <v>1000</v>
      </c>
      <c r="AE8" s="3411"/>
      <c r="AF8" s="3411"/>
      <c r="AG8" s="3411"/>
      <c r="AH8" s="3411"/>
      <c r="AI8" s="3411"/>
      <c r="AJ8" s="3412"/>
      <c r="AK8" s="3410" t="s">
        <v>1001</v>
      </c>
      <c r="AL8" s="3411"/>
      <c r="AM8" s="3411"/>
      <c r="AN8" s="3411"/>
      <c r="AO8" s="3411"/>
      <c r="AP8" s="3411"/>
      <c r="AQ8" s="3412"/>
      <c r="AR8" s="1028"/>
      <c r="AS8" s="1072"/>
      <c r="AT8" s="1073"/>
      <c r="AU8" s="1074"/>
      <c r="AV8" s="861"/>
      <c r="AW8" s="861"/>
      <c r="AX8" s="861"/>
      <c r="AY8" s="434"/>
      <c r="AZ8" s="434"/>
      <c r="BG8" s="41"/>
      <c r="BH8" s="41"/>
      <c r="BI8" s="41"/>
      <c r="BJ8" s="41"/>
    </row>
    <row r="9" spans="1:62" ht="30.95" customHeight="1" thickBot="1">
      <c r="A9" s="434"/>
      <c r="B9" s="434"/>
      <c r="C9" s="434"/>
      <c r="D9" s="434"/>
      <c r="E9" s="434"/>
      <c r="F9" s="434"/>
      <c r="G9" s="988"/>
      <c r="H9" s="434"/>
      <c r="I9" s="3299"/>
      <c r="J9" s="3297"/>
      <c r="K9" s="3297"/>
      <c r="L9" s="3297"/>
      <c r="M9" s="3297"/>
      <c r="N9" s="3297"/>
      <c r="O9" s="3298"/>
      <c r="P9" s="3327" t="s">
        <v>1237</v>
      </c>
      <c r="Q9" s="3328"/>
      <c r="R9" s="3328"/>
      <c r="S9" s="3328"/>
      <c r="T9" s="3328"/>
      <c r="U9" s="3328"/>
      <c r="V9" s="3329"/>
      <c r="W9" s="3327" t="s">
        <v>1238</v>
      </c>
      <c r="X9" s="3328"/>
      <c r="Y9" s="3328"/>
      <c r="Z9" s="3328"/>
      <c r="AA9" s="3328"/>
      <c r="AB9" s="3328"/>
      <c r="AC9" s="3329"/>
      <c r="AD9" s="3299"/>
      <c r="AE9" s="3297"/>
      <c r="AF9" s="3297"/>
      <c r="AG9" s="3297"/>
      <c r="AH9" s="3297"/>
      <c r="AI9" s="3297"/>
      <c r="AJ9" s="3298"/>
      <c r="AK9" s="3299"/>
      <c r="AL9" s="3297"/>
      <c r="AM9" s="3297"/>
      <c r="AN9" s="3297"/>
      <c r="AO9" s="3297"/>
      <c r="AP9" s="3297"/>
      <c r="AQ9" s="3298"/>
      <c r="AR9" s="1028"/>
      <c r="AS9" s="1072"/>
      <c r="AT9" s="1073"/>
      <c r="AU9" s="1074"/>
      <c r="AV9" s="861"/>
      <c r="AW9" s="861"/>
      <c r="AX9" s="861"/>
      <c r="AY9" s="434"/>
      <c r="AZ9" s="434"/>
      <c r="BG9" s="41"/>
      <c r="BH9" s="41"/>
      <c r="BI9" s="41"/>
      <c r="BJ9" s="41"/>
    </row>
    <row r="10" spans="1:62" ht="24.95" customHeight="1">
      <c r="A10" s="434"/>
      <c r="B10" s="434"/>
      <c r="C10" s="434"/>
      <c r="D10" s="434"/>
      <c r="E10" s="434"/>
      <c r="F10" s="434"/>
      <c r="G10" s="988"/>
      <c r="H10" s="434"/>
      <c r="I10" s="3310" t="s">
        <v>629</v>
      </c>
      <c r="J10" s="3311"/>
      <c r="K10" s="3311"/>
      <c r="L10" s="3311"/>
      <c r="M10" s="3311"/>
      <c r="N10" s="3311"/>
      <c r="O10" s="3312"/>
      <c r="P10" s="3355">
        <v>0</v>
      </c>
      <c r="Q10" s="3356"/>
      <c r="R10" s="3356"/>
      <c r="S10" s="3356"/>
      <c r="T10" s="3356"/>
      <c r="U10" s="3356"/>
      <c r="V10" s="3357"/>
      <c r="W10" s="3355">
        <v>0</v>
      </c>
      <c r="X10" s="3356"/>
      <c r="Y10" s="3356"/>
      <c r="Z10" s="3356"/>
      <c r="AA10" s="3356"/>
      <c r="AB10" s="3356"/>
      <c r="AC10" s="3357"/>
      <c r="AD10" s="3355">
        <v>0</v>
      </c>
      <c r="AE10" s="3356"/>
      <c r="AF10" s="3356"/>
      <c r="AG10" s="3356"/>
      <c r="AH10" s="3356"/>
      <c r="AI10" s="3356"/>
      <c r="AJ10" s="3357"/>
      <c r="AK10" s="3355">
        <v>0</v>
      </c>
      <c r="AL10" s="3356"/>
      <c r="AM10" s="3356"/>
      <c r="AN10" s="3356"/>
      <c r="AO10" s="3356"/>
      <c r="AP10" s="3356"/>
      <c r="AQ10" s="3357"/>
      <c r="AR10" s="1075"/>
      <c r="AS10" s="1076"/>
      <c r="AT10" s="623"/>
      <c r="AU10" s="1074"/>
      <c r="AV10" s="861"/>
      <c r="AW10" s="861"/>
      <c r="AX10" s="861"/>
      <c r="AY10" s="434"/>
      <c r="AZ10" s="434"/>
      <c r="BG10" s="41"/>
      <c r="BH10" s="41"/>
      <c r="BI10" s="41"/>
      <c r="BJ10" s="41"/>
    </row>
    <row r="11" spans="1:62" ht="24.95" customHeight="1">
      <c r="A11" s="434"/>
      <c r="B11" s="434"/>
      <c r="C11" s="434"/>
      <c r="D11" s="434"/>
      <c r="E11" s="434"/>
      <c r="F11" s="434"/>
      <c r="G11" s="988"/>
      <c r="H11" s="434"/>
      <c r="I11" s="3395" t="s">
        <v>630</v>
      </c>
      <c r="J11" s="3396"/>
      <c r="K11" s="3396"/>
      <c r="L11" s="3396"/>
      <c r="M11" s="3396"/>
      <c r="N11" s="3396"/>
      <c r="O11" s="3397"/>
      <c r="P11" s="3398">
        <v>0</v>
      </c>
      <c r="Q11" s="3399"/>
      <c r="R11" s="3399"/>
      <c r="S11" s="3399"/>
      <c r="T11" s="3399"/>
      <c r="U11" s="3399"/>
      <c r="V11" s="3400"/>
      <c r="W11" s="3398">
        <v>0</v>
      </c>
      <c r="X11" s="3399"/>
      <c r="Y11" s="3399"/>
      <c r="Z11" s="3399"/>
      <c r="AA11" s="3399"/>
      <c r="AB11" s="3399"/>
      <c r="AC11" s="3400"/>
      <c r="AD11" s="3398">
        <v>0</v>
      </c>
      <c r="AE11" s="3399"/>
      <c r="AF11" s="3399"/>
      <c r="AG11" s="3399"/>
      <c r="AH11" s="3399"/>
      <c r="AI11" s="3399"/>
      <c r="AJ11" s="3400"/>
      <c r="AK11" s="3398">
        <v>0</v>
      </c>
      <c r="AL11" s="3399"/>
      <c r="AM11" s="3399"/>
      <c r="AN11" s="3399"/>
      <c r="AO11" s="3399"/>
      <c r="AP11" s="3399"/>
      <c r="AQ11" s="3400"/>
      <c r="AR11" s="1077"/>
      <c r="AS11" s="1078"/>
      <c r="AT11" s="622"/>
      <c r="AU11" s="1074"/>
      <c r="AV11" s="861"/>
      <c r="AW11" s="861"/>
      <c r="AX11" s="861"/>
      <c r="AY11" s="434"/>
      <c r="AZ11" s="434"/>
      <c r="BG11" s="41"/>
      <c r="BH11" s="41"/>
      <c r="BI11" s="41"/>
      <c r="BJ11" s="41"/>
    </row>
    <row r="12" spans="1:62" ht="24.95" customHeight="1" thickBot="1">
      <c r="A12" s="434"/>
      <c r="B12" s="434"/>
      <c r="C12" s="434"/>
      <c r="D12" s="434"/>
      <c r="E12" s="434"/>
      <c r="F12" s="434"/>
      <c r="G12" s="988"/>
      <c r="H12" s="434"/>
      <c r="I12" s="3389" t="s">
        <v>631</v>
      </c>
      <c r="J12" s="3390"/>
      <c r="K12" s="3390"/>
      <c r="L12" s="3390"/>
      <c r="M12" s="3390"/>
      <c r="N12" s="3390"/>
      <c r="O12" s="3391"/>
      <c r="P12" s="3306">
        <v>0</v>
      </c>
      <c r="Q12" s="3287"/>
      <c r="R12" s="3287"/>
      <c r="S12" s="3287"/>
      <c r="T12" s="3287"/>
      <c r="U12" s="3287"/>
      <c r="V12" s="3288"/>
      <c r="W12" s="3306">
        <v>0</v>
      </c>
      <c r="X12" s="3287"/>
      <c r="Y12" s="3287"/>
      <c r="Z12" s="3287"/>
      <c r="AA12" s="3287"/>
      <c r="AB12" s="3287"/>
      <c r="AC12" s="3288"/>
      <c r="AD12" s="3306">
        <v>0</v>
      </c>
      <c r="AE12" s="3287"/>
      <c r="AF12" s="3287"/>
      <c r="AG12" s="3287"/>
      <c r="AH12" s="3287"/>
      <c r="AI12" s="3287"/>
      <c r="AJ12" s="3288"/>
      <c r="AK12" s="3306">
        <v>0</v>
      </c>
      <c r="AL12" s="3287"/>
      <c r="AM12" s="3287"/>
      <c r="AN12" s="3287"/>
      <c r="AO12" s="3287"/>
      <c r="AP12" s="3287"/>
      <c r="AQ12" s="3288"/>
      <c r="AR12" s="1077"/>
      <c r="AS12" s="1078"/>
      <c r="AT12" s="622"/>
      <c r="AU12" s="1074"/>
      <c r="AV12" s="861"/>
      <c r="AW12" s="861"/>
      <c r="AX12" s="861"/>
      <c r="AY12" s="434"/>
      <c r="AZ12" s="434"/>
      <c r="BG12" s="41"/>
      <c r="BH12" s="41"/>
      <c r="BI12" s="41"/>
      <c r="BJ12" s="41"/>
    </row>
    <row r="13" spans="1:62" ht="24.95" customHeight="1" thickTop="1" thickBot="1">
      <c r="A13" s="434"/>
      <c r="B13" s="434"/>
      <c r="C13" s="434"/>
      <c r="D13" s="434"/>
      <c r="E13" s="434"/>
      <c r="F13" s="434"/>
      <c r="G13" s="988"/>
      <c r="H13" s="434"/>
      <c r="I13" s="3299" t="s">
        <v>42</v>
      </c>
      <c r="J13" s="3297"/>
      <c r="K13" s="3297"/>
      <c r="L13" s="3297"/>
      <c r="M13" s="3297"/>
      <c r="N13" s="3297"/>
      <c r="O13" s="3298"/>
      <c r="P13" s="3392">
        <f>SUM(P10:V12)</f>
        <v>0</v>
      </c>
      <c r="Q13" s="3393"/>
      <c r="R13" s="3393"/>
      <c r="S13" s="3393"/>
      <c r="T13" s="3393"/>
      <c r="U13" s="3393"/>
      <c r="V13" s="3394"/>
      <c r="W13" s="3392">
        <f>SUM(W10:AC12)</f>
        <v>0</v>
      </c>
      <c r="X13" s="3393"/>
      <c r="Y13" s="3393"/>
      <c r="Z13" s="3393"/>
      <c r="AA13" s="3393"/>
      <c r="AB13" s="3393"/>
      <c r="AC13" s="3394"/>
      <c r="AD13" s="3392">
        <f>SUM(AD10:AJ12)</f>
        <v>0</v>
      </c>
      <c r="AE13" s="3393"/>
      <c r="AF13" s="3393"/>
      <c r="AG13" s="3393"/>
      <c r="AH13" s="3393"/>
      <c r="AI13" s="3393"/>
      <c r="AJ13" s="3394"/>
      <c r="AK13" s="3392">
        <f>SUM(AK10:AQ12)</f>
        <v>0</v>
      </c>
      <c r="AL13" s="3393"/>
      <c r="AM13" s="3393"/>
      <c r="AN13" s="3393"/>
      <c r="AO13" s="3393"/>
      <c r="AP13" s="3393"/>
      <c r="AQ13" s="3394"/>
      <c r="AR13" s="1077"/>
      <c r="AS13" s="1078"/>
      <c r="AT13" s="622"/>
      <c r="AU13" s="1074"/>
      <c r="AV13" s="861"/>
      <c r="AW13" s="861"/>
      <c r="AX13" s="861"/>
      <c r="AY13" s="434"/>
      <c r="AZ13" s="434"/>
      <c r="BG13" s="41"/>
      <c r="BH13" s="41"/>
      <c r="BI13" s="41"/>
      <c r="BJ13" s="41"/>
    </row>
    <row r="14" spans="1:62" ht="6" customHeight="1">
      <c r="A14" s="434"/>
      <c r="B14" s="434"/>
      <c r="C14" s="434"/>
      <c r="D14" s="434"/>
      <c r="E14" s="434"/>
      <c r="F14" s="434"/>
      <c r="G14" s="988"/>
      <c r="H14" s="434"/>
      <c r="I14" s="653"/>
      <c r="J14" s="653"/>
      <c r="K14" s="653"/>
      <c r="L14" s="653"/>
      <c r="M14" s="653"/>
      <c r="N14" s="653"/>
      <c r="O14" s="653"/>
      <c r="P14" s="1077"/>
      <c r="Q14" s="1077"/>
      <c r="R14" s="1077"/>
      <c r="S14" s="1077"/>
      <c r="T14" s="1077"/>
      <c r="U14" s="1077"/>
      <c r="V14" s="1077"/>
      <c r="W14" s="1077"/>
      <c r="X14" s="1077"/>
      <c r="Y14" s="1077"/>
      <c r="Z14" s="1077"/>
      <c r="AA14" s="1077"/>
      <c r="AB14" s="1077"/>
      <c r="AC14" s="1077"/>
      <c r="AD14" s="1077"/>
      <c r="AE14" s="1077"/>
      <c r="AF14" s="1077"/>
      <c r="AG14" s="1077"/>
      <c r="AH14" s="1077"/>
      <c r="AI14" s="1077"/>
      <c r="AJ14" s="1077"/>
      <c r="AK14" s="1077"/>
      <c r="AL14" s="1077"/>
      <c r="AM14" s="1077"/>
      <c r="AN14" s="1077"/>
      <c r="AO14" s="1077"/>
      <c r="AP14" s="1077"/>
      <c r="AQ14" s="1077"/>
      <c r="AR14" s="1077"/>
      <c r="AS14" s="1078"/>
      <c r="AT14" s="622"/>
      <c r="AU14" s="1074"/>
      <c r="AV14" s="861"/>
      <c r="AW14" s="861"/>
      <c r="AX14" s="861"/>
      <c r="AY14" s="434"/>
      <c r="AZ14" s="434"/>
      <c r="BG14" s="41"/>
      <c r="BH14" s="41"/>
      <c r="BI14" s="41"/>
      <c r="BJ14" s="41"/>
    </row>
    <row r="15" spans="1:62" ht="20.25">
      <c r="A15" s="434"/>
      <c r="B15" s="434"/>
      <c r="C15" s="434"/>
      <c r="D15" s="434"/>
      <c r="E15" s="434"/>
      <c r="F15" s="434"/>
      <c r="G15" s="988"/>
      <c r="H15" s="1048" t="s">
        <v>48</v>
      </c>
      <c r="I15" s="989" t="s">
        <v>992</v>
      </c>
      <c r="J15" s="989"/>
      <c r="K15" s="998"/>
      <c r="L15" s="998"/>
      <c r="M15" s="998"/>
      <c r="N15" s="998"/>
      <c r="O15" s="998"/>
      <c r="P15" s="998"/>
      <c r="Q15" s="998"/>
      <c r="R15" s="998"/>
      <c r="S15" s="998"/>
      <c r="T15" s="861"/>
      <c r="U15" s="593"/>
      <c r="V15" s="593"/>
      <c r="W15" s="593"/>
      <c r="X15" s="593"/>
      <c r="Y15" s="593"/>
      <c r="Z15" s="999"/>
      <c r="AA15" s="861"/>
      <c r="AB15" s="861"/>
      <c r="AC15" s="861"/>
      <c r="AD15" s="861"/>
      <c r="AE15" s="861"/>
      <c r="AF15" s="861"/>
      <c r="AG15" s="593"/>
      <c r="AH15" s="593"/>
      <c r="AI15" s="593"/>
      <c r="AJ15" s="593"/>
      <c r="AK15" s="593"/>
      <c r="AL15" s="593"/>
      <c r="AM15" s="593"/>
      <c r="AN15" s="593"/>
      <c r="AO15" s="593"/>
      <c r="AP15" s="593"/>
      <c r="AQ15" s="593"/>
      <c r="AR15" s="593"/>
      <c r="AS15" s="691"/>
      <c r="AT15" s="434"/>
      <c r="AU15" s="434"/>
      <c r="AV15" s="434"/>
      <c r="AW15" s="434"/>
      <c r="AX15" s="434"/>
      <c r="AY15" s="434"/>
      <c r="AZ15" s="434"/>
      <c r="BA15" s="41"/>
      <c r="BB15" s="41"/>
      <c r="BC15" s="41"/>
      <c r="BD15" s="41"/>
    </row>
    <row r="16" spans="1:62" ht="6" customHeight="1" thickBot="1">
      <c r="A16" s="434"/>
      <c r="B16" s="434"/>
      <c r="C16" s="434"/>
      <c r="D16" s="434"/>
      <c r="E16" s="434"/>
      <c r="F16" s="434"/>
      <c r="G16" s="988"/>
      <c r="H16" s="434"/>
      <c r="I16" s="434"/>
      <c r="J16" s="1049"/>
      <c r="K16" s="612"/>
      <c r="L16" s="612"/>
      <c r="M16" s="612"/>
      <c r="N16" s="612"/>
      <c r="O16" s="612"/>
      <c r="P16" s="612"/>
      <c r="Q16" s="612"/>
      <c r="R16" s="612"/>
      <c r="S16" s="612"/>
      <c r="T16" s="861"/>
      <c r="U16" s="434"/>
      <c r="V16" s="861"/>
      <c r="W16" s="960"/>
      <c r="X16" s="593"/>
      <c r="Y16" s="434"/>
      <c r="Z16" s="434"/>
      <c r="AA16" s="861"/>
      <c r="AB16" s="960"/>
      <c r="AC16" s="593"/>
      <c r="AD16" s="593"/>
      <c r="AE16" s="593"/>
      <c r="AF16" s="593"/>
      <c r="AG16" s="593"/>
      <c r="AH16" s="593"/>
      <c r="AI16" s="434"/>
      <c r="AJ16" s="861"/>
      <c r="AK16" s="861"/>
      <c r="AL16" s="861"/>
      <c r="AM16" s="861"/>
      <c r="AN16" s="861"/>
      <c r="AO16" s="861"/>
      <c r="AP16" s="861"/>
      <c r="AQ16" s="861"/>
      <c r="AR16" s="861"/>
      <c r="AS16" s="991"/>
      <c r="AT16" s="434"/>
      <c r="AU16" s="434"/>
      <c r="AV16" s="434"/>
      <c r="AW16" s="434"/>
      <c r="AX16" s="434"/>
      <c r="AY16" s="434"/>
      <c r="AZ16" s="434"/>
      <c r="BA16" s="41"/>
      <c r="BB16" s="41"/>
      <c r="BC16" s="41"/>
      <c r="BD16" s="41"/>
    </row>
    <row r="17" spans="1:62" ht="20.25">
      <c r="A17" s="434"/>
      <c r="B17" s="434"/>
      <c r="C17" s="434"/>
      <c r="D17" s="434"/>
      <c r="E17" s="434"/>
      <c r="F17" s="434"/>
      <c r="G17" s="988"/>
      <c r="H17" s="434"/>
      <c r="I17" s="3401" t="s">
        <v>628</v>
      </c>
      <c r="J17" s="3402"/>
      <c r="K17" s="3402"/>
      <c r="L17" s="3402"/>
      <c r="M17" s="3402"/>
      <c r="N17" s="3402"/>
      <c r="O17" s="3403"/>
      <c r="P17" s="3407" t="s">
        <v>1239</v>
      </c>
      <c r="Q17" s="3408"/>
      <c r="R17" s="3408"/>
      <c r="S17" s="3408"/>
      <c r="T17" s="3408"/>
      <c r="U17" s="3408"/>
      <c r="V17" s="3408"/>
      <c r="W17" s="3408"/>
      <c r="X17" s="3408"/>
      <c r="Y17" s="3408"/>
      <c r="Z17" s="3408"/>
      <c r="AA17" s="3408"/>
      <c r="AB17" s="3408"/>
      <c r="AC17" s="3408"/>
      <c r="AD17" s="3408"/>
      <c r="AE17" s="3408"/>
      <c r="AF17" s="3408"/>
      <c r="AG17" s="3408"/>
      <c r="AH17" s="3408"/>
      <c r="AI17" s="3408"/>
      <c r="AJ17" s="3408"/>
      <c r="AK17" s="3408"/>
      <c r="AL17" s="3408"/>
      <c r="AM17" s="3408"/>
      <c r="AN17" s="3408"/>
      <c r="AO17" s="3408"/>
      <c r="AP17" s="3408"/>
      <c r="AQ17" s="3409"/>
      <c r="AR17" s="1028"/>
      <c r="AS17" s="1072"/>
      <c r="AT17" s="1073"/>
      <c r="AU17" s="1074"/>
      <c r="AV17" s="861"/>
      <c r="AW17" s="861"/>
      <c r="AX17" s="861"/>
      <c r="AY17" s="434"/>
      <c r="AZ17" s="434"/>
      <c r="BG17" s="41"/>
      <c r="BH17" s="41"/>
      <c r="BI17" s="41"/>
      <c r="BJ17" s="41"/>
    </row>
    <row r="18" spans="1:62" ht="20.25">
      <c r="A18" s="434"/>
      <c r="B18" s="434"/>
      <c r="C18" s="434"/>
      <c r="D18" s="434"/>
      <c r="E18" s="434"/>
      <c r="F18" s="434"/>
      <c r="G18" s="988"/>
      <c r="H18" s="434"/>
      <c r="I18" s="3404"/>
      <c r="J18" s="3405"/>
      <c r="K18" s="3405"/>
      <c r="L18" s="3405"/>
      <c r="M18" s="3405"/>
      <c r="N18" s="3405"/>
      <c r="O18" s="3406"/>
      <c r="P18" s="3333" t="s">
        <v>1240</v>
      </c>
      <c r="Q18" s="3334"/>
      <c r="R18" s="3334"/>
      <c r="S18" s="3334"/>
      <c r="T18" s="3334"/>
      <c r="U18" s="3334"/>
      <c r="V18" s="3334"/>
      <c r="W18" s="3334"/>
      <c r="X18" s="3334"/>
      <c r="Y18" s="3334"/>
      <c r="Z18" s="3334"/>
      <c r="AA18" s="3334"/>
      <c r="AB18" s="3334"/>
      <c r="AC18" s="3335"/>
      <c r="AD18" s="3410" t="s">
        <v>1000</v>
      </c>
      <c r="AE18" s="3411"/>
      <c r="AF18" s="3411"/>
      <c r="AG18" s="3411"/>
      <c r="AH18" s="3411"/>
      <c r="AI18" s="3411"/>
      <c r="AJ18" s="3412"/>
      <c r="AK18" s="3410" t="s">
        <v>1001</v>
      </c>
      <c r="AL18" s="3411"/>
      <c r="AM18" s="3411"/>
      <c r="AN18" s="3411"/>
      <c r="AO18" s="3411"/>
      <c r="AP18" s="3411"/>
      <c r="AQ18" s="3412"/>
      <c r="AR18" s="1028"/>
      <c r="AS18" s="1072"/>
      <c r="AT18" s="1073"/>
      <c r="AU18" s="1074"/>
      <c r="AV18" s="861"/>
      <c r="AW18" s="861"/>
      <c r="AX18" s="861"/>
      <c r="AY18" s="434"/>
      <c r="AZ18" s="434"/>
      <c r="BG18" s="41"/>
      <c r="BH18" s="41"/>
      <c r="BI18" s="41"/>
      <c r="BJ18" s="41"/>
    </row>
    <row r="19" spans="1:62" ht="30.95" customHeight="1" thickBot="1">
      <c r="A19" s="434"/>
      <c r="B19" s="434"/>
      <c r="C19" s="434"/>
      <c r="D19" s="434"/>
      <c r="E19" s="434"/>
      <c r="F19" s="434"/>
      <c r="G19" s="988"/>
      <c r="H19" s="434"/>
      <c r="I19" s="3299"/>
      <c r="J19" s="3297"/>
      <c r="K19" s="3297"/>
      <c r="L19" s="3297"/>
      <c r="M19" s="3297"/>
      <c r="N19" s="3297"/>
      <c r="O19" s="3298"/>
      <c r="P19" s="3327" t="s">
        <v>1237</v>
      </c>
      <c r="Q19" s="3328"/>
      <c r="R19" s="3328"/>
      <c r="S19" s="3328"/>
      <c r="T19" s="3328"/>
      <c r="U19" s="3328"/>
      <c r="V19" s="3329"/>
      <c r="W19" s="3327" t="s">
        <v>1238</v>
      </c>
      <c r="X19" s="3328"/>
      <c r="Y19" s="3328"/>
      <c r="Z19" s="3328"/>
      <c r="AA19" s="3328"/>
      <c r="AB19" s="3328"/>
      <c r="AC19" s="3329"/>
      <c r="AD19" s="3299"/>
      <c r="AE19" s="3297"/>
      <c r="AF19" s="3297"/>
      <c r="AG19" s="3297"/>
      <c r="AH19" s="3297"/>
      <c r="AI19" s="3297"/>
      <c r="AJ19" s="3298"/>
      <c r="AK19" s="3299"/>
      <c r="AL19" s="3297"/>
      <c r="AM19" s="3297"/>
      <c r="AN19" s="3297"/>
      <c r="AO19" s="3297"/>
      <c r="AP19" s="3297"/>
      <c r="AQ19" s="3298"/>
      <c r="AR19" s="1028"/>
      <c r="AS19" s="1072"/>
      <c r="AT19" s="1073"/>
      <c r="AU19" s="1074"/>
      <c r="AV19" s="861"/>
      <c r="AW19" s="861"/>
      <c r="AX19" s="861"/>
      <c r="AY19" s="434"/>
      <c r="AZ19" s="434"/>
      <c r="BG19" s="41"/>
      <c r="BH19" s="41"/>
      <c r="BI19" s="41"/>
      <c r="BJ19" s="41"/>
    </row>
    <row r="20" spans="1:62" ht="24.95" customHeight="1">
      <c r="A20" s="434"/>
      <c r="B20" s="434"/>
      <c r="C20" s="434"/>
      <c r="D20" s="434"/>
      <c r="E20" s="434"/>
      <c r="F20" s="434"/>
      <c r="G20" s="988"/>
      <c r="H20" s="434"/>
      <c r="I20" s="3310" t="s">
        <v>632</v>
      </c>
      <c r="J20" s="3311"/>
      <c r="K20" s="3311"/>
      <c r="L20" s="3311"/>
      <c r="M20" s="3311"/>
      <c r="N20" s="3311"/>
      <c r="O20" s="3312"/>
      <c r="P20" s="3355">
        <v>0</v>
      </c>
      <c r="Q20" s="3356"/>
      <c r="R20" s="3356"/>
      <c r="S20" s="3356"/>
      <c r="T20" s="3356"/>
      <c r="U20" s="3356"/>
      <c r="V20" s="3357"/>
      <c r="W20" s="3355">
        <v>0</v>
      </c>
      <c r="X20" s="3356"/>
      <c r="Y20" s="3356"/>
      <c r="Z20" s="3356"/>
      <c r="AA20" s="3356"/>
      <c r="AB20" s="3356"/>
      <c r="AC20" s="3357"/>
      <c r="AD20" s="3355">
        <v>0</v>
      </c>
      <c r="AE20" s="3356"/>
      <c r="AF20" s="3356"/>
      <c r="AG20" s="3356"/>
      <c r="AH20" s="3356"/>
      <c r="AI20" s="3356"/>
      <c r="AJ20" s="3357"/>
      <c r="AK20" s="3355">
        <v>0</v>
      </c>
      <c r="AL20" s="3356"/>
      <c r="AM20" s="3356"/>
      <c r="AN20" s="3356"/>
      <c r="AO20" s="3356"/>
      <c r="AP20" s="3356"/>
      <c r="AQ20" s="3357"/>
      <c r="AR20" s="1075"/>
      <c r="AS20" s="1076"/>
      <c r="AT20" s="623"/>
      <c r="AU20" s="1074"/>
      <c r="AV20" s="861"/>
      <c r="AW20" s="861"/>
      <c r="AX20" s="861"/>
      <c r="AY20" s="434"/>
      <c r="AZ20" s="434"/>
      <c r="BG20" s="41"/>
      <c r="BH20" s="41"/>
      <c r="BI20" s="41"/>
      <c r="BJ20" s="41"/>
    </row>
    <row r="21" spans="1:62" ht="24.95" customHeight="1">
      <c r="A21" s="434"/>
      <c r="B21" s="434"/>
      <c r="C21" s="434"/>
      <c r="D21" s="434"/>
      <c r="E21" s="434"/>
      <c r="F21" s="434"/>
      <c r="G21" s="988"/>
      <c r="H21" s="434"/>
      <c r="I21" s="3395" t="s">
        <v>633</v>
      </c>
      <c r="J21" s="3396"/>
      <c r="K21" s="3396"/>
      <c r="L21" s="3396"/>
      <c r="M21" s="3396"/>
      <c r="N21" s="3396"/>
      <c r="O21" s="3397"/>
      <c r="P21" s="3398">
        <v>0</v>
      </c>
      <c r="Q21" s="3399"/>
      <c r="R21" s="3399"/>
      <c r="S21" s="3399"/>
      <c r="T21" s="3399"/>
      <c r="U21" s="3399"/>
      <c r="V21" s="3400"/>
      <c r="W21" s="3398">
        <v>0</v>
      </c>
      <c r="X21" s="3399"/>
      <c r="Y21" s="3399"/>
      <c r="Z21" s="3399"/>
      <c r="AA21" s="3399"/>
      <c r="AB21" s="3399"/>
      <c r="AC21" s="3400"/>
      <c r="AD21" s="3398">
        <v>0</v>
      </c>
      <c r="AE21" s="3399"/>
      <c r="AF21" s="3399"/>
      <c r="AG21" s="3399"/>
      <c r="AH21" s="3399"/>
      <c r="AI21" s="3399"/>
      <c r="AJ21" s="3400"/>
      <c r="AK21" s="3398">
        <v>0</v>
      </c>
      <c r="AL21" s="3399"/>
      <c r="AM21" s="3399"/>
      <c r="AN21" s="3399"/>
      <c r="AO21" s="3399"/>
      <c r="AP21" s="3399"/>
      <c r="AQ21" s="3400"/>
      <c r="AR21" s="1077"/>
      <c r="AS21" s="1078"/>
      <c r="AT21" s="622"/>
      <c r="AU21" s="1074"/>
      <c r="AV21" s="861"/>
      <c r="AW21" s="861"/>
      <c r="AX21" s="861"/>
      <c r="AY21" s="434"/>
      <c r="AZ21" s="434"/>
      <c r="BG21" s="41"/>
      <c r="BH21" s="41"/>
      <c r="BI21" s="41"/>
      <c r="BJ21" s="41"/>
    </row>
    <row r="22" spans="1:62" ht="24.95" customHeight="1" thickBot="1">
      <c r="A22" s="434"/>
      <c r="B22" s="434"/>
      <c r="C22" s="434"/>
      <c r="D22" s="434"/>
      <c r="E22" s="434"/>
      <c r="F22" s="434"/>
      <c r="G22" s="988"/>
      <c r="H22" s="434"/>
      <c r="I22" s="3389" t="s">
        <v>631</v>
      </c>
      <c r="J22" s="3390"/>
      <c r="K22" s="3390"/>
      <c r="L22" s="3390"/>
      <c r="M22" s="3390"/>
      <c r="N22" s="3390"/>
      <c r="O22" s="3391"/>
      <c r="P22" s="3306">
        <v>1</v>
      </c>
      <c r="Q22" s="3287"/>
      <c r="R22" s="3287"/>
      <c r="S22" s="3287"/>
      <c r="T22" s="3287"/>
      <c r="U22" s="3287"/>
      <c r="V22" s="3288"/>
      <c r="W22" s="3306">
        <v>0</v>
      </c>
      <c r="X22" s="3287"/>
      <c r="Y22" s="3287"/>
      <c r="Z22" s="3287"/>
      <c r="AA22" s="3287"/>
      <c r="AB22" s="3287"/>
      <c r="AC22" s="3288"/>
      <c r="AD22" s="3306">
        <v>0</v>
      </c>
      <c r="AE22" s="3287"/>
      <c r="AF22" s="3287"/>
      <c r="AG22" s="3287"/>
      <c r="AH22" s="3287"/>
      <c r="AI22" s="3287"/>
      <c r="AJ22" s="3288"/>
      <c r="AK22" s="3306">
        <v>1</v>
      </c>
      <c r="AL22" s="3287"/>
      <c r="AM22" s="3287"/>
      <c r="AN22" s="3287"/>
      <c r="AO22" s="3287"/>
      <c r="AP22" s="3287"/>
      <c r="AQ22" s="3288"/>
      <c r="AR22" s="1077"/>
      <c r="AS22" s="1078"/>
      <c r="AT22" s="622"/>
      <c r="AU22" s="1074"/>
      <c r="AV22" s="861"/>
      <c r="AW22" s="861"/>
      <c r="AX22" s="861"/>
      <c r="AY22" s="434"/>
      <c r="AZ22" s="434"/>
      <c r="BG22" s="41"/>
      <c r="BH22" s="41"/>
      <c r="BI22" s="41"/>
      <c r="BJ22" s="41"/>
    </row>
    <row r="23" spans="1:62" ht="24.95" customHeight="1" thickTop="1" thickBot="1">
      <c r="A23" s="434"/>
      <c r="B23" s="434"/>
      <c r="C23" s="434"/>
      <c r="D23" s="434"/>
      <c r="E23" s="434"/>
      <c r="F23" s="434"/>
      <c r="G23" s="988"/>
      <c r="H23" s="434"/>
      <c r="I23" s="3299" t="s">
        <v>42</v>
      </c>
      <c r="J23" s="3297"/>
      <c r="K23" s="3297"/>
      <c r="L23" s="3297"/>
      <c r="M23" s="3297"/>
      <c r="N23" s="3297"/>
      <c r="O23" s="3298"/>
      <c r="P23" s="3392">
        <f>SUM(P20:V22)</f>
        <v>1</v>
      </c>
      <c r="Q23" s="3393"/>
      <c r="R23" s="3393"/>
      <c r="S23" s="3393"/>
      <c r="T23" s="3393"/>
      <c r="U23" s="3393"/>
      <c r="V23" s="3394"/>
      <c r="W23" s="3392">
        <f>SUM(W20:AC22)</f>
        <v>0</v>
      </c>
      <c r="X23" s="3393"/>
      <c r="Y23" s="3393"/>
      <c r="Z23" s="3393"/>
      <c r="AA23" s="3393"/>
      <c r="AB23" s="3393"/>
      <c r="AC23" s="3394"/>
      <c r="AD23" s="3392">
        <f>SUM(AD20:AJ22)</f>
        <v>0</v>
      </c>
      <c r="AE23" s="3393"/>
      <c r="AF23" s="3393"/>
      <c r="AG23" s="3393"/>
      <c r="AH23" s="3393"/>
      <c r="AI23" s="3393"/>
      <c r="AJ23" s="3394"/>
      <c r="AK23" s="3392">
        <f>SUM(AK20:AQ22)</f>
        <v>1</v>
      </c>
      <c r="AL23" s="3393"/>
      <c r="AM23" s="3393"/>
      <c r="AN23" s="3393"/>
      <c r="AO23" s="3393"/>
      <c r="AP23" s="3393"/>
      <c r="AQ23" s="3394"/>
      <c r="AR23" s="1077"/>
      <c r="AS23" s="1078"/>
      <c r="AT23" s="622"/>
      <c r="AU23" s="1074"/>
      <c r="AV23" s="861"/>
      <c r="AW23" s="861"/>
      <c r="AX23" s="861"/>
      <c r="AY23" s="434"/>
      <c r="AZ23" s="434"/>
      <c r="BG23" s="41"/>
      <c r="BH23" s="41"/>
      <c r="BI23" s="41"/>
      <c r="BJ23" s="41"/>
    </row>
    <row r="24" spans="1:62" ht="6" customHeight="1" thickBot="1">
      <c r="A24" s="434"/>
      <c r="B24" s="434"/>
      <c r="C24" s="434"/>
      <c r="D24" s="434"/>
      <c r="E24" s="434"/>
      <c r="F24" s="434"/>
      <c r="G24" s="646"/>
      <c r="H24" s="659"/>
      <c r="I24" s="642"/>
      <c r="J24" s="642"/>
      <c r="K24" s="1000"/>
      <c r="L24" s="596"/>
      <c r="M24" s="596"/>
      <c r="N24" s="596"/>
      <c r="O24" s="596"/>
      <c r="P24" s="596"/>
      <c r="Q24" s="596"/>
      <c r="R24" s="596"/>
      <c r="S24" s="596"/>
      <c r="T24" s="596"/>
      <c r="U24" s="866"/>
      <c r="V24" s="866"/>
      <c r="W24" s="866"/>
      <c r="X24" s="866"/>
      <c r="Y24" s="866"/>
      <c r="Z24" s="596"/>
      <c r="AA24" s="866"/>
      <c r="AB24" s="866"/>
      <c r="AC24" s="866"/>
      <c r="AD24" s="866"/>
      <c r="AE24" s="866"/>
      <c r="AF24" s="866"/>
      <c r="AG24" s="596"/>
      <c r="AH24" s="596"/>
      <c r="AI24" s="596"/>
      <c r="AJ24" s="596"/>
      <c r="AK24" s="596"/>
      <c r="AL24" s="596"/>
      <c r="AM24" s="596"/>
      <c r="AN24" s="596"/>
      <c r="AO24" s="596"/>
      <c r="AP24" s="596"/>
      <c r="AQ24" s="596"/>
      <c r="AR24" s="596"/>
      <c r="AS24" s="597"/>
      <c r="AT24" s="434"/>
      <c r="AU24" s="434"/>
      <c r="AV24" s="434"/>
      <c r="AW24" s="434"/>
      <c r="AX24" s="434"/>
      <c r="AY24" s="434"/>
      <c r="AZ24" s="434"/>
    </row>
    <row r="25" spans="1:62" s="43" customFormat="1" ht="6" customHeight="1">
      <c r="A25" s="960"/>
      <c r="B25" s="960"/>
      <c r="C25" s="960"/>
      <c r="D25" s="960"/>
      <c r="E25" s="960"/>
      <c r="F25" s="960"/>
      <c r="G25" s="227"/>
      <c r="H25" s="982"/>
      <c r="I25" s="982"/>
      <c r="J25" s="982"/>
      <c r="K25" s="982"/>
      <c r="L25" s="982"/>
      <c r="M25" s="983"/>
      <c r="N25" s="983"/>
      <c r="O25" s="983"/>
      <c r="P25" s="983"/>
      <c r="Q25" s="983"/>
      <c r="R25" s="983"/>
      <c r="S25" s="983"/>
      <c r="T25" s="983"/>
      <c r="U25" s="983"/>
      <c r="V25" s="983"/>
      <c r="W25" s="983"/>
      <c r="X25" s="983"/>
      <c r="Y25" s="983"/>
      <c r="Z25" s="983"/>
      <c r="AA25" s="983"/>
      <c r="AB25" s="983"/>
      <c r="AC25" s="983"/>
      <c r="AD25" s="983"/>
      <c r="AE25" s="983"/>
      <c r="AF25" s="983"/>
      <c r="AG25" s="983"/>
      <c r="AH25" s="983"/>
      <c r="AI25" s="983"/>
      <c r="AJ25" s="983"/>
      <c r="AK25" s="983"/>
      <c r="AL25" s="983"/>
      <c r="AM25" s="983"/>
      <c r="AN25" s="983"/>
      <c r="AO25" s="983"/>
      <c r="AP25" s="983"/>
      <c r="AQ25" s="983"/>
      <c r="AR25" s="983"/>
      <c r="AS25" s="983"/>
      <c r="AT25" s="1079"/>
      <c r="AU25" s="1079"/>
      <c r="AV25" s="983"/>
      <c r="AW25" s="960"/>
      <c r="AX25" s="960"/>
      <c r="AY25" s="960"/>
      <c r="AZ25" s="960"/>
    </row>
    <row r="26" spans="1:62" ht="16.5" customHeight="1">
      <c r="A26" s="434"/>
      <c r="B26" s="434"/>
      <c r="C26" s="434"/>
      <c r="D26" s="434"/>
      <c r="E26" s="434"/>
      <c r="F26" s="434"/>
      <c r="G26" s="1080" t="s">
        <v>47</v>
      </c>
      <c r="H26" s="3387" t="s">
        <v>1207</v>
      </c>
      <c r="I26" s="3387"/>
      <c r="J26" s="3387"/>
      <c r="K26" s="3387"/>
      <c r="L26" s="3387"/>
      <c r="M26" s="3387"/>
      <c r="N26" s="3387"/>
      <c r="O26" s="3387"/>
      <c r="P26" s="3387"/>
      <c r="Q26" s="3387"/>
      <c r="R26" s="3387"/>
      <c r="S26" s="3387"/>
      <c r="T26" s="3387"/>
      <c r="U26" s="3387"/>
      <c r="V26" s="3387"/>
      <c r="W26" s="3387"/>
      <c r="X26" s="3387"/>
      <c r="Y26" s="3387"/>
      <c r="Z26" s="3387"/>
      <c r="AA26" s="3387"/>
      <c r="AB26" s="3387"/>
      <c r="AC26" s="3387"/>
      <c r="AD26" s="3387"/>
      <c r="AE26" s="3387"/>
      <c r="AF26" s="3387"/>
      <c r="AG26" s="3387"/>
      <c r="AH26" s="3387"/>
      <c r="AI26" s="3387"/>
      <c r="AJ26" s="3387"/>
      <c r="AK26" s="3387"/>
      <c r="AL26" s="3387"/>
      <c r="AM26" s="3387"/>
      <c r="AN26" s="3387"/>
      <c r="AO26" s="3387"/>
      <c r="AP26" s="3387"/>
      <c r="AQ26" s="3387"/>
      <c r="AR26" s="3387"/>
      <c r="AS26" s="3387"/>
      <c r="AT26" s="1081"/>
      <c r="AU26" s="1081"/>
      <c r="AV26" s="1081"/>
      <c r="AW26" s="1081"/>
      <c r="AX26" s="1081"/>
      <c r="AY26" s="434"/>
      <c r="AZ26" s="434"/>
    </row>
    <row r="27" spans="1:62" ht="33.6" customHeight="1">
      <c r="A27" s="434"/>
      <c r="B27" s="434"/>
      <c r="C27" s="434"/>
      <c r="D27" s="434"/>
      <c r="E27" s="434"/>
      <c r="F27" s="434"/>
      <c r="G27" s="1020" t="s">
        <v>48</v>
      </c>
      <c r="H27" s="3388" t="s">
        <v>1208</v>
      </c>
      <c r="I27" s="3388"/>
      <c r="J27" s="3388"/>
      <c r="K27" s="3388"/>
      <c r="L27" s="3388"/>
      <c r="M27" s="3388"/>
      <c r="N27" s="3388"/>
      <c r="O27" s="3388"/>
      <c r="P27" s="3388"/>
      <c r="Q27" s="3388"/>
      <c r="R27" s="3388"/>
      <c r="S27" s="3388"/>
      <c r="T27" s="3388"/>
      <c r="U27" s="3388"/>
      <c r="V27" s="3388"/>
      <c r="W27" s="3388"/>
      <c r="X27" s="3388"/>
      <c r="Y27" s="3388"/>
      <c r="Z27" s="3388"/>
      <c r="AA27" s="3388"/>
      <c r="AB27" s="3388"/>
      <c r="AC27" s="3388"/>
      <c r="AD27" s="3388"/>
      <c r="AE27" s="3388"/>
      <c r="AF27" s="3388"/>
      <c r="AG27" s="3388"/>
      <c r="AH27" s="3388"/>
      <c r="AI27" s="3388"/>
      <c r="AJ27" s="3388"/>
      <c r="AK27" s="3388"/>
      <c r="AL27" s="3388"/>
      <c r="AM27" s="3388"/>
      <c r="AN27" s="3388"/>
      <c r="AO27" s="3388"/>
      <c r="AP27" s="3388"/>
      <c r="AQ27" s="3388"/>
      <c r="AR27" s="3388"/>
      <c r="AS27" s="3388"/>
      <c r="AT27" s="1081"/>
      <c r="AU27" s="1081"/>
      <c r="AV27" s="1081"/>
      <c r="AW27" s="1081"/>
      <c r="AX27" s="1081"/>
      <c r="AY27" s="434"/>
      <c r="AZ27" s="434"/>
    </row>
    <row r="28" spans="1:62">
      <c r="A28" s="434"/>
      <c r="B28" s="434"/>
      <c r="C28" s="434"/>
      <c r="D28" s="434"/>
      <c r="E28" s="434"/>
      <c r="F28" s="434"/>
      <c r="G28" s="1080" t="s">
        <v>49</v>
      </c>
      <c r="H28" s="3387" t="s">
        <v>1209</v>
      </c>
      <c r="I28" s="3387"/>
      <c r="J28" s="3387"/>
      <c r="K28" s="3387"/>
      <c r="L28" s="3387"/>
      <c r="M28" s="3387"/>
      <c r="N28" s="3387"/>
      <c r="O28" s="3387"/>
      <c r="P28" s="3387"/>
      <c r="Q28" s="3387"/>
      <c r="R28" s="3387"/>
      <c r="S28" s="3387"/>
      <c r="T28" s="3387"/>
      <c r="U28" s="3387"/>
      <c r="V28" s="3387"/>
      <c r="W28" s="3387"/>
      <c r="X28" s="3387"/>
      <c r="Y28" s="3387"/>
      <c r="Z28" s="3387"/>
      <c r="AA28" s="3387"/>
      <c r="AB28" s="3387"/>
      <c r="AC28" s="3387"/>
      <c r="AD28" s="3387"/>
      <c r="AE28" s="3387"/>
      <c r="AF28" s="3387"/>
      <c r="AG28" s="3387"/>
      <c r="AH28" s="3387"/>
      <c r="AI28" s="3387"/>
      <c r="AJ28" s="3387"/>
      <c r="AK28" s="3387"/>
      <c r="AL28" s="3387"/>
      <c r="AM28" s="3387"/>
      <c r="AN28" s="3387"/>
      <c r="AO28" s="3387"/>
      <c r="AP28" s="3387"/>
      <c r="AQ28" s="3387"/>
      <c r="AR28" s="3387"/>
      <c r="AS28" s="3387"/>
      <c r="AT28" s="1081"/>
      <c r="AU28" s="1081"/>
      <c r="AV28" s="1081"/>
      <c r="AW28" s="1081"/>
      <c r="AX28" s="1081"/>
      <c r="AY28" s="434"/>
      <c r="AZ28" s="434"/>
    </row>
    <row r="29" spans="1:62" s="164" customFormat="1" ht="30" customHeight="1">
      <c r="A29" s="260"/>
      <c r="B29" s="260"/>
      <c r="C29" s="260"/>
      <c r="D29" s="260"/>
      <c r="E29" s="260"/>
      <c r="F29" s="260"/>
      <c r="G29" s="260"/>
      <c r="H29" s="260"/>
      <c r="I29" s="227"/>
      <c r="J29" s="260"/>
      <c r="K29" s="227"/>
      <c r="L29" s="260"/>
      <c r="M29" s="227"/>
      <c r="N29" s="260"/>
      <c r="O29" s="227"/>
      <c r="P29" s="227"/>
      <c r="Q29" s="260"/>
      <c r="R29" s="227"/>
      <c r="S29" s="260"/>
      <c r="T29" s="227"/>
      <c r="U29" s="227"/>
      <c r="V29" s="260"/>
      <c r="W29" s="227"/>
      <c r="X29" s="260"/>
      <c r="Y29" s="227"/>
      <c r="Z29" s="260"/>
      <c r="AA29" s="227"/>
      <c r="AB29" s="260"/>
      <c r="AC29" s="260"/>
      <c r="AD29" s="227"/>
      <c r="AE29" s="260"/>
      <c r="AF29" s="260"/>
      <c r="AG29" s="260"/>
      <c r="AH29" s="260"/>
      <c r="AI29" s="260"/>
      <c r="AJ29" s="260"/>
      <c r="AK29" s="260"/>
      <c r="AL29" s="260"/>
      <c r="AM29" s="260"/>
      <c r="AN29" s="260"/>
      <c r="AO29" s="260"/>
      <c r="AP29" s="260"/>
      <c r="AQ29" s="260"/>
      <c r="AR29" s="260"/>
      <c r="AS29" s="260"/>
      <c r="AT29" s="260"/>
      <c r="AU29" s="260"/>
      <c r="AV29" s="260"/>
      <c r="AW29" s="260"/>
      <c r="AX29" s="260"/>
      <c r="AY29" s="260"/>
      <c r="AZ29" s="260"/>
    </row>
    <row r="30" spans="1:62" s="37" customFormat="1" ht="15">
      <c r="A30" s="263"/>
      <c r="B30" s="332" t="s">
        <v>74</v>
      </c>
      <c r="C30" s="263"/>
      <c r="D30" s="263"/>
      <c r="E30" s="263"/>
      <c r="F30" s="263"/>
      <c r="G30" s="263"/>
      <c r="H30" s="263"/>
      <c r="I30" s="263"/>
      <c r="J30" s="263"/>
      <c r="K30" s="263"/>
      <c r="L30" s="263"/>
      <c r="M30" s="263"/>
      <c r="N30" s="263"/>
      <c r="O30" s="263"/>
      <c r="P30" s="263"/>
      <c r="Q30" s="263"/>
      <c r="R30" s="263"/>
      <c r="S30" s="332" t="s">
        <v>577</v>
      </c>
      <c r="T30" s="263"/>
      <c r="U30" s="263"/>
      <c r="V30" s="263"/>
      <c r="W30" s="263"/>
      <c r="X30" s="263"/>
      <c r="Y30" s="263"/>
      <c r="Z30" s="263"/>
      <c r="AA30" s="263"/>
      <c r="AB30" s="263"/>
      <c r="AC30" s="263"/>
      <c r="AD30" s="263"/>
      <c r="AE30" s="263"/>
      <c r="AF30" s="263"/>
      <c r="AG30" s="263"/>
      <c r="AH30" s="263"/>
      <c r="AI30" s="263"/>
      <c r="AJ30" s="263"/>
      <c r="AK30" s="332" t="s">
        <v>33</v>
      </c>
      <c r="AL30" s="263"/>
      <c r="AM30" s="263"/>
      <c r="AN30" s="263"/>
      <c r="AO30" s="263"/>
      <c r="AP30" s="263"/>
      <c r="AQ30" s="263"/>
      <c r="AR30" s="263"/>
      <c r="AS30" s="263"/>
      <c r="AT30" s="263"/>
      <c r="AU30" s="263"/>
      <c r="AV30" s="263"/>
      <c r="AW30" s="263"/>
      <c r="AX30" s="263"/>
      <c r="AY30" s="263"/>
      <c r="AZ30" s="263"/>
    </row>
    <row r="31" spans="1:62" s="37" customFormat="1" ht="21.75" customHeight="1">
      <c r="A31" s="263"/>
      <c r="B31" s="332" t="s">
        <v>75</v>
      </c>
      <c r="C31" s="263"/>
      <c r="D31" s="263"/>
      <c r="E31" s="263"/>
      <c r="F31" s="2790" t="str">
        <f>activesheet!E21</f>
        <v>MELCHESIEDICK Q. BOLANIO / March 17, 2023</v>
      </c>
      <c r="G31" s="2790"/>
      <c r="H31" s="2790"/>
      <c r="I31" s="2790"/>
      <c r="J31" s="2790"/>
      <c r="K31" s="2790"/>
      <c r="L31" s="2790"/>
      <c r="M31" s="2790"/>
      <c r="N31" s="2790"/>
      <c r="O31" s="2790"/>
      <c r="P31" s="263"/>
      <c r="Q31" s="263"/>
      <c r="R31" s="263"/>
      <c r="S31" s="2790" t="str">
        <f>activesheet!E2417</f>
        <v>RACQUEL N. ACOMPANADO / March 17, 2023</v>
      </c>
      <c r="T31" s="2790"/>
      <c r="U31" s="2790"/>
      <c r="V31" s="2790"/>
      <c r="W31" s="2790"/>
      <c r="X31" s="2790"/>
      <c r="Y31" s="2790"/>
      <c r="Z31" s="2790"/>
      <c r="AA31" s="2790"/>
      <c r="AB31" s="2790"/>
      <c r="AC31" s="2790"/>
      <c r="AD31" s="2790"/>
      <c r="AE31" s="2790"/>
      <c r="AF31" s="2790"/>
      <c r="AG31" s="2790"/>
      <c r="AH31" s="263"/>
      <c r="AI31" s="263"/>
      <c r="AJ31" s="263"/>
      <c r="AK31" s="1819" t="str">
        <f>activesheet!E25</f>
        <v>MICHAEL T. JAMIS / March 17, 2023</v>
      </c>
      <c r="AL31" s="1819"/>
      <c r="AM31" s="1819"/>
      <c r="AN31" s="1819"/>
      <c r="AO31" s="1819"/>
      <c r="AP31" s="1819"/>
      <c r="AQ31" s="1819"/>
      <c r="AR31" s="1819"/>
      <c r="AS31" s="1819"/>
      <c r="AT31" s="1819"/>
      <c r="AU31" s="1819"/>
      <c r="AV31" s="1819"/>
      <c r="AW31" s="1819"/>
      <c r="AX31" s="1819"/>
      <c r="AY31" s="263"/>
      <c r="AZ31" s="263"/>
    </row>
    <row r="32" spans="1:62" s="39" customFormat="1" ht="13.5" customHeight="1">
      <c r="A32" s="280"/>
      <c r="B32" s="228"/>
      <c r="C32" s="280"/>
      <c r="D32" s="280"/>
      <c r="E32" s="280"/>
      <c r="F32" s="1811" t="s">
        <v>37</v>
      </c>
      <c r="G32" s="1811"/>
      <c r="H32" s="1811"/>
      <c r="I32" s="1811"/>
      <c r="J32" s="1811"/>
      <c r="K32" s="1811"/>
      <c r="L32" s="1811"/>
      <c r="M32" s="1811"/>
      <c r="N32" s="1811"/>
      <c r="O32" s="1811"/>
      <c r="P32" s="358"/>
      <c r="Q32" s="281"/>
      <c r="R32" s="281"/>
      <c r="S32" s="1811" t="s">
        <v>37</v>
      </c>
      <c r="T32" s="1811"/>
      <c r="U32" s="1811"/>
      <c r="V32" s="1811"/>
      <c r="W32" s="1811"/>
      <c r="X32" s="1811"/>
      <c r="Y32" s="1811"/>
      <c r="Z32" s="1811"/>
      <c r="AA32" s="1811"/>
      <c r="AB32" s="1811"/>
      <c r="AC32" s="1811"/>
      <c r="AD32" s="1811"/>
      <c r="AE32" s="1811"/>
      <c r="AF32" s="1811"/>
      <c r="AG32" s="1811"/>
      <c r="AH32" s="358"/>
      <c r="AI32" s="280"/>
      <c r="AJ32" s="280"/>
      <c r="AK32" s="1820"/>
      <c r="AL32" s="1820"/>
      <c r="AM32" s="1820"/>
      <c r="AN32" s="1820"/>
      <c r="AO32" s="1820"/>
      <c r="AP32" s="1820"/>
      <c r="AQ32" s="1820"/>
      <c r="AR32" s="1820"/>
      <c r="AS32" s="1820"/>
      <c r="AT32" s="1820"/>
      <c r="AU32" s="1820"/>
      <c r="AV32" s="1820"/>
      <c r="AW32" s="1820"/>
      <c r="AX32" s="1820"/>
      <c r="AY32" s="280"/>
      <c r="AZ32" s="280"/>
    </row>
    <row r="33" spans="1:52" s="37" customFormat="1" ht="21.75" customHeight="1">
      <c r="A33" s="263"/>
      <c r="B33" s="332" t="s">
        <v>58</v>
      </c>
      <c r="C33" s="263"/>
      <c r="D33" s="263"/>
      <c r="E33" s="263"/>
      <c r="F33" s="2790" t="str">
        <f>activesheet!E22</f>
        <v>SECONDARY SCHOOL PRINCIPAL IV</v>
      </c>
      <c r="G33" s="2790"/>
      <c r="H33" s="2790"/>
      <c r="I33" s="2790"/>
      <c r="J33" s="2790"/>
      <c r="K33" s="2790"/>
      <c r="L33" s="2790"/>
      <c r="M33" s="2790"/>
      <c r="N33" s="2790"/>
      <c r="O33" s="2790"/>
      <c r="P33" s="263"/>
      <c r="Q33" s="263"/>
      <c r="R33" s="263"/>
      <c r="S33" s="332" t="s">
        <v>58</v>
      </c>
      <c r="T33" s="263"/>
      <c r="U33" s="263"/>
      <c r="V33" s="263"/>
      <c r="W33" s="2790" t="str">
        <f>activesheet!E2418</f>
        <v>NURSE II</v>
      </c>
      <c r="X33" s="2790"/>
      <c r="Y33" s="2790"/>
      <c r="Z33" s="2790"/>
      <c r="AA33" s="2790"/>
      <c r="AB33" s="2790"/>
      <c r="AC33" s="2790"/>
      <c r="AD33" s="2790"/>
      <c r="AE33" s="2790"/>
      <c r="AF33" s="2790"/>
      <c r="AG33" s="2790"/>
      <c r="AH33" s="263"/>
      <c r="AI33" s="263"/>
      <c r="AJ33" s="263"/>
      <c r="AK33" s="1811" t="s">
        <v>37</v>
      </c>
      <c r="AL33" s="1811"/>
      <c r="AM33" s="1811"/>
      <c r="AN33" s="1811"/>
      <c r="AO33" s="1811"/>
      <c r="AP33" s="1811"/>
      <c r="AQ33" s="1811"/>
      <c r="AR33" s="1811"/>
      <c r="AS33" s="1811"/>
      <c r="AT33" s="1811"/>
      <c r="AU33" s="1811"/>
      <c r="AV33" s="1811"/>
      <c r="AW33" s="1811"/>
      <c r="AX33" s="1811"/>
      <c r="AY33" s="263"/>
      <c r="AZ33" s="263"/>
    </row>
    <row r="34" spans="1:52" s="3" customFormat="1">
      <c r="A34" s="240"/>
      <c r="B34" s="239"/>
      <c r="C34" s="240"/>
      <c r="D34" s="239"/>
      <c r="E34" s="240"/>
      <c r="F34" s="239"/>
      <c r="G34" s="240"/>
      <c r="H34" s="239"/>
      <c r="I34" s="240"/>
      <c r="J34" s="239"/>
      <c r="K34" s="240"/>
      <c r="L34" s="239"/>
      <c r="M34" s="240"/>
      <c r="N34" s="239"/>
      <c r="O34" s="240"/>
      <c r="P34" s="227"/>
      <c r="Q34" s="260"/>
      <c r="R34" s="227"/>
      <c r="S34" s="239"/>
      <c r="T34" s="240"/>
      <c r="U34" s="239"/>
      <c r="V34" s="240"/>
      <c r="W34" s="239"/>
      <c r="X34" s="240"/>
      <c r="Y34" s="239"/>
      <c r="Z34" s="240"/>
      <c r="AA34" s="239"/>
      <c r="AB34" s="240"/>
      <c r="AC34" s="239"/>
      <c r="AD34" s="240"/>
      <c r="AE34" s="239"/>
      <c r="AF34" s="240"/>
      <c r="AG34" s="239"/>
      <c r="AH34" s="240"/>
      <c r="AI34" s="239"/>
      <c r="AJ34" s="240"/>
      <c r="AK34" s="239"/>
      <c r="AL34" s="240"/>
      <c r="AM34" s="239"/>
      <c r="AN34" s="240"/>
      <c r="AO34" s="239"/>
      <c r="AP34" s="240"/>
      <c r="AQ34" s="239"/>
      <c r="AR34" s="240"/>
      <c r="AS34" s="239"/>
      <c r="AT34" s="240"/>
      <c r="AU34" s="239"/>
      <c r="AV34" s="240"/>
      <c r="AW34" s="239"/>
      <c r="AX34" s="240"/>
      <c r="AY34" s="240"/>
      <c r="AZ34" s="240"/>
    </row>
    <row r="35" spans="1:52">
      <c r="A35" s="434"/>
      <c r="B35" s="434"/>
      <c r="C35" s="434"/>
      <c r="D35" s="434"/>
      <c r="E35" s="434"/>
      <c r="F35" s="434"/>
      <c r="G35" s="434"/>
      <c r="H35" s="434"/>
      <c r="I35" s="434"/>
      <c r="J35" s="434"/>
      <c r="K35" s="434"/>
      <c r="L35" s="434"/>
      <c r="M35" s="434"/>
      <c r="N35" s="434"/>
      <c r="O35" s="434"/>
      <c r="P35" s="434"/>
      <c r="Q35" s="434"/>
      <c r="R35" s="434"/>
      <c r="S35" s="434"/>
      <c r="T35" s="434"/>
      <c r="U35" s="434"/>
      <c r="V35" s="434"/>
      <c r="W35" s="434"/>
      <c r="X35" s="434"/>
      <c r="Y35" s="434"/>
      <c r="Z35" s="434"/>
      <c r="AA35" s="434"/>
      <c r="AB35" s="434"/>
      <c r="AC35" s="434"/>
      <c r="AD35" s="434"/>
      <c r="AE35" s="434"/>
      <c r="AF35" s="434"/>
      <c r="AG35" s="434"/>
      <c r="AH35" s="434"/>
      <c r="AI35" s="434"/>
      <c r="AJ35" s="434"/>
      <c r="AK35" s="434"/>
      <c r="AL35" s="434"/>
      <c r="AM35" s="434"/>
      <c r="AN35" s="434"/>
      <c r="AO35" s="434"/>
      <c r="AP35" s="434"/>
      <c r="AQ35" s="434"/>
      <c r="AR35" s="434"/>
      <c r="AS35" s="434"/>
      <c r="AT35" s="434"/>
      <c r="AU35" s="434"/>
      <c r="AV35" s="434"/>
      <c r="AW35" s="434"/>
      <c r="AX35" s="434"/>
      <c r="AY35" s="434"/>
      <c r="AZ35" s="434"/>
    </row>
    <row r="36" spans="1:52">
      <c r="A36" s="434"/>
      <c r="B36" s="434"/>
      <c r="C36" s="434"/>
      <c r="D36" s="434"/>
      <c r="E36" s="434"/>
      <c r="F36" s="434"/>
      <c r="G36" s="434"/>
      <c r="H36" s="434"/>
      <c r="I36" s="434"/>
      <c r="J36" s="434"/>
      <c r="K36" s="434"/>
      <c r="L36" s="434"/>
      <c r="M36" s="434"/>
      <c r="N36" s="434"/>
      <c r="O36" s="434"/>
      <c r="P36" s="434"/>
      <c r="Q36" s="434"/>
      <c r="R36" s="434"/>
      <c r="S36" s="434"/>
      <c r="T36" s="434"/>
      <c r="U36" s="434"/>
      <c r="V36" s="434"/>
      <c r="W36" s="434"/>
      <c r="X36" s="434"/>
      <c r="Y36" s="434"/>
      <c r="Z36" s="434"/>
      <c r="AA36" s="434"/>
      <c r="AB36" s="434"/>
      <c r="AC36" s="434"/>
      <c r="AD36" s="434"/>
      <c r="AE36" s="434"/>
      <c r="AF36" s="434"/>
      <c r="AG36" s="434"/>
      <c r="AH36" s="434"/>
      <c r="AI36" s="434"/>
      <c r="AJ36" s="434"/>
      <c r="AK36" s="434"/>
      <c r="AL36" s="434"/>
      <c r="AM36" s="434"/>
      <c r="AN36" s="434"/>
      <c r="AO36" s="434"/>
      <c r="AP36" s="434"/>
      <c r="AQ36" s="434"/>
      <c r="AR36" s="434"/>
      <c r="AS36" s="434"/>
      <c r="AT36" s="434"/>
      <c r="AU36" s="434"/>
      <c r="AV36" s="434"/>
      <c r="AW36" s="434"/>
      <c r="AX36" s="434"/>
      <c r="AY36" s="434"/>
      <c r="AZ36" s="434"/>
    </row>
    <row r="37" spans="1:52">
      <c r="A37" s="434"/>
      <c r="B37" s="434"/>
      <c r="C37" s="434"/>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row>
    <row r="38" spans="1:52">
      <c r="A38" s="434"/>
      <c r="B38" s="434"/>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4"/>
      <c r="AU38" s="434"/>
      <c r="AV38" s="434"/>
      <c r="AW38" s="434"/>
      <c r="AX38" s="434"/>
      <c r="AY38" s="434"/>
      <c r="AZ38" s="434"/>
    </row>
    <row r="39" spans="1:52">
      <c r="A39" s="434"/>
      <c r="B39" s="434"/>
      <c r="C39" s="434"/>
      <c r="D39" s="434"/>
      <c r="E39" s="434"/>
      <c r="F39" s="434"/>
      <c r="G39" s="434"/>
      <c r="H39" s="434"/>
      <c r="I39" s="434"/>
      <c r="J39" s="434"/>
      <c r="K39" s="434"/>
      <c r="L39" s="434"/>
      <c r="M39" s="434"/>
      <c r="N39" s="434"/>
      <c r="O39" s="434"/>
      <c r="P39" s="434"/>
      <c r="Q39" s="434"/>
      <c r="R39" s="434"/>
      <c r="S39" s="434"/>
      <c r="T39" s="434"/>
      <c r="U39" s="434"/>
      <c r="V39" s="434"/>
      <c r="W39" s="434"/>
      <c r="X39" s="434"/>
      <c r="Y39" s="434"/>
      <c r="Z39" s="434"/>
      <c r="AA39" s="434"/>
      <c r="AB39" s="434"/>
      <c r="AC39" s="434"/>
      <c r="AD39" s="434"/>
      <c r="AE39" s="434"/>
      <c r="AF39" s="434"/>
      <c r="AG39" s="434"/>
      <c r="AH39" s="434"/>
      <c r="AI39" s="434"/>
      <c r="AJ39" s="434"/>
      <c r="AK39" s="434"/>
      <c r="AL39" s="434"/>
      <c r="AM39" s="434"/>
      <c r="AN39" s="434"/>
      <c r="AO39" s="434"/>
      <c r="AP39" s="434"/>
      <c r="AQ39" s="434"/>
      <c r="AR39" s="434"/>
      <c r="AS39" s="434"/>
      <c r="AT39" s="434"/>
      <c r="AU39" s="434"/>
      <c r="AV39" s="434"/>
      <c r="AW39" s="434"/>
      <c r="AX39" s="434"/>
      <c r="AY39" s="434"/>
      <c r="AZ39" s="434"/>
    </row>
    <row r="40" spans="1:52">
      <c r="A40" s="434"/>
      <c r="B40" s="434"/>
      <c r="C40" s="434"/>
      <c r="D40" s="434"/>
      <c r="E40" s="434"/>
      <c r="F40" s="434"/>
      <c r="G40" s="434"/>
      <c r="H40" s="434"/>
      <c r="I40" s="434"/>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row>
    <row r="41" spans="1:52">
      <c r="A41" s="434"/>
      <c r="B41" s="434"/>
      <c r="C41" s="434"/>
      <c r="D41" s="434"/>
      <c r="E41" s="434"/>
      <c r="F41" s="434"/>
      <c r="G41" s="434"/>
      <c r="H41" s="434"/>
      <c r="I41" s="434"/>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row>
    <row r="42" spans="1:52">
      <c r="A42" s="434"/>
      <c r="B42" s="434"/>
      <c r="C42" s="434"/>
      <c r="D42" s="434"/>
      <c r="E42" s="434"/>
      <c r="F42" s="434"/>
      <c r="G42" s="434"/>
      <c r="H42" s="434"/>
      <c r="I42" s="434"/>
      <c r="J42" s="434"/>
      <c r="K42" s="434"/>
      <c r="L42" s="434"/>
      <c r="M42" s="434"/>
      <c r="N42" s="434"/>
      <c r="O42" s="434"/>
      <c r="P42" s="434"/>
      <c r="Q42" s="434"/>
      <c r="R42" s="434"/>
      <c r="S42" s="434"/>
      <c r="T42" s="434"/>
      <c r="U42" s="434"/>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4"/>
      <c r="AU42" s="434"/>
      <c r="AV42" s="434"/>
      <c r="AW42" s="434"/>
      <c r="AX42" s="434"/>
      <c r="AY42" s="434"/>
      <c r="AZ42" s="434"/>
    </row>
    <row r="43" spans="1:52">
      <c r="A43" s="434"/>
      <c r="B43" s="434"/>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4"/>
      <c r="AU43" s="434"/>
      <c r="AV43" s="434"/>
      <c r="AW43" s="434"/>
      <c r="AX43" s="434"/>
      <c r="AY43" s="434"/>
      <c r="AZ43" s="434"/>
    </row>
    <row r="44" spans="1:52">
      <c r="A44" s="434"/>
      <c r="B44" s="434"/>
      <c r="C44" s="434"/>
      <c r="D44" s="434"/>
      <c r="E44" s="434"/>
      <c r="F44" s="434"/>
      <c r="G44" s="434"/>
      <c r="H44" s="434"/>
      <c r="I44" s="434"/>
      <c r="J44" s="434"/>
      <c r="K44" s="434"/>
      <c r="L44" s="434"/>
      <c r="M44" s="434"/>
      <c r="N44" s="434"/>
      <c r="O44" s="434"/>
      <c r="P44" s="434"/>
      <c r="Q44" s="434"/>
      <c r="R44" s="434"/>
      <c r="S44" s="434"/>
      <c r="T44" s="434"/>
      <c r="U44" s="434"/>
      <c r="V44" s="434"/>
      <c r="W44" s="434"/>
      <c r="X44" s="434"/>
      <c r="Y44" s="434"/>
      <c r="Z44" s="434"/>
      <c r="AA44" s="434"/>
      <c r="AB44" s="434"/>
      <c r="AC44" s="434"/>
      <c r="AD44" s="434"/>
      <c r="AE44" s="434"/>
      <c r="AF44" s="434"/>
      <c r="AG44" s="434"/>
      <c r="AH44" s="434"/>
      <c r="AI44" s="434"/>
      <c r="AJ44" s="434"/>
      <c r="AK44" s="434"/>
      <c r="AL44" s="434"/>
      <c r="AM44" s="434"/>
      <c r="AN44" s="434"/>
      <c r="AO44" s="434"/>
      <c r="AP44" s="434"/>
      <c r="AQ44" s="434"/>
      <c r="AR44" s="434"/>
      <c r="AS44" s="434"/>
      <c r="AT44" s="434"/>
      <c r="AU44" s="434"/>
      <c r="AV44" s="434"/>
      <c r="AW44" s="434"/>
      <c r="AX44" s="434"/>
      <c r="AY44" s="434"/>
      <c r="AZ44" s="434"/>
    </row>
  </sheetData>
  <sheetProtection algorithmName="SHA-512" hashValue="NOiKETJEuQXtVj4EaGCr3HxkLSTbGDOyNnXA3WTUx45KzH4Rb0qmZvrO0SYQsDSjNFsjJditWDaMMHmIWfRXwA==" saltValue="9/OouwGiHq+RD7RVjrIQRg==" spinCount="100000" sheet="1" objects="1" scenarios="1"/>
  <customSheetViews>
    <customSheetView guid="{6EFEFCA0-BF14-457A-85A3-29CBF2A862A5}" showGridLines="0" fitToPage="1" topLeftCell="A31">
      <selection sqref="A1:AY35"/>
      <pageMargins left="0.23622047244094491" right="0.23622047244094491" top="0.19685039370078741" bottom="0.19685039370078741" header="0" footer="0.11811023622047245"/>
      <printOptions horizontalCentered="1" verticalCentered="1"/>
      <pageSetup paperSize="9" scale="74" orientation="landscape" r:id="rId1"/>
      <headerFooter>
        <oddFooter>&amp;L&amp;10&amp;F &amp;A&amp;R&amp;10Page 32 of 61</oddFooter>
      </headerFooter>
    </customSheetView>
  </customSheetViews>
  <mergeCells count="65">
    <mergeCell ref="I7:O9"/>
    <mergeCell ref="P7:AQ7"/>
    <mergeCell ref="P8:AC8"/>
    <mergeCell ref="AD8:AJ9"/>
    <mergeCell ref="AK8:AQ9"/>
    <mergeCell ref="P9:V9"/>
    <mergeCell ref="W9:AC9"/>
    <mergeCell ref="I11:O11"/>
    <mergeCell ref="P11:V11"/>
    <mergeCell ref="W11:AC11"/>
    <mergeCell ref="AD11:AJ11"/>
    <mergeCell ref="AK11:AQ11"/>
    <mergeCell ref="I10:O10"/>
    <mergeCell ref="P10:V10"/>
    <mergeCell ref="W10:AC10"/>
    <mergeCell ref="AD10:AJ10"/>
    <mergeCell ref="AK10:AQ10"/>
    <mergeCell ref="I13:O13"/>
    <mergeCell ref="P13:V13"/>
    <mergeCell ref="W13:AC13"/>
    <mergeCell ref="AD13:AJ13"/>
    <mergeCell ref="AK13:AQ13"/>
    <mergeCell ref="I12:O12"/>
    <mergeCell ref="P12:V12"/>
    <mergeCell ref="W12:AC12"/>
    <mergeCell ref="AD12:AJ12"/>
    <mergeCell ref="AK12:AQ12"/>
    <mergeCell ref="I17:O19"/>
    <mergeCell ref="P17:AQ17"/>
    <mergeCell ref="P18:AC18"/>
    <mergeCell ref="AD18:AJ19"/>
    <mergeCell ref="AK18:AQ19"/>
    <mergeCell ref="P19:V19"/>
    <mergeCell ref="W19:AC19"/>
    <mergeCell ref="I21:O21"/>
    <mergeCell ref="P21:V21"/>
    <mergeCell ref="W21:AC21"/>
    <mergeCell ref="AD21:AJ21"/>
    <mergeCell ref="AK21:AQ21"/>
    <mergeCell ref="I20:O20"/>
    <mergeCell ref="P20:V20"/>
    <mergeCell ref="W20:AC20"/>
    <mergeCell ref="AD20:AJ20"/>
    <mergeCell ref="AK20:AQ20"/>
    <mergeCell ref="I23:O23"/>
    <mergeCell ref="P23:V23"/>
    <mergeCell ref="W23:AC23"/>
    <mergeCell ref="AD23:AJ23"/>
    <mergeCell ref="AK23:AQ23"/>
    <mergeCell ref="I22:O22"/>
    <mergeCell ref="P22:V22"/>
    <mergeCell ref="W22:AC22"/>
    <mergeCell ref="AD22:AJ22"/>
    <mergeCell ref="AK22:AQ22"/>
    <mergeCell ref="F33:O33"/>
    <mergeCell ref="W33:AG33"/>
    <mergeCell ref="AK33:AX33"/>
    <mergeCell ref="H26:AS26"/>
    <mergeCell ref="H27:AS27"/>
    <mergeCell ref="H28:AS28"/>
    <mergeCell ref="F31:O31"/>
    <mergeCell ref="S31:AG31"/>
    <mergeCell ref="AK31:AX32"/>
    <mergeCell ref="F32:O32"/>
    <mergeCell ref="S32:AG32"/>
  </mergeCells>
  <dataValidations count="2">
    <dataValidation type="whole" allowBlank="1" showInputMessage="1" showErrorMessage="1" errorTitle="GSHSP SY 2022-2023" error="Please enter valid number between 0-20,000." sqref="P10:AQ12" xr:uid="{61786F78-17B9-464C-AAEE-6DAC3486C5B9}">
      <formula1>0</formula1>
      <formula2>20000</formula2>
    </dataValidation>
    <dataValidation type="whole" allowBlank="1" showInputMessage="1" showErrorMessage="1" errorTitle="GSHSP SY 2022-2023" error="Please enter valid number between 0-999." sqref="P20:AQ22" xr:uid="{3AD96CCA-E51C-4E15-8980-86579E3F4C95}">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74" orientation="landscape" r:id="rId2"/>
  <headerFooter>
    <oddFooter>&amp;L&amp;10&amp;F &amp;A&amp;R&amp;10Page 32 of 61</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67939-5C07-4D12-85A1-40CD53C3AE53}">
  <sheetPr codeName="Sheet36">
    <tabColor rgb="FFFFFF00"/>
    <pageSetUpPr fitToPage="1"/>
  </sheetPr>
  <dimension ref="A1:BL56"/>
  <sheetViews>
    <sheetView showGridLines="0" topLeftCell="C1" zoomScaleNormal="100" workbookViewId="0">
      <selection activeCell="AG49" sqref="AG49"/>
    </sheetView>
  </sheetViews>
  <sheetFormatPr defaultColWidth="9" defaultRowHeight="15.75"/>
  <cols>
    <col min="1" max="1" width="2.125" style="44" customWidth="1"/>
    <col min="2" max="50" width="3.625" style="44" customWidth="1"/>
    <col min="51" max="51" width="2.125" style="44" customWidth="1"/>
    <col min="52" max="59" width="3.625" style="44" customWidth="1"/>
    <col min="60" max="16384" width="9" style="44"/>
  </cols>
  <sheetData>
    <row r="1" spans="1:64"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c r="AY1" s="434"/>
      <c r="AZ1" s="434"/>
      <c r="BA1" s="434"/>
      <c r="BB1" s="434"/>
      <c r="BC1" s="434"/>
      <c r="BD1" s="434"/>
      <c r="BE1" s="434"/>
      <c r="BF1" s="434"/>
      <c r="BG1" s="434"/>
      <c r="BH1" s="434"/>
    </row>
    <row r="2" spans="1:64">
      <c r="A2" s="434"/>
      <c r="B2" s="434"/>
      <c r="C2" s="434"/>
      <c r="D2" s="434"/>
      <c r="E2" s="434"/>
      <c r="F2" s="434"/>
      <c r="G2" s="611" t="s">
        <v>11418</v>
      </c>
      <c r="H2" s="611"/>
      <c r="I2" s="611"/>
      <c r="J2" s="611"/>
      <c r="K2" s="611"/>
      <c r="L2" s="611"/>
      <c r="M2" s="611"/>
      <c r="N2" s="611"/>
      <c r="O2" s="611"/>
      <c r="P2" s="611"/>
      <c r="Q2" s="612"/>
      <c r="R2" s="612"/>
      <c r="S2" s="612"/>
      <c r="T2" s="612"/>
      <c r="U2" s="612"/>
      <c r="V2" s="612"/>
      <c r="W2" s="612"/>
      <c r="X2" s="612"/>
      <c r="Y2" s="612"/>
      <c r="Z2" s="612"/>
      <c r="AA2" s="612"/>
      <c r="AB2" s="612"/>
      <c r="AC2" s="612"/>
      <c r="AD2" s="612"/>
      <c r="AE2" s="612"/>
      <c r="AF2" s="612"/>
      <c r="AG2" s="612"/>
      <c r="AH2" s="612"/>
      <c r="AI2" s="612"/>
      <c r="AJ2" s="612"/>
      <c r="AK2" s="612"/>
      <c r="AL2" s="612"/>
      <c r="AM2" s="612"/>
      <c r="AN2" s="612"/>
      <c r="AO2" s="612"/>
      <c r="AP2" s="612"/>
      <c r="AQ2" s="611"/>
      <c r="AR2" s="434"/>
      <c r="AS2" s="434"/>
      <c r="AT2" s="434"/>
      <c r="AU2" s="434"/>
      <c r="AV2" s="434"/>
      <c r="AW2" s="434"/>
      <c r="AX2" s="434"/>
      <c r="AY2" s="434"/>
      <c r="AZ2" s="434"/>
      <c r="BA2" s="434"/>
      <c r="BB2" s="434"/>
      <c r="BC2" s="434"/>
      <c r="BD2" s="434"/>
      <c r="BE2" s="434"/>
      <c r="BF2" s="434"/>
      <c r="BG2" s="434"/>
      <c r="BH2" s="434"/>
    </row>
    <row r="3" spans="1:64" s="40" customFormat="1" ht="16.5" thickBot="1">
      <c r="A3" s="582"/>
      <c r="B3" s="582"/>
      <c r="C3" s="582"/>
      <c r="D3" s="582"/>
      <c r="E3" s="582"/>
      <c r="F3" s="582"/>
      <c r="G3" s="583" t="s">
        <v>1017</v>
      </c>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c r="BB3" s="582"/>
      <c r="BC3" s="582"/>
      <c r="BD3" s="582"/>
      <c r="BE3" s="582"/>
      <c r="BF3" s="582"/>
      <c r="BG3" s="582"/>
      <c r="BH3" s="582"/>
    </row>
    <row r="4" spans="1:64" ht="5.25" customHeight="1">
      <c r="A4" s="434"/>
      <c r="B4" s="434"/>
      <c r="C4" s="434"/>
      <c r="D4" s="434"/>
      <c r="E4" s="434"/>
      <c r="F4" s="434"/>
      <c r="G4" s="648"/>
      <c r="H4" s="650"/>
      <c r="I4" s="984"/>
      <c r="J4" s="985"/>
      <c r="K4" s="985"/>
      <c r="L4" s="985"/>
      <c r="M4" s="985"/>
      <c r="N4" s="985"/>
      <c r="O4" s="985"/>
      <c r="P4" s="985"/>
      <c r="Q4" s="985"/>
      <c r="R4" s="985"/>
      <c r="S4" s="985"/>
      <c r="T4" s="685"/>
      <c r="U4" s="685"/>
      <c r="V4" s="685"/>
      <c r="W4" s="685"/>
      <c r="X4" s="685"/>
      <c r="Y4" s="685"/>
      <c r="Z4" s="586"/>
      <c r="AA4" s="986"/>
      <c r="AB4" s="986"/>
      <c r="AC4" s="986"/>
      <c r="AD4" s="986"/>
      <c r="AE4" s="986"/>
      <c r="AF4" s="986"/>
      <c r="AG4" s="685"/>
      <c r="AH4" s="685"/>
      <c r="AI4" s="685"/>
      <c r="AJ4" s="685"/>
      <c r="AK4" s="685"/>
      <c r="AL4" s="685"/>
      <c r="AM4" s="685"/>
      <c r="AN4" s="685"/>
      <c r="AO4" s="685"/>
      <c r="AP4" s="685"/>
      <c r="AQ4" s="685"/>
      <c r="AR4" s="685"/>
      <c r="AS4" s="987"/>
      <c r="AT4" s="434"/>
      <c r="AU4" s="434"/>
      <c r="AV4" s="434"/>
      <c r="AW4" s="434"/>
      <c r="AX4" s="434"/>
      <c r="AY4" s="434"/>
      <c r="AZ4" s="434"/>
      <c r="BA4" s="434"/>
      <c r="BB4" s="434"/>
      <c r="BC4" s="593"/>
      <c r="BD4" s="593"/>
      <c r="BE4" s="593"/>
      <c r="BF4" s="593"/>
      <c r="BG4" s="434"/>
      <c r="BH4" s="434"/>
    </row>
    <row r="5" spans="1:64" ht="24.95" customHeight="1">
      <c r="A5" s="434"/>
      <c r="B5" s="434"/>
      <c r="C5" s="434"/>
      <c r="D5" s="434"/>
      <c r="E5" s="434"/>
      <c r="F5" s="434"/>
      <c r="G5" s="988"/>
      <c r="H5" s="1048" t="s">
        <v>47</v>
      </c>
      <c r="I5" s="989" t="s">
        <v>634</v>
      </c>
      <c r="J5" s="989"/>
      <c r="K5" s="998"/>
      <c r="L5" s="998"/>
      <c r="M5" s="998"/>
      <c r="N5" s="998"/>
      <c r="O5" s="998"/>
      <c r="P5" s="998"/>
      <c r="Q5" s="998"/>
      <c r="R5" s="998"/>
      <c r="S5" s="998"/>
      <c r="T5" s="861"/>
      <c r="U5" s="593"/>
      <c r="V5" s="593"/>
      <c r="W5" s="593"/>
      <c r="X5" s="593"/>
      <c r="Y5" s="593"/>
      <c r="Z5" s="999"/>
      <c r="AA5" s="861"/>
      <c r="AB5" s="861"/>
      <c r="AC5" s="861"/>
      <c r="AD5" s="861"/>
      <c r="AE5" s="861"/>
      <c r="AF5" s="861"/>
      <c r="AG5" s="593"/>
      <c r="AH5" s="593"/>
      <c r="AI5" s="593"/>
      <c r="AJ5" s="593"/>
      <c r="AK5" s="593"/>
      <c r="AL5" s="593"/>
      <c r="AM5" s="593"/>
      <c r="AN5" s="593"/>
      <c r="AO5" s="593"/>
      <c r="AP5" s="593"/>
      <c r="AQ5" s="593"/>
      <c r="AR5" s="593"/>
      <c r="AS5" s="691"/>
      <c r="AT5" s="434"/>
      <c r="AU5" s="434"/>
      <c r="AV5" s="434"/>
      <c r="AW5" s="434"/>
      <c r="AX5" s="434"/>
      <c r="AY5" s="434"/>
      <c r="AZ5" s="434"/>
      <c r="BA5" s="434"/>
      <c r="BB5" s="434"/>
      <c r="BC5" s="593"/>
      <c r="BD5" s="593"/>
      <c r="BE5" s="593"/>
      <c r="BF5" s="593"/>
      <c r="BG5" s="434"/>
      <c r="BH5" s="434"/>
    </row>
    <row r="6" spans="1:64" ht="6" customHeight="1" thickBot="1">
      <c r="A6" s="434"/>
      <c r="B6" s="434"/>
      <c r="C6" s="434"/>
      <c r="D6" s="434"/>
      <c r="E6" s="434"/>
      <c r="F6" s="434"/>
      <c r="G6" s="988"/>
      <c r="H6" s="434"/>
      <c r="I6" s="434"/>
      <c r="J6" s="1049"/>
      <c r="K6" s="612"/>
      <c r="L6" s="612"/>
      <c r="M6" s="612"/>
      <c r="N6" s="612"/>
      <c r="O6" s="612"/>
      <c r="P6" s="612"/>
      <c r="Q6" s="612"/>
      <c r="R6" s="612"/>
      <c r="S6" s="612"/>
      <c r="T6" s="861"/>
      <c r="U6" s="434"/>
      <c r="V6" s="861"/>
      <c r="W6" s="960"/>
      <c r="X6" s="593"/>
      <c r="Y6" s="434"/>
      <c r="Z6" s="434"/>
      <c r="AA6" s="861"/>
      <c r="AB6" s="960"/>
      <c r="AC6" s="593"/>
      <c r="AD6" s="593"/>
      <c r="AE6" s="593"/>
      <c r="AF6" s="593"/>
      <c r="AG6" s="593"/>
      <c r="AH6" s="593"/>
      <c r="AI6" s="434"/>
      <c r="AJ6" s="861"/>
      <c r="AK6" s="861"/>
      <c r="AL6" s="861"/>
      <c r="AM6" s="861"/>
      <c r="AN6" s="861"/>
      <c r="AO6" s="861"/>
      <c r="AP6" s="861"/>
      <c r="AQ6" s="861"/>
      <c r="AR6" s="861"/>
      <c r="AS6" s="991"/>
      <c r="AT6" s="434"/>
      <c r="AU6" s="434"/>
      <c r="AV6" s="434"/>
      <c r="AW6" s="434"/>
      <c r="AX6" s="434"/>
      <c r="AY6" s="434"/>
      <c r="AZ6" s="434"/>
      <c r="BA6" s="434"/>
      <c r="BB6" s="434"/>
      <c r="BC6" s="593"/>
      <c r="BD6" s="593"/>
      <c r="BE6" s="593"/>
      <c r="BF6" s="593"/>
      <c r="BG6" s="434"/>
      <c r="BH6" s="434"/>
    </row>
    <row r="7" spans="1:64" ht="20.25">
      <c r="A7" s="434"/>
      <c r="B7" s="434"/>
      <c r="C7" s="434"/>
      <c r="D7" s="434"/>
      <c r="E7" s="434"/>
      <c r="F7" s="997"/>
      <c r="G7" s="988"/>
      <c r="H7" s="434"/>
      <c r="I7" s="3401" t="s">
        <v>281</v>
      </c>
      <c r="J7" s="3402"/>
      <c r="K7" s="3402"/>
      <c r="L7" s="3402"/>
      <c r="M7" s="3403"/>
      <c r="N7" s="3321" t="s">
        <v>635</v>
      </c>
      <c r="O7" s="3322"/>
      <c r="P7" s="3322"/>
      <c r="Q7" s="3322"/>
      <c r="R7" s="3322"/>
      <c r="S7" s="3323"/>
      <c r="T7" s="3321" t="s">
        <v>636</v>
      </c>
      <c r="U7" s="3322"/>
      <c r="V7" s="3322"/>
      <c r="W7" s="3322"/>
      <c r="X7" s="3322"/>
      <c r="Y7" s="3323"/>
      <c r="Z7" s="3330" t="s">
        <v>639</v>
      </c>
      <c r="AA7" s="3331"/>
      <c r="AB7" s="3331"/>
      <c r="AC7" s="3331"/>
      <c r="AD7" s="3331"/>
      <c r="AE7" s="3331"/>
      <c r="AF7" s="3331"/>
      <c r="AG7" s="3331"/>
      <c r="AH7" s="3331"/>
      <c r="AI7" s="3331"/>
      <c r="AJ7" s="3331"/>
      <c r="AK7" s="3332"/>
      <c r="AL7" s="3321" t="s">
        <v>637</v>
      </c>
      <c r="AM7" s="3322"/>
      <c r="AN7" s="3322"/>
      <c r="AO7" s="3322"/>
      <c r="AP7" s="3322"/>
      <c r="AQ7" s="3323"/>
      <c r="AR7" s="1028"/>
      <c r="AS7" s="1072"/>
      <c r="AT7" s="1073"/>
      <c r="AU7" s="1074"/>
      <c r="AV7" s="861"/>
      <c r="AW7" s="861"/>
      <c r="AX7" s="861"/>
      <c r="AY7" s="861"/>
      <c r="AZ7" s="434"/>
      <c r="BA7" s="434"/>
      <c r="BB7" s="434"/>
      <c r="BC7" s="434"/>
      <c r="BD7" s="434"/>
      <c r="BE7" s="434"/>
      <c r="BF7" s="434"/>
      <c r="BG7" s="434"/>
      <c r="BH7" s="434"/>
      <c r="BI7" s="41"/>
      <c r="BJ7" s="41"/>
      <c r="BK7" s="41"/>
      <c r="BL7" s="41"/>
    </row>
    <row r="8" spans="1:64" ht="21" thickBot="1">
      <c r="A8" s="434"/>
      <c r="B8" s="434"/>
      <c r="C8" s="434"/>
      <c r="D8" s="434"/>
      <c r="E8" s="434"/>
      <c r="F8" s="997"/>
      <c r="G8" s="988"/>
      <c r="H8" s="434"/>
      <c r="I8" s="3299"/>
      <c r="J8" s="3297"/>
      <c r="K8" s="3297"/>
      <c r="L8" s="3297"/>
      <c r="M8" s="3298"/>
      <c r="N8" s="3327"/>
      <c r="O8" s="3328"/>
      <c r="P8" s="3328"/>
      <c r="Q8" s="3328"/>
      <c r="R8" s="3328"/>
      <c r="S8" s="3329"/>
      <c r="T8" s="3327"/>
      <c r="U8" s="3328"/>
      <c r="V8" s="3328"/>
      <c r="W8" s="3328"/>
      <c r="X8" s="3328"/>
      <c r="Y8" s="3329"/>
      <c r="Z8" s="3266" t="s">
        <v>993</v>
      </c>
      <c r="AA8" s="3267"/>
      <c r="AB8" s="3267"/>
      <c r="AC8" s="3267"/>
      <c r="AD8" s="3267"/>
      <c r="AE8" s="3268"/>
      <c r="AF8" s="3266" t="s">
        <v>994</v>
      </c>
      <c r="AG8" s="3267"/>
      <c r="AH8" s="3267"/>
      <c r="AI8" s="3267"/>
      <c r="AJ8" s="3267"/>
      <c r="AK8" s="3268"/>
      <c r="AL8" s="3327"/>
      <c r="AM8" s="3328"/>
      <c r="AN8" s="3328"/>
      <c r="AO8" s="3328"/>
      <c r="AP8" s="3328"/>
      <c r="AQ8" s="3329"/>
      <c r="AR8" s="1028"/>
      <c r="AS8" s="1072"/>
      <c r="AT8" s="1073"/>
      <c r="AU8" s="1074"/>
      <c r="AV8" s="861"/>
      <c r="AW8" s="861"/>
      <c r="AX8" s="861"/>
      <c r="AY8" s="861"/>
      <c r="AZ8" s="434"/>
      <c r="BA8" s="434"/>
      <c r="BB8" s="434"/>
      <c r="BC8" s="434"/>
      <c r="BD8" s="434"/>
      <c r="BE8" s="434"/>
      <c r="BF8" s="434"/>
      <c r="BG8" s="434"/>
      <c r="BH8" s="434"/>
      <c r="BI8" s="41"/>
      <c r="BJ8" s="41"/>
      <c r="BK8" s="41"/>
      <c r="BL8" s="41"/>
    </row>
    <row r="9" spans="1:64" ht="25.5" customHeight="1">
      <c r="A9" s="434"/>
      <c r="B9" s="434"/>
      <c r="C9" s="434"/>
      <c r="D9" s="434"/>
      <c r="E9" s="434"/>
      <c r="F9" s="997"/>
      <c r="G9" s="988"/>
      <c r="H9" s="434"/>
      <c r="I9" s="1052"/>
      <c r="J9" s="1053" t="s">
        <v>43</v>
      </c>
      <c r="K9" s="1053"/>
      <c r="L9" s="1053"/>
      <c r="M9" s="1054"/>
      <c r="N9" s="3355">
        <v>0</v>
      </c>
      <c r="O9" s="3356"/>
      <c r="P9" s="3356"/>
      <c r="Q9" s="3356"/>
      <c r="R9" s="3356"/>
      <c r="S9" s="3357"/>
      <c r="T9" s="3355">
        <v>2</v>
      </c>
      <c r="U9" s="3356"/>
      <c r="V9" s="3356"/>
      <c r="W9" s="3356"/>
      <c r="X9" s="3356"/>
      <c r="Y9" s="3357"/>
      <c r="Z9" s="3355">
        <v>0</v>
      </c>
      <c r="AA9" s="3356"/>
      <c r="AB9" s="3356"/>
      <c r="AC9" s="3356"/>
      <c r="AD9" s="3356"/>
      <c r="AE9" s="3357"/>
      <c r="AF9" s="3355">
        <v>0</v>
      </c>
      <c r="AG9" s="3356"/>
      <c r="AH9" s="3356"/>
      <c r="AI9" s="3356"/>
      <c r="AJ9" s="3356"/>
      <c r="AK9" s="3357"/>
      <c r="AL9" s="3355">
        <v>0</v>
      </c>
      <c r="AM9" s="3356"/>
      <c r="AN9" s="3356"/>
      <c r="AO9" s="3356"/>
      <c r="AP9" s="3356"/>
      <c r="AQ9" s="3357"/>
      <c r="AR9" s="1075"/>
      <c r="AS9" s="1076"/>
      <c r="AT9" s="623"/>
      <c r="AU9" s="1074"/>
      <c r="AV9" s="861"/>
      <c r="AW9" s="861"/>
      <c r="AX9" s="861"/>
      <c r="AY9" s="861"/>
      <c r="AZ9" s="434"/>
      <c r="BA9" s="434"/>
      <c r="BB9" s="434"/>
      <c r="BC9" s="434"/>
      <c r="BD9" s="434"/>
      <c r="BE9" s="434"/>
      <c r="BF9" s="434"/>
      <c r="BG9" s="434"/>
      <c r="BH9" s="434"/>
      <c r="BI9" s="41"/>
      <c r="BJ9" s="41"/>
      <c r="BK9" s="41"/>
      <c r="BL9" s="41"/>
    </row>
    <row r="10" spans="1:64" ht="25.5" customHeight="1" thickBot="1">
      <c r="A10" s="434"/>
      <c r="B10" s="434"/>
      <c r="C10" s="434"/>
      <c r="D10" s="434"/>
      <c r="E10" s="434"/>
      <c r="F10" s="997"/>
      <c r="G10" s="988"/>
      <c r="H10" s="434"/>
      <c r="I10" s="1082"/>
      <c r="J10" s="1083" t="s">
        <v>44</v>
      </c>
      <c r="K10" s="1083"/>
      <c r="L10" s="1083"/>
      <c r="M10" s="1084"/>
      <c r="N10" s="3398">
        <v>0</v>
      </c>
      <c r="O10" s="3399"/>
      <c r="P10" s="3399"/>
      <c r="Q10" s="3399"/>
      <c r="R10" s="3399"/>
      <c r="S10" s="3400"/>
      <c r="T10" s="3398">
        <v>3</v>
      </c>
      <c r="U10" s="3399"/>
      <c r="V10" s="3399"/>
      <c r="W10" s="3399"/>
      <c r="X10" s="3399"/>
      <c r="Y10" s="3400"/>
      <c r="Z10" s="3398">
        <v>0</v>
      </c>
      <c r="AA10" s="3399"/>
      <c r="AB10" s="3399"/>
      <c r="AC10" s="3399"/>
      <c r="AD10" s="3399"/>
      <c r="AE10" s="3400"/>
      <c r="AF10" s="3398">
        <v>0</v>
      </c>
      <c r="AG10" s="3399"/>
      <c r="AH10" s="3399"/>
      <c r="AI10" s="3399"/>
      <c r="AJ10" s="3399"/>
      <c r="AK10" s="3400"/>
      <c r="AL10" s="3398">
        <v>0</v>
      </c>
      <c r="AM10" s="3399"/>
      <c r="AN10" s="3399"/>
      <c r="AO10" s="3399"/>
      <c r="AP10" s="3399"/>
      <c r="AQ10" s="3400"/>
      <c r="AR10" s="1077"/>
      <c r="AS10" s="1078"/>
      <c r="AT10" s="622"/>
      <c r="AU10" s="1074"/>
      <c r="AV10" s="861"/>
      <c r="AW10" s="861"/>
      <c r="AX10" s="861"/>
      <c r="AY10" s="861"/>
      <c r="AZ10" s="434"/>
      <c r="BA10" s="434"/>
      <c r="BB10" s="434"/>
      <c r="BC10" s="434"/>
      <c r="BD10" s="434"/>
      <c r="BE10" s="434"/>
      <c r="BF10" s="434"/>
      <c r="BG10" s="434"/>
      <c r="BH10" s="434"/>
      <c r="BI10" s="41"/>
      <c r="BJ10" s="41"/>
      <c r="BK10" s="41"/>
      <c r="BL10" s="41"/>
    </row>
    <row r="11" spans="1:64" ht="25.5" customHeight="1" thickTop="1" thickBot="1">
      <c r="A11" s="434"/>
      <c r="B11" s="434"/>
      <c r="C11" s="434"/>
      <c r="D11" s="434"/>
      <c r="E11" s="434"/>
      <c r="F11" s="997"/>
      <c r="G11" s="988"/>
      <c r="H11" s="434"/>
      <c r="I11" s="1059"/>
      <c r="J11" s="1060" t="s">
        <v>42</v>
      </c>
      <c r="K11" s="1060"/>
      <c r="L11" s="1060"/>
      <c r="M11" s="1061"/>
      <c r="N11" s="3281">
        <f>SUM(N9:S10)</f>
        <v>0</v>
      </c>
      <c r="O11" s="3273"/>
      <c r="P11" s="3273"/>
      <c r="Q11" s="3273"/>
      <c r="R11" s="3273"/>
      <c r="S11" s="3277"/>
      <c r="T11" s="3281">
        <f>SUM(T9:Y10)</f>
        <v>5</v>
      </c>
      <c r="U11" s="3273"/>
      <c r="V11" s="3273"/>
      <c r="W11" s="3273"/>
      <c r="X11" s="3273"/>
      <c r="Y11" s="3277"/>
      <c r="Z11" s="3281">
        <f>SUM(Z9:AE10)</f>
        <v>0</v>
      </c>
      <c r="AA11" s="3273"/>
      <c r="AB11" s="3273"/>
      <c r="AC11" s="3273"/>
      <c r="AD11" s="3273"/>
      <c r="AE11" s="3277"/>
      <c r="AF11" s="3281">
        <f>SUM(AF9:AK10)</f>
        <v>0</v>
      </c>
      <c r="AG11" s="3273"/>
      <c r="AH11" s="3273"/>
      <c r="AI11" s="3273"/>
      <c r="AJ11" s="3273"/>
      <c r="AK11" s="3277"/>
      <c r="AL11" s="3281">
        <f>SUM(AL9:AQ10)</f>
        <v>0</v>
      </c>
      <c r="AM11" s="3273"/>
      <c r="AN11" s="3273"/>
      <c r="AO11" s="3273"/>
      <c r="AP11" s="3273"/>
      <c r="AQ11" s="3277"/>
      <c r="AR11" s="1077"/>
      <c r="AS11" s="1078"/>
      <c r="AT11" s="622"/>
      <c r="AU11" s="1074"/>
      <c r="AV11" s="861"/>
      <c r="AW11" s="861"/>
      <c r="AX11" s="861"/>
      <c r="AY11" s="861"/>
      <c r="AZ11" s="434"/>
      <c r="BA11" s="434"/>
      <c r="BB11" s="434"/>
      <c r="BC11" s="434"/>
      <c r="BD11" s="434"/>
      <c r="BE11" s="434"/>
      <c r="BF11" s="434"/>
      <c r="BG11" s="434"/>
      <c r="BH11" s="434"/>
      <c r="BI11" s="41"/>
      <c r="BJ11" s="41"/>
      <c r="BK11" s="41"/>
      <c r="BL11" s="41"/>
    </row>
    <row r="12" spans="1:64" ht="6" customHeight="1">
      <c r="A12" s="434"/>
      <c r="B12" s="434"/>
      <c r="C12" s="434"/>
      <c r="D12" s="434"/>
      <c r="E12" s="434"/>
      <c r="F12" s="997"/>
      <c r="G12" s="988"/>
      <c r="H12" s="434"/>
      <c r="I12" s="653"/>
      <c r="J12" s="653"/>
      <c r="K12" s="653"/>
      <c r="L12" s="653"/>
      <c r="M12" s="653"/>
      <c r="N12" s="653"/>
      <c r="O12" s="653"/>
      <c r="P12" s="1077"/>
      <c r="Q12" s="1077"/>
      <c r="R12" s="1077"/>
      <c r="S12" s="1077"/>
      <c r="T12" s="1077"/>
      <c r="U12" s="1077"/>
      <c r="V12" s="1077"/>
      <c r="W12" s="1077"/>
      <c r="X12" s="1077"/>
      <c r="Y12" s="1077"/>
      <c r="Z12" s="1077"/>
      <c r="AA12" s="1077"/>
      <c r="AB12" s="1077"/>
      <c r="AC12" s="1077"/>
      <c r="AD12" s="1077"/>
      <c r="AE12" s="1077"/>
      <c r="AF12" s="1077"/>
      <c r="AG12" s="1077"/>
      <c r="AH12" s="1077"/>
      <c r="AI12" s="1077"/>
      <c r="AJ12" s="1077"/>
      <c r="AK12" s="1077"/>
      <c r="AL12" s="1077"/>
      <c r="AM12" s="1077"/>
      <c r="AN12" s="1077"/>
      <c r="AO12" s="1077"/>
      <c r="AP12" s="1077"/>
      <c r="AQ12" s="1077"/>
      <c r="AR12" s="1077"/>
      <c r="AS12" s="1078"/>
      <c r="AT12" s="622"/>
      <c r="AU12" s="1074"/>
      <c r="AV12" s="861"/>
      <c r="AW12" s="861"/>
      <c r="AX12" s="861"/>
      <c r="AY12" s="861"/>
      <c r="AZ12" s="434"/>
      <c r="BA12" s="434"/>
      <c r="BB12" s="434"/>
      <c r="BC12" s="434"/>
      <c r="BD12" s="434"/>
      <c r="BE12" s="434"/>
      <c r="BF12" s="434"/>
      <c r="BG12" s="434"/>
      <c r="BH12" s="434"/>
      <c r="BI12" s="41"/>
      <c r="BJ12" s="41"/>
      <c r="BK12" s="41"/>
      <c r="BL12" s="41"/>
    </row>
    <row r="13" spans="1:64" ht="24.95" customHeight="1">
      <c r="A13" s="434"/>
      <c r="B13" s="434"/>
      <c r="C13" s="434"/>
      <c r="D13" s="434"/>
      <c r="E13" s="434"/>
      <c r="F13" s="434"/>
      <c r="G13" s="988"/>
      <c r="H13" s="1048" t="s">
        <v>48</v>
      </c>
      <c r="I13" s="989" t="s">
        <v>638</v>
      </c>
      <c r="J13" s="989"/>
      <c r="K13" s="998"/>
      <c r="L13" s="998"/>
      <c r="M13" s="998"/>
      <c r="N13" s="998"/>
      <c r="O13" s="998"/>
      <c r="P13" s="998"/>
      <c r="Q13" s="998"/>
      <c r="R13" s="998"/>
      <c r="S13" s="998"/>
      <c r="T13" s="861"/>
      <c r="U13" s="593"/>
      <c r="V13" s="593"/>
      <c r="W13" s="593"/>
      <c r="X13" s="593"/>
      <c r="Y13" s="593"/>
      <c r="Z13" s="999"/>
      <c r="AA13" s="861"/>
      <c r="AB13" s="861"/>
      <c r="AC13" s="861"/>
      <c r="AD13" s="861"/>
      <c r="AE13" s="861"/>
      <c r="AF13" s="861"/>
      <c r="AG13" s="593"/>
      <c r="AH13" s="593"/>
      <c r="AI13" s="593"/>
      <c r="AJ13" s="593"/>
      <c r="AK13" s="593"/>
      <c r="AL13" s="593"/>
      <c r="AM13" s="593"/>
      <c r="AN13" s="593"/>
      <c r="AO13" s="593"/>
      <c r="AP13" s="593"/>
      <c r="AQ13" s="593"/>
      <c r="AR13" s="593"/>
      <c r="AS13" s="691"/>
      <c r="AT13" s="434"/>
      <c r="AU13" s="434"/>
      <c r="AV13" s="434"/>
      <c r="AW13" s="434"/>
      <c r="AX13" s="434"/>
      <c r="AY13" s="434"/>
      <c r="AZ13" s="434"/>
      <c r="BA13" s="434"/>
      <c r="BB13" s="434"/>
      <c r="BC13" s="593"/>
      <c r="BD13" s="593"/>
      <c r="BE13" s="593"/>
      <c r="BF13" s="593"/>
      <c r="BG13" s="434"/>
      <c r="BH13" s="434"/>
    </row>
    <row r="14" spans="1:64" ht="6" customHeight="1" thickBot="1">
      <c r="A14" s="434"/>
      <c r="B14" s="434"/>
      <c r="C14" s="434"/>
      <c r="D14" s="434"/>
      <c r="E14" s="434"/>
      <c r="F14" s="434"/>
      <c r="G14" s="988"/>
      <c r="H14" s="434"/>
      <c r="I14" s="434"/>
      <c r="J14" s="1049"/>
      <c r="K14" s="612"/>
      <c r="L14" s="612"/>
      <c r="M14" s="612"/>
      <c r="N14" s="612"/>
      <c r="O14" s="612"/>
      <c r="P14" s="612"/>
      <c r="Q14" s="612"/>
      <c r="R14" s="612"/>
      <c r="S14" s="612"/>
      <c r="T14" s="861"/>
      <c r="U14" s="434"/>
      <c r="V14" s="861"/>
      <c r="W14" s="960"/>
      <c r="X14" s="593"/>
      <c r="Y14" s="434"/>
      <c r="Z14" s="434"/>
      <c r="AA14" s="861"/>
      <c r="AB14" s="960"/>
      <c r="AC14" s="593"/>
      <c r="AD14" s="593"/>
      <c r="AE14" s="593"/>
      <c r="AF14" s="593"/>
      <c r="AG14" s="593"/>
      <c r="AH14" s="593"/>
      <c r="AI14" s="434"/>
      <c r="AJ14" s="861"/>
      <c r="AK14" s="861"/>
      <c r="AL14" s="861"/>
      <c r="AM14" s="861"/>
      <c r="AN14" s="861"/>
      <c r="AO14" s="861"/>
      <c r="AP14" s="861"/>
      <c r="AQ14" s="861"/>
      <c r="AR14" s="861"/>
      <c r="AS14" s="991"/>
      <c r="AT14" s="434"/>
      <c r="AU14" s="434"/>
      <c r="AV14" s="434"/>
      <c r="AW14" s="434"/>
      <c r="AX14" s="434"/>
      <c r="AY14" s="434"/>
      <c r="AZ14" s="434"/>
      <c r="BA14" s="434"/>
      <c r="BB14" s="434"/>
      <c r="BC14" s="593"/>
      <c r="BD14" s="593"/>
      <c r="BE14" s="593"/>
      <c r="BF14" s="593"/>
      <c r="BG14" s="434"/>
      <c r="BH14" s="434"/>
    </row>
    <row r="15" spans="1:64" ht="20.25">
      <c r="A15" s="434"/>
      <c r="B15" s="434"/>
      <c r="C15" s="434"/>
      <c r="D15" s="434"/>
      <c r="E15" s="434"/>
      <c r="F15" s="997"/>
      <c r="G15" s="988"/>
      <c r="H15" s="434"/>
      <c r="I15" s="3401" t="s">
        <v>281</v>
      </c>
      <c r="J15" s="3402"/>
      <c r="K15" s="3402"/>
      <c r="L15" s="3402"/>
      <c r="M15" s="3403"/>
      <c r="N15" s="3321" t="s">
        <v>635</v>
      </c>
      <c r="O15" s="3322"/>
      <c r="P15" s="3322"/>
      <c r="Q15" s="3322"/>
      <c r="R15" s="3322"/>
      <c r="S15" s="3323"/>
      <c r="T15" s="3321" t="s">
        <v>636</v>
      </c>
      <c r="U15" s="3322"/>
      <c r="V15" s="3322"/>
      <c r="W15" s="3322"/>
      <c r="X15" s="3322"/>
      <c r="Y15" s="3323"/>
      <c r="Z15" s="3330" t="s">
        <v>639</v>
      </c>
      <c r="AA15" s="3331"/>
      <c r="AB15" s="3331"/>
      <c r="AC15" s="3331"/>
      <c r="AD15" s="3331"/>
      <c r="AE15" s="3331"/>
      <c r="AF15" s="3331"/>
      <c r="AG15" s="3331"/>
      <c r="AH15" s="3331"/>
      <c r="AI15" s="3331"/>
      <c r="AJ15" s="3331"/>
      <c r="AK15" s="3332"/>
      <c r="AL15" s="3321" t="s">
        <v>637</v>
      </c>
      <c r="AM15" s="3322"/>
      <c r="AN15" s="3322"/>
      <c r="AO15" s="3322"/>
      <c r="AP15" s="3322"/>
      <c r="AQ15" s="3323"/>
      <c r="AR15" s="1028"/>
      <c r="AS15" s="1072"/>
      <c r="AT15" s="1073"/>
      <c r="AU15" s="1074"/>
      <c r="AV15" s="861"/>
      <c r="AW15" s="861"/>
      <c r="AX15" s="861"/>
      <c r="AY15" s="861"/>
      <c r="AZ15" s="434"/>
      <c r="BA15" s="434"/>
      <c r="BB15" s="434"/>
      <c r="BC15" s="434"/>
      <c r="BD15" s="434"/>
      <c r="BE15" s="434"/>
      <c r="BF15" s="434"/>
      <c r="BG15" s="434"/>
      <c r="BH15" s="434"/>
      <c r="BI15" s="41"/>
      <c r="BJ15" s="41"/>
      <c r="BK15" s="41"/>
      <c r="BL15" s="41"/>
    </row>
    <row r="16" spans="1:64" ht="21" thickBot="1">
      <c r="A16" s="434"/>
      <c r="B16" s="434"/>
      <c r="C16" s="434"/>
      <c r="D16" s="434"/>
      <c r="E16" s="434"/>
      <c r="F16" s="997"/>
      <c r="G16" s="988"/>
      <c r="H16" s="434"/>
      <c r="I16" s="3299"/>
      <c r="J16" s="3297"/>
      <c r="K16" s="3297"/>
      <c r="L16" s="3297"/>
      <c r="M16" s="3298"/>
      <c r="N16" s="3327"/>
      <c r="O16" s="3328"/>
      <c r="P16" s="3328"/>
      <c r="Q16" s="3328"/>
      <c r="R16" s="3328"/>
      <c r="S16" s="3329"/>
      <c r="T16" s="3327"/>
      <c r="U16" s="3328"/>
      <c r="V16" s="3328"/>
      <c r="W16" s="3328"/>
      <c r="X16" s="3328"/>
      <c r="Y16" s="3329"/>
      <c r="Z16" s="3266" t="s">
        <v>993</v>
      </c>
      <c r="AA16" s="3267"/>
      <c r="AB16" s="3267"/>
      <c r="AC16" s="3267"/>
      <c r="AD16" s="3267"/>
      <c r="AE16" s="3268"/>
      <c r="AF16" s="3266" t="s">
        <v>994</v>
      </c>
      <c r="AG16" s="3267"/>
      <c r="AH16" s="3267"/>
      <c r="AI16" s="3267"/>
      <c r="AJ16" s="3267"/>
      <c r="AK16" s="3268"/>
      <c r="AL16" s="3327"/>
      <c r="AM16" s="3328"/>
      <c r="AN16" s="3328"/>
      <c r="AO16" s="3328"/>
      <c r="AP16" s="3328"/>
      <c r="AQ16" s="3329"/>
      <c r="AR16" s="1028"/>
      <c r="AS16" s="1072"/>
      <c r="AT16" s="1073"/>
      <c r="AU16" s="1074"/>
      <c r="AV16" s="861"/>
      <c r="AW16" s="861"/>
      <c r="AX16" s="861"/>
      <c r="AY16" s="861"/>
      <c r="AZ16" s="434"/>
      <c r="BA16" s="434"/>
      <c r="BB16" s="434"/>
      <c r="BC16" s="434"/>
      <c r="BD16" s="434"/>
      <c r="BE16" s="434"/>
      <c r="BF16" s="434"/>
      <c r="BG16" s="434"/>
      <c r="BH16" s="434"/>
      <c r="BI16" s="41"/>
      <c r="BJ16" s="41"/>
      <c r="BK16" s="41"/>
      <c r="BL16" s="41"/>
    </row>
    <row r="17" spans="1:64" ht="25.5" customHeight="1">
      <c r="A17" s="434"/>
      <c r="B17" s="434"/>
      <c r="C17" s="434"/>
      <c r="D17" s="434"/>
      <c r="E17" s="434"/>
      <c r="F17" s="997"/>
      <c r="G17" s="988"/>
      <c r="H17" s="434"/>
      <c r="I17" s="1052"/>
      <c r="J17" s="1053" t="s">
        <v>43</v>
      </c>
      <c r="K17" s="1053"/>
      <c r="L17" s="1053"/>
      <c r="M17" s="1054"/>
      <c r="N17" s="3355">
        <v>0</v>
      </c>
      <c r="O17" s="3356"/>
      <c r="P17" s="3356"/>
      <c r="Q17" s="3356"/>
      <c r="R17" s="3356"/>
      <c r="S17" s="3357"/>
      <c r="T17" s="3355">
        <v>0</v>
      </c>
      <c r="U17" s="3356"/>
      <c r="V17" s="3356"/>
      <c r="W17" s="3356"/>
      <c r="X17" s="3356"/>
      <c r="Y17" s="3357"/>
      <c r="Z17" s="3355">
        <v>0</v>
      </c>
      <c r="AA17" s="3356"/>
      <c r="AB17" s="3356"/>
      <c r="AC17" s="3356"/>
      <c r="AD17" s="3356"/>
      <c r="AE17" s="3357"/>
      <c r="AF17" s="3355">
        <v>0</v>
      </c>
      <c r="AG17" s="3356"/>
      <c r="AH17" s="3356"/>
      <c r="AI17" s="3356"/>
      <c r="AJ17" s="3356"/>
      <c r="AK17" s="3357"/>
      <c r="AL17" s="3355">
        <v>0</v>
      </c>
      <c r="AM17" s="3356"/>
      <c r="AN17" s="3356"/>
      <c r="AO17" s="3356"/>
      <c r="AP17" s="3356"/>
      <c r="AQ17" s="3357"/>
      <c r="AR17" s="1075"/>
      <c r="AS17" s="1076"/>
      <c r="AT17" s="623"/>
      <c r="AU17" s="1074"/>
      <c r="AV17" s="861"/>
      <c r="AW17" s="861"/>
      <c r="AX17" s="861"/>
      <c r="AY17" s="861"/>
      <c r="AZ17" s="434"/>
      <c r="BA17" s="434"/>
      <c r="BB17" s="434"/>
      <c r="BC17" s="434"/>
      <c r="BD17" s="434"/>
      <c r="BE17" s="434"/>
      <c r="BF17" s="434"/>
      <c r="BG17" s="434"/>
      <c r="BH17" s="434"/>
      <c r="BI17" s="41"/>
      <c r="BJ17" s="41"/>
      <c r="BK17" s="41"/>
      <c r="BL17" s="41"/>
    </row>
    <row r="18" spans="1:64" ht="25.5" customHeight="1" thickBot="1">
      <c r="A18" s="434"/>
      <c r="B18" s="434"/>
      <c r="C18" s="434"/>
      <c r="D18" s="434"/>
      <c r="E18" s="434"/>
      <c r="F18" s="997"/>
      <c r="G18" s="988"/>
      <c r="H18" s="434"/>
      <c r="I18" s="1082"/>
      <c r="J18" s="1083" t="s">
        <v>44</v>
      </c>
      <c r="K18" s="1083"/>
      <c r="L18" s="1083"/>
      <c r="M18" s="1084"/>
      <c r="N18" s="3398">
        <v>0</v>
      </c>
      <c r="O18" s="3399"/>
      <c r="P18" s="3399"/>
      <c r="Q18" s="3399"/>
      <c r="R18" s="3399"/>
      <c r="S18" s="3400"/>
      <c r="T18" s="3398">
        <v>1</v>
      </c>
      <c r="U18" s="3399"/>
      <c r="V18" s="3399"/>
      <c r="W18" s="3399"/>
      <c r="X18" s="3399"/>
      <c r="Y18" s="3400"/>
      <c r="Z18" s="3398">
        <v>0</v>
      </c>
      <c r="AA18" s="3399"/>
      <c r="AB18" s="3399"/>
      <c r="AC18" s="3399"/>
      <c r="AD18" s="3399"/>
      <c r="AE18" s="3400"/>
      <c r="AF18" s="3398">
        <v>0</v>
      </c>
      <c r="AG18" s="3399"/>
      <c r="AH18" s="3399"/>
      <c r="AI18" s="3399"/>
      <c r="AJ18" s="3399"/>
      <c r="AK18" s="3400"/>
      <c r="AL18" s="3398">
        <v>0</v>
      </c>
      <c r="AM18" s="3399"/>
      <c r="AN18" s="3399"/>
      <c r="AO18" s="3399"/>
      <c r="AP18" s="3399"/>
      <c r="AQ18" s="3400"/>
      <c r="AR18" s="1077"/>
      <c r="AS18" s="1078"/>
      <c r="AT18" s="622"/>
      <c r="AU18" s="1074"/>
      <c r="AV18" s="861"/>
      <c r="AW18" s="861"/>
      <c r="AX18" s="861"/>
      <c r="AY18" s="861"/>
      <c r="AZ18" s="434"/>
      <c r="BA18" s="434"/>
      <c r="BB18" s="434"/>
      <c r="BC18" s="434"/>
      <c r="BD18" s="434"/>
      <c r="BE18" s="434"/>
      <c r="BF18" s="434"/>
      <c r="BG18" s="434"/>
      <c r="BH18" s="434"/>
      <c r="BI18" s="41"/>
      <c r="BJ18" s="41"/>
      <c r="BK18" s="41"/>
      <c r="BL18" s="41"/>
    </row>
    <row r="19" spans="1:64" ht="25.5" customHeight="1" thickTop="1" thickBot="1">
      <c r="A19" s="434"/>
      <c r="B19" s="434"/>
      <c r="C19" s="434"/>
      <c r="D19" s="434"/>
      <c r="E19" s="434"/>
      <c r="F19" s="997"/>
      <c r="G19" s="988"/>
      <c r="H19" s="434"/>
      <c r="I19" s="1059"/>
      <c r="J19" s="1060" t="s">
        <v>42</v>
      </c>
      <c r="K19" s="1060"/>
      <c r="L19" s="1060"/>
      <c r="M19" s="1061"/>
      <c r="N19" s="3281">
        <f>SUM(N17:S18)</f>
        <v>0</v>
      </c>
      <c r="O19" s="3273"/>
      <c r="P19" s="3273"/>
      <c r="Q19" s="3273"/>
      <c r="R19" s="3273"/>
      <c r="S19" s="3277"/>
      <c r="T19" s="3281">
        <f>SUM(T17:Y18)</f>
        <v>1</v>
      </c>
      <c r="U19" s="3273"/>
      <c r="V19" s="3273"/>
      <c r="W19" s="3273"/>
      <c r="X19" s="3273"/>
      <c r="Y19" s="3277"/>
      <c r="Z19" s="3281">
        <f>SUM(Z17:AE18)</f>
        <v>0</v>
      </c>
      <c r="AA19" s="3273"/>
      <c r="AB19" s="3273"/>
      <c r="AC19" s="3273"/>
      <c r="AD19" s="3273"/>
      <c r="AE19" s="3277"/>
      <c r="AF19" s="3281">
        <f>SUM(AF17:AK18)</f>
        <v>0</v>
      </c>
      <c r="AG19" s="3273"/>
      <c r="AH19" s="3273"/>
      <c r="AI19" s="3273"/>
      <c r="AJ19" s="3273"/>
      <c r="AK19" s="3277"/>
      <c r="AL19" s="3281">
        <f>SUM(AL17:AQ18)</f>
        <v>0</v>
      </c>
      <c r="AM19" s="3273"/>
      <c r="AN19" s="3273"/>
      <c r="AO19" s="3273"/>
      <c r="AP19" s="3273"/>
      <c r="AQ19" s="3277"/>
      <c r="AR19" s="1077"/>
      <c r="AS19" s="1078"/>
      <c r="AT19" s="622"/>
      <c r="AU19" s="1074"/>
      <c r="AV19" s="861"/>
      <c r="AW19" s="861"/>
      <c r="AX19" s="861"/>
      <c r="AY19" s="861"/>
      <c r="AZ19" s="434"/>
      <c r="BA19" s="434"/>
      <c r="BB19" s="434"/>
      <c r="BC19" s="434"/>
      <c r="BD19" s="434"/>
      <c r="BE19" s="434"/>
      <c r="BF19" s="434"/>
      <c r="BG19" s="434"/>
      <c r="BH19" s="434"/>
      <c r="BI19" s="41"/>
      <c r="BJ19" s="41"/>
      <c r="BK19" s="41"/>
      <c r="BL19" s="41"/>
    </row>
    <row r="20" spans="1:64" ht="6" customHeight="1">
      <c r="A20" s="434"/>
      <c r="B20" s="434"/>
      <c r="C20" s="434"/>
      <c r="D20" s="434"/>
      <c r="E20" s="434"/>
      <c r="F20" s="997"/>
      <c r="G20" s="988"/>
      <c r="H20" s="434"/>
      <c r="I20" s="653"/>
      <c r="J20" s="653"/>
      <c r="K20" s="653"/>
      <c r="L20" s="653"/>
      <c r="M20" s="653"/>
      <c r="N20" s="653"/>
      <c r="O20" s="653"/>
      <c r="P20" s="1077"/>
      <c r="Q20" s="1077"/>
      <c r="R20" s="1077"/>
      <c r="S20" s="1077"/>
      <c r="T20" s="1077"/>
      <c r="U20" s="1077"/>
      <c r="V20" s="1077"/>
      <c r="W20" s="1077"/>
      <c r="X20" s="1077"/>
      <c r="Y20" s="1077"/>
      <c r="Z20" s="1077"/>
      <c r="AA20" s="1077"/>
      <c r="AB20" s="1077"/>
      <c r="AC20" s="1077"/>
      <c r="AD20" s="1077"/>
      <c r="AE20" s="1077"/>
      <c r="AF20" s="1077"/>
      <c r="AG20" s="1077"/>
      <c r="AH20" s="1077"/>
      <c r="AI20" s="1077"/>
      <c r="AJ20" s="1077"/>
      <c r="AK20" s="1077"/>
      <c r="AL20" s="1077"/>
      <c r="AM20" s="1077"/>
      <c r="AN20" s="1077"/>
      <c r="AO20" s="1077"/>
      <c r="AP20" s="1077"/>
      <c r="AQ20" s="1077"/>
      <c r="AR20" s="1077"/>
      <c r="AS20" s="1078"/>
      <c r="AT20" s="622"/>
      <c r="AU20" s="1074"/>
      <c r="AV20" s="861"/>
      <c r="AW20" s="861"/>
      <c r="AX20" s="861"/>
      <c r="AY20" s="861"/>
      <c r="AZ20" s="434"/>
      <c r="BA20" s="434"/>
      <c r="BB20" s="434"/>
      <c r="BC20" s="434"/>
      <c r="BD20" s="434"/>
      <c r="BE20" s="434"/>
      <c r="BF20" s="434"/>
      <c r="BG20" s="434"/>
      <c r="BH20" s="434"/>
      <c r="BI20" s="41"/>
      <c r="BJ20" s="41"/>
      <c r="BK20" s="41"/>
      <c r="BL20" s="41"/>
    </row>
    <row r="21" spans="1:64" ht="24.95" customHeight="1">
      <c r="A21" s="434"/>
      <c r="B21" s="434"/>
      <c r="C21" s="434"/>
      <c r="D21" s="434"/>
      <c r="E21" s="434"/>
      <c r="F21" s="434"/>
      <c r="G21" s="988"/>
      <c r="H21" s="1048" t="s">
        <v>49</v>
      </c>
      <c r="I21" s="989" t="s">
        <v>640</v>
      </c>
      <c r="J21" s="989"/>
      <c r="K21" s="998"/>
      <c r="L21" s="998"/>
      <c r="M21" s="998"/>
      <c r="N21" s="998"/>
      <c r="O21" s="998"/>
      <c r="P21" s="998"/>
      <c r="Q21" s="998"/>
      <c r="R21" s="998"/>
      <c r="S21" s="998"/>
      <c r="T21" s="861"/>
      <c r="U21" s="593"/>
      <c r="V21" s="593"/>
      <c r="W21" s="593"/>
      <c r="X21" s="593"/>
      <c r="Y21" s="593"/>
      <c r="Z21" s="434"/>
      <c r="AA21" s="873" t="b">
        <v>1</v>
      </c>
      <c r="AB21" s="593" t="s">
        <v>484</v>
      </c>
      <c r="AC21" s="593"/>
      <c r="AD21" s="434"/>
      <c r="AE21" s="434"/>
      <c r="AF21" s="873"/>
      <c r="AG21" s="593" t="s">
        <v>485</v>
      </c>
      <c r="AH21" s="593"/>
      <c r="AI21" s="593"/>
      <c r="AJ21" s="593"/>
      <c r="AK21" s="593"/>
      <c r="AL21" s="593"/>
      <c r="AM21" s="593"/>
      <c r="AN21" s="593"/>
      <c r="AO21" s="593"/>
      <c r="AP21" s="593"/>
      <c r="AQ21" s="593"/>
      <c r="AR21" s="593"/>
      <c r="AS21" s="691"/>
      <c r="AT21" s="434"/>
      <c r="AU21" s="434"/>
      <c r="AV21" s="434"/>
      <c r="AW21" s="434"/>
      <c r="AX21" s="434"/>
      <c r="AY21" s="434"/>
      <c r="AZ21" s="434"/>
      <c r="BA21" s="434"/>
      <c r="BB21" s="434"/>
      <c r="BC21" s="593"/>
      <c r="BD21" s="593"/>
      <c r="BE21" s="593"/>
      <c r="BF21" s="593"/>
      <c r="BG21" s="434"/>
      <c r="BH21" s="434"/>
    </row>
    <row r="22" spans="1:64" ht="6" customHeight="1">
      <c r="A22" s="434"/>
      <c r="B22" s="434"/>
      <c r="C22" s="434"/>
      <c r="D22" s="434"/>
      <c r="E22" s="434"/>
      <c r="F22" s="434"/>
      <c r="G22" s="988"/>
      <c r="H22" s="434"/>
      <c r="I22" s="434"/>
      <c r="J22" s="1049"/>
      <c r="K22" s="612"/>
      <c r="L22" s="612"/>
      <c r="M22" s="612"/>
      <c r="N22" s="612"/>
      <c r="O22" s="612"/>
      <c r="P22" s="612"/>
      <c r="Q22" s="612"/>
      <c r="R22" s="612"/>
      <c r="S22" s="612"/>
      <c r="T22" s="861"/>
      <c r="U22" s="434"/>
      <c r="V22" s="861"/>
      <c r="W22" s="960"/>
      <c r="X22" s="593"/>
      <c r="Y22" s="434"/>
      <c r="Z22" s="434"/>
      <c r="AA22" s="861"/>
      <c r="AB22" s="960"/>
      <c r="AC22" s="593"/>
      <c r="AD22" s="593"/>
      <c r="AE22" s="593"/>
      <c r="AF22" s="593"/>
      <c r="AG22" s="593"/>
      <c r="AH22" s="593"/>
      <c r="AI22" s="434"/>
      <c r="AJ22" s="861"/>
      <c r="AK22" s="861"/>
      <c r="AL22" s="861"/>
      <c r="AM22" s="861"/>
      <c r="AN22" s="861"/>
      <c r="AO22" s="861"/>
      <c r="AP22" s="861"/>
      <c r="AQ22" s="861"/>
      <c r="AR22" s="861"/>
      <c r="AS22" s="991"/>
      <c r="AT22" s="434"/>
      <c r="AU22" s="434"/>
      <c r="AV22" s="434"/>
      <c r="AW22" s="434"/>
      <c r="AX22" s="434"/>
      <c r="AY22" s="434"/>
      <c r="AZ22" s="434"/>
      <c r="BA22" s="434"/>
      <c r="BB22" s="434"/>
      <c r="BC22" s="593"/>
      <c r="BD22" s="593"/>
      <c r="BE22" s="593"/>
      <c r="BF22" s="593"/>
      <c r="BG22" s="434"/>
      <c r="BH22" s="434"/>
    </row>
    <row r="23" spans="1:64" ht="24.95" customHeight="1">
      <c r="A23" s="434"/>
      <c r="B23" s="434"/>
      <c r="C23" s="434"/>
      <c r="D23" s="434"/>
      <c r="E23" s="434"/>
      <c r="F23" s="434"/>
      <c r="G23" s="988"/>
      <c r="H23" s="1048" t="s">
        <v>50</v>
      </c>
      <c r="I23" s="989" t="s">
        <v>641</v>
      </c>
      <c r="J23" s="989"/>
      <c r="K23" s="998"/>
      <c r="L23" s="998"/>
      <c r="M23" s="998"/>
      <c r="N23" s="998"/>
      <c r="O23" s="998"/>
      <c r="P23" s="998"/>
      <c r="Q23" s="998"/>
      <c r="R23" s="998"/>
      <c r="S23" s="998"/>
      <c r="T23" s="861"/>
      <c r="U23" s="593"/>
      <c r="V23" s="593"/>
      <c r="W23" s="593"/>
      <c r="X23" s="593"/>
      <c r="Y23" s="593"/>
      <c r="Z23" s="999"/>
      <c r="AA23" s="861"/>
      <c r="AB23" s="861"/>
      <c r="AC23" s="861"/>
      <c r="AD23" s="861"/>
      <c r="AE23" s="861"/>
      <c r="AF23" s="861"/>
      <c r="AG23" s="593"/>
      <c r="AH23" s="593"/>
      <c r="AI23" s="593"/>
      <c r="AJ23" s="593"/>
      <c r="AK23" s="593"/>
      <c r="AL23" s="593"/>
      <c r="AM23" s="593"/>
      <c r="AN23" s="593"/>
      <c r="AO23" s="593"/>
      <c r="AP23" s="593"/>
      <c r="AQ23" s="593"/>
      <c r="AR23" s="593"/>
      <c r="AS23" s="691"/>
      <c r="AT23" s="434"/>
      <c r="AU23" s="434"/>
      <c r="AV23" s="434"/>
      <c r="AW23" s="434"/>
      <c r="AX23" s="434"/>
      <c r="AY23" s="434"/>
      <c r="AZ23" s="434"/>
      <c r="BA23" s="434"/>
      <c r="BB23" s="434"/>
      <c r="BC23" s="593"/>
      <c r="BD23" s="593"/>
      <c r="BE23" s="593"/>
      <c r="BF23" s="593"/>
      <c r="BG23" s="434"/>
      <c r="BH23" s="434"/>
    </row>
    <row r="24" spans="1:64" ht="6" customHeight="1" thickBot="1">
      <c r="A24" s="434"/>
      <c r="B24" s="434"/>
      <c r="C24" s="434"/>
      <c r="D24" s="434"/>
      <c r="E24" s="434"/>
      <c r="F24" s="434"/>
      <c r="G24" s="988"/>
      <c r="H24" s="434"/>
      <c r="I24" s="434"/>
      <c r="J24" s="1049"/>
      <c r="K24" s="612"/>
      <c r="L24" s="612"/>
      <c r="M24" s="612"/>
      <c r="N24" s="612"/>
      <c r="O24" s="612"/>
      <c r="P24" s="612"/>
      <c r="Q24" s="612"/>
      <c r="R24" s="612"/>
      <c r="S24" s="612"/>
      <c r="T24" s="861"/>
      <c r="U24" s="434"/>
      <c r="V24" s="861"/>
      <c r="W24" s="960"/>
      <c r="X24" s="593"/>
      <c r="Y24" s="434"/>
      <c r="Z24" s="434"/>
      <c r="AA24" s="861"/>
      <c r="AB24" s="960"/>
      <c r="AC24" s="593"/>
      <c r="AD24" s="593"/>
      <c r="AE24" s="593"/>
      <c r="AF24" s="593"/>
      <c r="AG24" s="593"/>
      <c r="AH24" s="593"/>
      <c r="AI24" s="434"/>
      <c r="AJ24" s="861"/>
      <c r="AK24" s="861"/>
      <c r="AL24" s="861"/>
      <c r="AM24" s="861"/>
      <c r="AN24" s="861"/>
      <c r="AO24" s="861"/>
      <c r="AP24" s="861"/>
      <c r="AQ24" s="861"/>
      <c r="AR24" s="861"/>
      <c r="AS24" s="991"/>
      <c r="AT24" s="434"/>
      <c r="AU24" s="434"/>
      <c r="AV24" s="434"/>
      <c r="AW24" s="434"/>
      <c r="AX24" s="434"/>
      <c r="AY24" s="434"/>
      <c r="AZ24" s="434"/>
      <c r="BA24" s="434"/>
      <c r="BB24" s="434"/>
      <c r="BC24" s="593"/>
      <c r="BD24" s="593"/>
      <c r="BE24" s="593"/>
      <c r="BF24" s="593"/>
      <c r="BG24" s="434"/>
      <c r="BH24" s="434"/>
    </row>
    <row r="25" spans="1:64" ht="83.45" customHeight="1" thickBot="1">
      <c r="A25" s="434"/>
      <c r="B25" s="434"/>
      <c r="C25" s="434"/>
      <c r="D25" s="434"/>
      <c r="E25" s="434"/>
      <c r="F25" s="997"/>
      <c r="G25" s="988"/>
      <c r="H25" s="434"/>
      <c r="I25" s="3359" t="s">
        <v>281</v>
      </c>
      <c r="J25" s="3360"/>
      <c r="K25" s="3360"/>
      <c r="L25" s="3360"/>
      <c r="M25" s="3361"/>
      <c r="N25" s="3362" t="s">
        <v>642</v>
      </c>
      <c r="O25" s="3363"/>
      <c r="P25" s="3363"/>
      <c r="Q25" s="3363"/>
      <c r="R25" s="3363"/>
      <c r="S25" s="3364"/>
      <c r="T25" s="3362" t="s">
        <v>1002</v>
      </c>
      <c r="U25" s="3363"/>
      <c r="V25" s="3363"/>
      <c r="W25" s="3363"/>
      <c r="X25" s="3363"/>
      <c r="Y25" s="3364"/>
      <c r="Z25" s="3362" t="s">
        <v>643</v>
      </c>
      <c r="AA25" s="3363"/>
      <c r="AB25" s="3363"/>
      <c r="AC25" s="3363"/>
      <c r="AD25" s="3363"/>
      <c r="AE25" s="3364"/>
      <c r="AF25" s="3362" t="s">
        <v>644</v>
      </c>
      <c r="AG25" s="3363"/>
      <c r="AH25" s="3363"/>
      <c r="AI25" s="3363"/>
      <c r="AJ25" s="3363"/>
      <c r="AK25" s="3364"/>
      <c r="AL25" s="3362" t="s">
        <v>645</v>
      </c>
      <c r="AM25" s="3363"/>
      <c r="AN25" s="3363"/>
      <c r="AO25" s="3363"/>
      <c r="AP25" s="3363"/>
      <c r="AQ25" s="3364"/>
      <c r="AR25" s="1028"/>
      <c r="AS25" s="1072"/>
      <c r="AT25" s="1073"/>
      <c r="AU25" s="1074"/>
      <c r="AV25" s="861"/>
      <c r="AW25" s="861"/>
      <c r="AX25" s="861"/>
      <c r="AY25" s="861"/>
      <c r="AZ25" s="434"/>
      <c r="BA25" s="434"/>
      <c r="BB25" s="434"/>
      <c r="BC25" s="434"/>
      <c r="BD25" s="434"/>
      <c r="BE25" s="434"/>
      <c r="BF25" s="434"/>
      <c r="BG25" s="434"/>
      <c r="BH25" s="434"/>
      <c r="BI25" s="41"/>
      <c r="BJ25" s="41"/>
      <c r="BK25" s="41"/>
      <c r="BL25" s="41"/>
    </row>
    <row r="26" spans="1:64" ht="25.5" customHeight="1">
      <c r="A26" s="434"/>
      <c r="B26" s="434"/>
      <c r="C26" s="434"/>
      <c r="D26" s="434"/>
      <c r="E26" s="434"/>
      <c r="F26" s="997"/>
      <c r="G26" s="988"/>
      <c r="H26" s="434"/>
      <c r="I26" s="1052"/>
      <c r="J26" s="1053" t="s">
        <v>43</v>
      </c>
      <c r="K26" s="1053"/>
      <c r="L26" s="1053"/>
      <c r="M26" s="1054"/>
      <c r="N26" s="3355">
        <v>0</v>
      </c>
      <c r="O26" s="3356"/>
      <c r="P26" s="3356"/>
      <c r="Q26" s="3356"/>
      <c r="R26" s="3356"/>
      <c r="S26" s="3357"/>
      <c r="T26" s="3355">
        <v>0</v>
      </c>
      <c r="U26" s="3356"/>
      <c r="V26" s="3356"/>
      <c r="W26" s="3356"/>
      <c r="X26" s="3356"/>
      <c r="Y26" s="3357"/>
      <c r="Z26" s="3355">
        <v>0</v>
      </c>
      <c r="AA26" s="3356"/>
      <c r="AB26" s="3356"/>
      <c r="AC26" s="3356"/>
      <c r="AD26" s="3356"/>
      <c r="AE26" s="3357"/>
      <c r="AF26" s="3355">
        <v>20</v>
      </c>
      <c r="AG26" s="3356"/>
      <c r="AH26" s="3356"/>
      <c r="AI26" s="3356"/>
      <c r="AJ26" s="3356"/>
      <c r="AK26" s="3357"/>
      <c r="AL26" s="3355">
        <v>0</v>
      </c>
      <c r="AM26" s="3356"/>
      <c r="AN26" s="3356"/>
      <c r="AO26" s="3356"/>
      <c r="AP26" s="3356"/>
      <c r="AQ26" s="3357"/>
      <c r="AR26" s="1075"/>
      <c r="AS26" s="1076"/>
      <c r="AT26" s="623"/>
      <c r="AU26" s="1074"/>
      <c r="AV26" s="861"/>
      <c r="AW26" s="861"/>
      <c r="AX26" s="861"/>
      <c r="AY26" s="861"/>
      <c r="AZ26" s="434"/>
      <c r="BA26" s="434"/>
      <c r="BB26" s="434"/>
      <c r="BC26" s="434"/>
      <c r="BD26" s="434"/>
      <c r="BE26" s="434"/>
      <c r="BF26" s="434"/>
      <c r="BG26" s="434"/>
      <c r="BH26" s="434"/>
      <c r="BI26" s="41"/>
      <c r="BJ26" s="41"/>
      <c r="BK26" s="41"/>
      <c r="BL26" s="41"/>
    </row>
    <row r="27" spans="1:64" ht="25.5" customHeight="1" thickBot="1">
      <c r="A27" s="434"/>
      <c r="B27" s="434"/>
      <c r="C27" s="434"/>
      <c r="D27" s="434"/>
      <c r="E27" s="434"/>
      <c r="F27" s="997"/>
      <c r="G27" s="988"/>
      <c r="H27" s="434"/>
      <c r="I27" s="1082"/>
      <c r="J27" s="1083" t="s">
        <v>44</v>
      </c>
      <c r="K27" s="1083"/>
      <c r="L27" s="1083"/>
      <c r="M27" s="1084"/>
      <c r="N27" s="3306">
        <v>0</v>
      </c>
      <c r="O27" s="3287"/>
      <c r="P27" s="3287"/>
      <c r="Q27" s="3287"/>
      <c r="R27" s="3287"/>
      <c r="S27" s="3288"/>
      <c r="T27" s="3306">
        <v>0</v>
      </c>
      <c r="U27" s="3287"/>
      <c r="V27" s="3287"/>
      <c r="W27" s="3287"/>
      <c r="X27" s="3287"/>
      <c r="Y27" s="3288"/>
      <c r="Z27" s="3306">
        <v>0</v>
      </c>
      <c r="AA27" s="3287"/>
      <c r="AB27" s="3287"/>
      <c r="AC27" s="3287"/>
      <c r="AD27" s="3287"/>
      <c r="AE27" s="3288"/>
      <c r="AF27" s="3306">
        <v>25</v>
      </c>
      <c r="AG27" s="3287"/>
      <c r="AH27" s="3287"/>
      <c r="AI27" s="3287"/>
      <c r="AJ27" s="3287"/>
      <c r="AK27" s="3288"/>
      <c r="AL27" s="3306">
        <v>0</v>
      </c>
      <c r="AM27" s="3287"/>
      <c r="AN27" s="3287"/>
      <c r="AO27" s="3287"/>
      <c r="AP27" s="3287"/>
      <c r="AQ27" s="3288"/>
      <c r="AR27" s="1077"/>
      <c r="AS27" s="1078"/>
      <c r="AT27" s="622"/>
      <c r="AU27" s="1074"/>
      <c r="AV27" s="861"/>
      <c r="AW27" s="861"/>
      <c r="AX27" s="861"/>
      <c r="AY27" s="861"/>
      <c r="AZ27" s="434"/>
      <c r="BA27" s="434"/>
      <c r="BB27" s="434"/>
      <c r="BC27" s="434"/>
      <c r="BD27" s="434"/>
      <c r="BE27" s="434"/>
      <c r="BF27" s="434"/>
      <c r="BG27" s="434"/>
      <c r="BH27" s="434"/>
      <c r="BI27" s="41"/>
      <c r="BJ27" s="41"/>
      <c r="BK27" s="41"/>
      <c r="BL27" s="41"/>
    </row>
    <row r="28" spans="1:64" ht="25.5" customHeight="1" thickTop="1" thickBot="1">
      <c r="A28" s="434"/>
      <c r="B28" s="434"/>
      <c r="C28" s="434"/>
      <c r="D28" s="434"/>
      <c r="E28" s="434"/>
      <c r="F28" s="997"/>
      <c r="G28" s="988"/>
      <c r="H28" s="434"/>
      <c r="I28" s="1059"/>
      <c r="J28" s="1060" t="s">
        <v>42</v>
      </c>
      <c r="K28" s="1060"/>
      <c r="L28" s="1060"/>
      <c r="M28" s="1061"/>
      <c r="N28" s="3392">
        <f>SUM(N26:S27)</f>
        <v>0</v>
      </c>
      <c r="O28" s="3393"/>
      <c r="P28" s="3393"/>
      <c r="Q28" s="3393"/>
      <c r="R28" s="3393"/>
      <c r="S28" s="3394"/>
      <c r="T28" s="3392">
        <f>SUM(T26:Y27)</f>
        <v>0</v>
      </c>
      <c r="U28" s="3393"/>
      <c r="V28" s="3393"/>
      <c r="W28" s="3393"/>
      <c r="X28" s="3393"/>
      <c r="Y28" s="3394"/>
      <c r="Z28" s="3392">
        <f>SUM(Z26:AE27)</f>
        <v>0</v>
      </c>
      <c r="AA28" s="3393"/>
      <c r="AB28" s="3393"/>
      <c r="AC28" s="3393"/>
      <c r="AD28" s="3393"/>
      <c r="AE28" s="3394"/>
      <c r="AF28" s="3392">
        <f>SUM(AF26:AK27)</f>
        <v>45</v>
      </c>
      <c r="AG28" s="3393"/>
      <c r="AH28" s="3393"/>
      <c r="AI28" s="3393"/>
      <c r="AJ28" s="3393"/>
      <c r="AK28" s="3394"/>
      <c r="AL28" s="3392">
        <f>SUM(AL26:AQ27)</f>
        <v>0</v>
      </c>
      <c r="AM28" s="3393"/>
      <c r="AN28" s="3393"/>
      <c r="AO28" s="3393"/>
      <c r="AP28" s="3393"/>
      <c r="AQ28" s="3394"/>
      <c r="AR28" s="1077"/>
      <c r="AS28" s="1078"/>
      <c r="AT28" s="622"/>
      <c r="AU28" s="1074"/>
      <c r="AV28" s="861"/>
      <c r="AW28" s="861"/>
      <c r="AX28" s="861"/>
      <c r="AY28" s="861"/>
      <c r="AZ28" s="434"/>
      <c r="BA28" s="434"/>
      <c r="BB28" s="434"/>
      <c r="BC28" s="434"/>
      <c r="BD28" s="434"/>
      <c r="BE28" s="434"/>
      <c r="BF28" s="434"/>
      <c r="BG28" s="434"/>
      <c r="BH28" s="434"/>
      <c r="BI28" s="41"/>
      <c r="BJ28" s="41"/>
      <c r="BK28" s="41"/>
      <c r="BL28" s="41"/>
    </row>
    <row r="29" spans="1:64" ht="6" customHeight="1">
      <c r="A29" s="434"/>
      <c r="B29" s="434"/>
      <c r="C29" s="434"/>
      <c r="D29" s="434"/>
      <c r="E29" s="434"/>
      <c r="F29" s="997"/>
      <c r="G29" s="988"/>
      <c r="H29" s="434"/>
      <c r="I29" s="653"/>
      <c r="J29" s="653"/>
      <c r="K29" s="653"/>
      <c r="L29" s="653"/>
      <c r="M29" s="653"/>
      <c r="N29" s="653"/>
      <c r="O29" s="653"/>
      <c r="P29" s="1077"/>
      <c r="Q29" s="1077"/>
      <c r="R29" s="1077"/>
      <c r="S29" s="1077"/>
      <c r="T29" s="1077"/>
      <c r="U29" s="1077"/>
      <c r="V29" s="1077"/>
      <c r="W29" s="1077"/>
      <c r="X29" s="1077"/>
      <c r="Y29" s="1077"/>
      <c r="Z29" s="1077"/>
      <c r="AA29" s="1077"/>
      <c r="AB29" s="1077"/>
      <c r="AC29" s="1077"/>
      <c r="AD29" s="1077"/>
      <c r="AE29" s="1077"/>
      <c r="AF29" s="1077"/>
      <c r="AG29" s="1077"/>
      <c r="AH29" s="1077"/>
      <c r="AI29" s="1077"/>
      <c r="AJ29" s="1077"/>
      <c r="AK29" s="1077"/>
      <c r="AL29" s="1077"/>
      <c r="AM29" s="1077"/>
      <c r="AN29" s="1077"/>
      <c r="AO29" s="1077"/>
      <c r="AP29" s="1077"/>
      <c r="AQ29" s="1077"/>
      <c r="AR29" s="1077"/>
      <c r="AS29" s="1078"/>
      <c r="AT29" s="622"/>
      <c r="AU29" s="1074"/>
      <c r="AV29" s="861"/>
      <c r="AW29" s="861"/>
      <c r="AX29" s="861"/>
      <c r="AY29" s="861"/>
      <c r="AZ29" s="434"/>
      <c r="BA29" s="434"/>
      <c r="BB29" s="434"/>
      <c r="BC29" s="434"/>
      <c r="BD29" s="434"/>
      <c r="BE29" s="434"/>
      <c r="BF29" s="434"/>
      <c r="BG29" s="434"/>
      <c r="BH29" s="434"/>
      <c r="BI29" s="41"/>
      <c r="BJ29" s="41"/>
      <c r="BK29" s="41"/>
      <c r="BL29" s="41"/>
    </row>
    <row r="30" spans="1:64" ht="24.95" customHeight="1">
      <c r="A30" s="434"/>
      <c r="B30" s="434"/>
      <c r="C30" s="434"/>
      <c r="D30" s="434"/>
      <c r="E30" s="434"/>
      <c r="F30" s="434"/>
      <c r="G30" s="988"/>
      <c r="H30" s="1048" t="s">
        <v>51</v>
      </c>
      <c r="I30" s="989" t="s">
        <v>1196</v>
      </c>
      <c r="J30" s="989"/>
      <c r="K30" s="998"/>
      <c r="L30" s="998"/>
      <c r="M30" s="998"/>
      <c r="N30" s="998"/>
      <c r="O30" s="998"/>
      <c r="P30" s="998"/>
      <c r="Q30" s="998"/>
      <c r="R30" s="998"/>
      <c r="S30" s="998"/>
      <c r="T30" s="861"/>
      <c r="U30" s="593"/>
      <c r="V30" s="593"/>
      <c r="W30" s="593"/>
      <c r="X30" s="593"/>
      <c r="Y30" s="593"/>
      <c r="Z30" s="999"/>
      <c r="AA30" s="861"/>
      <c r="AB30" s="861"/>
      <c r="AC30" s="861"/>
      <c r="AD30" s="861"/>
      <c r="AE30" s="861"/>
      <c r="AF30" s="861"/>
      <c r="AG30" s="593"/>
      <c r="AH30" s="593"/>
      <c r="AI30" s="593"/>
      <c r="AJ30" s="593"/>
      <c r="AK30" s="593"/>
      <c r="AL30" s="593"/>
      <c r="AM30" s="593"/>
      <c r="AN30" s="593"/>
      <c r="AO30" s="593"/>
      <c r="AP30" s="593"/>
      <c r="AQ30" s="593"/>
      <c r="AR30" s="593"/>
      <c r="AS30" s="691"/>
      <c r="AT30" s="434"/>
      <c r="AU30" s="434"/>
      <c r="AV30" s="434"/>
      <c r="AW30" s="434"/>
      <c r="AX30" s="434"/>
      <c r="AY30" s="434"/>
      <c r="AZ30" s="434"/>
      <c r="BA30" s="434"/>
      <c r="BB30" s="434"/>
      <c r="BC30" s="593"/>
      <c r="BD30" s="593"/>
      <c r="BE30" s="593"/>
      <c r="BF30" s="593"/>
      <c r="BG30" s="434"/>
      <c r="BH30" s="434"/>
    </row>
    <row r="31" spans="1:64" ht="6" customHeight="1" thickBot="1">
      <c r="A31" s="434"/>
      <c r="B31" s="434"/>
      <c r="C31" s="434"/>
      <c r="D31" s="434"/>
      <c r="E31" s="434"/>
      <c r="F31" s="434"/>
      <c r="G31" s="988"/>
      <c r="H31" s="434"/>
      <c r="I31" s="434"/>
      <c r="J31" s="1049"/>
      <c r="K31" s="612"/>
      <c r="L31" s="612"/>
      <c r="M31" s="612"/>
      <c r="N31" s="612"/>
      <c r="O31" s="612"/>
      <c r="P31" s="612"/>
      <c r="Q31" s="612"/>
      <c r="R31" s="612"/>
      <c r="S31" s="612"/>
      <c r="T31" s="861"/>
      <c r="U31" s="434"/>
      <c r="V31" s="861"/>
      <c r="W31" s="960"/>
      <c r="X31" s="593"/>
      <c r="Y31" s="434"/>
      <c r="Z31" s="434"/>
      <c r="AA31" s="861"/>
      <c r="AB31" s="960"/>
      <c r="AC31" s="593"/>
      <c r="AD31" s="593"/>
      <c r="AE31" s="593"/>
      <c r="AF31" s="593"/>
      <c r="AG31" s="593"/>
      <c r="AH31" s="593"/>
      <c r="AI31" s="434"/>
      <c r="AJ31" s="861"/>
      <c r="AK31" s="861"/>
      <c r="AL31" s="861"/>
      <c r="AM31" s="861"/>
      <c r="AN31" s="861"/>
      <c r="AO31" s="861"/>
      <c r="AP31" s="861"/>
      <c r="AQ31" s="861"/>
      <c r="AR31" s="861"/>
      <c r="AS31" s="991"/>
      <c r="AT31" s="434"/>
      <c r="AU31" s="434"/>
      <c r="AV31" s="434"/>
      <c r="AW31" s="434"/>
      <c r="AX31" s="434"/>
      <c r="AY31" s="434"/>
      <c r="AZ31" s="434"/>
      <c r="BA31" s="434"/>
      <c r="BB31" s="434"/>
      <c r="BC31" s="593"/>
      <c r="BD31" s="593"/>
      <c r="BE31" s="593"/>
      <c r="BF31" s="593"/>
      <c r="BG31" s="434"/>
      <c r="BH31" s="434"/>
    </row>
    <row r="32" spans="1:64" ht="83.45" customHeight="1" thickBot="1">
      <c r="A32" s="434"/>
      <c r="B32" s="434"/>
      <c r="C32" s="434"/>
      <c r="D32" s="434"/>
      <c r="E32" s="434"/>
      <c r="F32" s="997"/>
      <c r="G32" s="988"/>
      <c r="H32" s="434"/>
      <c r="I32" s="3359" t="s">
        <v>281</v>
      </c>
      <c r="J32" s="3360"/>
      <c r="K32" s="3360"/>
      <c r="L32" s="3360"/>
      <c r="M32" s="3361"/>
      <c r="N32" s="3362" t="s">
        <v>646</v>
      </c>
      <c r="O32" s="3363"/>
      <c r="P32" s="3363"/>
      <c r="Q32" s="3363"/>
      <c r="R32" s="3363"/>
      <c r="S32" s="3364"/>
      <c r="T32" s="3362" t="s">
        <v>647</v>
      </c>
      <c r="U32" s="3363"/>
      <c r="V32" s="3363"/>
      <c r="W32" s="3363"/>
      <c r="X32" s="3363"/>
      <c r="Y32" s="3364"/>
      <c r="Z32" s="3362" t="s">
        <v>648</v>
      </c>
      <c r="AA32" s="3363"/>
      <c r="AB32" s="3363"/>
      <c r="AC32" s="3363"/>
      <c r="AD32" s="3363"/>
      <c r="AE32" s="3364"/>
      <c r="AF32" s="1050"/>
      <c r="AG32" s="1073"/>
      <c r="AH32" s="1073"/>
      <c r="AI32" s="1073"/>
      <c r="AJ32" s="1073"/>
      <c r="AK32" s="1073"/>
      <c r="AL32" s="1073"/>
      <c r="AM32" s="1073"/>
      <c r="AN32" s="1073"/>
      <c r="AO32" s="1073"/>
      <c r="AP32" s="1073"/>
      <c r="AQ32" s="1073"/>
      <c r="AR32" s="1028"/>
      <c r="AS32" s="1072"/>
      <c r="AT32" s="1073"/>
      <c r="AU32" s="1074"/>
      <c r="AV32" s="861"/>
      <c r="AW32" s="861"/>
      <c r="AX32" s="861"/>
      <c r="AY32" s="861"/>
      <c r="AZ32" s="434"/>
      <c r="BA32" s="434"/>
      <c r="BB32" s="434"/>
      <c r="BC32" s="434"/>
      <c r="BD32" s="434"/>
      <c r="BE32" s="434"/>
      <c r="BF32" s="434"/>
      <c r="BG32" s="434"/>
      <c r="BH32" s="434"/>
      <c r="BI32" s="41"/>
      <c r="BJ32" s="41"/>
      <c r="BK32" s="41"/>
      <c r="BL32" s="41"/>
    </row>
    <row r="33" spans="1:64" ht="25.5" customHeight="1">
      <c r="A33" s="434"/>
      <c r="B33" s="434"/>
      <c r="C33" s="434"/>
      <c r="D33" s="434"/>
      <c r="E33" s="434"/>
      <c r="F33" s="997"/>
      <c r="G33" s="988"/>
      <c r="H33" s="434"/>
      <c r="I33" s="1052"/>
      <c r="J33" s="1053" t="s">
        <v>43</v>
      </c>
      <c r="K33" s="1053"/>
      <c r="L33" s="1053"/>
      <c r="M33" s="1054"/>
      <c r="N33" s="3355">
        <v>0</v>
      </c>
      <c r="O33" s="3356"/>
      <c r="P33" s="3356"/>
      <c r="Q33" s="3356"/>
      <c r="R33" s="3356"/>
      <c r="S33" s="3357"/>
      <c r="T33" s="3355">
        <v>0</v>
      </c>
      <c r="U33" s="3356"/>
      <c r="V33" s="3356"/>
      <c r="W33" s="3356"/>
      <c r="X33" s="3356"/>
      <c r="Y33" s="3357"/>
      <c r="Z33" s="3355">
        <v>0</v>
      </c>
      <c r="AA33" s="3356"/>
      <c r="AB33" s="3356"/>
      <c r="AC33" s="3356"/>
      <c r="AD33" s="3356"/>
      <c r="AE33" s="3357"/>
      <c r="AF33" s="636"/>
      <c r="AG33" s="623"/>
      <c r="AH33" s="623"/>
      <c r="AI33" s="623"/>
      <c r="AJ33" s="623"/>
      <c r="AK33" s="623"/>
      <c r="AL33" s="623"/>
      <c r="AM33" s="623"/>
      <c r="AN33" s="623"/>
      <c r="AO33" s="623"/>
      <c r="AP33" s="623"/>
      <c r="AQ33" s="623"/>
      <c r="AR33" s="1075"/>
      <c r="AS33" s="1076"/>
      <c r="AT33" s="623"/>
      <c r="AU33" s="1074"/>
      <c r="AV33" s="861"/>
      <c r="AW33" s="861"/>
      <c r="AX33" s="861"/>
      <c r="AY33" s="861"/>
      <c r="AZ33" s="434"/>
      <c r="BA33" s="434"/>
      <c r="BB33" s="434"/>
      <c r="BC33" s="434"/>
      <c r="BD33" s="434"/>
      <c r="BE33" s="434"/>
      <c r="BF33" s="434"/>
      <c r="BG33" s="434"/>
      <c r="BH33" s="434"/>
      <c r="BI33" s="41"/>
      <c r="BJ33" s="41"/>
      <c r="BK33" s="41"/>
      <c r="BL33" s="41"/>
    </row>
    <row r="34" spans="1:64" ht="25.5" customHeight="1" thickBot="1">
      <c r="A34" s="434"/>
      <c r="B34" s="434"/>
      <c r="C34" s="434"/>
      <c r="D34" s="434"/>
      <c r="E34" s="434"/>
      <c r="F34" s="997"/>
      <c r="G34" s="988"/>
      <c r="H34" s="434"/>
      <c r="I34" s="1082"/>
      <c r="J34" s="1083" t="s">
        <v>44</v>
      </c>
      <c r="K34" s="1083"/>
      <c r="L34" s="1083"/>
      <c r="M34" s="1084"/>
      <c r="N34" s="3306">
        <v>0</v>
      </c>
      <c r="O34" s="3287"/>
      <c r="P34" s="3287"/>
      <c r="Q34" s="3287"/>
      <c r="R34" s="3287"/>
      <c r="S34" s="3288"/>
      <c r="T34" s="3306">
        <v>0</v>
      </c>
      <c r="U34" s="3287"/>
      <c r="V34" s="3287"/>
      <c r="W34" s="3287"/>
      <c r="X34" s="3287"/>
      <c r="Y34" s="3288"/>
      <c r="Z34" s="3306">
        <v>0</v>
      </c>
      <c r="AA34" s="3287"/>
      <c r="AB34" s="3287"/>
      <c r="AC34" s="3287"/>
      <c r="AD34" s="3287"/>
      <c r="AE34" s="3288"/>
      <c r="AF34" s="1058"/>
      <c r="AG34" s="622"/>
      <c r="AH34" s="622"/>
      <c r="AI34" s="622"/>
      <c r="AJ34" s="622"/>
      <c r="AK34" s="622"/>
      <c r="AL34" s="622"/>
      <c r="AM34" s="622"/>
      <c r="AN34" s="622"/>
      <c r="AO34" s="622"/>
      <c r="AP34" s="622"/>
      <c r="AQ34" s="622"/>
      <c r="AR34" s="1077"/>
      <c r="AS34" s="1078"/>
      <c r="AT34" s="622"/>
      <c r="AU34" s="1074"/>
      <c r="AV34" s="861"/>
      <c r="AW34" s="861"/>
      <c r="AX34" s="861"/>
      <c r="AY34" s="861"/>
      <c r="AZ34" s="434"/>
      <c r="BA34" s="434"/>
      <c r="BB34" s="434"/>
      <c r="BC34" s="434"/>
      <c r="BD34" s="434"/>
      <c r="BE34" s="434"/>
      <c r="BF34" s="434"/>
      <c r="BG34" s="434"/>
      <c r="BH34" s="434"/>
      <c r="BI34" s="41"/>
      <c r="BJ34" s="41"/>
      <c r="BK34" s="41"/>
      <c r="BL34" s="41"/>
    </row>
    <row r="35" spans="1:64" ht="25.5" customHeight="1" thickTop="1" thickBot="1">
      <c r="A35" s="434"/>
      <c r="B35" s="434"/>
      <c r="C35" s="434"/>
      <c r="D35" s="434"/>
      <c r="E35" s="434"/>
      <c r="F35" s="997"/>
      <c r="G35" s="988"/>
      <c r="H35" s="434"/>
      <c r="I35" s="1059"/>
      <c r="J35" s="1060" t="s">
        <v>42</v>
      </c>
      <c r="K35" s="1060"/>
      <c r="L35" s="1060"/>
      <c r="M35" s="1061"/>
      <c r="N35" s="3392">
        <f>SUM(N33:S34)</f>
        <v>0</v>
      </c>
      <c r="O35" s="3393"/>
      <c r="P35" s="3393"/>
      <c r="Q35" s="3393"/>
      <c r="R35" s="3393"/>
      <c r="S35" s="3394"/>
      <c r="T35" s="3392">
        <f>SUM(T33:Y34)</f>
        <v>0</v>
      </c>
      <c r="U35" s="3393"/>
      <c r="V35" s="3393"/>
      <c r="W35" s="3393"/>
      <c r="X35" s="3393"/>
      <c r="Y35" s="3394"/>
      <c r="Z35" s="3392">
        <f>SUM(Z33:AE34)</f>
        <v>0</v>
      </c>
      <c r="AA35" s="3393"/>
      <c r="AB35" s="3393"/>
      <c r="AC35" s="3393"/>
      <c r="AD35" s="3393"/>
      <c r="AE35" s="3394"/>
      <c r="AF35" s="1058"/>
      <c r="AG35" s="622"/>
      <c r="AH35" s="622"/>
      <c r="AI35" s="622"/>
      <c r="AJ35" s="622"/>
      <c r="AK35" s="622"/>
      <c r="AL35" s="622"/>
      <c r="AM35" s="622"/>
      <c r="AN35" s="622"/>
      <c r="AO35" s="622"/>
      <c r="AP35" s="622"/>
      <c r="AQ35" s="622"/>
      <c r="AR35" s="1077"/>
      <c r="AS35" s="1078"/>
      <c r="AT35" s="622"/>
      <c r="AU35" s="1074"/>
      <c r="AV35" s="861"/>
      <c r="AW35" s="861"/>
      <c r="AX35" s="861"/>
      <c r="AY35" s="861"/>
      <c r="AZ35" s="434"/>
      <c r="BA35" s="434"/>
      <c r="BB35" s="434"/>
      <c r="BC35" s="434"/>
      <c r="BD35" s="434"/>
      <c r="BE35" s="434"/>
      <c r="BF35" s="434"/>
      <c r="BG35" s="434"/>
      <c r="BH35" s="434"/>
      <c r="BI35" s="41"/>
      <c r="BJ35" s="41"/>
      <c r="BK35" s="41"/>
      <c r="BL35" s="41"/>
    </row>
    <row r="36" spans="1:64" ht="11.25" customHeight="1" thickBot="1">
      <c r="A36" s="434"/>
      <c r="B36" s="434"/>
      <c r="C36" s="434"/>
      <c r="D36" s="434"/>
      <c r="E36" s="434"/>
      <c r="F36" s="434"/>
      <c r="G36" s="646"/>
      <c r="H36" s="659"/>
      <c r="I36" s="642"/>
      <c r="J36" s="642"/>
      <c r="K36" s="1000"/>
      <c r="L36" s="596"/>
      <c r="M36" s="596"/>
      <c r="N36" s="596"/>
      <c r="O36" s="596"/>
      <c r="P36" s="596"/>
      <c r="Q36" s="596"/>
      <c r="R36" s="596"/>
      <c r="S36" s="596"/>
      <c r="T36" s="596"/>
      <c r="U36" s="866"/>
      <c r="V36" s="866"/>
      <c r="W36" s="866"/>
      <c r="X36" s="866"/>
      <c r="Y36" s="866"/>
      <c r="Z36" s="596"/>
      <c r="AA36" s="866"/>
      <c r="AB36" s="866"/>
      <c r="AC36" s="866"/>
      <c r="AD36" s="866"/>
      <c r="AE36" s="866"/>
      <c r="AF36" s="866"/>
      <c r="AG36" s="596"/>
      <c r="AH36" s="596"/>
      <c r="AI36" s="596"/>
      <c r="AJ36" s="596"/>
      <c r="AK36" s="596"/>
      <c r="AL36" s="596"/>
      <c r="AM36" s="596"/>
      <c r="AN36" s="596"/>
      <c r="AO36" s="596"/>
      <c r="AP36" s="596"/>
      <c r="AQ36" s="596"/>
      <c r="AR36" s="596"/>
      <c r="AS36" s="597"/>
      <c r="AT36" s="434"/>
      <c r="AU36" s="434"/>
      <c r="AV36" s="434"/>
      <c r="AW36" s="434"/>
      <c r="AX36" s="434"/>
      <c r="AY36" s="434"/>
      <c r="AZ36" s="434"/>
      <c r="BA36" s="434"/>
      <c r="BB36" s="434"/>
      <c r="BC36" s="434"/>
      <c r="BD36" s="434"/>
      <c r="BE36" s="434"/>
      <c r="BF36" s="434"/>
      <c r="BG36" s="434"/>
      <c r="BH36" s="434"/>
    </row>
    <row r="37" spans="1:64" s="164" customFormat="1" ht="24.95" customHeight="1">
      <c r="A37" s="260"/>
      <c r="B37" s="260"/>
      <c r="C37" s="260"/>
      <c r="D37" s="260"/>
      <c r="E37" s="260"/>
      <c r="F37" s="260"/>
      <c r="G37" s="260"/>
      <c r="H37" s="260"/>
      <c r="I37" s="260"/>
      <c r="J37" s="260"/>
      <c r="K37" s="260"/>
      <c r="L37" s="260"/>
      <c r="M37" s="260"/>
      <c r="N37" s="227"/>
      <c r="O37" s="260"/>
      <c r="P37" s="227"/>
      <c r="Q37" s="260"/>
      <c r="R37" s="227"/>
      <c r="S37" s="260"/>
      <c r="T37" s="227"/>
      <c r="U37" s="227"/>
      <c r="V37" s="260"/>
      <c r="W37" s="227"/>
      <c r="X37" s="260"/>
      <c r="Y37" s="227"/>
      <c r="Z37" s="227"/>
      <c r="AA37" s="260"/>
      <c r="AB37" s="227"/>
      <c r="AC37" s="260"/>
      <c r="AD37" s="227"/>
      <c r="AE37" s="260"/>
      <c r="AF37" s="227"/>
      <c r="AG37" s="260"/>
      <c r="AH37" s="260"/>
      <c r="AI37" s="227"/>
      <c r="AJ37" s="260"/>
      <c r="AK37" s="260"/>
      <c r="AL37" s="260"/>
      <c r="AM37" s="260"/>
      <c r="AN37" s="260"/>
      <c r="AO37" s="260"/>
      <c r="AP37" s="260"/>
      <c r="AQ37" s="260"/>
      <c r="AR37" s="260"/>
      <c r="AS37" s="260"/>
      <c r="AT37" s="260"/>
      <c r="AU37" s="260"/>
      <c r="AV37" s="260"/>
      <c r="AW37" s="260"/>
      <c r="AX37" s="260"/>
      <c r="AY37" s="260"/>
      <c r="AZ37" s="260"/>
      <c r="BA37" s="260"/>
      <c r="BB37" s="260"/>
      <c r="BC37" s="260"/>
      <c r="BD37" s="260"/>
      <c r="BE37" s="260"/>
      <c r="BF37" s="260"/>
      <c r="BG37" s="260"/>
      <c r="BH37" s="260"/>
    </row>
    <row r="38" spans="1:64" s="37" customFormat="1" ht="15">
      <c r="A38" s="263"/>
      <c r="B38" s="332" t="s">
        <v>74</v>
      </c>
      <c r="C38" s="263"/>
      <c r="D38" s="263"/>
      <c r="E38" s="263"/>
      <c r="F38" s="263"/>
      <c r="G38" s="263"/>
      <c r="H38" s="263"/>
      <c r="I38" s="263"/>
      <c r="J38" s="263"/>
      <c r="K38" s="263"/>
      <c r="L38" s="263"/>
      <c r="M38" s="263"/>
      <c r="N38" s="263"/>
      <c r="O38" s="263"/>
      <c r="P38" s="263"/>
      <c r="Q38" s="263"/>
      <c r="R38" s="263"/>
      <c r="S38" s="332" t="s">
        <v>577</v>
      </c>
      <c r="T38" s="263"/>
      <c r="U38" s="263"/>
      <c r="V38" s="263"/>
      <c r="W38" s="263"/>
      <c r="X38" s="263"/>
      <c r="Y38" s="263"/>
      <c r="Z38" s="263"/>
      <c r="AA38" s="263"/>
      <c r="AB38" s="263"/>
      <c r="AC38" s="263"/>
      <c r="AD38" s="263"/>
      <c r="AE38" s="263"/>
      <c r="AF38" s="263"/>
      <c r="AG38" s="263"/>
      <c r="AH38" s="263"/>
      <c r="AI38" s="263"/>
      <c r="AJ38" s="263"/>
      <c r="AK38" s="332" t="s">
        <v>33</v>
      </c>
      <c r="AL38" s="263"/>
      <c r="AM38" s="263"/>
      <c r="AN38" s="263"/>
      <c r="AO38" s="263"/>
      <c r="AP38" s="263"/>
      <c r="AQ38" s="263"/>
      <c r="AR38" s="263"/>
      <c r="AS38" s="263"/>
      <c r="AT38" s="263"/>
      <c r="AU38" s="263"/>
      <c r="AV38" s="263"/>
      <c r="AW38" s="263"/>
      <c r="AX38" s="263"/>
      <c r="AY38" s="263"/>
      <c r="AZ38" s="263"/>
      <c r="BA38" s="263"/>
      <c r="BB38" s="263"/>
      <c r="BC38" s="263"/>
      <c r="BD38" s="263"/>
      <c r="BE38" s="263"/>
      <c r="BF38" s="263"/>
      <c r="BG38" s="263"/>
      <c r="BH38" s="263"/>
    </row>
    <row r="39" spans="1:64" s="37" customFormat="1" ht="21.75" customHeight="1">
      <c r="A39" s="263"/>
      <c r="B39" s="332" t="s">
        <v>75</v>
      </c>
      <c r="C39" s="263"/>
      <c r="D39" s="263"/>
      <c r="E39" s="263"/>
      <c r="F39" s="2790" t="str">
        <f>activesheet!E21</f>
        <v>MELCHESIEDICK Q. BOLANIO / March 17, 2023</v>
      </c>
      <c r="G39" s="2790"/>
      <c r="H39" s="2790"/>
      <c r="I39" s="2790"/>
      <c r="J39" s="2790"/>
      <c r="K39" s="2790"/>
      <c r="L39" s="2790"/>
      <c r="M39" s="2790"/>
      <c r="N39" s="2790"/>
      <c r="O39" s="2790"/>
      <c r="P39" s="263"/>
      <c r="Q39" s="263"/>
      <c r="R39" s="263"/>
      <c r="S39" s="2790" t="str">
        <f>activesheet!E2417</f>
        <v>RACQUEL N. ACOMPANADO / March 17, 2023</v>
      </c>
      <c r="T39" s="2790"/>
      <c r="U39" s="2790"/>
      <c r="V39" s="2790"/>
      <c r="W39" s="2790"/>
      <c r="X39" s="2790"/>
      <c r="Y39" s="2790"/>
      <c r="Z39" s="2790"/>
      <c r="AA39" s="2790"/>
      <c r="AB39" s="2790"/>
      <c r="AC39" s="2790"/>
      <c r="AD39" s="2790"/>
      <c r="AE39" s="2790"/>
      <c r="AF39" s="2790"/>
      <c r="AG39" s="2790"/>
      <c r="AH39" s="263"/>
      <c r="AI39" s="263"/>
      <c r="AJ39" s="263"/>
      <c r="AK39" s="1819" t="str">
        <f>activesheet!E25</f>
        <v>MICHAEL T. JAMIS / March 17, 2023</v>
      </c>
      <c r="AL39" s="1819"/>
      <c r="AM39" s="1819"/>
      <c r="AN39" s="1819"/>
      <c r="AO39" s="1819"/>
      <c r="AP39" s="1819"/>
      <c r="AQ39" s="1819"/>
      <c r="AR39" s="1819"/>
      <c r="AS39" s="1819"/>
      <c r="AT39" s="1819"/>
      <c r="AU39" s="1819"/>
      <c r="AV39" s="1819"/>
      <c r="AW39" s="1819"/>
      <c r="AX39" s="1819"/>
      <c r="AY39" s="263"/>
      <c r="AZ39" s="263"/>
      <c r="BA39" s="263"/>
      <c r="BB39" s="263"/>
      <c r="BC39" s="263"/>
      <c r="BD39" s="263"/>
      <c r="BE39" s="263"/>
      <c r="BF39" s="263"/>
      <c r="BG39" s="263"/>
      <c r="BH39" s="263"/>
    </row>
    <row r="40" spans="1:64" s="39" customFormat="1" ht="13.5" customHeight="1">
      <c r="A40" s="280"/>
      <c r="B40" s="228"/>
      <c r="C40" s="280"/>
      <c r="D40" s="280"/>
      <c r="E40" s="280"/>
      <c r="F40" s="1811" t="s">
        <v>37</v>
      </c>
      <c r="G40" s="1811"/>
      <c r="H40" s="1811"/>
      <c r="I40" s="1811"/>
      <c r="J40" s="1811"/>
      <c r="K40" s="1811"/>
      <c r="L40" s="1811"/>
      <c r="M40" s="1811"/>
      <c r="N40" s="1811"/>
      <c r="O40" s="1811"/>
      <c r="P40" s="358"/>
      <c r="Q40" s="281"/>
      <c r="R40" s="281"/>
      <c r="S40" s="1811" t="s">
        <v>37</v>
      </c>
      <c r="T40" s="1811"/>
      <c r="U40" s="1811"/>
      <c r="V40" s="1811"/>
      <c r="W40" s="1811"/>
      <c r="X40" s="1811"/>
      <c r="Y40" s="1811"/>
      <c r="Z40" s="1811"/>
      <c r="AA40" s="1811"/>
      <c r="AB40" s="1811"/>
      <c r="AC40" s="1811"/>
      <c r="AD40" s="1811"/>
      <c r="AE40" s="1811"/>
      <c r="AF40" s="1811"/>
      <c r="AG40" s="1811"/>
      <c r="AH40" s="358"/>
      <c r="AI40" s="280"/>
      <c r="AJ40" s="280"/>
      <c r="AK40" s="1820"/>
      <c r="AL40" s="1820"/>
      <c r="AM40" s="1820"/>
      <c r="AN40" s="1820"/>
      <c r="AO40" s="1820"/>
      <c r="AP40" s="1820"/>
      <c r="AQ40" s="1820"/>
      <c r="AR40" s="1820"/>
      <c r="AS40" s="1820"/>
      <c r="AT40" s="1820"/>
      <c r="AU40" s="1820"/>
      <c r="AV40" s="1820"/>
      <c r="AW40" s="1820"/>
      <c r="AX40" s="1820"/>
      <c r="AY40" s="280"/>
      <c r="AZ40" s="280"/>
      <c r="BA40" s="280"/>
      <c r="BB40" s="280"/>
      <c r="BC40" s="280"/>
      <c r="BD40" s="280"/>
      <c r="BE40" s="280"/>
      <c r="BF40" s="280"/>
      <c r="BG40" s="280"/>
      <c r="BH40" s="280"/>
    </row>
    <row r="41" spans="1:64" s="37" customFormat="1" ht="21.75" customHeight="1">
      <c r="A41" s="263"/>
      <c r="B41" s="332" t="s">
        <v>58</v>
      </c>
      <c r="C41" s="263"/>
      <c r="D41" s="263"/>
      <c r="E41" s="263"/>
      <c r="F41" s="2790" t="str">
        <f>activesheet!E22</f>
        <v>SECONDARY SCHOOL PRINCIPAL IV</v>
      </c>
      <c r="G41" s="2790"/>
      <c r="H41" s="2790"/>
      <c r="I41" s="2790"/>
      <c r="J41" s="2790"/>
      <c r="K41" s="2790"/>
      <c r="L41" s="2790"/>
      <c r="M41" s="2790"/>
      <c r="N41" s="2790"/>
      <c r="O41" s="2790"/>
      <c r="P41" s="263"/>
      <c r="Q41" s="263"/>
      <c r="R41" s="263"/>
      <c r="S41" s="332" t="s">
        <v>58</v>
      </c>
      <c r="T41" s="263"/>
      <c r="U41" s="263"/>
      <c r="V41" s="263"/>
      <c r="W41" s="2790" t="str">
        <f>activesheet!E2418</f>
        <v>NURSE II</v>
      </c>
      <c r="X41" s="2790"/>
      <c r="Y41" s="2790"/>
      <c r="Z41" s="2790"/>
      <c r="AA41" s="2790"/>
      <c r="AB41" s="2790"/>
      <c r="AC41" s="2790"/>
      <c r="AD41" s="2790"/>
      <c r="AE41" s="2790"/>
      <c r="AF41" s="2790"/>
      <c r="AG41" s="2790"/>
      <c r="AH41" s="263"/>
      <c r="AI41" s="263"/>
      <c r="AJ41" s="263"/>
      <c r="AK41" s="1811" t="s">
        <v>37</v>
      </c>
      <c r="AL41" s="1811"/>
      <c r="AM41" s="1811"/>
      <c r="AN41" s="1811"/>
      <c r="AO41" s="1811"/>
      <c r="AP41" s="1811"/>
      <c r="AQ41" s="1811"/>
      <c r="AR41" s="1811"/>
      <c r="AS41" s="1811"/>
      <c r="AT41" s="1811"/>
      <c r="AU41" s="1811"/>
      <c r="AV41" s="1811"/>
      <c r="AW41" s="1811"/>
      <c r="AX41" s="1811"/>
      <c r="AY41" s="263"/>
      <c r="AZ41" s="263"/>
      <c r="BA41" s="263"/>
      <c r="BB41" s="263"/>
      <c r="BC41" s="263"/>
      <c r="BD41" s="263"/>
      <c r="BE41" s="263"/>
      <c r="BF41" s="263"/>
      <c r="BG41" s="263"/>
      <c r="BH41" s="263"/>
    </row>
    <row r="42" spans="1:64">
      <c r="A42" s="434"/>
      <c r="B42" s="434"/>
      <c r="C42" s="434"/>
      <c r="D42" s="434"/>
      <c r="E42" s="434"/>
      <c r="F42" s="434"/>
      <c r="G42" s="434"/>
      <c r="H42" s="434"/>
      <c r="I42" s="434"/>
      <c r="J42" s="434"/>
      <c r="K42" s="434"/>
      <c r="L42" s="434"/>
      <c r="M42" s="434"/>
      <c r="N42" s="434"/>
      <c r="O42" s="434"/>
      <c r="P42" s="434"/>
      <c r="Q42" s="434"/>
      <c r="R42" s="434"/>
      <c r="S42" s="434"/>
      <c r="T42" s="434"/>
      <c r="U42" s="434"/>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4"/>
      <c r="AU42" s="434"/>
      <c r="AV42" s="434"/>
      <c r="AW42" s="434"/>
      <c r="AX42" s="434"/>
      <c r="AY42" s="434"/>
      <c r="AZ42" s="434"/>
      <c r="BA42" s="434"/>
      <c r="BB42" s="434"/>
      <c r="BC42" s="434"/>
      <c r="BD42" s="434"/>
      <c r="BE42" s="434"/>
      <c r="BF42" s="434"/>
      <c r="BG42" s="434"/>
      <c r="BH42" s="434"/>
    </row>
    <row r="43" spans="1:64">
      <c r="A43" s="434"/>
      <c r="B43" s="434"/>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4"/>
      <c r="AU43" s="434"/>
      <c r="AV43" s="434"/>
      <c r="AW43" s="434"/>
      <c r="AX43" s="434"/>
      <c r="AY43" s="434"/>
      <c r="AZ43" s="434"/>
      <c r="BA43" s="434"/>
      <c r="BB43" s="434"/>
      <c r="BC43" s="434"/>
      <c r="BD43" s="434"/>
      <c r="BE43" s="434"/>
      <c r="BF43" s="434"/>
      <c r="BG43" s="434"/>
      <c r="BH43" s="434"/>
    </row>
    <row r="44" spans="1:64">
      <c r="A44" s="434"/>
      <c r="B44" s="434"/>
      <c r="C44" s="434"/>
      <c r="D44" s="434"/>
      <c r="E44" s="434"/>
      <c r="F44" s="434"/>
      <c r="G44" s="434"/>
      <c r="H44" s="434"/>
      <c r="I44" s="434"/>
      <c r="J44" s="434"/>
      <c r="K44" s="434"/>
      <c r="L44" s="434"/>
      <c r="M44" s="434"/>
      <c r="N44" s="434"/>
      <c r="O44" s="434"/>
      <c r="P44" s="434"/>
      <c r="Q44" s="434"/>
      <c r="R44" s="434"/>
      <c r="S44" s="434"/>
      <c r="T44" s="434"/>
      <c r="U44" s="434"/>
      <c r="V44" s="434"/>
      <c r="W44" s="434"/>
      <c r="X44" s="434"/>
      <c r="Y44" s="434"/>
      <c r="Z44" s="434"/>
      <c r="AA44" s="434"/>
      <c r="AB44" s="434"/>
      <c r="AC44" s="434"/>
      <c r="AD44" s="434"/>
      <c r="AE44" s="434"/>
      <c r="AF44" s="434"/>
      <c r="AG44" s="434"/>
      <c r="AH44" s="434"/>
      <c r="AI44" s="434"/>
      <c r="AJ44" s="434"/>
      <c r="AK44" s="434"/>
      <c r="AL44" s="434"/>
      <c r="AM44" s="434"/>
      <c r="AN44" s="434"/>
      <c r="AO44" s="434"/>
      <c r="AP44" s="434"/>
      <c r="AQ44" s="434"/>
      <c r="AR44" s="434"/>
      <c r="AS44" s="434"/>
      <c r="AT44" s="434"/>
      <c r="AU44" s="434"/>
      <c r="AV44" s="434"/>
      <c r="AW44" s="434"/>
      <c r="AX44" s="434"/>
      <c r="AY44" s="434"/>
      <c r="AZ44" s="434"/>
      <c r="BA44" s="434"/>
      <c r="BB44" s="434"/>
      <c r="BC44" s="434"/>
      <c r="BD44" s="434"/>
      <c r="BE44" s="434"/>
      <c r="BF44" s="434"/>
      <c r="BG44" s="434"/>
      <c r="BH44" s="434"/>
    </row>
    <row r="45" spans="1:64">
      <c r="A45" s="434"/>
      <c r="B45" s="434"/>
      <c r="C45" s="434"/>
      <c r="D45" s="434"/>
      <c r="E45" s="434"/>
      <c r="F45" s="434"/>
      <c r="G45" s="434"/>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4"/>
      <c r="AU45" s="434"/>
      <c r="AV45" s="434"/>
      <c r="AW45" s="434"/>
      <c r="AX45" s="434"/>
      <c r="AY45" s="434"/>
      <c r="AZ45" s="434"/>
      <c r="BA45" s="434"/>
      <c r="BB45" s="434"/>
      <c r="BC45" s="434"/>
      <c r="BD45" s="434"/>
      <c r="BE45" s="434"/>
      <c r="BF45" s="434"/>
      <c r="BG45" s="434"/>
      <c r="BH45" s="434"/>
    </row>
    <row r="46" spans="1:64">
      <c r="A46" s="434"/>
      <c r="B46" s="434"/>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4"/>
      <c r="AU46" s="434"/>
      <c r="AV46" s="434"/>
      <c r="AW46" s="434"/>
      <c r="AX46" s="434"/>
      <c r="AY46" s="434"/>
      <c r="AZ46" s="434"/>
      <c r="BA46" s="434"/>
      <c r="BB46" s="434"/>
      <c r="BC46" s="434"/>
      <c r="BD46" s="434"/>
      <c r="BE46" s="434"/>
      <c r="BF46" s="434"/>
      <c r="BG46" s="434"/>
      <c r="BH46" s="434"/>
    </row>
    <row r="47" spans="1:64">
      <c r="A47" s="434"/>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4"/>
      <c r="AU47" s="434"/>
      <c r="AV47" s="434"/>
      <c r="AW47" s="434"/>
      <c r="AX47" s="434"/>
      <c r="AY47" s="434"/>
      <c r="AZ47" s="434"/>
      <c r="BA47" s="434"/>
      <c r="BB47" s="434"/>
      <c r="BC47" s="434"/>
      <c r="BD47" s="434"/>
      <c r="BE47" s="434"/>
      <c r="BF47" s="434"/>
      <c r="BG47" s="434"/>
      <c r="BH47" s="434"/>
    </row>
    <row r="48" spans="1:64">
      <c r="A48" s="434"/>
      <c r="B48" s="434"/>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row>
    <row r="49" spans="1:60">
      <c r="A49" s="434"/>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4"/>
      <c r="AU49" s="434"/>
      <c r="AV49" s="434"/>
      <c r="AW49" s="434"/>
      <c r="AX49" s="434"/>
      <c r="AY49" s="434"/>
      <c r="AZ49" s="434"/>
      <c r="BA49" s="434"/>
      <c r="BB49" s="434"/>
      <c r="BC49" s="434"/>
      <c r="BD49" s="434"/>
      <c r="BE49" s="434"/>
      <c r="BF49" s="434"/>
      <c r="BG49" s="434"/>
      <c r="BH49" s="434"/>
    </row>
    <row r="50" spans="1:60">
      <c r="A50" s="434"/>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c r="AD50" s="434"/>
      <c r="AE50" s="434"/>
      <c r="AF50" s="434"/>
      <c r="AG50" s="434"/>
      <c r="AH50" s="434"/>
      <c r="AI50" s="434"/>
      <c r="AJ50" s="434"/>
      <c r="AK50" s="434"/>
      <c r="AL50" s="434"/>
      <c r="AM50" s="434"/>
      <c r="AN50" s="434"/>
      <c r="AO50" s="434"/>
      <c r="AP50" s="434"/>
      <c r="AQ50" s="434"/>
      <c r="AR50" s="434"/>
      <c r="AS50" s="434"/>
      <c r="AT50" s="434"/>
      <c r="AU50" s="434"/>
      <c r="AV50" s="434"/>
      <c r="AW50" s="434"/>
      <c r="AX50" s="434"/>
      <c r="AY50" s="434"/>
      <c r="AZ50" s="434"/>
      <c r="BA50" s="434"/>
      <c r="BB50" s="434"/>
      <c r="BC50" s="434"/>
      <c r="BD50" s="434"/>
      <c r="BE50" s="434"/>
      <c r="BF50" s="434"/>
      <c r="BG50" s="434"/>
      <c r="BH50" s="434"/>
    </row>
    <row r="51" spans="1:60">
      <c r="A51" s="434"/>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c r="AD51" s="434"/>
      <c r="AE51" s="434"/>
      <c r="AF51" s="434"/>
      <c r="AG51" s="434"/>
      <c r="AH51" s="434"/>
      <c r="AI51" s="434"/>
      <c r="AJ51" s="434"/>
      <c r="AK51" s="434"/>
      <c r="AL51" s="434"/>
      <c r="AM51" s="434"/>
      <c r="AN51" s="434"/>
      <c r="AO51" s="434"/>
      <c r="AP51" s="434"/>
      <c r="AQ51" s="434"/>
      <c r="AR51" s="434"/>
      <c r="AS51" s="434"/>
      <c r="AT51" s="434"/>
      <c r="AU51" s="434"/>
      <c r="AV51" s="434"/>
      <c r="AW51" s="434"/>
      <c r="AX51" s="434"/>
      <c r="AY51" s="434"/>
      <c r="AZ51" s="434"/>
      <c r="BA51" s="434"/>
      <c r="BB51" s="434"/>
      <c r="BC51" s="434"/>
      <c r="BD51" s="434"/>
      <c r="BE51" s="434"/>
      <c r="BF51" s="434"/>
      <c r="BG51" s="434"/>
      <c r="BH51" s="434"/>
    </row>
    <row r="52" spans="1:60">
      <c r="A52" s="434"/>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c r="AD52" s="434"/>
      <c r="AE52" s="434"/>
      <c r="AF52" s="434"/>
      <c r="AG52" s="434"/>
      <c r="AH52" s="434"/>
      <c r="AI52" s="434"/>
      <c r="AJ52" s="434"/>
      <c r="AK52" s="434"/>
      <c r="AL52" s="434"/>
      <c r="AM52" s="434"/>
      <c r="AN52" s="434"/>
      <c r="AO52" s="434"/>
      <c r="AP52" s="434"/>
      <c r="AQ52" s="434"/>
      <c r="AR52" s="434"/>
      <c r="AS52" s="434"/>
      <c r="AT52" s="434"/>
      <c r="AU52" s="434"/>
      <c r="AV52" s="434"/>
      <c r="AW52" s="434"/>
      <c r="AX52" s="434"/>
      <c r="AY52" s="434"/>
      <c r="AZ52" s="434"/>
      <c r="BA52" s="434"/>
      <c r="BB52" s="434"/>
      <c r="BC52" s="434"/>
      <c r="BD52" s="434"/>
      <c r="BE52" s="434"/>
      <c r="BF52" s="434"/>
      <c r="BG52" s="434"/>
      <c r="BH52" s="434"/>
    </row>
    <row r="53" spans="1:60">
      <c r="A53" s="434"/>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c r="AD53" s="434"/>
      <c r="AE53" s="434"/>
      <c r="AF53" s="434"/>
      <c r="AG53" s="434"/>
      <c r="AH53" s="434"/>
      <c r="AI53" s="434"/>
      <c r="AJ53" s="434"/>
      <c r="AK53" s="434"/>
      <c r="AL53" s="434"/>
      <c r="AM53" s="434"/>
      <c r="AN53" s="434"/>
      <c r="AO53" s="434"/>
      <c r="AP53" s="434"/>
      <c r="AQ53" s="434"/>
      <c r="AR53" s="434"/>
      <c r="AS53" s="434"/>
      <c r="AT53" s="434"/>
      <c r="AU53" s="434"/>
      <c r="AV53" s="434"/>
      <c r="AW53" s="434"/>
      <c r="AX53" s="434"/>
      <c r="AY53" s="434"/>
      <c r="AZ53" s="434"/>
      <c r="BA53" s="434"/>
      <c r="BB53" s="434"/>
      <c r="BC53" s="434"/>
      <c r="BD53" s="434"/>
      <c r="BE53" s="434"/>
      <c r="BF53" s="434"/>
      <c r="BG53" s="434"/>
      <c r="BH53" s="434"/>
    </row>
    <row r="54" spans="1:60">
      <c r="A54" s="434"/>
      <c r="B54" s="434"/>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c r="BB54" s="434"/>
      <c r="BC54" s="434"/>
      <c r="BD54" s="434"/>
      <c r="BE54" s="434"/>
      <c r="BF54" s="434"/>
      <c r="BG54" s="434"/>
      <c r="BH54" s="434"/>
    </row>
    <row r="55" spans="1:60">
      <c r="A55" s="434"/>
      <c r="B55" s="434"/>
      <c r="C55" s="434"/>
      <c r="D55" s="434"/>
      <c r="E55" s="434"/>
      <c r="F55" s="434"/>
      <c r="G55" s="434"/>
      <c r="H55" s="434"/>
      <c r="I55" s="434"/>
      <c r="J55" s="434"/>
      <c r="K55" s="434"/>
      <c r="L55" s="434"/>
      <c r="M55" s="434"/>
      <c r="N55" s="434"/>
      <c r="O55" s="434"/>
      <c r="P55" s="434"/>
      <c r="Q55" s="434"/>
      <c r="R55" s="434"/>
      <c r="S55" s="434"/>
      <c r="T55" s="434"/>
      <c r="U55" s="434"/>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4"/>
      <c r="AU55" s="434"/>
      <c r="AV55" s="434"/>
      <c r="AW55" s="434"/>
      <c r="AX55" s="434"/>
      <c r="AY55" s="434"/>
      <c r="AZ55" s="434"/>
      <c r="BA55" s="434"/>
      <c r="BB55" s="434"/>
      <c r="BC55" s="434"/>
      <c r="BD55" s="434"/>
      <c r="BE55" s="434"/>
      <c r="BF55" s="434"/>
      <c r="BG55" s="434"/>
      <c r="BH55" s="434"/>
    </row>
    <row r="56" spans="1:60">
      <c r="A56" s="434"/>
      <c r="B56" s="434"/>
      <c r="C56" s="434"/>
      <c r="D56" s="434"/>
      <c r="E56" s="434"/>
      <c r="F56" s="434"/>
      <c r="G56" s="434"/>
      <c r="H56" s="434"/>
      <c r="I56" s="434"/>
      <c r="J56" s="434"/>
      <c r="K56" s="434"/>
      <c r="L56" s="434"/>
      <c r="M56" s="434"/>
      <c r="N56" s="434"/>
      <c r="O56" s="434"/>
      <c r="P56" s="434"/>
      <c r="Q56" s="434"/>
      <c r="R56" s="434"/>
      <c r="S56" s="434"/>
      <c r="T56" s="434"/>
      <c r="U56" s="434"/>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4"/>
      <c r="AU56" s="434"/>
      <c r="AV56" s="434"/>
      <c r="AW56" s="434"/>
      <c r="AX56" s="434"/>
      <c r="AY56" s="434"/>
      <c r="AZ56" s="434"/>
      <c r="BA56" s="434"/>
      <c r="BB56" s="434"/>
      <c r="BC56" s="434"/>
      <c r="BD56" s="434"/>
      <c r="BE56" s="434"/>
      <c r="BF56" s="434"/>
      <c r="BG56" s="434"/>
      <c r="BH56" s="434"/>
    </row>
  </sheetData>
  <sheetProtection algorithmName="SHA-512" hashValue="BVupbicx2rc895RZLNum+x3p/DGSVBLKvBy+sNaQ43P80oqEpcHx/s5E+5YRLOmi8MUJ5lSMwug512WStdDE0w==" saltValue="mPXu7mBR3ib1vW59C/FlMA==" spinCount="100000" sheet="1" objects="1" scenarios="1"/>
  <customSheetViews>
    <customSheetView guid="{6EFEFCA0-BF14-457A-85A3-29CBF2A862A5}" showGridLines="0" fitToPage="1" topLeftCell="C43">
      <selection activeCell="AG49" sqref="AG49"/>
      <pageMargins left="0.23622047244094491" right="0.23622047244094491" top="0.19685039370078741" bottom="0.19685039370078741" header="0" footer="0.11811023622047245"/>
      <printOptions horizontalCentered="1" verticalCentered="1"/>
      <pageSetup paperSize="9" scale="51" orientation="landscape" r:id="rId1"/>
      <headerFooter>
        <oddFooter>&amp;L&amp;10&amp;F &amp;A&amp;R&amp;10Page 33 of 61</oddFooter>
      </headerFooter>
    </customSheetView>
  </customSheetViews>
  <mergeCells count="86">
    <mergeCell ref="I7:M8"/>
    <mergeCell ref="N7:S8"/>
    <mergeCell ref="T7:Y8"/>
    <mergeCell ref="Z7:AK7"/>
    <mergeCell ref="AL7:AQ8"/>
    <mergeCell ref="Z8:AE8"/>
    <mergeCell ref="AF8:AK8"/>
    <mergeCell ref="N10:S10"/>
    <mergeCell ref="T10:Y10"/>
    <mergeCell ref="Z10:AE10"/>
    <mergeCell ref="AF10:AK10"/>
    <mergeCell ref="AL10:AQ10"/>
    <mergeCell ref="N9:S9"/>
    <mergeCell ref="T9:Y9"/>
    <mergeCell ref="Z9:AE9"/>
    <mergeCell ref="AF9:AK9"/>
    <mergeCell ref="AL9:AQ9"/>
    <mergeCell ref="I15:M16"/>
    <mergeCell ref="N15:S16"/>
    <mergeCell ref="T15:Y16"/>
    <mergeCell ref="Z15:AK15"/>
    <mergeCell ref="AL15:AQ16"/>
    <mergeCell ref="Z16:AE16"/>
    <mergeCell ref="AF16:AK16"/>
    <mergeCell ref="N11:S11"/>
    <mergeCell ref="T11:Y11"/>
    <mergeCell ref="Z11:AE11"/>
    <mergeCell ref="AF11:AK11"/>
    <mergeCell ref="AL11:AQ11"/>
    <mergeCell ref="N17:S17"/>
    <mergeCell ref="T17:Y17"/>
    <mergeCell ref="Z17:AE17"/>
    <mergeCell ref="AF17:AK17"/>
    <mergeCell ref="AL17:AQ17"/>
    <mergeCell ref="N18:S18"/>
    <mergeCell ref="T18:Y18"/>
    <mergeCell ref="Z18:AE18"/>
    <mergeCell ref="AF18:AK18"/>
    <mergeCell ref="AL18:AQ18"/>
    <mergeCell ref="I25:M25"/>
    <mergeCell ref="N25:S25"/>
    <mergeCell ref="T25:Y25"/>
    <mergeCell ref="Z25:AE25"/>
    <mergeCell ref="AF25:AK25"/>
    <mergeCell ref="N19:S19"/>
    <mergeCell ref="T19:Y19"/>
    <mergeCell ref="Z19:AE19"/>
    <mergeCell ref="AF19:AK19"/>
    <mergeCell ref="AL19:AQ19"/>
    <mergeCell ref="AL25:AQ25"/>
    <mergeCell ref="N26:S26"/>
    <mergeCell ref="T26:Y26"/>
    <mergeCell ref="Z26:AE26"/>
    <mergeCell ref="AF26:AK26"/>
    <mergeCell ref="AL26:AQ26"/>
    <mergeCell ref="N28:S28"/>
    <mergeCell ref="T28:Y28"/>
    <mergeCell ref="Z28:AE28"/>
    <mergeCell ref="AF28:AK28"/>
    <mergeCell ref="AL28:AQ28"/>
    <mergeCell ref="N27:S27"/>
    <mergeCell ref="T27:Y27"/>
    <mergeCell ref="Z27:AE27"/>
    <mergeCell ref="AF27:AK27"/>
    <mergeCell ref="AL27:AQ27"/>
    <mergeCell ref="I32:M32"/>
    <mergeCell ref="N32:S32"/>
    <mergeCell ref="T32:Y32"/>
    <mergeCell ref="Z32:AE32"/>
    <mergeCell ref="N33:S33"/>
    <mergeCell ref="T33:Y33"/>
    <mergeCell ref="Z33:AE33"/>
    <mergeCell ref="F41:O41"/>
    <mergeCell ref="W41:AG41"/>
    <mergeCell ref="AK41:AX41"/>
    <mergeCell ref="N34:S34"/>
    <mergeCell ref="T34:Y34"/>
    <mergeCell ref="Z34:AE34"/>
    <mergeCell ref="N35:S35"/>
    <mergeCell ref="T35:Y35"/>
    <mergeCell ref="Z35:AE35"/>
    <mergeCell ref="F39:O39"/>
    <mergeCell ref="S39:AG39"/>
    <mergeCell ref="AK39:AX40"/>
    <mergeCell ref="F40:O40"/>
    <mergeCell ref="S40:AG40"/>
  </mergeCells>
  <dataValidations count="2">
    <dataValidation type="whole" allowBlank="1" showInputMessage="1" showErrorMessage="1" errorTitle="GSHSP SY 2022-2023" error="Please enter valid number between 0-20,000." sqref="N9:AQ10 N17:AQ18 N26:AQ27" xr:uid="{5160BBA6-0DCC-4067-8349-067F04B25472}">
      <formula1>0</formula1>
      <formula2>20000</formula2>
    </dataValidation>
    <dataValidation type="whole" allowBlank="1" showInputMessage="1" showErrorMessage="1" errorTitle="GSHSP SY 2022-2023" error="Please enter valid number between 0-999." sqref="N33:AE34" xr:uid="{7A457E65-3BED-4DCE-8098-0D96F50DB32B}">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51" orientation="landscape" r:id="rId2"/>
  <headerFooter>
    <oddFooter>&amp;L&amp;10&amp;F &amp;A&amp;R&amp;10Page 33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15714" r:id="rId5" name="Check Box 2">
              <controlPr defaultSize="0" autoFill="0" autoLine="0" autoPict="0">
                <anchor moveWithCells="1">
                  <from>
                    <xdr:col>31</xdr:col>
                    <xdr:colOff>47625</xdr:colOff>
                    <xdr:row>20</xdr:row>
                    <xdr:rowOff>66675</xdr:rowOff>
                  </from>
                  <to>
                    <xdr:col>32</xdr:col>
                    <xdr:colOff>9525</xdr:colOff>
                    <xdr:row>20</xdr:row>
                    <xdr:rowOff>295275</xdr:rowOff>
                  </to>
                </anchor>
              </controlPr>
            </control>
          </mc:Choice>
        </mc:AlternateContent>
        <mc:AlternateContent xmlns:mc="http://schemas.openxmlformats.org/markup-compatibility/2006">
          <mc:Choice Requires="x14">
            <control shapeId="115715" r:id="rId6" name="Check Box 3">
              <controlPr defaultSize="0" autoFill="0" autoLine="0" autoPict="0">
                <anchor moveWithCells="1">
                  <from>
                    <xdr:col>26</xdr:col>
                    <xdr:colOff>28575</xdr:colOff>
                    <xdr:row>20</xdr:row>
                    <xdr:rowOff>66675</xdr:rowOff>
                  </from>
                  <to>
                    <xdr:col>26</xdr:col>
                    <xdr:colOff>257175</xdr:colOff>
                    <xdr:row>20</xdr:row>
                    <xdr:rowOff>295275</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8F25-44CA-42D8-86C1-420B0FA70F18}">
  <sheetPr codeName="Sheet37">
    <tabColor rgb="FFFFFF00"/>
    <pageSetUpPr fitToPage="1"/>
  </sheetPr>
  <dimension ref="A1:BN67"/>
  <sheetViews>
    <sheetView showGridLines="0" zoomScaleNormal="100" zoomScaleSheetLayoutView="80" workbookViewId="0">
      <selection sqref="A1:AZ51"/>
    </sheetView>
  </sheetViews>
  <sheetFormatPr defaultColWidth="9" defaultRowHeight="15.75"/>
  <cols>
    <col min="1" max="1" width="2.125" style="126" customWidth="1"/>
    <col min="2" max="49" width="3.625" style="126" customWidth="1"/>
    <col min="50" max="50" width="2.125" style="126" customWidth="1"/>
    <col min="51" max="66" width="3.625" style="126" customWidth="1"/>
    <col min="67" max="16384" width="9" style="126"/>
  </cols>
  <sheetData>
    <row r="1" spans="1:66" ht="12" customHeight="1">
      <c r="A1" s="1085"/>
      <c r="B1" s="1085"/>
      <c r="C1" s="1085"/>
      <c r="D1" s="1085"/>
      <c r="E1" s="1085"/>
      <c r="F1" s="1085"/>
      <c r="G1" s="1085"/>
      <c r="H1" s="1085"/>
      <c r="I1" s="1085"/>
      <c r="J1" s="1085"/>
      <c r="K1" s="1085"/>
      <c r="L1" s="1085"/>
      <c r="M1" s="1085"/>
      <c r="N1" s="1085"/>
      <c r="O1" s="1085"/>
      <c r="P1" s="1085"/>
      <c r="Q1" s="1085"/>
      <c r="R1" s="1085"/>
      <c r="S1" s="1085"/>
      <c r="T1" s="1085"/>
      <c r="U1" s="1085"/>
      <c r="V1" s="1085"/>
      <c r="W1" s="1085"/>
      <c r="X1" s="1085"/>
      <c r="Y1" s="1085"/>
      <c r="Z1" s="1085"/>
      <c r="AA1" s="1085"/>
      <c r="AB1" s="1085"/>
      <c r="AC1" s="1085"/>
      <c r="AD1" s="1085"/>
      <c r="AE1" s="1085"/>
      <c r="AF1" s="1085"/>
      <c r="AG1" s="1085"/>
      <c r="AH1" s="1085"/>
      <c r="AI1" s="1085"/>
      <c r="AJ1" s="1085"/>
      <c r="AK1" s="1085"/>
      <c r="AL1" s="1085"/>
      <c r="AM1" s="1085"/>
      <c r="AN1" s="1085"/>
      <c r="AO1" s="1085"/>
      <c r="AP1" s="1085"/>
      <c r="AQ1" s="1085"/>
      <c r="AR1" s="1085"/>
      <c r="AS1" s="1085"/>
      <c r="AT1" s="1085"/>
      <c r="AU1" s="1085"/>
      <c r="AV1" s="1085"/>
      <c r="AW1" s="1085"/>
      <c r="AX1" s="1085"/>
      <c r="AY1" s="1085"/>
      <c r="AZ1" s="1085"/>
      <c r="BA1" s="1085"/>
      <c r="BB1" s="1085"/>
      <c r="BC1" s="1085"/>
      <c r="BD1" s="1085"/>
      <c r="BE1" s="1085"/>
      <c r="BF1" s="1085"/>
      <c r="BG1" s="1085"/>
      <c r="BH1" s="1085"/>
      <c r="BI1" s="1085"/>
      <c r="BJ1" s="1085"/>
      <c r="BK1" s="1085"/>
      <c r="BL1" s="1085"/>
      <c r="BM1" s="1085"/>
      <c r="BN1" s="1085"/>
    </row>
    <row r="2" spans="1:66" s="44" customFormat="1">
      <c r="A2" s="434"/>
      <c r="B2" s="434"/>
      <c r="C2" s="611" t="s">
        <v>11419</v>
      </c>
      <c r="D2" s="611"/>
      <c r="E2" s="611"/>
      <c r="F2" s="611"/>
      <c r="G2" s="611"/>
      <c r="H2" s="611"/>
      <c r="I2" s="611"/>
      <c r="J2" s="611"/>
      <c r="K2" s="611"/>
      <c r="L2" s="611"/>
      <c r="M2" s="612"/>
      <c r="N2" s="612"/>
      <c r="O2" s="612"/>
      <c r="P2" s="612"/>
      <c r="Q2" s="612"/>
      <c r="R2" s="612"/>
      <c r="S2" s="612"/>
      <c r="T2" s="612"/>
      <c r="U2" s="612"/>
      <c r="V2" s="612"/>
      <c r="W2" s="612"/>
      <c r="X2" s="612"/>
      <c r="Y2" s="612"/>
      <c r="Z2" s="612"/>
      <c r="AA2" s="612"/>
      <c r="AB2" s="612"/>
      <c r="AC2" s="612"/>
      <c r="AD2" s="612"/>
      <c r="AE2" s="612"/>
      <c r="AF2" s="612"/>
      <c r="AG2" s="612"/>
      <c r="AH2" s="612"/>
      <c r="AI2" s="612"/>
      <c r="AJ2" s="612"/>
      <c r="AK2" s="612"/>
      <c r="AL2" s="612"/>
      <c r="AM2" s="611"/>
      <c r="AN2" s="434"/>
      <c r="AO2" s="434"/>
      <c r="AP2" s="434"/>
      <c r="AQ2" s="434"/>
      <c r="AR2" s="434"/>
      <c r="AS2" s="434"/>
      <c r="AT2" s="434"/>
      <c r="AU2" s="434"/>
      <c r="AV2" s="434"/>
      <c r="AW2" s="434"/>
      <c r="AX2" s="434"/>
      <c r="AY2" s="434"/>
      <c r="AZ2" s="434"/>
      <c r="BA2" s="434"/>
      <c r="BB2" s="434"/>
      <c r="BC2" s="434"/>
      <c r="BD2" s="434"/>
      <c r="BE2" s="434"/>
      <c r="BF2" s="434"/>
      <c r="BG2" s="434"/>
      <c r="BH2" s="434"/>
      <c r="BI2" s="434"/>
      <c r="BJ2" s="434"/>
      <c r="BK2" s="434"/>
      <c r="BL2" s="434"/>
      <c r="BM2" s="434"/>
      <c r="BN2" s="434"/>
    </row>
    <row r="3" spans="1:66" s="40" customFormat="1" ht="16.5" thickBot="1">
      <c r="A3" s="582"/>
      <c r="B3" s="582"/>
      <c r="C3" s="583" t="s">
        <v>1017</v>
      </c>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c r="BB3" s="582"/>
      <c r="BC3" s="582"/>
      <c r="BD3" s="582"/>
      <c r="BE3" s="582"/>
      <c r="BF3" s="582"/>
      <c r="BG3" s="582"/>
      <c r="BH3" s="582"/>
      <c r="BI3" s="582"/>
      <c r="BJ3" s="582"/>
      <c r="BK3" s="582"/>
      <c r="BL3" s="582"/>
      <c r="BM3" s="582"/>
      <c r="BN3" s="582"/>
    </row>
    <row r="4" spans="1:66" s="44" customFormat="1" ht="5.25" customHeight="1">
      <c r="A4" s="434"/>
      <c r="B4" s="434"/>
      <c r="C4" s="648"/>
      <c r="D4" s="984"/>
      <c r="E4" s="984"/>
      <c r="F4" s="985"/>
      <c r="G4" s="985"/>
      <c r="H4" s="985"/>
      <c r="I4" s="985"/>
      <c r="J4" s="985"/>
      <c r="K4" s="985"/>
      <c r="L4" s="985"/>
      <c r="M4" s="985"/>
      <c r="N4" s="985"/>
      <c r="O4" s="985"/>
      <c r="P4" s="985"/>
      <c r="Q4" s="985"/>
      <c r="R4" s="985"/>
      <c r="S4" s="985"/>
      <c r="T4" s="985"/>
      <c r="U4" s="985"/>
      <c r="V4" s="985"/>
      <c r="W4" s="985"/>
      <c r="X4" s="985"/>
      <c r="Y4" s="985"/>
      <c r="Z4" s="685"/>
      <c r="AA4" s="685"/>
      <c r="AB4" s="685"/>
      <c r="AC4" s="685"/>
      <c r="AD4" s="685"/>
      <c r="AE4" s="685"/>
      <c r="AF4" s="586"/>
      <c r="AG4" s="986"/>
      <c r="AH4" s="986"/>
      <c r="AI4" s="986"/>
      <c r="AJ4" s="986"/>
      <c r="AK4" s="986"/>
      <c r="AL4" s="986"/>
      <c r="AM4" s="685"/>
      <c r="AN4" s="685"/>
      <c r="AO4" s="685"/>
      <c r="AP4" s="685"/>
      <c r="AQ4" s="685"/>
      <c r="AR4" s="685"/>
      <c r="AS4" s="685"/>
      <c r="AT4" s="685"/>
      <c r="AU4" s="685"/>
      <c r="AV4" s="987"/>
      <c r="AW4" s="434"/>
      <c r="AX4" s="434"/>
      <c r="AY4" s="434"/>
      <c r="AZ4" s="434"/>
      <c r="BA4" s="434"/>
      <c r="BB4" s="434"/>
      <c r="BC4" s="593"/>
      <c r="BD4" s="593"/>
      <c r="BE4" s="593"/>
      <c r="BF4" s="593"/>
      <c r="BG4" s="434"/>
      <c r="BH4" s="434"/>
      <c r="BI4" s="434"/>
      <c r="BJ4" s="434"/>
      <c r="BK4" s="434"/>
      <c r="BL4" s="434"/>
      <c r="BM4" s="434"/>
      <c r="BN4" s="434"/>
    </row>
    <row r="5" spans="1:66" s="44" customFormat="1" ht="19.5">
      <c r="A5" s="434"/>
      <c r="B5" s="434"/>
      <c r="C5" s="988"/>
      <c r="D5" s="434"/>
      <c r="E5" s="1048" t="s">
        <v>47</v>
      </c>
      <c r="F5" s="989" t="s">
        <v>653</v>
      </c>
      <c r="G5" s="990"/>
      <c r="H5" s="990"/>
      <c r="I5" s="990"/>
      <c r="J5" s="990"/>
      <c r="K5" s="990"/>
      <c r="L5" s="990"/>
      <c r="M5" s="990"/>
      <c r="N5" s="990"/>
      <c r="O5" s="990"/>
      <c r="P5" s="990"/>
      <c r="Q5" s="990"/>
      <c r="R5" s="990"/>
      <c r="S5" s="990"/>
      <c r="T5" s="990"/>
      <c r="U5" s="990"/>
      <c r="V5" s="990"/>
      <c r="W5" s="990"/>
      <c r="X5" s="990"/>
      <c r="Y5" s="990"/>
      <c r="Z5" s="990"/>
      <c r="AA5" s="861"/>
      <c r="AB5" s="434"/>
      <c r="AC5" s="861"/>
      <c r="AD5" s="593"/>
      <c r="AE5" s="593"/>
      <c r="AF5" s="434"/>
      <c r="AG5" s="434"/>
      <c r="AH5" s="861"/>
      <c r="AI5" s="593"/>
      <c r="AJ5" s="593"/>
      <c r="AK5" s="593"/>
      <c r="AL5" s="593"/>
      <c r="AM5" s="593"/>
      <c r="AN5" s="593"/>
      <c r="AO5" s="434"/>
      <c r="AP5" s="861"/>
      <c r="AQ5" s="861"/>
      <c r="AR5" s="861"/>
      <c r="AS5" s="861"/>
      <c r="AT5" s="861"/>
      <c r="AU5" s="861"/>
      <c r="AV5" s="991"/>
      <c r="AW5" s="434"/>
      <c r="AX5" s="434"/>
      <c r="AY5" s="434"/>
      <c r="AZ5" s="434"/>
      <c r="BA5" s="434"/>
      <c r="BB5" s="434"/>
      <c r="BC5" s="593"/>
      <c r="BD5" s="593"/>
      <c r="BE5" s="593"/>
      <c r="BF5" s="593"/>
      <c r="BG5" s="434"/>
      <c r="BH5" s="434"/>
      <c r="BI5" s="434"/>
      <c r="BJ5" s="434"/>
      <c r="BK5" s="434"/>
      <c r="BL5" s="434"/>
      <c r="BM5" s="434"/>
      <c r="BN5" s="434"/>
    </row>
    <row r="6" spans="1:66" s="44" customFormat="1" ht="19.5">
      <c r="A6" s="434"/>
      <c r="B6" s="434"/>
      <c r="C6" s="988"/>
      <c r="D6" s="434"/>
      <c r="E6" s="434"/>
      <c r="F6" s="1048" t="s">
        <v>396</v>
      </c>
      <c r="G6" s="989" t="s">
        <v>654</v>
      </c>
      <c r="H6" s="990"/>
      <c r="I6" s="990"/>
      <c r="J6" s="990"/>
      <c r="K6" s="990"/>
      <c r="L6" s="990"/>
      <c r="M6" s="990"/>
      <c r="N6" s="990"/>
      <c r="O6" s="990"/>
      <c r="P6" s="990"/>
      <c r="Q6" s="990"/>
      <c r="R6" s="990"/>
      <c r="S6" s="990"/>
      <c r="T6" s="990"/>
      <c r="U6" s="861"/>
      <c r="V6" s="593"/>
      <c r="W6" s="593"/>
      <c r="X6" s="434"/>
      <c r="Y6" s="434"/>
      <c r="Z6" s="861"/>
      <c r="AA6" s="593"/>
      <c r="AB6" s="434"/>
      <c r="AC6" s="434"/>
      <c r="AD6" s="434"/>
      <c r="AE6" s="434"/>
      <c r="AF6" s="434"/>
      <c r="AG6" s="861"/>
      <c r="AH6" s="593"/>
      <c r="AI6" s="873" t="b">
        <v>1</v>
      </c>
      <c r="AJ6" s="593" t="s">
        <v>484</v>
      </c>
      <c r="AK6" s="593"/>
      <c r="AL6" s="434"/>
      <c r="AM6" s="434"/>
      <c r="AN6" s="873"/>
      <c r="AO6" s="593" t="s">
        <v>485</v>
      </c>
      <c r="AP6" s="434"/>
      <c r="AQ6" s="434"/>
      <c r="AR6" s="434"/>
      <c r="AS6" s="434"/>
      <c r="AT6" s="434"/>
      <c r="AU6" s="434"/>
      <c r="AV6" s="991"/>
      <c r="AW6" s="434"/>
      <c r="AX6" s="434"/>
      <c r="AY6" s="434"/>
      <c r="AZ6" s="434"/>
      <c r="BA6" s="434"/>
      <c r="BB6" s="434"/>
      <c r="BC6" s="593"/>
      <c r="BD6" s="593"/>
      <c r="BE6" s="593"/>
      <c r="BF6" s="593"/>
      <c r="BG6" s="434"/>
      <c r="BH6" s="434"/>
      <c r="BI6" s="434"/>
      <c r="BJ6" s="434"/>
      <c r="BK6" s="434"/>
      <c r="BL6" s="434"/>
      <c r="BM6" s="434"/>
      <c r="BN6" s="434"/>
    </row>
    <row r="7" spans="1:66" s="44" customFormat="1" ht="30" customHeight="1">
      <c r="A7" s="434"/>
      <c r="B7" s="434"/>
      <c r="C7" s="988"/>
      <c r="D7" s="434"/>
      <c r="E7" s="434"/>
      <c r="F7" s="638" t="s">
        <v>397</v>
      </c>
      <c r="G7" s="3425" t="s">
        <v>655</v>
      </c>
      <c r="H7" s="3425"/>
      <c r="I7" s="3425"/>
      <c r="J7" s="3425"/>
      <c r="K7" s="3425"/>
      <c r="L7" s="3425"/>
      <c r="M7" s="3425"/>
      <c r="N7" s="3425"/>
      <c r="O7" s="3425"/>
      <c r="P7" s="3425"/>
      <c r="Q7" s="3425"/>
      <c r="R7" s="3425"/>
      <c r="S7" s="3425"/>
      <c r="T7" s="3425"/>
      <c r="U7" s="3425"/>
      <c r="V7" s="3425"/>
      <c r="W7" s="3425"/>
      <c r="X7" s="3425"/>
      <c r="Y7" s="3425"/>
      <c r="Z7" s="3425"/>
      <c r="AA7" s="3425"/>
      <c r="AB7" s="3425"/>
      <c r="AC7" s="3425"/>
      <c r="AD7" s="3425"/>
      <c r="AE7" s="3425"/>
      <c r="AF7" s="434"/>
      <c r="AG7" s="625"/>
      <c r="AH7" s="582"/>
      <c r="AI7" s="610" t="b">
        <v>1</v>
      </c>
      <c r="AJ7" s="582" t="s">
        <v>484</v>
      </c>
      <c r="AK7" s="582"/>
      <c r="AL7" s="591"/>
      <c r="AM7" s="591"/>
      <c r="AN7" s="610"/>
      <c r="AO7" s="582" t="s">
        <v>485</v>
      </c>
      <c r="AP7" s="434"/>
      <c r="AQ7" s="434"/>
      <c r="AR7" s="434"/>
      <c r="AS7" s="434"/>
      <c r="AT7" s="434"/>
      <c r="AU7" s="861"/>
      <c r="AV7" s="991"/>
      <c r="AW7" s="434"/>
      <c r="AX7" s="434"/>
      <c r="AY7" s="434"/>
      <c r="AZ7" s="434"/>
      <c r="BA7" s="434"/>
      <c r="BB7" s="434"/>
      <c r="BC7" s="593"/>
      <c r="BD7" s="593"/>
      <c r="BE7" s="593"/>
      <c r="BF7" s="593"/>
      <c r="BG7" s="434"/>
      <c r="BH7" s="434"/>
      <c r="BI7" s="434"/>
      <c r="BJ7" s="434"/>
      <c r="BK7" s="434"/>
      <c r="BL7" s="434"/>
      <c r="BM7" s="434"/>
      <c r="BN7" s="434"/>
    </row>
    <row r="8" spans="1:66" s="44" customFormat="1" ht="2.25" hidden="1" customHeight="1">
      <c r="A8" s="434"/>
      <c r="B8" s="434"/>
      <c r="C8" s="988"/>
      <c r="D8" s="434"/>
      <c r="E8" s="434"/>
      <c r="F8" s="1086"/>
      <c r="G8" s="989"/>
      <c r="H8" s="990"/>
      <c r="I8" s="990"/>
      <c r="J8" s="990"/>
      <c r="K8" s="990"/>
      <c r="L8" s="990"/>
      <c r="M8" s="990"/>
      <c r="N8" s="990"/>
      <c r="O8" s="990"/>
      <c r="P8" s="990"/>
      <c r="Q8" s="990"/>
      <c r="R8" s="990"/>
      <c r="S8" s="990"/>
      <c r="T8" s="990"/>
      <c r="U8" s="990"/>
      <c r="V8" s="990"/>
      <c r="W8" s="990"/>
      <c r="X8" s="990"/>
      <c r="Y8" s="990"/>
      <c r="Z8" s="990"/>
      <c r="AA8" s="861"/>
      <c r="AB8" s="434"/>
      <c r="AC8" s="434"/>
      <c r="AD8" s="434"/>
      <c r="AE8" s="434"/>
      <c r="AF8" s="434"/>
      <c r="AG8" s="434"/>
      <c r="AH8" s="434"/>
      <c r="AI8" s="434"/>
      <c r="AJ8" s="434"/>
      <c r="AK8" s="434"/>
      <c r="AL8" s="434"/>
      <c r="AM8" s="434"/>
      <c r="AN8" s="434"/>
      <c r="AO8" s="434"/>
      <c r="AP8" s="434"/>
      <c r="AQ8" s="434"/>
      <c r="AR8" s="434"/>
      <c r="AS8" s="434"/>
      <c r="AT8" s="434"/>
      <c r="AU8" s="861"/>
      <c r="AV8" s="991"/>
      <c r="AW8" s="434"/>
      <c r="AX8" s="434"/>
      <c r="AY8" s="434"/>
      <c r="AZ8" s="434"/>
      <c r="BA8" s="434"/>
      <c r="BB8" s="434"/>
      <c r="BC8" s="593"/>
      <c r="BD8" s="593"/>
      <c r="BE8" s="593"/>
      <c r="BF8" s="593"/>
      <c r="BG8" s="434"/>
      <c r="BH8" s="434"/>
      <c r="BI8" s="434"/>
      <c r="BJ8" s="434"/>
      <c r="BK8" s="434"/>
      <c r="BL8" s="434"/>
      <c r="BM8" s="434"/>
      <c r="BN8" s="434"/>
    </row>
    <row r="9" spans="1:66" s="45" customFormat="1" ht="23.1" customHeight="1">
      <c r="A9" s="591"/>
      <c r="B9" s="591"/>
      <c r="C9" s="628"/>
      <c r="D9" s="591"/>
      <c r="E9" s="621" t="s">
        <v>48</v>
      </c>
      <c r="F9" s="633" t="s">
        <v>656</v>
      </c>
      <c r="G9" s="623"/>
      <c r="H9" s="623"/>
      <c r="I9" s="623"/>
      <c r="J9" s="623"/>
      <c r="K9" s="623"/>
      <c r="L9" s="623"/>
      <c r="M9" s="623"/>
      <c r="N9" s="623"/>
      <c r="O9" s="623"/>
      <c r="P9" s="623"/>
      <c r="Q9" s="623"/>
      <c r="R9" s="623"/>
      <c r="S9" s="623"/>
      <c r="T9" s="623"/>
      <c r="U9" s="623"/>
      <c r="V9" s="623"/>
      <c r="W9" s="591"/>
      <c r="X9" s="591"/>
      <c r="Y9" s="591"/>
      <c r="Z9" s="591"/>
      <c r="AA9" s="591"/>
      <c r="AB9" s="591"/>
      <c r="AC9" s="591"/>
      <c r="AD9" s="591"/>
      <c r="AE9" s="591"/>
      <c r="AF9" s="591"/>
      <c r="AG9" s="625"/>
      <c r="AH9" s="582"/>
      <c r="AI9" s="625"/>
      <c r="AJ9" s="582"/>
      <c r="AK9" s="582"/>
      <c r="AL9" s="591"/>
      <c r="AM9" s="591"/>
      <c r="AN9" s="625"/>
      <c r="AO9" s="582"/>
      <c r="AP9" s="591"/>
      <c r="AQ9" s="591"/>
      <c r="AR9" s="591"/>
      <c r="AS9" s="591"/>
      <c r="AT9" s="591"/>
      <c r="AU9" s="582"/>
      <c r="AV9" s="1087"/>
      <c r="AW9" s="591"/>
      <c r="AX9" s="591"/>
      <c r="AY9" s="591"/>
      <c r="AZ9" s="591"/>
      <c r="BA9" s="591"/>
      <c r="BB9" s="591"/>
      <c r="BC9" s="582"/>
      <c r="BD9" s="582"/>
      <c r="BE9" s="582"/>
      <c r="BF9" s="582"/>
      <c r="BG9" s="591"/>
      <c r="BH9" s="591"/>
      <c r="BI9" s="591"/>
      <c r="BJ9" s="591"/>
      <c r="BK9" s="591"/>
      <c r="BL9" s="591"/>
      <c r="BM9" s="591"/>
      <c r="BN9" s="591"/>
    </row>
    <row r="10" spans="1:66" s="45" customFormat="1" ht="19.5">
      <c r="A10" s="591"/>
      <c r="B10" s="591"/>
      <c r="C10" s="628"/>
      <c r="D10" s="591"/>
      <c r="E10" s="591"/>
      <c r="F10" s="621" t="s">
        <v>464</v>
      </c>
      <c r="G10" s="2618" t="s">
        <v>657</v>
      </c>
      <c r="H10" s="2618"/>
      <c r="I10" s="2618"/>
      <c r="J10" s="2618"/>
      <c r="K10" s="2618"/>
      <c r="L10" s="2618"/>
      <c r="M10" s="2618"/>
      <c r="N10" s="2618"/>
      <c r="O10" s="2618"/>
      <c r="P10" s="2618"/>
      <c r="Q10" s="2618"/>
      <c r="R10" s="2618"/>
      <c r="S10" s="2618"/>
      <c r="T10" s="2618"/>
      <c r="U10" s="2618"/>
      <c r="V10" s="2618"/>
      <c r="W10" s="2618"/>
      <c r="X10" s="2618"/>
      <c r="Y10" s="2618"/>
      <c r="Z10" s="2618"/>
      <c r="AA10" s="2618"/>
      <c r="AB10" s="2618"/>
      <c r="AC10" s="2618"/>
      <c r="AD10" s="2618"/>
      <c r="AE10" s="2618"/>
      <c r="AF10" s="591"/>
      <c r="AG10" s="625"/>
      <c r="AH10" s="582"/>
      <c r="AI10" s="610" t="b">
        <v>0</v>
      </c>
      <c r="AJ10" s="582" t="s">
        <v>484</v>
      </c>
      <c r="AK10" s="582"/>
      <c r="AL10" s="591"/>
      <c r="AM10" s="591"/>
      <c r="AN10" s="610"/>
      <c r="AO10" s="582" t="s">
        <v>485</v>
      </c>
      <c r="AP10" s="591"/>
      <c r="AQ10" s="591"/>
      <c r="AR10" s="591"/>
      <c r="AS10" s="591"/>
      <c r="AT10" s="591"/>
      <c r="AU10" s="591"/>
      <c r="AV10" s="1087"/>
      <c r="AW10" s="591"/>
      <c r="AX10" s="591"/>
      <c r="AY10" s="591"/>
      <c r="AZ10" s="591"/>
      <c r="BA10" s="591"/>
      <c r="BB10" s="591"/>
      <c r="BC10" s="582"/>
      <c r="BD10" s="582"/>
      <c r="BE10" s="582"/>
      <c r="BF10" s="582"/>
      <c r="BG10" s="591"/>
      <c r="BH10" s="591"/>
      <c r="BI10" s="591"/>
      <c r="BJ10" s="591"/>
      <c r="BK10" s="591"/>
      <c r="BL10" s="591"/>
      <c r="BM10" s="591"/>
      <c r="BN10" s="591"/>
    </row>
    <row r="11" spans="1:66" s="45" customFormat="1" ht="19.5">
      <c r="A11" s="591"/>
      <c r="B11" s="591"/>
      <c r="C11" s="628"/>
      <c r="D11" s="591"/>
      <c r="E11" s="591"/>
      <c r="F11" s="621" t="s">
        <v>465</v>
      </c>
      <c r="G11" s="2618" t="s">
        <v>658</v>
      </c>
      <c r="H11" s="2618"/>
      <c r="I11" s="2618"/>
      <c r="J11" s="2618"/>
      <c r="K11" s="2618"/>
      <c r="L11" s="2618"/>
      <c r="M11" s="2618"/>
      <c r="N11" s="2618"/>
      <c r="O11" s="2618"/>
      <c r="P11" s="2618"/>
      <c r="Q11" s="2618"/>
      <c r="R11" s="2618"/>
      <c r="S11" s="2618"/>
      <c r="T11" s="2618"/>
      <c r="U11" s="2618"/>
      <c r="V11" s="2618"/>
      <c r="W11" s="2618"/>
      <c r="X11" s="2618"/>
      <c r="Y11" s="2618"/>
      <c r="Z11" s="2618"/>
      <c r="AA11" s="2618"/>
      <c r="AB11" s="2618"/>
      <c r="AC11" s="2618"/>
      <c r="AD11" s="2618"/>
      <c r="AE11" s="2618"/>
      <c r="AF11" s="591"/>
      <c r="AG11" s="625"/>
      <c r="AH11" s="582"/>
      <c r="AI11" s="610" t="b">
        <v>0</v>
      </c>
      <c r="AJ11" s="582" t="s">
        <v>484</v>
      </c>
      <c r="AK11" s="582"/>
      <c r="AL11" s="591"/>
      <c r="AM11" s="591"/>
      <c r="AN11" s="610"/>
      <c r="AO11" s="582" t="s">
        <v>485</v>
      </c>
      <c r="AP11" s="591"/>
      <c r="AQ11" s="591"/>
      <c r="AR11" s="591"/>
      <c r="AS11" s="591"/>
      <c r="AT11" s="591"/>
      <c r="AU11" s="591"/>
      <c r="AV11" s="1087"/>
      <c r="AW11" s="591"/>
      <c r="AX11" s="591"/>
      <c r="AY11" s="591"/>
      <c r="AZ11" s="591"/>
      <c r="BA11" s="591"/>
      <c r="BB11" s="591"/>
      <c r="BC11" s="582"/>
      <c r="BD11" s="582"/>
      <c r="BE11" s="582"/>
      <c r="BF11" s="582"/>
      <c r="BG11" s="591"/>
      <c r="BH11" s="591"/>
      <c r="BI11" s="591"/>
      <c r="BJ11" s="591"/>
      <c r="BK11" s="591"/>
      <c r="BL11" s="591"/>
      <c r="BM11" s="591"/>
      <c r="BN11" s="591"/>
    </row>
    <row r="12" spans="1:66" s="44" customFormat="1" ht="14.25" customHeight="1">
      <c r="A12" s="434"/>
      <c r="B12" s="434"/>
      <c r="C12" s="988"/>
      <c r="D12" s="434"/>
      <c r="E12" s="1048" t="s">
        <v>49</v>
      </c>
      <c r="F12" s="989" t="s">
        <v>659</v>
      </c>
      <c r="G12" s="990"/>
      <c r="H12" s="990"/>
      <c r="I12" s="990"/>
      <c r="J12" s="990"/>
      <c r="K12" s="990"/>
      <c r="L12" s="990"/>
      <c r="M12" s="990"/>
      <c r="N12" s="990"/>
      <c r="O12" s="990"/>
      <c r="P12" s="990"/>
      <c r="Q12" s="990"/>
      <c r="R12" s="990"/>
      <c r="S12" s="990"/>
      <c r="T12" s="990"/>
      <c r="U12" s="990"/>
      <c r="V12" s="990"/>
      <c r="W12" s="990"/>
      <c r="X12" s="990"/>
      <c r="Y12" s="990"/>
      <c r="Z12" s="990"/>
      <c r="AA12" s="861"/>
      <c r="AB12" s="434"/>
      <c r="AC12" s="434"/>
      <c r="AD12" s="434"/>
      <c r="AE12" s="434"/>
      <c r="AF12" s="434"/>
      <c r="AG12" s="861"/>
      <c r="AH12" s="593"/>
      <c r="AI12" s="861"/>
      <c r="AJ12" s="593"/>
      <c r="AK12" s="593"/>
      <c r="AL12" s="434"/>
      <c r="AM12" s="434"/>
      <c r="AN12" s="861"/>
      <c r="AO12" s="593"/>
      <c r="AP12" s="434"/>
      <c r="AQ12" s="434"/>
      <c r="AR12" s="434"/>
      <c r="AS12" s="434"/>
      <c r="AT12" s="434"/>
      <c r="AU12" s="593"/>
      <c r="AV12" s="991"/>
      <c r="AW12" s="434"/>
      <c r="AX12" s="434"/>
      <c r="AY12" s="434"/>
      <c r="AZ12" s="434"/>
      <c r="BA12" s="434"/>
      <c r="BB12" s="434"/>
      <c r="BC12" s="593"/>
      <c r="BD12" s="593"/>
      <c r="BE12" s="593"/>
      <c r="BF12" s="593"/>
      <c r="BG12" s="434"/>
      <c r="BH12" s="434"/>
      <c r="BI12" s="434"/>
      <c r="BJ12" s="434"/>
      <c r="BK12" s="434"/>
      <c r="BL12" s="434"/>
      <c r="BM12" s="434"/>
      <c r="BN12" s="434"/>
    </row>
    <row r="13" spans="1:66" s="45" customFormat="1" ht="24.95" customHeight="1">
      <c r="A13" s="591"/>
      <c r="B13" s="591"/>
      <c r="C13" s="628"/>
      <c r="D13" s="591"/>
      <c r="E13" s="591"/>
      <c r="F13" s="621" t="s">
        <v>651</v>
      </c>
      <c r="G13" s="633" t="s">
        <v>11420</v>
      </c>
      <c r="H13" s="623"/>
      <c r="I13" s="623"/>
      <c r="J13" s="623"/>
      <c r="K13" s="623"/>
      <c r="L13" s="623"/>
      <c r="M13" s="623"/>
      <c r="N13" s="623"/>
      <c r="O13" s="623"/>
      <c r="P13" s="623"/>
      <c r="Q13" s="623"/>
      <c r="R13" s="623"/>
      <c r="S13" s="623"/>
      <c r="T13" s="623"/>
      <c r="U13" s="623"/>
      <c r="V13" s="623"/>
      <c r="W13" s="623"/>
      <c r="X13" s="582"/>
      <c r="Y13" s="591"/>
      <c r="Z13" s="591"/>
      <c r="AA13" s="582"/>
      <c r="AB13" s="591"/>
      <c r="AC13" s="591"/>
      <c r="AD13" s="591"/>
      <c r="AE13" s="625"/>
      <c r="AF13" s="591"/>
      <c r="AG13" s="593"/>
      <c r="AH13" s="591"/>
      <c r="AI13" s="2617">
        <v>0</v>
      </c>
      <c r="AJ13" s="2617"/>
      <c r="AK13" s="2617"/>
      <c r="AL13" s="2617"/>
      <c r="AM13" s="2617"/>
      <c r="AN13" s="2617"/>
      <c r="AO13" s="2617"/>
      <c r="AP13" s="591"/>
      <c r="AQ13" s="591"/>
      <c r="AR13" s="591"/>
      <c r="AS13" s="591"/>
      <c r="AT13" s="591"/>
      <c r="AU13" s="591"/>
      <c r="AV13" s="1087"/>
      <c r="AW13" s="591"/>
      <c r="AX13" s="591"/>
      <c r="AY13" s="591"/>
      <c r="AZ13" s="591"/>
      <c r="BA13" s="591"/>
      <c r="BB13" s="591"/>
      <c r="BC13" s="582"/>
      <c r="BD13" s="582"/>
      <c r="BE13" s="582"/>
      <c r="BF13" s="582"/>
      <c r="BG13" s="591"/>
      <c r="BH13" s="591"/>
      <c r="BI13" s="591"/>
      <c r="BJ13" s="591"/>
      <c r="BK13" s="591"/>
      <c r="BL13" s="591"/>
      <c r="BM13" s="591"/>
      <c r="BN13" s="591"/>
    </row>
    <row r="14" spans="1:66" s="44" customFormat="1" ht="48" customHeight="1">
      <c r="A14" s="434"/>
      <c r="B14" s="434"/>
      <c r="C14" s="988"/>
      <c r="D14" s="434"/>
      <c r="E14" s="434"/>
      <c r="F14" s="638" t="s">
        <v>660</v>
      </c>
      <c r="G14" s="2619" t="s">
        <v>661</v>
      </c>
      <c r="H14" s="2619"/>
      <c r="I14" s="2619"/>
      <c r="J14" s="2619"/>
      <c r="K14" s="2619"/>
      <c r="L14" s="2619"/>
      <c r="M14" s="2619"/>
      <c r="N14" s="2619"/>
      <c r="O14" s="2619"/>
      <c r="P14" s="2619"/>
      <c r="Q14" s="2619"/>
      <c r="R14" s="2619"/>
      <c r="S14" s="2619"/>
      <c r="T14" s="2619"/>
      <c r="U14" s="2619"/>
      <c r="V14" s="2619"/>
      <c r="W14" s="2619"/>
      <c r="X14" s="2619"/>
      <c r="Y14" s="2619"/>
      <c r="Z14" s="2619"/>
      <c r="AA14" s="2619"/>
      <c r="AB14" s="2619"/>
      <c r="AC14" s="2619"/>
      <c r="AD14" s="2619"/>
      <c r="AE14" s="2619"/>
      <c r="AF14" s="434"/>
      <c r="AG14" s="593"/>
      <c r="AH14" s="434"/>
      <c r="AI14" s="2617">
        <v>0</v>
      </c>
      <c r="AJ14" s="2617"/>
      <c r="AK14" s="2617"/>
      <c r="AL14" s="2617"/>
      <c r="AM14" s="2617"/>
      <c r="AN14" s="2617"/>
      <c r="AO14" s="2617"/>
      <c r="AP14" s="434"/>
      <c r="AQ14" s="434"/>
      <c r="AR14" s="434"/>
      <c r="AS14" s="434"/>
      <c r="AT14" s="434"/>
      <c r="AU14" s="434"/>
      <c r="AV14" s="991"/>
      <c r="AW14" s="434"/>
      <c r="AX14" s="434"/>
      <c r="AY14" s="434"/>
      <c r="AZ14" s="434"/>
      <c r="BA14" s="434"/>
      <c r="BB14" s="434"/>
      <c r="BC14" s="593"/>
      <c r="BD14" s="593"/>
      <c r="BE14" s="593"/>
      <c r="BF14" s="593"/>
      <c r="BG14" s="434"/>
      <c r="BH14" s="434"/>
      <c r="BI14" s="434"/>
      <c r="BJ14" s="434"/>
      <c r="BK14" s="434"/>
      <c r="BL14" s="434"/>
      <c r="BM14" s="434"/>
      <c r="BN14" s="434"/>
    </row>
    <row r="15" spans="1:66" s="44" customFormat="1" ht="46.5" customHeight="1">
      <c r="A15" s="434"/>
      <c r="B15" s="434"/>
      <c r="C15" s="988"/>
      <c r="D15" s="434"/>
      <c r="E15" s="434"/>
      <c r="F15" s="638" t="s">
        <v>662</v>
      </c>
      <c r="G15" s="2619" t="s">
        <v>663</v>
      </c>
      <c r="H15" s="2619"/>
      <c r="I15" s="2619"/>
      <c r="J15" s="2619"/>
      <c r="K15" s="2619"/>
      <c r="L15" s="2619"/>
      <c r="M15" s="2619"/>
      <c r="N15" s="2619"/>
      <c r="O15" s="2619"/>
      <c r="P15" s="2619"/>
      <c r="Q15" s="2619"/>
      <c r="R15" s="2619"/>
      <c r="S15" s="2619"/>
      <c r="T15" s="2619"/>
      <c r="U15" s="2619"/>
      <c r="V15" s="2619"/>
      <c r="W15" s="2619"/>
      <c r="X15" s="2619"/>
      <c r="Y15" s="2619"/>
      <c r="Z15" s="2619"/>
      <c r="AA15" s="2619"/>
      <c r="AB15" s="2619"/>
      <c r="AC15" s="2619"/>
      <c r="AD15" s="2619"/>
      <c r="AE15" s="2619"/>
      <c r="AF15" s="434"/>
      <c r="AG15" s="593"/>
      <c r="AH15" s="434"/>
      <c r="AI15" s="3045">
        <v>0</v>
      </c>
      <c r="AJ15" s="3045"/>
      <c r="AK15" s="3045"/>
      <c r="AL15" s="3045"/>
      <c r="AM15" s="3045"/>
      <c r="AN15" s="3045"/>
      <c r="AO15" s="3045"/>
      <c r="AP15" s="434"/>
      <c r="AQ15" s="434"/>
      <c r="AR15" s="434"/>
      <c r="AS15" s="434"/>
      <c r="AT15" s="434"/>
      <c r="AU15" s="434"/>
      <c r="AV15" s="991"/>
      <c r="AW15" s="434"/>
      <c r="AX15" s="434"/>
      <c r="AY15" s="434"/>
      <c r="AZ15" s="434"/>
      <c r="BA15" s="434"/>
      <c r="BB15" s="434"/>
      <c r="BC15" s="593"/>
      <c r="BD15" s="593"/>
      <c r="BE15" s="593"/>
      <c r="BF15" s="593"/>
      <c r="BG15" s="434"/>
      <c r="BH15" s="434"/>
      <c r="BI15" s="434"/>
      <c r="BJ15" s="434"/>
      <c r="BK15" s="434"/>
      <c r="BL15" s="434"/>
      <c r="BM15" s="434"/>
      <c r="BN15" s="434"/>
    </row>
    <row r="16" spans="1:66" s="44" customFormat="1" ht="5.45" customHeight="1">
      <c r="A16" s="434"/>
      <c r="B16" s="434"/>
      <c r="C16" s="988"/>
      <c r="D16" s="434"/>
      <c r="E16" s="434"/>
      <c r="F16" s="1086"/>
      <c r="G16" s="989"/>
      <c r="H16" s="990"/>
      <c r="I16" s="990"/>
      <c r="J16" s="990"/>
      <c r="K16" s="990"/>
      <c r="L16" s="990"/>
      <c r="M16" s="990"/>
      <c r="N16" s="990"/>
      <c r="O16" s="990"/>
      <c r="P16" s="990"/>
      <c r="Q16" s="990"/>
      <c r="R16" s="990"/>
      <c r="S16" s="990"/>
      <c r="T16" s="990"/>
      <c r="U16" s="990"/>
      <c r="V16" s="990"/>
      <c r="W16" s="990"/>
      <c r="X16" s="990"/>
      <c r="Y16" s="990"/>
      <c r="Z16" s="990"/>
      <c r="AA16" s="861"/>
      <c r="AB16" s="434"/>
      <c r="AC16" s="434"/>
      <c r="AD16" s="434"/>
      <c r="AE16" s="434"/>
      <c r="AF16" s="434"/>
      <c r="AG16" s="434"/>
      <c r="AH16" s="434"/>
      <c r="AI16" s="434"/>
      <c r="AJ16" s="434"/>
      <c r="AK16" s="434"/>
      <c r="AL16" s="434"/>
      <c r="AM16" s="434"/>
      <c r="AN16" s="434"/>
      <c r="AO16" s="434"/>
      <c r="AP16" s="434"/>
      <c r="AQ16" s="434"/>
      <c r="AR16" s="434"/>
      <c r="AS16" s="434"/>
      <c r="AT16" s="434"/>
      <c r="AU16" s="861"/>
      <c r="AV16" s="991"/>
      <c r="AW16" s="434"/>
      <c r="AX16" s="434"/>
      <c r="AY16" s="434"/>
      <c r="AZ16" s="434"/>
      <c r="BA16" s="434"/>
      <c r="BB16" s="434"/>
      <c r="BC16" s="593"/>
      <c r="BD16" s="593"/>
      <c r="BE16" s="593"/>
      <c r="BF16" s="593"/>
      <c r="BG16" s="434"/>
      <c r="BH16" s="434"/>
      <c r="BI16" s="434"/>
      <c r="BJ16" s="434"/>
      <c r="BK16" s="434"/>
      <c r="BL16" s="434"/>
      <c r="BM16" s="434"/>
      <c r="BN16" s="434"/>
    </row>
    <row r="17" spans="1:66" s="44" customFormat="1" ht="13.5" customHeight="1">
      <c r="A17" s="434"/>
      <c r="B17" s="434"/>
      <c r="C17" s="988"/>
      <c r="D17" s="434"/>
      <c r="E17" s="1048" t="s">
        <v>50</v>
      </c>
      <c r="F17" s="989" t="s">
        <v>664</v>
      </c>
      <c r="G17" s="990"/>
      <c r="H17" s="990"/>
      <c r="I17" s="990"/>
      <c r="J17" s="990"/>
      <c r="K17" s="990"/>
      <c r="L17" s="990"/>
      <c r="M17" s="990"/>
      <c r="N17" s="990"/>
      <c r="O17" s="990"/>
      <c r="P17" s="990"/>
      <c r="Q17" s="990"/>
      <c r="R17" s="990"/>
      <c r="S17" s="990"/>
      <c r="T17" s="990"/>
      <c r="U17" s="990"/>
      <c r="V17" s="990"/>
      <c r="W17" s="990"/>
      <c r="X17" s="990"/>
      <c r="Y17" s="990"/>
      <c r="Z17" s="990"/>
      <c r="AA17" s="861"/>
      <c r="AB17" s="434"/>
      <c r="AC17" s="434"/>
      <c r="AD17" s="434"/>
      <c r="AE17" s="434"/>
      <c r="AF17" s="434"/>
      <c r="AG17" s="861"/>
      <c r="AH17" s="593"/>
      <c r="AI17" s="861"/>
      <c r="AJ17" s="593"/>
      <c r="AK17" s="593"/>
      <c r="AL17" s="434"/>
      <c r="AM17" s="434"/>
      <c r="AN17" s="861"/>
      <c r="AO17" s="593"/>
      <c r="AP17" s="434"/>
      <c r="AQ17" s="434"/>
      <c r="AR17" s="434"/>
      <c r="AS17" s="434"/>
      <c r="AT17" s="434"/>
      <c r="AU17" s="593"/>
      <c r="AV17" s="991"/>
      <c r="AW17" s="434"/>
      <c r="AX17" s="434"/>
      <c r="AY17" s="434"/>
      <c r="AZ17" s="434"/>
      <c r="BA17" s="434"/>
      <c r="BB17" s="434"/>
      <c r="BC17" s="593"/>
      <c r="BD17" s="593"/>
      <c r="BE17" s="593"/>
      <c r="BF17" s="593"/>
      <c r="BG17" s="434"/>
      <c r="BH17" s="434"/>
      <c r="BI17" s="434"/>
      <c r="BJ17" s="434"/>
      <c r="BK17" s="434"/>
      <c r="BL17" s="434"/>
      <c r="BM17" s="434"/>
      <c r="BN17" s="434"/>
    </row>
    <row r="18" spans="1:66" s="45" customFormat="1" ht="19.5">
      <c r="A18" s="591"/>
      <c r="B18" s="591"/>
      <c r="C18" s="628"/>
      <c r="D18" s="591"/>
      <c r="E18" s="591"/>
      <c r="F18" s="621" t="s">
        <v>665</v>
      </c>
      <c r="G18" s="633" t="s">
        <v>1150</v>
      </c>
      <c r="H18" s="623"/>
      <c r="I18" s="623"/>
      <c r="J18" s="623"/>
      <c r="K18" s="623"/>
      <c r="L18" s="623"/>
      <c r="M18" s="623"/>
      <c r="N18" s="623"/>
      <c r="O18" s="623"/>
      <c r="P18" s="623"/>
      <c r="Q18" s="623"/>
      <c r="R18" s="623"/>
      <c r="S18" s="623"/>
      <c r="T18" s="623"/>
      <c r="U18" s="623"/>
      <c r="V18" s="623"/>
      <c r="W18" s="623"/>
      <c r="X18" s="582"/>
      <c r="Y18" s="591"/>
      <c r="Z18" s="591"/>
      <c r="AA18" s="582"/>
      <c r="AB18" s="591"/>
      <c r="AC18" s="591"/>
      <c r="AD18" s="591"/>
      <c r="AE18" s="625"/>
      <c r="AF18" s="591"/>
      <c r="AG18" s="593"/>
      <c r="AH18" s="591"/>
      <c r="AI18" s="2613"/>
      <c r="AJ18" s="2613"/>
      <c r="AK18" s="2613"/>
      <c r="AL18" s="2613"/>
      <c r="AM18" s="2613"/>
      <c r="AN18" s="2613"/>
      <c r="AO18" s="2613"/>
      <c r="AP18" s="591"/>
      <c r="AQ18" s="591"/>
      <c r="AR18" s="591"/>
      <c r="AS18" s="591"/>
      <c r="AT18" s="591"/>
      <c r="AU18" s="591"/>
      <c r="AV18" s="1087"/>
      <c r="AW18" s="591"/>
      <c r="AX18" s="591"/>
      <c r="AY18" s="591"/>
      <c r="AZ18" s="591"/>
      <c r="BA18" s="591"/>
      <c r="BB18" s="582"/>
      <c r="BC18" s="582"/>
      <c r="BD18" s="582"/>
      <c r="BE18" s="582"/>
      <c r="BF18" s="591"/>
      <c r="BG18" s="591"/>
      <c r="BH18" s="591"/>
      <c r="BI18" s="591"/>
      <c r="BJ18" s="591"/>
      <c r="BK18" s="591"/>
      <c r="BL18" s="591"/>
      <c r="BM18" s="591"/>
      <c r="BN18" s="591"/>
    </row>
    <row r="19" spans="1:66" s="44" customFormat="1" ht="19.5">
      <c r="A19" s="434"/>
      <c r="B19" s="434"/>
      <c r="C19" s="988"/>
      <c r="D19" s="434"/>
      <c r="E19" s="1048"/>
      <c r="F19" s="989"/>
      <c r="G19" s="1094" t="b">
        <v>0</v>
      </c>
      <c r="H19" s="582" t="s">
        <v>1146</v>
      </c>
      <c r="I19" s="990"/>
      <c r="J19" s="990"/>
      <c r="K19" s="990"/>
      <c r="L19" s="990"/>
      <c r="M19" s="990"/>
      <c r="N19" s="990"/>
      <c r="O19" s="990"/>
      <c r="P19" s="990"/>
      <c r="Q19" s="990"/>
      <c r="R19" s="990"/>
      <c r="S19" s="990"/>
      <c r="T19" s="990"/>
      <c r="U19" s="990"/>
      <c r="V19" s="990"/>
      <c r="W19" s="990"/>
      <c r="X19" s="990"/>
      <c r="Y19" s="990"/>
      <c r="Z19" s="990"/>
      <c r="AA19" s="1094" t="b">
        <v>0</v>
      </c>
      <c r="AB19" s="582" t="s">
        <v>1147</v>
      </c>
      <c r="AC19" s="434"/>
      <c r="AD19" s="990"/>
      <c r="AE19" s="434"/>
      <c r="AF19" s="434"/>
      <c r="AG19" s="861"/>
      <c r="AH19" s="593"/>
      <c r="AI19" s="861"/>
      <c r="AJ19" s="593"/>
      <c r="AK19" s="593"/>
      <c r="AL19" s="434"/>
      <c r="AM19" s="434"/>
      <c r="AN19" s="861"/>
      <c r="AO19" s="593"/>
      <c r="AP19" s="434"/>
      <c r="AQ19" s="434"/>
      <c r="AR19" s="434"/>
      <c r="AS19" s="434"/>
      <c r="AT19" s="434"/>
      <c r="AU19" s="593"/>
      <c r="AV19" s="991"/>
      <c r="AW19" s="434"/>
      <c r="AX19" s="434"/>
      <c r="AY19" s="434"/>
      <c r="AZ19" s="434"/>
      <c r="BA19" s="434"/>
      <c r="BB19" s="593"/>
      <c r="BC19" s="593"/>
      <c r="BD19" s="593"/>
      <c r="BE19" s="593"/>
      <c r="BF19" s="434"/>
      <c r="BG19" s="434"/>
      <c r="BH19" s="434"/>
      <c r="BI19" s="434"/>
      <c r="BJ19" s="434"/>
      <c r="BK19" s="434"/>
      <c r="BL19" s="434"/>
      <c r="BM19" s="434"/>
      <c r="BN19" s="434"/>
    </row>
    <row r="20" spans="1:66" s="44" customFormat="1" ht="19.5">
      <c r="A20" s="434"/>
      <c r="B20" s="434"/>
      <c r="C20" s="988"/>
      <c r="D20" s="434"/>
      <c r="E20" s="1048"/>
      <c r="F20" s="989"/>
      <c r="G20" s="1094" t="b">
        <v>0</v>
      </c>
      <c r="H20" s="582" t="s">
        <v>1148</v>
      </c>
      <c r="I20" s="990"/>
      <c r="J20" s="990"/>
      <c r="K20" s="990"/>
      <c r="L20" s="990"/>
      <c r="M20" s="990"/>
      <c r="N20" s="990"/>
      <c r="O20" s="990"/>
      <c r="P20" s="990"/>
      <c r="Q20" s="990"/>
      <c r="R20" s="990"/>
      <c r="S20" s="990"/>
      <c r="T20" s="990"/>
      <c r="U20" s="990"/>
      <c r="V20" s="990"/>
      <c r="W20" s="990"/>
      <c r="X20" s="990"/>
      <c r="Y20" s="990"/>
      <c r="Z20" s="990"/>
      <c r="AA20" s="1094" t="b">
        <v>1</v>
      </c>
      <c r="AB20" s="582" t="s">
        <v>1149</v>
      </c>
      <c r="AC20" s="434"/>
      <c r="AD20" s="990"/>
      <c r="AE20" s="434"/>
      <c r="AF20" s="434"/>
      <c r="AG20" s="861"/>
      <c r="AH20" s="593"/>
      <c r="AI20" s="861"/>
      <c r="AJ20" s="593"/>
      <c r="AK20" s="593"/>
      <c r="AL20" s="434"/>
      <c r="AM20" s="434"/>
      <c r="AN20" s="861"/>
      <c r="AO20" s="593"/>
      <c r="AP20" s="434"/>
      <c r="AQ20" s="434"/>
      <c r="AR20" s="434"/>
      <c r="AS20" s="434"/>
      <c r="AT20" s="434"/>
      <c r="AU20" s="593"/>
      <c r="AV20" s="991"/>
      <c r="AW20" s="434"/>
      <c r="AX20" s="434"/>
      <c r="AY20" s="434"/>
      <c r="AZ20" s="434"/>
      <c r="BA20" s="434"/>
      <c r="BB20" s="593"/>
      <c r="BC20" s="593"/>
      <c r="BD20" s="593"/>
      <c r="BE20" s="593"/>
      <c r="BF20" s="434"/>
      <c r="BG20" s="434"/>
      <c r="BH20" s="434"/>
      <c r="BI20" s="434"/>
      <c r="BJ20" s="434"/>
      <c r="BK20" s="434"/>
      <c r="BL20" s="434"/>
      <c r="BM20" s="434"/>
      <c r="BN20" s="434"/>
    </row>
    <row r="21" spans="1:66" s="44" customFormat="1" ht="5.0999999999999996" customHeight="1">
      <c r="A21" s="434"/>
      <c r="B21" s="434"/>
      <c r="C21" s="988"/>
      <c r="D21" s="434"/>
      <c r="E21" s="434"/>
      <c r="F21" s="1086"/>
      <c r="G21" s="989"/>
      <c r="H21" s="990"/>
      <c r="I21" s="990"/>
      <c r="J21" s="990"/>
      <c r="K21" s="990"/>
      <c r="L21" s="990"/>
      <c r="M21" s="990"/>
      <c r="N21" s="990"/>
      <c r="O21" s="990"/>
      <c r="P21" s="990"/>
      <c r="Q21" s="990"/>
      <c r="R21" s="990"/>
      <c r="S21" s="990"/>
      <c r="T21" s="990"/>
      <c r="U21" s="990"/>
      <c r="V21" s="990"/>
      <c r="W21" s="990"/>
      <c r="X21" s="990"/>
      <c r="Y21" s="990"/>
      <c r="Z21" s="990"/>
      <c r="AA21" s="861"/>
      <c r="AB21" s="434"/>
      <c r="AC21" s="434"/>
      <c r="AD21" s="434"/>
      <c r="AE21" s="434"/>
      <c r="AF21" s="434"/>
      <c r="AG21" s="434"/>
      <c r="AH21" s="434"/>
      <c r="AI21" s="434"/>
      <c r="AJ21" s="434"/>
      <c r="AK21" s="434"/>
      <c r="AL21" s="434"/>
      <c r="AM21" s="434"/>
      <c r="AN21" s="434"/>
      <c r="AO21" s="434"/>
      <c r="AP21" s="434"/>
      <c r="AQ21" s="434"/>
      <c r="AR21" s="434"/>
      <c r="AS21" s="434"/>
      <c r="AT21" s="434"/>
      <c r="AU21" s="861"/>
      <c r="AV21" s="991"/>
      <c r="AW21" s="434"/>
      <c r="AX21" s="434"/>
      <c r="AY21" s="434"/>
      <c r="AZ21" s="434"/>
      <c r="BA21" s="434"/>
      <c r="BB21" s="434"/>
      <c r="BC21" s="593"/>
      <c r="BD21" s="593"/>
      <c r="BE21" s="593"/>
      <c r="BF21" s="593"/>
      <c r="BG21" s="434"/>
      <c r="BH21" s="434"/>
      <c r="BI21" s="434"/>
      <c r="BJ21" s="434"/>
      <c r="BK21" s="434"/>
      <c r="BL21" s="434"/>
      <c r="BM21" s="434"/>
      <c r="BN21" s="434"/>
    </row>
    <row r="22" spans="1:66" s="45" customFormat="1" ht="16.5" customHeight="1">
      <c r="A22" s="591"/>
      <c r="B22" s="591"/>
      <c r="C22" s="628"/>
      <c r="D22" s="591"/>
      <c r="E22" s="591"/>
      <c r="F22" s="621" t="s">
        <v>666</v>
      </c>
      <c r="G22" s="633" t="s">
        <v>667</v>
      </c>
      <c r="H22" s="623"/>
      <c r="I22" s="623"/>
      <c r="J22" s="623"/>
      <c r="K22" s="623"/>
      <c r="L22" s="623"/>
      <c r="M22" s="623"/>
      <c r="N22" s="623"/>
      <c r="O22" s="623"/>
      <c r="P22" s="623"/>
      <c r="Q22" s="623"/>
      <c r="R22" s="623"/>
      <c r="S22" s="623"/>
      <c r="T22" s="623"/>
      <c r="U22" s="623"/>
      <c r="V22" s="623"/>
      <c r="W22" s="623"/>
      <c r="X22" s="582"/>
      <c r="Y22" s="591"/>
      <c r="Z22" s="591"/>
      <c r="AA22" s="582"/>
      <c r="AB22" s="591"/>
      <c r="AC22" s="591"/>
      <c r="AD22" s="591"/>
      <c r="AE22" s="625"/>
      <c r="AF22" s="591"/>
      <c r="AG22" s="593"/>
      <c r="AH22" s="591"/>
      <c r="AI22" s="582"/>
      <c r="AJ22" s="582"/>
      <c r="AK22" s="582"/>
      <c r="AL22" s="582"/>
      <c r="AM22" s="582"/>
      <c r="AN22" s="582"/>
      <c r="AO22" s="582"/>
      <c r="AP22" s="591"/>
      <c r="AQ22" s="591"/>
      <c r="AR22" s="591"/>
      <c r="AS22" s="591"/>
      <c r="AT22" s="591"/>
      <c r="AU22" s="591"/>
      <c r="AV22" s="1087"/>
      <c r="AW22" s="591"/>
      <c r="AX22" s="591"/>
      <c r="AY22" s="591"/>
      <c r="AZ22" s="591"/>
      <c r="BA22" s="591"/>
      <c r="BB22" s="591"/>
      <c r="BC22" s="582"/>
      <c r="BD22" s="582"/>
      <c r="BE22" s="582"/>
      <c r="BF22" s="582"/>
      <c r="BG22" s="591"/>
      <c r="BH22" s="591"/>
      <c r="BI22" s="591"/>
      <c r="BJ22" s="591"/>
      <c r="BK22" s="591"/>
      <c r="BL22" s="591"/>
      <c r="BM22" s="591"/>
      <c r="BN22" s="591"/>
    </row>
    <row r="23" spans="1:66" s="45" customFormat="1" ht="6" customHeight="1" thickBot="1">
      <c r="A23" s="591"/>
      <c r="B23" s="591"/>
      <c r="C23" s="628"/>
      <c r="D23" s="591"/>
      <c r="E23" s="591"/>
      <c r="F23" s="629"/>
      <c r="G23" s="633"/>
      <c r="H23" s="623"/>
      <c r="I23" s="623"/>
      <c r="J23" s="623"/>
      <c r="K23" s="623"/>
      <c r="L23" s="623"/>
      <c r="M23" s="623"/>
      <c r="N23" s="623"/>
      <c r="O23" s="623"/>
      <c r="P23" s="623"/>
      <c r="Q23" s="623"/>
      <c r="R23" s="623"/>
      <c r="S23" s="623"/>
      <c r="T23" s="623"/>
      <c r="U23" s="623"/>
      <c r="V23" s="623"/>
      <c r="W23" s="623"/>
      <c r="X23" s="582"/>
      <c r="Y23" s="591"/>
      <c r="Z23" s="591"/>
      <c r="AA23" s="582"/>
      <c r="AB23" s="591"/>
      <c r="AC23" s="591"/>
      <c r="AD23" s="591"/>
      <c r="AE23" s="625"/>
      <c r="AF23" s="591"/>
      <c r="AG23" s="593"/>
      <c r="AH23" s="591"/>
      <c r="AI23" s="582"/>
      <c r="AJ23" s="582"/>
      <c r="AK23" s="582"/>
      <c r="AL23" s="582"/>
      <c r="AM23" s="582"/>
      <c r="AN23" s="582"/>
      <c r="AO23" s="582"/>
      <c r="AP23" s="591"/>
      <c r="AQ23" s="591"/>
      <c r="AR23" s="591"/>
      <c r="AS23" s="591"/>
      <c r="AT23" s="591"/>
      <c r="AU23" s="591"/>
      <c r="AV23" s="1087"/>
      <c r="AW23" s="591"/>
      <c r="AX23" s="591"/>
      <c r="AY23" s="591"/>
      <c r="AZ23" s="591"/>
      <c r="BA23" s="591"/>
      <c r="BB23" s="591"/>
      <c r="BC23" s="582"/>
      <c r="BD23" s="582"/>
      <c r="BE23" s="582"/>
      <c r="BF23" s="582"/>
      <c r="BG23" s="591"/>
      <c r="BH23" s="591"/>
      <c r="BI23" s="591"/>
      <c r="BJ23" s="591"/>
      <c r="BK23" s="591"/>
      <c r="BL23" s="591"/>
      <c r="BM23" s="591"/>
      <c r="BN23" s="591"/>
    </row>
    <row r="24" spans="1:66" ht="19.5">
      <c r="A24" s="1085"/>
      <c r="B24" s="1089"/>
      <c r="C24" s="1090"/>
      <c r="D24" s="1085"/>
      <c r="E24" s="1085"/>
      <c r="F24" s="1072"/>
      <c r="G24" s="3321" t="s">
        <v>281</v>
      </c>
      <c r="H24" s="3322"/>
      <c r="I24" s="3322"/>
      <c r="J24" s="3322"/>
      <c r="K24" s="3322"/>
      <c r="L24" s="3322"/>
      <c r="M24" s="3322"/>
      <c r="N24" s="3322"/>
      <c r="O24" s="3323"/>
      <c r="P24" s="3330" t="s">
        <v>668</v>
      </c>
      <c r="Q24" s="3331"/>
      <c r="R24" s="3331"/>
      <c r="S24" s="3331"/>
      <c r="T24" s="3331"/>
      <c r="U24" s="3331"/>
      <c r="V24" s="3331"/>
      <c r="W24" s="3331"/>
      <c r="X24" s="3331"/>
      <c r="Y24" s="3331"/>
      <c r="Z24" s="3331"/>
      <c r="AA24" s="3331"/>
      <c r="AB24" s="3331"/>
      <c r="AC24" s="3331"/>
      <c r="AD24" s="3331"/>
      <c r="AE24" s="3331"/>
      <c r="AF24" s="3331"/>
      <c r="AG24" s="3331"/>
      <c r="AH24" s="3331"/>
      <c r="AI24" s="3331"/>
      <c r="AJ24" s="3331"/>
      <c r="AK24" s="3331"/>
      <c r="AL24" s="3331"/>
      <c r="AM24" s="3331"/>
      <c r="AN24" s="3331"/>
      <c r="AO24" s="3331"/>
      <c r="AP24" s="3332"/>
      <c r="AQ24" s="861"/>
      <c r="AR24" s="861"/>
      <c r="AS24" s="861"/>
      <c r="AT24" s="861"/>
      <c r="AU24" s="861"/>
      <c r="AV24" s="991"/>
      <c r="AW24" s="1085"/>
      <c r="AX24" s="1085"/>
      <c r="AY24" s="1085"/>
      <c r="AZ24" s="1085"/>
      <c r="BA24" s="1085"/>
      <c r="BB24" s="1085"/>
      <c r="BC24" s="1085"/>
      <c r="BD24" s="1085"/>
      <c r="BE24" s="1085"/>
      <c r="BF24" s="593"/>
      <c r="BG24" s="593"/>
      <c r="BH24" s="593"/>
      <c r="BI24" s="593"/>
      <c r="BJ24" s="1085"/>
      <c r="BK24" s="1085"/>
      <c r="BL24" s="1085"/>
      <c r="BM24" s="1085"/>
      <c r="BN24" s="1085"/>
    </row>
    <row r="25" spans="1:66" ht="17.100000000000001" customHeight="1">
      <c r="A25" s="1085"/>
      <c r="B25" s="1089"/>
      <c r="C25" s="1090"/>
      <c r="D25" s="1085"/>
      <c r="E25" s="1085"/>
      <c r="F25" s="1072"/>
      <c r="G25" s="3324"/>
      <c r="H25" s="3325"/>
      <c r="I25" s="3325"/>
      <c r="J25" s="3325"/>
      <c r="K25" s="3325"/>
      <c r="L25" s="3325"/>
      <c r="M25" s="3325"/>
      <c r="N25" s="3325"/>
      <c r="O25" s="3326"/>
      <c r="P25" s="3422" t="s">
        <v>669</v>
      </c>
      <c r="Q25" s="3423"/>
      <c r="R25" s="3423"/>
      <c r="S25" s="3423"/>
      <c r="T25" s="3423"/>
      <c r="U25" s="3423"/>
      <c r="V25" s="3423"/>
      <c r="W25" s="3423"/>
      <c r="X25" s="3424"/>
      <c r="Y25" s="3422" t="s">
        <v>670</v>
      </c>
      <c r="Z25" s="3423"/>
      <c r="AA25" s="3423"/>
      <c r="AB25" s="3423"/>
      <c r="AC25" s="3423"/>
      <c r="AD25" s="3423"/>
      <c r="AE25" s="3423"/>
      <c r="AF25" s="3423"/>
      <c r="AG25" s="3424"/>
      <c r="AH25" s="3422" t="s">
        <v>671</v>
      </c>
      <c r="AI25" s="3423"/>
      <c r="AJ25" s="3423"/>
      <c r="AK25" s="3423"/>
      <c r="AL25" s="3423"/>
      <c r="AM25" s="3423"/>
      <c r="AN25" s="3423"/>
      <c r="AO25" s="3423"/>
      <c r="AP25" s="3424"/>
      <c r="AQ25" s="861"/>
      <c r="AR25" s="861"/>
      <c r="AS25" s="861"/>
      <c r="AT25" s="861"/>
      <c r="AU25" s="861"/>
      <c r="AV25" s="991"/>
      <c r="AW25" s="1085"/>
      <c r="AX25" s="1085"/>
      <c r="AY25" s="1085"/>
      <c r="AZ25" s="1085"/>
      <c r="BA25" s="1085"/>
      <c r="BB25" s="1085"/>
      <c r="BC25" s="1085"/>
      <c r="BD25" s="1085"/>
      <c r="BE25" s="1085"/>
      <c r="BF25" s="593"/>
      <c r="BG25" s="593"/>
      <c r="BH25" s="593"/>
      <c r="BI25" s="593"/>
      <c r="BJ25" s="1085"/>
      <c r="BK25" s="1085"/>
      <c r="BL25" s="1085"/>
      <c r="BM25" s="1085"/>
      <c r="BN25" s="1085"/>
    </row>
    <row r="26" spans="1:66" ht="17.100000000000001" customHeight="1">
      <c r="A26" s="1085"/>
      <c r="B26" s="1089"/>
      <c r="C26" s="1090"/>
      <c r="D26" s="1085"/>
      <c r="E26" s="1085"/>
      <c r="F26" s="1072"/>
      <c r="G26" s="3324"/>
      <c r="H26" s="3325"/>
      <c r="I26" s="3325"/>
      <c r="J26" s="3325"/>
      <c r="K26" s="3325"/>
      <c r="L26" s="3325"/>
      <c r="M26" s="3325"/>
      <c r="N26" s="3325"/>
      <c r="O26" s="3326"/>
      <c r="P26" s="3324"/>
      <c r="Q26" s="3325"/>
      <c r="R26" s="3325"/>
      <c r="S26" s="3325"/>
      <c r="T26" s="3325"/>
      <c r="U26" s="3325"/>
      <c r="V26" s="3325"/>
      <c r="W26" s="3325"/>
      <c r="X26" s="3326"/>
      <c r="Y26" s="3324"/>
      <c r="Z26" s="3325"/>
      <c r="AA26" s="3325"/>
      <c r="AB26" s="3325"/>
      <c r="AC26" s="3325"/>
      <c r="AD26" s="3325"/>
      <c r="AE26" s="3325"/>
      <c r="AF26" s="3325"/>
      <c r="AG26" s="3326"/>
      <c r="AH26" s="3324"/>
      <c r="AI26" s="3325"/>
      <c r="AJ26" s="3325"/>
      <c r="AK26" s="3325"/>
      <c r="AL26" s="3325"/>
      <c r="AM26" s="3325"/>
      <c r="AN26" s="3325"/>
      <c r="AO26" s="3325"/>
      <c r="AP26" s="3326"/>
      <c r="AQ26" s="861"/>
      <c r="AR26" s="861"/>
      <c r="AS26" s="861"/>
      <c r="AT26" s="861"/>
      <c r="AU26" s="861"/>
      <c r="AV26" s="991"/>
      <c r="AW26" s="1085"/>
      <c r="AX26" s="1085"/>
      <c r="AY26" s="1085"/>
      <c r="AZ26" s="1085"/>
      <c r="BA26" s="1085"/>
      <c r="BB26" s="1085"/>
      <c r="BC26" s="1085"/>
      <c r="BD26" s="1085"/>
      <c r="BE26" s="1085"/>
      <c r="BF26" s="593"/>
      <c r="BG26" s="593"/>
      <c r="BH26" s="593"/>
      <c r="BI26" s="593"/>
      <c r="BJ26" s="1085"/>
      <c r="BK26" s="1085"/>
      <c r="BL26" s="1085"/>
      <c r="BM26" s="1085"/>
      <c r="BN26" s="1085"/>
    </row>
    <row r="27" spans="1:66" ht="17.100000000000001" customHeight="1" thickBot="1">
      <c r="A27" s="1085"/>
      <c r="B27" s="1089"/>
      <c r="C27" s="1090"/>
      <c r="D27" s="1085"/>
      <c r="E27" s="1085"/>
      <c r="F27" s="1072"/>
      <c r="G27" s="3327"/>
      <c r="H27" s="3328"/>
      <c r="I27" s="3328"/>
      <c r="J27" s="3328"/>
      <c r="K27" s="3328"/>
      <c r="L27" s="3328"/>
      <c r="M27" s="3328"/>
      <c r="N27" s="3328"/>
      <c r="O27" s="3329"/>
      <c r="P27" s="3327"/>
      <c r="Q27" s="3328"/>
      <c r="R27" s="3328"/>
      <c r="S27" s="3328"/>
      <c r="T27" s="3328"/>
      <c r="U27" s="3328"/>
      <c r="V27" s="3328"/>
      <c r="W27" s="3328"/>
      <c r="X27" s="3329"/>
      <c r="Y27" s="3327"/>
      <c r="Z27" s="3328"/>
      <c r="AA27" s="3328"/>
      <c r="AB27" s="3328"/>
      <c r="AC27" s="3328"/>
      <c r="AD27" s="3328"/>
      <c r="AE27" s="3328"/>
      <c r="AF27" s="3328"/>
      <c r="AG27" s="3329"/>
      <c r="AH27" s="3327"/>
      <c r="AI27" s="3328"/>
      <c r="AJ27" s="3328"/>
      <c r="AK27" s="3328"/>
      <c r="AL27" s="3328"/>
      <c r="AM27" s="3328"/>
      <c r="AN27" s="3328"/>
      <c r="AO27" s="3328"/>
      <c r="AP27" s="3329"/>
      <c r="AQ27" s="861"/>
      <c r="AR27" s="861"/>
      <c r="AS27" s="861"/>
      <c r="AT27" s="861"/>
      <c r="AU27" s="861"/>
      <c r="AV27" s="991"/>
      <c r="AW27" s="1085"/>
      <c r="AX27" s="1085"/>
      <c r="AY27" s="1085"/>
      <c r="AZ27" s="1085"/>
      <c r="BA27" s="1085"/>
      <c r="BB27" s="1085"/>
      <c r="BC27" s="1085"/>
      <c r="BD27" s="1085"/>
      <c r="BE27" s="1085"/>
      <c r="BF27" s="593"/>
      <c r="BG27" s="593"/>
      <c r="BH27" s="593"/>
      <c r="BI27" s="593"/>
      <c r="BJ27" s="1085"/>
      <c r="BK27" s="1085"/>
      <c r="BL27" s="1085"/>
      <c r="BM27" s="1085"/>
      <c r="BN27" s="1085"/>
    </row>
    <row r="28" spans="1:66" ht="25.5" customHeight="1">
      <c r="A28" s="1085"/>
      <c r="B28" s="1089"/>
      <c r="C28" s="1090"/>
      <c r="D28" s="1085"/>
      <c r="E28" s="1085"/>
      <c r="F28" s="1076"/>
      <c r="G28" s="3416" t="s">
        <v>43</v>
      </c>
      <c r="H28" s="3417"/>
      <c r="I28" s="3417"/>
      <c r="J28" s="3417"/>
      <c r="K28" s="3417"/>
      <c r="L28" s="3417"/>
      <c r="M28" s="3417"/>
      <c r="N28" s="3417"/>
      <c r="O28" s="3418"/>
      <c r="P28" s="3313">
        <v>0</v>
      </c>
      <c r="Q28" s="3351"/>
      <c r="R28" s="3351"/>
      <c r="S28" s="3351"/>
      <c r="T28" s="3351"/>
      <c r="U28" s="3351"/>
      <c r="V28" s="3351"/>
      <c r="W28" s="3351"/>
      <c r="X28" s="3309"/>
      <c r="Y28" s="3313">
        <v>0</v>
      </c>
      <c r="Z28" s="3351"/>
      <c r="AA28" s="3351"/>
      <c r="AB28" s="3351"/>
      <c r="AC28" s="3351"/>
      <c r="AD28" s="3351"/>
      <c r="AE28" s="3351"/>
      <c r="AF28" s="3351"/>
      <c r="AG28" s="3309"/>
      <c r="AH28" s="3313">
        <v>0</v>
      </c>
      <c r="AI28" s="3351"/>
      <c r="AJ28" s="3351"/>
      <c r="AK28" s="3351"/>
      <c r="AL28" s="3351"/>
      <c r="AM28" s="3351"/>
      <c r="AN28" s="3351"/>
      <c r="AO28" s="3351"/>
      <c r="AP28" s="3309"/>
      <c r="AQ28" s="861"/>
      <c r="AR28" s="861"/>
      <c r="AS28" s="861"/>
      <c r="AT28" s="861"/>
      <c r="AU28" s="861"/>
      <c r="AV28" s="991"/>
      <c r="AW28" s="1085"/>
      <c r="AX28" s="1085"/>
      <c r="AY28" s="1085"/>
      <c r="AZ28" s="1085"/>
      <c r="BA28" s="1085"/>
      <c r="BB28" s="1085"/>
      <c r="BC28" s="1085"/>
      <c r="BD28" s="1085"/>
      <c r="BE28" s="1085"/>
      <c r="BF28" s="593"/>
      <c r="BG28" s="593"/>
      <c r="BH28" s="593"/>
      <c r="BI28" s="593"/>
      <c r="BJ28" s="1085"/>
      <c r="BK28" s="1085"/>
      <c r="BL28" s="1085"/>
      <c r="BM28" s="1085"/>
      <c r="BN28" s="1085"/>
    </row>
    <row r="29" spans="1:66" ht="25.5" customHeight="1" thickBot="1">
      <c r="A29" s="1085"/>
      <c r="B29" s="1089"/>
      <c r="C29" s="1090"/>
      <c r="D29" s="1085"/>
      <c r="E29" s="1085"/>
      <c r="F29" s="1076"/>
      <c r="G29" s="3419" t="s">
        <v>44</v>
      </c>
      <c r="H29" s="3420"/>
      <c r="I29" s="3420"/>
      <c r="J29" s="3420"/>
      <c r="K29" s="3420"/>
      <c r="L29" s="3420"/>
      <c r="M29" s="3420"/>
      <c r="N29" s="3420"/>
      <c r="O29" s="3421"/>
      <c r="P29" s="3306">
        <v>0</v>
      </c>
      <c r="Q29" s="3287"/>
      <c r="R29" s="3287"/>
      <c r="S29" s="3287"/>
      <c r="T29" s="3287"/>
      <c r="U29" s="3287"/>
      <c r="V29" s="3287"/>
      <c r="W29" s="3287"/>
      <c r="X29" s="3288"/>
      <c r="Y29" s="3306">
        <v>0</v>
      </c>
      <c r="Z29" s="3287"/>
      <c r="AA29" s="3287"/>
      <c r="AB29" s="3287"/>
      <c r="AC29" s="3287"/>
      <c r="AD29" s="3287"/>
      <c r="AE29" s="3287"/>
      <c r="AF29" s="3287"/>
      <c r="AG29" s="3288"/>
      <c r="AH29" s="3306">
        <v>0</v>
      </c>
      <c r="AI29" s="3287"/>
      <c r="AJ29" s="3287"/>
      <c r="AK29" s="3287"/>
      <c r="AL29" s="3287"/>
      <c r="AM29" s="3287"/>
      <c r="AN29" s="3287"/>
      <c r="AO29" s="3287"/>
      <c r="AP29" s="3288"/>
      <c r="AQ29" s="861"/>
      <c r="AR29" s="861"/>
      <c r="AS29" s="861"/>
      <c r="AT29" s="861"/>
      <c r="AU29" s="861"/>
      <c r="AV29" s="991"/>
      <c r="AW29" s="1085"/>
      <c r="AX29" s="1085"/>
      <c r="AY29" s="1085"/>
      <c r="AZ29" s="1085"/>
      <c r="BA29" s="1085"/>
      <c r="BB29" s="1085"/>
      <c r="BC29" s="1085"/>
      <c r="BD29" s="1085"/>
      <c r="BE29" s="1085"/>
      <c r="BF29" s="593"/>
      <c r="BG29" s="593"/>
      <c r="BH29" s="593"/>
      <c r="BI29" s="593"/>
      <c r="BJ29" s="1085"/>
      <c r="BK29" s="1085"/>
      <c r="BL29" s="1085"/>
      <c r="BM29" s="1085"/>
      <c r="BN29" s="1085"/>
    </row>
    <row r="30" spans="1:66" ht="25.5" customHeight="1" thickTop="1" thickBot="1">
      <c r="A30" s="1085"/>
      <c r="B30" s="1089"/>
      <c r="C30" s="1090"/>
      <c r="D30" s="1085"/>
      <c r="E30" s="1085"/>
      <c r="F30" s="1078"/>
      <c r="G30" s="3413" t="s">
        <v>42</v>
      </c>
      <c r="H30" s="3414"/>
      <c r="I30" s="3414"/>
      <c r="J30" s="3414"/>
      <c r="K30" s="3414"/>
      <c r="L30" s="3414"/>
      <c r="M30" s="3414"/>
      <c r="N30" s="3414"/>
      <c r="O30" s="3415"/>
      <c r="P30" s="3281">
        <f>SUM(P28:X29)</f>
        <v>0</v>
      </c>
      <c r="Q30" s="3273"/>
      <c r="R30" s="3273"/>
      <c r="S30" s="3273"/>
      <c r="T30" s="3273"/>
      <c r="U30" s="3273"/>
      <c r="V30" s="3273"/>
      <c r="W30" s="3273"/>
      <c r="X30" s="3277"/>
      <c r="Y30" s="3281">
        <f>SUM(Y28:AG29)</f>
        <v>0</v>
      </c>
      <c r="Z30" s="3273"/>
      <c r="AA30" s="3273"/>
      <c r="AB30" s="3273"/>
      <c r="AC30" s="3273"/>
      <c r="AD30" s="3273"/>
      <c r="AE30" s="3273"/>
      <c r="AF30" s="3273"/>
      <c r="AG30" s="3277"/>
      <c r="AH30" s="3281">
        <f>SUM(AH28:AP29)</f>
        <v>0</v>
      </c>
      <c r="AI30" s="3273"/>
      <c r="AJ30" s="3273"/>
      <c r="AK30" s="3273"/>
      <c r="AL30" s="3273"/>
      <c r="AM30" s="3273"/>
      <c r="AN30" s="3273"/>
      <c r="AO30" s="3273"/>
      <c r="AP30" s="3277"/>
      <c r="AQ30" s="861"/>
      <c r="AR30" s="861"/>
      <c r="AS30" s="861"/>
      <c r="AT30" s="861"/>
      <c r="AU30" s="861"/>
      <c r="AV30" s="991"/>
      <c r="AW30" s="1085"/>
      <c r="AX30" s="1085"/>
      <c r="AY30" s="1085"/>
      <c r="AZ30" s="1085"/>
      <c r="BA30" s="1085"/>
      <c r="BB30" s="1085"/>
      <c r="BC30" s="1085"/>
      <c r="BD30" s="1085"/>
      <c r="BE30" s="1085"/>
      <c r="BF30" s="593"/>
      <c r="BG30" s="593"/>
      <c r="BH30" s="593"/>
      <c r="BI30" s="593"/>
      <c r="BJ30" s="1085"/>
      <c r="BK30" s="1085"/>
      <c r="BL30" s="1085"/>
      <c r="BM30" s="1085"/>
      <c r="BN30" s="1085"/>
    </row>
    <row r="31" spans="1:66" s="44" customFormat="1" ht="2.25" hidden="1" customHeight="1">
      <c r="A31" s="434"/>
      <c r="B31" s="434"/>
      <c r="C31" s="988"/>
      <c r="D31" s="434"/>
      <c r="E31" s="434"/>
      <c r="F31" s="1086"/>
      <c r="G31" s="989"/>
      <c r="H31" s="990"/>
      <c r="I31" s="990"/>
      <c r="J31" s="990"/>
      <c r="K31" s="990"/>
      <c r="L31" s="990"/>
      <c r="M31" s="990"/>
      <c r="N31" s="990"/>
      <c r="O31" s="990"/>
      <c r="P31" s="990"/>
      <c r="Q31" s="990"/>
      <c r="R31" s="990"/>
      <c r="S31" s="990"/>
      <c r="T31" s="990"/>
      <c r="U31" s="990"/>
      <c r="V31" s="990"/>
      <c r="W31" s="990"/>
      <c r="X31" s="990"/>
      <c r="Y31" s="990"/>
      <c r="Z31" s="990"/>
      <c r="AA31" s="861"/>
      <c r="AB31" s="434"/>
      <c r="AC31" s="434"/>
      <c r="AD31" s="434"/>
      <c r="AE31" s="434"/>
      <c r="AF31" s="434"/>
      <c r="AG31" s="434"/>
      <c r="AH31" s="434"/>
      <c r="AI31" s="434"/>
      <c r="AJ31" s="434"/>
      <c r="AK31" s="434"/>
      <c r="AL31" s="434"/>
      <c r="AM31" s="434"/>
      <c r="AN31" s="434"/>
      <c r="AO31" s="434"/>
      <c r="AP31" s="434"/>
      <c r="AQ31" s="434"/>
      <c r="AR31" s="434"/>
      <c r="AS31" s="434"/>
      <c r="AT31" s="434"/>
      <c r="AU31" s="861"/>
      <c r="AV31" s="991"/>
      <c r="AW31" s="434"/>
      <c r="AX31" s="434"/>
      <c r="AY31" s="434"/>
      <c r="AZ31" s="434"/>
      <c r="BA31" s="434"/>
      <c r="BB31" s="434"/>
      <c r="BC31" s="593"/>
      <c r="BD31" s="593"/>
      <c r="BE31" s="593"/>
      <c r="BF31" s="593"/>
      <c r="BG31" s="434"/>
      <c r="BH31" s="434"/>
      <c r="BI31" s="434"/>
      <c r="BJ31" s="434"/>
      <c r="BK31" s="434"/>
      <c r="BL31" s="434"/>
      <c r="BM31" s="434"/>
      <c r="BN31" s="434"/>
    </row>
    <row r="32" spans="1:66" s="45" customFormat="1" ht="19.5">
      <c r="A32" s="591"/>
      <c r="B32" s="591"/>
      <c r="C32" s="628"/>
      <c r="D32" s="591"/>
      <c r="E32" s="591"/>
      <c r="F32" s="621" t="s">
        <v>672</v>
      </c>
      <c r="G32" s="633" t="s">
        <v>673</v>
      </c>
      <c r="H32" s="623"/>
      <c r="I32" s="623"/>
      <c r="J32" s="623"/>
      <c r="K32" s="623"/>
      <c r="L32" s="623"/>
      <c r="M32" s="623"/>
      <c r="N32" s="623"/>
      <c r="O32" s="623"/>
      <c r="P32" s="623"/>
      <c r="Q32" s="623"/>
      <c r="R32" s="623"/>
      <c r="S32" s="623"/>
      <c r="T32" s="623"/>
      <c r="U32" s="623"/>
      <c r="V32" s="623"/>
      <c r="W32" s="623"/>
      <c r="X32" s="582"/>
      <c r="Y32" s="591"/>
      <c r="Z32" s="591"/>
      <c r="AA32" s="582"/>
      <c r="AB32" s="591"/>
      <c r="AC32" s="591"/>
      <c r="AD32" s="591"/>
      <c r="AE32" s="625"/>
      <c r="AF32" s="591"/>
      <c r="AG32" s="593"/>
      <c r="AH32" s="591"/>
      <c r="AI32" s="582"/>
      <c r="AJ32" s="582"/>
      <c r="AK32" s="582"/>
      <c r="AL32" s="582"/>
      <c r="AM32" s="582"/>
      <c r="AN32" s="582"/>
      <c r="AO32" s="582"/>
      <c r="AP32" s="1091"/>
      <c r="AQ32" s="591"/>
      <c r="AR32" s="591"/>
      <c r="AS32" s="591"/>
      <c r="AT32" s="591"/>
      <c r="AU32" s="591"/>
      <c r="AV32" s="1087"/>
      <c r="AW32" s="591"/>
      <c r="AX32" s="591"/>
      <c r="AY32" s="591"/>
      <c r="AZ32" s="591"/>
      <c r="BA32" s="591"/>
      <c r="BB32" s="591"/>
      <c r="BC32" s="582"/>
      <c r="BD32" s="582"/>
      <c r="BE32" s="582"/>
      <c r="BF32" s="582"/>
      <c r="BG32" s="591"/>
      <c r="BH32" s="591"/>
      <c r="BI32" s="591"/>
      <c r="BJ32" s="591"/>
      <c r="BK32" s="591"/>
      <c r="BL32" s="591"/>
      <c r="BM32" s="591"/>
      <c r="BN32" s="591"/>
    </row>
    <row r="33" spans="1:66" s="45" customFormat="1" ht="6" customHeight="1" thickBot="1">
      <c r="A33" s="591"/>
      <c r="B33" s="591"/>
      <c r="C33" s="628"/>
      <c r="D33" s="591"/>
      <c r="E33" s="591"/>
      <c r="F33" s="629"/>
      <c r="G33" s="633"/>
      <c r="H33" s="623"/>
      <c r="I33" s="623"/>
      <c r="J33" s="623"/>
      <c r="K33" s="623"/>
      <c r="L33" s="623"/>
      <c r="M33" s="623"/>
      <c r="N33" s="623"/>
      <c r="O33" s="623"/>
      <c r="P33" s="623"/>
      <c r="Q33" s="623"/>
      <c r="R33" s="623"/>
      <c r="S33" s="623"/>
      <c r="T33" s="623"/>
      <c r="U33" s="623"/>
      <c r="V33" s="623"/>
      <c r="W33" s="623"/>
      <c r="X33" s="582"/>
      <c r="Y33" s="591"/>
      <c r="Z33" s="591"/>
      <c r="AA33" s="582"/>
      <c r="AB33" s="591"/>
      <c r="AC33" s="591"/>
      <c r="AD33" s="591"/>
      <c r="AE33" s="625"/>
      <c r="AF33" s="591"/>
      <c r="AG33" s="593"/>
      <c r="AH33" s="591"/>
      <c r="AI33" s="582"/>
      <c r="AJ33" s="582"/>
      <c r="AK33" s="582"/>
      <c r="AL33" s="582"/>
      <c r="AM33" s="582"/>
      <c r="AN33" s="582"/>
      <c r="AO33" s="582"/>
      <c r="AP33" s="591"/>
      <c r="AQ33" s="591"/>
      <c r="AR33" s="591"/>
      <c r="AS33" s="591"/>
      <c r="AT33" s="591"/>
      <c r="AU33" s="591"/>
      <c r="AV33" s="1087"/>
      <c r="AW33" s="591"/>
      <c r="AX33" s="591"/>
      <c r="AY33" s="591"/>
      <c r="AZ33" s="591"/>
      <c r="BA33" s="591"/>
      <c r="BB33" s="591"/>
      <c r="BC33" s="582"/>
      <c r="BD33" s="582"/>
      <c r="BE33" s="582"/>
      <c r="BF33" s="582"/>
      <c r="BG33" s="591"/>
      <c r="BH33" s="591"/>
      <c r="BI33" s="591"/>
      <c r="BJ33" s="591"/>
      <c r="BK33" s="591"/>
      <c r="BL33" s="591"/>
      <c r="BM33" s="591"/>
      <c r="BN33" s="591"/>
    </row>
    <row r="34" spans="1:66" ht="19.5">
      <c r="A34" s="1085"/>
      <c r="B34" s="1089"/>
      <c r="C34" s="1090"/>
      <c r="D34" s="1085"/>
      <c r="E34" s="1085"/>
      <c r="F34" s="1072"/>
      <c r="G34" s="3321" t="s">
        <v>281</v>
      </c>
      <c r="H34" s="3322"/>
      <c r="I34" s="3322"/>
      <c r="J34" s="3322"/>
      <c r="K34" s="3322"/>
      <c r="L34" s="3322"/>
      <c r="M34" s="3322"/>
      <c r="N34" s="3322"/>
      <c r="O34" s="3323"/>
      <c r="P34" s="3330" t="s">
        <v>674</v>
      </c>
      <c r="Q34" s="3331"/>
      <c r="R34" s="3331"/>
      <c r="S34" s="3331"/>
      <c r="T34" s="3331"/>
      <c r="U34" s="3331"/>
      <c r="V34" s="3331"/>
      <c r="W34" s="3331"/>
      <c r="X34" s="3331"/>
      <c r="Y34" s="3331"/>
      <c r="Z34" s="3331"/>
      <c r="AA34" s="3331"/>
      <c r="AB34" s="3331"/>
      <c r="AC34" s="3331"/>
      <c r="AD34" s="3331"/>
      <c r="AE34" s="3331"/>
      <c r="AF34" s="3331"/>
      <c r="AG34" s="3331"/>
      <c r="AH34" s="3331"/>
      <c r="AI34" s="3331"/>
      <c r="AJ34" s="3331"/>
      <c r="AK34" s="3331"/>
      <c r="AL34" s="3331"/>
      <c r="AM34" s="3331"/>
      <c r="AN34" s="3331"/>
      <c r="AO34" s="3331"/>
      <c r="AP34" s="3332"/>
      <c r="AQ34" s="861"/>
      <c r="AR34" s="861"/>
      <c r="AS34" s="861"/>
      <c r="AT34" s="861"/>
      <c r="AU34" s="861"/>
      <c r="AV34" s="991"/>
      <c r="AW34" s="1085"/>
      <c r="AX34" s="1085"/>
      <c r="AY34" s="1085"/>
      <c r="AZ34" s="1085"/>
      <c r="BA34" s="1085"/>
      <c r="BB34" s="1085"/>
      <c r="BC34" s="1085"/>
      <c r="BD34" s="1085"/>
      <c r="BE34" s="1085"/>
      <c r="BF34" s="593"/>
      <c r="BG34" s="593"/>
      <c r="BH34" s="593"/>
      <c r="BI34" s="593"/>
      <c r="BJ34" s="1085"/>
      <c r="BK34" s="1085"/>
      <c r="BL34" s="1085"/>
      <c r="BM34" s="1085"/>
      <c r="BN34" s="1085"/>
    </row>
    <row r="35" spans="1:66" ht="17.100000000000001" customHeight="1">
      <c r="A35" s="1085"/>
      <c r="B35" s="1089"/>
      <c r="C35" s="1090"/>
      <c r="D35" s="1085"/>
      <c r="E35" s="1085"/>
      <c r="F35" s="1072"/>
      <c r="G35" s="3324"/>
      <c r="H35" s="3325"/>
      <c r="I35" s="3325"/>
      <c r="J35" s="3325"/>
      <c r="K35" s="3325"/>
      <c r="L35" s="3325"/>
      <c r="M35" s="3325"/>
      <c r="N35" s="3325"/>
      <c r="O35" s="3326"/>
      <c r="P35" s="3422" t="s">
        <v>675</v>
      </c>
      <c r="Q35" s="3423"/>
      <c r="R35" s="3423"/>
      <c r="S35" s="3423"/>
      <c r="T35" s="3423"/>
      <c r="U35" s="3423"/>
      <c r="V35" s="3423"/>
      <c r="W35" s="3423"/>
      <c r="X35" s="3424"/>
      <c r="Y35" s="3422" t="s">
        <v>676</v>
      </c>
      <c r="Z35" s="3423"/>
      <c r="AA35" s="3423"/>
      <c r="AB35" s="3423"/>
      <c r="AC35" s="3423"/>
      <c r="AD35" s="3423"/>
      <c r="AE35" s="3423"/>
      <c r="AF35" s="3423"/>
      <c r="AG35" s="3424"/>
      <c r="AH35" s="3422" t="s">
        <v>677</v>
      </c>
      <c r="AI35" s="3423"/>
      <c r="AJ35" s="3423"/>
      <c r="AK35" s="3423"/>
      <c r="AL35" s="3423"/>
      <c r="AM35" s="3423"/>
      <c r="AN35" s="3423"/>
      <c r="AO35" s="3423"/>
      <c r="AP35" s="3424"/>
      <c r="AQ35" s="861"/>
      <c r="AR35" s="861"/>
      <c r="AS35" s="861"/>
      <c r="AT35" s="861"/>
      <c r="AU35" s="861"/>
      <c r="AV35" s="991"/>
      <c r="AW35" s="1085"/>
      <c r="AX35" s="1085"/>
      <c r="AY35" s="1085"/>
      <c r="AZ35" s="1085"/>
      <c r="BA35" s="1085"/>
      <c r="BB35" s="1085"/>
      <c r="BC35" s="1085"/>
      <c r="BD35" s="1085"/>
      <c r="BE35" s="1085"/>
      <c r="BF35" s="593"/>
      <c r="BG35" s="593"/>
      <c r="BH35" s="593"/>
      <c r="BI35" s="593"/>
      <c r="BJ35" s="1085"/>
      <c r="BK35" s="1085"/>
      <c r="BL35" s="1085"/>
      <c r="BM35" s="1085"/>
      <c r="BN35" s="1085"/>
    </row>
    <row r="36" spans="1:66" ht="17.100000000000001" customHeight="1">
      <c r="A36" s="1085"/>
      <c r="B36" s="1089"/>
      <c r="C36" s="1090"/>
      <c r="D36" s="1085"/>
      <c r="E36" s="1085"/>
      <c r="F36" s="1072"/>
      <c r="G36" s="3324"/>
      <c r="H36" s="3325"/>
      <c r="I36" s="3325"/>
      <c r="J36" s="3325"/>
      <c r="K36" s="3325"/>
      <c r="L36" s="3325"/>
      <c r="M36" s="3325"/>
      <c r="N36" s="3325"/>
      <c r="O36" s="3326"/>
      <c r="P36" s="3324"/>
      <c r="Q36" s="3325"/>
      <c r="R36" s="3325"/>
      <c r="S36" s="3325"/>
      <c r="T36" s="3325"/>
      <c r="U36" s="3325"/>
      <c r="V36" s="3325"/>
      <c r="W36" s="3325"/>
      <c r="X36" s="3326"/>
      <c r="Y36" s="3324"/>
      <c r="Z36" s="3325"/>
      <c r="AA36" s="3325"/>
      <c r="AB36" s="3325"/>
      <c r="AC36" s="3325"/>
      <c r="AD36" s="3325"/>
      <c r="AE36" s="3325"/>
      <c r="AF36" s="3325"/>
      <c r="AG36" s="3326"/>
      <c r="AH36" s="3324"/>
      <c r="AI36" s="3325"/>
      <c r="AJ36" s="3325"/>
      <c r="AK36" s="3325"/>
      <c r="AL36" s="3325"/>
      <c r="AM36" s="3325"/>
      <c r="AN36" s="3325"/>
      <c r="AO36" s="3325"/>
      <c r="AP36" s="3326"/>
      <c r="AQ36" s="861"/>
      <c r="AR36" s="861"/>
      <c r="AS36" s="861"/>
      <c r="AT36" s="861"/>
      <c r="AU36" s="861"/>
      <c r="AV36" s="991"/>
      <c r="AW36" s="1085"/>
      <c r="AX36" s="1085"/>
      <c r="AY36" s="1085"/>
      <c r="AZ36" s="1085"/>
      <c r="BA36" s="1085"/>
      <c r="BB36" s="1085"/>
      <c r="BC36" s="1085"/>
      <c r="BD36" s="1085"/>
      <c r="BE36" s="1085"/>
      <c r="BF36" s="593"/>
      <c r="BG36" s="593"/>
      <c r="BH36" s="593"/>
      <c r="BI36" s="593"/>
      <c r="BJ36" s="1085"/>
      <c r="BK36" s="1085"/>
      <c r="BL36" s="1085"/>
      <c r="BM36" s="1085"/>
      <c r="BN36" s="1085"/>
    </row>
    <row r="37" spans="1:66" ht="17.100000000000001" customHeight="1" thickBot="1">
      <c r="A37" s="1085"/>
      <c r="B37" s="1089"/>
      <c r="C37" s="1090"/>
      <c r="D37" s="1085"/>
      <c r="E37" s="1085"/>
      <c r="F37" s="1072"/>
      <c r="G37" s="3327"/>
      <c r="H37" s="3328"/>
      <c r="I37" s="3328"/>
      <c r="J37" s="3328"/>
      <c r="K37" s="3328"/>
      <c r="L37" s="3328"/>
      <c r="M37" s="3328"/>
      <c r="N37" s="3328"/>
      <c r="O37" s="3329"/>
      <c r="P37" s="3327"/>
      <c r="Q37" s="3328"/>
      <c r="R37" s="3328"/>
      <c r="S37" s="3328"/>
      <c r="T37" s="3328"/>
      <c r="U37" s="3328"/>
      <c r="V37" s="3328"/>
      <c r="W37" s="3328"/>
      <c r="X37" s="3329"/>
      <c r="Y37" s="3327"/>
      <c r="Z37" s="3328"/>
      <c r="AA37" s="3328"/>
      <c r="AB37" s="3328"/>
      <c r="AC37" s="3328"/>
      <c r="AD37" s="3328"/>
      <c r="AE37" s="3328"/>
      <c r="AF37" s="3328"/>
      <c r="AG37" s="3329"/>
      <c r="AH37" s="3327"/>
      <c r="AI37" s="3328"/>
      <c r="AJ37" s="3328"/>
      <c r="AK37" s="3328"/>
      <c r="AL37" s="3328"/>
      <c r="AM37" s="3328"/>
      <c r="AN37" s="3328"/>
      <c r="AO37" s="3328"/>
      <c r="AP37" s="3329"/>
      <c r="AQ37" s="861"/>
      <c r="AR37" s="861"/>
      <c r="AS37" s="861"/>
      <c r="AT37" s="861"/>
      <c r="AU37" s="861"/>
      <c r="AV37" s="991"/>
      <c r="AW37" s="1085"/>
      <c r="AX37" s="1085"/>
      <c r="AY37" s="1085"/>
      <c r="AZ37" s="1085"/>
      <c r="BA37" s="1085"/>
      <c r="BB37" s="1085"/>
      <c r="BC37" s="1085"/>
      <c r="BD37" s="1085"/>
      <c r="BE37" s="1085"/>
      <c r="BF37" s="593"/>
      <c r="BG37" s="593"/>
      <c r="BH37" s="593"/>
      <c r="BI37" s="593"/>
      <c r="BJ37" s="1085"/>
      <c r="BK37" s="1085"/>
      <c r="BL37" s="1085"/>
      <c r="BM37" s="1085"/>
      <c r="BN37" s="1085"/>
    </row>
    <row r="38" spans="1:66" ht="25.5" customHeight="1">
      <c r="A38" s="1085"/>
      <c r="B38" s="1089"/>
      <c r="C38" s="1090"/>
      <c r="D38" s="1085"/>
      <c r="E38" s="1085"/>
      <c r="F38" s="1076"/>
      <c r="G38" s="3416" t="s">
        <v>43</v>
      </c>
      <c r="H38" s="3417"/>
      <c r="I38" s="3417"/>
      <c r="J38" s="3417"/>
      <c r="K38" s="3417"/>
      <c r="L38" s="3417"/>
      <c r="M38" s="3417"/>
      <c r="N38" s="3417"/>
      <c r="O38" s="3418"/>
      <c r="P38" s="3313">
        <v>0</v>
      </c>
      <c r="Q38" s="3351"/>
      <c r="R38" s="3351"/>
      <c r="S38" s="3351"/>
      <c r="T38" s="3351"/>
      <c r="U38" s="3351"/>
      <c r="V38" s="3351"/>
      <c r="W38" s="3351"/>
      <c r="X38" s="3309"/>
      <c r="Y38" s="3313">
        <v>0</v>
      </c>
      <c r="Z38" s="3351"/>
      <c r="AA38" s="3351"/>
      <c r="AB38" s="3351"/>
      <c r="AC38" s="3351"/>
      <c r="AD38" s="3351"/>
      <c r="AE38" s="3351"/>
      <c r="AF38" s="3351"/>
      <c r="AG38" s="3309"/>
      <c r="AH38" s="3313">
        <v>0</v>
      </c>
      <c r="AI38" s="3351"/>
      <c r="AJ38" s="3351"/>
      <c r="AK38" s="3351"/>
      <c r="AL38" s="3351"/>
      <c r="AM38" s="3351"/>
      <c r="AN38" s="3351"/>
      <c r="AO38" s="3351"/>
      <c r="AP38" s="3309"/>
      <c r="AQ38" s="861"/>
      <c r="AR38" s="861"/>
      <c r="AS38" s="861"/>
      <c r="AT38" s="861"/>
      <c r="AU38" s="861"/>
      <c r="AV38" s="991"/>
      <c r="AW38" s="1085"/>
      <c r="AX38" s="1085"/>
      <c r="AY38" s="1085"/>
      <c r="AZ38" s="1085"/>
      <c r="BA38" s="1085"/>
      <c r="BB38" s="1085"/>
      <c r="BC38" s="1085"/>
      <c r="BD38" s="1085"/>
      <c r="BE38" s="1085"/>
      <c r="BF38" s="593"/>
      <c r="BG38" s="593"/>
      <c r="BH38" s="593"/>
      <c r="BI38" s="593"/>
      <c r="BJ38" s="1085"/>
      <c r="BK38" s="1085"/>
      <c r="BL38" s="1085"/>
      <c r="BM38" s="1085"/>
      <c r="BN38" s="1085"/>
    </row>
    <row r="39" spans="1:66" ht="25.5" customHeight="1" thickBot="1">
      <c r="A39" s="1085"/>
      <c r="B39" s="1089"/>
      <c r="C39" s="1090"/>
      <c r="D39" s="1085"/>
      <c r="E39" s="1085"/>
      <c r="F39" s="1076"/>
      <c r="G39" s="3419" t="s">
        <v>44</v>
      </c>
      <c r="H39" s="3420"/>
      <c r="I39" s="3420"/>
      <c r="J39" s="3420"/>
      <c r="K39" s="3420"/>
      <c r="L39" s="3420"/>
      <c r="M39" s="3420"/>
      <c r="N39" s="3420"/>
      <c r="O39" s="3421"/>
      <c r="P39" s="3306">
        <v>0</v>
      </c>
      <c r="Q39" s="3287"/>
      <c r="R39" s="3287"/>
      <c r="S39" s="3287"/>
      <c r="T39" s="3287"/>
      <c r="U39" s="3287"/>
      <c r="V39" s="3287"/>
      <c r="W39" s="3287"/>
      <c r="X39" s="3288"/>
      <c r="Y39" s="3306">
        <v>0</v>
      </c>
      <c r="Z39" s="3287"/>
      <c r="AA39" s="3287"/>
      <c r="AB39" s="3287"/>
      <c r="AC39" s="3287"/>
      <c r="AD39" s="3287"/>
      <c r="AE39" s="3287"/>
      <c r="AF39" s="3287"/>
      <c r="AG39" s="3288"/>
      <c r="AH39" s="3306">
        <v>0</v>
      </c>
      <c r="AI39" s="3287"/>
      <c r="AJ39" s="3287"/>
      <c r="AK39" s="3287"/>
      <c r="AL39" s="3287"/>
      <c r="AM39" s="3287"/>
      <c r="AN39" s="3287"/>
      <c r="AO39" s="3287"/>
      <c r="AP39" s="3288"/>
      <c r="AQ39" s="861"/>
      <c r="AR39" s="861"/>
      <c r="AS39" s="861"/>
      <c r="AT39" s="861"/>
      <c r="AU39" s="861"/>
      <c r="AV39" s="991"/>
      <c r="AW39" s="1085"/>
      <c r="AX39" s="1085"/>
      <c r="AY39" s="1085"/>
      <c r="AZ39" s="1085"/>
      <c r="BA39" s="1085"/>
      <c r="BB39" s="1085"/>
      <c r="BC39" s="1085"/>
      <c r="BD39" s="1085"/>
      <c r="BE39" s="1085"/>
      <c r="BF39" s="593"/>
      <c r="BG39" s="593"/>
      <c r="BH39" s="593"/>
      <c r="BI39" s="593"/>
      <c r="BJ39" s="1085"/>
      <c r="BK39" s="1085"/>
      <c r="BL39" s="1085"/>
      <c r="BM39" s="1085"/>
      <c r="BN39" s="1085"/>
    </row>
    <row r="40" spans="1:66" ht="25.5" customHeight="1" thickTop="1" thickBot="1">
      <c r="A40" s="1085"/>
      <c r="B40" s="1089"/>
      <c r="C40" s="1090"/>
      <c r="D40" s="1085"/>
      <c r="E40" s="1085"/>
      <c r="F40" s="1078"/>
      <c r="G40" s="3413" t="s">
        <v>42</v>
      </c>
      <c r="H40" s="3414"/>
      <c r="I40" s="3414"/>
      <c r="J40" s="3414"/>
      <c r="K40" s="3414"/>
      <c r="L40" s="3414"/>
      <c r="M40" s="3414"/>
      <c r="N40" s="3414"/>
      <c r="O40" s="3415"/>
      <c r="P40" s="3281">
        <f>SUM(P38:X39)</f>
        <v>0</v>
      </c>
      <c r="Q40" s="3273"/>
      <c r="R40" s="3273"/>
      <c r="S40" s="3273"/>
      <c r="T40" s="3273"/>
      <c r="U40" s="3273"/>
      <c r="V40" s="3273"/>
      <c r="W40" s="3273"/>
      <c r="X40" s="3277"/>
      <c r="Y40" s="3281">
        <f>SUM(Y38:AG39)</f>
        <v>0</v>
      </c>
      <c r="Z40" s="3273"/>
      <c r="AA40" s="3273"/>
      <c r="AB40" s="3273"/>
      <c r="AC40" s="3273"/>
      <c r="AD40" s="3273"/>
      <c r="AE40" s="3273"/>
      <c r="AF40" s="3273"/>
      <c r="AG40" s="3277"/>
      <c r="AH40" s="3281">
        <f>SUM(AH38:AP39)</f>
        <v>0</v>
      </c>
      <c r="AI40" s="3273"/>
      <c r="AJ40" s="3273"/>
      <c r="AK40" s="3273"/>
      <c r="AL40" s="3273"/>
      <c r="AM40" s="3273"/>
      <c r="AN40" s="3273"/>
      <c r="AO40" s="3273"/>
      <c r="AP40" s="3277"/>
      <c r="AQ40" s="861"/>
      <c r="AR40" s="861"/>
      <c r="AS40" s="861"/>
      <c r="AT40" s="861"/>
      <c r="AU40" s="861"/>
      <c r="AV40" s="991"/>
      <c r="AW40" s="1085"/>
      <c r="AX40" s="1085"/>
      <c r="AY40" s="1085"/>
      <c r="AZ40" s="1085"/>
      <c r="BA40" s="1085"/>
      <c r="BB40" s="1085"/>
      <c r="BC40" s="1085"/>
      <c r="BD40" s="1085"/>
      <c r="BE40" s="1085"/>
      <c r="BF40" s="593"/>
      <c r="BG40" s="593"/>
      <c r="BH40" s="593"/>
      <c r="BI40" s="593"/>
      <c r="BJ40" s="1085"/>
      <c r="BK40" s="1085"/>
      <c r="BL40" s="1085"/>
      <c r="BM40" s="1085"/>
      <c r="BN40" s="1085"/>
    </row>
    <row r="41" spans="1:66" ht="6" customHeight="1">
      <c r="A41" s="1085"/>
      <c r="B41" s="1089"/>
      <c r="C41" s="1090"/>
      <c r="D41" s="1085"/>
      <c r="E41" s="1049"/>
      <c r="F41" s="612"/>
      <c r="G41" s="612"/>
      <c r="H41" s="612"/>
      <c r="I41" s="612"/>
      <c r="J41" s="612"/>
      <c r="K41" s="612"/>
      <c r="L41" s="612"/>
      <c r="M41" s="612"/>
      <c r="N41" s="612"/>
      <c r="O41" s="861"/>
      <c r="P41" s="1085"/>
      <c r="Q41" s="861"/>
      <c r="R41" s="960"/>
      <c r="S41" s="593"/>
      <c r="T41" s="1085"/>
      <c r="U41" s="1085"/>
      <c r="V41" s="861"/>
      <c r="W41" s="960"/>
      <c r="X41" s="593"/>
      <c r="Y41" s="593"/>
      <c r="Z41" s="593"/>
      <c r="AA41" s="593"/>
      <c r="AB41" s="593"/>
      <c r="AC41" s="1085"/>
      <c r="AD41" s="861"/>
      <c r="AE41" s="861"/>
      <c r="AF41" s="861"/>
      <c r="AG41" s="861"/>
      <c r="AH41" s="861"/>
      <c r="AI41" s="861"/>
      <c r="AJ41" s="861"/>
      <c r="AK41" s="861"/>
      <c r="AL41" s="861"/>
      <c r="AM41" s="861"/>
      <c r="AN41" s="861"/>
      <c r="AO41" s="861"/>
      <c r="AP41" s="861"/>
      <c r="AQ41" s="861"/>
      <c r="AR41" s="861"/>
      <c r="AS41" s="861"/>
      <c r="AT41" s="861"/>
      <c r="AU41" s="861"/>
      <c r="AV41" s="991"/>
      <c r="AW41" s="1085"/>
      <c r="AX41" s="1085"/>
      <c r="AY41" s="1085"/>
      <c r="AZ41" s="1085"/>
      <c r="BA41" s="1085"/>
      <c r="BB41" s="1085"/>
      <c r="BC41" s="1085"/>
      <c r="BD41" s="1085"/>
      <c r="BE41" s="1085"/>
      <c r="BF41" s="593"/>
      <c r="BG41" s="593"/>
      <c r="BH41" s="593"/>
      <c r="BI41" s="593"/>
      <c r="BJ41" s="1085"/>
      <c r="BK41" s="1085"/>
      <c r="BL41" s="1085"/>
      <c r="BM41" s="1085"/>
      <c r="BN41" s="1085"/>
    </row>
    <row r="42" spans="1:66" s="44" customFormat="1" ht="11.25" customHeight="1" thickBot="1">
      <c r="A42" s="434"/>
      <c r="B42" s="434"/>
      <c r="C42" s="646"/>
      <c r="D42" s="642"/>
      <c r="E42" s="642"/>
      <c r="F42" s="642"/>
      <c r="G42" s="1000"/>
      <c r="H42" s="596"/>
      <c r="I42" s="596"/>
      <c r="J42" s="596"/>
      <c r="K42" s="596"/>
      <c r="L42" s="596"/>
      <c r="M42" s="596"/>
      <c r="N42" s="596"/>
      <c r="O42" s="596"/>
      <c r="P42" s="596"/>
      <c r="Q42" s="596"/>
      <c r="R42" s="596"/>
      <c r="S42" s="596"/>
      <c r="T42" s="596"/>
      <c r="U42" s="596"/>
      <c r="V42" s="596"/>
      <c r="W42" s="596"/>
      <c r="X42" s="596"/>
      <c r="Y42" s="596"/>
      <c r="Z42" s="596"/>
      <c r="AA42" s="866"/>
      <c r="AB42" s="866"/>
      <c r="AC42" s="866"/>
      <c r="AD42" s="866"/>
      <c r="AE42" s="866"/>
      <c r="AF42" s="596"/>
      <c r="AG42" s="866"/>
      <c r="AH42" s="866"/>
      <c r="AI42" s="866"/>
      <c r="AJ42" s="866"/>
      <c r="AK42" s="866"/>
      <c r="AL42" s="866"/>
      <c r="AM42" s="596"/>
      <c r="AN42" s="596"/>
      <c r="AO42" s="596"/>
      <c r="AP42" s="596"/>
      <c r="AQ42" s="596"/>
      <c r="AR42" s="596"/>
      <c r="AS42" s="596"/>
      <c r="AT42" s="596"/>
      <c r="AU42" s="596"/>
      <c r="AV42" s="597"/>
      <c r="AW42" s="434"/>
      <c r="AX42" s="434"/>
      <c r="AY42" s="434"/>
      <c r="AZ42" s="434"/>
      <c r="BA42" s="434"/>
      <c r="BB42" s="434"/>
      <c r="BC42" s="434"/>
      <c r="BD42" s="434"/>
      <c r="BE42" s="434"/>
      <c r="BF42" s="434"/>
      <c r="BG42" s="434"/>
      <c r="BH42" s="434"/>
      <c r="BI42" s="434"/>
      <c r="BJ42" s="434"/>
      <c r="BK42" s="434"/>
      <c r="BL42" s="434"/>
      <c r="BM42" s="434"/>
      <c r="BN42" s="434"/>
    </row>
    <row r="43" spans="1:66" ht="6" customHeight="1">
      <c r="A43" s="1085"/>
      <c r="B43" s="1085"/>
      <c r="C43" s="1085"/>
      <c r="D43" s="1085"/>
      <c r="E43" s="1049"/>
      <c r="F43" s="612"/>
      <c r="G43" s="612"/>
      <c r="H43" s="612"/>
      <c r="I43" s="612"/>
      <c r="J43" s="612"/>
      <c r="K43" s="612"/>
      <c r="L43" s="612"/>
      <c r="M43" s="612"/>
      <c r="N43" s="612"/>
      <c r="O43" s="861"/>
      <c r="P43" s="1085"/>
      <c r="Q43" s="861"/>
      <c r="R43" s="960"/>
      <c r="S43" s="593"/>
      <c r="T43" s="1085"/>
      <c r="U43" s="1085"/>
      <c r="V43" s="861"/>
      <c r="W43" s="960"/>
      <c r="X43" s="593"/>
      <c r="Y43" s="593"/>
      <c r="Z43" s="593"/>
      <c r="AA43" s="593"/>
      <c r="AB43" s="593"/>
      <c r="AC43" s="1085"/>
      <c r="AD43" s="861"/>
      <c r="AE43" s="861"/>
      <c r="AF43" s="861"/>
      <c r="AG43" s="861"/>
      <c r="AH43" s="861"/>
      <c r="AI43" s="861"/>
      <c r="AJ43" s="861"/>
      <c r="AK43" s="861"/>
      <c r="AL43" s="861"/>
      <c r="AM43" s="861"/>
      <c r="AN43" s="861"/>
      <c r="AO43" s="861"/>
      <c r="AP43" s="861"/>
      <c r="AQ43" s="861"/>
      <c r="AR43" s="861"/>
      <c r="AS43" s="861"/>
      <c r="AT43" s="861"/>
      <c r="AU43" s="861"/>
      <c r="AV43" s="861"/>
      <c r="AW43" s="1085"/>
      <c r="AX43" s="1085"/>
      <c r="AY43" s="1085"/>
      <c r="AZ43" s="1085"/>
      <c r="BA43" s="1085"/>
      <c r="BB43" s="1085"/>
      <c r="BC43" s="1085"/>
      <c r="BD43" s="1085"/>
      <c r="BE43" s="1085"/>
      <c r="BF43" s="593"/>
      <c r="BG43" s="593"/>
      <c r="BH43" s="593"/>
      <c r="BI43" s="593"/>
      <c r="BJ43" s="1085"/>
      <c r="BK43" s="1085"/>
      <c r="BL43" s="1085"/>
      <c r="BM43" s="1085"/>
      <c r="BN43" s="1085"/>
    </row>
    <row r="44" spans="1:66" ht="15.75" customHeight="1">
      <c r="A44" s="1085"/>
      <c r="B44" s="1085"/>
      <c r="C44" s="1092" t="s">
        <v>1083</v>
      </c>
      <c r="D44" s="1085"/>
      <c r="E44" s="1085"/>
      <c r="F44" s="1093"/>
      <c r="G44" s="1093"/>
      <c r="H44" s="1093"/>
      <c r="I44" s="1093"/>
      <c r="J44" s="1093"/>
      <c r="K44" s="1093"/>
      <c r="L44" s="1093"/>
      <c r="M44" s="1093"/>
      <c r="N44" s="1093"/>
      <c r="O44" s="1093"/>
      <c r="P44" s="1093"/>
      <c r="Q44" s="1093"/>
      <c r="R44" s="1093"/>
      <c r="S44" s="1093"/>
      <c r="T44" s="1093"/>
      <c r="U44" s="1093"/>
      <c r="V44" s="1093"/>
      <c r="W44" s="1093"/>
      <c r="X44" s="1093"/>
      <c r="Y44" s="1093"/>
      <c r="Z44" s="1093"/>
      <c r="AA44" s="1093"/>
      <c r="AB44" s="1093"/>
      <c r="AC44" s="1093"/>
      <c r="AD44" s="1093"/>
      <c r="AE44" s="1093"/>
      <c r="AF44" s="1093"/>
      <c r="AG44" s="1093"/>
      <c r="AH44" s="1093"/>
      <c r="AI44" s="1093"/>
      <c r="AJ44" s="1093"/>
      <c r="AK44" s="1093"/>
      <c r="AL44" s="1093"/>
      <c r="AM44" s="1093"/>
      <c r="AN44" s="1093"/>
      <c r="AO44" s="1093"/>
      <c r="AP44" s="1093"/>
      <c r="AQ44" s="1093"/>
      <c r="AR44" s="1093"/>
      <c r="AS44" s="1093"/>
      <c r="AT44" s="1085"/>
      <c r="AU44" s="1085"/>
      <c r="AV44" s="1085"/>
      <c r="AW44" s="1085"/>
      <c r="AX44" s="1085"/>
      <c r="AY44" s="1085"/>
      <c r="AZ44" s="1085"/>
      <c r="BA44" s="1085"/>
      <c r="BB44" s="1085"/>
      <c r="BC44" s="1085"/>
      <c r="BD44" s="1085"/>
      <c r="BE44" s="1085"/>
      <c r="BF44" s="1085"/>
      <c r="BG44" s="1085"/>
      <c r="BH44" s="1085"/>
      <c r="BI44" s="1085"/>
      <c r="BJ44" s="1085"/>
      <c r="BK44" s="1085"/>
      <c r="BL44" s="1085"/>
      <c r="BM44" s="1085"/>
      <c r="BN44" s="1085"/>
    </row>
    <row r="45" spans="1:66" s="164" customFormat="1" ht="51.6" customHeight="1">
      <c r="A45" s="260"/>
      <c r="B45" s="260"/>
      <c r="C45" s="260"/>
      <c r="D45" s="260"/>
      <c r="E45" s="260"/>
      <c r="F45" s="260"/>
      <c r="G45" s="260"/>
      <c r="H45" s="260"/>
      <c r="I45" s="260"/>
      <c r="J45" s="260"/>
      <c r="K45" s="260"/>
      <c r="L45" s="260"/>
      <c r="M45" s="260"/>
      <c r="N45" s="260"/>
      <c r="O45" s="260"/>
      <c r="P45" s="260"/>
      <c r="Q45" s="260"/>
      <c r="R45" s="260"/>
      <c r="S45" s="260"/>
      <c r="T45" s="260"/>
      <c r="U45" s="260"/>
      <c r="V45" s="260"/>
      <c r="W45" s="260"/>
      <c r="X45" s="227"/>
      <c r="Y45" s="260"/>
      <c r="Z45" s="227"/>
      <c r="AA45" s="260"/>
      <c r="AB45" s="227"/>
      <c r="AC45" s="227"/>
      <c r="AD45" s="227"/>
      <c r="AE45" s="260"/>
      <c r="AF45" s="227"/>
      <c r="AG45" s="260"/>
      <c r="AH45" s="227"/>
      <c r="AI45" s="260"/>
      <c r="AJ45" s="260"/>
      <c r="AK45" s="260"/>
      <c r="AL45" s="260"/>
      <c r="AM45" s="260"/>
      <c r="AN45" s="260"/>
      <c r="AO45" s="260"/>
      <c r="AP45" s="260"/>
      <c r="AQ45" s="260"/>
      <c r="AR45" s="260"/>
      <c r="AS45" s="260"/>
      <c r="AT45" s="260"/>
      <c r="AU45" s="260"/>
      <c r="AV45" s="260"/>
      <c r="AW45" s="260"/>
      <c r="AX45" s="260"/>
      <c r="AY45" s="260"/>
      <c r="AZ45" s="260"/>
      <c r="BA45" s="260"/>
      <c r="BB45" s="260"/>
      <c r="BC45" s="260"/>
      <c r="BD45" s="260"/>
      <c r="BE45" s="260"/>
      <c r="BF45" s="260"/>
      <c r="BG45" s="260"/>
      <c r="BH45" s="260"/>
      <c r="BI45" s="260"/>
      <c r="BJ45" s="260"/>
      <c r="BK45" s="260"/>
      <c r="BL45" s="260"/>
      <c r="BM45" s="260"/>
      <c r="BN45" s="260"/>
    </row>
    <row r="46" spans="1:66" s="37" customFormat="1" ht="15">
      <c r="A46" s="263"/>
      <c r="B46" s="332" t="s">
        <v>32</v>
      </c>
      <c r="C46" s="263"/>
      <c r="D46" s="263"/>
      <c r="E46" s="263"/>
      <c r="F46" s="263"/>
      <c r="G46" s="263"/>
      <c r="H46" s="263"/>
      <c r="I46" s="263"/>
      <c r="J46" s="263"/>
      <c r="K46" s="263"/>
      <c r="L46" s="263"/>
      <c r="M46" s="263"/>
      <c r="N46" s="263"/>
      <c r="O46" s="263"/>
      <c r="P46" s="263"/>
      <c r="Q46" s="332" t="s">
        <v>577</v>
      </c>
      <c r="R46" s="263"/>
      <c r="S46" s="263"/>
      <c r="T46" s="263"/>
      <c r="U46" s="263"/>
      <c r="V46" s="263"/>
      <c r="W46" s="263"/>
      <c r="X46" s="263"/>
      <c r="Y46" s="263"/>
      <c r="Z46" s="263"/>
      <c r="AA46" s="263"/>
      <c r="AB46" s="263"/>
      <c r="AC46" s="263"/>
      <c r="AD46" s="263"/>
      <c r="AE46" s="263"/>
      <c r="AF46" s="263"/>
      <c r="AG46" s="263"/>
      <c r="AH46" s="263"/>
      <c r="AI46" s="332" t="s">
        <v>33</v>
      </c>
      <c r="AJ46" s="263"/>
      <c r="AK46" s="263"/>
      <c r="AL46" s="263"/>
      <c r="AM46" s="263"/>
      <c r="AN46" s="263"/>
      <c r="AO46" s="263"/>
      <c r="AP46" s="263"/>
      <c r="AQ46" s="263"/>
      <c r="AR46" s="263"/>
      <c r="AS46" s="263"/>
      <c r="AT46" s="263"/>
      <c r="AU46" s="263"/>
      <c r="AV46" s="263"/>
      <c r="AW46" s="263"/>
      <c r="AX46" s="263"/>
      <c r="AY46" s="263"/>
      <c r="AZ46" s="263"/>
      <c r="BA46" s="263"/>
      <c r="BB46" s="263"/>
      <c r="BC46" s="263"/>
      <c r="BD46" s="263"/>
      <c r="BE46" s="263"/>
      <c r="BF46" s="263"/>
      <c r="BG46" s="263"/>
      <c r="BH46" s="263"/>
      <c r="BI46" s="263"/>
      <c r="BJ46" s="263"/>
      <c r="BK46" s="263"/>
      <c r="BL46" s="263"/>
      <c r="BM46" s="263"/>
      <c r="BN46" s="263"/>
    </row>
    <row r="47" spans="1:66" s="37" customFormat="1" ht="21.75" customHeight="1">
      <c r="A47" s="263"/>
      <c r="B47" s="332" t="s">
        <v>75</v>
      </c>
      <c r="C47" s="263"/>
      <c r="D47" s="263"/>
      <c r="E47" s="263"/>
      <c r="F47" s="2790" t="str">
        <f>activesheet!E21</f>
        <v>MELCHESIEDICK Q. BOLANIO / March 17, 2023</v>
      </c>
      <c r="G47" s="2790"/>
      <c r="H47" s="2790"/>
      <c r="I47" s="2790"/>
      <c r="J47" s="2790"/>
      <c r="K47" s="2790"/>
      <c r="L47" s="2790"/>
      <c r="M47" s="2790"/>
      <c r="N47" s="2790"/>
      <c r="O47" s="263"/>
      <c r="P47" s="263"/>
      <c r="Q47" s="2790" t="str">
        <f>activesheet!E2417</f>
        <v>RACQUEL N. ACOMPANADO / March 17, 2023</v>
      </c>
      <c r="R47" s="2790"/>
      <c r="S47" s="2790"/>
      <c r="T47" s="2790"/>
      <c r="U47" s="2790"/>
      <c r="V47" s="2790"/>
      <c r="W47" s="2790"/>
      <c r="X47" s="2790"/>
      <c r="Y47" s="2790"/>
      <c r="Z47" s="2790"/>
      <c r="AA47" s="2790"/>
      <c r="AB47" s="2790"/>
      <c r="AC47" s="2790"/>
      <c r="AD47" s="2790"/>
      <c r="AE47" s="2790"/>
      <c r="AF47" s="2790"/>
      <c r="AG47" s="263"/>
      <c r="AH47" s="263"/>
      <c r="AI47" s="1819" t="str">
        <f>activesheet!E25</f>
        <v>MICHAEL T. JAMIS / March 17, 2023</v>
      </c>
      <c r="AJ47" s="1819"/>
      <c r="AK47" s="1819"/>
      <c r="AL47" s="1819"/>
      <c r="AM47" s="1819"/>
      <c r="AN47" s="1819"/>
      <c r="AO47" s="1819"/>
      <c r="AP47" s="1819"/>
      <c r="AQ47" s="1819"/>
      <c r="AR47" s="1819"/>
      <c r="AS47" s="1819"/>
      <c r="AT47" s="1819"/>
      <c r="AU47" s="1819"/>
      <c r="AV47" s="332"/>
      <c r="AW47" s="332"/>
      <c r="AX47" s="332"/>
      <c r="AY47" s="263"/>
      <c r="AZ47" s="263"/>
      <c r="BA47" s="263"/>
      <c r="BB47" s="263"/>
      <c r="BC47" s="263"/>
      <c r="BD47" s="263"/>
      <c r="BE47" s="263"/>
      <c r="BF47" s="263"/>
      <c r="BG47" s="263"/>
      <c r="BH47" s="263"/>
      <c r="BI47" s="263"/>
      <c r="BJ47" s="263"/>
      <c r="BK47" s="263"/>
      <c r="BL47" s="263"/>
      <c r="BM47" s="263"/>
      <c r="BN47" s="263"/>
    </row>
    <row r="48" spans="1:66" s="39" customFormat="1" ht="15">
      <c r="A48" s="280"/>
      <c r="B48" s="228"/>
      <c r="C48" s="280"/>
      <c r="D48" s="280"/>
      <c r="E48" s="280"/>
      <c r="F48" s="1811" t="s">
        <v>37</v>
      </c>
      <c r="G48" s="1811"/>
      <c r="H48" s="1811"/>
      <c r="I48" s="1811"/>
      <c r="J48" s="1811"/>
      <c r="K48" s="1811"/>
      <c r="L48" s="1811"/>
      <c r="M48" s="1811"/>
      <c r="N48" s="1811"/>
      <c r="O48" s="281"/>
      <c r="P48" s="281"/>
      <c r="Q48" s="1811" t="s">
        <v>37</v>
      </c>
      <c r="R48" s="1811"/>
      <c r="S48" s="1811"/>
      <c r="T48" s="1811"/>
      <c r="U48" s="1811"/>
      <c r="V48" s="1811"/>
      <c r="W48" s="1811"/>
      <c r="X48" s="1811"/>
      <c r="Y48" s="1811"/>
      <c r="Z48" s="1811"/>
      <c r="AA48" s="1811"/>
      <c r="AB48" s="1811"/>
      <c r="AC48" s="1811"/>
      <c r="AD48" s="1811"/>
      <c r="AE48" s="1811"/>
      <c r="AF48" s="1811"/>
      <c r="AG48" s="280"/>
      <c r="AH48" s="280"/>
      <c r="AI48" s="1820"/>
      <c r="AJ48" s="1820"/>
      <c r="AK48" s="1820"/>
      <c r="AL48" s="1820"/>
      <c r="AM48" s="1820"/>
      <c r="AN48" s="1820"/>
      <c r="AO48" s="1820"/>
      <c r="AP48" s="1820"/>
      <c r="AQ48" s="1820"/>
      <c r="AR48" s="1820"/>
      <c r="AS48" s="1820"/>
      <c r="AT48" s="1820"/>
      <c r="AU48" s="1820"/>
      <c r="AV48" s="332"/>
      <c r="AW48" s="332"/>
      <c r="AX48" s="332"/>
      <c r="AY48" s="280"/>
      <c r="AZ48" s="280"/>
      <c r="BA48" s="280"/>
      <c r="BB48" s="280"/>
      <c r="BC48" s="280"/>
      <c r="BD48" s="280"/>
      <c r="BE48" s="280"/>
      <c r="BF48" s="280"/>
      <c r="BG48" s="280"/>
      <c r="BH48" s="280"/>
      <c r="BI48" s="280"/>
      <c r="BJ48" s="280"/>
      <c r="BK48" s="280"/>
      <c r="BL48" s="280"/>
      <c r="BM48" s="280"/>
      <c r="BN48" s="280"/>
    </row>
    <row r="49" spans="1:66" s="37" customFormat="1" ht="21.75" customHeight="1">
      <c r="A49" s="263"/>
      <c r="B49" s="332" t="s">
        <v>58</v>
      </c>
      <c r="C49" s="263"/>
      <c r="D49" s="263"/>
      <c r="E49" s="263"/>
      <c r="F49" s="2790" t="str">
        <f>activesheet!E22</f>
        <v>SECONDARY SCHOOL PRINCIPAL IV</v>
      </c>
      <c r="G49" s="2790"/>
      <c r="H49" s="2790"/>
      <c r="I49" s="2790"/>
      <c r="J49" s="2790"/>
      <c r="K49" s="2790"/>
      <c r="L49" s="2790"/>
      <c r="M49" s="2790"/>
      <c r="N49" s="2790"/>
      <c r="O49" s="263"/>
      <c r="P49" s="263"/>
      <c r="Q49" s="332" t="s">
        <v>58</v>
      </c>
      <c r="R49" s="263"/>
      <c r="S49" s="263"/>
      <c r="T49" s="263"/>
      <c r="U49" s="2790" t="str">
        <f>activesheet!E2418</f>
        <v>NURSE II</v>
      </c>
      <c r="V49" s="2790"/>
      <c r="W49" s="2790"/>
      <c r="X49" s="2790"/>
      <c r="Y49" s="2790"/>
      <c r="Z49" s="2790"/>
      <c r="AA49" s="2790"/>
      <c r="AB49" s="2790"/>
      <c r="AC49" s="2790"/>
      <c r="AD49" s="2790"/>
      <c r="AE49" s="2790"/>
      <c r="AF49" s="2790"/>
      <c r="AG49" s="263"/>
      <c r="AH49" s="263"/>
      <c r="AI49" s="1811" t="s">
        <v>37</v>
      </c>
      <c r="AJ49" s="1811"/>
      <c r="AK49" s="1811"/>
      <c r="AL49" s="1811"/>
      <c r="AM49" s="1811"/>
      <c r="AN49" s="1811"/>
      <c r="AO49" s="1811"/>
      <c r="AP49" s="1811"/>
      <c r="AQ49" s="1811"/>
      <c r="AR49" s="1811"/>
      <c r="AS49" s="1811"/>
      <c r="AT49" s="1811"/>
      <c r="AU49" s="1811"/>
      <c r="AV49" s="358"/>
      <c r="AW49" s="358"/>
      <c r="AX49" s="358"/>
      <c r="AY49" s="263"/>
      <c r="AZ49" s="263"/>
      <c r="BA49" s="263"/>
      <c r="BB49" s="263"/>
      <c r="BC49" s="263"/>
      <c r="BD49" s="263"/>
      <c r="BE49" s="263"/>
      <c r="BF49" s="263"/>
      <c r="BG49" s="263"/>
      <c r="BH49" s="263"/>
      <c r="BI49" s="263"/>
      <c r="BJ49" s="263"/>
      <c r="BK49" s="263"/>
      <c r="BL49" s="263"/>
      <c r="BM49" s="263"/>
      <c r="BN49" s="263"/>
    </row>
    <row r="50" spans="1:66">
      <c r="A50" s="1085"/>
      <c r="B50" s="1085"/>
      <c r="C50" s="976"/>
      <c r="D50" s="976"/>
      <c r="E50" s="976"/>
      <c r="F50" s="976"/>
      <c r="G50" s="976"/>
      <c r="H50" s="976"/>
      <c r="I50" s="976"/>
      <c r="J50" s="976"/>
      <c r="K50" s="976"/>
      <c r="L50" s="976"/>
      <c r="M50" s="976"/>
      <c r="N50" s="976"/>
      <c r="O50" s="976"/>
      <c r="P50" s="976"/>
      <c r="Q50" s="976"/>
      <c r="R50" s="976"/>
      <c r="S50" s="976"/>
      <c r="T50" s="976"/>
      <c r="U50" s="976"/>
      <c r="V50" s="976"/>
      <c r="W50" s="1085"/>
      <c r="X50" s="1085"/>
      <c r="Y50" s="1085"/>
      <c r="Z50" s="1085"/>
      <c r="AA50" s="1085"/>
      <c r="AB50" s="1085"/>
      <c r="AC50" s="1085"/>
      <c r="AD50" s="1085"/>
      <c r="AE50" s="1085"/>
      <c r="AF50" s="1085"/>
      <c r="AG50" s="976"/>
      <c r="AH50" s="976"/>
      <c r="AI50" s="976"/>
      <c r="AJ50" s="976"/>
      <c r="AK50" s="976"/>
      <c r="AL50" s="1085"/>
      <c r="AM50" s="1085"/>
      <c r="AN50" s="1085"/>
      <c r="AO50" s="1085"/>
      <c r="AP50" s="1085"/>
      <c r="AQ50" s="1085"/>
      <c r="AR50" s="1085"/>
      <c r="AS50" s="1085"/>
      <c r="AT50" s="1085"/>
      <c r="AU50" s="1085"/>
      <c r="AV50" s="1085"/>
      <c r="AW50" s="1085"/>
      <c r="AX50" s="1085"/>
      <c r="AY50" s="1085"/>
      <c r="AZ50" s="1085"/>
      <c r="BA50" s="1085"/>
      <c r="BB50" s="1085"/>
      <c r="BC50" s="1085"/>
      <c r="BD50" s="1085"/>
      <c r="BE50" s="1085"/>
      <c r="BF50" s="1085"/>
      <c r="BG50" s="1085"/>
      <c r="BH50" s="1085"/>
      <c r="BI50" s="1085"/>
      <c r="BJ50" s="1085"/>
      <c r="BK50" s="1085"/>
      <c r="BL50" s="1085"/>
      <c r="BM50" s="1085"/>
      <c r="BN50" s="1085"/>
    </row>
    <row r="51" spans="1:66">
      <c r="A51" s="1085"/>
      <c r="B51" s="1085"/>
      <c r="C51" s="1085"/>
      <c r="D51" s="1085"/>
      <c r="E51" s="1085"/>
      <c r="F51" s="1085"/>
      <c r="G51" s="1085"/>
      <c r="H51" s="1085"/>
      <c r="I51" s="1085"/>
      <c r="J51" s="1085"/>
      <c r="K51" s="1085"/>
      <c r="L51" s="1085"/>
      <c r="M51" s="1085"/>
      <c r="N51" s="1085"/>
      <c r="O51" s="1085"/>
      <c r="P51" s="1085"/>
      <c r="Q51" s="1085"/>
      <c r="R51" s="1085"/>
      <c r="S51" s="1085"/>
      <c r="T51" s="1085"/>
      <c r="U51" s="1085"/>
      <c r="V51" s="1085"/>
      <c r="W51" s="1085"/>
      <c r="X51" s="1085"/>
      <c r="Y51" s="1085"/>
      <c r="Z51" s="1085"/>
      <c r="AA51" s="1085"/>
      <c r="AB51" s="1085"/>
      <c r="AC51" s="1085"/>
      <c r="AD51" s="1085"/>
      <c r="AE51" s="1085"/>
      <c r="AF51" s="1085"/>
      <c r="AG51" s="1085"/>
      <c r="AH51" s="1085"/>
      <c r="AI51" s="1085"/>
      <c r="AJ51" s="1085"/>
      <c r="AK51" s="1085"/>
      <c r="AL51" s="1085"/>
      <c r="AM51" s="1085"/>
      <c r="AN51" s="1085"/>
      <c r="AO51" s="1085"/>
      <c r="AP51" s="1085"/>
      <c r="AQ51" s="1085"/>
      <c r="AR51" s="1085"/>
      <c r="AS51" s="1085"/>
      <c r="AT51" s="1085"/>
      <c r="AU51" s="1085"/>
      <c r="AV51" s="1085"/>
      <c r="AW51" s="1085"/>
      <c r="AX51" s="1085"/>
      <c r="AY51" s="1085"/>
      <c r="AZ51" s="1085"/>
      <c r="BA51" s="1085"/>
      <c r="BB51" s="1085"/>
      <c r="BC51" s="1085"/>
      <c r="BD51" s="1085"/>
      <c r="BE51" s="1085"/>
      <c r="BF51" s="1085"/>
      <c r="BG51" s="1085"/>
      <c r="BH51" s="1085"/>
      <c r="BI51" s="1085"/>
      <c r="BJ51" s="1085"/>
      <c r="BK51" s="1085"/>
      <c r="BL51" s="1085"/>
      <c r="BM51" s="1085"/>
      <c r="BN51" s="1085"/>
    </row>
    <row r="52" spans="1:66">
      <c r="A52" s="1085"/>
      <c r="B52" s="1085"/>
      <c r="C52" s="1085"/>
      <c r="D52" s="1085"/>
      <c r="E52" s="1085"/>
      <c r="F52" s="1085"/>
      <c r="G52" s="1085"/>
      <c r="H52" s="1085"/>
      <c r="I52" s="1085"/>
      <c r="J52" s="1085"/>
      <c r="K52" s="1085"/>
      <c r="L52" s="1085"/>
      <c r="M52" s="1085"/>
      <c r="N52" s="1085"/>
      <c r="O52" s="1085"/>
      <c r="P52" s="1085"/>
      <c r="Q52" s="1085"/>
      <c r="R52" s="1085"/>
      <c r="S52" s="1085"/>
      <c r="T52" s="1085"/>
      <c r="U52" s="1085"/>
      <c r="V52" s="1085"/>
      <c r="W52" s="1085"/>
      <c r="X52" s="1085"/>
      <c r="Y52" s="1085"/>
      <c r="Z52" s="1085"/>
      <c r="AA52" s="1085"/>
      <c r="AB52" s="1085"/>
      <c r="AC52" s="1085"/>
      <c r="AD52" s="1085"/>
      <c r="AE52" s="1085"/>
      <c r="AF52" s="1085"/>
      <c r="AG52" s="1085"/>
      <c r="AH52" s="1085"/>
      <c r="AI52" s="1085"/>
      <c r="AJ52" s="1085"/>
      <c r="AK52" s="1085"/>
      <c r="AL52" s="1085"/>
      <c r="AM52" s="1085"/>
      <c r="AN52" s="1085"/>
      <c r="AO52" s="1085"/>
      <c r="AP52" s="1085"/>
      <c r="AQ52" s="1085"/>
      <c r="AR52" s="1085"/>
      <c r="AS52" s="1085"/>
      <c r="AT52" s="1085"/>
      <c r="AU52" s="1085"/>
      <c r="AV52" s="1085"/>
      <c r="AW52" s="1085"/>
      <c r="AX52" s="1085"/>
      <c r="AY52" s="1085"/>
      <c r="AZ52" s="1085"/>
      <c r="BA52" s="1085"/>
      <c r="BB52" s="1085"/>
      <c r="BC52" s="1085"/>
      <c r="BD52" s="1085"/>
      <c r="BE52" s="1085"/>
      <c r="BF52" s="1085"/>
      <c r="BG52" s="1085"/>
      <c r="BH52" s="1085"/>
      <c r="BI52" s="1085"/>
      <c r="BJ52" s="1085"/>
      <c r="BK52" s="1085"/>
      <c r="BL52" s="1085"/>
      <c r="BM52" s="1085"/>
      <c r="BN52" s="1085"/>
    </row>
    <row r="53" spans="1:66">
      <c r="A53" s="1085"/>
      <c r="B53" s="1085"/>
      <c r="C53" s="1085"/>
      <c r="D53" s="1085"/>
      <c r="E53" s="1085"/>
      <c r="F53" s="1085"/>
      <c r="G53" s="1085"/>
      <c r="H53" s="1085"/>
      <c r="I53" s="1085"/>
      <c r="J53" s="1085"/>
      <c r="K53" s="1085"/>
      <c r="L53" s="1085"/>
      <c r="M53" s="1085"/>
      <c r="N53" s="1085"/>
      <c r="O53" s="1085"/>
      <c r="P53" s="1085"/>
      <c r="Q53" s="1085"/>
      <c r="R53" s="1085"/>
      <c r="S53" s="1085"/>
      <c r="T53" s="1085"/>
      <c r="U53" s="1085"/>
      <c r="V53" s="1085"/>
      <c r="W53" s="1085"/>
      <c r="X53" s="1085"/>
      <c r="Y53" s="1085"/>
      <c r="Z53" s="1085"/>
      <c r="AA53" s="1085"/>
      <c r="AB53" s="1085"/>
      <c r="AC53" s="1085"/>
      <c r="AD53" s="1085"/>
      <c r="AE53" s="1085"/>
      <c r="AF53" s="1085"/>
      <c r="AG53" s="1085"/>
      <c r="AH53" s="1085"/>
      <c r="AI53" s="1085"/>
      <c r="AJ53" s="1085"/>
      <c r="AK53" s="1085"/>
      <c r="AL53" s="1085"/>
      <c r="AM53" s="1085"/>
      <c r="AN53" s="1085"/>
      <c r="AO53" s="1085"/>
      <c r="AP53" s="1085"/>
      <c r="AQ53" s="1085"/>
      <c r="AR53" s="1085"/>
      <c r="AS53" s="1085"/>
      <c r="AT53" s="1085"/>
      <c r="AU53" s="1085"/>
      <c r="AV53" s="1085"/>
      <c r="AW53" s="1085"/>
      <c r="AX53" s="1085"/>
      <c r="AY53" s="1085"/>
      <c r="AZ53" s="1085"/>
      <c r="BA53" s="1085"/>
      <c r="BB53" s="1085"/>
      <c r="BC53" s="1085"/>
      <c r="BD53" s="1085"/>
      <c r="BE53" s="1085"/>
      <c r="BF53" s="1085"/>
      <c r="BG53" s="1085"/>
      <c r="BH53" s="1085"/>
      <c r="BI53" s="1085"/>
      <c r="BJ53" s="1085"/>
      <c r="BK53" s="1085"/>
      <c r="BL53" s="1085"/>
      <c r="BM53" s="1085"/>
      <c r="BN53" s="1085"/>
    </row>
    <row r="54" spans="1:66">
      <c r="A54" s="1085"/>
      <c r="B54" s="1085"/>
      <c r="C54" s="1085"/>
      <c r="D54" s="1085"/>
      <c r="E54" s="1085"/>
      <c r="F54" s="1085"/>
      <c r="G54" s="1085"/>
      <c r="H54" s="1085"/>
      <c r="I54" s="1085"/>
      <c r="J54" s="1085"/>
      <c r="K54" s="1085"/>
      <c r="L54" s="1085"/>
      <c r="M54" s="1085"/>
      <c r="N54" s="1085"/>
      <c r="O54" s="1085"/>
      <c r="P54" s="1085"/>
      <c r="Q54" s="1085"/>
      <c r="R54" s="1085"/>
      <c r="S54" s="1085"/>
      <c r="T54" s="1085"/>
      <c r="U54" s="1085"/>
      <c r="V54" s="1085"/>
      <c r="W54" s="1085"/>
      <c r="X54" s="1085"/>
      <c r="Y54" s="1085"/>
      <c r="Z54" s="1085"/>
      <c r="AA54" s="1085"/>
      <c r="AB54" s="1085"/>
      <c r="AC54" s="1085"/>
      <c r="AD54" s="1085"/>
      <c r="AE54" s="1085"/>
      <c r="AF54" s="1085"/>
      <c r="AG54" s="1085"/>
      <c r="AH54" s="1085"/>
      <c r="AI54" s="1085"/>
      <c r="AJ54" s="1085"/>
      <c r="AK54" s="1085"/>
      <c r="AL54" s="1085"/>
      <c r="AM54" s="1085"/>
      <c r="AN54" s="1085"/>
      <c r="AO54" s="1085"/>
      <c r="AP54" s="1085"/>
      <c r="AQ54" s="1085"/>
      <c r="AR54" s="1085"/>
      <c r="AS54" s="1085"/>
      <c r="AT54" s="1085"/>
      <c r="AU54" s="1085"/>
      <c r="AV54" s="1085"/>
      <c r="AW54" s="1085"/>
      <c r="AX54" s="1085"/>
      <c r="AY54" s="1085"/>
      <c r="AZ54" s="1085"/>
      <c r="BA54" s="1085"/>
      <c r="BB54" s="1085"/>
      <c r="BC54" s="1085"/>
      <c r="BD54" s="1085"/>
      <c r="BE54" s="1085"/>
      <c r="BF54" s="1085"/>
      <c r="BG54" s="1085"/>
      <c r="BH54" s="1085"/>
      <c r="BI54" s="1085"/>
      <c r="BJ54" s="1085"/>
      <c r="BK54" s="1085"/>
      <c r="BL54" s="1085"/>
      <c r="BM54" s="1085"/>
      <c r="BN54" s="1085"/>
    </row>
    <row r="55" spans="1:66">
      <c r="A55" s="1085"/>
      <c r="B55" s="1085"/>
      <c r="C55" s="1085"/>
      <c r="D55" s="1085"/>
      <c r="E55" s="1085"/>
      <c r="F55" s="1085"/>
      <c r="G55" s="1085"/>
      <c r="H55" s="1085"/>
      <c r="I55" s="1085"/>
      <c r="J55" s="1085"/>
      <c r="K55" s="1085"/>
      <c r="L55" s="1085"/>
      <c r="M55" s="1085"/>
      <c r="N55" s="1085"/>
      <c r="O55" s="1085"/>
      <c r="P55" s="1085"/>
      <c r="Q55" s="1085"/>
      <c r="R55" s="1085"/>
      <c r="S55" s="1085"/>
      <c r="T55" s="1085"/>
      <c r="U55" s="1085"/>
      <c r="V55" s="1085"/>
      <c r="W55" s="1085"/>
      <c r="X55" s="1085"/>
      <c r="Y55" s="1085"/>
      <c r="Z55" s="1085"/>
      <c r="AA55" s="1085"/>
      <c r="AB55" s="1085"/>
      <c r="AC55" s="1085"/>
      <c r="AD55" s="1085"/>
      <c r="AE55" s="1085"/>
      <c r="AF55" s="1085"/>
      <c r="AG55" s="1085"/>
      <c r="AH55" s="1085"/>
      <c r="AI55" s="1085"/>
      <c r="AJ55" s="1085"/>
      <c r="AK55" s="1085"/>
      <c r="AL55" s="1085"/>
      <c r="AM55" s="1085"/>
      <c r="AN55" s="1085"/>
      <c r="AO55" s="1085"/>
      <c r="AP55" s="1085"/>
      <c r="AQ55" s="1085"/>
      <c r="AR55" s="1085"/>
      <c r="AS55" s="1085"/>
      <c r="AT55" s="1085"/>
      <c r="AU55" s="1085"/>
      <c r="AV55" s="1085"/>
      <c r="AW55" s="1085"/>
      <c r="AX55" s="1085"/>
      <c r="AY55" s="1085"/>
      <c r="AZ55" s="1085"/>
      <c r="BA55" s="1085"/>
      <c r="BB55" s="1085"/>
      <c r="BC55" s="1085"/>
      <c r="BD55" s="1085"/>
      <c r="BE55" s="1085"/>
      <c r="BF55" s="1085"/>
      <c r="BG55" s="1085"/>
      <c r="BH55" s="1085"/>
      <c r="BI55" s="1085"/>
      <c r="BJ55" s="1085"/>
      <c r="BK55" s="1085"/>
      <c r="BL55" s="1085"/>
      <c r="BM55" s="1085"/>
      <c r="BN55" s="1085"/>
    </row>
    <row r="56" spans="1:66">
      <c r="A56" s="1085"/>
      <c r="B56" s="1085"/>
      <c r="C56" s="1085"/>
      <c r="D56" s="1085"/>
      <c r="E56" s="1085"/>
      <c r="F56" s="1085"/>
      <c r="G56" s="1085"/>
      <c r="H56" s="1085"/>
      <c r="I56" s="1085"/>
      <c r="J56" s="1085"/>
      <c r="K56" s="1085"/>
      <c r="L56" s="1085"/>
      <c r="M56" s="1085"/>
      <c r="N56" s="1085"/>
      <c r="O56" s="1085"/>
      <c r="P56" s="1085"/>
      <c r="Q56" s="1085"/>
      <c r="R56" s="1085"/>
      <c r="S56" s="1085"/>
      <c r="T56" s="1085"/>
      <c r="U56" s="1085"/>
      <c r="V56" s="1085"/>
      <c r="W56" s="1085"/>
      <c r="X56" s="1085"/>
      <c r="Y56" s="1085"/>
      <c r="Z56" s="1085"/>
      <c r="AA56" s="1085"/>
      <c r="AB56" s="1085"/>
      <c r="AC56" s="1085"/>
      <c r="AD56" s="1085"/>
      <c r="AE56" s="1085"/>
      <c r="AF56" s="1085"/>
      <c r="AG56" s="1085"/>
      <c r="AH56" s="1085"/>
      <c r="AI56" s="1085"/>
      <c r="AJ56" s="1085"/>
      <c r="AK56" s="1085"/>
      <c r="AL56" s="1085"/>
      <c r="AM56" s="1085"/>
      <c r="AN56" s="1085"/>
      <c r="AO56" s="1085"/>
      <c r="AP56" s="1085"/>
      <c r="AQ56" s="1085"/>
      <c r="AR56" s="1085"/>
      <c r="AS56" s="1085"/>
      <c r="AT56" s="1085"/>
      <c r="AU56" s="1085"/>
      <c r="AV56" s="1085"/>
      <c r="AW56" s="1085"/>
      <c r="AX56" s="1085"/>
      <c r="AY56" s="1085"/>
      <c r="AZ56" s="1085"/>
      <c r="BA56" s="1085"/>
      <c r="BB56" s="1085"/>
      <c r="BC56" s="1085"/>
      <c r="BD56" s="1085"/>
      <c r="BE56" s="1085"/>
      <c r="BF56" s="1085"/>
      <c r="BG56" s="1085"/>
      <c r="BH56" s="1085"/>
      <c r="BI56" s="1085"/>
      <c r="BJ56" s="1085"/>
      <c r="BK56" s="1085"/>
      <c r="BL56" s="1085"/>
      <c r="BM56" s="1085"/>
      <c r="BN56" s="1085"/>
    </row>
    <row r="57" spans="1:66">
      <c r="A57" s="1085"/>
      <c r="B57" s="1085"/>
      <c r="C57" s="1085"/>
      <c r="D57" s="1085"/>
      <c r="E57" s="1085"/>
      <c r="F57" s="1085"/>
      <c r="G57" s="1085"/>
      <c r="H57" s="1085"/>
      <c r="I57" s="1085"/>
      <c r="J57" s="1085"/>
      <c r="K57" s="1085"/>
      <c r="L57" s="1085"/>
      <c r="M57" s="1085"/>
      <c r="N57" s="1085"/>
      <c r="O57" s="1085"/>
      <c r="P57" s="1085"/>
      <c r="Q57" s="1085"/>
      <c r="R57" s="1085"/>
      <c r="S57" s="1085"/>
      <c r="T57" s="1085"/>
      <c r="U57" s="1085"/>
      <c r="V57" s="1085"/>
      <c r="W57" s="1085"/>
      <c r="X57" s="1085"/>
      <c r="Y57" s="1085"/>
      <c r="Z57" s="1085"/>
      <c r="AA57" s="1085"/>
      <c r="AB57" s="1085"/>
      <c r="AC57" s="1085"/>
      <c r="AD57" s="1085"/>
      <c r="AE57" s="1085"/>
      <c r="AF57" s="1085"/>
      <c r="AG57" s="1085"/>
      <c r="AH57" s="1085"/>
      <c r="AI57" s="1085"/>
      <c r="AJ57" s="1085"/>
      <c r="AK57" s="1085"/>
      <c r="AL57" s="1085"/>
      <c r="AM57" s="1085"/>
      <c r="AN57" s="1085"/>
      <c r="AO57" s="1085"/>
      <c r="AP57" s="1085"/>
      <c r="AQ57" s="1085"/>
      <c r="AR57" s="1085"/>
      <c r="AS57" s="1085"/>
      <c r="AT57" s="1085"/>
      <c r="AU57" s="1085"/>
      <c r="AV57" s="1085"/>
      <c r="AW57" s="1085"/>
      <c r="AX57" s="1085"/>
      <c r="AY57" s="1085"/>
      <c r="AZ57" s="1085"/>
      <c r="BA57" s="1085"/>
      <c r="BB57" s="1085"/>
      <c r="BC57" s="1085"/>
      <c r="BD57" s="1085"/>
      <c r="BE57" s="1085"/>
      <c r="BF57" s="1085"/>
      <c r="BG57" s="1085"/>
      <c r="BH57" s="1085"/>
      <c r="BI57" s="1085"/>
      <c r="BJ57" s="1085"/>
      <c r="BK57" s="1085"/>
      <c r="BL57" s="1085"/>
      <c r="BM57" s="1085"/>
      <c r="BN57" s="1085"/>
    </row>
    <row r="58" spans="1:66">
      <c r="A58" s="1085"/>
      <c r="B58" s="1085"/>
      <c r="C58" s="1085"/>
      <c r="D58" s="1085"/>
      <c r="E58" s="1085"/>
      <c r="F58" s="1085"/>
      <c r="G58" s="1085"/>
      <c r="H58" s="1085"/>
      <c r="I58" s="1085"/>
      <c r="J58" s="1085"/>
      <c r="K58" s="1085"/>
      <c r="L58" s="1085"/>
      <c r="M58" s="1085"/>
      <c r="N58" s="1085"/>
      <c r="O58" s="1085"/>
      <c r="P58" s="1085"/>
      <c r="Q58" s="1085"/>
      <c r="R58" s="1085"/>
      <c r="S58" s="1085"/>
      <c r="T58" s="1085"/>
      <c r="U58" s="1085"/>
      <c r="V58" s="1085"/>
      <c r="W58" s="1085"/>
      <c r="X58" s="1085"/>
      <c r="Y58" s="1085"/>
      <c r="Z58" s="1085"/>
      <c r="AA58" s="1085"/>
      <c r="AB58" s="1085"/>
      <c r="AC58" s="1085"/>
      <c r="AD58" s="1085"/>
      <c r="AE58" s="1085"/>
      <c r="AF58" s="1085"/>
      <c r="AG58" s="1085"/>
      <c r="AH58" s="1085"/>
      <c r="AI58" s="1085"/>
      <c r="AJ58" s="1085"/>
      <c r="AK58" s="1085"/>
      <c r="AL58" s="1085"/>
      <c r="AM58" s="1085"/>
      <c r="AN58" s="1085"/>
      <c r="AO58" s="1085"/>
      <c r="AP58" s="1085"/>
      <c r="AQ58" s="1085"/>
      <c r="AR58" s="1085"/>
      <c r="AS58" s="1085"/>
      <c r="AT58" s="1085"/>
      <c r="AU58" s="1085"/>
      <c r="AV58" s="1085"/>
      <c r="AW58" s="1085"/>
      <c r="AX58" s="1085"/>
      <c r="AY58" s="1085"/>
      <c r="AZ58" s="1085"/>
      <c r="BA58" s="1085"/>
      <c r="BB58" s="1085"/>
      <c r="BC58" s="1085"/>
      <c r="BD58" s="1085"/>
      <c r="BE58" s="1085"/>
      <c r="BF58" s="1085"/>
      <c r="BG58" s="1085"/>
      <c r="BH58" s="1085"/>
      <c r="BI58" s="1085"/>
      <c r="BJ58" s="1085"/>
      <c r="BK58" s="1085"/>
      <c r="BL58" s="1085"/>
      <c r="BM58" s="1085"/>
      <c r="BN58" s="1085"/>
    </row>
    <row r="59" spans="1:66">
      <c r="A59" s="1085"/>
      <c r="B59" s="1085"/>
      <c r="C59" s="1085"/>
      <c r="D59" s="1085"/>
      <c r="E59" s="1085"/>
      <c r="F59" s="1085"/>
      <c r="G59" s="1085"/>
      <c r="H59" s="1085"/>
      <c r="I59" s="1085"/>
      <c r="J59" s="1085"/>
      <c r="K59" s="1085"/>
      <c r="L59" s="1085"/>
      <c r="M59" s="1085"/>
      <c r="N59" s="1085"/>
      <c r="O59" s="1085"/>
      <c r="P59" s="1085"/>
      <c r="Q59" s="1085"/>
      <c r="R59" s="1085"/>
      <c r="S59" s="1085"/>
      <c r="T59" s="1085"/>
      <c r="U59" s="1085"/>
      <c r="V59" s="1085"/>
      <c r="W59" s="1085"/>
      <c r="X59" s="1085"/>
      <c r="Y59" s="1085"/>
      <c r="Z59" s="1085"/>
      <c r="AA59" s="1085"/>
      <c r="AB59" s="1085"/>
      <c r="AC59" s="1085"/>
      <c r="AD59" s="1085"/>
      <c r="AE59" s="1085"/>
      <c r="AF59" s="1085"/>
      <c r="AG59" s="1085"/>
      <c r="AH59" s="1085"/>
      <c r="AI59" s="1085"/>
      <c r="AJ59" s="1085"/>
      <c r="AK59" s="1085"/>
      <c r="AL59" s="1085"/>
      <c r="AM59" s="1085"/>
      <c r="AN59" s="1085"/>
      <c r="AO59" s="1085"/>
      <c r="AP59" s="1085"/>
      <c r="AQ59" s="1085"/>
      <c r="AR59" s="1085"/>
      <c r="AS59" s="1085"/>
      <c r="AT59" s="1085"/>
      <c r="AU59" s="1085"/>
      <c r="AV59" s="1085"/>
      <c r="AW59" s="1085"/>
      <c r="AX59" s="1085"/>
      <c r="AY59" s="1085"/>
      <c r="AZ59" s="1085"/>
      <c r="BA59" s="1085"/>
      <c r="BB59" s="1085"/>
      <c r="BC59" s="1085"/>
      <c r="BD59" s="1085"/>
      <c r="BE59" s="1085"/>
      <c r="BF59" s="1085"/>
      <c r="BG59" s="1085"/>
      <c r="BH59" s="1085"/>
      <c r="BI59" s="1085"/>
      <c r="BJ59" s="1085"/>
      <c r="BK59" s="1085"/>
      <c r="BL59" s="1085"/>
      <c r="BM59" s="1085"/>
      <c r="BN59" s="1085"/>
    </row>
    <row r="60" spans="1:66">
      <c r="A60" s="1085"/>
      <c r="B60" s="1085"/>
      <c r="C60" s="1085"/>
      <c r="D60" s="1085"/>
      <c r="E60" s="1085"/>
      <c r="F60" s="1085"/>
      <c r="G60" s="1085"/>
      <c r="H60" s="1085"/>
      <c r="I60" s="1085"/>
      <c r="J60" s="1085"/>
      <c r="K60" s="1085"/>
      <c r="L60" s="1085"/>
      <c r="M60" s="1085"/>
      <c r="N60" s="1085"/>
      <c r="O60" s="1085"/>
      <c r="P60" s="1085"/>
      <c r="Q60" s="1085"/>
      <c r="R60" s="1085"/>
      <c r="S60" s="1085"/>
      <c r="T60" s="1085"/>
      <c r="U60" s="1085"/>
      <c r="V60" s="1085"/>
      <c r="W60" s="1085"/>
      <c r="X60" s="1085"/>
      <c r="Y60" s="1085"/>
      <c r="Z60" s="1085"/>
      <c r="AA60" s="1085"/>
      <c r="AB60" s="1085"/>
      <c r="AC60" s="1085"/>
      <c r="AD60" s="1085"/>
      <c r="AE60" s="1085"/>
      <c r="AF60" s="1085"/>
      <c r="AG60" s="1085"/>
      <c r="AH60" s="1085"/>
      <c r="AI60" s="1085"/>
      <c r="AJ60" s="1085"/>
      <c r="AK60" s="1085"/>
      <c r="AL60" s="1085"/>
      <c r="AM60" s="1085"/>
      <c r="AN60" s="1085"/>
      <c r="AO60" s="1085"/>
      <c r="AP60" s="1085"/>
      <c r="AQ60" s="1085"/>
      <c r="AR60" s="1085"/>
      <c r="AS60" s="1085"/>
      <c r="AT60" s="1085"/>
      <c r="AU60" s="1085"/>
      <c r="AV60" s="1085"/>
      <c r="AW60" s="1085"/>
      <c r="AX60" s="1085"/>
      <c r="AY60" s="1085"/>
      <c r="AZ60" s="1085"/>
      <c r="BA60" s="1085"/>
      <c r="BB60" s="1085"/>
      <c r="BC60" s="1085"/>
      <c r="BD60" s="1085"/>
      <c r="BE60" s="1085"/>
      <c r="BF60" s="1085"/>
      <c r="BG60" s="1085"/>
      <c r="BH60" s="1085"/>
      <c r="BI60" s="1085"/>
      <c r="BJ60" s="1085"/>
      <c r="BK60" s="1085"/>
      <c r="BL60" s="1085"/>
      <c r="BM60" s="1085"/>
      <c r="BN60" s="1085"/>
    </row>
    <row r="61" spans="1:66">
      <c r="A61" s="1085"/>
      <c r="B61" s="1085"/>
      <c r="C61" s="1085"/>
      <c r="D61" s="1085"/>
      <c r="E61" s="1085"/>
      <c r="F61" s="1085"/>
      <c r="G61" s="1085"/>
      <c r="H61" s="1085"/>
      <c r="I61" s="1085"/>
      <c r="J61" s="1085"/>
      <c r="K61" s="1085"/>
      <c r="L61" s="1085"/>
      <c r="M61" s="1085"/>
      <c r="N61" s="1085"/>
      <c r="O61" s="1085"/>
      <c r="P61" s="1085"/>
      <c r="Q61" s="1085"/>
      <c r="R61" s="1085"/>
      <c r="S61" s="1085"/>
      <c r="T61" s="1085"/>
      <c r="U61" s="1085"/>
      <c r="V61" s="1085"/>
      <c r="W61" s="1085"/>
      <c r="X61" s="1085"/>
      <c r="Y61" s="1085"/>
      <c r="Z61" s="1085"/>
      <c r="AA61" s="1085"/>
      <c r="AB61" s="1085"/>
      <c r="AC61" s="1085"/>
      <c r="AD61" s="1085"/>
      <c r="AE61" s="1085"/>
      <c r="AF61" s="1085"/>
      <c r="AG61" s="1085"/>
      <c r="AH61" s="1085"/>
      <c r="AI61" s="1085"/>
      <c r="AJ61" s="1085"/>
      <c r="AK61" s="1085"/>
      <c r="AL61" s="1085"/>
      <c r="AM61" s="1085"/>
      <c r="AN61" s="1085"/>
      <c r="AO61" s="1085"/>
      <c r="AP61" s="1085"/>
      <c r="AQ61" s="1085"/>
      <c r="AR61" s="1085"/>
      <c r="AS61" s="1085"/>
      <c r="AT61" s="1085"/>
      <c r="AU61" s="1085"/>
      <c r="AV61" s="1085"/>
      <c r="AW61" s="1085"/>
      <c r="AX61" s="1085"/>
      <c r="AY61" s="1085"/>
      <c r="AZ61" s="1085"/>
      <c r="BA61" s="1085"/>
      <c r="BB61" s="1085"/>
      <c r="BC61" s="1085"/>
      <c r="BD61" s="1085"/>
      <c r="BE61" s="1085"/>
      <c r="BF61" s="1085"/>
      <c r="BG61" s="1085"/>
      <c r="BH61" s="1085"/>
      <c r="BI61" s="1085"/>
      <c r="BJ61" s="1085"/>
      <c r="BK61" s="1085"/>
      <c r="BL61" s="1085"/>
      <c r="BM61" s="1085"/>
      <c r="BN61" s="1085"/>
    </row>
    <row r="62" spans="1:66">
      <c r="A62" s="1085"/>
      <c r="B62" s="1085"/>
      <c r="C62" s="1085"/>
      <c r="D62" s="1085"/>
      <c r="E62" s="1085"/>
      <c r="F62" s="1085"/>
      <c r="G62" s="1085"/>
      <c r="H62" s="1085"/>
      <c r="I62" s="1085"/>
      <c r="J62" s="1085"/>
      <c r="K62" s="1085"/>
      <c r="L62" s="1085"/>
      <c r="M62" s="1085"/>
      <c r="N62" s="1085"/>
      <c r="O62" s="1085"/>
      <c r="P62" s="1085"/>
      <c r="Q62" s="1085"/>
      <c r="R62" s="1085"/>
      <c r="S62" s="1085"/>
      <c r="T62" s="1085"/>
      <c r="U62" s="1085"/>
      <c r="V62" s="1085"/>
      <c r="W62" s="1085"/>
      <c r="X62" s="1085"/>
      <c r="Y62" s="1085"/>
      <c r="Z62" s="1085"/>
      <c r="AA62" s="1085"/>
      <c r="AB62" s="1085"/>
      <c r="AC62" s="1085"/>
      <c r="AD62" s="1085"/>
      <c r="AE62" s="1085"/>
      <c r="AF62" s="1085"/>
      <c r="AG62" s="1085"/>
      <c r="AH62" s="1085"/>
      <c r="AI62" s="1085"/>
      <c r="AJ62" s="1085"/>
      <c r="AK62" s="1085"/>
      <c r="AL62" s="1085"/>
      <c r="AM62" s="1085"/>
      <c r="AN62" s="1085"/>
      <c r="AO62" s="1085"/>
      <c r="AP62" s="1085"/>
      <c r="AQ62" s="1085"/>
      <c r="AR62" s="1085"/>
      <c r="AS62" s="1085"/>
      <c r="AT62" s="1085"/>
      <c r="AU62" s="1085"/>
      <c r="AV62" s="1085"/>
      <c r="AW62" s="1085"/>
      <c r="AX62" s="1085"/>
      <c r="AY62" s="1085"/>
      <c r="AZ62" s="1085"/>
      <c r="BA62" s="1085"/>
      <c r="BB62" s="1085"/>
      <c r="BC62" s="1085"/>
      <c r="BD62" s="1085"/>
      <c r="BE62" s="1085"/>
      <c r="BF62" s="1085"/>
      <c r="BG62" s="1085"/>
      <c r="BH62" s="1085"/>
      <c r="BI62" s="1085"/>
      <c r="BJ62" s="1085"/>
      <c r="BK62" s="1085"/>
      <c r="BL62" s="1085"/>
      <c r="BM62" s="1085"/>
      <c r="BN62" s="1085"/>
    </row>
    <row r="63" spans="1:66">
      <c r="A63" s="1085"/>
      <c r="B63" s="1085"/>
      <c r="C63" s="1085"/>
      <c r="D63" s="1085"/>
      <c r="E63" s="1085"/>
      <c r="F63" s="1085"/>
      <c r="G63" s="1085"/>
      <c r="H63" s="1085"/>
      <c r="I63" s="1085"/>
      <c r="J63" s="1085"/>
      <c r="K63" s="1085"/>
      <c r="L63" s="1085"/>
      <c r="M63" s="1085"/>
      <c r="N63" s="1085"/>
      <c r="O63" s="1085"/>
      <c r="P63" s="1085"/>
      <c r="Q63" s="1085"/>
      <c r="R63" s="1085"/>
      <c r="S63" s="1085"/>
      <c r="T63" s="1085"/>
      <c r="U63" s="1085"/>
      <c r="V63" s="1085"/>
      <c r="W63" s="1085"/>
      <c r="X63" s="1085"/>
      <c r="Y63" s="1085"/>
      <c r="Z63" s="1085"/>
      <c r="AA63" s="1085"/>
      <c r="AB63" s="1085"/>
      <c r="AC63" s="1085"/>
      <c r="AD63" s="1085"/>
      <c r="AE63" s="1085"/>
      <c r="AF63" s="1085"/>
      <c r="AG63" s="1085"/>
      <c r="AH63" s="1085"/>
      <c r="AI63" s="1085"/>
      <c r="AJ63" s="1085"/>
      <c r="AK63" s="1085"/>
      <c r="AL63" s="1085"/>
      <c r="AM63" s="1085"/>
      <c r="AN63" s="1085"/>
      <c r="AO63" s="1085"/>
      <c r="AP63" s="1085"/>
      <c r="AQ63" s="1085"/>
      <c r="AR63" s="1085"/>
      <c r="AS63" s="1085"/>
      <c r="AT63" s="1085"/>
      <c r="AU63" s="1085"/>
      <c r="AV63" s="1085"/>
      <c r="AW63" s="1085"/>
      <c r="AX63" s="1085"/>
      <c r="AY63" s="1085"/>
      <c r="AZ63" s="1085"/>
      <c r="BA63" s="1085"/>
      <c r="BB63" s="1085"/>
      <c r="BC63" s="1085"/>
      <c r="BD63" s="1085"/>
      <c r="BE63" s="1085"/>
      <c r="BF63" s="1085"/>
      <c r="BG63" s="1085"/>
      <c r="BH63" s="1085"/>
      <c r="BI63" s="1085"/>
      <c r="BJ63" s="1085"/>
      <c r="BK63" s="1085"/>
      <c r="BL63" s="1085"/>
      <c r="BM63" s="1085"/>
      <c r="BN63" s="1085"/>
    </row>
    <row r="64" spans="1:66">
      <c r="A64" s="1085"/>
      <c r="B64" s="1085"/>
      <c r="C64" s="1085"/>
      <c r="D64" s="1085"/>
      <c r="E64" s="1085"/>
      <c r="F64" s="1085"/>
      <c r="G64" s="1085"/>
      <c r="H64" s="1085"/>
      <c r="I64" s="1085"/>
      <c r="J64" s="1085"/>
      <c r="K64" s="1085"/>
      <c r="L64" s="1085"/>
      <c r="M64" s="1085"/>
      <c r="N64" s="1085"/>
      <c r="O64" s="1085"/>
      <c r="P64" s="1085"/>
      <c r="Q64" s="1085"/>
      <c r="R64" s="1085"/>
      <c r="S64" s="1085"/>
      <c r="T64" s="1085"/>
      <c r="U64" s="1085"/>
      <c r="V64" s="1085"/>
      <c r="W64" s="1085"/>
      <c r="X64" s="1085"/>
      <c r="Y64" s="1085"/>
      <c r="Z64" s="1085"/>
      <c r="AA64" s="1085"/>
      <c r="AB64" s="1085"/>
      <c r="AC64" s="1085"/>
      <c r="AD64" s="1085"/>
      <c r="AE64" s="1085"/>
      <c r="AF64" s="1085"/>
      <c r="AG64" s="1085"/>
      <c r="AH64" s="1085"/>
      <c r="AI64" s="1085"/>
      <c r="AJ64" s="1085"/>
      <c r="AK64" s="1085"/>
      <c r="AL64" s="1085"/>
      <c r="AM64" s="1085"/>
      <c r="AN64" s="1085"/>
      <c r="AO64" s="1085"/>
      <c r="AP64" s="1085"/>
      <c r="AQ64" s="1085"/>
      <c r="AR64" s="1085"/>
      <c r="AS64" s="1085"/>
      <c r="AT64" s="1085"/>
      <c r="AU64" s="1085"/>
      <c r="AV64" s="1085"/>
      <c r="AW64" s="1085"/>
      <c r="AX64" s="1085"/>
      <c r="AY64" s="1085"/>
      <c r="AZ64" s="1085"/>
      <c r="BA64" s="1085"/>
      <c r="BB64" s="1085"/>
      <c r="BC64" s="1085"/>
      <c r="BD64" s="1085"/>
      <c r="BE64" s="1085"/>
      <c r="BF64" s="1085"/>
      <c r="BG64" s="1085"/>
      <c r="BH64" s="1085"/>
      <c r="BI64" s="1085"/>
      <c r="BJ64" s="1085"/>
      <c r="BK64" s="1085"/>
      <c r="BL64" s="1085"/>
      <c r="BM64" s="1085"/>
      <c r="BN64" s="1085"/>
    </row>
    <row r="65" spans="1:66">
      <c r="A65" s="1085"/>
      <c r="B65" s="1085"/>
      <c r="C65" s="1085"/>
      <c r="D65" s="1085"/>
      <c r="E65" s="1085"/>
      <c r="F65" s="1085"/>
      <c r="G65" s="1085"/>
      <c r="H65" s="1085"/>
      <c r="I65" s="1085"/>
      <c r="J65" s="1085"/>
      <c r="K65" s="1085"/>
      <c r="L65" s="1085"/>
      <c r="M65" s="1085"/>
      <c r="N65" s="1085"/>
      <c r="O65" s="1085"/>
      <c r="P65" s="1085"/>
      <c r="Q65" s="1085"/>
      <c r="R65" s="1085"/>
      <c r="S65" s="1085"/>
      <c r="T65" s="1085"/>
      <c r="U65" s="1085"/>
      <c r="V65" s="1085"/>
      <c r="W65" s="1085"/>
      <c r="X65" s="1085"/>
      <c r="Y65" s="1085"/>
      <c r="Z65" s="1085"/>
      <c r="AA65" s="1085"/>
      <c r="AB65" s="1085"/>
      <c r="AC65" s="1085"/>
      <c r="AD65" s="1085"/>
      <c r="AE65" s="1085"/>
      <c r="AF65" s="1085"/>
      <c r="AG65" s="1085"/>
      <c r="AH65" s="1085"/>
      <c r="AI65" s="1085"/>
      <c r="AJ65" s="1085"/>
      <c r="AK65" s="1085"/>
      <c r="AL65" s="1085"/>
      <c r="AM65" s="1085"/>
      <c r="AN65" s="1085"/>
      <c r="AO65" s="1085"/>
      <c r="AP65" s="1085"/>
      <c r="AQ65" s="1085"/>
      <c r="AR65" s="1085"/>
      <c r="AS65" s="1085"/>
      <c r="AT65" s="1085"/>
      <c r="AU65" s="1085"/>
      <c r="AV65" s="1085"/>
      <c r="AW65" s="1085"/>
      <c r="AX65" s="1085"/>
      <c r="AY65" s="1085"/>
      <c r="AZ65" s="1085"/>
      <c r="BA65" s="1085"/>
      <c r="BB65" s="1085"/>
      <c r="BC65" s="1085"/>
      <c r="BD65" s="1085"/>
      <c r="BE65" s="1085"/>
      <c r="BF65" s="1085"/>
      <c r="BG65" s="1085"/>
      <c r="BH65" s="1085"/>
      <c r="BI65" s="1085"/>
      <c r="BJ65" s="1085"/>
      <c r="BK65" s="1085"/>
      <c r="BL65" s="1085"/>
      <c r="BM65" s="1085"/>
      <c r="BN65" s="1085"/>
    </row>
    <row r="66" spans="1:66">
      <c r="A66" s="1085"/>
      <c r="B66" s="1085"/>
      <c r="C66" s="1085"/>
      <c r="D66" s="1085"/>
      <c r="E66" s="1085"/>
      <c r="F66" s="1085"/>
      <c r="G66" s="1085"/>
      <c r="H66" s="1085"/>
      <c r="I66" s="1085"/>
      <c r="J66" s="1085"/>
      <c r="K66" s="1085"/>
      <c r="L66" s="1085"/>
      <c r="M66" s="1085"/>
      <c r="N66" s="1085"/>
      <c r="O66" s="1085"/>
      <c r="P66" s="1085"/>
      <c r="Q66" s="1085"/>
      <c r="R66" s="1085"/>
      <c r="S66" s="1085"/>
      <c r="T66" s="1085"/>
      <c r="U66" s="1085"/>
      <c r="V66" s="1085"/>
      <c r="W66" s="1085"/>
      <c r="X66" s="1085"/>
      <c r="Y66" s="1085"/>
      <c r="Z66" s="1085"/>
      <c r="AA66" s="1085"/>
      <c r="AB66" s="1085"/>
      <c r="AC66" s="1085"/>
      <c r="AD66" s="1085"/>
      <c r="AE66" s="1085"/>
      <c r="AF66" s="1085"/>
      <c r="AG66" s="1085"/>
      <c r="AH66" s="1085"/>
      <c r="AI66" s="1085"/>
      <c r="AJ66" s="1085"/>
      <c r="AK66" s="1085"/>
      <c r="AL66" s="1085"/>
      <c r="AM66" s="1085"/>
      <c r="AN66" s="1085"/>
      <c r="AO66" s="1085"/>
      <c r="AP66" s="1085"/>
      <c r="AQ66" s="1085"/>
      <c r="AR66" s="1085"/>
      <c r="AS66" s="1085"/>
      <c r="AT66" s="1085"/>
      <c r="AU66" s="1085"/>
      <c r="AV66" s="1085"/>
      <c r="AW66" s="1085"/>
      <c r="AX66" s="1085"/>
      <c r="AY66" s="1085"/>
      <c r="AZ66" s="1085"/>
      <c r="BA66" s="1085"/>
      <c r="BB66" s="1085"/>
      <c r="BC66" s="1085"/>
      <c r="BD66" s="1085"/>
      <c r="BE66" s="1085"/>
      <c r="BF66" s="1085"/>
      <c r="BG66" s="1085"/>
      <c r="BH66" s="1085"/>
      <c r="BI66" s="1085"/>
      <c r="BJ66" s="1085"/>
      <c r="BK66" s="1085"/>
      <c r="BL66" s="1085"/>
      <c r="BM66" s="1085"/>
      <c r="BN66" s="1085"/>
    </row>
    <row r="67" spans="1:66">
      <c r="A67" s="1085"/>
      <c r="B67" s="1085"/>
      <c r="C67" s="1085"/>
      <c r="D67" s="1085"/>
      <c r="E67" s="1085"/>
      <c r="F67" s="1085"/>
      <c r="G67" s="1085"/>
      <c r="H67" s="1085"/>
      <c r="I67" s="1085"/>
      <c r="J67" s="1085"/>
      <c r="K67" s="1085"/>
      <c r="L67" s="1085"/>
      <c r="M67" s="1085"/>
      <c r="N67" s="1085"/>
      <c r="O67" s="1085"/>
      <c r="P67" s="1085"/>
      <c r="Q67" s="1085"/>
      <c r="R67" s="1085"/>
      <c r="S67" s="1085"/>
      <c r="T67" s="1085"/>
      <c r="U67" s="1085"/>
      <c r="V67" s="1085"/>
      <c r="W67" s="1085"/>
      <c r="X67" s="1085"/>
      <c r="Y67" s="1085"/>
      <c r="Z67" s="1085"/>
      <c r="AA67" s="1085"/>
      <c r="AB67" s="1085"/>
      <c r="AC67" s="1085"/>
      <c r="AD67" s="1085"/>
      <c r="AE67" s="1085"/>
      <c r="AF67" s="1085"/>
      <c r="AG67" s="1085"/>
      <c r="AH67" s="1085"/>
      <c r="AI67" s="1085"/>
      <c r="AJ67" s="1085"/>
      <c r="AK67" s="1085"/>
      <c r="AL67" s="1085"/>
      <c r="AM67" s="1085"/>
      <c r="AN67" s="1085"/>
      <c r="AO67" s="1085"/>
      <c r="AP67" s="1085"/>
      <c r="AQ67" s="1085"/>
      <c r="AR67" s="1085"/>
      <c r="AS67" s="1085"/>
      <c r="AT67" s="1085"/>
      <c r="AU67" s="1085"/>
      <c r="AV67" s="1085"/>
      <c r="AW67" s="1085"/>
      <c r="AX67" s="1085"/>
      <c r="AY67" s="1085"/>
      <c r="AZ67" s="1085"/>
      <c r="BA67" s="1085"/>
      <c r="BB67" s="1085"/>
      <c r="BC67" s="1085"/>
      <c r="BD67" s="1085"/>
      <c r="BE67" s="1085"/>
      <c r="BF67" s="1085"/>
      <c r="BG67" s="1085"/>
      <c r="BH67" s="1085"/>
      <c r="BI67" s="1085"/>
      <c r="BJ67" s="1085"/>
      <c r="BK67" s="1085"/>
      <c r="BL67" s="1085"/>
      <c r="BM67" s="1085"/>
      <c r="BN67" s="1085"/>
    </row>
  </sheetData>
  <sheetProtection algorithmName="SHA-512" hashValue="CizOV4Y9wHUTqRO8vUTyaWmUNEAw0fwzgU5QKGGKdQexHYRP0fab54OSyWIwp7gc7yEoqPDZQmyV/3mQJIwnoA==" saltValue="vVMsNgq+kDey2tp1hG2ZRQ==" spinCount="100000" sheet="1" objects="1" scenarios="1"/>
  <customSheetViews>
    <customSheetView guid="{6EFEFCA0-BF14-457A-85A3-29CBF2A862A5}" showGridLines="0" fitToPage="1" hiddenRows="1" topLeftCell="A38">
      <selection sqref="A1:AZ51"/>
      <pageMargins left="0.23622047244094491" right="0.23622047244094491" top="0.19685039370078741" bottom="0.19685039370078741" header="0" footer="0.11811023622047245"/>
      <printOptions horizontalCentered="1" verticalCentered="1"/>
      <pageSetup paperSize="9" scale="61" orientation="landscape" r:id="rId1"/>
      <headerFooter>
        <oddFooter>&amp;L&amp;10&amp;F &amp;A&amp;R&amp;10Page 34 of 61</oddFooter>
      </headerFooter>
    </customSheetView>
  </customSheetViews>
  <mergeCells count="51">
    <mergeCell ref="G7:AE7"/>
    <mergeCell ref="G10:AE10"/>
    <mergeCell ref="G11:AE11"/>
    <mergeCell ref="AI13:AO13"/>
    <mergeCell ref="G14:AE14"/>
    <mergeCell ref="AI14:AO14"/>
    <mergeCell ref="G15:AE15"/>
    <mergeCell ref="AI15:AO15"/>
    <mergeCell ref="AI18:AO18"/>
    <mergeCell ref="G24:O27"/>
    <mergeCell ref="P24:AP24"/>
    <mergeCell ref="P25:X27"/>
    <mergeCell ref="Y25:AG27"/>
    <mergeCell ref="AH25:AP27"/>
    <mergeCell ref="G28:O28"/>
    <mergeCell ref="P28:X28"/>
    <mergeCell ref="Y28:AG28"/>
    <mergeCell ref="AH28:AP28"/>
    <mergeCell ref="G29:O29"/>
    <mergeCell ref="P29:X29"/>
    <mergeCell ref="Y29:AG29"/>
    <mergeCell ref="AH29:AP29"/>
    <mergeCell ref="G30:O30"/>
    <mergeCell ref="P30:X30"/>
    <mergeCell ref="Y30:AG30"/>
    <mergeCell ref="AH30:AP30"/>
    <mergeCell ref="G34:O37"/>
    <mergeCell ref="P34:AP34"/>
    <mergeCell ref="P35:X37"/>
    <mergeCell ref="Y35:AG37"/>
    <mergeCell ref="AH35:AP37"/>
    <mergeCell ref="G38:O38"/>
    <mergeCell ref="P38:X38"/>
    <mergeCell ref="Y38:AG38"/>
    <mergeCell ref="AH38:AP38"/>
    <mergeCell ref="G39:O39"/>
    <mergeCell ref="P39:X39"/>
    <mergeCell ref="Y39:AG39"/>
    <mergeCell ref="AH39:AP39"/>
    <mergeCell ref="F49:N49"/>
    <mergeCell ref="U49:AF49"/>
    <mergeCell ref="AI49:AU49"/>
    <mergeCell ref="G40:O40"/>
    <mergeCell ref="P40:X40"/>
    <mergeCell ref="Y40:AG40"/>
    <mergeCell ref="AH40:AP40"/>
    <mergeCell ref="F47:N47"/>
    <mergeCell ref="Q47:AF47"/>
    <mergeCell ref="AI47:AU48"/>
    <mergeCell ref="F48:N48"/>
    <mergeCell ref="Q48:AF48"/>
  </mergeCells>
  <dataValidations count="2">
    <dataValidation type="whole" allowBlank="1" showInputMessage="1" showErrorMessage="1" errorTitle="GSHSP SY 2022-2023" error="Please enter valid number between 0-999." sqref="AI13:AO15 P28:AP29" xr:uid="{EB7B1F4E-675B-43EF-9CB5-92DEC09FDD97}">
      <formula1>0</formula1>
      <formula2>999</formula2>
    </dataValidation>
    <dataValidation type="whole" allowBlank="1" showInputMessage="1" showErrorMessage="1" errorTitle="GSHSP SY 2022-2023" error="Please enter valid number between 0-20,000." sqref="P38:AP39" xr:uid="{8D49F14A-9D26-4933-8E1B-61FA697E084A}">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61" orientation="landscape" r:id="rId2"/>
  <headerFooter>
    <oddFooter>&amp;L&amp;10&amp;F &amp;A&amp;R&amp;10Page 34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3729" r:id="rId5" name="Check Box 1">
              <controlPr defaultSize="0" autoFill="0" autoLine="0" autoPict="0">
                <anchor moveWithCells="1">
                  <from>
                    <xdr:col>34</xdr:col>
                    <xdr:colOff>28575</xdr:colOff>
                    <xdr:row>5</xdr:row>
                    <xdr:rowOff>28575</xdr:rowOff>
                  </from>
                  <to>
                    <xdr:col>35</xdr:col>
                    <xdr:colOff>28575</xdr:colOff>
                    <xdr:row>5</xdr:row>
                    <xdr:rowOff>257175</xdr:rowOff>
                  </to>
                </anchor>
              </controlPr>
            </control>
          </mc:Choice>
        </mc:AlternateContent>
        <mc:AlternateContent xmlns:mc="http://schemas.openxmlformats.org/markup-compatibility/2006">
          <mc:Choice Requires="x14">
            <control shapeId="73730" r:id="rId6" name="Check Box 2">
              <controlPr defaultSize="0" autoFill="0" autoLine="0" autoPict="0">
                <anchor moveWithCells="1">
                  <from>
                    <xdr:col>34</xdr:col>
                    <xdr:colOff>28575</xdr:colOff>
                    <xdr:row>6</xdr:row>
                    <xdr:rowOff>85725</xdr:rowOff>
                  </from>
                  <to>
                    <xdr:col>35</xdr:col>
                    <xdr:colOff>9525</xdr:colOff>
                    <xdr:row>6</xdr:row>
                    <xdr:rowOff>314325</xdr:rowOff>
                  </to>
                </anchor>
              </controlPr>
            </control>
          </mc:Choice>
        </mc:AlternateContent>
        <mc:AlternateContent xmlns:mc="http://schemas.openxmlformats.org/markup-compatibility/2006">
          <mc:Choice Requires="x14">
            <control shapeId="73731" r:id="rId7" name="Check Box 3">
              <controlPr defaultSize="0" autoFill="0" autoLine="0" autoPict="0">
                <anchor moveWithCells="1">
                  <from>
                    <xdr:col>34</xdr:col>
                    <xdr:colOff>28575</xdr:colOff>
                    <xdr:row>9</xdr:row>
                    <xdr:rowOff>9525</xdr:rowOff>
                  </from>
                  <to>
                    <xdr:col>35</xdr:col>
                    <xdr:colOff>9525</xdr:colOff>
                    <xdr:row>9</xdr:row>
                    <xdr:rowOff>228600</xdr:rowOff>
                  </to>
                </anchor>
              </controlPr>
            </control>
          </mc:Choice>
        </mc:AlternateContent>
        <mc:AlternateContent xmlns:mc="http://schemas.openxmlformats.org/markup-compatibility/2006">
          <mc:Choice Requires="x14">
            <control shapeId="73732" r:id="rId8" name="Check Box 4">
              <controlPr defaultSize="0" autoFill="0" autoLine="0" autoPict="0">
                <anchor moveWithCells="1">
                  <from>
                    <xdr:col>34</xdr:col>
                    <xdr:colOff>38100</xdr:colOff>
                    <xdr:row>10</xdr:row>
                    <xdr:rowOff>9525</xdr:rowOff>
                  </from>
                  <to>
                    <xdr:col>34</xdr:col>
                    <xdr:colOff>266700</xdr:colOff>
                    <xdr:row>10</xdr:row>
                    <xdr:rowOff>238125</xdr:rowOff>
                  </to>
                </anchor>
              </controlPr>
            </control>
          </mc:Choice>
        </mc:AlternateContent>
        <mc:AlternateContent xmlns:mc="http://schemas.openxmlformats.org/markup-compatibility/2006">
          <mc:Choice Requires="x14">
            <control shapeId="73733" r:id="rId9" name="Check Box 5">
              <controlPr defaultSize="0" autoFill="0" autoLine="0" autoPict="0">
                <anchor moveWithCells="1">
                  <from>
                    <xdr:col>6</xdr:col>
                    <xdr:colOff>38100</xdr:colOff>
                    <xdr:row>18</xdr:row>
                    <xdr:rowOff>28575</xdr:rowOff>
                  </from>
                  <to>
                    <xdr:col>7</xdr:col>
                    <xdr:colOff>0</xdr:colOff>
                    <xdr:row>18</xdr:row>
                    <xdr:rowOff>228600</xdr:rowOff>
                  </to>
                </anchor>
              </controlPr>
            </control>
          </mc:Choice>
        </mc:AlternateContent>
        <mc:AlternateContent xmlns:mc="http://schemas.openxmlformats.org/markup-compatibility/2006">
          <mc:Choice Requires="x14">
            <control shapeId="73734" r:id="rId10" name="Check Box 6">
              <controlPr defaultSize="0" autoFill="0" autoLine="0" autoPict="0">
                <anchor moveWithCells="1">
                  <from>
                    <xdr:col>6</xdr:col>
                    <xdr:colOff>38100</xdr:colOff>
                    <xdr:row>19</xdr:row>
                    <xdr:rowOff>28575</xdr:rowOff>
                  </from>
                  <to>
                    <xdr:col>7</xdr:col>
                    <xdr:colOff>9525</xdr:colOff>
                    <xdr:row>19</xdr:row>
                    <xdr:rowOff>238125</xdr:rowOff>
                  </to>
                </anchor>
              </controlPr>
            </control>
          </mc:Choice>
        </mc:AlternateContent>
        <mc:AlternateContent xmlns:mc="http://schemas.openxmlformats.org/markup-compatibility/2006">
          <mc:Choice Requires="x14">
            <control shapeId="73735" r:id="rId11" name="Check Box 7">
              <controlPr defaultSize="0" autoFill="0" autoLine="0" autoPict="0">
                <anchor moveWithCells="1">
                  <from>
                    <xdr:col>26</xdr:col>
                    <xdr:colOff>28575</xdr:colOff>
                    <xdr:row>18</xdr:row>
                    <xdr:rowOff>28575</xdr:rowOff>
                  </from>
                  <to>
                    <xdr:col>26</xdr:col>
                    <xdr:colOff>238125</xdr:colOff>
                    <xdr:row>18</xdr:row>
                    <xdr:rowOff>238125</xdr:rowOff>
                  </to>
                </anchor>
              </controlPr>
            </control>
          </mc:Choice>
        </mc:AlternateContent>
        <mc:AlternateContent xmlns:mc="http://schemas.openxmlformats.org/markup-compatibility/2006">
          <mc:Choice Requires="x14">
            <control shapeId="73736" r:id="rId12" name="Check Box 8">
              <controlPr defaultSize="0" autoFill="0" autoLine="0" autoPict="0">
                <anchor moveWithCells="1">
                  <from>
                    <xdr:col>26</xdr:col>
                    <xdr:colOff>38100</xdr:colOff>
                    <xdr:row>19</xdr:row>
                    <xdr:rowOff>28575</xdr:rowOff>
                  </from>
                  <to>
                    <xdr:col>27</xdr:col>
                    <xdr:colOff>9525</xdr:colOff>
                    <xdr:row>19</xdr:row>
                    <xdr:rowOff>257175</xdr:rowOff>
                  </to>
                </anchor>
              </controlPr>
            </control>
          </mc:Choice>
        </mc:AlternateContent>
        <mc:AlternateContent xmlns:mc="http://schemas.openxmlformats.org/markup-compatibility/2006">
          <mc:Choice Requires="x14">
            <control shapeId="73737" r:id="rId13" name="Check Box 9">
              <controlPr defaultSize="0" autoFill="0" autoLine="0" autoPict="0">
                <anchor moveWithCells="1">
                  <from>
                    <xdr:col>39</xdr:col>
                    <xdr:colOff>28575</xdr:colOff>
                    <xdr:row>5</xdr:row>
                    <xdr:rowOff>28575</xdr:rowOff>
                  </from>
                  <to>
                    <xdr:col>39</xdr:col>
                    <xdr:colOff>228600</xdr:colOff>
                    <xdr:row>5</xdr:row>
                    <xdr:rowOff>238125</xdr:rowOff>
                  </to>
                </anchor>
              </controlPr>
            </control>
          </mc:Choice>
        </mc:AlternateContent>
        <mc:AlternateContent xmlns:mc="http://schemas.openxmlformats.org/markup-compatibility/2006">
          <mc:Choice Requires="x14">
            <control shapeId="73738" r:id="rId14" name="Check Box 10">
              <controlPr defaultSize="0" autoFill="0" autoLine="0" autoPict="0">
                <anchor moveWithCells="1">
                  <from>
                    <xdr:col>39</xdr:col>
                    <xdr:colOff>38100</xdr:colOff>
                    <xdr:row>6</xdr:row>
                    <xdr:rowOff>85725</xdr:rowOff>
                  </from>
                  <to>
                    <xdr:col>39</xdr:col>
                    <xdr:colOff>238125</xdr:colOff>
                    <xdr:row>6</xdr:row>
                    <xdr:rowOff>333375</xdr:rowOff>
                  </to>
                </anchor>
              </controlPr>
            </control>
          </mc:Choice>
        </mc:AlternateContent>
        <mc:AlternateContent xmlns:mc="http://schemas.openxmlformats.org/markup-compatibility/2006">
          <mc:Choice Requires="x14">
            <control shapeId="73739" r:id="rId15" name="Check Box 11">
              <controlPr defaultSize="0" autoFill="0" autoLine="0" autoPict="0">
                <anchor moveWithCells="1">
                  <from>
                    <xdr:col>39</xdr:col>
                    <xdr:colOff>28575</xdr:colOff>
                    <xdr:row>9</xdr:row>
                    <xdr:rowOff>28575</xdr:rowOff>
                  </from>
                  <to>
                    <xdr:col>39</xdr:col>
                    <xdr:colOff>257175</xdr:colOff>
                    <xdr:row>9</xdr:row>
                    <xdr:rowOff>219075</xdr:rowOff>
                  </to>
                </anchor>
              </controlPr>
            </control>
          </mc:Choice>
        </mc:AlternateContent>
        <mc:AlternateContent xmlns:mc="http://schemas.openxmlformats.org/markup-compatibility/2006">
          <mc:Choice Requires="x14">
            <control shapeId="73740" r:id="rId16" name="Check Box 12">
              <controlPr defaultSize="0" autoFill="0" autoLine="0" autoPict="0">
                <anchor moveWithCells="1">
                  <from>
                    <xdr:col>39</xdr:col>
                    <xdr:colOff>38100</xdr:colOff>
                    <xdr:row>10</xdr:row>
                    <xdr:rowOff>28575</xdr:rowOff>
                  </from>
                  <to>
                    <xdr:col>40</xdr:col>
                    <xdr:colOff>0</xdr:colOff>
                    <xdr:row>10</xdr:row>
                    <xdr:rowOff>219075</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47D-715C-4068-85AB-B59788889EF6}">
  <sheetPr codeName="Sheet38">
    <tabColor rgb="FFFFFF00"/>
    <pageSetUpPr fitToPage="1"/>
  </sheetPr>
  <dimension ref="A1:BN52"/>
  <sheetViews>
    <sheetView showGridLines="0" topLeftCell="A25" zoomScaleNormal="100" zoomScaleSheetLayoutView="80" workbookViewId="0">
      <selection activeCell="AG10" sqref="AG10:AM10"/>
    </sheetView>
  </sheetViews>
  <sheetFormatPr defaultColWidth="9" defaultRowHeight="15.75"/>
  <cols>
    <col min="1" max="1" width="2.125" style="126" customWidth="1"/>
    <col min="2" max="47" width="3.625" style="126" customWidth="1"/>
    <col min="48" max="48" width="2.125" style="126" customWidth="1"/>
    <col min="49" max="49" width="3.625" style="126" customWidth="1"/>
    <col min="50" max="50" width="2.125" style="126" customWidth="1"/>
    <col min="51" max="66" width="3.625" style="126" customWidth="1"/>
    <col min="67" max="16384" width="9" style="126"/>
  </cols>
  <sheetData>
    <row r="1" spans="1:66" ht="12" customHeight="1">
      <c r="A1" s="1085"/>
      <c r="B1" s="1085"/>
      <c r="C1" s="1085"/>
      <c r="D1" s="1085"/>
      <c r="E1" s="1085"/>
      <c r="F1" s="1085"/>
      <c r="G1" s="1085"/>
      <c r="H1" s="1085"/>
      <c r="I1" s="1085"/>
      <c r="J1" s="1085"/>
      <c r="K1" s="1085"/>
      <c r="L1" s="1085"/>
      <c r="M1" s="1085"/>
      <c r="N1" s="1085"/>
      <c r="O1" s="1085"/>
      <c r="P1" s="1085"/>
      <c r="Q1" s="1085"/>
      <c r="R1" s="1085"/>
      <c r="S1" s="1085"/>
      <c r="T1" s="1085"/>
      <c r="U1" s="1085"/>
      <c r="V1" s="1085"/>
      <c r="W1" s="1085"/>
      <c r="X1" s="1085"/>
      <c r="Y1" s="1085"/>
      <c r="Z1" s="1085"/>
      <c r="AA1" s="1085"/>
      <c r="AB1" s="1085"/>
      <c r="AC1" s="1085"/>
      <c r="AD1" s="1085"/>
      <c r="AE1" s="1085"/>
      <c r="AF1" s="1085"/>
      <c r="AG1" s="1085"/>
      <c r="AH1" s="1085"/>
      <c r="AI1" s="1085"/>
      <c r="AJ1" s="1085"/>
      <c r="AK1" s="1085"/>
      <c r="AL1" s="1085"/>
      <c r="AM1" s="1085"/>
      <c r="AN1" s="1085"/>
      <c r="AO1" s="1085"/>
      <c r="AP1" s="1085"/>
      <c r="AQ1" s="1085"/>
      <c r="AR1" s="1085"/>
      <c r="AS1" s="1085"/>
      <c r="AT1" s="1085"/>
      <c r="AU1" s="1085"/>
      <c r="AV1" s="1085"/>
      <c r="AW1" s="1085"/>
      <c r="AX1" s="1085"/>
      <c r="AY1" s="1085"/>
      <c r="AZ1" s="1085"/>
      <c r="BA1" s="1085"/>
      <c r="BB1" s="1085"/>
      <c r="BC1" s="1085"/>
      <c r="BD1" s="1085"/>
      <c r="BE1" s="1085"/>
      <c r="BF1" s="1085"/>
      <c r="BG1" s="1085"/>
      <c r="BH1" s="1085"/>
      <c r="BI1" s="1085"/>
      <c r="BJ1" s="1085"/>
      <c r="BK1" s="1085"/>
      <c r="BL1" s="1085"/>
      <c r="BM1" s="1085"/>
      <c r="BN1" s="1085"/>
    </row>
    <row r="2" spans="1:66" s="44" customFormat="1">
      <c r="A2" s="434"/>
      <c r="B2" s="434"/>
      <c r="C2" s="434"/>
      <c r="D2" s="434"/>
      <c r="E2" s="434"/>
      <c r="F2" s="434"/>
      <c r="G2" s="434"/>
      <c r="H2" s="611" t="s">
        <v>11421</v>
      </c>
      <c r="I2" s="611"/>
      <c r="J2" s="611"/>
      <c r="K2" s="611"/>
      <c r="L2" s="611"/>
      <c r="M2" s="611"/>
      <c r="N2" s="611"/>
      <c r="O2" s="611"/>
      <c r="P2" s="611"/>
      <c r="Q2" s="611"/>
      <c r="R2" s="612"/>
      <c r="S2" s="612"/>
      <c r="T2" s="612"/>
      <c r="U2" s="612"/>
      <c r="V2" s="612"/>
      <c r="W2" s="612"/>
      <c r="X2" s="612"/>
      <c r="Y2" s="612"/>
      <c r="Z2" s="612"/>
      <c r="AA2" s="612"/>
      <c r="AB2" s="612"/>
      <c r="AC2" s="612"/>
      <c r="AD2" s="612"/>
      <c r="AE2" s="612"/>
      <c r="AF2" s="612"/>
      <c r="AG2" s="612"/>
      <c r="AH2" s="612"/>
      <c r="AI2" s="612"/>
      <c r="AJ2" s="612"/>
      <c r="AK2" s="612"/>
      <c r="AL2" s="612"/>
      <c r="AM2" s="612"/>
      <c r="AN2" s="612"/>
      <c r="AO2" s="612"/>
      <c r="AP2" s="612"/>
      <c r="AQ2" s="612"/>
      <c r="AR2" s="611"/>
      <c r="AS2" s="434"/>
      <c r="AT2" s="434"/>
      <c r="AU2" s="434"/>
      <c r="AV2" s="434"/>
      <c r="AW2" s="434"/>
      <c r="AX2" s="434"/>
      <c r="AY2" s="434"/>
      <c r="AZ2" s="434"/>
      <c r="BA2" s="434"/>
      <c r="BB2" s="434"/>
      <c r="BC2" s="434"/>
      <c r="BD2" s="434"/>
      <c r="BE2" s="434"/>
      <c r="BF2" s="434"/>
      <c r="BG2" s="434"/>
      <c r="BH2" s="434"/>
      <c r="BI2" s="434"/>
      <c r="BJ2" s="434"/>
      <c r="BK2" s="434"/>
      <c r="BL2" s="434"/>
      <c r="BM2" s="434"/>
      <c r="BN2" s="434"/>
    </row>
    <row r="3" spans="1:66" s="40" customFormat="1" ht="16.5" thickBot="1">
      <c r="A3" s="582"/>
      <c r="B3" s="582"/>
      <c r="C3" s="582"/>
      <c r="D3" s="582"/>
      <c r="E3" s="582"/>
      <c r="F3" s="582"/>
      <c r="G3" s="582"/>
      <c r="H3" s="583" t="s">
        <v>1017</v>
      </c>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c r="BB3" s="582"/>
      <c r="BC3" s="582"/>
      <c r="BD3" s="582"/>
      <c r="BE3" s="582"/>
      <c r="BF3" s="582"/>
      <c r="BG3" s="582"/>
      <c r="BH3" s="582"/>
      <c r="BI3" s="582"/>
      <c r="BJ3" s="582"/>
      <c r="BK3" s="582"/>
      <c r="BL3" s="582"/>
      <c r="BM3" s="582"/>
      <c r="BN3" s="582"/>
    </row>
    <row r="4" spans="1:66" s="44" customFormat="1" ht="5.25" customHeight="1">
      <c r="A4" s="434"/>
      <c r="B4" s="434"/>
      <c r="C4" s="434"/>
      <c r="D4" s="434"/>
      <c r="E4" s="434"/>
      <c r="F4" s="434"/>
      <c r="G4" s="434"/>
      <c r="H4" s="648"/>
      <c r="I4" s="984"/>
      <c r="J4" s="985"/>
      <c r="K4" s="985"/>
      <c r="L4" s="985"/>
      <c r="M4" s="985"/>
      <c r="N4" s="985"/>
      <c r="O4" s="985"/>
      <c r="P4" s="985"/>
      <c r="Q4" s="985"/>
      <c r="R4" s="985"/>
      <c r="S4" s="985"/>
      <c r="T4" s="685"/>
      <c r="U4" s="685"/>
      <c r="V4" s="685"/>
      <c r="W4" s="685"/>
      <c r="X4" s="685"/>
      <c r="Y4" s="685"/>
      <c r="Z4" s="586"/>
      <c r="AA4" s="986"/>
      <c r="AB4" s="986"/>
      <c r="AC4" s="986"/>
      <c r="AD4" s="986"/>
      <c r="AE4" s="986"/>
      <c r="AF4" s="986"/>
      <c r="AG4" s="685"/>
      <c r="AH4" s="685"/>
      <c r="AI4" s="685"/>
      <c r="AJ4" s="685"/>
      <c r="AK4" s="685"/>
      <c r="AL4" s="685"/>
      <c r="AM4" s="685"/>
      <c r="AN4" s="685"/>
      <c r="AO4" s="987"/>
      <c r="AP4" s="434"/>
      <c r="AQ4" s="434"/>
      <c r="AR4" s="434"/>
      <c r="AS4" s="434"/>
      <c r="AT4" s="434"/>
      <c r="AU4" s="434"/>
      <c r="AV4" s="434"/>
      <c r="AW4" s="434"/>
      <c r="AX4" s="434"/>
      <c r="AY4" s="593"/>
      <c r="AZ4" s="593"/>
      <c r="BA4" s="593"/>
      <c r="BB4" s="593"/>
      <c r="BC4" s="434"/>
      <c r="BD4" s="434"/>
      <c r="BE4" s="434"/>
      <c r="BF4" s="434"/>
      <c r="BG4" s="434"/>
      <c r="BH4" s="434"/>
      <c r="BI4" s="434"/>
      <c r="BJ4" s="434"/>
      <c r="BK4" s="434"/>
      <c r="BL4" s="434"/>
      <c r="BM4" s="434"/>
      <c r="BN4" s="434"/>
    </row>
    <row r="5" spans="1:66" s="44" customFormat="1" ht="19.5">
      <c r="A5" s="434"/>
      <c r="B5" s="434"/>
      <c r="C5" s="434"/>
      <c r="D5" s="434"/>
      <c r="E5" s="434"/>
      <c r="F5" s="434"/>
      <c r="G5" s="434"/>
      <c r="H5" s="988"/>
      <c r="I5" s="434"/>
      <c r="J5" s="989" t="s">
        <v>678</v>
      </c>
      <c r="K5" s="990"/>
      <c r="L5" s="990"/>
      <c r="M5" s="990"/>
      <c r="N5" s="990"/>
      <c r="O5" s="990"/>
      <c r="P5" s="990"/>
      <c r="Q5" s="990"/>
      <c r="R5" s="990"/>
      <c r="S5" s="990"/>
      <c r="T5" s="990"/>
      <c r="U5" s="861"/>
      <c r="V5" s="434"/>
      <c r="W5" s="434"/>
      <c r="X5" s="434"/>
      <c r="Y5" s="434"/>
      <c r="Z5" s="861"/>
      <c r="AA5" s="434"/>
      <c r="AB5" s="434"/>
      <c r="AC5" s="434"/>
      <c r="AD5" s="434"/>
      <c r="AE5" s="434"/>
      <c r="AF5" s="434"/>
      <c r="AG5" s="873" t="b">
        <v>1</v>
      </c>
      <c r="AH5" s="593" t="s">
        <v>484</v>
      </c>
      <c r="AI5" s="593"/>
      <c r="AJ5" s="434"/>
      <c r="AK5" s="434"/>
      <c r="AL5" s="873"/>
      <c r="AM5" s="593" t="s">
        <v>485</v>
      </c>
      <c r="AN5" s="593"/>
      <c r="AO5" s="991"/>
      <c r="AP5" s="434"/>
      <c r="AQ5" s="434"/>
      <c r="AR5" s="434"/>
      <c r="AS5" s="434"/>
      <c r="AT5" s="434"/>
      <c r="AU5" s="434"/>
      <c r="AV5" s="434"/>
      <c r="AW5" s="434"/>
      <c r="AX5" s="434"/>
      <c r="AY5" s="593"/>
      <c r="AZ5" s="593"/>
      <c r="BA5" s="593"/>
      <c r="BB5" s="593"/>
      <c r="BC5" s="434"/>
      <c r="BD5" s="434"/>
      <c r="BE5" s="434"/>
      <c r="BF5" s="434"/>
      <c r="BG5" s="434"/>
      <c r="BH5" s="434"/>
      <c r="BI5" s="434"/>
      <c r="BJ5" s="434"/>
      <c r="BK5" s="434"/>
      <c r="BL5" s="434"/>
      <c r="BM5" s="434"/>
      <c r="BN5" s="434"/>
    </row>
    <row r="6" spans="1:66" s="44" customFormat="1" ht="24.75" customHeight="1">
      <c r="A6" s="434"/>
      <c r="B6" s="434"/>
      <c r="C6" s="434"/>
      <c r="D6" s="434"/>
      <c r="E6" s="434"/>
      <c r="F6" s="434"/>
      <c r="G6" s="434"/>
      <c r="H6" s="988"/>
      <c r="I6" s="434"/>
      <c r="J6" s="989" t="s">
        <v>1210</v>
      </c>
      <c r="K6" s="634"/>
      <c r="L6" s="634"/>
      <c r="M6" s="634"/>
      <c r="N6" s="634"/>
      <c r="O6" s="634"/>
      <c r="P6" s="634"/>
      <c r="Q6" s="634"/>
      <c r="R6" s="634"/>
      <c r="S6" s="634"/>
      <c r="T6" s="625"/>
      <c r="U6" s="582"/>
      <c r="V6" s="582"/>
      <c r="W6" s="582"/>
      <c r="X6" s="582"/>
      <c r="Y6" s="582"/>
      <c r="Z6" s="996"/>
      <c r="AA6" s="625"/>
      <c r="AB6" s="625"/>
      <c r="AC6" s="625"/>
      <c r="AD6" s="625"/>
      <c r="AE6" s="625"/>
      <c r="AF6" s="625"/>
      <c r="AG6" s="582"/>
      <c r="AH6" s="582"/>
      <c r="AI6" s="582"/>
      <c r="AJ6" s="582"/>
      <c r="AK6" s="582"/>
      <c r="AL6" s="582"/>
      <c r="AM6" s="582"/>
      <c r="AN6" s="582"/>
      <c r="AO6" s="592"/>
      <c r="AP6" s="434"/>
      <c r="AQ6" s="434"/>
      <c r="AR6" s="434"/>
      <c r="AS6" s="434"/>
      <c r="AT6" s="434"/>
      <c r="AU6" s="434"/>
      <c r="AV6" s="434"/>
      <c r="AW6" s="434"/>
      <c r="AX6" s="434"/>
      <c r="AY6" s="593"/>
      <c r="AZ6" s="593"/>
      <c r="BA6" s="593"/>
      <c r="BB6" s="593"/>
      <c r="BC6" s="434"/>
      <c r="BD6" s="434"/>
      <c r="BE6" s="434"/>
      <c r="BF6" s="434"/>
      <c r="BG6" s="434"/>
      <c r="BH6" s="434"/>
      <c r="BI6" s="434"/>
      <c r="BJ6" s="434"/>
      <c r="BK6" s="434"/>
      <c r="BL6" s="434"/>
      <c r="BM6" s="434"/>
      <c r="BN6" s="434"/>
    </row>
    <row r="7" spans="1:66" s="44" customFormat="1" ht="19.5">
      <c r="A7" s="434"/>
      <c r="B7" s="434"/>
      <c r="C7" s="434"/>
      <c r="D7" s="434"/>
      <c r="E7" s="434"/>
      <c r="F7" s="434"/>
      <c r="G7" s="434"/>
      <c r="H7" s="988"/>
      <c r="I7" s="599"/>
      <c r="J7" s="640"/>
      <c r="K7" s="640"/>
      <c r="L7" s="640"/>
      <c r="M7" s="610" t="b">
        <v>1</v>
      </c>
      <c r="N7" s="582" t="s">
        <v>679</v>
      </c>
      <c r="O7" s="599"/>
      <c r="P7" s="599"/>
      <c r="Q7" s="599"/>
      <c r="R7" s="599"/>
      <c r="S7" s="599"/>
      <c r="T7" s="599"/>
      <c r="U7" s="434"/>
      <c r="V7" s="434"/>
      <c r="W7" s="610" t="b">
        <v>1</v>
      </c>
      <c r="X7" s="582" t="s">
        <v>680</v>
      </c>
      <c r="Y7" s="599"/>
      <c r="Z7" s="599"/>
      <c r="AA7" s="599"/>
      <c r="AB7" s="599"/>
      <c r="AC7" s="599"/>
      <c r="AD7" s="434"/>
      <c r="AE7" s="434"/>
      <c r="AF7" s="625"/>
      <c r="AG7" s="434"/>
      <c r="AH7" s="582"/>
      <c r="AI7" s="599"/>
      <c r="AJ7" s="599"/>
      <c r="AK7" s="599"/>
      <c r="AL7" s="625"/>
      <c r="AM7" s="599"/>
      <c r="AN7" s="599"/>
      <c r="AO7" s="997"/>
      <c r="AP7" s="434"/>
      <c r="AQ7" s="434"/>
      <c r="AR7" s="434"/>
      <c r="AS7" s="434"/>
      <c r="AT7" s="434"/>
      <c r="AU7" s="434"/>
      <c r="AV7" s="434"/>
      <c r="AW7" s="434"/>
      <c r="AX7" s="434"/>
      <c r="AY7" s="593"/>
      <c r="AZ7" s="593"/>
      <c r="BA7" s="593"/>
      <c r="BB7" s="593"/>
      <c r="BC7" s="434"/>
      <c r="BD7" s="434"/>
      <c r="BE7" s="434"/>
      <c r="BF7" s="434"/>
      <c r="BG7" s="434"/>
      <c r="BH7" s="434"/>
      <c r="BI7" s="434"/>
      <c r="BJ7" s="434"/>
      <c r="BK7" s="434"/>
      <c r="BL7" s="434"/>
      <c r="BM7" s="434"/>
      <c r="BN7" s="434"/>
    </row>
    <row r="8" spans="1:66" s="44" customFormat="1" ht="24.75" customHeight="1">
      <c r="A8" s="434"/>
      <c r="B8" s="434"/>
      <c r="C8" s="434"/>
      <c r="D8" s="434"/>
      <c r="E8" s="434"/>
      <c r="F8" s="434"/>
      <c r="G8" s="434"/>
      <c r="H8" s="988"/>
      <c r="I8" s="599"/>
      <c r="J8" s="640"/>
      <c r="K8" s="640"/>
      <c r="L8" s="640"/>
      <c r="M8" s="610" t="b">
        <v>1</v>
      </c>
      <c r="N8" s="582" t="s">
        <v>681</v>
      </c>
      <c r="O8" s="599"/>
      <c r="P8" s="599"/>
      <c r="Q8" s="599"/>
      <c r="R8" s="599"/>
      <c r="S8" s="599"/>
      <c r="T8" s="599"/>
      <c r="U8" s="434"/>
      <c r="V8" s="434"/>
      <c r="W8" s="610" t="b">
        <v>1</v>
      </c>
      <c r="X8" s="757" t="s">
        <v>1021</v>
      </c>
      <c r="Y8" s="599"/>
      <c r="Z8" s="599"/>
      <c r="AA8" s="599"/>
      <c r="AB8" s="3426" t="s">
        <v>11901</v>
      </c>
      <c r="AC8" s="3426"/>
      <c r="AD8" s="3426"/>
      <c r="AE8" s="3426"/>
      <c r="AF8" s="3426"/>
      <c r="AG8" s="3426"/>
      <c r="AH8" s="3426"/>
      <c r="AI8" s="1740" t="str">
        <f>IF(AND(natpdruged_compart_other_specify=TRUE, ISBLANK(natpdruged_compart_other)), "Please specify.", IF(AND(natpdruged_compart_other_specify=FALSE, natpdruged_compart_other&gt;0), "Please check Others if you have entries.", ""))</f>
        <v/>
      </c>
      <c r="AJ8" s="599"/>
      <c r="AK8" s="599"/>
      <c r="AL8" s="625"/>
      <c r="AM8" s="599"/>
      <c r="AN8" s="599"/>
      <c r="AO8" s="705"/>
      <c r="AP8" s="434"/>
      <c r="AQ8" s="434"/>
      <c r="AR8" s="434"/>
      <c r="AS8" s="434"/>
      <c r="AT8" s="434"/>
      <c r="AU8" s="434"/>
      <c r="AV8" s="434"/>
      <c r="AW8" s="434"/>
      <c r="AX8" s="434"/>
      <c r="AY8" s="593"/>
      <c r="AZ8" s="593"/>
      <c r="BA8" s="593"/>
      <c r="BB8" s="593"/>
      <c r="BC8" s="434"/>
      <c r="BD8" s="434"/>
      <c r="BE8" s="434"/>
      <c r="BF8" s="434"/>
      <c r="BG8" s="434"/>
      <c r="BH8" s="434"/>
      <c r="BI8" s="434"/>
      <c r="BJ8" s="434"/>
      <c r="BK8" s="434"/>
      <c r="BL8" s="434"/>
      <c r="BM8" s="434"/>
      <c r="BN8" s="434"/>
    </row>
    <row r="9" spans="1:66" s="44" customFormat="1" ht="19.5">
      <c r="A9" s="434"/>
      <c r="B9" s="434"/>
      <c r="C9" s="434"/>
      <c r="D9" s="434"/>
      <c r="E9" s="434"/>
      <c r="F9" s="434"/>
      <c r="G9" s="434"/>
      <c r="H9" s="988"/>
      <c r="I9" s="434"/>
      <c r="J9" s="989" t="s">
        <v>682</v>
      </c>
      <c r="K9" s="990"/>
      <c r="L9" s="990"/>
      <c r="M9" s="990"/>
      <c r="N9" s="990"/>
      <c r="O9" s="990"/>
      <c r="P9" s="990"/>
      <c r="Q9" s="990"/>
      <c r="R9" s="990"/>
      <c r="S9" s="990"/>
      <c r="T9" s="990"/>
      <c r="U9" s="861"/>
      <c r="V9" s="434"/>
      <c r="W9" s="434"/>
      <c r="X9" s="434"/>
      <c r="Y9" s="434"/>
      <c r="Z9" s="434"/>
      <c r="AA9" s="434"/>
      <c r="AB9" s="434"/>
      <c r="AC9" s="434"/>
      <c r="AD9" s="434"/>
      <c r="AE9" s="434"/>
      <c r="AF9" s="434"/>
      <c r="AG9" s="873" t="b">
        <v>1</v>
      </c>
      <c r="AH9" s="593" t="s">
        <v>484</v>
      </c>
      <c r="AI9" s="593"/>
      <c r="AJ9" s="434"/>
      <c r="AK9" s="434"/>
      <c r="AL9" s="42"/>
      <c r="AM9" s="593" t="s">
        <v>485</v>
      </c>
      <c r="AN9" s="593"/>
      <c r="AO9" s="991"/>
      <c r="AP9" s="434"/>
      <c r="AQ9" s="434"/>
      <c r="AR9" s="434"/>
      <c r="AS9" s="434"/>
      <c r="AT9" s="434"/>
      <c r="AU9" s="434"/>
      <c r="AV9" s="434"/>
      <c r="AW9" s="434"/>
      <c r="AX9" s="434"/>
      <c r="AY9" s="593"/>
      <c r="AZ9" s="593"/>
      <c r="BA9" s="593"/>
      <c r="BB9" s="593"/>
      <c r="BC9" s="434"/>
      <c r="BD9" s="434"/>
      <c r="BE9" s="434"/>
      <c r="BF9" s="434"/>
      <c r="BG9" s="434"/>
      <c r="BH9" s="434"/>
      <c r="BI9" s="434"/>
      <c r="BJ9" s="434"/>
      <c r="BK9" s="434"/>
      <c r="BL9" s="434"/>
      <c r="BM9" s="434"/>
      <c r="BN9" s="434"/>
    </row>
    <row r="10" spans="1:66" s="44" customFormat="1" ht="24" customHeight="1">
      <c r="A10" s="434"/>
      <c r="B10" s="434"/>
      <c r="C10" s="434"/>
      <c r="D10" s="434"/>
      <c r="E10" s="434"/>
      <c r="F10" s="434"/>
      <c r="G10" s="434"/>
      <c r="H10" s="988"/>
      <c r="I10" s="434"/>
      <c r="J10" s="989" t="s">
        <v>683</v>
      </c>
      <c r="K10" s="990"/>
      <c r="L10" s="990"/>
      <c r="M10" s="990"/>
      <c r="N10" s="990"/>
      <c r="O10" s="990"/>
      <c r="P10" s="990"/>
      <c r="Q10" s="990"/>
      <c r="R10" s="990"/>
      <c r="S10" s="990"/>
      <c r="T10" s="990"/>
      <c r="U10" s="434"/>
      <c r="V10" s="434"/>
      <c r="W10" s="434"/>
      <c r="X10" s="434"/>
      <c r="Y10" s="434"/>
      <c r="Z10" s="434"/>
      <c r="AA10" s="434"/>
      <c r="AB10" s="593"/>
      <c r="AC10" s="593"/>
      <c r="AD10" s="434"/>
      <c r="AE10" s="434"/>
      <c r="AF10" s="434"/>
      <c r="AG10" s="2617">
        <v>21</v>
      </c>
      <c r="AH10" s="2617"/>
      <c r="AI10" s="2617"/>
      <c r="AJ10" s="2617"/>
      <c r="AK10" s="2617"/>
      <c r="AL10" s="2617"/>
      <c r="AM10" s="2617"/>
      <c r="AN10" s="707"/>
      <c r="AO10" s="991"/>
      <c r="AP10" s="434"/>
      <c r="AQ10" s="434"/>
      <c r="AR10" s="434"/>
      <c r="AS10" s="434"/>
      <c r="AT10" s="434"/>
      <c r="AU10" s="434"/>
      <c r="AV10" s="434"/>
      <c r="AW10" s="434"/>
      <c r="AX10" s="434"/>
      <c r="AY10" s="593"/>
      <c r="AZ10" s="593"/>
      <c r="BA10" s="593"/>
      <c r="BB10" s="593"/>
      <c r="BC10" s="434"/>
      <c r="BD10" s="434"/>
      <c r="BE10" s="434"/>
      <c r="BF10" s="434"/>
      <c r="BG10" s="434"/>
      <c r="BH10" s="434"/>
      <c r="BI10" s="434"/>
      <c r="BJ10" s="434"/>
      <c r="BK10" s="434"/>
      <c r="BL10" s="434"/>
      <c r="BM10" s="434"/>
      <c r="BN10" s="434"/>
    </row>
    <row r="11" spans="1:66" s="44" customFormat="1" ht="21.75" customHeight="1">
      <c r="A11" s="434"/>
      <c r="B11" s="434"/>
      <c r="C11" s="434"/>
      <c r="D11" s="434"/>
      <c r="E11" s="434"/>
      <c r="F11" s="434"/>
      <c r="G11" s="434"/>
      <c r="H11" s="988"/>
      <c r="I11" s="434"/>
      <c r="J11" s="989" t="s">
        <v>1211</v>
      </c>
      <c r="K11" s="990"/>
      <c r="L11" s="990"/>
      <c r="M11" s="990"/>
      <c r="N11" s="990"/>
      <c r="O11" s="990"/>
      <c r="P11" s="990"/>
      <c r="Q11" s="990"/>
      <c r="R11" s="990"/>
      <c r="S11" s="990"/>
      <c r="T11" s="990"/>
      <c r="U11" s="861"/>
      <c r="V11" s="434"/>
      <c r="W11" s="434"/>
      <c r="X11" s="434"/>
      <c r="Y11" s="434"/>
      <c r="Z11" s="434"/>
      <c r="AA11" s="434"/>
      <c r="AB11" s="434"/>
      <c r="AC11" s="434"/>
      <c r="AD11" s="434"/>
      <c r="AE11" s="434"/>
      <c r="AF11" s="434"/>
      <c r="AG11" s="873" t="b">
        <v>1</v>
      </c>
      <c r="AH11" s="593" t="s">
        <v>484</v>
      </c>
      <c r="AI11" s="593"/>
      <c r="AJ11" s="434"/>
      <c r="AK11" s="434"/>
      <c r="AL11" s="873"/>
      <c r="AM11" s="593" t="s">
        <v>485</v>
      </c>
      <c r="AN11" s="593"/>
      <c r="AO11" s="991"/>
      <c r="AP11" s="434"/>
      <c r="AQ11" s="434"/>
      <c r="AR11" s="434"/>
      <c r="AS11" s="434"/>
      <c r="AT11" s="434"/>
      <c r="AU11" s="434"/>
      <c r="AV11" s="434"/>
      <c r="AW11" s="434"/>
      <c r="AX11" s="434"/>
      <c r="AY11" s="593"/>
      <c r="AZ11" s="593"/>
      <c r="BA11" s="593"/>
      <c r="BB11" s="593"/>
      <c r="BC11" s="434"/>
      <c r="BD11" s="434"/>
      <c r="BE11" s="434"/>
      <c r="BF11" s="434"/>
      <c r="BG11" s="434"/>
      <c r="BH11" s="434"/>
      <c r="BI11" s="434"/>
      <c r="BJ11" s="434"/>
      <c r="BK11" s="434"/>
      <c r="BL11" s="434"/>
      <c r="BM11" s="434"/>
      <c r="BN11" s="434"/>
    </row>
    <row r="12" spans="1:66" s="45" customFormat="1" ht="21.6" customHeight="1" thickBot="1">
      <c r="A12" s="591"/>
      <c r="B12" s="591"/>
      <c r="C12" s="591"/>
      <c r="D12" s="591"/>
      <c r="E12" s="591"/>
      <c r="F12" s="591"/>
      <c r="G12" s="591"/>
      <c r="H12" s="628"/>
      <c r="I12" s="591"/>
      <c r="J12" s="630" t="s">
        <v>684</v>
      </c>
      <c r="K12" s="633"/>
      <c r="L12" s="591"/>
      <c r="M12" s="623"/>
      <c r="N12" s="623"/>
      <c r="O12" s="623"/>
      <c r="P12" s="623"/>
      <c r="Q12" s="623"/>
      <c r="R12" s="623"/>
      <c r="S12" s="623"/>
      <c r="T12" s="623"/>
      <c r="U12" s="623"/>
      <c r="V12" s="623"/>
      <c r="W12" s="623"/>
      <c r="X12" s="623"/>
      <c r="Y12" s="623"/>
      <c r="Z12" s="623"/>
      <c r="AA12" s="623"/>
      <c r="AB12" s="623"/>
      <c r="AC12" s="582"/>
      <c r="AD12" s="591"/>
      <c r="AE12" s="591"/>
      <c r="AF12" s="582"/>
      <c r="AG12" s="591"/>
      <c r="AH12" s="591"/>
      <c r="AI12" s="591"/>
      <c r="AJ12" s="625"/>
      <c r="AK12" s="591"/>
      <c r="AL12" s="593"/>
      <c r="AM12" s="591"/>
      <c r="AN12" s="591"/>
      <c r="AO12" s="592"/>
      <c r="AP12" s="582"/>
      <c r="AQ12" s="582"/>
      <c r="AR12" s="582"/>
      <c r="AS12" s="582"/>
      <c r="AT12" s="582"/>
      <c r="AU12" s="582"/>
      <c r="AV12" s="591"/>
      <c r="AW12" s="591"/>
      <c r="AX12" s="591"/>
      <c r="AY12" s="591"/>
      <c r="AZ12" s="591"/>
      <c r="BA12" s="591"/>
      <c r="BB12" s="625"/>
      <c r="BC12" s="591"/>
      <c r="BD12" s="591"/>
      <c r="BE12" s="591"/>
      <c r="BF12" s="591"/>
      <c r="BG12" s="591"/>
      <c r="BH12" s="582"/>
      <c r="BI12" s="582"/>
      <c r="BJ12" s="582"/>
      <c r="BK12" s="582"/>
      <c r="BL12" s="591"/>
      <c r="BM12" s="591"/>
      <c r="BN12" s="591"/>
    </row>
    <row r="13" spans="1:66" s="44" customFormat="1" ht="34.5" customHeight="1" thickBot="1">
      <c r="A13" s="434"/>
      <c r="B13" s="434"/>
      <c r="C13" s="434"/>
      <c r="D13" s="434"/>
      <c r="E13" s="434"/>
      <c r="F13" s="434"/>
      <c r="G13" s="434"/>
      <c r="H13" s="988"/>
      <c r="I13" s="434"/>
      <c r="J13" s="1072"/>
      <c r="K13" s="3362" t="s">
        <v>281</v>
      </c>
      <c r="L13" s="3363"/>
      <c r="M13" s="3363"/>
      <c r="N13" s="3363"/>
      <c r="O13" s="3363"/>
      <c r="P13" s="3363"/>
      <c r="Q13" s="3363"/>
      <c r="R13" s="3364"/>
      <c r="S13" s="3362" t="s">
        <v>685</v>
      </c>
      <c r="T13" s="3363"/>
      <c r="U13" s="3363"/>
      <c r="V13" s="3363"/>
      <c r="W13" s="3363"/>
      <c r="X13" s="3363"/>
      <c r="Y13" s="3364"/>
      <c r="Z13" s="1095"/>
      <c r="AA13" s="581"/>
      <c r="AB13" s="581"/>
      <c r="AC13" s="581"/>
      <c r="AD13" s="581"/>
      <c r="AE13" s="581"/>
      <c r="AF13" s="581"/>
      <c r="AG13" s="581"/>
      <c r="AH13" s="581"/>
      <c r="AI13" s="581"/>
      <c r="AJ13" s="581"/>
      <c r="AK13" s="581"/>
      <c r="AL13" s="581"/>
      <c r="AM13" s="581"/>
      <c r="AN13" s="581"/>
      <c r="AO13" s="991"/>
      <c r="AP13" s="861"/>
      <c r="AQ13" s="861"/>
      <c r="AR13" s="434"/>
      <c r="AS13" s="434"/>
      <c r="AT13" s="434"/>
      <c r="AU13" s="434"/>
      <c r="AV13" s="434"/>
      <c r="AW13" s="434"/>
      <c r="AX13" s="434"/>
      <c r="AY13" s="434"/>
      <c r="AZ13" s="434"/>
      <c r="BA13" s="593"/>
      <c r="BB13" s="593"/>
      <c r="BC13" s="593"/>
      <c r="BD13" s="434"/>
      <c r="BE13" s="434"/>
      <c r="BF13" s="434"/>
      <c r="BG13" s="434"/>
      <c r="BH13" s="434"/>
      <c r="BI13" s="434"/>
      <c r="BJ13" s="434"/>
      <c r="BK13" s="434"/>
      <c r="BL13" s="434"/>
      <c r="BM13" s="434"/>
      <c r="BN13" s="434"/>
    </row>
    <row r="14" spans="1:66" ht="25.5" customHeight="1">
      <c r="A14" s="1085"/>
      <c r="B14" s="1085"/>
      <c r="C14" s="1085"/>
      <c r="D14" s="1085"/>
      <c r="E14" s="1085"/>
      <c r="F14" s="1085"/>
      <c r="G14" s="1085"/>
      <c r="H14" s="1090"/>
      <c r="I14" s="1085"/>
      <c r="J14" s="1076"/>
      <c r="K14" s="1096"/>
      <c r="L14" s="1097"/>
      <c r="M14" s="1097"/>
      <c r="N14" s="1053" t="s">
        <v>43</v>
      </c>
      <c r="O14" s="1097"/>
      <c r="P14" s="1097"/>
      <c r="Q14" s="1097"/>
      <c r="R14" s="1098"/>
      <c r="S14" s="3313">
        <v>530</v>
      </c>
      <c r="T14" s="3351"/>
      <c r="U14" s="3351"/>
      <c r="V14" s="3351"/>
      <c r="W14" s="3351"/>
      <c r="X14" s="3351"/>
      <c r="Y14" s="3309"/>
      <c r="Z14" s="1058"/>
      <c r="AA14" s="622"/>
      <c r="AB14" s="622"/>
      <c r="AC14" s="622"/>
      <c r="AD14" s="622"/>
      <c r="AE14" s="622"/>
      <c r="AF14" s="622"/>
      <c r="AG14" s="622"/>
      <c r="AH14" s="622"/>
      <c r="AI14" s="622"/>
      <c r="AJ14" s="622"/>
      <c r="AK14" s="622"/>
      <c r="AL14" s="622"/>
      <c r="AM14" s="622"/>
      <c r="AN14" s="622"/>
      <c r="AO14" s="991"/>
      <c r="AP14" s="861"/>
      <c r="AQ14" s="861"/>
      <c r="AR14" s="1085"/>
      <c r="AS14" s="1085"/>
      <c r="AT14" s="1085"/>
      <c r="AU14" s="1085"/>
      <c r="AV14" s="1085"/>
      <c r="AW14" s="1085"/>
      <c r="AX14" s="1085"/>
      <c r="AY14" s="1085"/>
      <c r="AZ14" s="1085"/>
      <c r="BA14" s="593"/>
      <c r="BB14" s="593"/>
      <c r="BC14" s="593"/>
      <c r="BD14" s="593"/>
      <c r="BE14" s="1085"/>
      <c r="BF14" s="1085"/>
      <c r="BG14" s="1085"/>
      <c r="BH14" s="1085"/>
      <c r="BI14" s="1085"/>
      <c r="BJ14" s="1085"/>
      <c r="BK14" s="1085"/>
      <c r="BL14" s="1085"/>
      <c r="BM14" s="1085"/>
      <c r="BN14" s="1085"/>
    </row>
    <row r="15" spans="1:66" ht="25.5" customHeight="1" thickBot="1">
      <c r="A15" s="1085"/>
      <c r="B15" s="1085"/>
      <c r="C15" s="1085"/>
      <c r="D15" s="1085"/>
      <c r="E15" s="1085"/>
      <c r="F15" s="1085"/>
      <c r="G15" s="1085"/>
      <c r="H15" s="1090"/>
      <c r="I15" s="1085"/>
      <c r="J15" s="1076"/>
      <c r="K15" s="1055"/>
      <c r="L15" s="1056"/>
      <c r="M15" s="1056"/>
      <c r="N15" s="1056" t="s">
        <v>44</v>
      </c>
      <c r="O15" s="1056"/>
      <c r="P15" s="1056"/>
      <c r="Q15" s="1056"/>
      <c r="R15" s="1057"/>
      <c r="S15" s="3306">
        <v>498</v>
      </c>
      <c r="T15" s="3287"/>
      <c r="U15" s="3287"/>
      <c r="V15" s="3287"/>
      <c r="W15" s="3287"/>
      <c r="X15" s="3287"/>
      <c r="Y15" s="3288"/>
      <c r="Z15" s="1058"/>
      <c r="AA15" s="622"/>
      <c r="AB15" s="622"/>
      <c r="AC15" s="622"/>
      <c r="AD15" s="622"/>
      <c r="AE15" s="622"/>
      <c r="AF15" s="622"/>
      <c r="AG15" s="622"/>
      <c r="AH15" s="622"/>
      <c r="AI15" s="622"/>
      <c r="AJ15" s="622"/>
      <c r="AK15" s="622"/>
      <c r="AL15" s="622"/>
      <c r="AM15" s="622"/>
      <c r="AN15" s="622"/>
      <c r="AO15" s="991"/>
      <c r="AP15" s="861"/>
      <c r="AQ15" s="861"/>
      <c r="AR15" s="1085"/>
      <c r="AS15" s="1085"/>
      <c r="AT15" s="1085"/>
      <c r="AU15" s="1085"/>
      <c r="AV15" s="1085"/>
      <c r="AW15" s="1085"/>
      <c r="AX15" s="1085"/>
      <c r="AY15" s="1085"/>
      <c r="AZ15" s="1085"/>
      <c r="BA15" s="593"/>
      <c r="BB15" s="593"/>
      <c r="BC15" s="593"/>
      <c r="BD15" s="593"/>
      <c r="BE15" s="1085"/>
      <c r="BF15" s="1085"/>
      <c r="BG15" s="1085"/>
      <c r="BH15" s="1085"/>
      <c r="BI15" s="1085"/>
      <c r="BJ15" s="1085"/>
      <c r="BK15" s="1085"/>
      <c r="BL15" s="1085"/>
      <c r="BM15" s="1085"/>
      <c r="BN15" s="1085"/>
    </row>
    <row r="16" spans="1:66" ht="25.5" customHeight="1" thickTop="1" thickBot="1">
      <c r="A16" s="1085"/>
      <c r="B16" s="1085"/>
      <c r="C16" s="1085"/>
      <c r="D16" s="1085"/>
      <c r="E16" s="1085"/>
      <c r="F16" s="1085"/>
      <c r="G16" s="1085"/>
      <c r="H16" s="1090"/>
      <c r="I16" s="1085"/>
      <c r="J16" s="1078"/>
      <c r="K16" s="1059"/>
      <c r="L16" s="1060"/>
      <c r="M16" s="1060"/>
      <c r="N16" s="1060" t="s">
        <v>42</v>
      </c>
      <c r="O16" s="1060"/>
      <c r="P16" s="1060"/>
      <c r="Q16" s="1060"/>
      <c r="R16" s="1061"/>
      <c r="S16" s="3281">
        <f>SUM(S14:Y15)</f>
        <v>1028</v>
      </c>
      <c r="T16" s="3273"/>
      <c r="U16" s="3273"/>
      <c r="V16" s="3273"/>
      <c r="W16" s="3273"/>
      <c r="X16" s="3273"/>
      <c r="Y16" s="3277"/>
      <c r="Z16" s="1058"/>
      <c r="AA16" s="622"/>
      <c r="AB16" s="622"/>
      <c r="AC16" s="622"/>
      <c r="AD16" s="622"/>
      <c r="AE16" s="622"/>
      <c r="AF16" s="622"/>
      <c r="AG16" s="622"/>
      <c r="AH16" s="622"/>
      <c r="AI16" s="622"/>
      <c r="AJ16" s="622"/>
      <c r="AK16" s="622"/>
      <c r="AL16" s="622"/>
      <c r="AM16" s="622"/>
      <c r="AN16" s="622"/>
      <c r="AO16" s="991"/>
      <c r="AP16" s="861"/>
      <c r="AQ16" s="861"/>
      <c r="AR16" s="1085"/>
      <c r="AS16" s="1085"/>
      <c r="AT16" s="1085"/>
      <c r="AU16" s="1085"/>
      <c r="AV16" s="1085"/>
      <c r="AW16" s="1085"/>
      <c r="AX16" s="1085"/>
      <c r="AY16" s="1085"/>
      <c r="AZ16" s="1085"/>
      <c r="BA16" s="593"/>
      <c r="BB16" s="593"/>
      <c r="BC16" s="593"/>
      <c r="BD16" s="593"/>
      <c r="BE16" s="1085"/>
      <c r="BF16" s="1085"/>
      <c r="BG16" s="1085"/>
      <c r="BH16" s="1085"/>
      <c r="BI16" s="1085"/>
      <c r="BJ16" s="1085"/>
      <c r="BK16" s="1085"/>
      <c r="BL16" s="1085"/>
      <c r="BM16" s="1085"/>
      <c r="BN16" s="1085"/>
    </row>
    <row r="17" spans="1:66" s="44" customFormat="1" ht="5.0999999999999996" customHeight="1">
      <c r="A17" s="434"/>
      <c r="B17" s="434"/>
      <c r="C17" s="434"/>
      <c r="D17" s="434"/>
      <c r="E17" s="434"/>
      <c r="F17" s="434"/>
      <c r="G17" s="434"/>
      <c r="H17" s="988"/>
      <c r="I17" s="434"/>
      <c r="J17" s="434"/>
      <c r="K17" s="1086"/>
      <c r="L17" s="989"/>
      <c r="M17" s="990"/>
      <c r="N17" s="990"/>
      <c r="O17" s="990"/>
      <c r="P17" s="990"/>
      <c r="Q17" s="990"/>
      <c r="R17" s="990"/>
      <c r="S17" s="990"/>
      <c r="T17" s="990"/>
      <c r="U17" s="990"/>
      <c r="V17" s="990"/>
      <c r="W17" s="990"/>
      <c r="X17" s="990"/>
      <c r="Y17" s="990"/>
      <c r="Z17" s="990"/>
      <c r="AA17" s="990"/>
      <c r="AB17" s="990"/>
      <c r="AC17" s="990"/>
      <c r="AD17" s="990"/>
      <c r="AE17" s="990"/>
      <c r="AF17" s="861"/>
      <c r="AG17" s="434"/>
      <c r="AH17" s="434"/>
      <c r="AI17" s="434"/>
      <c r="AJ17" s="434"/>
      <c r="AK17" s="434"/>
      <c r="AL17" s="434"/>
      <c r="AM17" s="434"/>
      <c r="AN17" s="434"/>
      <c r="AO17" s="997"/>
      <c r="AP17" s="434"/>
      <c r="AQ17" s="434"/>
      <c r="AR17" s="434"/>
      <c r="AS17" s="434"/>
      <c r="AT17" s="434"/>
      <c r="AU17" s="434"/>
      <c r="AV17" s="434"/>
      <c r="AW17" s="434"/>
      <c r="AX17" s="434"/>
      <c r="AY17" s="434"/>
      <c r="AZ17" s="434"/>
      <c r="BA17" s="861"/>
      <c r="BB17" s="861"/>
      <c r="BC17" s="434"/>
      <c r="BD17" s="434"/>
      <c r="BE17" s="434"/>
      <c r="BF17" s="434"/>
      <c r="BG17" s="434"/>
      <c r="BH17" s="434"/>
      <c r="BI17" s="593"/>
      <c r="BJ17" s="593"/>
      <c r="BK17" s="593"/>
      <c r="BL17" s="593"/>
      <c r="BM17" s="434"/>
      <c r="BN17" s="434"/>
    </row>
    <row r="18" spans="1:66" s="45" customFormat="1" ht="16.5" customHeight="1" thickBot="1">
      <c r="A18" s="591"/>
      <c r="B18" s="591"/>
      <c r="C18" s="591"/>
      <c r="D18" s="591"/>
      <c r="E18" s="591"/>
      <c r="F18" s="591"/>
      <c r="G18" s="591"/>
      <c r="H18" s="628"/>
      <c r="I18" s="591"/>
      <c r="J18" s="630" t="s">
        <v>686</v>
      </c>
      <c r="K18" s="633"/>
      <c r="L18" s="591"/>
      <c r="M18" s="623"/>
      <c r="N18" s="623"/>
      <c r="O18" s="623"/>
      <c r="P18" s="623"/>
      <c r="Q18" s="623"/>
      <c r="R18" s="623"/>
      <c r="S18" s="623"/>
      <c r="T18" s="623"/>
      <c r="U18" s="623"/>
      <c r="V18" s="623"/>
      <c r="W18" s="623"/>
      <c r="X18" s="623"/>
      <c r="Y18" s="623"/>
      <c r="Z18" s="623"/>
      <c r="AA18" s="623"/>
      <c r="AB18" s="623"/>
      <c r="AC18" s="582"/>
      <c r="AD18" s="591"/>
      <c r="AE18" s="591"/>
      <c r="AF18" s="582"/>
      <c r="AG18" s="591"/>
      <c r="AH18" s="591"/>
      <c r="AI18" s="591"/>
      <c r="AJ18" s="625"/>
      <c r="AK18" s="591"/>
      <c r="AL18" s="593"/>
      <c r="AM18" s="591"/>
      <c r="AN18" s="591"/>
      <c r="AO18" s="592"/>
      <c r="AP18" s="582"/>
      <c r="AQ18" s="582"/>
      <c r="AR18" s="582"/>
      <c r="AS18" s="582"/>
      <c r="AT18" s="582"/>
      <c r="AU18" s="582"/>
      <c r="AV18" s="591"/>
      <c r="AW18" s="591"/>
      <c r="AX18" s="591"/>
      <c r="AY18" s="591"/>
      <c r="AZ18" s="591"/>
      <c r="BA18" s="591"/>
      <c r="BB18" s="625"/>
      <c r="BC18" s="591"/>
      <c r="BD18" s="591"/>
      <c r="BE18" s="591"/>
      <c r="BF18" s="591"/>
      <c r="BG18" s="591"/>
      <c r="BH18" s="591"/>
      <c r="BI18" s="582"/>
      <c r="BJ18" s="582"/>
      <c r="BK18" s="582"/>
      <c r="BL18" s="582"/>
      <c r="BM18" s="591"/>
      <c r="BN18" s="591"/>
    </row>
    <row r="19" spans="1:66" ht="34.5" customHeight="1" thickBot="1">
      <c r="A19" s="1085"/>
      <c r="B19" s="1085"/>
      <c r="C19" s="1085"/>
      <c r="D19" s="1085"/>
      <c r="E19" s="1085"/>
      <c r="F19" s="1085"/>
      <c r="G19" s="1085"/>
      <c r="H19" s="1090"/>
      <c r="I19" s="1085"/>
      <c r="J19" s="1072"/>
      <c r="K19" s="3362" t="s">
        <v>281</v>
      </c>
      <c r="L19" s="3363"/>
      <c r="M19" s="3363"/>
      <c r="N19" s="3363"/>
      <c r="O19" s="3363"/>
      <c r="P19" s="3363"/>
      <c r="Q19" s="3363"/>
      <c r="R19" s="3364"/>
      <c r="S19" s="3362" t="s">
        <v>685</v>
      </c>
      <c r="T19" s="3363"/>
      <c r="U19" s="3363"/>
      <c r="V19" s="3363"/>
      <c r="W19" s="3363"/>
      <c r="X19" s="3363"/>
      <c r="Y19" s="3364"/>
      <c r="Z19" s="1095"/>
      <c r="AA19" s="581"/>
      <c r="AB19" s="581"/>
      <c r="AC19" s="581"/>
      <c r="AD19" s="581"/>
      <c r="AE19" s="581"/>
      <c r="AF19" s="581"/>
      <c r="AG19" s="581"/>
      <c r="AH19" s="581"/>
      <c r="AI19" s="581"/>
      <c r="AJ19" s="581"/>
      <c r="AK19" s="581"/>
      <c r="AL19" s="581"/>
      <c r="AM19" s="581"/>
      <c r="AN19" s="581"/>
      <c r="AO19" s="991"/>
      <c r="AP19" s="861"/>
      <c r="AQ19" s="861"/>
      <c r="AR19" s="1085"/>
      <c r="AS19" s="1085"/>
      <c r="AT19" s="1085"/>
      <c r="AU19" s="1085"/>
      <c r="AV19" s="1085"/>
      <c r="AW19" s="1085"/>
      <c r="AX19" s="1085"/>
      <c r="AY19" s="1085"/>
      <c r="AZ19" s="1085"/>
      <c r="BA19" s="593"/>
      <c r="BB19" s="593"/>
      <c r="BC19" s="593"/>
      <c r="BD19" s="593"/>
      <c r="BE19" s="1085"/>
      <c r="BF19" s="1085"/>
      <c r="BG19" s="1085"/>
      <c r="BH19" s="1085"/>
      <c r="BI19" s="1085"/>
      <c r="BJ19" s="1085"/>
      <c r="BK19" s="1085"/>
      <c r="BL19" s="1085"/>
      <c r="BM19" s="1085"/>
      <c r="BN19" s="1085"/>
    </row>
    <row r="20" spans="1:66" ht="25.5" customHeight="1">
      <c r="A20" s="1085"/>
      <c r="B20" s="1085"/>
      <c r="C20" s="1085"/>
      <c r="D20" s="1085"/>
      <c r="E20" s="1085"/>
      <c r="F20" s="1085"/>
      <c r="G20" s="1085"/>
      <c r="H20" s="1090"/>
      <c r="I20" s="1085"/>
      <c r="J20" s="1076"/>
      <c r="K20" s="1096"/>
      <c r="L20" s="1097"/>
      <c r="M20" s="1097"/>
      <c r="N20" s="1053" t="s">
        <v>43</v>
      </c>
      <c r="O20" s="1097"/>
      <c r="P20" s="1097"/>
      <c r="Q20" s="1097"/>
      <c r="R20" s="1098"/>
      <c r="S20" s="3313">
        <v>0</v>
      </c>
      <c r="T20" s="3351"/>
      <c r="U20" s="3351"/>
      <c r="V20" s="3351"/>
      <c r="W20" s="3351"/>
      <c r="X20" s="3351"/>
      <c r="Y20" s="3309"/>
      <c r="Z20" s="1058"/>
      <c r="AA20" s="622"/>
      <c r="AB20" s="622"/>
      <c r="AC20" s="622"/>
      <c r="AD20" s="622"/>
      <c r="AE20" s="622"/>
      <c r="AF20" s="622"/>
      <c r="AG20" s="622"/>
      <c r="AH20" s="622"/>
      <c r="AI20" s="622"/>
      <c r="AJ20" s="622"/>
      <c r="AK20" s="622"/>
      <c r="AL20" s="622"/>
      <c r="AM20" s="622"/>
      <c r="AN20" s="622"/>
      <c r="AO20" s="991"/>
      <c r="AP20" s="861"/>
      <c r="AQ20" s="861"/>
      <c r="AR20" s="1085"/>
      <c r="AS20" s="1085"/>
      <c r="AT20" s="1085"/>
      <c r="AU20" s="1085"/>
      <c r="AV20" s="1085"/>
      <c r="AW20" s="1085"/>
      <c r="AX20" s="1085"/>
      <c r="AY20" s="1085"/>
      <c r="AZ20" s="1085"/>
      <c r="BA20" s="593"/>
      <c r="BB20" s="593"/>
      <c r="BC20" s="593"/>
      <c r="BD20" s="593"/>
      <c r="BE20" s="1085"/>
      <c r="BF20" s="1085"/>
      <c r="BG20" s="1085"/>
      <c r="BH20" s="1085"/>
      <c r="BI20" s="1085"/>
      <c r="BJ20" s="1085"/>
      <c r="BK20" s="1085"/>
      <c r="BL20" s="1085"/>
      <c r="BM20" s="1085"/>
      <c r="BN20" s="1085"/>
    </row>
    <row r="21" spans="1:66" ht="25.5" customHeight="1" thickBot="1">
      <c r="A21" s="1085"/>
      <c r="B21" s="1085"/>
      <c r="C21" s="1085"/>
      <c r="D21" s="1085"/>
      <c r="E21" s="1085"/>
      <c r="F21" s="1085"/>
      <c r="G21" s="1085"/>
      <c r="H21" s="1090"/>
      <c r="I21" s="1085"/>
      <c r="J21" s="1076"/>
      <c r="K21" s="1055"/>
      <c r="L21" s="1056"/>
      <c r="M21" s="1056"/>
      <c r="N21" s="1056" t="s">
        <v>44</v>
      </c>
      <c r="O21" s="1056"/>
      <c r="P21" s="1056"/>
      <c r="Q21" s="1056"/>
      <c r="R21" s="1057"/>
      <c r="S21" s="3306">
        <v>0</v>
      </c>
      <c r="T21" s="3287"/>
      <c r="U21" s="3287"/>
      <c r="V21" s="3287"/>
      <c r="W21" s="3287"/>
      <c r="X21" s="3287"/>
      <c r="Y21" s="3288"/>
      <c r="Z21" s="1058"/>
      <c r="AA21" s="622"/>
      <c r="AB21" s="622"/>
      <c r="AC21" s="622"/>
      <c r="AD21" s="622"/>
      <c r="AE21" s="622"/>
      <c r="AF21" s="622"/>
      <c r="AG21" s="622"/>
      <c r="AH21" s="622"/>
      <c r="AI21" s="622"/>
      <c r="AJ21" s="622"/>
      <c r="AK21" s="622"/>
      <c r="AL21" s="622"/>
      <c r="AM21" s="622"/>
      <c r="AN21" s="622"/>
      <c r="AO21" s="991"/>
      <c r="AP21" s="861"/>
      <c r="AQ21" s="861"/>
      <c r="AR21" s="1085"/>
      <c r="AS21" s="1085"/>
      <c r="AT21" s="1085"/>
      <c r="AU21" s="1085"/>
      <c r="AV21" s="1085"/>
      <c r="AW21" s="1085"/>
      <c r="AX21" s="1085"/>
      <c r="AY21" s="1085"/>
      <c r="AZ21" s="1085"/>
      <c r="BA21" s="593"/>
      <c r="BB21" s="593"/>
      <c r="BC21" s="593"/>
      <c r="BD21" s="593"/>
      <c r="BE21" s="1085"/>
      <c r="BF21" s="1085"/>
      <c r="BG21" s="1085"/>
      <c r="BH21" s="1085"/>
      <c r="BI21" s="1085"/>
      <c r="BJ21" s="1085"/>
      <c r="BK21" s="1085"/>
      <c r="BL21" s="1085"/>
      <c r="BM21" s="1085"/>
      <c r="BN21" s="1085"/>
    </row>
    <row r="22" spans="1:66" ht="25.5" customHeight="1" thickTop="1" thickBot="1">
      <c r="A22" s="1085"/>
      <c r="B22" s="1085"/>
      <c r="C22" s="1085"/>
      <c r="D22" s="1085"/>
      <c r="E22" s="1085"/>
      <c r="F22" s="1085"/>
      <c r="G22" s="1085"/>
      <c r="H22" s="1090"/>
      <c r="I22" s="1085"/>
      <c r="J22" s="1078"/>
      <c r="K22" s="1059"/>
      <c r="L22" s="1060"/>
      <c r="M22" s="1060"/>
      <c r="N22" s="1060" t="s">
        <v>42</v>
      </c>
      <c r="O22" s="1060"/>
      <c r="P22" s="1060"/>
      <c r="Q22" s="1060"/>
      <c r="R22" s="1061"/>
      <c r="S22" s="3281">
        <f>SUM(S20:Y21)</f>
        <v>0</v>
      </c>
      <c r="T22" s="3273"/>
      <c r="U22" s="3273"/>
      <c r="V22" s="3273"/>
      <c r="W22" s="3273"/>
      <c r="X22" s="3273"/>
      <c r="Y22" s="3277"/>
      <c r="Z22" s="1058"/>
      <c r="AA22" s="622"/>
      <c r="AB22" s="622"/>
      <c r="AC22" s="622"/>
      <c r="AD22" s="622"/>
      <c r="AE22" s="622"/>
      <c r="AF22" s="622"/>
      <c r="AG22" s="622"/>
      <c r="AH22" s="622"/>
      <c r="AI22" s="622"/>
      <c r="AJ22" s="622"/>
      <c r="AK22" s="622"/>
      <c r="AL22" s="622"/>
      <c r="AM22" s="622"/>
      <c r="AN22" s="622"/>
      <c r="AO22" s="991"/>
      <c r="AP22" s="861"/>
      <c r="AQ22" s="861"/>
      <c r="AR22" s="1085"/>
      <c r="AS22" s="1085"/>
      <c r="AT22" s="1085"/>
      <c r="AU22" s="1085"/>
      <c r="AV22" s="1085"/>
      <c r="AW22" s="1085"/>
      <c r="AX22" s="1085"/>
      <c r="AY22" s="1085"/>
      <c r="AZ22" s="1085"/>
      <c r="BA22" s="593"/>
      <c r="BB22" s="593"/>
      <c r="BC22" s="593"/>
      <c r="BD22" s="593"/>
      <c r="BE22" s="1085"/>
      <c r="BF22" s="1085"/>
      <c r="BG22" s="1085"/>
      <c r="BH22" s="1085"/>
      <c r="BI22" s="1085"/>
      <c r="BJ22" s="1085"/>
      <c r="BK22" s="1085"/>
      <c r="BL22" s="1085"/>
      <c r="BM22" s="1085"/>
      <c r="BN22" s="1085"/>
    </row>
    <row r="23" spans="1:66" s="44" customFormat="1" ht="11.25" customHeight="1" thickBot="1">
      <c r="A23" s="434"/>
      <c r="B23" s="434"/>
      <c r="C23" s="434"/>
      <c r="D23" s="434"/>
      <c r="E23" s="434"/>
      <c r="F23" s="434"/>
      <c r="G23" s="434"/>
      <c r="H23" s="646"/>
      <c r="I23" s="642"/>
      <c r="J23" s="642"/>
      <c r="K23" s="1000"/>
      <c r="L23" s="596"/>
      <c r="M23" s="596"/>
      <c r="N23" s="596"/>
      <c r="O23" s="596"/>
      <c r="P23" s="596"/>
      <c r="Q23" s="596"/>
      <c r="R23" s="596"/>
      <c r="S23" s="596"/>
      <c r="T23" s="596"/>
      <c r="U23" s="866"/>
      <c r="V23" s="866"/>
      <c r="W23" s="866"/>
      <c r="X23" s="866"/>
      <c r="Y23" s="866"/>
      <c r="Z23" s="596"/>
      <c r="AA23" s="866"/>
      <c r="AB23" s="866"/>
      <c r="AC23" s="866"/>
      <c r="AD23" s="866"/>
      <c r="AE23" s="866"/>
      <c r="AF23" s="866"/>
      <c r="AG23" s="596"/>
      <c r="AH23" s="596"/>
      <c r="AI23" s="596"/>
      <c r="AJ23" s="596"/>
      <c r="AK23" s="596"/>
      <c r="AL23" s="596"/>
      <c r="AM23" s="596"/>
      <c r="AN23" s="596"/>
      <c r="AO23" s="597"/>
      <c r="AP23" s="434"/>
      <c r="AQ23" s="434"/>
      <c r="AR23" s="434"/>
      <c r="AS23" s="434"/>
      <c r="AT23" s="434"/>
      <c r="AU23" s="434"/>
      <c r="AV23" s="434"/>
      <c r="AW23" s="434"/>
      <c r="AX23" s="434"/>
      <c r="AY23" s="434"/>
      <c r="AZ23" s="434"/>
      <c r="BA23" s="434"/>
      <c r="BB23" s="434"/>
      <c r="BC23" s="434"/>
      <c r="BD23" s="434"/>
      <c r="BE23" s="434"/>
      <c r="BF23" s="434"/>
      <c r="BG23" s="434"/>
      <c r="BH23" s="434"/>
      <c r="BI23" s="434"/>
      <c r="BJ23" s="434"/>
      <c r="BK23" s="434"/>
      <c r="BL23" s="434"/>
      <c r="BM23" s="434"/>
      <c r="BN23" s="434"/>
    </row>
    <row r="24" spans="1:66" s="164" customFormat="1" ht="24.95" customHeight="1">
      <c r="A24" s="260"/>
      <c r="B24" s="260"/>
      <c r="C24" s="260"/>
      <c r="D24" s="260"/>
      <c r="E24" s="260"/>
      <c r="F24" s="260"/>
      <c r="G24" s="260"/>
      <c r="H24" s="260"/>
      <c r="I24" s="260"/>
      <c r="J24" s="260"/>
      <c r="K24" s="260"/>
      <c r="L24" s="260"/>
      <c r="M24" s="260"/>
      <c r="N24" s="260"/>
      <c r="O24" s="260"/>
      <c r="P24" s="260"/>
      <c r="Q24" s="260"/>
      <c r="R24" s="260"/>
      <c r="S24" s="260"/>
      <c r="T24" s="260"/>
      <c r="U24" s="260"/>
      <c r="V24" s="260"/>
      <c r="W24" s="260"/>
      <c r="X24" s="260"/>
      <c r="Y24" s="260"/>
      <c r="Z24" s="227"/>
      <c r="AA24" s="260"/>
      <c r="AB24" s="227"/>
      <c r="AC24" s="260"/>
      <c r="AD24" s="227"/>
      <c r="AE24" s="227"/>
      <c r="AF24" s="227"/>
      <c r="AG24" s="260"/>
      <c r="AH24" s="227"/>
      <c r="AI24" s="260"/>
      <c r="AJ24" s="227"/>
      <c r="AK24" s="260"/>
      <c r="AL24" s="260"/>
      <c r="AM24" s="260"/>
      <c r="AN24" s="260"/>
      <c r="AO24" s="260"/>
      <c r="AP24" s="260"/>
      <c r="AQ24" s="260"/>
      <c r="AR24" s="260"/>
      <c r="AS24" s="260"/>
      <c r="AT24" s="260"/>
      <c r="AU24" s="260"/>
      <c r="AV24" s="260"/>
      <c r="AW24" s="260"/>
      <c r="AX24" s="260"/>
      <c r="AY24" s="260"/>
      <c r="AZ24" s="260"/>
      <c r="BA24" s="260"/>
      <c r="BB24" s="260"/>
      <c r="BC24" s="260"/>
      <c r="BD24" s="260"/>
      <c r="BE24" s="260"/>
      <c r="BF24" s="260"/>
      <c r="BG24" s="260"/>
      <c r="BH24" s="260"/>
      <c r="BI24" s="260"/>
      <c r="BJ24" s="260"/>
      <c r="BK24" s="260"/>
      <c r="BL24" s="260"/>
      <c r="BM24" s="260"/>
      <c r="BN24" s="260"/>
    </row>
    <row r="25" spans="1:66" s="44" customFormat="1">
      <c r="A25" s="434"/>
      <c r="B25" s="434"/>
      <c r="C25" s="434"/>
      <c r="D25" s="434"/>
      <c r="E25" s="434"/>
      <c r="F25" s="434"/>
      <c r="G25" s="434"/>
      <c r="H25" s="611" t="s">
        <v>11422</v>
      </c>
      <c r="I25" s="611"/>
      <c r="J25" s="611"/>
      <c r="K25" s="611"/>
      <c r="L25" s="611"/>
      <c r="M25" s="611"/>
      <c r="N25" s="611"/>
      <c r="O25" s="611"/>
      <c r="P25" s="611"/>
      <c r="Q25" s="611"/>
      <c r="R25" s="612"/>
      <c r="S25" s="612"/>
      <c r="T25" s="612"/>
      <c r="U25" s="612"/>
      <c r="V25" s="612"/>
      <c r="W25" s="612"/>
      <c r="X25" s="612"/>
      <c r="Y25" s="612"/>
      <c r="Z25" s="612"/>
      <c r="AA25" s="612"/>
      <c r="AB25" s="612"/>
      <c r="AC25" s="612"/>
      <c r="AD25" s="612"/>
      <c r="AE25" s="612"/>
      <c r="AF25" s="612"/>
      <c r="AG25" s="612"/>
      <c r="AH25" s="612"/>
      <c r="AI25" s="612"/>
      <c r="AJ25" s="612"/>
      <c r="AK25" s="612"/>
      <c r="AL25" s="612"/>
      <c r="AM25" s="612"/>
      <c r="AN25" s="612"/>
      <c r="AO25" s="612"/>
      <c r="AP25" s="612"/>
      <c r="AQ25" s="612"/>
      <c r="AR25" s="611"/>
      <c r="AS25" s="434"/>
      <c r="AT25" s="434"/>
      <c r="AU25" s="434"/>
      <c r="AV25" s="434"/>
      <c r="AW25" s="434"/>
      <c r="AX25" s="434"/>
      <c r="AY25" s="434"/>
      <c r="AZ25" s="434"/>
      <c r="BA25" s="434"/>
      <c r="BB25" s="434"/>
      <c r="BC25" s="434"/>
      <c r="BD25" s="434"/>
      <c r="BE25" s="434"/>
      <c r="BF25" s="434"/>
      <c r="BG25" s="434"/>
      <c r="BH25" s="434"/>
      <c r="BI25" s="434"/>
      <c r="BJ25" s="434"/>
      <c r="BK25" s="434"/>
      <c r="BL25" s="434"/>
      <c r="BM25" s="434"/>
      <c r="BN25" s="434"/>
    </row>
    <row r="26" spans="1:66" s="40" customFormat="1" ht="16.5" thickBot="1">
      <c r="A26" s="582"/>
      <c r="B26" s="582"/>
      <c r="C26" s="582"/>
      <c r="D26" s="582"/>
      <c r="E26" s="582"/>
      <c r="F26" s="582"/>
      <c r="G26" s="582"/>
      <c r="H26" s="583" t="s">
        <v>1017</v>
      </c>
      <c r="I26" s="582"/>
      <c r="J26" s="582"/>
      <c r="K26" s="582"/>
      <c r="L26" s="582"/>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2"/>
      <c r="BN26" s="582"/>
    </row>
    <row r="27" spans="1:66" s="44" customFormat="1" ht="5.25" customHeight="1">
      <c r="A27" s="434"/>
      <c r="B27" s="434"/>
      <c r="C27" s="434"/>
      <c r="D27" s="434"/>
      <c r="E27" s="434"/>
      <c r="F27" s="434"/>
      <c r="G27" s="434"/>
      <c r="H27" s="648"/>
      <c r="I27" s="984"/>
      <c r="J27" s="985"/>
      <c r="K27" s="985"/>
      <c r="L27" s="985"/>
      <c r="M27" s="985"/>
      <c r="N27" s="985"/>
      <c r="O27" s="985"/>
      <c r="P27" s="985"/>
      <c r="Q27" s="985"/>
      <c r="R27" s="985"/>
      <c r="S27" s="985"/>
      <c r="T27" s="685"/>
      <c r="U27" s="685"/>
      <c r="V27" s="685"/>
      <c r="W27" s="685"/>
      <c r="X27" s="685"/>
      <c r="Y27" s="685"/>
      <c r="Z27" s="586"/>
      <c r="AA27" s="986"/>
      <c r="AB27" s="986"/>
      <c r="AC27" s="986"/>
      <c r="AD27" s="986"/>
      <c r="AE27" s="986"/>
      <c r="AF27" s="986"/>
      <c r="AG27" s="986"/>
      <c r="AH27" s="986"/>
      <c r="AI27" s="685"/>
      <c r="AJ27" s="685"/>
      <c r="AK27" s="685"/>
      <c r="AL27" s="685"/>
      <c r="AM27" s="685"/>
      <c r="AN27" s="650"/>
      <c r="AO27" s="651"/>
      <c r="AP27" s="434"/>
      <c r="AQ27" s="434"/>
      <c r="AR27" s="434"/>
      <c r="AS27" s="434"/>
      <c r="AT27" s="434"/>
      <c r="AU27" s="434"/>
      <c r="AV27" s="434"/>
      <c r="AW27" s="593"/>
      <c r="AX27" s="593"/>
      <c r="AY27" s="593"/>
      <c r="AZ27" s="593"/>
      <c r="BA27" s="434"/>
      <c r="BB27" s="434"/>
      <c r="BC27" s="434"/>
      <c r="BD27" s="434"/>
      <c r="BE27" s="434"/>
      <c r="BF27" s="434"/>
      <c r="BG27" s="434"/>
      <c r="BH27" s="434"/>
      <c r="BI27" s="434"/>
      <c r="BJ27" s="434"/>
      <c r="BK27" s="434"/>
      <c r="BL27" s="434"/>
      <c r="BM27" s="434"/>
      <c r="BN27" s="434"/>
    </row>
    <row r="28" spans="1:66" s="44" customFormat="1" ht="24.95" customHeight="1">
      <c r="A28" s="434"/>
      <c r="B28" s="434"/>
      <c r="C28" s="434"/>
      <c r="D28" s="434"/>
      <c r="E28" s="434"/>
      <c r="F28" s="434"/>
      <c r="G28" s="434"/>
      <c r="H28" s="988"/>
      <c r="I28" s="1048" t="s">
        <v>47</v>
      </c>
      <c r="J28" s="989" t="s">
        <v>649</v>
      </c>
      <c r="K28" s="990"/>
      <c r="L28" s="990"/>
      <c r="M28" s="990"/>
      <c r="N28" s="990"/>
      <c r="O28" s="990"/>
      <c r="P28" s="990"/>
      <c r="Q28" s="990"/>
      <c r="R28" s="990"/>
      <c r="S28" s="990"/>
      <c r="T28" s="990"/>
      <c r="U28" s="861"/>
      <c r="V28" s="434"/>
      <c r="W28" s="434"/>
      <c r="X28" s="434"/>
      <c r="Y28" s="434"/>
      <c r="Z28" s="861"/>
      <c r="AA28" s="434"/>
      <c r="AB28" s="434"/>
      <c r="AC28" s="434"/>
      <c r="AD28" s="434"/>
      <c r="AE28" s="434"/>
      <c r="AF28" s="434"/>
      <c r="AG28" s="873" t="b">
        <v>1</v>
      </c>
      <c r="AH28" s="593" t="s">
        <v>484</v>
      </c>
      <c r="AI28" s="593"/>
      <c r="AJ28" s="434"/>
      <c r="AK28" s="434"/>
      <c r="AL28" s="873"/>
      <c r="AM28" s="593" t="s">
        <v>485</v>
      </c>
      <c r="AN28" s="434"/>
      <c r="AO28" s="997"/>
      <c r="AP28" s="434"/>
      <c r="AQ28" s="434"/>
      <c r="AR28" s="434"/>
      <c r="AS28" s="434"/>
      <c r="AT28" s="434"/>
      <c r="AU28" s="434"/>
      <c r="AV28" s="434"/>
      <c r="AW28" s="593"/>
      <c r="AX28" s="593"/>
      <c r="AY28" s="593"/>
      <c r="AZ28" s="593"/>
      <c r="BA28" s="434"/>
      <c r="BB28" s="434"/>
      <c r="BC28" s="434"/>
      <c r="BD28" s="434"/>
      <c r="BE28" s="434"/>
      <c r="BF28" s="434"/>
      <c r="BG28" s="434"/>
      <c r="BH28" s="434"/>
      <c r="BI28" s="434"/>
      <c r="BJ28" s="434"/>
      <c r="BK28" s="434"/>
      <c r="BL28" s="434"/>
      <c r="BM28" s="434"/>
      <c r="BN28" s="434"/>
    </row>
    <row r="29" spans="1:66" s="44" customFormat="1" ht="24.95" customHeight="1">
      <c r="A29" s="434"/>
      <c r="B29" s="434"/>
      <c r="C29" s="434"/>
      <c r="D29" s="434"/>
      <c r="E29" s="434"/>
      <c r="F29" s="434"/>
      <c r="G29" s="434"/>
      <c r="H29" s="988"/>
      <c r="I29" s="1048" t="s">
        <v>48</v>
      </c>
      <c r="J29" s="989" t="s">
        <v>986</v>
      </c>
      <c r="K29" s="990"/>
      <c r="L29" s="990"/>
      <c r="M29" s="990"/>
      <c r="N29" s="990"/>
      <c r="O29" s="990"/>
      <c r="P29" s="990"/>
      <c r="Q29" s="990"/>
      <c r="R29" s="990"/>
      <c r="S29" s="990"/>
      <c r="T29" s="990"/>
      <c r="U29" s="861"/>
      <c r="V29" s="434"/>
      <c r="W29" s="434"/>
      <c r="X29" s="434"/>
      <c r="Y29" s="434"/>
      <c r="Z29" s="861"/>
      <c r="AA29" s="434"/>
      <c r="AB29" s="434"/>
      <c r="AC29" s="434"/>
      <c r="AD29" s="1048"/>
      <c r="AE29" s="989"/>
      <c r="AF29" s="434"/>
      <c r="AG29" s="610" t="b">
        <v>1</v>
      </c>
      <c r="AH29" s="582" t="s">
        <v>484</v>
      </c>
      <c r="AI29" s="582"/>
      <c r="AJ29" s="591"/>
      <c r="AK29" s="591"/>
      <c r="AL29" s="610"/>
      <c r="AM29" s="582" t="s">
        <v>485</v>
      </c>
      <c r="AN29" s="434"/>
      <c r="AO29" s="997"/>
      <c r="AP29" s="434"/>
      <c r="AQ29" s="434"/>
      <c r="AR29" s="434"/>
      <c r="AS29" s="434"/>
      <c r="AT29" s="434"/>
      <c r="AU29" s="434"/>
      <c r="AV29" s="434"/>
      <c r="AW29" s="593"/>
      <c r="AX29" s="593"/>
      <c r="AY29" s="593"/>
      <c r="AZ29" s="593"/>
      <c r="BA29" s="434"/>
      <c r="BB29" s="434"/>
      <c r="BC29" s="434"/>
      <c r="BD29" s="434"/>
      <c r="BE29" s="434"/>
      <c r="BF29" s="434"/>
      <c r="BG29" s="434"/>
      <c r="BH29" s="434"/>
      <c r="BI29" s="434"/>
      <c r="BJ29" s="434"/>
      <c r="BK29" s="434"/>
      <c r="BL29" s="434"/>
      <c r="BM29" s="434"/>
      <c r="BN29" s="434"/>
    </row>
    <row r="30" spans="1:66" s="44" customFormat="1" ht="24.95" customHeight="1">
      <c r="A30" s="434"/>
      <c r="B30" s="434"/>
      <c r="C30" s="434"/>
      <c r="D30" s="434"/>
      <c r="E30" s="434"/>
      <c r="F30" s="434"/>
      <c r="G30" s="434"/>
      <c r="H30" s="988"/>
      <c r="I30" s="1048" t="s">
        <v>49</v>
      </c>
      <c r="J30" s="989" t="s">
        <v>650</v>
      </c>
      <c r="K30" s="990"/>
      <c r="L30" s="990"/>
      <c r="M30" s="990"/>
      <c r="N30" s="990"/>
      <c r="O30" s="990"/>
      <c r="P30" s="990"/>
      <c r="Q30" s="990"/>
      <c r="R30" s="990"/>
      <c r="S30" s="990"/>
      <c r="T30" s="990"/>
      <c r="U30" s="861"/>
      <c r="V30" s="434"/>
      <c r="W30" s="434"/>
      <c r="X30" s="434"/>
      <c r="Y30" s="434"/>
      <c r="Z30" s="434"/>
      <c r="AA30" s="434"/>
      <c r="AB30" s="434"/>
      <c r="AC30" s="434"/>
      <c r="AD30" s="434"/>
      <c r="AE30" s="434"/>
      <c r="AF30" s="434"/>
      <c r="AG30" s="873" t="b">
        <v>1</v>
      </c>
      <c r="AH30" s="593" t="s">
        <v>484</v>
      </c>
      <c r="AI30" s="593"/>
      <c r="AJ30" s="434"/>
      <c r="AK30" s="434"/>
      <c r="AL30" s="873"/>
      <c r="AM30" s="593" t="s">
        <v>485</v>
      </c>
      <c r="AN30" s="434"/>
      <c r="AO30" s="997"/>
      <c r="AP30" s="434"/>
      <c r="AQ30" s="434"/>
      <c r="AR30" s="434"/>
      <c r="AS30" s="434"/>
      <c r="AT30" s="434"/>
      <c r="AU30" s="434"/>
      <c r="AV30" s="434"/>
      <c r="AW30" s="593"/>
      <c r="AX30" s="593"/>
      <c r="AY30" s="593"/>
      <c r="AZ30" s="593"/>
      <c r="BA30" s="434"/>
      <c r="BB30" s="434"/>
      <c r="BC30" s="434"/>
      <c r="BD30" s="434"/>
      <c r="BE30" s="434"/>
      <c r="BF30" s="434"/>
      <c r="BG30" s="434"/>
      <c r="BH30" s="434"/>
      <c r="BI30" s="434"/>
      <c r="BJ30" s="434"/>
      <c r="BK30" s="434"/>
      <c r="BL30" s="434"/>
      <c r="BM30" s="434"/>
      <c r="BN30" s="434"/>
    </row>
    <row r="31" spans="1:66" s="44" customFormat="1" ht="24.95" customHeight="1">
      <c r="A31" s="434"/>
      <c r="B31" s="434"/>
      <c r="C31" s="434"/>
      <c r="D31" s="434"/>
      <c r="E31" s="434"/>
      <c r="F31" s="434"/>
      <c r="G31" s="434"/>
      <c r="H31" s="988"/>
      <c r="I31" s="1099"/>
      <c r="J31" s="1100" t="s">
        <v>651</v>
      </c>
      <c r="K31" s="1101" t="s">
        <v>652</v>
      </c>
      <c r="L31" s="990"/>
      <c r="M31" s="990"/>
      <c r="N31" s="990"/>
      <c r="O31" s="990"/>
      <c r="P31" s="990"/>
      <c r="Q31" s="990"/>
      <c r="R31" s="990"/>
      <c r="S31" s="990"/>
      <c r="T31" s="990"/>
      <c r="U31" s="434"/>
      <c r="V31" s="434"/>
      <c r="W31" s="434"/>
      <c r="X31" s="434"/>
      <c r="Y31" s="434"/>
      <c r="Z31" s="434"/>
      <c r="AA31" s="434"/>
      <c r="AB31" s="593"/>
      <c r="AC31" s="593"/>
      <c r="AD31" s="593"/>
      <c r="AE31" s="593"/>
      <c r="AF31" s="434"/>
      <c r="AG31" s="2617" t="s">
        <v>11902</v>
      </c>
      <c r="AH31" s="2617"/>
      <c r="AI31" s="2617"/>
      <c r="AJ31" s="2617"/>
      <c r="AK31" s="2617"/>
      <c r="AL31" s="2617"/>
      <c r="AM31" s="2617"/>
      <c r="AN31" s="434"/>
      <c r="AO31" s="997"/>
      <c r="AP31" s="434"/>
      <c r="AQ31" s="434"/>
      <c r="AR31" s="434"/>
      <c r="AS31" s="434"/>
      <c r="AT31" s="434"/>
      <c r="AU31" s="434"/>
      <c r="AV31" s="434"/>
      <c r="AW31" s="593"/>
      <c r="AX31" s="593"/>
      <c r="AY31" s="593"/>
      <c r="AZ31" s="593"/>
      <c r="BA31" s="434"/>
      <c r="BB31" s="434"/>
      <c r="BC31" s="434"/>
      <c r="BD31" s="434"/>
      <c r="BE31" s="434"/>
      <c r="BF31" s="434"/>
      <c r="BG31" s="434"/>
      <c r="BH31" s="434"/>
      <c r="BI31" s="434"/>
      <c r="BJ31" s="434"/>
      <c r="BK31" s="434"/>
      <c r="BL31" s="434"/>
      <c r="BM31" s="434"/>
      <c r="BN31" s="434"/>
    </row>
    <row r="32" spans="1:66" s="44" customFormat="1" ht="15" customHeight="1" thickBot="1">
      <c r="A32" s="434"/>
      <c r="B32" s="434"/>
      <c r="C32" s="434"/>
      <c r="D32" s="434"/>
      <c r="E32" s="434"/>
      <c r="F32" s="434"/>
      <c r="G32" s="434"/>
      <c r="H32" s="646"/>
      <c r="I32" s="642"/>
      <c r="J32" s="642"/>
      <c r="K32" s="1000"/>
      <c r="L32" s="596"/>
      <c r="M32" s="596"/>
      <c r="N32" s="596"/>
      <c r="O32" s="596"/>
      <c r="P32" s="596"/>
      <c r="Q32" s="596"/>
      <c r="R32" s="596"/>
      <c r="S32" s="596"/>
      <c r="T32" s="596"/>
      <c r="U32" s="866"/>
      <c r="V32" s="866"/>
      <c r="W32" s="866"/>
      <c r="X32" s="866"/>
      <c r="Y32" s="866"/>
      <c r="Z32" s="596"/>
      <c r="AA32" s="866"/>
      <c r="AB32" s="866"/>
      <c r="AC32" s="866"/>
      <c r="AD32" s="866"/>
      <c r="AE32" s="866"/>
      <c r="AF32" s="866"/>
      <c r="AG32" s="1741" t="str">
        <f>IF(AND(ok_sa_deped_fbpageyes=TRUE, ISBLANK(ok_sa_deped_fbpage_add)), "Please provide details.", IF(AND(ok_sa_deped_fbpageyes=FALSE,ok_sa_deped_fbpage_add&gt;0), "Please check Yes if you have entries.", ""))</f>
        <v/>
      </c>
      <c r="AH32" s="866"/>
      <c r="AI32" s="596"/>
      <c r="AJ32" s="596"/>
      <c r="AK32" s="596"/>
      <c r="AL32" s="596"/>
      <c r="AM32" s="596"/>
      <c r="AN32" s="659"/>
      <c r="AO32" s="660"/>
      <c r="AP32" s="434"/>
      <c r="AQ32" s="434"/>
      <c r="AR32" s="434"/>
      <c r="AS32" s="434"/>
      <c r="AT32" s="434"/>
      <c r="AU32" s="434"/>
      <c r="AV32" s="434"/>
      <c r="AW32" s="434"/>
      <c r="AX32" s="434"/>
      <c r="AY32" s="434"/>
      <c r="AZ32" s="434"/>
      <c r="BA32" s="434"/>
      <c r="BB32" s="434"/>
      <c r="BC32" s="434"/>
      <c r="BD32" s="434"/>
      <c r="BE32" s="434"/>
      <c r="BF32" s="434"/>
      <c r="BG32" s="434"/>
      <c r="BH32" s="434"/>
      <c r="BI32" s="434"/>
      <c r="BJ32" s="434"/>
      <c r="BK32" s="434"/>
      <c r="BL32" s="434"/>
      <c r="BM32" s="434"/>
      <c r="BN32" s="434"/>
    </row>
    <row r="33" spans="1:66" s="164" customFormat="1" ht="30.75" customHeight="1">
      <c r="A33" s="260"/>
      <c r="B33" s="260"/>
      <c r="C33" s="260"/>
      <c r="D33" s="260"/>
      <c r="E33" s="260"/>
      <c r="F33" s="260"/>
      <c r="G33" s="260"/>
      <c r="H33" s="260"/>
      <c r="I33" s="260"/>
      <c r="J33" s="260"/>
      <c r="K33" s="260"/>
      <c r="L33" s="260"/>
      <c r="M33" s="260"/>
      <c r="N33" s="260"/>
      <c r="O33" s="260"/>
      <c r="P33" s="260"/>
      <c r="Q33" s="260"/>
      <c r="R33" s="260"/>
      <c r="S33" s="260"/>
      <c r="T33" s="260"/>
      <c r="U33" s="260"/>
      <c r="V33" s="260"/>
      <c r="W33" s="260"/>
      <c r="X33" s="260"/>
      <c r="Y33" s="260"/>
      <c r="Z33" s="260"/>
      <c r="AA33" s="260"/>
      <c r="AB33" s="260"/>
      <c r="AC33" s="260"/>
      <c r="AD33" s="260"/>
      <c r="AE33" s="260"/>
      <c r="AF33" s="260"/>
      <c r="AG33" s="260"/>
      <c r="AH33" s="227"/>
      <c r="AI33" s="260"/>
      <c r="AJ33" s="227"/>
      <c r="AK33" s="260"/>
      <c r="AL33" s="227"/>
      <c r="AM33" s="260"/>
      <c r="AN33" s="260"/>
      <c r="AO33" s="260"/>
      <c r="AP33" s="260"/>
      <c r="AQ33" s="260"/>
      <c r="AR33" s="260"/>
      <c r="AS33" s="260"/>
      <c r="AT33" s="260"/>
      <c r="AU33" s="260"/>
      <c r="AV33" s="260"/>
      <c r="AW33" s="260"/>
      <c r="AX33" s="260"/>
      <c r="AY33" s="260"/>
      <c r="AZ33" s="260"/>
      <c r="BA33" s="260"/>
      <c r="BB33" s="260"/>
      <c r="BC33" s="260"/>
      <c r="BD33" s="260"/>
      <c r="BE33" s="260"/>
      <c r="BF33" s="260"/>
      <c r="BG33" s="260"/>
      <c r="BH33" s="260"/>
      <c r="BI33" s="260"/>
      <c r="BJ33" s="260"/>
      <c r="BK33" s="260"/>
      <c r="BL33" s="260"/>
      <c r="BM33" s="260"/>
      <c r="BN33" s="260"/>
    </row>
    <row r="34" spans="1:66" s="37" customFormat="1" ht="15">
      <c r="A34" s="263"/>
      <c r="B34" s="332" t="s">
        <v>32</v>
      </c>
      <c r="C34" s="263"/>
      <c r="D34" s="263"/>
      <c r="E34" s="263"/>
      <c r="F34" s="263"/>
      <c r="G34" s="263"/>
      <c r="H34" s="263"/>
      <c r="I34" s="263"/>
      <c r="J34" s="263"/>
      <c r="K34" s="263"/>
      <c r="L34" s="263"/>
      <c r="M34" s="263"/>
      <c r="N34" s="263"/>
      <c r="O34" s="263"/>
      <c r="P34" s="263"/>
      <c r="Q34" s="332" t="s">
        <v>577</v>
      </c>
      <c r="R34" s="263"/>
      <c r="S34" s="263"/>
      <c r="T34" s="263"/>
      <c r="U34" s="263"/>
      <c r="V34" s="263"/>
      <c r="W34" s="263"/>
      <c r="X34" s="263"/>
      <c r="Y34" s="263"/>
      <c r="Z34" s="263"/>
      <c r="AA34" s="263"/>
      <c r="AB34" s="263"/>
      <c r="AC34" s="263"/>
      <c r="AD34" s="263"/>
      <c r="AE34" s="263"/>
      <c r="AF34" s="263"/>
      <c r="AG34" s="263"/>
      <c r="AH34" s="263"/>
      <c r="AI34" s="332" t="s">
        <v>33</v>
      </c>
      <c r="AJ34" s="263"/>
      <c r="AK34" s="263"/>
      <c r="AL34" s="263"/>
      <c r="AM34" s="263"/>
      <c r="AN34" s="263"/>
      <c r="AO34" s="263"/>
      <c r="AP34" s="263"/>
      <c r="AQ34" s="263"/>
      <c r="AR34" s="263"/>
      <c r="AS34" s="263"/>
      <c r="AT34" s="263"/>
      <c r="AU34" s="263"/>
      <c r="AV34" s="263"/>
      <c r="AW34" s="263"/>
      <c r="AX34" s="263"/>
      <c r="AY34" s="263"/>
      <c r="AZ34" s="263"/>
      <c r="BA34" s="263"/>
      <c r="BB34" s="263"/>
      <c r="BC34" s="263"/>
      <c r="BD34" s="263"/>
      <c r="BE34" s="263"/>
      <c r="BF34" s="263"/>
      <c r="BG34" s="263"/>
      <c r="BH34" s="263"/>
      <c r="BI34" s="263"/>
      <c r="BJ34" s="263"/>
      <c r="BK34" s="263"/>
      <c r="BL34" s="263"/>
      <c r="BM34" s="263"/>
      <c r="BN34" s="263"/>
    </row>
    <row r="35" spans="1:66" s="37" customFormat="1" ht="21.75" customHeight="1">
      <c r="A35" s="263"/>
      <c r="B35" s="332" t="s">
        <v>75</v>
      </c>
      <c r="C35" s="263"/>
      <c r="D35" s="263"/>
      <c r="E35" s="263"/>
      <c r="F35" s="2790" t="str">
        <f>activesheet!E21</f>
        <v>MELCHESIEDICK Q. BOLANIO / March 17, 2023</v>
      </c>
      <c r="G35" s="2790"/>
      <c r="H35" s="2790"/>
      <c r="I35" s="2790"/>
      <c r="J35" s="2790"/>
      <c r="K35" s="2790"/>
      <c r="L35" s="2790"/>
      <c r="M35" s="2790"/>
      <c r="N35" s="2790"/>
      <c r="O35" s="263"/>
      <c r="P35" s="263"/>
      <c r="Q35" s="2790" t="str">
        <f>activesheet!E2417</f>
        <v>RACQUEL N. ACOMPANADO / March 17, 2023</v>
      </c>
      <c r="R35" s="2790"/>
      <c r="S35" s="2790"/>
      <c r="T35" s="2790"/>
      <c r="U35" s="2790"/>
      <c r="V35" s="2790"/>
      <c r="W35" s="2790"/>
      <c r="X35" s="2790"/>
      <c r="Y35" s="2790"/>
      <c r="Z35" s="2790"/>
      <c r="AA35" s="2790"/>
      <c r="AB35" s="2790"/>
      <c r="AC35" s="2790"/>
      <c r="AD35" s="2790"/>
      <c r="AE35" s="2790"/>
      <c r="AF35" s="2790"/>
      <c r="AG35" s="263"/>
      <c r="AH35" s="263"/>
      <c r="AI35" s="1819" t="str">
        <f>activesheet!E25</f>
        <v>MICHAEL T. JAMIS / March 17, 2023</v>
      </c>
      <c r="AJ35" s="1819"/>
      <c r="AK35" s="1819"/>
      <c r="AL35" s="1819"/>
      <c r="AM35" s="1819"/>
      <c r="AN35" s="1819"/>
      <c r="AO35" s="1819"/>
      <c r="AP35" s="1819"/>
      <c r="AQ35" s="1819"/>
      <c r="AR35" s="1819"/>
      <c r="AS35" s="1819"/>
      <c r="AT35" s="1819"/>
      <c r="AU35" s="1819"/>
      <c r="AV35" s="263"/>
      <c r="AW35" s="263"/>
      <c r="AX35" s="263"/>
      <c r="AY35" s="263"/>
      <c r="AZ35" s="263"/>
      <c r="BA35" s="263"/>
      <c r="BB35" s="263"/>
      <c r="BC35" s="263"/>
      <c r="BD35" s="263"/>
      <c r="BE35" s="263"/>
      <c r="BF35" s="263"/>
      <c r="BG35" s="263"/>
      <c r="BH35" s="263"/>
      <c r="BI35" s="263"/>
      <c r="BJ35" s="263"/>
      <c r="BK35" s="263"/>
      <c r="BL35" s="263"/>
      <c r="BM35" s="263"/>
      <c r="BN35" s="263"/>
    </row>
    <row r="36" spans="1:66" s="39" customFormat="1" ht="15" customHeight="1">
      <c r="A36" s="280"/>
      <c r="B36" s="228"/>
      <c r="C36" s="280"/>
      <c r="D36" s="280"/>
      <c r="E36" s="280"/>
      <c r="F36" s="1811" t="s">
        <v>37</v>
      </c>
      <c r="G36" s="1811"/>
      <c r="H36" s="1811"/>
      <c r="I36" s="1811"/>
      <c r="J36" s="1811"/>
      <c r="K36" s="1811"/>
      <c r="L36" s="1811"/>
      <c r="M36" s="1811"/>
      <c r="N36" s="1811"/>
      <c r="O36" s="281"/>
      <c r="P36" s="281"/>
      <c r="Q36" s="1811" t="s">
        <v>37</v>
      </c>
      <c r="R36" s="1811"/>
      <c r="S36" s="1811"/>
      <c r="T36" s="1811"/>
      <c r="U36" s="1811"/>
      <c r="V36" s="1811"/>
      <c r="W36" s="1811"/>
      <c r="X36" s="1811"/>
      <c r="Y36" s="1811"/>
      <c r="Z36" s="1811"/>
      <c r="AA36" s="1811"/>
      <c r="AB36" s="1811"/>
      <c r="AC36" s="1811"/>
      <c r="AD36" s="1811"/>
      <c r="AE36" s="1811"/>
      <c r="AF36" s="1811"/>
      <c r="AG36" s="280"/>
      <c r="AH36" s="280"/>
      <c r="AI36" s="1820"/>
      <c r="AJ36" s="1820"/>
      <c r="AK36" s="1820"/>
      <c r="AL36" s="1820"/>
      <c r="AM36" s="1820"/>
      <c r="AN36" s="1820"/>
      <c r="AO36" s="1820"/>
      <c r="AP36" s="1820"/>
      <c r="AQ36" s="1820"/>
      <c r="AR36" s="1820"/>
      <c r="AS36" s="1820"/>
      <c r="AT36" s="1820"/>
      <c r="AU36" s="1820"/>
      <c r="AV36" s="280"/>
      <c r="AW36" s="280"/>
      <c r="AX36" s="280"/>
      <c r="AY36" s="280"/>
      <c r="AZ36" s="280"/>
      <c r="BA36" s="280"/>
      <c r="BB36" s="280"/>
      <c r="BC36" s="280"/>
      <c r="BD36" s="280"/>
      <c r="BE36" s="280"/>
      <c r="BF36" s="280"/>
      <c r="BG36" s="280"/>
      <c r="BH36" s="280"/>
      <c r="BI36" s="280"/>
      <c r="BJ36" s="280"/>
      <c r="BK36" s="280"/>
      <c r="BL36" s="280"/>
      <c r="BM36" s="280"/>
      <c r="BN36" s="280"/>
    </row>
    <row r="37" spans="1:66" s="37" customFormat="1" ht="21.75" customHeight="1">
      <c r="A37" s="263"/>
      <c r="B37" s="332" t="s">
        <v>58</v>
      </c>
      <c r="C37" s="263"/>
      <c r="D37" s="263"/>
      <c r="E37" s="263"/>
      <c r="F37" s="2790" t="str">
        <f>activesheet!E22</f>
        <v>SECONDARY SCHOOL PRINCIPAL IV</v>
      </c>
      <c r="G37" s="2790"/>
      <c r="H37" s="2790"/>
      <c r="I37" s="2790"/>
      <c r="J37" s="2790"/>
      <c r="K37" s="2790"/>
      <c r="L37" s="2790"/>
      <c r="M37" s="2790"/>
      <c r="N37" s="2790"/>
      <c r="O37" s="263"/>
      <c r="P37" s="263"/>
      <c r="Q37" s="332" t="s">
        <v>58</v>
      </c>
      <c r="R37" s="263"/>
      <c r="S37" s="263"/>
      <c r="T37" s="263"/>
      <c r="U37" s="2790" t="str">
        <f>activesheet!E2418</f>
        <v>NURSE II</v>
      </c>
      <c r="V37" s="2790"/>
      <c r="W37" s="2790"/>
      <c r="X37" s="2790"/>
      <c r="Y37" s="2790"/>
      <c r="Z37" s="2790"/>
      <c r="AA37" s="2790"/>
      <c r="AB37" s="2790"/>
      <c r="AC37" s="2790"/>
      <c r="AD37" s="2790"/>
      <c r="AE37" s="2790"/>
      <c r="AF37" s="2790"/>
      <c r="AG37" s="263"/>
      <c r="AH37" s="263"/>
      <c r="AI37" s="1811" t="s">
        <v>37</v>
      </c>
      <c r="AJ37" s="1811"/>
      <c r="AK37" s="1811"/>
      <c r="AL37" s="1811"/>
      <c r="AM37" s="1811"/>
      <c r="AN37" s="1811"/>
      <c r="AO37" s="1811"/>
      <c r="AP37" s="1811"/>
      <c r="AQ37" s="1811"/>
      <c r="AR37" s="1811"/>
      <c r="AS37" s="1811"/>
      <c r="AT37" s="1811"/>
      <c r="AU37" s="1811"/>
      <c r="AV37" s="263"/>
      <c r="AW37" s="263"/>
      <c r="AX37" s="263"/>
      <c r="AY37" s="263"/>
      <c r="AZ37" s="263"/>
      <c r="BA37" s="263"/>
      <c r="BB37" s="263"/>
      <c r="BC37" s="263"/>
      <c r="BD37" s="263"/>
      <c r="BE37" s="263"/>
      <c r="BF37" s="263"/>
      <c r="BG37" s="263"/>
      <c r="BH37" s="263"/>
      <c r="BI37" s="263"/>
      <c r="BJ37" s="263"/>
      <c r="BK37" s="263"/>
      <c r="BL37" s="263"/>
      <c r="BM37" s="263"/>
      <c r="BN37" s="263"/>
    </row>
    <row r="38" spans="1:66">
      <c r="A38" s="1085"/>
      <c r="B38" s="1085"/>
      <c r="C38" s="1085"/>
      <c r="D38" s="1085"/>
      <c r="E38" s="1085"/>
      <c r="F38" s="1085"/>
      <c r="G38" s="1085"/>
      <c r="H38" s="1085"/>
      <c r="I38" s="1085"/>
      <c r="J38" s="1085"/>
      <c r="K38" s="1085"/>
      <c r="L38" s="1085"/>
      <c r="M38" s="1085"/>
      <c r="N38" s="1085"/>
      <c r="O38" s="1085"/>
      <c r="P38" s="1085"/>
      <c r="Q38" s="1085"/>
      <c r="R38" s="1085"/>
      <c r="S38" s="1085"/>
      <c r="T38" s="1085"/>
      <c r="U38" s="1085"/>
      <c r="V38" s="1085"/>
      <c r="W38" s="1085"/>
      <c r="X38" s="1085"/>
      <c r="Y38" s="1085"/>
      <c r="Z38" s="1085"/>
      <c r="AA38" s="1085"/>
      <c r="AB38" s="1085"/>
      <c r="AC38" s="1085"/>
      <c r="AD38" s="1085"/>
      <c r="AE38" s="1085"/>
      <c r="AF38" s="1085"/>
      <c r="AG38" s="1085"/>
      <c r="AH38" s="1085"/>
      <c r="AI38" s="1085"/>
      <c r="AJ38" s="1085"/>
      <c r="AK38" s="1085"/>
      <c r="AL38" s="1085"/>
      <c r="AM38" s="1085"/>
      <c r="AN38" s="1085"/>
      <c r="AO38" s="1085"/>
      <c r="AP38" s="1085"/>
      <c r="AQ38" s="1085"/>
      <c r="AR38" s="1085"/>
      <c r="AS38" s="1085"/>
      <c r="AT38" s="1085"/>
      <c r="AU38" s="1085"/>
      <c r="AV38" s="1085"/>
      <c r="AW38" s="1085"/>
      <c r="AX38" s="1085"/>
      <c r="AY38" s="1085"/>
      <c r="AZ38" s="1085"/>
      <c r="BA38" s="1085"/>
      <c r="BB38" s="1085"/>
      <c r="BC38" s="1085"/>
      <c r="BD38" s="1085"/>
      <c r="BE38" s="1085"/>
      <c r="BF38" s="1085"/>
      <c r="BG38" s="1085"/>
      <c r="BH38" s="1085"/>
      <c r="BI38" s="1085"/>
      <c r="BJ38" s="1085"/>
      <c r="BK38" s="1085"/>
      <c r="BL38" s="1085"/>
      <c r="BM38" s="1085"/>
      <c r="BN38" s="1085"/>
    </row>
    <row r="39" spans="1:66">
      <c r="A39" s="1085"/>
      <c r="B39" s="1085"/>
      <c r="C39" s="1085"/>
      <c r="D39" s="1085"/>
      <c r="E39" s="1085"/>
      <c r="F39" s="1085"/>
      <c r="G39" s="1085"/>
      <c r="H39" s="1085"/>
      <c r="I39" s="1085"/>
      <c r="J39" s="1085"/>
      <c r="K39" s="1085"/>
      <c r="L39" s="1085"/>
      <c r="M39" s="1085"/>
      <c r="N39" s="1085"/>
      <c r="O39" s="1085"/>
      <c r="P39" s="1085"/>
      <c r="Q39" s="1085"/>
      <c r="R39" s="1085"/>
      <c r="S39" s="1085"/>
      <c r="T39" s="1085"/>
      <c r="U39" s="1085"/>
      <c r="V39" s="1085"/>
      <c r="W39" s="1085"/>
      <c r="X39" s="1085"/>
      <c r="Y39" s="1085"/>
      <c r="Z39" s="1085"/>
      <c r="AA39" s="1085"/>
      <c r="AB39" s="1085"/>
      <c r="AC39" s="1085"/>
      <c r="AD39" s="1085"/>
      <c r="AE39" s="1085"/>
      <c r="AF39" s="1085"/>
      <c r="AG39" s="1085"/>
      <c r="AH39" s="1085"/>
      <c r="AI39" s="1085"/>
      <c r="AJ39" s="1085"/>
      <c r="AK39" s="1085"/>
      <c r="AL39" s="1085"/>
      <c r="AM39" s="1085"/>
      <c r="AN39" s="1085"/>
      <c r="AO39" s="1085"/>
      <c r="AP39" s="1085"/>
      <c r="AQ39" s="1085"/>
      <c r="AR39" s="1085"/>
      <c r="AS39" s="1085"/>
      <c r="AT39" s="1085"/>
      <c r="AU39" s="1085"/>
      <c r="AV39" s="1085"/>
      <c r="AW39" s="1085"/>
      <c r="AX39" s="1085"/>
      <c r="AY39" s="1085"/>
      <c r="AZ39" s="1085"/>
      <c r="BA39" s="1085"/>
      <c r="BB39" s="1085"/>
      <c r="BC39" s="1085"/>
      <c r="BD39" s="1085"/>
      <c r="BE39" s="1085"/>
      <c r="BF39" s="1085"/>
      <c r="BG39" s="1085"/>
      <c r="BH39" s="1085"/>
      <c r="BI39" s="1085"/>
      <c r="BJ39" s="1085"/>
      <c r="BK39" s="1085"/>
      <c r="BL39" s="1085"/>
      <c r="BM39" s="1085"/>
      <c r="BN39" s="1085"/>
    </row>
    <row r="40" spans="1:66">
      <c r="A40" s="1085"/>
      <c r="B40" s="1085"/>
      <c r="C40" s="1085"/>
      <c r="D40" s="1085"/>
      <c r="E40" s="1085"/>
      <c r="F40" s="1085"/>
      <c r="G40" s="1085"/>
      <c r="H40" s="1085"/>
      <c r="I40" s="1085"/>
      <c r="J40" s="1085"/>
      <c r="K40" s="1085"/>
      <c r="L40" s="1085"/>
      <c r="M40" s="1085"/>
      <c r="N40" s="1085"/>
      <c r="O40" s="1085"/>
      <c r="P40" s="1085"/>
      <c r="Q40" s="1085"/>
      <c r="R40" s="1085"/>
      <c r="S40" s="1085"/>
      <c r="T40" s="1085"/>
      <c r="U40" s="1085"/>
      <c r="V40" s="1085"/>
      <c r="W40" s="1085"/>
      <c r="X40" s="1085"/>
      <c r="Y40" s="1085"/>
      <c r="Z40" s="1085"/>
      <c r="AA40" s="1085"/>
      <c r="AB40" s="1085"/>
      <c r="AC40" s="1085"/>
      <c r="AD40" s="1085"/>
      <c r="AE40" s="1085"/>
      <c r="AF40" s="1085"/>
      <c r="AG40" s="1085"/>
      <c r="AH40" s="1085"/>
      <c r="AI40" s="1085"/>
      <c r="AJ40" s="1085"/>
      <c r="AK40" s="1085"/>
      <c r="AL40" s="1085"/>
      <c r="AM40" s="1085"/>
      <c r="AN40" s="1085"/>
      <c r="AO40" s="1085"/>
      <c r="AP40" s="1085"/>
      <c r="AQ40" s="1085"/>
      <c r="AR40" s="1085"/>
      <c r="AS40" s="1085"/>
      <c r="AT40" s="1085"/>
      <c r="AU40" s="1085"/>
      <c r="AV40" s="1085"/>
      <c r="AW40" s="1085"/>
      <c r="AX40" s="1085"/>
      <c r="AY40" s="1085"/>
      <c r="AZ40" s="1085"/>
      <c r="BA40" s="1085"/>
      <c r="BB40" s="1085"/>
      <c r="BC40" s="1085"/>
      <c r="BD40" s="1085"/>
      <c r="BE40" s="1085"/>
      <c r="BF40" s="1085"/>
      <c r="BG40" s="1085"/>
      <c r="BH40" s="1085"/>
      <c r="BI40" s="1085"/>
      <c r="BJ40" s="1085"/>
      <c r="BK40" s="1085"/>
      <c r="BL40" s="1085"/>
      <c r="BM40" s="1085"/>
      <c r="BN40" s="1085"/>
    </row>
    <row r="41" spans="1:66">
      <c r="A41" s="1085"/>
      <c r="B41" s="1085"/>
      <c r="C41" s="1085"/>
      <c r="D41" s="1085"/>
      <c r="E41" s="1085"/>
      <c r="F41" s="1085"/>
      <c r="G41" s="1085"/>
      <c r="H41" s="1085"/>
      <c r="I41" s="1085"/>
      <c r="J41" s="1085"/>
      <c r="K41" s="1085"/>
      <c r="L41" s="1085"/>
      <c r="M41" s="1085"/>
      <c r="N41" s="1085"/>
      <c r="O41" s="1085"/>
      <c r="P41" s="1085"/>
      <c r="Q41" s="1085"/>
      <c r="R41" s="1085"/>
      <c r="S41" s="1085"/>
      <c r="T41" s="1085"/>
      <c r="U41" s="1085"/>
      <c r="V41" s="1085"/>
      <c r="W41" s="1085"/>
      <c r="X41" s="1085"/>
      <c r="Y41" s="1085"/>
      <c r="Z41" s="1085"/>
      <c r="AA41" s="1085"/>
      <c r="AB41" s="1085"/>
      <c r="AC41" s="1085"/>
      <c r="AD41" s="1085"/>
      <c r="AE41" s="1085"/>
      <c r="AF41" s="1085"/>
      <c r="AG41" s="1085"/>
      <c r="AH41" s="1085"/>
      <c r="AI41" s="1085"/>
      <c r="AJ41" s="1085"/>
      <c r="AK41" s="1085"/>
      <c r="AL41" s="1085"/>
      <c r="AM41" s="1085"/>
      <c r="AN41" s="1085"/>
      <c r="AO41" s="1085"/>
      <c r="AP41" s="1085"/>
      <c r="AQ41" s="1085"/>
      <c r="AR41" s="1085"/>
      <c r="AS41" s="1085"/>
      <c r="AT41" s="1085"/>
      <c r="AU41" s="1085"/>
      <c r="AV41" s="1085"/>
      <c r="AW41" s="1085"/>
      <c r="AX41" s="1085"/>
      <c r="AY41" s="1085"/>
      <c r="AZ41" s="1085"/>
      <c r="BA41" s="1085"/>
      <c r="BB41" s="1085"/>
      <c r="BC41" s="1085"/>
      <c r="BD41" s="1085"/>
      <c r="BE41" s="1085"/>
      <c r="BF41" s="1085"/>
      <c r="BG41" s="1085"/>
      <c r="BH41" s="1085"/>
      <c r="BI41" s="1085"/>
      <c r="BJ41" s="1085"/>
      <c r="BK41" s="1085"/>
      <c r="BL41" s="1085"/>
      <c r="BM41" s="1085"/>
      <c r="BN41" s="1085"/>
    </row>
    <row r="42" spans="1:66">
      <c r="A42" s="1085"/>
      <c r="B42" s="1085"/>
      <c r="C42" s="1085"/>
      <c r="D42" s="1085"/>
      <c r="E42" s="1085"/>
      <c r="F42" s="1085"/>
      <c r="G42" s="1085"/>
      <c r="H42" s="1085"/>
      <c r="I42" s="1085"/>
      <c r="J42" s="1085"/>
      <c r="K42" s="1085"/>
      <c r="L42" s="1085"/>
      <c r="M42" s="1085"/>
      <c r="N42" s="1085"/>
      <c r="O42" s="1085"/>
      <c r="P42" s="1085"/>
      <c r="Q42" s="1085"/>
      <c r="R42" s="1085"/>
      <c r="S42" s="1085"/>
      <c r="T42" s="1085"/>
      <c r="U42" s="1085"/>
      <c r="V42" s="1085"/>
      <c r="W42" s="1085"/>
      <c r="X42" s="1085"/>
      <c r="Y42" s="1085"/>
      <c r="Z42" s="1085"/>
      <c r="AA42" s="1085"/>
      <c r="AB42" s="1085"/>
      <c r="AC42" s="1085"/>
      <c r="AD42" s="1085"/>
      <c r="AE42" s="1085"/>
      <c r="AF42" s="1085"/>
      <c r="AG42" s="1085"/>
      <c r="AH42" s="1085"/>
      <c r="AI42" s="1085"/>
      <c r="AJ42" s="1085"/>
      <c r="AK42" s="1085"/>
      <c r="AL42" s="1085"/>
      <c r="AM42" s="1085"/>
      <c r="AN42" s="1085"/>
      <c r="AO42" s="1085"/>
      <c r="AP42" s="1085"/>
      <c r="AQ42" s="1085"/>
      <c r="AR42" s="1085"/>
      <c r="AS42" s="1085"/>
      <c r="AT42" s="1085"/>
      <c r="AU42" s="1085"/>
      <c r="AV42" s="1085"/>
      <c r="AW42" s="1085"/>
      <c r="AX42" s="1085"/>
      <c r="AY42" s="1085"/>
      <c r="AZ42" s="1085"/>
      <c r="BA42" s="1085"/>
      <c r="BB42" s="1085"/>
      <c r="BC42" s="1085"/>
      <c r="BD42" s="1085"/>
      <c r="BE42" s="1085"/>
      <c r="BF42" s="1085"/>
      <c r="BG42" s="1085"/>
      <c r="BH42" s="1085"/>
      <c r="BI42" s="1085"/>
      <c r="BJ42" s="1085"/>
      <c r="BK42" s="1085"/>
      <c r="BL42" s="1085"/>
      <c r="BM42" s="1085"/>
      <c r="BN42" s="1085"/>
    </row>
    <row r="43" spans="1:66">
      <c r="A43" s="1085"/>
      <c r="B43" s="1085"/>
      <c r="C43" s="1085"/>
      <c r="D43" s="1085"/>
      <c r="E43" s="1085"/>
      <c r="F43" s="1085"/>
      <c r="G43" s="1085"/>
      <c r="H43" s="1085"/>
      <c r="I43" s="1085"/>
      <c r="J43" s="1085"/>
      <c r="K43" s="1085"/>
      <c r="L43" s="1085"/>
      <c r="M43" s="1085"/>
      <c r="N43" s="1085"/>
      <c r="O43" s="1085"/>
      <c r="P43" s="1085"/>
      <c r="Q43" s="1085"/>
      <c r="R43" s="1085"/>
      <c r="S43" s="1085"/>
      <c r="T43" s="1085"/>
      <c r="U43" s="1085"/>
      <c r="V43" s="1085"/>
      <c r="W43" s="1085"/>
      <c r="X43" s="1085"/>
      <c r="Y43" s="1085"/>
      <c r="Z43" s="1085"/>
      <c r="AA43" s="1085"/>
      <c r="AB43" s="1085"/>
      <c r="AC43" s="1085"/>
      <c r="AD43" s="1085"/>
      <c r="AE43" s="1085"/>
      <c r="AF43" s="1085"/>
      <c r="AG43" s="1085"/>
      <c r="AH43" s="1085"/>
      <c r="AI43" s="1085"/>
      <c r="AJ43" s="1085"/>
      <c r="AK43" s="1085"/>
      <c r="AL43" s="1085"/>
      <c r="AM43" s="1085"/>
      <c r="AN43" s="1085"/>
      <c r="AO43" s="1085"/>
      <c r="AP43" s="1085"/>
      <c r="AQ43" s="1085"/>
      <c r="AR43" s="1085"/>
      <c r="AS43" s="1085"/>
      <c r="AT43" s="1085"/>
      <c r="AU43" s="1085"/>
      <c r="AV43" s="1085"/>
      <c r="AW43" s="1085"/>
      <c r="AX43" s="1085"/>
      <c r="AY43" s="1085"/>
      <c r="AZ43" s="1085"/>
      <c r="BA43" s="1085"/>
      <c r="BB43" s="1085"/>
      <c r="BC43" s="1085"/>
      <c r="BD43" s="1085"/>
      <c r="BE43" s="1085"/>
      <c r="BF43" s="1085"/>
      <c r="BG43" s="1085"/>
      <c r="BH43" s="1085"/>
      <c r="BI43" s="1085"/>
      <c r="BJ43" s="1085"/>
      <c r="BK43" s="1085"/>
      <c r="BL43" s="1085"/>
      <c r="BM43" s="1085"/>
      <c r="BN43" s="1085"/>
    </row>
    <row r="44" spans="1:66">
      <c r="A44" s="1085"/>
      <c r="B44" s="1085"/>
      <c r="C44" s="1085"/>
      <c r="D44" s="1085"/>
      <c r="E44" s="1085"/>
      <c r="F44" s="1085"/>
      <c r="G44" s="1085"/>
      <c r="H44" s="1085"/>
      <c r="I44" s="1085"/>
      <c r="J44" s="1085"/>
      <c r="K44" s="1085"/>
      <c r="L44" s="1085"/>
      <c r="M44" s="1085"/>
      <c r="N44" s="1085"/>
      <c r="O44" s="1085"/>
      <c r="P44" s="1085"/>
      <c r="Q44" s="1085"/>
      <c r="R44" s="1085"/>
      <c r="S44" s="1085"/>
      <c r="T44" s="1085"/>
      <c r="U44" s="1085"/>
      <c r="V44" s="1085"/>
      <c r="W44" s="1085"/>
      <c r="X44" s="1085"/>
      <c r="Y44" s="1085"/>
      <c r="Z44" s="1085"/>
      <c r="AA44" s="1085"/>
      <c r="AB44" s="1085"/>
      <c r="AC44" s="1085"/>
      <c r="AD44" s="1085"/>
      <c r="AE44" s="1085"/>
      <c r="AF44" s="1085"/>
      <c r="AG44" s="1085"/>
      <c r="AH44" s="1085"/>
      <c r="AI44" s="1085"/>
      <c r="AJ44" s="1085"/>
      <c r="AK44" s="1085"/>
      <c r="AL44" s="1085"/>
      <c r="AM44" s="1085"/>
      <c r="AN44" s="1085"/>
      <c r="AO44" s="1085"/>
      <c r="AP44" s="1085"/>
      <c r="AQ44" s="1085"/>
      <c r="AR44" s="1085"/>
      <c r="AS44" s="1085"/>
      <c r="AT44" s="1085"/>
      <c r="AU44" s="1085"/>
      <c r="AV44" s="1085"/>
      <c r="AW44" s="1085"/>
      <c r="AX44" s="1085"/>
      <c r="AY44" s="1085"/>
      <c r="AZ44" s="1085"/>
      <c r="BA44" s="1085"/>
      <c r="BB44" s="1085"/>
      <c r="BC44" s="1085"/>
      <c r="BD44" s="1085"/>
      <c r="BE44" s="1085"/>
      <c r="BF44" s="1085"/>
      <c r="BG44" s="1085"/>
      <c r="BH44" s="1085"/>
      <c r="BI44" s="1085"/>
      <c r="BJ44" s="1085"/>
      <c r="BK44" s="1085"/>
      <c r="BL44" s="1085"/>
      <c r="BM44" s="1085"/>
      <c r="BN44" s="1085"/>
    </row>
    <row r="45" spans="1:66">
      <c r="A45" s="1085"/>
      <c r="B45" s="1085"/>
      <c r="C45" s="1085"/>
      <c r="D45" s="1085"/>
      <c r="E45" s="1085"/>
      <c r="F45" s="1085"/>
      <c r="G45" s="1085"/>
      <c r="H45" s="1085"/>
      <c r="I45" s="1085"/>
      <c r="J45" s="1085"/>
      <c r="K45" s="1085"/>
      <c r="L45" s="1085"/>
      <c r="M45" s="1085"/>
      <c r="N45" s="1085"/>
      <c r="O45" s="1085"/>
      <c r="P45" s="1085"/>
      <c r="Q45" s="1085"/>
      <c r="R45" s="1085"/>
      <c r="S45" s="1085"/>
      <c r="T45" s="1085"/>
      <c r="U45" s="1085"/>
      <c r="V45" s="1085"/>
      <c r="W45" s="1085"/>
      <c r="X45" s="1085"/>
      <c r="Y45" s="1085"/>
      <c r="Z45" s="1085"/>
      <c r="AA45" s="1085"/>
      <c r="AB45" s="1085"/>
      <c r="AC45" s="1085"/>
      <c r="AD45" s="1085"/>
      <c r="AE45" s="1085"/>
      <c r="AF45" s="1085"/>
      <c r="AG45" s="1085"/>
      <c r="AH45" s="1085"/>
      <c r="AI45" s="1085"/>
      <c r="AJ45" s="1085"/>
      <c r="AK45" s="1085"/>
      <c r="AL45" s="1085"/>
      <c r="AM45" s="1085"/>
      <c r="AN45" s="1085"/>
      <c r="AO45" s="1085"/>
      <c r="AP45" s="1085"/>
      <c r="AQ45" s="1085"/>
      <c r="AR45" s="1085"/>
      <c r="AS45" s="1085"/>
      <c r="AT45" s="1085"/>
      <c r="AU45" s="1085"/>
      <c r="AV45" s="1085"/>
      <c r="AW45" s="1085"/>
      <c r="AX45" s="1085"/>
      <c r="AY45" s="1085"/>
      <c r="AZ45" s="1085"/>
      <c r="BA45" s="1085"/>
      <c r="BB45" s="1085"/>
      <c r="BC45" s="1085"/>
      <c r="BD45" s="1085"/>
      <c r="BE45" s="1085"/>
      <c r="BF45" s="1085"/>
      <c r="BG45" s="1085"/>
      <c r="BH45" s="1085"/>
      <c r="BI45" s="1085"/>
      <c r="BJ45" s="1085"/>
      <c r="BK45" s="1085"/>
      <c r="BL45" s="1085"/>
      <c r="BM45" s="1085"/>
      <c r="BN45" s="1085"/>
    </row>
    <row r="46" spans="1:66">
      <c r="A46" s="1085"/>
      <c r="B46" s="1085"/>
      <c r="C46" s="1085"/>
      <c r="D46" s="1085"/>
      <c r="E46" s="1085"/>
      <c r="F46" s="1085"/>
      <c r="G46" s="1085"/>
      <c r="H46" s="1085"/>
      <c r="I46" s="1085"/>
      <c r="J46" s="1085"/>
      <c r="K46" s="1085"/>
      <c r="L46" s="1085"/>
      <c r="M46" s="1085"/>
      <c r="N46" s="1085"/>
      <c r="O46" s="1085"/>
      <c r="P46" s="1085"/>
      <c r="Q46" s="1085"/>
      <c r="R46" s="1085"/>
      <c r="S46" s="1085"/>
      <c r="T46" s="1085"/>
      <c r="U46" s="1085"/>
      <c r="V46" s="1085"/>
      <c r="W46" s="1085"/>
      <c r="X46" s="1085"/>
      <c r="Y46" s="1085"/>
      <c r="Z46" s="1085"/>
      <c r="AA46" s="1085"/>
      <c r="AB46" s="1085"/>
      <c r="AC46" s="1085"/>
      <c r="AD46" s="1085"/>
      <c r="AE46" s="1085"/>
      <c r="AF46" s="1085"/>
      <c r="AG46" s="1085"/>
      <c r="AH46" s="1085"/>
      <c r="AI46" s="1085"/>
      <c r="AJ46" s="1085"/>
      <c r="AK46" s="1085"/>
      <c r="AL46" s="1085"/>
      <c r="AM46" s="1085"/>
      <c r="AN46" s="1085"/>
      <c r="AO46" s="1085"/>
      <c r="AP46" s="1085"/>
      <c r="AQ46" s="1085"/>
      <c r="AR46" s="1085"/>
      <c r="AS46" s="1085"/>
      <c r="AT46" s="1085"/>
      <c r="AU46" s="1085"/>
      <c r="AV46" s="1085"/>
      <c r="AW46" s="1085"/>
      <c r="AX46" s="1085"/>
      <c r="AY46" s="1085"/>
      <c r="AZ46" s="1085"/>
      <c r="BA46" s="1085"/>
      <c r="BB46" s="1085"/>
      <c r="BC46" s="1085"/>
      <c r="BD46" s="1085"/>
      <c r="BE46" s="1085"/>
      <c r="BF46" s="1085"/>
      <c r="BG46" s="1085"/>
      <c r="BH46" s="1085"/>
      <c r="BI46" s="1085"/>
      <c r="BJ46" s="1085"/>
      <c r="BK46" s="1085"/>
      <c r="BL46" s="1085"/>
      <c r="BM46" s="1085"/>
      <c r="BN46" s="1085"/>
    </row>
    <row r="47" spans="1:66">
      <c r="A47" s="1085"/>
      <c r="B47" s="1085"/>
      <c r="C47" s="1085"/>
      <c r="D47" s="1085"/>
      <c r="E47" s="1085"/>
      <c r="F47" s="1085"/>
      <c r="G47" s="1085"/>
      <c r="H47" s="1085"/>
      <c r="I47" s="1085"/>
      <c r="J47" s="1085"/>
      <c r="K47" s="1085"/>
      <c r="L47" s="1085"/>
      <c r="M47" s="1085"/>
      <c r="N47" s="1085"/>
      <c r="O47" s="1085"/>
      <c r="P47" s="1085"/>
      <c r="Q47" s="1085"/>
      <c r="R47" s="1085"/>
      <c r="S47" s="1085"/>
      <c r="T47" s="1085"/>
      <c r="U47" s="1085"/>
      <c r="V47" s="1085"/>
      <c r="W47" s="1085"/>
      <c r="X47" s="1085"/>
      <c r="Y47" s="1085"/>
      <c r="Z47" s="1085"/>
      <c r="AA47" s="1085"/>
      <c r="AB47" s="1085"/>
      <c r="AC47" s="1085"/>
      <c r="AD47" s="1085"/>
      <c r="AE47" s="1085"/>
      <c r="AF47" s="1085"/>
      <c r="AG47" s="1085"/>
      <c r="AH47" s="1085"/>
      <c r="AI47" s="1085"/>
      <c r="AJ47" s="1085"/>
      <c r="AK47" s="1085"/>
      <c r="AL47" s="1085"/>
      <c r="AM47" s="1085"/>
      <c r="AN47" s="1085"/>
      <c r="AO47" s="1085"/>
      <c r="AP47" s="1085"/>
      <c r="AQ47" s="1085"/>
      <c r="AR47" s="1085"/>
      <c r="AS47" s="1085"/>
      <c r="AT47" s="1085"/>
      <c r="AU47" s="1085"/>
      <c r="AV47" s="1085"/>
      <c r="AW47" s="1085"/>
      <c r="AX47" s="1085"/>
      <c r="AY47" s="1085"/>
      <c r="AZ47" s="1085"/>
      <c r="BA47" s="1085"/>
      <c r="BB47" s="1085"/>
      <c r="BC47" s="1085"/>
      <c r="BD47" s="1085"/>
      <c r="BE47" s="1085"/>
      <c r="BF47" s="1085"/>
      <c r="BG47" s="1085"/>
      <c r="BH47" s="1085"/>
      <c r="BI47" s="1085"/>
      <c r="BJ47" s="1085"/>
      <c r="BK47" s="1085"/>
      <c r="BL47" s="1085"/>
      <c r="BM47" s="1085"/>
      <c r="BN47" s="1085"/>
    </row>
    <row r="48" spans="1:66">
      <c r="A48" s="1085"/>
      <c r="B48" s="1085"/>
      <c r="C48" s="1085"/>
      <c r="D48" s="1085"/>
      <c r="E48" s="1085"/>
      <c r="F48" s="1085"/>
      <c r="G48" s="1085"/>
      <c r="H48" s="1085"/>
      <c r="I48" s="1085"/>
      <c r="J48" s="1085"/>
      <c r="K48" s="1085"/>
      <c r="L48" s="1085"/>
      <c r="M48" s="1085"/>
      <c r="N48" s="1085"/>
      <c r="O48" s="1085"/>
      <c r="P48" s="1085"/>
      <c r="Q48" s="1085"/>
      <c r="R48" s="1085"/>
      <c r="S48" s="1085"/>
      <c r="T48" s="1085"/>
      <c r="U48" s="1085"/>
      <c r="V48" s="1085"/>
      <c r="W48" s="1085"/>
      <c r="X48" s="1085"/>
      <c r="Y48" s="1085"/>
      <c r="Z48" s="1085"/>
      <c r="AA48" s="1085"/>
      <c r="AB48" s="1085"/>
      <c r="AC48" s="1085"/>
      <c r="AD48" s="1085"/>
      <c r="AE48" s="1085"/>
      <c r="AF48" s="1085"/>
      <c r="AG48" s="1085"/>
      <c r="AH48" s="1085"/>
      <c r="AI48" s="1085"/>
      <c r="AJ48" s="1085"/>
      <c r="AK48" s="1085"/>
      <c r="AL48" s="1085"/>
      <c r="AM48" s="1085"/>
      <c r="AN48" s="1085"/>
      <c r="AO48" s="1085"/>
      <c r="AP48" s="1085"/>
      <c r="AQ48" s="1085"/>
      <c r="AR48" s="1085"/>
      <c r="AS48" s="1085"/>
      <c r="AT48" s="1085"/>
      <c r="AU48" s="1085"/>
      <c r="AV48" s="1085"/>
      <c r="AW48" s="1085"/>
      <c r="AX48" s="1085"/>
      <c r="AY48" s="1085"/>
      <c r="AZ48" s="1085"/>
      <c r="BA48" s="1085"/>
      <c r="BB48" s="1085"/>
      <c r="BC48" s="1085"/>
      <c r="BD48" s="1085"/>
      <c r="BE48" s="1085"/>
      <c r="BF48" s="1085"/>
      <c r="BG48" s="1085"/>
      <c r="BH48" s="1085"/>
      <c r="BI48" s="1085"/>
      <c r="BJ48" s="1085"/>
      <c r="BK48" s="1085"/>
      <c r="BL48" s="1085"/>
      <c r="BM48" s="1085"/>
      <c r="BN48" s="1085"/>
    </row>
    <row r="49" spans="1:66">
      <c r="A49" s="1085"/>
      <c r="B49" s="1085"/>
      <c r="C49" s="1085"/>
      <c r="D49" s="1085"/>
      <c r="E49" s="1085"/>
      <c r="F49" s="1085"/>
      <c r="G49" s="1085"/>
      <c r="H49" s="1085"/>
      <c r="I49" s="1085"/>
      <c r="J49" s="1085"/>
      <c r="K49" s="1085"/>
      <c r="L49" s="1085"/>
      <c r="M49" s="1085"/>
      <c r="N49" s="1085"/>
      <c r="O49" s="1085"/>
      <c r="P49" s="1085"/>
      <c r="Q49" s="1085"/>
      <c r="R49" s="1085"/>
      <c r="S49" s="1085"/>
      <c r="T49" s="1085"/>
      <c r="U49" s="1085"/>
      <c r="V49" s="1085"/>
      <c r="W49" s="1085"/>
      <c r="X49" s="1085"/>
      <c r="Y49" s="1085"/>
      <c r="Z49" s="1085"/>
      <c r="AA49" s="1085"/>
      <c r="AB49" s="1085"/>
      <c r="AC49" s="1085"/>
      <c r="AD49" s="1085"/>
      <c r="AE49" s="1085"/>
      <c r="AF49" s="1085"/>
      <c r="AG49" s="1085"/>
      <c r="AH49" s="1085"/>
      <c r="AI49" s="1085"/>
      <c r="AJ49" s="1085"/>
      <c r="AK49" s="1085"/>
      <c r="AL49" s="1085"/>
      <c r="AM49" s="1085"/>
      <c r="AN49" s="1085"/>
      <c r="AO49" s="1085"/>
      <c r="AP49" s="1085"/>
      <c r="AQ49" s="1085"/>
      <c r="AR49" s="1085"/>
      <c r="AS49" s="1085"/>
      <c r="AT49" s="1085"/>
      <c r="AU49" s="1085"/>
      <c r="AV49" s="1085"/>
      <c r="AW49" s="1085"/>
      <c r="AX49" s="1085"/>
      <c r="AY49" s="1085"/>
      <c r="AZ49" s="1085"/>
      <c r="BA49" s="1085"/>
      <c r="BB49" s="1085"/>
      <c r="BC49" s="1085"/>
      <c r="BD49" s="1085"/>
      <c r="BE49" s="1085"/>
      <c r="BF49" s="1085"/>
      <c r="BG49" s="1085"/>
      <c r="BH49" s="1085"/>
      <c r="BI49" s="1085"/>
      <c r="BJ49" s="1085"/>
      <c r="BK49" s="1085"/>
      <c r="BL49" s="1085"/>
      <c r="BM49" s="1085"/>
      <c r="BN49" s="1085"/>
    </row>
    <row r="50" spans="1:66">
      <c r="A50" s="1085"/>
      <c r="B50" s="1085"/>
      <c r="C50" s="1085"/>
      <c r="D50" s="1085"/>
      <c r="E50" s="1085"/>
      <c r="F50" s="1085"/>
      <c r="G50" s="1085"/>
      <c r="H50" s="1085"/>
      <c r="I50" s="1085"/>
      <c r="J50" s="1085"/>
      <c r="K50" s="1085"/>
      <c r="L50" s="1085"/>
      <c r="M50" s="1085"/>
      <c r="N50" s="1085"/>
      <c r="O50" s="1085"/>
      <c r="P50" s="1085"/>
      <c r="Q50" s="1085"/>
      <c r="R50" s="1085"/>
      <c r="S50" s="1085"/>
      <c r="T50" s="1085"/>
      <c r="U50" s="1085"/>
      <c r="V50" s="1085"/>
      <c r="W50" s="1085"/>
      <c r="X50" s="1085"/>
      <c r="Y50" s="1085"/>
      <c r="Z50" s="1085"/>
      <c r="AA50" s="1085"/>
      <c r="AB50" s="1085"/>
      <c r="AC50" s="1085"/>
      <c r="AD50" s="1085"/>
      <c r="AE50" s="1085"/>
      <c r="AF50" s="1085"/>
      <c r="AG50" s="1085"/>
      <c r="AH50" s="1085"/>
      <c r="AI50" s="1085"/>
      <c r="AJ50" s="1085"/>
      <c r="AK50" s="1085"/>
      <c r="AL50" s="1085"/>
      <c r="AM50" s="1085"/>
      <c r="AN50" s="1085"/>
      <c r="AO50" s="1085"/>
      <c r="AP50" s="1085"/>
      <c r="AQ50" s="1085"/>
      <c r="AR50" s="1085"/>
      <c r="AS50" s="1085"/>
      <c r="AT50" s="1085"/>
      <c r="AU50" s="1085"/>
      <c r="AV50" s="1085"/>
      <c r="AW50" s="1085"/>
      <c r="AX50" s="1085"/>
      <c r="AY50" s="1085"/>
      <c r="AZ50" s="1085"/>
      <c r="BA50" s="1085"/>
      <c r="BB50" s="1085"/>
      <c r="BC50" s="1085"/>
      <c r="BD50" s="1085"/>
      <c r="BE50" s="1085"/>
      <c r="BF50" s="1085"/>
      <c r="BG50" s="1085"/>
      <c r="BH50" s="1085"/>
      <c r="BI50" s="1085"/>
      <c r="BJ50" s="1085"/>
      <c r="BK50" s="1085"/>
      <c r="BL50" s="1085"/>
      <c r="BM50" s="1085"/>
      <c r="BN50" s="1085"/>
    </row>
    <row r="51" spans="1:66">
      <c r="A51" s="1085"/>
      <c r="B51" s="1085"/>
      <c r="C51" s="1085"/>
      <c r="D51" s="1085"/>
      <c r="E51" s="1085"/>
      <c r="F51" s="1085"/>
      <c r="G51" s="1085"/>
      <c r="H51" s="1085"/>
      <c r="I51" s="1085"/>
      <c r="J51" s="1085"/>
      <c r="K51" s="1085"/>
      <c r="L51" s="1085"/>
      <c r="M51" s="1085"/>
      <c r="N51" s="1085"/>
      <c r="O51" s="1085"/>
      <c r="P51" s="1085"/>
      <c r="Q51" s="1085"/>
      <c r="R51" s="1085"/>
      <c r="S51" s="1085"/>
      <c r="T51" s="1085"/>
      <c r="U51" s="1085"/>
      <c r="V51" s="1085"/>
      <c r="W51" s="1085"/>
      <c r="X51" s="1085"/>
      <c r="Y51" s="1085"/>
      <c r="Z51" s="1085"/>
      <c r="AA51" s="1085"/>
      <c r="AB51" s="1085"/>
      <c r="AC51" s="1085"/>
      <c r="AD51" s="1085"/>
      <c r="AE51" s="1085"/>
      <c r="AF51" s="1085"/>
      <c r="AG51" s="1085"/>
      <c r="AH51" s="1085"/>
      <c r="AI51" s="1085"/>
      <c r="AJ51" s="1085"/>
      <c r="AK51" s="1085"/>
      <c r="AL51" s="1085"/>
      <c r="AM51" s="1085"/>
      <c r="AN51" s="1085"/>
      <c r="AO51" s="1085"/>
      <c r="AP51" s="1085"/>
      <c r="AQ51" s="1085"/>
      <c r="AR51" s="1085"/>
      <c r="AS51" s="1085"/>
      <c r="AT51" s="1085"/>
      <c r="AU51" s="1085"/>
      <c r="AV51" s="1085"/>
      <c r="AW51" s="1085"/>
      <c r="AX51" s="1085"/>
      <c r="AY51" s="1085"/>
      <c r="AZ51" s="1085"/>
      <c r="BA51" s="1085"/>
      <c r="BB51" s="1085"/>
      <c r="BC51" s="1085"/>
      <c r="BD51" s="1085"/>
      <c r="BE51" s="1085"/>
      <c r="BF51" s="1085"/>
      <c r="BG51" s="1085"/>
      <c r="BH51" s="1085"/>
      <c r="BI51" s="1085"/>
      <c r="BJ51" s="1085"/>
      <c r="BK51" s="1085"/>
      <c r="BL51" s="1085"/>
      <c r="BM51" s="1085"/>
      <c r="BN51" s="1085"/>
    </row>
    <row r="52" spans="1:66">
      <c r="A52" s="1085"/>
      <c r="B52" s="1085"/>
      <c r="C52" s="1085"/>
      <c r="D52" s="1085"/>
      <c r="E52" s="1085"/>
      <c r="F52" s="1085"/>
      <c r="G52" s="1085"/>
      <c r="H52" s="1085"/>
      <c r="I52" s="1085"/>
      <c r="J52" s="1085"/>
      <c r="K52" s="1085"/>
      <c r="L52" s="1085"/>
      <c r="M52" s="1085"/>
      <c r="N52" s="1085"/>
      <c r="O52" s="1085"/>
      <c r="P52" s="1085"/>
      <c r="Q52" s="1085"/>
      <c r="R52" s="1085"/>
      <c r="S52" s="1085"/>
      <c r="T52" s="1085"/>
      <c r="U52" s="1085"/>
      <c r="V52" s="1085"/>
      <c r="W52" s="1085"/>
      <c r="X52" s="1085"/>
      <c r="Y52" s="1085"/>
      <c r="Z52" s="1085"/>
      <c r="AA52" s="1085"/>
      <c r="AB52" s="1085"/>
      <c r="AC52" s="1085"/>
      <c r="AD52" s="1085"/>
      <c r="AE52" s="1085"/>
      <c r="AF52" s="1085"/>
      <c r="AG52" s="1085"/>
      <c r="AH52" s="1085"/>
      <c r="AI52" s="1085"/>
      <c r="AJ52" s="1085"/>
      <c r="AK52" s="1085"/>
      <c r="AL52" s="1085"/>
      <c r="AM52" s="1085"/>
      <c r="AN52" s="1085"/>
      <c r="AO52" s="1085"/>
      <c r="AP52" s="1085"/>
      <c r="AQ52" s="1085"/>
      <c r="AR52" s="1085"/>
      <c r="AS52" s="1085"/>
      <c r="AT52" s="1085"/>
      <c r="AU52" s="1085"/>
      <c r="AV52" s="1085"/>
      <c r="AW52" s="1085"/>
      <c r="AX52" s="1085"/>
      <c r="AY52" s="1085"/>
      <c r="AZ52" s="1085"/>
      <c r="BA52" s="1085"/>
      <c r="BB52" s="1085"/>
      <c r="BC52" s="1085"/>
      <c r="BD52" s="1085"/>
      <c r="BE52" s="1085"/>
      <c r="BF52" s="1085"/>
      <c r="BG52" s="1085"/>
      <c r="BH52" s="1085"/>
      <c r="BI52" s="1085"/>
      <c r="BJ52" s="1085"/>
      <c r="BK52" s="1085"/>
      <c r="BL52" s="1085"/>
      <c r="BM52" s="1085"/>
      <c r="BN52" s="1085"/>
    </row>
  </sheetData>
  <sheetProtection algorithmName="SHA-512" hashValue="9shgtbSD/rw81o4ap8E3ycMi6mlHXxHQGXSVPImKvi9MBVMcaIZKMwsFO3YIF7MCppYfSd299HrJXyOndz4tWA==" saltValue="k1WEn+xga09hmytHruS/rA==" spinCount="100000" sheet="1" objects="1" scenarios="1"/>
  <customSheetViews>
    <customSheetView guid="{6EFEFCA0-BF14-457A-85A3-29CBF2A862A5}" showGridLines="0" fitToPage="1" topLeftCell="A31">
      <selection sqref="A1:AV38"/>
      <pageMargins left="0.23622047244094491" right="0.23622047244094491" top="0.19685039370078741" bottom="0.19685039370078741" header="0" footer="0.11811023622047245"/>
      <printOptions horizontalCentered="1" verticalCentered="1"/>
      <pageSetup paperSize="9" scale="74" orientation="landscape" r:id="rId1"/>
      <headerFooter>
        <oddFooter>&amp;L&amp;10&amp;F &amp;A&amp;R&amp;10Page 35 of 61</oddFooter>
      </headerFooter>
    </customSheetView>
  </customSheetViews>
  <mergeCells count="21">
    <mergeCell ref="S16:Y16"/>
    <mergeCell ref="AB8:AH8"/>
    <mergeCell ref="K13:R13"/>
    <mergeCell ref="S13:Y13"/>
    <mergeCell ref="S14:Y14"/>
    <mergeCell ref="S15:Y15"/>
    <mergeCell ref="AG10:AM10"/>
    <mergeCell ref="F37:N37"/>
    <mergeCell ref="U37:AF37"/>
    <mergeCell ref="AI37:AU37"/>
    <mergeCell ref="K19:R19"/>
    <mergeCell ref="S19:Y19"/>
    <mergeCell ref="S20:Y20"/>
    <mergeCell ref="S21:Y21"/>
    <mergeCell ref="S22:Y22"/>
    <mergeCell ref="AG31:AM31"/>
    <mergeCell ref="F35:N35"/>
    <mergeCell ref="Q35:AF35"/>
    <mergeCell ref="AI35:AU36"/>
    <mergeCell ref="F36:N36"/>
    <mergeCell ref="Q36:AF36"/>
  </mergeCells>
  <dataValidations count="2">
    <dataValidation type="whole" allowBlank="1" showInputMessage="1" showErrorMessage="1" errorTitle="GSHSP SY 2022-2023" error="Please enter valid number between 0-999." sqref="AG10:AM10" xr:uid="{EF9470EA-0B95-4E03-BDC6-2E4C4F9FD324}">
      <formula1>0</formula1>
      <formula2>999</formula2>
    </dataValidation>
    <dataValidation type="whole" allowBlank="1" showInputMessage="1" showErrorMessage="1" errorTitle="GSHSP SY 2022-2023" error="Please enter valid number between 0-20,000." sqref="S14:Y15 S20:Y21" xr:uid="{0C0FA836-712D-4C0D-98ED-FBEF04180ABA}">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74" orientation="landscape" r:id="rId2"/>
  <headerFooter>
    <oddFooter>&amp;L&amp;10&amp;F &amp;A&amp;R&amp;10Page 35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4753" r:id="rId5" name="Check Box 1">
              <controlPr defaultSize="0" autoFill="0" autoLine="0" autoPict="0">
                <anchor moveWithCells="1">
                  <from>
                    <xdr:col>32</xdr:col>
                    <xdr:colOff>38100</xdr:colOff>
                    <xdr:row>4</xdr:row>
                    <xdr:rowOff>28575</xdr:rowOff>
                  </from>
                  <to>
                    <xdr:col>33</xdr:col>
                    <xdr:colOff>9525</xdr:colOff>
                    <xdr:row>4</xdr:row>
                    <xdr:rowOff>238125</xdr:rowOff>
                  </to>
                </anchor>
              </controlPr>
            </control>
          </mc:Choice>
        </mc:AlternateContent>
        <mc:AlternateContent xmlns:mc="http://schemas.openxmlformats.org/markup-compatibility/2006">
          <mc:Choice Requires="x14">
            <control shapeId="74754" r:id="rId6" name="Check Box 2">
              <controlPr defaultSize="0" autoFill="0" autoLine="0" autoPict="0">
                <anchor moveWithCells="1">
                  <from>
                    <xdr:col>12</xdr:col>
                    <xdr:colOff>28575</xdr:colOff>
                    <xdr:row>6</xdr:row>
                    <xdr:rowOff>28575</xdr:rowOff>
                  </from>
                  <to>
                    <xdr:col>12</xdr:col>
                    <xdr:colOff>257175</xdr:colOff>
                    <xdr:row>6</xdr:row>
                    <xdr:rowOff>238125</xdr:rowOff>
                  </to>
                </anchor>
              </controlPr>
            </control>
          </mc:Choice>
        </mc:AlternateContent>
        <mc:AlternateContent xmlns:mc="http://schemas.openxmlformats.org/markup-compatibility/2006">
          <mc:Choice Requires="x14">
            <control shapeId="74755" r:id="rId7" name="Check Box 3">
              <controlPr defaultSize="0" autoFill="0" autoLine="0" autoPict="0">
                <anchor moveWithCells="1">
                  <from>
                    <xdr:col>12</xdr:col>
                    <xdr:colOff>28575</xdr:colOff>
                    <xdr:row>7</xdr:row>
                    <xdr:rowOff>28575</xdr:rowOff>
                  </from>
                  <to>
                    <xdr:col>12</xdr:col>
                    <xdr:colOff>238125</xdr:colOff>
                    <xdr:row>7</xdr:row>
                    <xdr:rowOff>257175</xdr:rowOff>
                  </to>
                </anchor>
              </controlPr>
            </control>
          </mc:Choice>
        </mc:AlternateContent>
        <mc:AlternateContent xmlns:mc="http://schemas.openxmlformats.org/markup-compatibility/2006">
          <mc:Choice Requires="x14">
            <control shapeId="74756" r:id="rId8" name="Check Box 4">
              <controlPr defaultSize="0" autoFill="0" autoLine="0" autoPict="0">
                <anchor moveWithCells="1">
                  <from>
                    <xdr:col>22</xdr:col>
                    <xdr:colOff>28575</xdr:colOff>
                    <xdr:row>6</xdr:row>
                    <xdr:rowOff>28575</xdr:rowOff>
                  </from>
                  <to>
                    <xdr:col>23</xdr:col>
                    <xdr:colOff>0</xdr:colOff>
                    <xdr:row>6</xdr:row>
                    <xdr:rowOff>257175</xdr:rowOff>
                  </to>
                </anchor>
              </controlPr>
            </control>
          </mc:Choice>
        </mc:AlternateContent>
        <mc:AlternateContent xmlns:mc="http://schemas.openxmlformats.org/markup-compatibility/2006">
          <mc:Choice Requires="x14">
            <control shapeId="74757" r:id="rId9" name="Check Box 5">
              <controlPr defaultSize="0" autoFill="0" autoLine="0" autoPict="0">
                <anchor moveWithCells="1">
                  <from>
                    <xdr:col>22</xdr:col>
                    <xdr:colOff>38100</xdr:colOff>
                    <xdr:row>7</xdr:row>
                    <xdr:rowOff>28575</xdr:rowOff>
                  </from>
                  <to>
                    <xdr:col>23</xdr:col>
                    <xdr:colOff>28575</xdr:colOff>
                    <xdr:row>7</xdr:row>
                    <xdr:rowOff>295275</xdr:rowOff>
                  </to>
                </anchor>
              </controlPr>
            </control>
          </mc:Choice>
        </mc:AlternateContent>
        <mc:AlternateContent xmlns:mc="http://schemas.openxmlformats.org/markup-compatibility/2006">
          <mc:Choice Requires="x14">
            <control shapeId="74758" r:id="rId10" name="Check Box 6">
              <controlPr defaultSize="0" autoFill="0" autoLine="0" autoPict="0">
                <anchor moveWithCells="1">
                  <from>
                    <xdr:col>32</xdr:col>
                    <xdr:colOff>28575</xdr:colOff>
                    <xdr:row>8</xdr:row>
                    <xdr:rowOff>9525</xdr:rowOff>
                  </from>
                  <to>
                    <xdr:col>32</xdr:col>
                    <xdr:colOff>238125</xdr:colOff>
                    <xdr:row>9</xdr:row>
                    <xdr:rowOff>9525</xdr:rowOff>
                  </to>
                </anchor>
              </controlPr>
            </control>
          </mc:Choice>
        </mc:AlternateContent>
        <mc:AlternateContent xmlns:mc="http://schemas.openxmlformats.org/markup-compatibility/2006">
          <mc:Choice Requires="x14">
            <control shapeId="74759" r:id="rId11" name="Check Box 7">
              <controlPr defaultSize="0" autoFill="0" autoLine="0" autoPict="0">
                <anchor moveWithCells="1">
                  <from>
                    <xdr:col>32</xdr:col>
                    <xdr:colOff>28575</xdr:colOff>
                    <xdr:row>10</xdr:row>
                    <xdr:rowOff>47625</xdr:rowOff>
                  </from>
                  <to>
                    <xdr:col>32</xdr:col>
                    <xdr:colOff>257175</xdr:colOff>
                    <xdr:row>10</xdr:row>
                    <xdr:rowOff>257175</xdr:rowOff>
                  </to>
                </anchor>
              </controlPr>
            </control>
          </mc:Choice>
        </mc:AlternateContent>
        <mc:AlternateContent xmlns:mc="http://schemas.openxmlformats.org/markup-compatibility/2006">
          <mc:Choice Requires="x14">
            <control shapeId="74763" r:id="rId12" name="Check Box 11">
              <controlPr defaultSize="0" autoFill="0" autoLine="0" autoPict="0">
                <anchor moveWithCells="1">
                  <from>
                    <xdr:col>37</xdr:col>
                    <xdr:colOff>38100</xdr:colOff>
                    <xdr:row>4</xdr:row>
                    <xdr:rowOff>28575</xdr:rowOff>
                  </from>
                  <to>
                    <xdr:col>37</xdr:col>
                    <xdr:colOff>257175</xdr:colOff>
                    <xdr:row>4</xdr:row>
                    <xdr:rowOff>238125</xdr:rowOff>
                  </to>
                </anchor>
              </controlPr>
            </control>
          </mc:Choice>
        </mc:AlternateContent>
        <mc:AlternateContent xmlns:mc="http://schemas.openxmlformats.org/markup-compatibility/2006">
          <mc:Choice Requires="x14">
            <control shapeId="74764" r:id="rId13" name="Check Box 12">
              <controlPr defaultSize="0" autoFill="0" autoLine="0" autoPict="0">
                <anchor moveWithCells="1">
                  <from>
                    <xdr:col>37</xdr:col>
                    <xdr:colOff>28575</xdr:colOff>
                    <xdr:row>8</xdr:row>
                    <xdr:rowOff>28575</xdr:rowOff>
                  </from>
                  <to>
                    <xdr:col>37</xdr:col>
                    <xdr:colOff>238125</xdr:colOff>
                    <xdr:row>8</xdr:row>
                    <xdr:rowOff>257175</xdr:rowOff>
                  </to>
                </anchor>
              </controlPr>
            </control>
          </mc:Choice>
        </mc:AlternateContent>
        <mc:AlternateContent xmlns:mc="http://schemas.openxmlformats.org/markup-compatibility/2006">
          <mc:Choice Requires="x14">
            <control shapeId="74765" r:id="rId14" name="Check Box 13">
              <controlPr defaultSize="0" autoFill="0" autoLine="0" autoPict="0">
                <anchor moveWithCells="1">
                  <from>
                    <xdr:col>37</xdr:col>
                    <xdr:colOff>28575</xdr:colOff>
                    <xdr:row>10</xdr:row>
                    <xdr:rowOff>47625</xdr:rowOff>
                  </from>
                  <to>
                    <xdr:col>37</xdr:col>
                    <xdr:colOff>219075</xdr:colOff>
                    <xdr:row>10</xdr:row>
                    <xdr:rowOff>238125</xdr:rowOff>
                  </to>
                </anchor>
              </controlPr>
            </control>
          </mc:Choice>
        </mc:AlternateContent>
        <mc:AlternateContent xmlns:mc="http://schemas.openxmlformats.org/markup-compatibility/2006">
          <mc:Choice Requires="x14">
            <control shapeId="74766" r:id="rId15" name="Check Box 14">
              <controlPr defaultSize="0" autoFill="0" autoLine="0" autoPict="0">
                <anchor moveWithCells="1">
                  <from>
                    <xdr:col>37</xdr:col>
                    <xdr:colOff>28575</xdr:colOff>
                    <xdr:row>27</xdr:row>
                    <xdr:rowOff>104775</xdr:rowOff>
                  </from>
                  <to>
                    <xdr:col>37</xdr:col>
                    <xdr:colOff>228600</xdr:colOff>
                    <xdr:row>28</xdr:row>
                    <xdr:rowOff>9525</xdr:rowOff>
                  </to>
                </anchor>
              </controlPr>
            </control>
          </mc:Choice>
        </mc:AlternateContent>
        <mc:AlternateContent xmlns:mc="http://schemas.openxmlformats.org/markup-compatibility/2006">
          <mc:Choice Requires="x14">
            <control shapeId="74767" r:id="rId16" name="Check Box 15">
              <controlPr defaultSize="0" autoFill="0" autoLine="0" autoPict="0">
                <anchor moveWithCells="1">
                  <from>
                    <xdr:col>37</xdr:col>
                    <xdr:colOff>28575</xdr:colOff>
                    <xdr:row>28</xdr:row>
                    <xdr:rowOff>66675</xdr:rowOff>
                  </from>
                  <to>
                    <xdr:col>38</xdr:col>
                    <xdr:colOff>9525</xdr:colOff>
                    <xdr:row>28</xdr:row>
                    <xdr:rowOff>295275</xdr:rowOff>
                  </to>
                </anchor>
              </controlPr>
            </control>
          </mc:Choice>
        </mc:AlternateContent>
        <mc:AlternateContent xmlns:mc="http://schemas.openxmlformats.org/markup-compatibility/2006">
          <mc:Choice Requires="x14">
            <control shapeId="74768" r:id="rId17" name="Check Box 16">
              <controlPr defaultSize="0" autoFill="0" autoLine="0" autoPict="0">
                <anchor moveWithCells="1">
                  <from>
                    <xdr:col>37</xdr:col>
                    <xdr:colOff>28575</xdr:colOff>
                    <xdr:row>29</xdr:row>
                    <xdr:rowOff>85725</xdr:rowOff>
                  </from>
                  <to>
                    <xdr:col>37</xdr:col>
                    <xdr:colOff>238125</xdr:colOff>
                    <xdr:row>29</xdr:row>
                    <xdr:rowOff>295275</xdr:rowOff>
                  </to>
                </anchor>
              </controlPr>
            </control>
          </mc:Choice>
        </mc:AlternateContent>
        <mc:AlternateContent xmlns:mc="http://schemas.openxmlformats.org/markup-compatibility/2006">
          <mc:Choice Requires="x14">
            <control shapeId="74769" r:id="rId18" name="Check Box 17">
              <controlPr defaultSize="0" autoFill="0" autoLine="0" autoPict="0">
                <anchor moveWithCells="1">
                  <from>
                    <xdr:col>32</xdr:col>
                    <xdr:colOff>28575</xdr:colOff>
                    <xdr:row>27</xdr:row>
                    <xdr:rowOff>114300</xdr:rowOff>
                  </from>
                  <to>
                    <xdr:col>32</xdr:col>
                    <xdr:colOff>228600</xdr:colOff>
                    <xdr:row>28</xdr:row>
                    <xdr:rowOff>9525</xdr:rowOff>
                  </to>
                </anchor>
              </controlPr>
            </control>
          </mc:Choice>
        </mc:AlternateContent>
        <mc:AlternateContent xmlns:mc="http://schemas.openxmlformats.org/markup-compatibility/2006">
          <mc:Choice Requires="x14">
            <control shapeId="74770" r:id="rId19" name="Check Box 18">
              <controlPr defaultSize="0" autoFill="0" autoLine="0" autoPict="0">
                <anchor moveWithCells="1">
                  <from>
                    <xdr:col>32</xdr:col>
                    <xdr:colOff>28575</xdr:colOff>
                    <xdr:row>28</xdr:row>
                    <xdr:rowOff>47625</xdr:rowOff>
                  </from>
                  <to>
                    <xdr:col>33</xdr:col>
                    <xdr:colOff>9525</xdr:colOff>
                    <xdr:row>28</xdr:row>
                    <xdr:rowOff>295275</xdr:rowOff>
                  </to>
                </anchor>
              </controlPr>
            </control>
          </mc:Choice>
        </mc:AlternateContent>
        <mc:AlternateContent xmlns:mc="http://schemas.openxmlformats.org/markup-compatibility/2006">
          <mc:Choice Requires="x14">
            <control shapeId="74771" r:id="rId20" name="Check Box 19">
              <controlPr defaultSize="0" autoFill="0" autoLine="0" autoPict="0">
                <anchor moveWithCells="1">
                  <from>
                    <xdr:col>32</xdr:col>
                    <xdr:colOff>47625</xdr:colOff>
                    <xdr:row>29</xdr:row>
                    <xdr:rowOff>66675</xdr:rowOff>
                  </from>
                  <to>
                    <xdr:col>33</xdr:col>
                    <xdr:colOff>28575</xdr:colOff>
                    <xdr:row>30</xdr:row>
                    <xdr:rowOff>9525</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43285-9BA8-4AD8-99E2-4FCD20051A4A}">
  <sheetPr codeName="Sheet39">
    <tabColor rgb="FFFFFF00"/>
    <pageSetUpPr fitToPage="1"/>
  </sheetPr>
  <dimension ref="A1:BE57"/>
  <sheetViews>
    <sheetView showGridLines="0" topLeftCell="A14" zoomScaleNormal="100" workbookViewId="0">
      <selection activeCell="R35" sqref="R35:W35"/>
    </sheetView>
  </sheetViews>
  <sheetFormatPr defaultColWidth="9" defaultRowHeight="15.75"/>
  <cols>
    <col min="1" max="1" width="2.125" style="44" customWidth="1"/>
    <col min="2" max="48" width="3.625" style="44" customWidth="1"/>
    <col min="49" max="49" width="2.125" style="44" customWidth="1"/>
    <col min="50" max="50" width="9" style="44"/>
    <col min="51" max="51" width="9" style="434"/>
    <col min="52" max="16384" width="9" style="44"/>
  </cols>
  <sheetData>
    <row r="1" spans="1:57"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row>
    <row r="2" spans="1:57">
      <c r="A2" s="434"/>
      <c r="B2" s="434"/>
      <c r="C2" s="434"/>
      <c r="D2" s="434"/>
      <c r="E2" s="611" t="s">
        <v>11423</v>
      </c>
      <c r="F2" s="611"/>
      <c r="G2" s="611"/>
      <c r="H2" s="611"/>
      <c r="I2" s="611"/>
      <c r="J2" s="611"/>
      <c r="K2" s="611"/>
      <c r="L2" s="611"/>
      <c r="M2" s="611"/>
      <c r="N2" s="611"/>
      <c r="O2" s="612"/>
      <c r="P2" s="612"/>
      <c r="Q2" s="612"/>
      <c r="R2" s="612"/>
      <c r="S2" s="612"/>
      <c r="T2" s="612"/>
      <c r="U2" s="612"/>
      <c r="V2" s="612"/>
      <c r="W2" s="612"/>
      <c r="X2" s="612"/>
      <c r="Y2" s="612"/>
      <c r="Z2" s="612"/>
      <c r="AA2" s="612"/>
      <c r="AB2" s="612"/>
      <c r="AC2" s="612"/>
      <c r="AD2" s="612"/>
      <c r="AE2" s="612"/>
      <c r="AF2" s="612"/>
      <c r="AG2" s="612"/>
      <c r="AH2" s="612"/>
      <c r="AI2" s="612"/>
      <c r="AJ2" s="612"/>
      <c r="AK2" s="612"/>
      <c r="AL2" s="612"/>
      <c r="AM2" s="612"/>
      <c r="AN2" s="612"/>
      <c r="AO2" s="611"/>
      <c r="AP2" s="434"/>
      <c r="AQ2" s="434"/>
      <c r="AR2" s="434"/>
      <c r="AS2" s="434"/>
      <c r="AT2" s="434"/>
      <c r="AU2" s="434"/>
      <c r="AV2" s="434"/>
      <c r="AW2" s="434"/>
      <c r="AX2" s="434"/>
    </row>
    <row r="3" spans="1:57" s="40" customFormat="1" ht="16.5" thickBot="1">
      <c r="A3" s="582"/>
      <c r="B3" s="582"/>
      <c r="C3" s="582"/>
      <c r="D3" s="582"/>
      <c r="E3" s="583" t="s">
        <v>1017</v>
      </c>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row>
    <row r="4" spans="1:57" ht="5.25" customHeight="1">
      <c r="A4" s="434"/>
      <c r="B4" s="434"/>
      <c r="C4" s="434"/>
      <c r="D4" s="434"/>
      <c r="E4" s="1102"/>
      <c r="F4" s="985"/>
      <c r="G4" s="985"/>
      <c r="H4" s="985"/>
      <c r="I4" s="985"/>
      <c r="J4" s="985"/>
      <c r="K4" s="985"/>
      <c r="L4" s="985"/>
      <c r="M4" s="985"/>
      <c r="N4" s="985"/>
      <c r="O4" s="985"/>
      <c r="P4" s="685"/>
      <c r="Q4" s="685"/>
      <c r="R4" s="685"/>
      <c r="S4" s="685"/>
      <c r="T4" s="685"/>
      <c r="U4" s="685"/>
      <c r="V4" s="586"/>
      <c r="W4" s="986"/>
      <c r="X4" s="986"/>
      <c r="Y4" s="986"/>
      <c r="Z4" s="986"/>
      <c r="AA4" s="986"/>
      <c r="AB4" s="986"/>
      <c r="AC4" s="685"/>
      <c r="AD4" s="685"/>
      <c r="AE4" s="685"/>
      <c r="AF4" s="685"/>
      <c r="AG4" s="685"/>
      <c r="AH4" s="685"/>
      <c r="AI4" s="685"/>
      <c r="AJ4" s="685"/>
      <c r="AK4" s="685"/>
      <c r="AL4" s="685"/>
      <c r="AM4" s="685"/>
      <c r="AN4" s="685"/>
      <c r="AO4" s="685"/>
      <c r="AP4" s="685"/>
      <c r="AQ4" s="685"/>
      <c r="AR4" s="685"/>
      <c r="AS4" s="987"/>
      <c r="AT4" s="434"/>
      <c r="AU4" s="434"/>
      <c r="AV4" s="434"/>
      <c r="AW4" s="434"/>
      <c r="AX4" s="434"/>
      <c r="BB4" s="41"/>
      <c r="BC4" s="41"/>
      <c r="BD4" s="41"/>
      <c r="BE4" s="41"/>
    </row>
    <row r="5" spans="1:57" ht="19.5">
      <c r="A5" s="434"/>
      <c r="B5" s="434"/>
      <c r="C5" s="434"/>
      <c r="D5" s="434"/>
      <c r="E5" s="1103"/>
      <c r="F5" s="989" t="s">
        <v>687</v>
      </c>
      <c r="G5" s="990"/>
      <c r="H5" s="990"/>
      <c r="I5" s="990"/>
      <c r="J5" s="990"/>
      <c r="K5" s="990"/>
      <c r="L5" s="990"/>
      <c r="M5" s="990"/>
      <c r="N5" s="990"/>
      <c r="O5" s="990"/>
      <c r="P5" s="990"/>
      <c r="Q5" s="861"/>
      <c r="R5" s="434"/>
      <c r="S5" s="873" t="b">
        <v>0</v>
      </c>
      <c r="T5" s="593" t="s">
        <v>484</v>
      </c>
      <c r="U5" s="593"/>
      <c r="V5" s="434"/>
      <c r="W5" s="434"/>
      <c r="X5" s="873"/>
      <c r="Y5" s="593" t="s">
        <v>485</v>
      </c>
      <c r="Z5" s="593"/>
      <c r="AA5" s="593"/>
      <c r="AB5" s="593"/>
      <c r="AC5" s="593"/>
      <c r="AD5" s="434"/>
      <c r="AE5" s="861"/>
      <c r="AF5" s="861"/>
      <c r="AG5" s="861"/>
      <c r="AH5" s="861"/>
      <c r="AI5" s="861"/>
      <c r="AJ5" s="434"/>
      <c r="AK5" s="434"/>
      <c r="AL5" s="861"/>
      <c r="AM5" s="861"/>
      <c r="AN5" s="861"/>
      <c r="AO5" s="861"/>
      <c r="AP5" s="861"/>
      <c r="AQ5" s="861"/>
      <c r="AR5" s="861"/>
      <c r="AS5" s="991"/>
      <c r="AT5" s="434"/>
      <c r="AU5" s="434"/>
      <c r="AV5" s="434"/>
      <c r="AW5" s="434"/>
      <c r="AX5" s="434"/>
      <c r="BB5" s="41"/>
      <c r="BC5" s="41"/>
      <c r="BD5" s="41"/>
      <c r="BE5" s="41"/>
    </row>
    <row r="6" spans="1:57" ht="20.25">
      <c r="A6" s="434"/>
      <c r="B6" s="434"/>
      <c r="C6" s="434"/>
      <c r="D6" s="434"/>
      <c r="E6" s="1103"/>
      <c r="F6" s="434"/>
      <c r="G6" s="633" t="s">
        <v>688</v>
      </c>
      <c r="H6" s="634"/>
      <c r="I6" s="634"/>
      <c r="J6" s="634"/>
      <c r="K6" s="634"/>
      <c r="L6" s="634"/>
      <c r="M6" s="634"/>
      <c r="N6" s="634"/>
      <c r="O6" s="634"/>
      <c r="P6" s="634"/>
      <c r="Q6" s="625"/>
      <c r="R6" s="625"/>
      <c r="S6" s="625"/>
      <c r="T6" s="625"/>
      <c r="U6" s="625"/>
      <c r="V6" s="582"/>
      <c r="W6" s="996"/>
      <c r="X6" s="996"/>
      <c r="Y6" s="996"/>
      <c r="Z6" s="996"/>
      <c r="AA6" s="996"/>
      <c r="AB6" s="996"/>
      <c r="AC6" s="625"/>
      <c r="AD6" s="582"/>
      <c r="AE6" s="582"/>
      <c r="AF6" s="582"/>
      <c r="AG6" s="582"/>
      <c r="AH6" s="582"/>
      <c r="AI6" s="582"/>
      <c r="AJ6" s="582"/>
      <c r="AK6" s="582"/>
      <c r="AL6" s="582"/>
      <c r="AM6" s="582"/>
      <c r="AN6" s="582"/>
      <c r="AO6" s="582"/>
      <c r="AP6" s="582"/>
      <c r="AQ6" s="582"/>
      <c r="AR6" s="582"/>
      <c r="AS6" s="592"/>
      <c r="AT6" s="434"/>
      <c r="AU6" s="434"/>
      <c r="AV6" s="434"/>
      <c r="AW6" s="434"/>
      <c r="AX6" s="434"/>
      <c r="BB6" s="55"/>
      <c r="BC6" s="55"/>
      <c r="BD6" s="55"/>
      <c r="BE6" s="55"/>
    </row>
    <row r="7" spans="1:57" ht="19.5">
      <c r="A7" s="434"/>
      <c r="B7" s="434"/>
      <c r="C7" s="434"/>
      <c r="D7" s="434"/>
      <c r="E7" s="1103"/>
      <c r="F7" s="640"/>
      <c r="G7" s="640"/>
      <c r="H7" s="640"/>
      <c r="I7" s="610" t="b">
        <v>0</v>
      </c>
      <c r="J7" s="582" t="s">
        <v>415</v>
      </c>
      <c r="K7" s="599"/>
      <c r="L7" s="599"/>
      <c r="M7" s="599"/>
      <c r="N7" s="599"/>
      <c r="O7" s="599"/>
      <c r="P7" s="599"/>
      <c r="Q7" s="610" t="b">
        <v>0</v>
      </c>
      <c r="R7" s="582" t="s">
        <v>689</v>
      </c>
      <c r="S7" s="599"/>
      <c r="T7" s="599"/>
      <c r="U7" s="599"/>
      <c r="V7" s="599"/>
      <c r="W7" s="599"/>
      <c r="X7" s="610" t="b">
        <v>0</v>
      </c>
      <c r="Y7" s="582" t="s">
        <v>690</v>
      </c>
      <c r="Z7" s="582"/>
      <c r="AA7" s="582"/>
      <c r="AB7" s="582"/>
      <c r="AC7" s="582"/>
      <c r="AD7" s="582"/>
      <c r="AE7" s="599"/>
      <c r="AF7" s="599"/>
      <c r="AG7" s="610" t="b">
        <v>0</v>
      </c>
      <c r="AH7" s="582" t="s">
        <v>691</v>
      </c>
      <c r="AI7" s="599"/>
      <c r="AJ7" s="599"/>
      <c r="AK7" s="599"/>
      <c r="AL7" s="599"/>
      <c r="AM7" s="625"/>
      <c r="AN7" s="582"/>
      <c r="AO7" s="582"/>
      <c r="AP7" s="582"/>
      <c r="AQ7" s="582"/>
      <c r="AR7" s="582"/>
      <c r="AS7" s="997"/>
      <c r="AT7" s="434"/>
      <c r="AU7" s="434"/>
      <c r="AV7" s="434"/>
      <c r="AW7" s="434"/>
      <c r="AX7" s="434"/>
      <c r="BB7" s="41"/>
      <c r="BC7" s="41"/>
      <c r="BD7" s="41"/>
      <c r="BE7" s="41"/>
    </row>
    <row r="8" spans="1:57" ht="19.5">
      <c r="A8" s="434"/>
      <c r="B8" s="434"/>
      <c r="C8" s="434"/>
      <c r="D8" s="434"/>
      <c r="E8" s="1103"/>
      <c r="F8" s="640"/>
      <c r="G8" s="640"/>
      <c r="H8" s="640"/>
      <c r="I8" s="610" t="b">
        <v>0</v>
      </c>
      <c r="J8" s="582" t="s">
        <v>416</v>
      </c>
      <c r="K8" s="599"/>
      <c r="L8" s="599"/>
      <c r="M8" s="599"/>
      <c r="N8" s="599"/>
      <c r="O8" s="599"/>
      <c r="P8" s="599"/>
      <c r="Q8" s="610" t="b">
        <v>0</v>
      </c>
      <c r="R8" s="582" t="s">
        <v>692</v>
      </c>
      <c r="S8" s="599"/>
      <c r="T8" s="599"/>
      <c r="U8" s="599"/>
      <c r="V8" s="599"/>
      <c r="W8" s="599"/>
      <c r="X8" s="610" t="b">
        <v>0</v>
      </c>
      <c r="Y8" s="582" t="s">
        <v>693</v>
      </c>
      <c r="Z8" s="582"/>
      <c r="AA8" s="582"/>
      <c r="AB8" s="582"/>
      <c r="AC8" s="582"/>
      <c r="AD8" s="582"/>
      <c r="AE8" s="599"/>
      <c r="AF8" s="599"/>
      <c r="AG8" s="610" t="b">
        <v>0</v>
      </c>
      <c r="AH8" s="637" t="s">
        <v>1021</v>
      </c>
      <c r="AI8" s="591"/>
      <c r="AJ8" s="591"/>
      <c r="AK8" s="591"/>
      <c r="AL8" s="591"/>
      <c r="AM8" s="2617"/>
      <c r="AN8" s="2617"/>
      <c r="AO8" s="2617"/>
      <c r="AP8" s="2617"/>
      <c r="AQ8" s="2617"/>
      <c r="AR8" s="2617"/>
      <c r="AS8" s="705"/>
      <c r="AT8" s="434"/>
      <c r="AU8" s="434"/>
      <c r="AV8" s="434"/>
      <c r="AW8" s="434"/>
      <c r="AX8" s="434"/>
      <c r="BB8" s="41"/>
      <c r="BC8" s="41"/>
      <c r="BD8" s="41"/>
      <c r="BE8" s="41"/>
    </row>
    <row r="9" spans="1:57" ht="2.25" customHeight="1">
      <c r="A9" s="434"/>
      <c r="B9" s="434"/>
      <c r="C9" s="434"/>
      <c r="D9" s="434"/>
      <c r="E9" s="639"/>
      <c r="F9" s="640"/>
      <c r="G9" s="1088"/>
      <c r="H9" s="582"/>
      <c r="I9" s="582"/>
      <c r="J9" s="582"/>
      <c r="K9" s="582"/>
      <c r="L9" s="582"/>
      <c r="M9" s="582"/>
      <c r="N9" s="582"/>
      <c r="O9" s="582"/>
      <c r="P9" s="582"/>
      <c r="Q9" s="625"/>
      <c r="R9" s="625"/>
      <c r="S9" s="625"/>
      <c r="T9" s="625"/>
      <c r="U9" s="625"/>
      <c r="V9" s="582"/>
      <c r="W9" s="625"/>
      <c r="X9" s="625"/>
      <c r="Y9" s="625"/>
      <c r="Z9" s="625"/>
      <c r="AA9" s="625"/>
      <c r="AB9" s="625"/>
      <c r="AC9" s="582"/>
      <c r="AD9" s="582"/>
      <c r="AE9" s="582"/>
      <c r="AF9" s="582"/>
      <c r="AG9" s="582"/>
      <c r="AH9" s="582"/>
      <c r="AI9" s="582"/>
      <c r="AJ9" s="582"/>
      <c r="AK9" s="582"/>
      <c r="AL9" s="582"/>
      <c r="AM9" s="582"/>
      <c r="AN9" s="582"/>
      <c r="AO9" s="582"/>
      <c r="AP9" s="582"/>
      <c r="AQ9" s="582"/>
      <c r="AR9" s="582"/>
      <c r="AS9" s="592"/>
      <c r="AT9" s="434"/>
      <c r="AU9" s="434"/>
      <c r="AV9" s="434"/>
      <c r="AW9" s="434"/>
      <c r="AX9" s="434"/>
      <c r="BB9" s="41"/>
      <c r="BC9" s="41"/>
      <c r="BD9" s="41"/>
      <c r="BE9" s="41"/>
    </row>
    <row r="10" spans="1:57" ht="20.25">
      <c r="A10" s="434"/>
      <c r="B10" s="434"/>
      <c r="C10" s="434"/>
      <c r="D10" s="434"/>
      <c r="E10" s="1103"/>
      <c r="F10" s="1104" t="s">
        <v>694</v>
      </c>
      <c r="G10" s="634"/>
      <c r="H10" s="634"/>
      <c r="I10" s="634"/>
      <c r="J10" s="634"/>
      <c r="K10" s="634"/>
      <c r="L10" s="634"/>
      <c r="M10" s="634"/>
      <c r="N10" s="634"/>
      <c r="O10" s="634"/>
      <c r="P10" s="625"/>
      <c r="Q10" s="582"/>
      <c r="R10" s="582"/>
      <c r="S10" s="582"/>
      <c r="T10" s="582"/>
      <c r="U10" s="582"/>
      <c r="V10" s="996"/>
      <c r="W10" s="625"/>
      <c r="X10" s="625"/>
      <c r="Y10" s="625"/>
      <c r="Z10" s="625"/>
      <c r="AA10" s="625"/>
      <c r="AB10" s="625"/>
      <c r="AC10" s="582"/>
      <c r="AD10" s="582"/>
      <c r="AE10" s="582"/>
      <c r="AF10" s="582"/>
      <c r="AG10" s="582"/>
      <c r="AH10" s="662"/>
      <c r="AI10" s="582"/>
      <c r="AJ10" s="582"/>
      <c r="AK10" s="582"/>
      <c r="AL10" s="582"/>
      <c r="AM10" s="1716" t="str">
        <f>IF(AND(fp_fundsource_others=TRUE,ISBLANK(fp_fundsource_others_specify)),"Please specify.",IF(AND(fp_fundsource_others=FALSE,fp_fundsource_others_specify&gt;0),"Please check Others if you have entries.",""))</f>
        <v/>
      </c>
      <c r="AN10" s="582"/>
      <c r="AO10" s="582"/>
      <c r="AP10" s="582"/>
      <c r="AQ10" s="582"/>
      <c r="AR10" s="582"/>
      <c r="AS10" s="592"/>
      <c r="AT10" s="434"/>
      <c r="AU10" s="434"/>
      <c r="AV10" s="434"/>
      <c r="AW10" s="434"/>
      <c r="AX10" s="434"/>
      <c r="BB10" s="41"/>
      <c r="BC10" s="41"/>
      <c r="BD10" s="41"/>
      <c r="BE10" s="41"/>
    </row>
    <row r="11" spans="1:57" ht="19.5">
      <c r="A11" s="434"/>
      <c r="B11" s="434"/>
      <c r="C11" s="434"/>
      <c r="D11" s="434"/>
      <c r="E11" s="639"/>
      <c r="F11" s="599"/>
      <c r="G11" s="599"/>
      <c r="H11" s="599"/>
      <c r="I11" s="610" t="b">
        <v>1</v>
      </c>
      <c r="J11" s="582" t="s">
        <v>1013</v>
      </c>
      <c r="K11" s="599"/>
      <c r="L11" s="599"/>
      <c r="M11" s="599"/>
      <c r="N11" s="599"/>
      <c r="O11" s="599"/>
      <c r="P11" s="599"/>
      <c r="Q11" s="434"/>
      <c r="R11" s="434"/>
      <c r="S11" s="599"/>
      <c r="T11" s="599"/>
      <c r="U11" s="599"/>
      <c r="V11" s="599"/>
      <c r="W11" s="599"/>
      <c r="X11" s="434"/>
      <c r="Y11" s="434"/>
      <c r="Z11" s="434"/>
      <c r="AA11" s="434"/>
      <c r="AB11" s="582"/>
      <c r="AC11" s="582"/>
      <c r="AD11" s="434"/>
      <c r="AE11" s="434"/>
      <c r="AF11" s="582"/>
      <c r="AG11" s="434"/>
      <c r="AH11" s="434"/>
      <c r="AI11" s="434"/>
      <c r="AJ11" s="434"/>
      <c r="AK11" s="434"/>
      <c r="AL11" s="434"/>
      <c r="AM11" s="434"/>
      <c r="AN11" s="434"/>
      <c r="AO11" s="434"/>
      <c r="AP11" s="434"/>
      <c r="AQ11" s="434"/>
      <c r="AR11" s="434"/>
      <c r="AS11" s="997"/>
      <c r="AT11" s="434"/>
      <c r="AU11" s="434"/>
      <c r="AV11" s="434"/>
      <c r="AW11" s="593"/>
      <c r="AX11" s="593"/>
      <c r="AY11" s="593"/>
      <c r="AZ11" s="41"/>
    </row>
    <row r="12" spans="1:57" ht="19.5">
      <c r="A12" s="434"/>
      <c r="B12" s="434"/>
      <c r="C12" s="434"/>
      <c r="D12" s="434"/>
      <c r="E12" s="639"/>
      <c r="F12" s="599"/>
      <c r="G12" s="599"/>
      <c r="H12" s="599"/>
      <c r="I12" s="625"/>
      <c r="J12" s="434"/>
      <c r="K12" s="434"/>
      <c r="L12" s="610" t="b">
        <v>0</v>
      </c>
      <c r="M12" s="582" t="s">
        <v>695</v>
      </c>
      <c r="N12" s="599"/>
      <c r="O12" s="599"/>
      <c r="P12" s="599"/>
      <c r="Q12" s="610" t="b">
        <v>1</v>
      </c>
      <c r="R12" s="582" t="s">
        <v>696</v>
      </c>
      <c r="S12" s="434"/>
      <c r="T12" s="434"/>
      <c r="U12" s="434"/>
      <c r="V12" s="434"/>
      <c r="W12" s="434"/>
      <c r="X12" s="610" t="b">
        <v>1</v>
      </c>
      <c r="Y12" s="582" t="s">
        <v>697</v>
      </c>
      <c r="Z12" s="582"/>
      <c r="AA12" s="582"/>
      <c r="AB12" s="582"/>
      <c r="AC12" s="582"/>
      <c r="AD12" s="610" t="b">
        <v>0</v>
      </c>
      <c r="AE12" s="582" t="s">
        <v>698</v>
      </c>
      <c r="AF12" s="582"/>
      <c r="AG12" s="434"/>
      <c r="AH12" s="434"/>
      <c r="AI12" s="434"/>
      <c r="AJ12" s="434"/>
      <c r="AK12" s="599"/>
      <c r="AL12" s="434"/>
      <c r="AM12" s="434"/>
      <c r="AN12" s="599"/>
      <c r="AO12" s="599"/>
      <c r="AP12" s="434"/>
      <c r="AQ12" s="434"/>
      <c r="AR12" s="434"/>
      <c r="AS12" s="997"/>
      <c r="AT12" s="434"/>
      <c r="AU12" s="434"/>
      <c r="AV12" s="434"/>
      <c r="AW12" s="593"/>
      <c r="AX12" s="593"/>
      <c r="AY12" s="593"/>
      <c r="AZ12" s="41"/>
    </row>
    <row r="13" spans="1:57" ht="19.5">
      <c r="A13" s="434"/>
      <c r="B13" s="434"/>
      <c r="C13" s="434"/>
      <c r="D13" s="434"/>
      <c r="E13" s="639"/>
      <c r="F13" s="599"/>
      <c r="G13" s="599"/>
      <c r="H13" s="599"/>
      <c r="I13" s="610" t="b">
        <v>0</v>
      </c>
      <c r="J13" s="582" t="s">
        <v>699</v>
      </c>
      <c r="K13" s="582"/>
      <c r="L13" s="582"/>
      <c r="M13" s="434"/>
      <c r="N13" s="434"/>
      <c r="O13" s="434"/>
      <c r="P13" s="599"/>
      <c r="Q13" s="434"/>
      <c r="R13" s="625"/>
      <c r="S13" s="582"/>
      <c r="T13" s="434"/>
      <c r="U13" s="599"/>
      <c r="V13" s="599"/>
      <c r="W13" s="599"/>
      <c r="X13" s="434"/>
      <c r="Y13" s="434"/>
      <c r="Z13" s="582"/>
      <c r="AA13" s="434"/>
      <c r="AB13" s="434"/>
      <c r="AC13" s="434"/>
      <c r="AD13" s="434"/>
      <c r="AE13" s="599"/>
      <c r="AF13" s="599"/>
      <c r="AG13" s="434"/>
      <c r="AH13" s="434"/>
      <c r="AI13" s="434"/>
      <c r="AJ13" s="434"/>
      <c r="AK13" s="434"/>
      <c r="AL13" s="434"/>
      <c r="AM13" s="434"/>
      <c r="AN13" s="599"/>
      <c r="AO13" s="599"/>
      <c r="AP13" s="434"/>
      <c r="AQ13" s="434"/>
      <c r="AR13" s="434"/>
      <c r="AS13" s="997"/>
      <c r="AT13" s="434"/>
      <c r="AU13" s="434"/>
      <c r="AV13" s="434"/>
      <c r="AW13" s="593"/>
      <c r="AX13" s="593"/>
      <c r="AY13" s="593"/>
      <c r="AZ13" s="41"/>
    </row>
    <row r="14" spans="1:57" ht="19.5">
      <c r="A14" s="434"/>
      <c r="B14" s="434"/>
      <c r="C14" s="434"/>
      <c r="D14" s="434"/>
      <c r="E14" s="639"/>
      <c r="F14" s="599"/>
      <c r="G14" s="599"/>
      <c r="H14" s="599"/>
      <c r="I14" s="610" t="b">
        <v>1</v>
      </c>
      <c r="J14" s="582" t="s">
        <v>700</v>
      </c>
      <c r="K14" s="582"/>
      <c r="L14" s="434"/>
      <c r="M14" s="434"/>
      <c r="N14" s="434"/>
      <c r="O14" s="434"/>
      <c r="P14" s="599"/>
      <c r="Q14" s="434"/>
      <c r="R14" s="625"/>
      <c r="S14" s="582"/>
      <c r="T14" s="434"/>
      <c r="U14" s="599"/>
      <c r="V14" s="599"/>
      <c r="W14" s="599"/>
      <c r="X14" s="434"/>
      <c r="Y14" s="434"/>
      <c r="Z14" s="582"/>
      <c r="AA14" s="434"/>
      <c r="AB14" s="434"/>
      <c r="AC14" s="434"/>
      <c r="AD14" s="434"/>
      <c r="AE14" s="599"/>
      <c r="AF14" s="599"/>
      <c r="AG14" s="625"/>
      <c r="AH14" s="582"/>
      <c r="AI14" s="434"/>
      <c r="AJ14" s="434"/>
      <c r="AK14" s="434"/>
      <c r="AL14" s="434"/>
      <c r="AM14" s="434"/>
      <c r="AN14" s="599"/>
      <c r="AO14" s="599"/>
      <c r="AP14" s="434"/>
      <c r="AQ14" s="434"/>
      <c r="AR14" s="434"/>
      <c r="AS14" s="997"/>
      <c r="AT14" s="434"/>
      <c r="AU14" s="434"/>
      <c r="AV14" s="434"/>
      <c r="AW14" s="593"/>
      <c r="AX14" s="593"/>
      <c r="AY14" s="593"/>
      <c r="AZ14" s="41"/>
    </row>
    <row r="15" spans="1:57" ht="19.5">
      <c r="A15" s="434"/>
      <c r="B15" s="434"/>
      <c r="C15" s="434"/>
      <c r="D15" s="434"/>
      <c r="E15" s="639"/>
      <c r="F15" s="599"/>
      <c r="G15" s="599"/>
      <c r="H15" s="599"/>
      <c r="I15" s="610" t="b">
        <v>0</v>
      </c>
      <c r="J15" s="582" t="s">
        <v>701</v>
      </c>
      <c r="K15" s="434"/>
      <c r="L15" s="434"/>
      <c r="M15" s="434"/>
      <c r="N15" s="434"/>
      <c r="O15" s="434"/>
      <c r="P15" s="599"/>
      <c r="Q15" s="434"/>
      <c r="R15" s="625"/>
      <c r="S15" s="582"/>
      <c r="T15" s="434"/>
      <c r="U15" s="599"/>
      <c r="V15" s="599"/>
      <c r="W15" s="599"/>
      <c r="X15" s="434"/>
      <c r="Y15" s="434"/>
      <c r="Z15" s="582"/>
      <c r="AA15" s="434"/>
      <c r="AB15" s="434"/>
      <c r="AC15" s="434"/>
      <c r="AD15" s="434"/>
      <c r="AE15" s="599"/>
      <c r="AF15" s="599"/>
      <c r="AG15" s="625"/>
      <c r="AH15" s="582"/>
      <c r="AI15" s="434"/>
      <c r="AJ15" s="434"/>
      <c r="AK15" s="434"/>
      <c r="AL15" s="434"/>
      <c r="AM15" s="434"/>
      <c r="AN15" s="599"/>
      <c r="AO15" s="599"/>
      <c r="AP15" s="434"/>
      <c r="AQ15" s="434"/>
      <c r="AR15" s="434"/>
      <c r="AS15" s="997"/>
      <c r="AT15" s="434"/>
      <c r="AU15" s="434"/>
      <c r="AV15" s="434"/>
      <c r="AW15" s="593"/>
      <c r="AX15" s="593"/>
      <c r="AY15" s="593"/>
      <c r="AZ15" s="41"/>
    </row>
    <row r="16" spans="1:57" ht="19.5">
      <c r="A16" s="434"/>
      <c r="B16" s="434"/>
      <c r="C16" s="434"/>
      <c r="D16" s="434"/>
      <c r="E16" s="639"/>
      <c r="F16" s="599"/>
      <c r="G16" s="599"/>
      <c r="H16" s="599"/>
      <c r="I16" s="610" t="b">
        <v>0</v>
      </c>
      <c r="J16" s="637" t="s">
        <v>1021</v>
      </c>
      <c r="K16" s="591"/>
      <c r="L16" s="591"/>
      <c r="M16" s="591"/>
      <c r="N16" s="591"/>
      <c r="O16" s="2617"/>
      <c r="P16" s="2617"/>
      <c r="Q16" s="2617"/>
      <c r="R16" s="2617"/>
      <c r="S16" s="2617"/>
      <c r="T16" s="2617"/>
      <c r="U16" s="1737" t="str">
        <f>IF(AND(fp_agri_others=TRUE,ISBLANK(fp_agri_others_specify)),"Please specify.",IF(AND(fp_agri_others=FALSE,fp_agri_others_specify&gt;0),"Please check Others if you have entries.",""))</f>
        <v/>
      </c>
      <c r="V16" s="599"/>
      <c r="W16" s="599"/>
      <c r="X16" s="434"/>
      <c r="Y16" s="434"/>
      <c r="Z16" s="582"/>
      <c r="AA16" s="434"/>
      <c r="AB16" s="434"/>
      <c r="AC16" s="434"/>
      <c r="AD16" s="434"/>
      <c r="AE16" s="599"/>
      <c r="AF16" s="599"/>
      <c r="AG16" s="625"/>
      <c r="AH16" s="582"/>
      <c r="AI16" s="434"/>
      <c r="AJ16" s="434"/>
      <c r="AK16" s="434"/>
      <c r="AL16" s="434"/>
      <c r="AM16" s="434"/>
      <c r="AN16" s="599"/>
      <c r="AO16" s="599"/>
      <c r="AP16" s="434"/>
      <c r="AQ16" s="434"/>
      <c r="AR16" s="434"/>
      <c r="AS16" s="997"/>
      <c r="AT16" s="434"/>
      <c r="AU16" s="434"/>
      <c r="AV16" s="434"/>
      <c r="AW16" s="593"/>
      <c r="AX16" s="593"/>
      <c r="AY16" s="593"/>
      <c r="AZ16" s="41"/>
    </row>
    <row r="17" spans="1:57" ht="19.5">
      <c r="A17" s="434"/>
      <c r="B17" s="434"/>
      <c r="C17" s="434"/>
      <c r="D17" s="434"/>
      <c r="E17" s="639"/>
      <c r="F17" s="599"/>
      <c r="G17" s="599"/>
      <c r="H17" s="599"/>
      <c r="I17" s="610" t="b">
        <v>0</v>
      </c>
      <c r="J17" s="582" t="s">
        <v>702</v>
      </c>
      <c r="K17" s="434"/>
      <c r="L17" s="434"/>
      <c r="M17" s="434"/>
      <c r="N17" s="434"/>
      <c r="O17" s="434"/>
      <c r="P17" s="599"/>
      <c r="Q17" s="434"/>
      <c r="R17" s="625"/>
      <c r="S17" s="582"/>
      <c r="T17" s="434"/>
      <c r="U17" s="599"/>
      <c r="V17" s="599"/>
      <c r="W17" s="599"/>
      <c r="X17" s="434"/>
      <c r="Y17" s="434"/>
      <c r="Z17" s="582"/>
      <c r="AA17" s="434"/>
      <c r="AB17" s="434"/>
      <c r="AC17" s="434"/>
      <c r="AD17" s="434"/>
      <c r="AE17" s="599"/>
      <c r="AF17" s="599"/>
      <c r="AG17" s="625"/>
      <c r="AH17" s="582"/>
      <c r="AI17" s="434"/>
      <c r="AJ17" s="434"/>
      <c r="AK17" s="434"/>
      <c r="AL17" s="434"/>
      <c r="AM17" s="434"/>
      <c r="AN17" s="599"/>
      <c r="AO17" s="599"/>
      <c r="AP17" s="434"/>
      <c r="AQ17" s="434"/>
      <c r="AR17" s="434"/>
      <c r="AS17" s="997"/>
      <c r="AT17" s="434"/>
      <c r="AU17" s="434"/>
      <c r="AV17" s="434"/>
      <c r="AW17" s="593"/>
      <c r="AX17" s="593"/>
      <c r="AY17" s="593"/>
      <c r="AZ17" s="41"/>
    </row>
    <row r="18" spans="1:57" ht="19.5">
      <c r="A18" s="434"/>
      <c r="B18" s="434"/>
      <c r="C18" s="434"/>
      <c r="D18" s="434"/>
      <c r="E18" s="1103"/>
      <c r="F18" s="989" t="s">
        <v>703</v>
      </c>
      <c r="G18" s="1105"/>
      <c r="H18" s="1105"/>
      <c r="I18" s="1105"/>
      <c r="J18" s="1105"/>
      <c r="K18" s="1105"/>
      <c r="L18" s="1105"/>
      <c r="M18" s="1105"/>
      <c r="N18" s="1105"/>
      <c r="O18" s="1105"/>
      <c r="P18" s="1105"/>
      <c r="Q18" s="1105"/>
      <c r="R18" s="1105"/>
      <c r="S18" s="1105"/>
      <c r="T18" s="1105"/>
      <c r="U18" s="861"/>
      <c r="V18" s="593"/>
      <c r="W18" s="434"/>
      <c r="X18" s="434"/>
      <c r="Y18" s="873" t="b">
        <v>0</v>
      </c>
      <c r="Z18" s="593" t="s">
        <v>484</v>
      </c>
      <c r="AA18" s="593"/>
      <c r="AB18" s="434"/>
      <c r="AC18" s="434"/>
      <c r="AD18" s="873"/>
      <c r="AE18" s="593" t="s">
        <v>485</v>
      </c>
      <c r="AF18" s="593"/>
      <c r="AG18" s="861"/>
      <c r="AH18" s="861"/>
      <c r="AI18" s="861"/>
      <c r="AJ18" s="593"/>
      <c r="AK18" s="434"/>
      <c r="AL18" s="434"/>
      <c r="AM18" s="434"/>
      <c r="AN18" s="434"/>
      <c r="AO18" s="434"/>
      <c r="AP18" s="434"/>
      <c r="AQ18" s="434"/>
      <c r="AR18" s="434"/>
      <c r="AS18" s="705"/>
      <c r="AT18" s="434"/>
      <c r="AU18" s="434"/>
      <c r="AV18" s="434"/>
      <c r="AW18" s="434"/>
      <c r="AX18" s="434"/>
      <c r="BB18" s="41"/>
      <c r="BC18" s="41"/>
      <c r="BD18" s="41"/>
      <c r="BE18" s="41"/>
    </row>
    <row r="19" spans="1:57" ht="20.25">
      <c r="A19" s="434"/>
      <c r="B19" s="434"/>
      <c r="C19" s="434"/>
      <c r="D19" s="434"/>
      <c r="E19" s="1103"/>
      <c r="F19" s="599"/>
      <c r="G19" s="633" t="s">
        <v>704</v>
      </c>
      <c r="H19" s="633"/>
      <c r="I19" s="634"/>
      <c r="J19" s="634"/>
      <c r="K19" s="634"/>
      <c r="L19" s="634"/>
      <c r="M19" s="634"/>
      <c r="N19" s="634"/>
      <c r="O19" s="634"/>
      <c r="P19" s="634"/>
      <c r="Q19" s="634"/>
      <c r="R19" s="634"/>
      <c r="S19" s="634"/>
      <c r="T19" s="634"/>
      <c r="U19" s="634"/>
      <c r="V19" s="625"/>
      <c r="W19" s="582"/>
      <c r="X19" s="582"/>
      <c r="Y19" s="582"/>
      <c r="Z19" s="582"/>
      <c r="AA19" s="582"/>
      <c r="AB19" s="582"/>
      <c r="AC19" s="996"/>
      <c r="AD19" s="625"/>
      <c r="AE19" s="625"/>
      <c r="AF19" s="625"/>
      <c r="AG19" s="625"/>
      <c r="AH19" s="625"/>
      <c r="AI19" s="625"/>
      <c r="AJ19" s="582"/>
      <c r="AK19" s="582"/>
      <c r="AL19" s="582"/>
      <c r="AM19" s="582"/>
      <c r="AN19" s="582"/>
      <c r="AO19" s="582"/>
      <c r="AP19" s="582"/>
      <c r="AQ19" s="582"/>
      <c r="AR19" s="582"/>
      <c r="AS19" s="592"/>
      <c r="AT19" s="434"/>
      <c r="AU19" s="434"/>
      <c r="AV19" s="434"/>
      <c r="AW19" s="434"/>
      <c r="AX19" s="434"/>
    </row>
    <row r="20" spans="1:57" ht="19.5">
      <c r="A20" s="434"/>
      <c r="B20" s="434"/>
      <c r="C20" s="434"/>
      <c r="D20" s="434"/>
      <c r="E20" s="1103"/>
      <c r="F20" s="599"/>
      <c r="G20" s="599"/>
      <c r="H20" s="599"/>
      <c r="I20" s="610" t="b">
        <v>0</v>
      </c>
      <c r="J20" s="582" t="s">
        <v>415</v>
      </c>
      <c r="K20" s="599"/>
      <c r="L20" s="434"/>
      <c r="M20" s="434"/>
      <c r="N20" s="434"/>
      <c r="O20" s="434"/>
      <c r="P20" s="434"/>
      <c r="Q20" s="610" t="b">
        <v>0</v>
      </c>
      <c r="R20" s="582" t="s">
        <v>689</v>
      </c>
      <c r="S20" s="599"/>
      <c r="T20" s="599"/>
      <c r="U20" s="599"/>
      <c r="V20" s="599"/>
      <c r="W20" s="599"/>
      <c r="X20" s="610" t="b">
        <v>0</v>
      </c>
      <c r="Y20" s="582" t="s">
        <v>690</v>
      </c>
      <c r="Z20" s="582"/>
      <c r="AA20" s="582"/>
      <c r="AB20" s="582"/>
      <c r="AC20" s="582"/>
      <c r="AD20" s="582"/>
      <c r="AE20" s="599"/>
      <c r="AF20" s="599"/>
      <c r="AG20" s="610" t="b">
        <v>0</v>
      </c>
      <c r="AH20" s="637" t="s">
        <v>1021</v>
      </c>
      <c r="AI20" s="591"/>
      <c r="AJ20" s="591"/>
      <c r="AK20" s="591"/>
      <c r="AL20" s="591"/>
      <c r="AM20" s="2617"/>
      <c r="AN20" s="2617"/>
      <c r="AO20" s="2617"/>
      <c r="AP20" s="2617"/>
      <c r="AQ20" s="2617"/>
      <c r="AR20" s="2617"/>
      <c r="AS20" s="705"/>
      <c r="AT20" s="599"/>
      <c r="AU20" s="434"/>
      <c r="AV20" s="434"/>
      <c r="AW20" s="434"/>
      <c r="AX20" s="434"/>
    </row>
    <row r="21" spans="1:57" ht="19.5">
      <c r="A21" s="434"/>
      <c r="B21" s="434"/>
      <c r="C21" s="434"/>
      <c r="D21" s="434"/>
      <c r="E21" s="1103"/>
      <c r="F21" s="599"/>
      <c r="G21" s="599"/>
      <c r="H21" s="599"/>
      <c r="I21" s="610" t="b">
        <v>0</v>
      </c>
      <c r="J21" s="582" t="s">
        <v>416</v>
      </c>
      <c r="K21" s="599"/>
      <c r="L21" s="434"/>
      <c r="M21" s="434"/>
      <c r="N21" s="434"/>
      <c r="O21" s="434"/>
      <c r="P21" s="434"/>
      <c r="Q21" s="610" t="b">
        <v>0</v>
      </c>
      <c r="R21" s="582" t="s">
        <v>692</v>
      </c>
      <c r="S21" s="599"/>
      <c r="T21" s="599"/>
      <c r="U21" s="599"/>
      <c r="V21" s="599"/>
      <c r="W21" s="599"/>
      <c r="X21" s="610" t="b">
        <v>0</v>
      </c>
      <c r="Y21" s="582" t="s">
        <v>693</v>
      </c>
      <c r="Z21" s="582"/>
      <c r="AA21" s="582"/>
      <c r="AB21" s="582"/>
      <c r="AC21" s="582"/>
      <c r="AD21" s="582"/>
      <c r="AE21" s="599"/>
      <c r="AF21" s="599"/>
      <c r="AG21" s="599"/>
      <c r="AH21" s="767"/>
      <c r="AI21" s="599"/>
      <c r="AJ21" s="599"/>
      <c r="AK21" s="599"/>
      <c r="AL21" s="599"/>
      <c r="AM21" s="1716" t="str">
        <f>IF(AND(fp_agri_fundsource_others=FALSE,fp_agri_fundsource_others_specify&gt;0),"Please check Others if you have entries.", IF(AND(fp_agri_fundsource_others=TRUE,ISBLANK(fp_agri_fundsource_others_specify)), "Please specify.", ""))</f>
        <v/>
      </c>
      <c r="AN21" s="599"/>
      <c r="AO21" s="599"/>
      <c r="AP21" s="599"/>
      <c r="AQ21" s="599"/>
      <c r="AR21" s="599"/>
      <c r="AS21" s="705"/>
      <c r="AT21" s="599"/>
      <c r="AU21" s="434"/>
      <c r="AV21" s="434"/>
      <c r="AW21" s="434"/>
      <c r="AX21" s="434"/>
    </row>
    <row r="22" spans="1:57" ht="7.5" customHeight="1" thickBot="1">
      <c r="A22" s="434"/>
      <c r="B22" s="434"/>
      <c r="C22" s="434"/>
      <c r="D22" s="434"/>
      <c r="E22" s="641"/>
      <c r="F22" s="642"/>
      <c r="G22" s="1000"/>
      <c r="H22" s="596"/>
      <c r="I22" s="596"/>
      <c r="J22" s="596"/>
      <c r="K22" s="596"/>
      <c r="L22" s="596"/>
      <c r="M22" s="596"/>
      <c r="N22" s="596"/>
      <c r="O22" s="596"/>
      <c r="P22" s="596"/>
      <c r="Q22" s="866"/>
      <c r="R22" s="866"/>
      <c r="S22" s="866"/>
      <c r="T22" s="866"/>
      <c r="U22" s="866"/>
      <c r="V22" s="596"/>
      <c r="W22" s="866"/>
      <c r="X22" s="866"/>
      <c r="Y22" s="866"/>
      <c r="Z22" s="866"/>
      <c r="AA22" s="866"/>
      <c r="AB22" s="866"/>
      <c r="AC22" s="596"/>
      <c r="AD22" s="596"/>
      <c r="AE22" s="596"/>
      <c r="AF22" s="596"/>
      <c r="AG22" s="596"/>
      <c r="AH22" s="596"/>
      <c r="AI22" s="596"/>
      <c r="AJ22" s="596"/>
      <c r="AK22" s="596"/>
      <c r="AL22" s="596"/>
      <c r="AM22" s="596"/>
      <c r="AN22" s="596"/>
      <c r="AO22" s="596"/>
      <c r="AP22" s="596"/>
      <c r="AQ22" s="596"/>
      <c r="AR22" s="596"/>
      <c r="AS22" s="597"/>
      <c r="AT22" s="434"/>
      <c r="AU22" s="434"/>
      <c r="AV22" s="434"/>
      <c r="AW22" s="434"/>
      <c r="AX22" s="434"/>
    </row>
    <row r="23" spans="1:57" s="41" customFormat="1" ht="20.100000000000001" customHeight="1">
      <c r="A23" s="593"/>
      <c r="B23" s="593"/>
      <c r="C23" s="593"/>
      <c r="D23" s="593"/>
      <c r="E23" s="644"/>
      <c r="F23" s="645"/>
      <c r="G23" s="645"/>
      <c r="H23" s="645"/>
      <c r="I23" s="645"/>
      <c r="J23" s="645"/>
      <c r="K23" s="582"/>
      <c r="L23" s="582"/>
      <c r="M23" s="582"/>
      <c r="N23" s="582"/>
      <c r="O23" s="635"/>
      <c r="P23" s="635"/>
      <c r="Q23" s="635"/>
      <c r="R23" s="635"/>
      <c r="S23" s="582"/>
      <c r="T23" s="635"/>
      <c r="U23" s="635"/>
      <c r="V23" s="635"/>
      <c r="W23" s="635"/>
      <c r="X23" s="582"/>
      <c r="Y23" s="635"/>
      <c r="Z23" s="635"/>
      <c r="AA23" s="635"/>
      <c r="AB23" s="635"/>
      <c r="AC23" s="593"/>
      <c r="AD23" s="593"/>
      <c r="AE23" s="593"/>
      <c r="AF23" s="593"/>
      <c r="AG23" s="593"/>
      <c r="AH23" s="593"/>
      <c r="AI23" s="593"/>
      <c r="AJ23" s="593"/>
      <c r="AK23" s="593"/>
      <c r="AL23" s="593"/>
      <c r="AM23" s="593"/>
      <c r="AN23" s="593"/>
      <c r="AO23" s="593"/>
      <c r="AP23" s="593"/>
      <c r="AQ23" s="593"/>
      <c r="AR23" s="593"/>
      <c r="AS23" s="593"/>
      <c r="AT23" s="593"/>
      <c r="AU23" s="593"/>
      <c r="AV23" s="593"/>
      <c r="AW23" s="593"/>
      <c r="AX23" s="593"/>
      <c r="AY23" s="593"/>
    </row>
    <row r="24" spans="1:57">
      <c r="A24" s="434"/>
      <c r="B24" s="434"/>
      <c r="C24" s="434"/>
      <c r="D24" s="434"/>
      <c r="E24" s="611" t="s">
        <v>11424</v>
      </c>
      <c r="F24" s="434"/>
      <c r="G24" s="434"/>
      <c r="H24" s="434"/>
      <c r="I24" s="434"/>
      <c r="J24" s="434"/>
      <c r="K24" s="434"/>
      <c r="L24" s="434"/>
      <c r="M24" s="434"/>
      <c r="N24" s="434"/>
      <c r="O24" s="434"/>
      <c r="P24" s="434"/>
      <c r="Q24" s="434"/>
      <c r="R24" s="434"/>
      <c r="S24" s="434"/>
      <c r="T24" s="434"/>
      <c r="U24" s="434"/>
      <c r="V24" s="434"/>
      <c r="W24" s="434"/>
      <c r="X24" s="434"/>
      <c r="Y24" s="434"/>
      <c r="Z24" s="434"/>
      <c r="AA24" s="434"/>
      <c r="AB24" s="434"/>
      <c r="AC24" s="434"/>
      <c r="AD24" s="434"/>
      <c r="AE24" s="434"/>
      <c r="AF24" s="434"/>
      <c r="AG24" s="434"/>
      <c r="AH24" s="434"/>
      <c r="AI24" s="434"/>
      <c r="AJ24" s="434"/>
      <c r="AK24" s="434"/>
      <c r="AL24" s="434"/>
      <c r="AM24" s="434"/>
      <c r="AN24" s="434"/>
      <c r="AO24" s="434"/>
      <c r="AP24" s="434"/>
      <c r="AQ24" s="434"/>
      <c r="AR24" s="434"/>
      <c r="AS24" s="434"/>
      <c r="AT24" s="434"/>
      <c r="AU24" s="434"/>
      <c r="AV24" s="434"/>
      <c r="AW24" s="434"/>
      <c r="AX24" s="434"/>
    </row>
    <row r="25" spans="1:57" s="40" customFormat="1" ht="16.5" thickBot="1">
      <c r="A25" s="582"/>
      <c r="B25" s="582"/>
      <c r="C25" s="582"/>
      <c r="D25" s="582"/>
      <c r="E25" s="583" t="s">
        <v>1017</v>
      </c>
      <c r="F25" s="582"/>
      <c r="G25" s="582"/>
      <c r="H25" s="582"/>
      <c r="I25" s="582"/>
      <c r="J25" s="582"/>
      <c r="K25" s="582"/>
      <c r="L25" s="582"/>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c r="AY25" s="582"/>
    </row>
    <row r="26" spans="1:57" ht="8.1" customHeight="1">
      <c r="A26" s="434"/>
      <c r="B26" s="434"/>
      <c r="C26" s="434"/>
      <c r="D26" s="434"/>
      <c r="E26" s="648"/>
      <c r="F26" s="1106"/>
      <c r="G26" s="1106"/>
      <c r="H26" s="1106"/>
      <c r="I26" s="1106"/>
      <c r="J26" s="1106"/>
      <c r="K26" s="650"/>
      <c r="L26" s="650"/>
      <c r="M26" s="650"/>
      <c r="N26" s="650"/>
      <c r="O26" s="650"/>
      <c r="P26" s="650"/>
      <c r="Q26" s="650"/>
      <c r="R26" s="650"/>
      <c r="S26" s="650"/>
      <c r="T26" s="650"/>
      <c r="U26" s="650"/>
      <c r="V26" s="650"/>
      <c r="W26" s="650"/>
      <c r="X26" s="650"/>
      <c r="Y26" s="650"/>
      <c r="Z26" s="650"/>
      <c r="AA26" s="650"/>
      <c r="AB26" s="745"/>
      <c r="AC26" s="1107"/>
      <c r="AD26" s="1107"/>
      <c r="AE26" s="1107"/>
      <c r="AF26" s="1107"/>
      <c r="AG26" s="1108"/>
      <c r="AH26" s="650"/>
      <c r="AI26" s="650"/>
      <c r="AJ26" s="650"/>
      <c r="AK26" s="650"/>
      <c r="AL26" s="650"/>
      <c r="AM26" s="650"/>
      <c r="AN26" s="650"/>
      <c r="AO26" s="650"/>
      <c r="AP26" s="650"/>
      <c r="AQ26" s="650"/>
      <c r="AR26" s="650"/>
      <c r="AS26" s="651"/>
      <c r="AT26" s="434"/>
      <c r="AU26" s="434"/>
      <c r="AV26" s="434"/>
      <c r="AW26" s="434"/>
      <c r="AX26" s="434"/>
    </row>
    <row r="27" spans="1:57" ht="19.5" customHeight="1">
      <c r="A27" s="434"/>
      <c r="B27" s="434"/>
      <c r="C27" s="434"/>
      <c r="D27" s="434"/>
      <c r="E27" s="988"/>
      <c r="F27" s="434" t="s">
        <v>705</v>
      </c>
      <c r="G27" s="1109"/>
      <c r="H27" s="1109"/>
      <c r="I27" s="1109"/>
      <c r="J27" s="1109"/>
      <c r="K27" s="1109"/>
      <c r="L27" s="1109"/>
      <c r="M27" s="1109"/>
      <c r="N27" s="1109"/>
      <c r="O27" s="873" t="b">
        <v>1</v>
      </c>
      <c r="P27" s="960" t="s">
        <v>484</v>
      </c>
      <c r="Q27" s="593"/>
      <c r="R27" s="434"/>
      <c r="S27" s="434"/>
      <c r="T27" s="873"/>
      <c r="U27" s="960" t="s">
        <v>485</v>
      </c>
      <c r="V27" s="434"/>
      <c r="W27" s="434"/>
      <c r="X27" s="434"/>
      <c r="Y27" s="434"/>
      <c r="Z27" s="1109"/>
      <c r="AA27" s="1109"/>
      <c r="AB27" s="599"/>
      <c r="AC27" s="1109"/>
      <c r="AD27" s="1109"/>
      <c r="AE27" s="1109"/>
      <c r="AF27" s="1109"/>
      <c r="AG27" s="1074"/>
      <c r="AH27" s="434"/>
      <c r="AI27" s="434"/>
      <c r="AJ27" s="434"/>
      <c r="AK27" s="434"/>
      <c r="AL27" s="434"/>
      <c r="AM27" s="434"/>
      <c r="AN27" s="434"/>
      <c r="AO27" s="434"/>
      <c r="AP27" s="434"/>
      <c r="AQ27" s="434"/>
      <c r="AR27" s="434"/>
      <c r="AS27" s="997"/>
      <c r="AT27" s="434"/>
      <c r="AU27" s="434"/>
      <c r="AV27" s="434"/>
      <c r="AW27" s="434"/>
      <c r="AX27" s="434"/>
    </row>
    <row r="28" spans="1:57" ht="19.5" customHeight="1" thickBot="1">
      <c r="A28" s="434"/>
      <c r="B28" s="434"/>
      <c r="C28" s="434"/>
      <c r="D28" s="434"/>
      <c r="E28" s="1110"/>
      <c r="F28" s="1111"/>
      <c r="G28" s="1112" t="s">
        <v>593</v>
      </c>
      <c r="H28" s="434"/>
      <c r="I28" s="861"/>
      <c r="J28" s="599"/>
      <c r="K28" s="434"/>
      <c r="L28" s="434"/>
      <c r="M28" s="861"/>
      <c r="N28" s="861"/>
      <c r="O28" s="861"/>
      <c r="P28" s="861"/>
      <c r="Q28" s="861"/>
      <c r="R28" s="861"/>
      <c r="S28" s="861"/>
      <c r="T28" s="861"/>
      <c r="U28" s="861"/>
      <c r="V28" s="960"/>
      <c r="W28" s="593"/>
      <c r="X28" s="434"/>
      <c r="Y28" s="861"/>
      <c r="Z28" s="960"/>
      <c r="AA28" s="434"/>
      <c r="AB28" s="599"/>
      <c r="AC28" s="434"/>
      <c r="AD28" s="861"/>
      <c r="AE28" s="861"/>
      <c r="AF28" s="599"/>
      <c r="AG28" s="434"/>
      <c r="AH28" s="434"/>
      <c r="AI28" s="434"/>
      <c r="AJ28" s="434"/>
      <c r="AK28" s="434"/>
      <c r="AL28" s="434"/>
      <c r="AM28" s="434"/>
      <c r="AN28" s="434"/>
      <c r="AO28" s="434"/>
      <c r="AP28" s="434"/>
      <c r="AQ28" s="434"/>
      <c r="AR28" s="434"/>
      <c r="AS28" s="997"/>
      <c r="AT28" s="434"/>
      <c r="AU28" s="434"/>
      <c r="AV28" s="434"/>
      <c r="AW28" s="434"/>
      <c r="AX28" s="434"/>
    </row>
    <row r="29" spans="1:57" ht="33" customHeight="1" thickBot="1">
      <c r="A29" s="434"/>
      <c r="B29" s="434"/>
      <c r="C29" s="434"/>
      <c r="D29" s="434"/>
      <c r="E29" s="988"/>
      <c r="F29" s="434"/>
      <c r="G29" s="434"/>
      <c r="H29" s="3434" t="s">
        <v>706</v>
      </c>
      <c r="I29" s="3435"/>
      <c r="J29" s="3435"/>
      <c r="K29" s="3435"/>
      <c r="L29" s="3435"/>
      <c r="M29" s="3435"/>
      <c r="N29" s="3435"/>
      <c r="O29" s="3435"/>
      <c r="P29" s="3436"/>
      <c r="Q29" s="3434" t="s">
        <v>707</v>
      </c>
      <c r="R29" s="3435"/>
      <c r="S29" s="3435"/>
      <c r="T29" s="3435"/>
      <c r="U29" s="3435"/>
      <c r="V29" s="3435"/>
      <c r="W29" s="3435"/>
      <c r="X29" s="3436"/>
      <c r="Y29" s="3434" t="s">
        <v>708</v>
      </c>
      <c r="Z29" s="3435"/>
      <c r="AA29" s="3435"/>
      <c r="AB29" s="3435"/>
      <c r="AC29" s="3435"/>
      <c r="AD29" s="3435"/>
      <c r="AE29" s="3435"/>
      <c r="AF29" s="3436"/>
      <c r="AG29" s="3362" t="s">
        <v>709</v>
      </c>
      <c r="AH29" s="3363"/>
      <c r="AI29" s="3363"/>
      <c r="AJ29" s="3363"/>
      <c r="AK29" s="3363"/>
      <c r="AL29" s="3363"/>
      <c r="AM29" s="3363"/>
      <c r="AN29" s="3363"/>
      <c r="AO29" s="3363"/>
      <c r="AP29" s="3364"/>
      <c r="AQ29" s="861"/>
      <c r="AR29" s="861"/>
      <c r="AS29" s="991"/>
      <c r="AT29" s="434"/>
      <c r="AU29" s="434"/>
      <c r="AV29" s="434"/>
      <c r="AW29" s="434"/>
      <c r="AX29" s="434"/>
      <c r="BB29" s="41"/>
      <c r="BC29" s="41"/>
      <c r="BD29" s="41"/>
      <c r="BE29" s="41"/>
    </row>
    <row r="30" spans="1:57" ht="35.450000000000003" customHeight="1">
      <c r="A30" s="434"/>
      <c r="B30" s="434"/>
      <c r="C30" s="434"/>
      <c r="D30" s="434"/>
      <c r="E30" s="988"/>
      <c r="F30" s="434"/>
      <c r="G30" s="434"/>
      <c r="H30" s="1113"/>
      <c r="I30" s="1140" t="b">
        <v>0</v>
      </c>
      <c r="J30" s="586" t="s">
        <v>710</v>
      </c>
      <c r="K30" s="650"/>
      <c r="L30" s="615"/>
      <c r="M30" s="615"/>
      <c r="N30" s="615"/>
      <c r="O30" s="615"/>
      <c r="P30" s="1114"/>
      <c r="Q30" s="1115"/>
      <c r="R30" s="3429"/>
      <c r="S30" s="3430"/>
      <c r="T30" s="3430"/>
      <c r="U30" s="3430"/>
      <c r="V30" s="3430"/>
      <c r="W30" s="3430"/>
      <c r="X30" s="1114"/>
      <c r="Y30" s="615"/>
      <c r="Z30" s="3429"/>
      <c r="AA30" s="3430"/>
      <c r="AB30" s="3430"/>
      <c r="AC30" s="3430"/>
      <c r="AD30" s="3430"/>
      <c r="AE30" s="3430"/>
      <c r="AF30" s="1114"/>
      <c r="AG30" s="615"/>
      <c r="AH30" s="1140" t="b">
        <v>0</v>
      </c>
      <c r="AI30" s="586" t="s">
        <v>484</v>
      </c>
      <c r="AJ30" s="1116"/>
      <c r="AK30" s="1117"/>
      <c r="AL30" s="1117"/>
      <c r="AM30" s="1140"/>
      <c r="AN30" s="585" t="s">
        <v>485</v>
      </c>
      <c r="AO30" s="585"/>
      <c r="AP30" s="1118"/>
      <c r="AQ30" s="861"/>
      <c r="AR30" s="861"/>
      <c r="AS30" s="991"/>
      <c r="AT30" s="434"/>
      <c r="AU30" s="434"/>
      <c r="AV30" s="434"/>
      <c r="AW30" s="434"/>
      <c r="AX30" s="434"/>
      <c r="BB30" s="41"/>
      <c r="BC30" s="41"/>
      <c r="BD30" s="41"/>
      <c r="BE30" s="41"/>
    </row>
    <row r="31" spans="1:57" ht="5.0999999999999996" customHeight="1">
      <c r="A31" s="434"/>
      <c r="B31" s="434"/>
      <c r="C31" s="434"/>
      <c r="D31" s="434"/>
      <c r="E31" s="988"/>
      <c r="F31" s="434"/>
      <c r="G31" s="434"/>
      <c r="H31" s="1119"/>
      <c r="I31" s="1120"/>
      <c r="J31" s="894"/>
      <c r="K31" s="1121"/>
      <c r="L31" s="1122"/>
      <c r="M31" s="1122"/>
      <c r="N31" s="1122"/>
      <c r="O31" s="1122"/>
      <c r="P31" s="1123"/>
      <c r="Q31" s="1124"/>
      <c r="R31" s="1125"/>
      <c r="S31" s="1122"/>
      <c r="T31" s="1122"/>
      <c r="U31" s="1122"/>
      <c r="V31" s="1122"/>
      <c r="W31" s="1122"/>
      <c r="X31" s="1123"/>
      <c r="Y31" s="1122"/>
      <c r="Z31" s="1125"/>
      <c r="AA31" s="1122"/>
      <c r="AB31" s="1122"/>
      <c r="AC31" s="1122"/>
      <c r="AD31" s="1122"/>
      <c r="AE31" s="1122"/>
      <c r="AF31" s="1123"/>
      <c r="AG31" s="1122"/>
      <c r="AH31" s="1120"/>
      <c r="AI31" s="894"/>
      <c r="AJ31" s="1126"/>
      <c r="AK31" s="1127"/>
      <c r="AL31" s="1127"/>
      <c r="AM31" s="1120"/>
      <c r="AN31" s="1128"/>
      <c r="AO31" s="1128"/>
      <c r="AP31" s="1129"/>
      <c r="AQ31" s="861"/>
      <c r="AR31" s="861"/>
      <c r="AS31" s="991"/>
      <c r="AT31" s="434"/>
      <c r="AU31" s="434"/>
      <c r="AV31" s="434"/>
      <c r="AW31" s="434"/>
      <c r="AX31" s="434"/>
      <c r="BB31" s="41"/>
      <c r="BC31" s="41"/>
      <c r="BD31" s="41"/>
      <c r="BE31" s="41"/>
    </row>
    <row r="32" spans="1:57" ht="35.450000000000003" customHeight="1">
      <c r="A32" s="434"/>
      <c r="B32" s="434"/>
      <c r="C32" s="434"/>
      <c r="D32" s="434"/>
      <c r="E32" s="988"/>
      <c r="F32" s="434"/>
      <c r="G32" s="434"/>
      <c r="H32" s="1058"/>
      <c r="I32" s="610" t="b">
        <v>1</v>
      </c>
      <c r="J32" s="582" t="s">
        <v>711</v>
      </c>
      <c r="K32" s="434"/>
      <c r="L32" s="622"/>
      <c r="M32" s="622"/>
      <c r="N32" s="622"/>
      <c r="O32" s="622"/>
      <c r="P32" s="1078"/>
      <c r="Q32" s="623"/>
      <c r="R32" s="3431">
        <v>44619</v>
      </c>
      <c r="S32" s="3432"/>
      <c r="T32" s="3432"/>
      <c r="U32" s="3432"/>
      <c r="V32" s="3432"/>
      <c r="W32" s="3432"/>
      <c r="X32" s="1078"/>
      <c r="Y32" s="623"/>
      <c r="Z32" s="3431">
        <v>44926</v>
      </c>
      <c r="AA32" s="3432"/>
      <c r="AB32" s="3432"/>
      <c r="AC32" s="3432"/>
      <c r="AD32" s="3432"/>
      <c r="AE32" s="3432"/>
      <c r="AF32" s="1078"/>
      <c r="AG32" s="623"/>
      <c r="AH32" s="610" t="b">
        <v>1</v>
      </c>
      <c r="AI32" s="582" t="s">
        <v>484</v>
      </c>
      <c r="AJ32" s="1130"/>
      <c r="AK32" s="1131"/>
      <c r="AL32" s="1131"/>
      <c r="AM32" s="610"/>
      <c r="AN32" s="604" t="s">
        <v>485</v>
      </c>
      <c r="AO32" s="604"/>
      <c r="AP32" s="991"/>
      <c r="AQ32" s="861"/>
      <c r="AR32" s="861"/>
      <c r="AS32" s="991"/>
      <c r="AT32" s="434"/>
      <c r="AU32" s="434"/>
      <c r="AV32" s="434"/>
      <c r="AW32" s="434"/>
      <c r="AX32" s="434"/>
      <c r="BB32" s="41"/>
      <c r="BC32" s="41"/>
      <c r="BD32" s="41"/>
      <c r="BE32" s="41"/>
    </row>
    <row r="33" spans="1:57" ht="5.0999999999999996" customHeight="1">
      <c r="A33" s="434"/>
      <c r="B33" s="434"/>
      <c r="C33" s="434"/>
      <c r="D33" s="434"/>
      <c r="E33" s="988"/>
      <c r="F33" s="434"/>
      <c r="G33" s="434"/>
      <c r="H33" s="1119"/>
      <c r="I33" s="1120"/>
      <c r="J33" s="894"/>
      <c r="K33" s="1121"/>
      <c r="L33" s="1122"/>
      <c r="M33" s="1122"/>
      <c r="N33" s="1122"/>
      <c r="O33" s="1122"/>
      <c r="P33" s="1123"/>
      <c r="Q33" s="1124"/>
      <c r="R33" s="1125"/>
      <c r="S33" s="1122"/>
      <c r="T33" s="1122"/>
      <c r="U33" s="1122"/>
      <c r="V33" s="1122"/>
      <c r="W33" s="1122"/>
      <c r="X33" s="1123"/>
      <c r="Y33" s="1122"/>
      <c r="Z33" s="1125"/>
      <c r="AA33" s="1122"/>
      <c r="AB33" s="1122"/>
      <c r="AC33" s="1122"/>
      <c r="AD33" s="1122"/>
      <c r="AE33" s="1122"/>
      <c r="AF33" s="1123"/>
      <c r="AG33" s="1122"/>
      <c r="AH33" s="1120"/>
      <c r="AI33" s="894"/>
      <c r="AJ33" s="1126"/>
      <c r="AK33" s="1127"/>
      <c r="AL33" s="1127"/>
      <c r="AM33" s="1120"/>
      <c r="AN33" s="1128"/>
      <c r="AO33" s="1128"/>
      <c r="AP33" s="1129"/>
      <c r="AQ33" s="861"/>
      <c r="AR33" s="861"/>
      <c r="AS33" s="991"/>
      <c r="AT33" s="434"/>
      <c r="AU33" s="434"/>
      <c r="AV33" s="434"/>
      <c r="AW33" s="434"/>
      <c r="AX33" s="434"/>
      <c r="BB33" s="41"/>
      <c r="BC33" s="41"/>
      <c r="BD33" s="41"/>
      <c r="BE33" s="41"/>
    </row>
    <row r="34" spans="1:57" ht="23.25" customHeight="1">
      <c r="A34" s="434"/>
      <c r="B34" s="434"/>
      <c r="C34" s="434"/>
      <c r="D34" s="434"/>
      <c r="E34" s="988"/>
      <c r="F34" s="434"/>
      <c r="G34" s="434"/>
      <c r="H34" s="1132"/>
      <c r="I34" s="873" t="b">
        <v>0</v>
      </c>
      <c r="J34" s="593" t="s">
        <v>1031</v>
      </c>
      <c r="K34" s="434"/>
      <c r="L34" s="599"/>
      <c r="M34" s="434"/>
      <c r="N34" s="434"/>
      <c r="O34" s="434"/>
      <c r="P34" s="997"/>
      <c r="Q34" s="990"/>
      <c r="R34" s="593"/>
      <c r="S34" s="990"/>
      <c r="T34" s="990"/>
      <c r="U34" s="990"/>
      <c r="V34" s="990"/>
      <c r="W34" s="990"/>
      <c r="X34" s="997"/>
      <c r="Y34" s="990"/>
      <c r="Z34" s="593"/>
      <c r="AA34" s="990"/>
      <c r="AB34" s="990"/>
      <c r="AC34" s="990"/>
      <c r="AD34" s="990"/>
      <c r="AE34" s="990"/>
      <c r="AF34" s="997"/>
      <c r="AG34" s="990"/>
      <c r="AH34" s="1130"/>
      <c r="AI34" s="640"/>
      <c r="AJ34" s="640"/>
      <c r="AK34" s="640"/>
      <c r="AL34" s="640"/>
      <c r="AM34" s="640"/>
      <c r="AN34" s="1131"/>
      <c r="AO34" s="1131"/>
      <c r="AP34" s="991"/>
      <c r="AQ34" s="861"/>
      <c r="AR34" s="861"/>
      <c r="AS34" s="991"/>
      <c r="AT34" s="434"/>
      <c r="AU34" s="434"/>
      <c r="AV34" s="434"/>
      <c r="AW34" s="434"/>
      <c r="AX34" s="434"/>
      <c r="BB34" s="41"/>
      <c r="BC34" s="41"/>
      <c r="BD34" s="41"/>
      <c r="BE34" s="41"/>
    </row>
    <row r="35" spans="1:57" ht="24.75" customHeight="1">
      <c r="A35" s="434"/>
      <c r="B35" s="434"/>
      <c r="C35" s="434"/>
      <c r="D35" s="434"/>
      <c r="E35" s="988"/>
      <c r="F35" s="434"/>
      <c r="G35" s="434"/>
      <c r="H35" s="1058"/>
      <c r="I35" s="625"/>
      <c r="J35" s="3045"/>
      <c r="K35" s="3045"/>
      <c r="L35" s="3045"/>
      <c r="M35" s="3045"/>
      <c r="N35" s="3045"/>
      <c r="O35" s="3045"/>
      <c r="P35" s="997"/>
      <c r="Q35" s="434"/>
      <c r="R35" s="2617"/>
      <c r="S35" s="2617"/>
      <c r="T35" s="2617"/>
      <c r="U35" s="2617"/>
      <c r="V35" s="2617"/>
      <c r="W35" s="2617"/>
      <c r="X35" s="997"/>
      <c r="Y35" s="623"/>
      <c r="Z35" s="3433"/>
      <c r="AA35" s="2617"/>
      <c r="AB35" s="2617"/>
      <c r="AC35" s="2617"/>
      <c r="AD35" s="2617"/>
      <c r="AE35" s="2617"/>
      <c r="AF35" s="997"/>
      <c r="AG35" s="623"/>
      <c r="AH35" s="610" t="b">
        <v>0</v>
      </c>
      <c r="AI35" s="582" t="s">
        <v>484</v>
      </c>
      <c r="AJ35" s="1130"/>
      <c r="AK35" s="1131"/>
      <c r="AL35" s="1131"/>
      <c r="AM35" s="610"/>
      <c r="AN35" s="604" t="s">
        <v>485</v>
      </c>
      <c r="AO35" s="604"/>
      <c r="AP35" s="991"/>
      <c r="AQ35" s="861"/>
      <c r="AR35" s="861"/>
      <c r="AS35" s="991"/>
      <c r="AT35" s="434"/>
      <c r="AU35" s="434"/>
      <c r="AV35" s="434"/>
      <c r="AW35" s="434"/>
      <c r="AX35" s="434"/>
      <c r="BB35" s="41"/>
      <c r="BC35" s="41"/>
      <c r="BD35" s="41"/>
      <c r="BE35" s="41"/>
    </row>
    <row r="36" spans="1:57" ht="5.0999999999999996" customHeight="1" thickBot="1">
      <c r="A36" s="434"/>
      <c r="B36" s="434"/>
      <c r="C36" s="434"/>
      <c r="D36" s="434"/>
      <c r="E36" s="988"/>
      <c r="F36" s="434"/>
      <c r="G36" s="434"/>
      <c r="H36" s="1133"/>
      <c r="I36" s="866"/>
      <c r="J36" s="694"/>
      <c r="K36" s="659"/>
      <c r="L36" s="709"/>
      <c r="M36" s="659"/>
      <c r="N36" s="659"/>
      <c r="O36" s="659"/>
      <c r="P36" s="659"/>
      <c r="Q36" s="659"/>
      <c r="R36" s="694"/>
      <c r="S36" s="1134"/>
      <c r="T36" s="1134"/>
      <c r="U36" s="1134"/>
      <c r="V36" s="1134"/>
      <c r="W36" s="1134"/>
      <c r="X36" s="659"/>
      <c r="Y36" s="1135"/>
      <c r="Z36" s="694"/>
      <c r="AA36" s="1134"/>
      <c r="AB36" s="1134"/>
      <c r="AC36" s="1134"/>
      <c r="AD36" s="1134"/>
      <c r="AE36" s="1134"/>
      <c r="AF36" s="659"/>
      <c r="AG36" s="1135"/>
      <c r="AH36" s="659"/>
      <c r="AI36" s="866"/>
      <c r="AJ36" s="595"/>
      <c r="AK36" s="1136"/>
      <c r="AL36" s="1137"/>
      <c r="AM36" s="1137"/>
      <c r="AN36" s="866"/>
      <c r="AO36" s="595"/>
      <c r="AP36" s="1138"/>
      <c r="AQ36" s="861"/>
      <c r="AR36" s="861"/>
      <c r="AS36" s="991"/>
      <c r="AT36" s="434"/>
      <c r="AU36" s="434"/>
      <c r="AV36" s="434"/>
      <c r="AW36" s="434"/>
      <c r="AX36" s="434"/>
      <c r="BB36" s="41"/>
      <c r="BC36" s="41"/>
      <c r="BD36" s="41"/>
      <c r="BE36" s="41"/>
    </row>
    <row r="37" spans="1:57" ht="15" customHeight="1" thickBot="1">
      <c r="A37" s="434"/>
      <c r="B37" s="434"/>
      <c r="C37" s="434"/>
      <c r="D37" s="434"/>
      <c r="E37" s="646"/>
      <c r="F37" s="659"/>
      <c r="G37" s="659"/>
      <c r="H37" s="659"/>
      <c r="I37" s="1141"/>
      <c r="J37" s="1742" t="str">
        <f>IF(AND(fh_canteen_mngd_others=FALSE,fh_canteen_mngd_others_specify&gt;0),"Please check Others if you have entries.", IF(AND(fh_canteen_mngd_others=TRUE,ISBLANK(fh_canteen_mngd_others_specify)), "Please specify.", ""))</f>
        <v/>
      </c>
      <c r="K37" s="659"/>
      <c r="L37" s="659"/>
      <c r="M37" s="1141"/>
      <c r="N37" s="659"/>
      <c r="O37" s="659"/>
      <c r="P37" s="659"/>
      <c r="Q37" s="659"/>
      <c r="R37" s="659"/>
      <c r="S37" s="659"/>
      <c r="T37" s="659"/>
      <c r="U37" s="659"/>
      <c r="V37" s="659"/>
      <c r="W37" s="659"/>
      <c r="X37" s="659"/>
      <c r="Y37" s="659"/>
      <c r="Z37" s="659"/>
      <c r="AA37" s="659"/>
      <c r="AB37" s="596"/>
      <c r="AC37" s="1139"/>
      <c r="AD37" s="1139"/>
      <c r="AE37" s="1139"/>
      <c r="AF37" s="659"/>
      <c r="AG37" s="659"/>
      <c r="AH37" s="659"/>
      <c r="AI37" s="659"/>
      <c r="AJ37" s="659"/>
      <c r="AK37" s="659"/>
      <c r="AL37" s="659"/>
      <c r="AM37" s="659"/>
      <c r="AN37" s="659"/>
      <c r="AO37" s="659"/>
      <c r="AP37" s="659"/>
      <c r="AQ37" s="659"/>
      <c r="AR37" s="659"/>
      <c r="AS37" s="660"/>
      <c r="AT37" s="434"/>
      <c r="AU37" s="434"/>
      <c r="AV37" s="434"/>
      <c r="AW37" s="434"/>
      <c r="AX37" s="434"/>
    </row>
    <row r="38" spans="1:57" ht="15.75" customHeight="1">
      <c r="A38" s="434"/>
      <c r="B38" s="434"/>
      <c r="C38" s="434"/>
      <c r="D38" s="434"/>
      <c r="E38" s="3427" t="s">
        <v>712</v>
      </c>
      <c r="F38" s="3427"/>
      <c r="G38" s="3427"/>
      <c r="H38" s="3427"/>
      <c r="I38" s="3427"/>
      <c r="J38" s="3427"/>
      <c r="K38" s="3427"/>
      <c r="L38" s="3427"/>
      <c r="M38" s="3427"/>
      <c r="N38" s="3427"/>
      <c r="O38" s="3427"/>
      <c r="P38" s="3427"/>
      <c r="Q38" s="3427"/>
      <c r="R38" s="3427"/>
      <c r="S38" s="3427"/>
      <c r="T38" s="3427"/>
      <c r="U38" s="3427"/>
      <c r="V38" s="3427"/>
      <c r="W38" s="3427"/>
      <c r="X38" s="3427"/>
      <c r="Y38" s="3427"/>
      <c r="Z38" s="3427"/>
      <c r="AA38" s="3427"/>
      <c r="AB38" s="3427"/>
      <c r="AC38" s="3427"/>
      <c r="AD38" s="3427"/>
      <c r="AE38" s="3427"/>
      <c r="AF38" s="3427"/>
      <c r="AG38" s="3427"/>
      <c r="AH38" s="3427"/>
      <c r="AI38" s="3427"/>
      <c r="AJ38" s="3427"/>
      <c r="AK38" s="3427"/>
      <c r="AL38" s="3427"/>
      <c r="AM38" s="3427"/>
      <c r="AN38" s="3427"/>
      <c r="AO38" s="3427"/>
      <c r="AP38" s="3427"/>
      <c r="AQ38" s="3427"/>
      <c r="AR38" s="3427"/>
      <c r="AS38" s="3427"/>
      <c r="AT38" s="434"/>
      <c r="AU38" s="434"/>
      <c r="AV38" s="434"/>
      <c r="AW38" s="434"/>
      <c r="AX38" s="434"/>
    </row>
    <row r="39" spans="1:57" ht="16.5" customHeight="1">
      <c r="A39" s="434"/>
      <c r="B39" s="434"/>
      <c r="C39" s="434"/>
      <c r="D39" s="434"/>
      <c r="E39" s="3428"/>
      <c r="F39" s="3428"/>
      <c r="G39" s="3428"/>
      <c r="H39" s="3428"/>
      <c r="I39" s="3428"/>
      <c r="J39" s="3428"/>
      <c r="K39" s="3428"/>
      <c r="L39" s="3428"/>
      <c r="M39" s="3428"/>
      <c r="N39" s="3428"/>
      <c r="O39" s="3428"/>
      <c r="P39" s="3428"/>
      <c r="Q39" s="3428"/>
      <c r="R39" s="3428"/>
      <c r="S39" s="3428"/>
      <c r="T39" s="3428"/>
      <c r="U39" s="3428"/>
      <c r="V39" s="3428"/>
      <c r="W39" s="3428"/>
      <c r="X39" s="3428"/>
      <c r="Y39" s="3428"/>
      <c r="Z39" s="3428"/>
      <c r="AA39" s="3428"/>
      <c r="AB39" s="3428"/>
      <c r="AC39" s="3428"/>
      <c r="AD39" s="3428"/>
      <c r="AE39" s="3428"/>
      <c r="AF39" s="3428"/>
      <c r="AG39" s="3428"/>
      <c r="AH39" s="3428"/>
      <c r="AI39" s="3428"/>
      <c r="AJ39" s="3428"/>
      <c r="AK39" s="3428"/>
      <c r="AL39" s="3428"/>
      <c r="AM39" s="3428"/>
      <c r="AN39" s="3428"/>
      <c r="AO39" s="3428"/>
      <c r="AP39" s="3428"/>
      <c r="AQ39" s="3428"/>
      <c r="AR39" s="3428"/>
      <c r="AS39" s="3428"/>
      <c r="AT39" s="434"/>
      <c r="AU39" s="434"/>
      <c r="AV39" s="434"/>
      <c r="AW39" s="434"/>
      <c r="AX39" s="434"/>
    </row>
    <row r="40" spans="1:57" s="164" customFormat="1" ht="30.75" customHeight="1">
      <c r="A40" s="260"/>
      <c r="B40" s="260"/>
      <c r="C40" s="260"/>
      <c r="D40" s="260"/>
      <c r="E40" s="260"/>
      <c r="F40" s="260"/>
      <c r="G40" s="260"/>
      <c r="H40" s="260"/>
      <c r="I40" s="260"/>
      <c r="J40" s="260"/>
      <c r="K40" s="260"/>
      <c r="L40" s="260"/>
      <c r="M40" s="260"/>
      <c r="N40" s="260"/>
      <c r="O40" s="260"/>
      <c r="P40" s="227"/>
      <c r="Q40" s="260"/>
      <c r="R40" s="260"/>
      <c r="S40" s="260"/>
      <c r="T40" s="260"/>
      <c r="U40" s="260"/>
      <c r="V40" s="260"/>
      <c r="W40" s="260"/>
      <c r="X40" s="260"/>
      <c r="Y40" s="260"/>
      <c r="Z40" s="260"/>
      <c r="AA40" s="260"/>
      <c r="AB40" s="260"/>
      <c r="AC40" s="260"/>
      <c r="AD40" s="260"/>
      <c r="AE40" s="227"/>
      <c r="AF40" s="260"/>
      <c r="AG40" s="227"/>
      <c r="AH40" s="260"/>
      <c r="AI40" s="227"/>
      <c r="AJ40" s="260"/>
      <c r="AK40" s="260"/>
      <c r="AL40" s="260"/>
      <c r="AM40" s="260"/>
      <c r="AN40" s="260"/>
      <c r="AO40" s="260"/>
      <c r="AP40" s="260"/>
      <c r="AQ40" s="260"/>
      <c r="AR40" s="260"/>
      <c r="AS40" s="260"/>
      <c r="AT40" s="260"/>
      <c r="AU40" s="260"/>
      <c r="AV40" s="260"/>
      <c r="AW40" s="227"/>
      <c r="AX40" s="260"/>
      <c r="AY40" s="260"/>
    </row>
    <row r="41" spans="1:57" s="37" customFormat="1" ht="15">
      <c r="A41" s="263"/>
      <c r="B41" s="332" t="s">
        <v>32</v>
      </c>
      <c r="C41" s="263"/>
      <c r="D41" s="263"/>
      <c r="E41" s="263"/>
      <c r="F41" s="263"/>
      <c r="G41" s="263"/>
      <c r="H41" s="263"/>
      <c r="I41" s="263"/>
      <c r="J41" s="263"/>
      <c r="K41" s="263"/>
      <c r="L41" s="263"/>
      <c r="M41" s="263"/>
      <c r="N41" s="263"/>
      <c r="O41" s="263"/>
      <c r="P41" s="263"/>
      <c r="Q41" s="332" t="s">
        <v>577</v>
      </c>
      <c r="R41" s="263"/>
      <c r="S41" s="263"/>
      <c r="T41" s="263"/>
      <c r="U41" s="263"/>
      <c r="V41" s="263"/>
      <c r="W41" s="263"/>
      <c r="X41" s="263"/>
      <c r="Y41" s="263"/>
      <c r="Z41" s="263"/>
      <c r="AA41" s="263"/>
      <c r="AB41" s="263"/>
      <c r="AC41" s="263"/>
      <c r="AD41" s="263"/>
      <c r="AE41" s="263"/>
      <c r="AF41" s="263"/>
      <c r="AG41" s="263"/>
      <c r="AH41" s="263"/>
      <c r="AI41" s="332" t="s">
        <v>33</v>
      </c>
      <c r="AJ41" s="263"/>
      <c r="AK41" s="263"/>
      <c r="AL41" s="263"/>
      <c r="AM41" s="263"/>
      <c r="AN41" s="263"/>
      <c r="AO41" s="263"/>
      <c r="AP41" s="263"/>
      <c r="AQ41" s="263"/>
      <c r="AR41" s="263"/>
      <c r="AS41" s="263"/>
      <c r="AT41" s="263"/>
      <c r="AU41" s="263"/>
      <c r="AV41" s="263"/>
      <c r="AW41" s="263"/>
      <c r="AX41" s="263"/>
      <c r="AY41" s="263"/>
    </row>
    <row r="42" spans="1:57" s="37" customFormat="1" ht="21.75" customHeight="1">
      <c r="A42" s="263"/>
      <c r="B42" s="332" t="s">
        <v>75</v>
      </c>
      <c r="C42" s="263"/>
      <c r="D42" s="263"/>
      <c r="E42" s="263"/>
      <c r="F42" s="2790" t="str">
        <f>activesheet!E21</f>
        <v>MELCHESIEDICK Q. BOLANIO / March 17, 2023</v>
      </c>
      <c r="G42" s="2790"/>
      <c r="H42" s="2790"/>
      <c r="I42" s="2790"/>
      <c r="J42" s="2790"/>
      <c r="K42" s="2790"/>
      <c r="L42" s="2790"/>
      <c r="M42" s="2790"/>
      <c r="N42" s="2790"/>
      <c r="O42" s="263"/>
      <c r="P42" s="263"/>
      <c r="Q42" s="2790" t="str">
        <f>activesheet!E2417</f>
        <v>RACQUEL N. ACOMPANADO / March 17, 2023</v>
      </c>
      <c r="R42" s="2790"/>
      <c r="S42" s="2790"/>
      <c r="T42" s="2790"/>
      <c r="U42" s="2790"/>
      <c r="V42" s="2790"/>
      <c r="W42" s="2790"/>
      <c r="X42" s="2790"/>
      <c r="Y42" s="2790"/>
      <c r="Z42" s="2790"/>
      <c r="AA42" s="2790"/>
      <c r="AB42" s="2790"/>
      <c r="AC42" s="2790"/>
      <c r="AD42" s="2790"/>
      <c r="AE42" s="2790"/>
      <c r="AF42" s="2790"/>
      <c r="AG42" s="263"/>
      <c r="AH42" s="263"/>
      <c r="AI42" s="1819" t="str">
        <f>activesheet!E25</f>
        <v>MICHAEL T. JAMIS / March 17, 2023</v>
      </c>
      <c r="AJ42" s="1819"/>
      <c r="AK42" s="1819"/>
      <c r="AL42" s="1819"/>
      <c r="AM42" s="1819"/>
      <c r="AN42" s="1819"/>
      <c r="AO42" s="1819"/>
      <c r="AP42" s="1819"/>
      <c r="AQ42" s="1819"/>
      <c r="AR42" s="1819"/>
      <c r="AS42" s="1819"/>
      <c r="AT42" s="1819"/>
      <c r="AU42" s="1819"/>
      <c r="AV42" s="263"/>
      <c r="AW42" s="263"/>
      <c r="AX42" s="263"/>
      <c r="AY42" s="263"/>
    </row>
    <row r="43" spans="1:57" s="39" customFormat="1" ht="15" customHeight="1">
      <c r="A43" s="280"/>
      <c r="B43" s="228"/>
      <c r="C43" s="280"/>
      <c r="D43" s="280"/>
      <c r="E43" s="280"/>
      <c r="F43" s="1811" t="s">
        <v>37</v>
      </c>
      <c r="G43" s="1811"/>
      <c r="H43" s="1811"/>
      <c r="I43" s="1811"/>
      <c r="J43" s="1811"/>
      <c r="K43" s="1811"/>
      <c r="L43" s="1811"/>
      <c r="M43" s="1811"/>
      <c r="N43" s="1811"/>
      <c r="O43" s="281"/>
      <c r="P43" s="281"/>
      <c r="Q43" s="1811" t="s">
        <v>37</v>
      </c>
      <c r="R43" s="1811"/>
      <c r="S43" s="1811"/>
      <c r="T43" s="1811"/>
      <c r="U43" s="1811"/>
      <c r="V43" s="1811"/>
      <c r="W43" s="1811"/>
      <c r="X43" s="1811"/>
      <c r="Y43" s="1811"/>
      <c r="Z43" s="1811"/>
      <c r="AA43" s="1811"/>
      <c r="AB43" s="1811"/>
      <c r="AC43" s="1811"/>
      <c r="AD43" s="1811"/>
      <c r="AE43" s="1811"/>
      <c r="AF43" s="1811"/>
      <c r="AG43" s="280"/>
      <c r="AH43" s="280"/>
      <c r="AI43" s="1820"/>
      <c r="AJ43" s="1820"/>
      <c r="AK43" s="1820"/>
      <c r="AL43" s="1820"/>
      <c r="AM43" s="1820"/>
      <c r="AN43" s="1820"/>
      <c r="AO43" s="1820"/>
      <c r="AP43" s="1820"/>
      <c r="AQ43" s="1820"/>
      <c r="AR43" s="1820"/>
      <c r="AS43" s="1820"/>
      <c r="AT43" s="1820"/>
      <c r="AU43" s="1820"/>
      <c r="AV43" s="280"/>
      <c r="AW43" s="280"/>
      <c r="AX43" s="280"/>
      <c r="AY43" s="280"/>
    </row>
    <row r="44" spans="1:57" s="37" customFormat="1" ht="21.75" customHeight="1">
      <c r="A44" s="263"/>
      <c r="B44" s="332" t="s">
        <v>58</v>
      </c>
      <c r="C44" s="263"/>
      <c r="D44" s="263"/>
      <c r="E44" s="263"/>
      <c r="F44" s="2790" t="str">
        <f>activesheet!E22</f>
        <v>SECONDARY SCHOOL PRINCIPAL IV</v>
      </c>
      <c r="G44" s="2790"/>
      <c r="H44" s="2790"/>
      <c r="I44" s="2790"/>
      <c r="J44" s="2790"/>
      <c r="K44" s="2790"/>
      <c r="L44" s="2790"/>
      <c r="M44" s="2790"/>
      <c r="N44" s="2790"/>
      <c r="O44" s="263"/>
      <c r="P44" s="263"/>
      <c r="Q44" s="332" t="s">
        <v>58</v>
      </c>
      <c r="R44" s="263"/>
      <c r="S44" s="263"/>
      <c r="T44" s="263"/>
      <c r="U44" s="2790" t="str">
        <f>activesheet!E2418</f>
        <v>NURSE II</v>
      </c>
      <c r="V44" s="2790"/>
      <c r="W44" s="2790"/>
      <c r="X44" s="2790"/>
      <c r="Y44" s="2790"/>
      <c r="Z44" s="2790"/>
      <c r="AA44" s="2790"/>
      <c r="AB44" s="2790"/>
      <c r="AC44" s="2790"/>
      <c r="AD44" s="2790"/>
      <c r="AE44" s="2790"/>
      <c r="AF44" s="2790"/>
      <c r="AG44" s="263"/>
      <c r="AH44" s="263"/>
      <c r="AI44" s="1811" t="s">
        <v>37</v>
      </c>
      <c r="AJ44" s="1811"/>
      <c r="AK44" s="1811"/>
      <c r="AL44" s="1811"/>
      <c r="AM44" s="1811"/>
      <c r="AN44" s="1811"/>
      <c r="AO44" s="1811"/>
      <c r="AP44" s="1811"/>
      <c r="AQ44" s="1811"/>
      <c r="AR44" s="1811"/>
      <c r="AS44" s="1811"/>
      <c r="AT44" s="1811"/>
      <c r="AU44" s="1811"/>
      <c r="AV44" s="263"/>
      <c r="AW44" s="263"/>
      <c r="AX44" s="263"/>
      <c r="AY44" s="263"/>
    </row>
    <row r="45" spans="1:57">
      <c r="A45" s="434"/>
      <c r="B45" s="434"/>
      <c r="C45" s="434"/>
      <c r="D45" s="434"/>
      <c r="E45" s="434"/>
      <c r="F45" s="434"/>
      <c r="G45" s="434"/>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4"/>
      <c r="AU45" s="434"/>
      <c r="AV45" s="434"/>
      <c r="AW45" s="434"/>
      <c r="AX45" s="434"/>
    </row>
    <row r="46" spans="1:57">
      <c r="A46" s="434"/>
      <c r="B46" s="434"/>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4"/>
      <c r="AU46" s="434"/>
      <c r="AV46" s="434"/>
      <c r="AW46" s="434"/>
      <c r="AX46" s="434"/>
    </row>
    <row r="47" spans="1:57">
      <c r="A47" s="434"/>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4"/>
      <c r="AU47" s="434"/>
      <c r="AV47" s="434"/>
      <c r="AW47" s="434"/>
      <c r="AX47" s="434"/>
    </row>
    <row r="48" spans="1:57">
      <c r="A48" s="434"/>
      <c r="B48" s="434"/>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row>
    <row r="49" spans="1:50">
      <c r="A49" s="434"/>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4"/>
      <c r="AU49" s="434"/>
      <c r="AV49" s="434"/>
      <c r="AW49" s="434"/>
      <c r="AX49" s="434"/>
    </row>
    <row r="50" spans="1:50">
      <c r="A50" s="434"/>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c r="AD50" s="434"/>
      <c r="AE50" s="434"/>
      <c r="AF50" s="434"/>
      <c r="AG50" s="434"/>
      <c r="AH50" s="434"/>
      <c r="AI50" s="434"/>
      <c r="AJ50" s="434"/>
      <c r="AK50" s="434"/>
      <c r="AL50" s="434"/>
      <c r="AM50" s="434"/>
      <c r="AN50" s="434"/>
      <c r="AO50" s="434"/>
      <c r="AP50" s="434"/>
      <c r="AQ50" s="434"/>
      <c r="AR50" s="434"/>
      <c r="AS50" s="434"/>
      <c r="AT50" s="434"/>
      <c r="AU50" s="434"/>
      <c r="AV50" s="434"/>
      <c r="AW50" s="434"/>
      <c r="AX50" s="434"/>
    </row>
    <row r="51" spans="1:50">
      <c r="A51" s="434"/>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c r="AD51" s="434"/>
      <c r="AE51" s="434"/>
      <c r="AF51" s="434"/>
      <c r="AG51" s="434"/>
      <c r="AH51" s="434"/>
      <c r="AI51" s="434"/>
      <c r="AJ51" s="434"/>
      <c r="AK51" s="434"/>
      <c r="AL51" s="434"/>
      <c r="AM51" s="434"/>
      <c r="AN51" s="434"/>
      <c r="AO51" s="434"/>
      <c r="AP51" s="434"/>
      <c r="AQ51" s="434"/>
      <c r="AR51" s="434"/>
      <c r="AS51" s="434"/>
      <c r="AT51" s="434"/>
      <c r="AU51" s="434"/>
      <c r="AV51" s="434"/>
      <c r="AW51" s="434"/>
      <c r="AX51" s="434"/>
    </row>
    <row r="52" spans="1:50">
      <c r="A52" s="434"/>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c r="AD52" s="434"/>
      <c r="AE52" s="434"/>
      <c r="AF52" s="434"/>
      <c r="AG52" s="434"/>
      <c r="AH52" s="434"/>
      <c r="AI52" s="434"/>
      <c r="AJ52" s="434"/>
      <c r="AK52" s="434"/>
      <c r="AL52" s="434"/>
      <c r="AM52" s="434"/>
      <c r="AN52" s="434"/>
      <c r="AO52" s="434"/>
      <c r="AP52" s="434"/>
      <c r="AQ52" s="434"/>
      <c r="AR52" s="434"/>
      <c r="AS52" s="434"/>
      <c r="AT52" s="434"/>
      <c r="AU52" s="434"/>
      <c r="AV52" s="434"/>
      <c r="AW52" s="434"/>
      <c r="AX52" s="434"/>
    </row>
    <row r="53" spans="1:50">
      <c r="A53" s="434"/>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c r="AD53" s="434"/>
      <c r="AE53" s="434"/>
      <c r="AF53" s="434"/>
      <c r="AG53" s="434"/>
      <c r="AH53" s="434"/>
      <c r="AI53" s="434"/>
      <c r="AJ53" s="434"/>
      <c r="AK53" s="434"/>
      <c r="AL53" s="434"/>
      <c r="AM53" s="434"/>
      <c r="AN53" s="434"/>
      <c r="AO53" s="434"/>
      <c r="AP53" s="434"/>
      <c r="AQ53" s="434"/>
      <c r="AR53" s="434"/>
      <c r="AS53" s="434"/>
      <c r="AT53" s="434"/>
      <c r="AU53" s="434"/>
      <c r="AV53" s="434"/>
      <c r="AW53" s="434"/>
      <c r="AX53" s="434"/>
    </row>
    <row r="54" spans="1:50">
      <c r="A54" s="434"/>
      <c r="B54" s="434"/>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row>
    <row r="55" spans="1:50">
      <c r="A55" s="434"/>
      <c r="B55" s="434"/>
      <c r="C55" s="434"/>
      <c r="D55" s="434"/>
      <c r="E55" s="434"/>
      <c r="F55" s="434"/>
      <c r="G55" s="434"/>
      <c r="H55" s="434"/>
      <c r="I55" s="434"/>
      <c r="J55" s="434"/>
      <c r="K55" s="434"/>
      <c r="L55" s="434"/>
      <c r="M55" s="434"/>
      <c r="N55" s="434"/>
      <c r="O55" s="434"/>
      <c r="P55" s="434"/>
      <c r="Q55" s="434"/>
      <c r="R55" s="434"/>
      <c r="S55" s="434"/>
      <c r="T55" s="434"/>
      <c r="U55" s="434"/>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4"/>
      <c r="AU55" s="434"/>
      <c r="AV55" s="434"/>
      <c r="AW55" s="434"/>
      <c r="AX55" s="434"/>
    </row>
    <row r="56" spans="1:50">
      <c r="A56" s="434"/>
      <c r="B56" s="434"/>
      <c r="C56" s="434"/>
      <c r="D56" s="434"/>
      <c r="E56" s="434"/>
      <c r="F56" s="434"/>
      <c r="G56" s="434"/>
      <c r="H56" s="434"/>
      <c r="I56" s="434"/>
      <c r="J56" s="434"/>
      <c r="K56" s="434"/>
      <c r="L56" s="434"/>
      <c r="M56" s="434"/>
      <c r="N56" s="434"/>
      <c r="O56" s="434"/>
      <c r="P56" s="434"/>
      <c r="Q56" s="434"/>
      <c r="R56" s="434"/>
      <c r="S56" s="434"/>
      <c r="T56" s="434"/>
      <c r="U56" s="434"/>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4"/>
      <c r="AU56" s="434"/>
      <c r="AV56" s="434"/>
      <c r="AW56" s="434"/>
      <c r="AX56" s="434"/>
    </row>
    <row r="57" spans="1:50">
      <c r="A57" s="434"/>
      <c r="B57" s="434"/>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4"/>
      <c r="AU57" s="434"/>
      <c r="AV57" s="434"/>
      <c r="AW57" s="434"/>
      <c r="AX57" s="434"/>
    </row>
  </sheetData>
  <sheetProtection algorithmName="SHA-512" hashValue="Dxz/mLgasd57U86P0ts/Cl97q0WYYMUnX7oyqMm6tFNqUAmoiSUuaZCmCqTBOCG7sYExshTjIrnlezo2WgmsYw==" saltValue="hhiSzp4sEy5bUQ+CY3A3eA==" spinCount="100000" sheet="1" objects="1" scenarios="1"/>
  <customSheetViews>
    <customSheetView guid="{6EFEFCA0-BF14-457A-85A3-29CBF2A862A5}" showGridLines="0" fitToPage="1" topLeftCell="A25">
      <selection activeCell="R35" sqref="R35:W35"/>
      <pageMargins left="0.23622047244094491" right="0.23622047244094491" top="0.19685039370078741" bottom="0.19685039370078741" header="0" footer="0.11811023622047245"/>
      <printOptions horizontalCentered="1" verticalCentered="1"/>
      <pageSetup paperSize="9" scale="71" orientation="landscape" r:id="rId1"/>
      <headerFooter>
        <oddFooter>&amp;L&amp;10&amp;F &amp;A&amp;R&amp;10Page 36 of 61</oddFooter>
      </headerFooter>
    </customSheetView>
  </customSheetViews>
  <mergeCells count="23">
    <mergeCell ref="AM8:AR8"/>
    <mergeCell ref="O16:T16"/>
    <mergeCell ref="AM20:AR20"/>
    <mergeCell ref="H29:P29"/>
    <mergeCell ref="Q29:X29"/>
    <mergeCell ref="Y29:AF29"/>
    <mergeCell ref="AG29:AP29"/>
    <mergeCell ref="R30:W30"/>
    <mergeCell ref="Z30:AE30"/>
    <mergeCell ref="R32:W32"/>
    <mergeCell ref="Z32:AE32"/>
    <mergeCell ref="J35:O35"/>
    <mergeCell ref="R35:W35"/>
    <mergeCell ref="Z35:AE35"/>
    <mergeCell ref="F44:N44"/>
    <mergeCell ref="U44:AF44"/>
    <mergeCell ref="AI44:AU44"/>
    <mergeCell ref="E38:AS39"/>
    <mergeCell ref="F42:N42"/>
    <mergeCell ref="Q42:AF42"/>
    <mergeCell ref="AI42:AU43"/>
    <mergeCell ref="F43:N43"/>
    <mergeCell ref="Q43:AF43"/>
  </mergeCells>
  <conditionalFormatting sqref="S5">
    <cfRule type="expression" dxfId="18" priority="13">
      <formula>$G$6</formula>
    </cfRule>
    <cfRule type="expression" dxfId="17" priority="14">
      <formula>$G$6</formula>
    </cfRule>
    <cfRule type="expression" dxfId="16" priority="15">
      <formula>$G$6</formula>
    </cfRule>
    <cfRule type="expression" dxfId="15" priority="16">
      <formula>$G$6</formula>
    </cfRule>
  </conditionalFormatting>
  <conditionalFormatting sqref="G6">
    <cfRule type="expression" dxfId="14" priority="7">
      <formula>OR($I$7,$I$8,$Q$7,$Q$8,$X$7,$X$8,$AG$7,$AG$8)</formula>
    </cfRule>
    <cfRule type="expression" dxfId="13" priority="12">
      <formula>$S$5</formula>
    </cfRule>
  </conditionalFormatting>
  <conditionalFormatting sqref="T5">
    <cfRule type="expression" dxfId="12" priority="10">
      <formula>"$I$7:$AG$8"</formula>
    </cfRule>
  </conditionalFormatting>
  <conditionalFormatting sqref="H7">
    <cfRule type="expression" dxfId="11" priority="8">
      <formula>$I$7:$AG$8=TRUE</formula>
    </cfRule>
  </conditionalFormatting>
  <conditionalFormatting sqref="J11">
    <cfRule type="expression" dxfId="10" priority="5">
      <formula>OR($L$12,$Q$12,$X$12,$AD$12)</formula>
    </cfRule>
    <cfRule type="expression" dxfId="9" priority="6">
      <formula>$I$11</formula>
    </cfRule>
  </conditionalFormatting>
  <conditionalFormatting sqref="G19">
    <cfRule type="expression" dxfId="8" priority="3">
      <formula>OR($I$20,$I$21,$Q$20,$Q$21,$X$20,$X$21,$AG$20)</formula>
    </cfRule>
    <cfRule type="expression" dxfId="7" priority="4">
      <formula>$Y$18</formula>
    </cfRule>
  </conditionalFormatting>
  <conditionalFormatting sqref="G28">
    <cfRule type="expression" dxfId="6" priority="1">
      <formula>OR($I$30,$I$32,$I$34)</formula>
    </cfRule>
    <cfRule type="expression" dxfId="5" priority="2">
      <formula>$O$27</formula>
    </cfRule>
  </conditionalFormatting>
  <dataValidations count="1">
    <dataValidation type="date" allowBlank="1" showInputMessage="1" showErrorMessage="1" errorTitle="GSHSP SY 2022-2023" error="Please enter valid date in D/M/YYYY format." sqref="Z30:AE30 Z32:AE32 Z35:AE35" xr:uid="{31C6605E-0F5F-4A70-9884-EF51E7D923F8}">
      <formula1>36892</formula1>
      <formula2>44957</formula2>
    </dataValidation>
  </dataValidations>
  <printOptions horizontalCentered="1" verticalCentered="1"/>
  <pageMargins left="0.23622047244094491" right="0.23622047244094491" top="0.19685039370078741" bottom="0.19685039370078741" header="0" footer="0.11811023622047245"/>
  <pageSetup paperSize="9" scale="71" orientation="landscape" r:id="rId2"/>
  <headerFooter>
    <oddFooter>&amp;L&amp;10&amp;F &amp;A&amp;R&amp;10Page 36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5777" r:id="rId5" name="Check Box 1">
              <controlPr defaultSize="0" autoFill="0" autoLine="0" autoPict="0">
                <anchor moveWithCells="1">
                  <from>
                    <xdr:col>18</xdr:col>
                    <xdr:colOff>28575</xdr:colOff>
                    <xdr:row>4</xdr:row>
                    <xdr:rowOff>28575</xdr:rowOff>
                  </from>
                  <to>
                    <xdr:col>18</xdr:col>
                    <xdr:colOff>219075</xdr:colOff>
                    <xdr:row>4</xdr:row>
                    <xdr:rowOff>257175</xdr:rowOff>
                  </to>
                </anchor>
              </controlPr>
            </control>
          </mc:Choice>
        </mc:AlternateContent>
        <mc:AlternateContent xmlns:mc="http://schemas.openxmlformats.org/markup-compatibility/2006">
          <mc:Choice Requires="x14">
            <control shapeId="75778" r:id="rId6" name="Check Box 2">
              <controlPr defaultSize="0" autoFill="0" autoLine="0" autoPict="0">
                <anchor moveWithCells="1">
                  <from>
                    <xdr:col>8</xdr:col>
                    <xdr:colOff>28575</xdr:colOff>
                    <xdr:row>6</xdr:row>
                    <xdr:rowOff>28575</xdr:rowOff>
                  </from>
                  <to>
                    <xdr:col>8</xdr:col>
                    <xdr:colOff>200025</xdr:colOff>
                    <xdr:row>6</xdr:row>
                    <xdr:rowOff>219075</xdr:rowOff>
                  </to>
                </anchor>
              </controlPr>
            </control>
          </mc:Choice>
        </mc:AlternateContent>
        <mc:AlternateContent xmlns:mc="http://schemas.openxmlformats.org/markup-compatibility/2006">
          <mc:Choice Requires="x14">
            <control shapeId="75779" r:id="rId7" name="Check Box 3">
              <controlPr defaultSize="0" autoFill="0" autoLine="0" autoPict="0">
                <anchor moveWithCells="1">
                  <from>
                    <xdr:col>8</xdr:col>
                    <xdr:colOff>28575</xdr:colOff>
                    <xdr:row>7</xdr:row>
                    <xdr:rowOff>9525</xdr:rowOff>
                  </from>
                  <to>
                    <xdr:col>8</xdr:col>
                    <xdr:colOff>200025</xdr:colOff>
                    <xdr:row>7</xdr:row>
                    <xdr:rowOff>238125</xdr:rowOff>
                  </to>
                </anchor>
              </controlPr>
            </control>
          </mc:Choice>
        </mc:AlternateContent>
        <mc:AlternateContent xmlns:mc="http://schemas.openxmlformats.org/markup-compatibility/2006">
          <mc:Choice Requires="x14">
            <control shapeId="75780" r:id="rId8" name="Check Box 4">
              <controlPr defaultSize="0" autoFill="0" autoLine="0" autoPict="0">
                <anchor moveWithCells="1">
                  <from>
                    <xdr:col>16</xdr:col>
                    <xdr:colOff>28575</xdr:colOff>
                    <xdr:row>6</xdr:row>
                    <xdr:rowOff>28575</xdr:rowOff>
                  </from>
                  <to>
                    <xdr:col>16</xdr:col>
                    <xdr:colOff>238125</xdr:colOff>
                    <xdr:row>6</xdr:row>
                    <xdr:rowOff>200025</xdr:rowOff>
                  </to>
                </anchor>
              </controlPr>
            </control>
          </mc:Choice>
        </mc:AlternateContent>
        <mc:AlternateContent xmlns:mc="http://schemas.openxmlformats.org/markup-compatibility/2006">
          <mc:Choice Requires="x14">
            <control shapeId="75781" r:id="rId9" name="Check Box 5">
              <controlPr defaultSize="0" autoFill="0" autoLine="0" autoPict="0">
                <anchor moveWithCells="1">
                  <from>
                    <xdr:col>16</xdr:col>
                    <xdr:colOff>28575</xdr:colOff>
                    <xdr:row>7</xdr:row>
                    <xdr:rowOff>28575</xdr:rowOff>
                  </from>
                  <to>
                    <xdr:col>16</xdr:col>
                    <xdr:colOff>257175</xdr:colOff>
                    <xdr:row>8</xdr:row>
                    <xdr:rowOff>0</xdr:rowOff>
                  </to>
                </anchor>
              </controlPr>
            </control>
          </mc:Choice>
        </mc:AlternateContent>
        <mc:AlternateContent xmlns:mc="http://schemas.openxmlformats.org/markup-compatibility/2006">
          <mc:Choice Requires="x14">
            <control shapeId="75782" r:id="rId10" name="Check Box 6">
              <controlPr defaultSize="0" autoFill="0" autoLine="0" autoPict="0">
                <anchor moveWithCells="1">
                  <from>
                    <xdr:col>23</xdr:col>
                    <xdr:colOff>28575</xdr:colOff>
                    <xdr:row>6</xdr:row>
                    <xdr:rowOff>9525</xdr:rowOff>
                  </from>
                  <to>
                    <xdr:col>23</xdr:col>
                    <xdr:colOff>238125</xdr:colOff>
                    <xdr:row>6</xdr:row>
                    <xdr:rowOff>238125</xdr:rowOff>
                  </to>
                </anchor>
              </controlPr>
            </control>
          </mc:Choice>
        </mc:AlternateContent>
        <mc:AlternateContent xmlns:mc="http://schemas.openxmlformats.org/markup-compatibility/2006">
          <mc:Choice Requires="x14">
            <control shapeId="75783" r:id="rId11" name="Check Box 7">
              <controlPr defaultSize="0" autoFill="0" autoLine="0" autoPict="0">
                <anchor moveWithCells="1">
                  <from>
                    <xdr:col>23</xdr:col>
                    <xdr:colOff>28575</xdr:colOff>
                    <xdr:row>7</xdr:row>
                    <xdr:rowOff>28575</xdr:rowOff>
                  </from>
                  <to>
                    <xdr:col>23</xdr:col>
                    <xdr:colOff>266700</xdr:colOff>
                    <xdr:row>7</xdr:row>
                    <xdr:rowOff>238125</xdr:rowOff>
                  </to>
                </anchor>
              </controlPr>
            </control>
          </mc:Choice>
        </mc:AlternateContent>
        <mc:AlternateContent xmlns:mc="http://schemas.openxmlformats.org/markup-compatibility/2006">
          <mc:Choice Requires="x14">
            <control shapeId="75784" r:id="rId12" name="Check Box 8">
              <controlPr defaultSize="0" autoFill="0" autoLine="0" autoPict="0">
                <anchor moveWithCells="1">
                  <from>
                    <xdr:col>32</xdr:col>
                    <xdr:colOff>28575</xdr:colOff>
                    <xdr:row>6</xdr:row>
                    <xdr:rowOff>28575</xdr:rowOff>
                  </from>
                  <to>
                    <xdr:col>32</xdr:col>
                    <xdr:colOff>257175</xdr:colOff>
                    <xdr:row>6</xdr:row>
                    <xdr:rowOff>238125</xdr:rowOff>
                  </to>
                </anchor>
              </controlPr>
            </control>
          </mc:Choice>
        </mc:AlternateContent>
        <mc:AlternateContent xmlns:mc="http://schemas.openxmlformats.org/markup-compatibility/2006">
          <mc:Choice Requires="x14">
            <control shapeId="75785" r:id="rId13" name="Check Box 9">
              <controlPr defaultSize="0" autoFill="0" autoLine="0" autoPict="0">
                <anchor moveWithCells="1">
                  <from>
                    <xdr:col>32</xdr:col>
                    <xdr:colOff>28575</xdr:colOff>
                    <xdr:row>7</xdr:row>
                    <xdr:rowOff>0</xdr:rowOff>
                  </from>
                  <to>
                    <xdr:col>33</xdr:col>
                    <xdr:colOff>9525</xdr:colOff>
                    <xdr:row>7</xdr:row>
                    <xdr:rowOff>257175</xdr:rowOff>
                  </to>
                </anchor>
              </controlPr>
            </control>
          </mc:Choice>
        </mc:AlternateContent>
        <mc:AlternateContent xmlns:mc="http://schemas.openxmlformats.org/markup-compatibility/2006">
          <mc:Choice Requires="x14">
            <control shapeId="75786" r:id="rId14" name="Check Box 10">
              <controlPr defaultSize="0" autoFill="0" autoLine="0" autoPict="0">
                <anchor moveWithCells="1">
                  <from>
                    <xdr:col>8</xdr:col>
                    <xdr:colOff>28575</xdr:colOff>
                    <xdr:row>10</xdr:row>
                    <xdr:rowOff>28575</xdr:rowOff>
                  </from>
                  <to>
                    <xdr:col>8</xdr:col>
                    <xdr:colOff>238125</xdr:colOff>
                    <xdr:row>10</xdr:row>
                    <xdr:rowOff>238125</xdr:rowOff>
                  </to>
                </anchor>
              </controlPr>
            </control>
          </mc:Choice>
        </mc:AlternateContent>
        <mc:AlternateContent xmlns:mc="http://schemas.openxmlformats.org/markup-compatibility/2006">
          <mc:Choice Requires="x14">
            <control shapeId="75787" r:id="rId15" name="Check Box 11">
              <controlPr defaultSize="0" autoFill="0" autoLine="0" autoPict="0">
                <anchor moveWithCells="1">
                  <from>
                    <xdr:col>11</xdr:col>
                    <xdr:colOff>28575</xdr:colOff>
                    <xdr:row>11</xdr:row>
                    <xdr:rowOff>28575</xdr:rowOff>
                  </from>
                  <to>
                    <xdr:col>11</xdr:col>
                    <xdr:colOff>257175</xdr:colOff>
                    <xdr:row>11</xdr:row>
                    <xdr:rowOff>257175</xdr:rowOff>
                  </to>
                </anchor>
              </controlPr>
            </control>
          </mc:Choice>
        </mc:AlternateContent>
        <mc:AlternateContent xmlns:mc="http://schemas.openxmlformats.org/markup-compatibility/2006">
          <mc:Choice Requires="x14">
            <control shapeId="75788" r:id="rId16" name="Check Box 12">
              <controlPr defaultSize="0" autoFill="0" autoLine="0" autoPict="0">
                <anchor moveWithCells="1">
                  <from>
                    <xdr:col>16</xdr:col>
                    <xdr:colOff>28575</xdr:colOff>
                    <xdr:row>11</xdr:row>
                    <xdr:rowOff>28575</xdr:rowOff>
                  </from>
                  <to>
                    <xdr:col>16</xdr:col>
                    <xdr:colOff>257175</xdr:colOff>
                    <xdr:row>11</xdr:row>
                    <xdr:rowOff>238125</xdr:rowOff>
                  </to>
                </anchor>
              </controlPr>
            </control>
          </mc:Choice>
        </mc:AlternateContent>
        <mc:AlternateContent xmlns:mc="http://schemas.openxmlformats.org/markup-compatibility/2006">
          <mc:Choice Requires="x14">
            <control shapeId="75789" r:id="rId17" name="Check Box 13">
              <controlPr defaultSize="0" autoFill="0" autoLine="0" autoPict="0">
                <anchor moveWithCells="1">
                  <from>
                    <xdr:col>23</xdr:col>
                    <xdr:colOff>47625</xdr:colOff>
                    <xdr:row>11</xdr:row>
                    <xdr:rowOff>28575</xdr:rowOff>
                  </from>
                  <to>
                    <xdr:col>23</xdr:col>
                    <xdr:colOff>257175</xdr:colOff>
                    <xdr:row>11</xdr:row>
                    <xdr:rowOff>238125</xdr:rowOff>
                  </to>
                </anchor>
              </controlPr>
            </control>
          </mc:Choice>
        </mc:AlternateContent>
        <mc:AlternateContent xmlns:mc="http://schemas.openxmlformats.org/markup-compatibility/2006">
          <mc:Choice Requires="x14">
            <control shapeId="75790" r:id="rId18" name="Check Box 14">
              <controlPr defaultSize="0" autoFill="0" autoLine="0" autoPict="0">
                <anchor moveWithCells="1">
                  <from>
                    <xdr:col>29</xdr:col>
                    <xdr:colOff>38100</xdr:colOff>
                    <xdr:row>11</xdr:row>
                    <xdr:rowOff>28575</xdr:rowOff>
                  </from>
                  <to>
                    <xdr:col>29</xdr:col>
                    <xdr:colOff>238125</xdr:colOff>
                    <xdr:row>12</xdr:row>
                    <xdr:rowOff>0</xdr:rowOff>
                  </to>
                </anchor>
              </controlPr>
            </control>
          </mc:Choice>
        </mc:AlternateContent>
        <mc:AlternateContent xmlns:mc="http://schemas.openxmlformats.org/markup-compatibility/2006">
          <mc:Choice Requires="x14">
            <control shapeId="75791" r:id="rId19" name="Check Box 15">
              <controlPr defaultSize="0" autoFill="0" autoLine="0" autoPict="0">
                <anchor moveWithCells="1">
                  <from>
                    <xdr:col>8</xdr:col>
                    <xdr:colOff>28575</xdr:colOff>
                    <xdr:row>12</xdr:row>
                    <xdr:rowOff>28575</xdr:rowOff>
                  </from>
                  <to>
                    <xdr:col>8</xdr:col>
                    <xdr:colOff>238125</xdr:colOff>
                    <xdr:row>12</xdr:row>
                    <xdr:rowOff>219075</xdr:rowOff>
                  </to>
                </anchor>
              </controlPr>
            </control>
          </mc:Choice>
        </mc:AlternateContent>
        <mc:AlternateContent xmlns:mc="http://schemas.openxmlformats.org/markup-compatibility/2006">
          <mc:Choice Requires="x14">
            <control shapeId="75792" r:id="rId20" name="Check Box 16">
              <controlPr defaultSize="0" autoFill="0" autoLine="0" autoPict="0">
                <anchor moveWithCells="1">
                  <from>
                    <xdr:col>8</xdr:col>
                    <xdr:colOff>28575</xdr:colOff>
                    <xdr:row>13</xdr:row>
                    <xdr:rowOff>28575</xdr:rowOff>
                  </from>
                  <to>
                    <xdr:col>8</xdr:col>
                    <xdr:colOff>257175</xdr:colOff>
                    <xdr:row>13</xdr:row>
                    <xdr:rowOff>219075</xdr:rowOff>
                  </to>
                </anchor>
              </controlPr>
            </control>
          </mc:Choice>
        </mc:AlternateContent>
        <mc:AlternateContent xmlns:mc="http://schemas.openxmlformats.org/markup-compatibility/2006">
          <mc:Choice Requires="x14">
            <control shapeId="75793" r:id="rId21" name="Check Box 17">
              <controlPr defaultSize="0" autoFill="0" autoLine="0" autoPict="0">
                <anchor moveWithCells="1">
                  <from>
                    <xdr:col>8</xdr:col>
                    <xdr:colOff>28575</xdr:colOff>
                    <xdr:row>14</xdr:row>
                    <xdr:rowOff>28575</xdr:rowOff>
                  </from>
                  <to>
                    <xdr:col>8</xdr:col>
                    <xdr:colOff>257175</xdr:colOff>
                    <xdr:row>14</xdr:row>
                    <xdr:rowOff>238125</xdr:rowOff>
                  </to>
                </anchor>
              </controlPr>
            </control>
          </mc:Choice>
        </mc:AlternateContent>
        <mc:AlternateContent xmlns:mc="http://schemas.openxmlformats.org/markup-compatibility/2006">
          <mc:Choice Requires="x14">
            <control shapeId="75794" r:id="rId22" name="Check Box 18">
              <controlPr defaultSize="0" autoFill="0" autoLine="0" autoPict="0">
                <anchor moveWithCells="1">
                  <from>
                    <xdr:col>8</xdr:col>
                    <xdr:colOff>28575</xdr:colOff>
                    <xdr:row>15</xdr:row>
                    <xdr:rowOff>28575</xdr:rowOff>
                  </from>
                  <to>
                    <xdr:col>8</xdr:col>
                    <xdr:colOff>257175</xdr:colOff>
                    <xdr:row>15</xdr:row>
                    <xdr:rowOff>228600</xdr:rowOff>
                  </to>
                </anchor>
              </controlPr>
            </control>
          </mc:Choice>
        </mc:AlternateContent>
        <mc:AlternateContent xmlns:mc="http://schemas.openxmlformats.org/markup-compatibility/2006">
          <mc:Choice Requires="x14">
            <control shapeId="75795" r:id="rId23" name="Check Box 19">
              <controlPr defaultSize="0" autoFill="0" autoLine="0" autoPict="0">
                <anchor moveWithCells="1">
                  <from>
                    <xdr:col>8</xdr:col>
                    <xdr:colOff>9525</xdr:colOff>
                    <xdr:row>16</xdr:row>
                    <xdr:rowOff>9525</xdr:rowOff>
                  </from>
                  <to>
                    <xdr:col>8</xdr:col>
                    <xdr:colOff>219075</xdr:colOff>
                    <xdr:row>16</xdr:row>
                    <xdr:rowOff>257175</xdr:rowOff>
                  </to>
                </anchor>
              </controlPr>
            </control>
          </mc:Choice>
        </mc:AlternateContent>
        <mc:AlternateContent xmlns:mc="http://schemas.openxmlformats.org/markup-compatibility/2006">
          <mc:Choice Requires="x14">
            <control shapeId="75796" r:id="rId24" name="Check Box 20">
              <controlPr defaultSize="0" autoFill="0" autoLine="0" autoPict="0">
                <anchor moveWithCells="1">
                  <from>
                    <xdr:col>24</xdr:col>
                    <xdr:colOff>38100</xdr:colOff>
                    <xdr:row>17</xdr:row>
                    <xdr:rowOff>28575</xdr:rowOff>
                  </from>
                  <to>
                    <xdr:col>25</xdr:col>
                    <xdr:colOff>9525</xdr:colOff>
                    <xdr:row>17</xdr:row>
                    <xdr:rowOff>238125</xdr:rowOff>
                  </to>
                </anchor>
              </controlPr>
            </control>
          </mc:Choice>
        </mc:AlternateContent>
        <mc:AlternateContent xmlns:mc="http://schemas.openxmlformats.org/markup-compatibility/2006">
          <mc:Choice Requires="x14">
            <control shapeId="75797" r:id="rId25" name="Check Box 21">
              <controlPr defaultSize="0" autoFill="0" autoLine="0" autoPict="0">
                <anchor moveWithCells="1">
                  <from>
                    <xdr:col>8</xdr:col>
                    <xdr:colOff>28575</xdr:colOff>
                    <xdr:row>19</xdr:row>
                    <xdr:rowOff>9525</xdr:rowOff>
                  </from>
                  <to>
                    <xdr:col>8</xdr:col>
                    <xdr:colOff>238125</xdr:colOff>
                    <xdr:row>19</xdr:row>
                    <xdr:rowOff>238125</xdr:rowOff>
                  </to>
                </anchor>
              </controlPr>
            </control>
          </mc:Choice>
        </mc:AlternateContent>
        <mc:AlternateContent xmlns:mc="http://schemas.openxmlformats.org/markup-compatibility/2006">
          <mc:Choice Requires="x14">
            <control shapeId="75798" r:id="rId26" name="Check Box 22">
              <controlPr defaultSize="0" autoFill="0" autoLine="0" autoPict="0">
                <anchor moveWithCells="1">
                  <from>
                    <xdr:col>8</xdr:col>
                    <xdr:colOff>28575</xdr:colOff>
                    <xdr:row>20</xdr:row>
                    <xdr:rowOff>9525</xdr:rowOff>
                  </from>
                  <to>
                    <xdr:col>9</xdr:col>
                    <xdr:colOff>28575</xdr:colOff>
                    <xdr:row>20</xdr:row>
                    <xdr:rowOff>238125</xdr:rowOff>
                  </to>
                </anchor>
              </controlPr>
            </control>
          </mc:Choice>
        </mc:AlternateContent>
        <mc:AlternateContent xmlns:mc="http://schemas.openxmlformats.org/markup-compatibility/2006">
          <mc:Choice Requires="x14">
            <control shapeId="75799" r:id="rId27" name="Check Box 23">
              <controlPr defaultSize="0" autoFill="0" autoLine="0" autoPict="0">
                <anchor moveWithCells="1">
                  <from>
                    <xdr:col>16</xdr:col>
                    <xdr:colOff>28575</xdr:colOff>
                    <xdr:row>19</xdr:row>
                    <xdr:rowOff>28575</xdr:rowOff>
                  </from>
                  <to>
                    <xdr:col>16</xdr:col>
                    <xdr:colOff>266700</xdr:colOff>
                    <xdr:row>20</xdr:row>
                    <xdr:rowOff>0</xdr:rowOff>
                  </to>
                </anchor>
              </controlPr>
            </control>
          </mc:Choice>
        </mc:AlternateContent>
        <mc:AlternateContent xmlns:mc="http://schemas.openxmlformats.org/markup-compatibility/2006">
          <mc:Choice Requires="x14">
            <control shapeId="75800" r:id="rId28" name="Check Box 24">
              <controlPr defaultSize="0" autoFill="0" autoLine="0" autoPict="0">
                <anchor moveWithCells="1">
                  <from>
                    <xdr:col>16</xdr:col>
                    <xdr:colOff>28575</xdr:colOff>
                    <xdr:row>20</xdr:row>
                    <xdr:rowOff>9525</xdr:rowOff>
                  </from>
                  <to>
                    <xdr:col>17</xdr:col>
                    <xdr:colOff>9525</xdr:colOff>
                    <xdr:row>20</xdr:row>
                    <xdr:rowOff>219075</xdr:rowOff>
                  </to>
                </anchor>
              </controlPr>
            </control>
          </mc:Choice>
        </mc:AlternateContent>
        <mc:AlternateContent xmlns:mc="http://schemas.openxmlformats.org/markup-compatibility/2006">
          <mc:Choice Requires="x14">
            <control shapeId="75801" r:id="rId29" name="Check Box 25">
              <controlPr defaultSize="0" autoFill="0" autoLine="0" autoPict="0">
                <anchor moveWithCells="1">
                  <from>
                    <xdr:col>23</xdr:col>
                    <xdr:colOff>28575</xdr:colOff>
                    <xdr:row>19</xdr:row>
                    <xdr:rowOff>9525</xdr:rowOff>
                  </from>
                  <to>
                    <xdr:col>23</xdr:col>
                    <xdr:colOff>200025</xdr:colOff>
                    <xdr:row>19</xdr:row>
                    <xdr:rowOff>257175</xdr:rowOff>
                  </to>
                </anchor>
              </controlPr>
            </control>
          </mc:Choice>
        </mc:AlternateContent>
        <mc:AlternateContent xmlns:mc="http://schemas.openxmlformats.org/markup-compatibility/2006">
          <mc:Choice Requires="x14">
            <control shapeId="75802" r:id="rId30" name="Check Box 26">
              <controlPr defaultSize="0" autoFill="0" autoLine="0" autoPict="0">
                <anchor moveWithCells="1">
                  <from>
                    <xdr:col>23</xdr:col>
                    <xdr:colOff>28575</xdr:colOff>
                    <xdr:row>19</xdr:row>
                    <xdr:rowOff>257175</xdr:rowOff>
                  </from>
                  <to>
                    <xdr:col>24</xdr:col>
                    <xdr:colOff>9525</xdr:colOff>
                    <xdr:row>20</xdr:row>
                    <xdr:rowOff>228600</xdr:rowOff>
                  </to>
                </anchor>
              </controlPr>
            </control>
          </mc:Choice>
        </mc:AlternateContent>
        <mc:AlternateContent xmlns:mc="http://schemas.openxmlformats.org/markup-compatibility/2006">
          <mc:Choice Requires="x14">
            <control shapeId="75803" r:id="rId31" name="Check Box 27">
              <controlPr defaultSize="0" autoFill="0" autoLine="0" autoPict="0">
                <anchor moveWithCells="1">
                  <from>
                    <xdr:col>32</xdr:col>
                    <xdr:colOff>28575</xdr:colOff>
                    <xdr:row>19</xdr:row>
                    <xdr:rowOff>9525</xdr:rowOff>
                  </from>
                  <to>
                    <xdr:col>33</xdr:col>
                    <xdr:colOff>9525</xdr:colOff>
                    <xdr:row>19</xdr:row>
                    <xdr:rowOff>238125</xdr:rowOff>
                  </to>
                </anchor>
              </controlPr>
            </control>
          </mc:Choice>
        </mc:AlternateContent>
        <mc:AlternateContent xmlns:mc="http://schemas.openxmlformats.org/markup-compatibility/2006">
          <mc:Choice Requires="x14">
            <control shapeId="75804" r:id="rId32" name="Check Box 28">
              <controlPr defaultSize="0" autoFill="0" autoLine="0" autoPict="0">
                <anchor moveWithCells="1">
                  <from>
                    <xdr:col>14</xdr:col>
                    <xdr:colOff>28575</xdr:colOff>
                    <xdr:row>26</xdr:row>
                    <xdr:rowOff>9525</xdr:rowOff>
                  </from>
                  <to>
                    <xdr:col>15</xdr:col>
                    <xdr:colOff>9525</xdr:colOff>
                    <xdr:row>27</xdr:row>
                    <xdr:rowOff>0</xdr:rowOff>
                  </to>
                </anchor>
              </controlPr>
            </control>
          </mc:Choice>
        </mc:AlternateContent>
        <mc:AlternateContent xmlns:mc="http://schemas.openxmlformats.org/markup-compatibility/2006">
          <mc:Choice Requires="x14">
            <control shapeId="75805" r:id="rId33" name="Check Box 29">
              <controlPr defaultSize="0" autoFill="0" autoLine="0" autoPict="0">
                <anchor moveWithCells="1">
                  <from>
                    <xdr:col>8</xdr:col>
                    <xdr:colOff>28575</xdr:colOff>
                    <xdr:row>29</xdr:row>
                    <xdr:rowOff>123825</xdr:rowOff>
                  </from>
                  <to>
                    <xdr:col>8</xdr:col>
                    <xdr:colOff>219075</xdr:colOff>
                    <xdr:row>29</xdr:row>
                    <xdr:rowOff>352425</xdr:rowOff>
                  </to>
                </anchor>
              </controlPr>
            </control>
          </mc:Choice>
        </mc:AlternateContent>
        <mc:AlternateContent xmlns:mc="http://schemas.openxmlformats.org/markup-compatibility/2006">
          <mc:Choice Requires="x14">
            <control shapeId="75806" r:id="rId34" name="Check Box 30">
              <controlPr defaultSize="0" autoFill="0" autoLine="0" autoPict="0">
                <anchor moveWithCells="1">
                  <from>
                    <xdr:col>8</xdr:col>
                    <xdr:colOff>28575</xdr:colOff>
                    <xdr:row>31</xdr:row>
                    <xdr:rowOff>114300</xdr:rowOff>
                  </from>
                  <to>
                    <xdr:col>8</xdr:col>
                    <xdr:colOff>257175</xdr:colOff>
                    <xdr:row>31</xdr:row>
                    <xdr:rowOff>333375</xdr:rowOff>
                  </to>
                </anchor>
              </controlPr>
            </control>
          </mc:Choice>
        </mc:AlternateContent>
        <mc:AlternateContent xmlns:mc="http://schemas.openxmlformats.org/markup-compatibility/2006">
          <mc:Choice Requires="x14">
            <control shapeId="75807" r:id="rId35" name="Check Box 31">
              <controlPr defaultSize="0" autoFill="0" autoLine="0" autoPict="0">
                <anchor moveWithCells="1">
                  <from>
                    <xdr:col>8</xdr:col>
                    <xdr:colOff>28575</xdr:colOff>
                    <xdr:row>33</xdr:row>
                    <xdr:rowOff>66675</xdr:rowOff>
                  </from>
                  <to>
                    <xdr:col>8</xdr:col>
                    <xdr:colOff>257175</xdr:colOff>
                    <xdr:row>33</xdr:row>
                    <xdr:rowOff>276225</xdr:rowOff>
                  </to>
                </anchor>
              </controlPr>
            </control>
          </mc:Choice>
        </mc:AlternateContent>
        <mc:AlternateContent xmlns:mc="http://schemas.openxmlformats.org/markup-compatibility/2006">
          <mc:Choice Requires="x14">
            <control shapeId="75808" r:id="rId36" name="Check Box 32">
              <controlPr defaultSize="0" autoFill="0" autoLine="0" autoPict="0">
                <anchor moveWithCells="1">
                  <from>
                    <xdr:col>33</xdr:col>
                    <xdr:colOff>28575</xdr:colOff>
                    <xdr:row>29</xdr:row>
                    <xdr:rowOff>142875</xdr:rowOff>
                  </from>
                  <to>
                    <xdr:col>33</xdr:col>
                    <xdr:colOff>257175</xdr:colOff>
                    <xdr:row>29</xdr:row>
                    <xdr:rowOff>342900</xdr:rowOff>
                  </to>
                </anchor>
              </controlPr>
            </control>
          </mc:Choice>
        </mc:AlternateContent>
        <mc:AlternateContent xmlns:mc="http://schemas.openxmlformats.org/markup-compatibility/2006">
          <mc:Choice Requires="x14">
            <control shapeId="75809" r:id="rId37" name="Check Box 33">
              <controlPr defaultSize="0" autoFill="0" autoLine="0" autoPict="0">
                <anchor moveWithCells="1">
                  <from>
                    <xdr:col>33</xdr:col>
                    <xdr:colOff>38100</xdr:colOff>
                    <xdr:row>31</xdr:row>
                    <xdr:rowOff>123825</xdr:rowOff>
                  </from>
                  <to>
                    <xdr:col>33</xdr:col>
                    <xdr:colOff>266700</xdr:colOff>
                    <xdr:row>31</xdr:row>
                    <xdr:rowOff>333375</xdr:rowOff>
                  </to>
                </anchor>
              </controlPr>
            </control>
          </mc:Choice>
        </mc:AlternateContent>
        <mc:AlternateContent xmlns:mc="http://schemas.openxmlformats.org/markup-compatibility/2006">
          <mc:Choice Requires="x14">
            <control shapeId="75810" r:id="rId38" name="Check Box 34">
              <controlPr defaultSize="0" autoFill="0" autoLine="0" autoPict="0">
                <anchor moveWithCells="1">
                  <from>
                    <xdr:col>33</xdr:col>
                    <xdr:colOff>28575</xdr:colOff>
                    <xdr:row>34</xdr:row>
                    <xdr:rowOff>47625</xdr:rowOff>
                  </from>
                  <to>
                    <xdr:col>33</xdr:col>
                    <xdr:colOff>266700</xdr:colOff>
                    <xdr:row>34</xdr:row>
                    <xdr:rowOff>276225</xdr:rowOff>
                  </to>
                </anchor>
              </controlPr>
            </control>
          </mc:Choice>
        </mc:AlternateContent>
        <mc:AlternateContent xmlns:mc="http://schemas.openxmlformats.org/markup-compatibility/2006">
          <mc:Choice Requires="x14">
            <control shapeId="75811" r:id="rId39" name="Check Box 35">
              <controlPr defaultSize="0" autoFill="0" autoLine="0" autoPict="0">
                <anchor moveWithCells="1">
                  <from>
                    <xdr:col>23</xdr:col>
                    <xdr:colOff>28575</xdr:colOff>
                    <xdr:row>4</xdr:row>
                    <xdr:rowOff>38100</xdr:rowOff>
                  </from>
                  <to>
                    <xdr:col>23</xdr:col>
                    <xdr:colOff>238125</xdr:colOff>
                    <xdr:row>5</xdr:row>
                    <xdr:rowOff>9525</xdr:rowOff>
                  </to>
                </anchor>
              </controlPr>
            </control>
          </mc:Choice>
        </mc:AlternateContent>
        <mc:AlternateContent xmlns:mc="http://schemas.openxmlformats.org/markup-compatibility/2006">
          <mc:Choice Requires="x14">
            <control shapeId="75812" r:id="rId40" name="Check Box 36">
              <controlPr defaultSize="0" autoFill="0" autoLine="0" autoPict="0">
                <anchor moveWithCells="1">
                  <from>
                    <xdr:col>19</xdr:col>
                    <xdr:colOff>38100</xdr:colOff>
                    <xdr:row>26</xdr:row>
                    <xdr:rowOff>28575</xdr:rowOff>
                  </from>
                  <to>
                    <xdr:col>20</xdr:col>
                    <xdr:colOff>0</xdr:colOff>
                    <xdr:row>27</xdr:row>
                    <xdr:rowOff>0</xdr:rowOff>
                  </to>
                </anchor>
              </controlPr>
            </control>
          </mc:Choice>
        </mc:AlternateContent>
        <mc:AlternateContent xmlns:mc="http://schemas.openxmlformats.org/markup-compatibility/2006">
          <mc:Choice Requires="x14">
            <control shapeId="75813" r:id="rId41" name="Check Box 37">
              <controlPr defaultSize="0" autoFill="0" autoLine="0" autoPict="0">
                <anchor moveWithCells="1">
                  <from>
                    <xdr:col>38</xdr:col>
                    <xdr:colOff>38100</xdr:colOff>
                    <xdr:row>29</xdr:row>
                    <xdr:rowOff>142875</xdr:rowOff>
                  </from>
                  <to>
                    <xdr:col>38</xdr:col>
                    <xdr:colOff>257175</xdr:colOff>
                    <xdr:row>29</xdr:row>
                    <xdr:rowOff>333375</xdr:rowOff>
                  </to>
                </anchor>
              </controlPr>
            </control>
          </mc:Choice>
        </mc:AlternateContent>
        <mc:AlternateContent xmlns:mc="http://schemas.openxmlformats.org/markup-compatibility/2006">
          <mc:Choice Requires="x14">
            <control shapeId="75814" r:id="rId42" name="Check Box 38">
              <controlPr defaultSize="0" autoFill="0" autoLine="0" autoPict="0">
                <anchor moveWithCells="1">
                  <from>
                    <xdr:col>38</xdr:col>
                    <xdr:colOff>28575</xdr:colOff>
                    <xdr:row>31</xdr:row>
                    <xdr:rowOff>123825</xdr:rowOff>
                  </from>
                  <to>
                    <xdr:col>39</xdr:col>
                    <xdr:colOff>0</xdr:colOff>
                    <xdr:row>31</xdr:row>
                    <xdr:rowOff>333375</xdr:rowOff>
                  </to>
                </anchor>
              </controlPr>
            </control>
          </mc:Choice>
        </mc:AlternateContent>
        <mc:AlternateContent xmlns:mc="http://schemas.openxmlformats.org/markup-compatibility/2006">
          <mc:Choice Requires="x14">
            <control shapeId="75815" r:id="rId43" name="Check Box 39">
              <controlPr defaultSize="0" autoFill="0" autoLine="0" autoPict="0">
                <anchor moveWithCells="1">
                  <from>
                    <xdr:col>38</xdr:col>
                    <xdr:colOff>28575</xdr:colOff>
                    <xdr:row>34</xdr:row>
                    <xdr:rowOff>47625</xdr:rowOff>
                  </from>
                  <to>
                    <xdr:col>39</xdr:col>
                    <xdr:colOff>9525</xdr:colOff>
                    <xdr:row>34</xdr:row>
                    <xdr:rowOff>266700</xdr:rowOff>
                  </to>
                </anchor>
              </controlPr>
            </control>
          </mc:Choice>
        </mc:AlternateContent>
        <mc:AlternateContent xmlns:mc="http://schemas.openxmlformats.org/markup-compatibility/2006">
          <mc:Choice Requires="x14">
            <control shapeId="75816" r:id="rId44" name="Check Box 40">
              <controlPr defaultSize="0" autoFill="0" autoLine="0" autoPict="0">
                <anchor moveWithCells="1">
                  <from>
                    <xdr:col>29</xdr:col>
                    <xdr:colOff>38100</xdr:colOff>
                    <xdr:row>17</xdr:row>
                    <xdr:rowOff>9525</xdr:rowOff>
                  </from>
                  <to>
                    <xdr:col>29</xdr:col>
                    <xdr:colOff>257175</xdr:colOff>
                    <xdr:row>18</xdr:row>
                    <xdr:rowOff>9525</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9CD6C-6F34-4A12-866A-58B8DE12572D}">
  <sheetPr codeName="Sheet41">
    <tabColor rgb="FFFFFF00"/>
    <pageSetUpPr fitToPage="1"/>
  </sheetPr>
  <dimension ref="A1:AY53"/>
  <sheetViews>
    <sheetView showGridLines="0" topLeftCell="A31" zoomScaleNormal="100" workbookViewId="0">
      <selection sqref="A1:AX46"/>
    </sheetView>
  </sheetViews>
  <sheetFormatPr defaultColWidth="9" defaultRowHeight="15.75"/>
  <cols>
    <col min="1" max="1" width="2.125" style="44" customWidth="1"/>
    <col min="2" max="47" width="3.625" style="44" customWidth="1"/>
    <col min="48" max="48" width="2.125" style="44" customWidth="1"/>
    <col min="49" max="49" width="3.625" style="44" customWidth="1"/>
    <col min="50" max="50" width="9" style="44"/>
    <col min="51" max="51" width="9" style="434"/>
    <col min="52" max="16384" width="9" style="44"/>
  </cols>
  <sheetData>
    <row r="1" spans="1:51" ht="12"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row>
    <row r="2" spans="1:51">
      <c r="A2" s="434"/>
      <c r="B2" s="434"/>
      <c r="C2" s="434"/>
      <c r="D2" s="434"/>
      <c r="E2" s="611" t="s">
        <v>11425</v>
      </c>
      <c r="F2" s="611"/>
      <c r="G2" s="611"/>
      <c r="H2" s="611"/>
      <c r="I2" s="611"/>
      <c r="J2" s="611"/>
      <c r="K2" s="612"/>
      <c r="L2" s="612"/>
      <c r="M2" s="612"/>
      <c r="N2" s="612"/>
      <c r="O2" s="612"/>
      <c r="P2" s="612"/>
      <c r="Q2" s="612"/>
      <c r="R2" s="612"/>
      <c r="S2" s="612"/>
      <c r="T2" s="612"/>
      <c r="U2" s="612"/>
      <c r="V2" s="612"/>
      <c r="W2" s="612"/>
      <c r="X2" s="612"/>
      <c r="Y2" s="612"/>
      <c r="Z2" s="612"/>
      <c r="AA2" s="612"/>
      <c r="AB2" s="612"/>
      <c r="AC2" s="612"/>
      <c r="AD2" s="612"/>
      <c r="AE2" s="612"/>
      <c r="AF2" s="612"/>
      <c r="AG2" s="612"/>
      <c r="AH2" s="612"/>
      <c r="AI2" s="612"/>
      <c r="AJ2" s="612"/>
      <c r="AK2" s="612"/>
      <c r="AL2" s="611"/>
      <c r="AM2" s="611"/>
      <c r="AN2" s="1101"/>
      <c r="AO2" s="1101"/>
      <c r="AP2" s="599"/>
      <c r="AQ2" s="434"/>
      <c r="AR2" s="434"/>
      <c r="AS2" s="434"/>
      <c r="AT2" s="434"/>
      <c r="AU2" s="434"/>
      <c r="AV2" s="434"/>
      <c r="AW2" s="434"/>
      <c r="AX2" s="434"/>
    </row>
    <row r="3" spans="1:51" s="40" customFormat="1" ht="16.5" thickBot="1">
      <c r="A3" s="582"/>
      <c r="B3" s="582"/>
      <c r="C3" s="582"/>
      <c r="D3" s="582"/>
      <c r="E3" s="583" t="s">
        <v>402</v>
      </c>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row>
    <row r="4" spans="1:51" ht="8.1" customHeight="1">
      <c r="A4" s="434"/>
      <c r="B4" s="434"/>
      <c r="C4" s="434"/>
      <c r="D4" s="434"/>
      <c r="E4" s="1102"/>
      <c r="F4" s="985"/>
      <c r="G4" s="985"/>
      <c r="H4" s="985"/>
      <c r="I4" s="985"/>
      <c r="J4" s="985"/>
      <c r="K4" s="986"/>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5"/>
      <c r="AP4" s="685"/>
      <c r="AQ4" s="685"/>
      <c r="AR4" s="685"/>
      <c r="AS4" s="651"/>
      <c r="AT4" s="434"/>
      <c r="AU4" s="434"/>
      <c r="AV4" s="434"/>
      <c r="AW4" s="434"/>
      <c r="AX4" s="434"/>
    </row>
    <row r="5" spans="1:51" ht="19.5">
      <c r="A5" s="434"/>
      <c r="B5" s="434"/>
      <c r="C5" s="434"/>
      <c r="D5" s="434"/>
      <c r="E5" s="1142" t="s">
        <v>292</v>
      </c>
      <c r="F5" s="1101" t="s">
        <v>713</v>
      </c>
      <c r="G5" s="990"/>
      <c r="H5" s="990"/>
      <c r="I5" s="990"/>
      <c r="J5" s="990"/>
      <c r="K5" s="593"/>
      <c r="L5" s="599"/>
      <c r="M5" s="599"/>
      <c r="N5" s="599"/>
      <c r="O5" s="599"/>
      <c r="P5" s="599"/>
      <c r="Q5" s="599"/>
      <c r="R5" s="861"/>
      <c r="S5" s="593"/>
      <c r="T5" s="593"/>
      <c r="U5" s="599"/>
      <c r="V5" s="434"/>
      <c r="W5" s="434"/>
      <c r="X5" s="434"/>
      <c r="Y5" s="861"/>
      <c r="Z5" s="861"/>
      <c r="AA5" s="861"/>
      <c r="AB5" s="861"/>
      <c r="AC5" s="873" t="b">
        <v>1</v>
      </c>
      <c r="AD5" s="593" t="s">
        <v>484</v>
      </c>
      <c r="AE5" s="593"/>
      <c r="AF5" s="434"/>
      <c r="AG5" s="434"/>
      <c r="AH5" s="873"/>
      <c r="AI5" s="593" t="s">
        <v>485</v>
      </c>
      <c r="AJ5" s="593"/>
      <c r="AK5" s="861"/>
      <c r="AL5" s="861"/>
      <c r="AM5" s="593"/>
      <c r="AN5" s="434"/>
      <c r="AO5" s="434"/>
      <c r="AP5" s="434"/>
      <c r="AQ5" s="434"/>
      <c r="AR5" s="434"/>
      <c r="AS5" s="997"/>
      <c r="AT5" s="434"/>
      <c r="AU5" s="434"/>
      <c r="AV5" s="434"/>
      <c r="AW5" s="434"/>
      <c r="AX5" s="434"/>
    </row>
    <row r="6" spans="1:51" ht="19.5">
      <c r="A6" s="434"/>
      <c r="B6" s="434"/>
      <c r="C6" s="434"/>
      <c r="D6" s="434"/>
      <c r="E6" s="1143"/>
      <c r="F6" s="622"/>
      <c r="G6" s="623"/>
      <c r="H6" s="623"/>
      <c r="I6" s="623"/>
      <c r="J6" s="623"/>
      <c r="K6" s="582"/>
      <c r="L6" s="599"/>
      <c r="M6" s="599"/>
      <c r="N6" s="599"/>
      <c r="O6" s="599"/>
      <c r="P6" s="599"/>
      <c r="Q6" s="599"/>
      <c r="R6" s="625"/>
      <c r="S6" s="582"/>
      <c r="T6" s="582"/>
      <c r="U6" s="599"/>
      <c r="V6" s="434"/>
      <c r="W6" s="434"/>
      <c r="X6" s="434"/>
      <c r="Y6" s="625"/>
      <c r="Z6" s="625"/>
      <c r="AA6" s="625"/>
      <c r="AB6" s="625"/>
      <c r="AC6" s="625"/>
      <c r="AD6" s="582"/>
      <c r="AE6" s="582"/>
      <c r="AF6" s="434"/>
      <c r="AG6" s="434"/>
      <c r="AH6" s="625"/>
      <c r="AI6" s="582"/>
      <c r="AJ6" s="582"/>
      <c r="AK6" s="625"/>
      <c r="AL6" s="625"/>
      <c r="AM6" s="582"/>
      <c r="AN6" s="434"/>
      <c r="AO6" s="434"/>
      <c r="AP6" s="434"/>
      <c r="AQ6" s="434"/>
      <c r="AR6" s="434"/>
      <c r="AS6" s="997"/>
      <c r="AT6" s="434"/>
      <c r="AU6" s="434"/>
      <c r="AV6" s="434"/>
      <c r="AW6" s="434"/>
      <c r="AX6" s="434"/>
    </row>
    <row r="7" spans="1:51" ht="19.5">
      <c r="A7" s="434"/>
      <c r="B7" s="434"/>
      <c r="C7" s="434"/>
      <c r="D7" s="434"/>
      <c r="E7" s="1143" t="s">
        <v>300</v>
      </c>
      <c r="F7" s="633" t="s">
        <v>1151</v>
      </c>
      <c r="G7" s="634"/>
      <c r="H7" s="634"/>
      <c r="I7" s="634"/>
      <c r="J7" s="634"/>
      <c r="K7" s="625"/>
      <c r="L7" s="582"/>
      <c r="M7" s="582"/>
      <c r="N7" s="582"/>
      <c r="O7" s="582"/>
      <c r="P7" s="582"/>
      <c r="Q7" s="582"/>
      <c r="R7" s="582"/>
      <c r="S7" s="582"/>
      <c r="T7" s="582"/>
      <c r="U7" s="582"/>
      <c r="V7" s="582"/>
      <c r="W7" s="582"/>
      <c r="X7" s="582"/>
      <c r="Y7" s="582"/>
      <c r="Z7" s="582"/>
      <c r="AA7" s="582"/>
      <c r="AB7" s="582"/>
      <c r="AC7" s="582"/>
      <c r="AD7" s="582"/>
      <c r="AE7" s="582"/>
      <c r="AF7" s="582"/>
      <c r="AG7" s="582"/>
      <c r="AH7" s="582"/>
      <c r="AI7" s="582"/>
      <c r="AJ7" s="582"/>
      <c r="AK7" s="582"/>
      <c r="AL7" s="582"/>
      <c r="AM7" s="582"/>
      <c r="AN7" s="582"/>
      <c r="AO7" s="582"/>
      <c r="AP7" s="582"/>
      <c r="AQ7" s="582"/>
      <c r="AR7" s="582"/>
      <c r="AS7" s="997"/>
      <c r="AT7" s="434"/>
      <c r="AU7" s="434"/>
      <c r="AV7" s="434"/>
      <c r="AW7" s="434"/>
      <c r="AX7" s="434"/>
    </row>
    <row r="8" spans="1:51" ht="19.5">
      <c r="A8" s="434"/>
      <c r="B8" s="434"/>
      <c r="C8" s="434"/>
      <c r="D8" s="434"/>
      <c r="E8" s="1144"/>
      <c r="F8" s="599"/>
      <c r="G8" s="434"/>
      <c r="H8" s="434"/>
      <c r="I8" s="610" t="b">
        <v>0</v>
      </c>
      <c r="J8" s="1145" t="s">
        <v>714</v>
      </c>
      <c r="K8" s="625"/>
      <c r="L8" s="599"/>
      <c r="M8" s="625"/>
      <c r="N8" s="582"/>
      <c r="O8" s="582"/>
      <c r="P8" s="582"/>
      <c r="Q8" s="582"/>
      <c r="R8" s="582"/>
      <c r="S8" s="582"/>
      <c r="T8" s="582"/>
      <c r="U8" s="434"/>
      <c r="V8" s="610" t="b">
        <v>0</v>
      </c>
      <c r="W8" s="582" t="s">
        <v>715</v>
      </c>
      <c r="X8" s="599"/>
      <c r="Y8" s="599"/>
      <c r="Z8" s="599"/>
      <c r="AA8" s="599"/>
      <c r="AB8" s="599"/>
      <c r="AC8" s="599"/>
      <c r="AD8" s="599"/>
      <c r="AE8" s="599"/>
      <c r="AF8" s="599"/>
      <c r="AG8" s="599"/>
      <c r="AH8" s="610" t="b">
        <v>0</v>
      </c>
      <c r="AI8" s="582" t="s">
        <v>716</v>
      </c>
      <c r="AJ8" s="599"/>
      <c r="AK8" s="599"/>
      <c r="AL8" s="599"/>
      <c r="AM8" s="434"/>
      <c r="AN8" s="434"/>
      <c r="AO8" s="599"/>
      <c r="AP8" s="599"/>
      <c r="AQ8" s="599"/>
      <c r="AR8" s="599"/>
      <c r="AS8" s="997"/>
      <c r="AT8" s="434"/>
      <c r="AU8" s="434"/>
      <c r="AV8" s="434"/>
      <c r="AW8" s="434"/>
      <c r="AX8" s="434"/>
    </row>
    <row r="9" spans="1:51" ht="19.5">
      <c r="A9" s="434"/>
      <c r="B9" s="434"/>
      <c r="C9" s="434"/>
      <c r="D9" s="434"/>
      <c r="E9" s="1144"/>
      <c r="F9" s="599"/>
      <c r="G9" s="434"/>
      <c r="H9" s="434"/>
      <c r="I9" s="610" t="b">
        <v>0</v>
      </c>
      <c r="J9" s="1145" t="s">
        <v>717</v>
      </c>
      <c r="K9" s="625"/>
      <c r="L9" s="599"/>
      <c r="M9" s="625"/>
      <c r="N9" s="582"/>
      <c r="O9" s="582"/>
      <c r="P9" s="582"/>
      <c r="Q9" s="582"/>
      <c r="R9" s="582"/>
      <c r="S9" s="582"/>
      <c r="T9" s="582"/>
      <c r="U9" s="434"/>
      <c r="V9" s="610" t="b">
        <v>0</v>
      </c>
      <c r="W9" s="582" t="s">
        <v>718</v>
      </c>
      <c r="X9" s="599"/>
      <c r="Y9" s="599"/>
      <c r="Z9" s="599"/>
      <c r="AA9" s="599"/>
      <c r="AB9" s="599"/>
      <c r="AC9" s="599"/>
      <c r="AD9" s="599"/>
      <c r="AE9" s="599"/>
      <c r="AF9" s="599"/>
      <c r="AG9" s="599"/>
      <c r="AH9" s="610" t="b">
        <v>0</v>
      </c>
      <c r="AI9" s="582" t="s">
        <v>719</v>
      </c>
      <c r="AJ9" s="599"/>
      <c r="AK9" s="599"/>
      <c r="AL9" s="599"/>
      <c r="AM9" s="434"/>
      <c r="AN9" s="434"/>
      <c r="AO9" s="599"/>
      <c r="AP9" s="599"/>
      <c r="AQ9" s="599"/>
      <c r="AR9" s="599"/>
      <c r="AS9" s="997"/>
      <c r="AT9" s="434"/>
      <c r="AU9" s="434"/>
      <c r="AV9" s="434"/>
      <c r="AW9" s="434"/>
      <c r="AX9" s="434"/>
    </row>
    <row r="10" spans="1:51" ht="19.5">
      <c r="A10" s="434"/>
      <c r="B10" s="434"/>
      <c r="C10" s="434"/>
      <c r="D10" s="434"/>
      <c r="E10" s="1144"/>
      <c r="F10" s="599"/>
      <c r="G10" s="434"/>
      <c r="H10" s="434"/>
      <c r="I10" s="610" t="b">
        <v>0</v>
      </c>
      <c r="J10" s="1145" t="s">
        <v>720</v>
      </c>
      <c r="K10" s="625"/>
      <c r="L10" s="599"/>
      <c r="M10" s="625"/>
      <c r="N10" s="582"/>
      <c r="O10" s="582"/>
      <c r="P10" s="582"/>
      <c r="Q10" s="582"/>
      <c r="R10" s="582"/>
      <c r="S10" s="582"/>
      <c r="T10" s="582"/>
      <c r="U10" s="434"/>
      <c r="V10" s="610" t="b">
        <v>0</v>
      </c>
      <c r="W10" s="582" t="s">
        <v>721</v>
      </c>
      <c r="X10" s="599"/>
      <c r="Y10" s="599"/>
      <c r="Z10" s="599"/>
      <c r="AA10" s="599"/>
      <c r="AB10" s="599"/>
      <c r="AC10" s="599"/>
      <c r="AD10" s="599"/>
      <c r="AE10" s="599"/>
      <c r="AF10" s="599"/>
      <c r="AG10" s="599"/>
      <c r="AH10" s="610" t="b">
        <v>0</v>
      </c>
      <c r="AI10" s="582" t="s">
        <v>722</v>
      </c>
      <c r="AJ10" s="599"/>
      <c r="AK10" s="599"/>
      <c r="AL10" s="599"/>
      <c r="AM10" s="434"/>
      <c r="AN10" s="434"/>
      <c r="AO10" s="599"/>
      <c r="AP10" s="599"/>
      <c r="AQ10" s="599"/>
      <c r="AR10" s="599"/>
      <c r="AS10" s="997"/>
      <c r="AT10" s="434"/>
      <c r="AU10" s="434"/>
      <c r="AV10" s="434"/>
      <c r="AW10" s="434"/>
      <c r="AX10" s="434"/>
    </row>
    <row r="11" spans="1:51" ht="19.5">
      <c r="A11" s="434"/>
      <c r="B11" s="434"/>
      <c r="C11" s="434"/>
      <c r="D11" s="434"/>
      <c r="E11" s="1144"/>
      <c r="F11" s="599"/>
      <c r="G11" s="434"/>
      <c r="H11" s="434"/>
      <c r="I11" s="625"/>
      <c r="J11" s="599"/>
      <c r="K11" s="625"/>
      <c r="L11" s="599"/>
      <c r="M11" s="625"/>
      <c r="N11" s="582"/>
      <c r="O11" s="582"/>
      <c r="P11" s="582"/>
      <c r="Q11" s="582"/>
      <c r="R11" s="582"/>
      <c r="S11" s="582"/>
      <c r="T11" s="582"/>
      <c r="U11" s="434"/>
      <c r="V11" s="625"/>
      <c r="W11" s="582" t="s">
        <v>723</v>
      </c>
      <c r="X11" s="599"/>
      <c r="Y11" s="599"/>
      <c r="Z11" s="599"/>
      <c r="AA11" s="599"/>
      <c r="AB11" s="599"/>
      <c r="AC11" s="599"/>
      <c r="AD11" s="599"/>
      <c r="AE11" s="599"/>
      <c r="AF11" s="599"/>
      <c r="AG11" s="599"/>
      <c r="AH11" s="610" t="b">
        <v>1</v>
      </c>
      <c r="AI11" s="582" t="s">
        <v>724</v>
      </c>
      <c r="AJ11" s="599"/>
      <c r="AK11" s="599"/>
      <c r="AL11" s="599"/>
      <c r="AM11" s="434"/>
      <c r="AN11" s="434"/>
      <c r="AO11" s="599"/>
      <c r="AP11" s="599"/>
      <c r="AQ11" s="599"/>
      <c r="AR11" s="599"/>
      <c r="AS11" s="997"/>
      <c r="AT11" s="434"/>
      <c r="AU11" s="434"/>
      <c r="AV11" s="434"/>
      <c r="AW11" s="434"/>
      <c r="AX11" s="434"/>
    </row>
    <row r="12" spans="1:51" ht="19.5">
      <c r="A12" s="434"/>
      <c r="B12" s="434"/>
      <c r="C12" s="434"/>
      <c r="D12" s="434"/>
      <c r="E12" s="1144"/>
      <c r="F12" s="599"/>
      <c r="G12" s="434"/>
      <c r="H12" s="434"/>
      <c r="I12" s="625"/>
      <c r="J12" s="599"/>
      <c r="K12" s="625"/>
      <c r="L12" s="599"/>
      <c r="M12" s="625"/>
      <c r="N12" s="582"/>
      <c r="O12" s="582"/>
      <c r="P12" s="582"/>
      <c r="Q12" s="582"/>
      <c r="R12" s="582"/>
      <c r="S12" s="582"/>
      <c r="T12" s="582"/>
      <c r="U12" s="434"/>
      <c r="V12" s="625"/>
      <c r="W12" s="582"/>
      <c r="X12" s="599"/>
      <c r="Y12" s="599"/>
      <c r="Z12" s="599"/>
      <c r="AA12" s="599"/>
      <c r="AB12" s="599"/>
      <c r="AC12" s="599"/>
      <c r="AD12" s="599"/>
      <c r="AE12" s="599"/>
      <c r="AF12" s="599"/>
      <c r="AG12" s="599"/>
      <c r="AH12" s="625"/>
      <c r="AI12" s="582"/>
      <c r="AJ12" s="599"/>
      <c r="AK12" s="599"/>
      <c r="AL12" s="599"/>
      <c r="AM12" s="434"/>
      <c r="AN12" s="434"/>
      <c r="AO12" s="599"/>
      <c r="AP12" s="599"/>
      <c r="AQ12" s="599"/>
      <c r="AR12" s="599"/>
      <c r="AS12" s="997"/>
      <c r="AT12" s="434"/>
      <c r="AU12" s="434"/>
      <c r="AV12" s="434"/>
      <c r="AW12" s="434"/>
      <c r="AX12" s="434"/>
    </row>
    <row r="13" spans="1:51" ht="19.5">
      <c r="A13" s="434"/>
      <c r="B13" s="434"/>
      <c r="C13" s="434"/>
      <c r="D13" s="434"/>
      <c r="E13" s="1143" t="s">
        <v>300</v>
      </c>
      <c r="F13" s="633" t="s">
        <v>1152</v>
      </c>
      <c r="G13" s="634"/>
      <c r="H13" s="634"/>
      <c r="I13" s="634"/>
      <c r="J13" s="634"/>
      <c r="K13" s="625"/>
      <c r="L13" s="582"/>
      <c r="M13" s="582"/>
      <c r="N13" s="582"/>
      <c r="O13" s="582"/>
      <c r="P13" s="582"/>
      <c r="Q13" s="582"/>
      <c r="R13" s="582"/>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997"/>
      <c r="AT13" s="434"/>
      <c r="AU13" s="434"/>
      <c r="AV13" s="434"/>
      <c r="AW13" s="434"/>
      <c r="AX13" s="434"/>
    </row>
    <row r="14" spans="1:51" ht="19.5">
      <c r="A14" s="434"/>
      <c r="B14" s="434"/>
      <c r="C14" s="434"/>
      <c r="D14" s="434"/>
      <c r="E14" s="1144"/>
      <c r="F14" s="599"/>
      <c r="G14" s="434"/>
      <c r="H14" s="434"/>
      <c r="I14" s="610" t="b">
        <v>1</v>
      </c>
      <c r="J14" s="582" t="s">
        <v>24</v>
      </c>
      <c r="K14" s="625"/>
      <c r="L14" s="582"/>
      <c r="M14" s="582"/>
      <c r="N14" s="582"/>
      <c r="O14" s="582"/>
      <c r="P14" s="582"/>
      <c r="Q14" s="582"/>
      <c r="R14" s="434"/>
      <c r="S14" s="434"/>
      <c r="T14" s="434"/>
      <c r="U14" s="599"/>
      <c r="V14" s="610" t="b">
        <v>0</v>
      </c>
      <c r="W14" s="582" t="s">
        <v>725</v>
      </c>
      <c r="X14" s="434"/>
      <c r="Y14" s="434"/>
      <c r="Z14" s="434"/>
      <c r="AA14" s="434"/>
      <c r="AB14" s="434"/>
      <c r="AC14" s="434"/>
      <c r="AD14" s="434"/>
      <c r="AE14" s="434"/>
      <c r="AF14" s="434"/>
      <c r="AG14" s="434"/>
      <c r="AH14" s="610" t="b">
        <v>0</v>
      </c>
      <c r="AI14" s="582" t="s">
        <v>726</v>
      </c>
      <c r="AJ14" s="434"/>
      <c r="AK14" s="434"/>
      <c r="AL14" s="434"/>
      <c r="AM14" s="434"/>
      <c r="AN14" s="434"/>
      <c r="AO14" s="599"/>
      <c r="AP14" s="599"/>
      <c r="AQ14" s="599"/>
      <c r="AR14" s="599"/>
      <c r="AS14" s="997"/>
      <c r="AT14" s="434"/>
      <c r="AU14" s="434"/>
      <c r="AV14" s="434"/>
      <c r="AW14" s="434"/>
      <c r="AX14" s="434"/>
    </row>
    <row r="15" spans="1:51" ht="19.5">
      <c r="A15" s="434"/>
      <c r="B15" s="434"/>
      <c r="C15" s="434"/>
      <c r="D15" s="434"/>
      <c r="E15" s="1144"/>
      <c r="F15" s="599"/>
      <c r="G15" s="434"/>
      <c r="H15" s="434"/>
      <c r="I15" s="610" t="b">
        <v>0</v>
      </c>
      <c r="J15" s="582" t="s">
        <v>727</v>
      </c>
      <c r="K15" s="625"/>
      <c r="L15" s="582"/>
      <c r="M15" s="582"/>
      <c r="N15" s="582"/>
      <c r="O15" s="582"/>
      <c r="P15" s="582"/>
      <c r="Q15" s="582"/>
      <c r="R15" s="434"/>
      <c r="S15" s="434"/>
      <c r="T15" s="434"/>
      <c r="U15" s="599"/>
      <c r="V15" s="610" t="b">
        <v>1</v>
      </c>
      <c r="W15" s="582" t="s">
        <v>728</v>
      </c>
      <c r="X15" s="434"/>
      <c r="Y15" s="434"/>
      <c r="Z15" s="434"/>
      <c r="AA15" s="434"/>
      <c r="AB15" s="434"/>
      <c r="AC15" s="434"/>
      <c r="AD15" s="434"/>
      <c r="AE15" s="434"/>
      <c r="AF15" s="434"/>
      <c r="AG15" s="434"/>
      <c r="AH15" s="434"/>
      <c r="AI15" s="434"/>
      <c r="AJ15" s="434"/>
      <c r="AK15" s="434"/>
      <c r="AL15" s="434"/>
      <c r="AM15" s="599"/>
      <c r="AN15" s="599"/>
      <c r="AO15" s="599"/>
      <c r="AP15" s="599"/>
      <c r="AQ15" s="599"/>
      <c r="AR15" s="599"/>
      <c r="AS15" s="997"/>
      <c r="AT15" s="434"/>
      <c r="AU15" s="434"/>
      <c r="AV15" s="434"/>
      <c r="AW15" s="434"/>
      <c r="AX15" s="434"/>
    </row>
    <row r="16" spans="1:51" ht="8.1" customHeight="1" thickBot="1">
      <c r="A16" s="434"/>
      <c r="B16" s="434"/>
      <c r="C16" s="434"/>
      <c r="D16" s="434"/>
      <c r="E16" s="641"/>
      <c r="F16" s="642"/>
      <c r="G16" s="1000"/>
      <c r="H16" s="1000"/>
      <c r="I16" s="1000"/>
      <c r="J16" s="596"/>
      <c r="K16" s="866"/>
      <c r="L16" s="596"/>
      <c r="M16" s="596"/>
      <c r="N16" s="596"/>
      <c r="O16" s="596"/>
      <c r="P16" s="596"/>
      <c r="Q16" s="596"/>
      <c r="R16" s="596"/>
      <c r="S16" s="596"/>
      <c r="T16" s="596"/>
      <c r="U16" s="596"/>
      <c r="V16" s="596"/>
      <c r="W16" s="596"/>
      <c r="X16" s="596"/>
      <c r="Y16" s="596"/>
      <c r="Z16" s="596"/>
      <c r="AA16" s="596"/>
      <c r="AB16" s="596"/>
      <c r="AC16" s="659"/>
      <c r="AD16" s="659"/>
      <c r="AE16" s="659"/>
      <c r="AF16" s="659"/>
      <c r="AG16" s="659"/>
      <c r="AH16" s="659"/>
      <c r="AI16" s="659"/>
      <c r="AJ16" s="659"/>
      <c r="AK16" s="659"/>
      <c r="AL16" s="659"/>
      <c r="AM16" s="659"/>
      <c r="AN16" s="659"/>
      <c r="AO16" s="659"/>
      <c r="AP16" s="659"/>
      <c r="AQ16" s="659"/>
      <c r="AR16" s="659"/>
      <c r="AS16" s="660"/>
      <c r="AT16" s="434"/>
      <c r="AU16" s="434"/>
      <c r="AV16" s="434"/>
      <c r="AW16" s="434"/>
      <c r="AX16" s="434"/>
    </row>
    <row r="17" spans="1:51" ht="20.100000000000001" customHeight="1">
      <c r="A17" s="434"/>
      <c r="B17" s="434"/>
      <c r="C17" s="434"/>
      <c r="D17" s="434"/>
      <c r="E17" s="434"/>
      <c r="F17" s="434"/>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4"/>
      <c r="AS17" s="434"/>
      <c r="AT17" s="434"/>
      <c r="AU17" s="434"/>
      <c r="AV17" s="434"/>
      <c r="AW17" s="434"/>
      <c r="AX17" s="434"/>
    </row>
    <row r="18" spans="1:51">
      <c r="A18" s="434"/>
      <c r="B18" s="434"/>
      <c r="C18" s="434"/>
      <c r="D18" s="434"/>
      <c r="E18" s="1146" t="s">
        <v>11426</v>
      </c>
      <c r="F18" s="1147"/>
      <c r="G18" s="1148"/>
      <c r="H18" s="267"/>
      <c r="I18" s="267"/>
      <c r="J18" s="267"/>
      <c r="K18" s="267"/>
      <c r="L18" s="267"/>
      <c r="M18" s="267"/>
      <c r="N18" s="267"/>
      <c r="O18" s="267"/>
      <c r="P18" s="267"/>
      <c r="Q18" s="267"/>
      <c r="R18" s="267"/>
      <c r="S18" s="267"/>
      <c r="T18" s="267"/>
      <c r="U18" s="267"/>
      <c r="V18" s="267"/>
      <c r="W18" s="267"/>
      <c r="X18" s="267"/>
      <c r="Y18" s="267"/>
      <c r="Z18" s="267"/>
      <c r="AA18" s="267"/>
      <c r="AB18" s="267"/>
      <c r="AC18" s="267"/>
      <c r="AD18" s="267"/>
      <c r="AE18" s="267"/>
      <c r="AF18" s="267"/>
      <c r="AG18" s="267"/>
      <c r="AH18" s="434"/>
      <c r="AI18" s="434"/>
      <c r="AJ18" s="434"/>
      <c r="AK18" s="434"/>
      <c r="AL18" s="434"/>
      <c r="AM18" s="434"/>
      <c r="AN18" s="434"/>
      <c r="AO18" s="434"/>
      <c r="AP18" s="434"/>
      <c r="AQ18" s="434"/>
      <c r="AR18" s="434"/>
      <c r="AS18" s="434"/>
      <c r="AT18" s="434"/>
      <c r="AU18" s="434"/>
      <c r="AV18" s="434"/>
      <c r="AW18" s="434"/>
      <c r="AX18" s="434"/>
    </row>
    <row r="19" spans="1:51" s="40" customFormat="1" ht="16.5" thickBot="1">
      <c r="A19" s="582"/>
      <c r="B19" s="582"/>
      <c r="C19" s="582"/>
      <c r="D19" s="582"/>
      <c r="E19" s="583" t="s">
        <v>1017</v>
      </c>
      <c r="F19" s="582"/>
      <c r="G19" s="582"/>
      <c r="H19" s="582"/>
      <c r="I19" s="582"/>
      <c r="J19" s="582"/>
      <c r="K19" s="582"/>
      <c r="L19" s="582"/>
      <c r="M19" s="582"/>
      <c r="N19" s="582"/>
      <c r="O19" s="582"/>
      <c r="P19" s="582"/>
      <c r="Q19" s="582"/>
      <c r="R19" s="582"/>
      <c r="S19" s="582"/>
      <c r="T19" s="582"/>
      <c r="U19" s="582"/>
      <c r="V19" s="582"/>
      <c r="W19" s="582"/>
      <c r="X19" s="582"/>
      <c r="Y19" s="582"/>
      <c r="Z19" s="582"/>
      <c r="AA19" s="582"/>
      <c r="AB19" s="582"/>
      <c r="AC19" s="582"/>
      <c r="AD19" s="582"/>
      <c r="AE19" s="582"/>
      <c r="AF19" s="582"/>
      <c r="AG19" s="582"/>
      <c r="AH19" s="582"/>
      <c r="AI19" s="582"/>
      <c r="AJ19" s="582"/>
      <c r="AK19" s="582"/>
      <c r="AL19" s="582"/>
      <c r="AM19" s="582"/>
      <c r="AN19" s="582"/>
      <c r="AO19" s="582"/>
      <c r="AP19" s="582"/>
      <c r="AQ19" s="582"/>
      <c r="AR19" s="582"/>
      <c r="AS19" s="582"/>
      <c r="AT19" s="582"/>
      <c r="AU19" s="582"/>
      <c r="AV19" s="582"/>
      <c r="AW19" s="582"/>
      <c r="AX19" s="582"/>
      <c r="AY19" s="582"/>
    </row>
    <row r="20" spans="1:51" ht="8.1" customHeight="1">
      <c r="A20" s="434"/>
      <c r="B20" s="434"/>
      <c r="C20" s="434"/>
      <c r="D20" s="434"/>
      <c r="E20" s="1149"/>
      <c r="F20" s="650"/>
      <c r="G20" s="978"/>
      <c r="H20" s="1150"/>
      <c r="I20" s="1151"/>
      <c r="J20" s="1151"/>
      <c r="K20" s="1151"/>
      <c r="L20" s="1151"/>
      <c r="M20" s="1151"/>
      <c r="N20" s="1151"/>
      <c r="O20" s="1151"/>
      <c r="P20" s="1151"/>
      <c r="Q20" s="1151"/>
      <c r="R20" s="1151"/>
      <c r="S20" s="1151"/>
      <c r="T20" s="1151"/>
      <c r="U20" s="1151"/>
      <c r="V20" s="1151"/>
      <c r="W20" s="1151"/>
      <c r="X20" s="1151"/>
      <c r="Y20" s="1151"/>
      <c r="Z20" s="1151"/>
      <c r="AA20" s="1151"/>
      <c r="AB20" s="1151"/>
      <c r="AC20" s="1151"/>
      <c r="AD20" s="1151"/>
      <c r="AE20" s="1151"/>
      <c r="AF20" s="1151"/>
      <c r="AG20" s="650"/>
      <c r="AH20" s="651"/>
      <c r="AI20" s="434"/>
      <c r="AJ20" s="434"/>
      <c r="AK20" s="434"/>
      <c r="AL20" s="434"/>
      <c r="AM20" s="434"/>
      <c r="AN20" s="434"/>
      <c r="AO20" s="434"/>
      <c r="AP20" s="434"/>
      <c r="AQ20" s="434"/>
      <c r="AR20" s="434"/>
      <c r="AS20" s="434"/>
      <c r="AT20" s="434"/>
      <c r="AU20" s="434"/>
      <c r="AV20" s="434"/>
      <c r="AW20" s="434"/>
      <c r="AX20" s="434"/>
    </row>
    <row r="21" spans="1:51" ht="19.5" customHeight="1">
      <c r="A21" s="434"/>
      <c r="B21" s="434"/>
      <c r="C21" s="434"/>
      <c r="D21" s="434"/>
      <c r="E21" s="1152"/>
      <c r="F21" s="434" t="s">
        <v>1014</v>
      </c>
      <c r="G21" s="707"/>
      <c r="H21" s="1153"/>
      <c r="I21" s="267"/>
      <c r="J21" s="267"/>
      <c r="K21" s="267"/>
      <c r="L21" s="267"/>
      <c r="M21" s="267"/>
      <c r="N21" s="267"/>
      <c r="O21" s="267"/>
      <c r="P21" s="267"/>
      <c r="Q21" s="267"/>
      <c r="R21" s="267"/>
      <c r="S21" s="267"/>
      <c r="T21" s="267"/>
      <c r="U21" s="267"/>
      <c r="V21" s="267"/>
      <c r="W21" s="267"/>
      <c r="X21" s="267"/>
      <c r="Y21" s="267"/>
      <c r="Z21" s="267"/>
      <c r="AA21" s="267"/>
      <c r="AB21" s="267"/>
      <c r="AC21" s="267"/>
      <c r="AD21" s="267"/>
      <c r="AE21" s="267"/>
      <c r="AF21" s="267"/>
      <c r="AG21" s="434"/>
      <c r="AH21" s="997"/>
      <c r="AI21" s="434"/>
      <c r="AJ21" s="434"/>
      <c r="AK21" s="434"/>
      <c r="AL21" s="434"/>
      <c r="AM21" s="434"/>
      <c r="AN21" s="434"/>
      <c r="AO21" s="434"/>
      <c r="AP21" s="434"/>
      <c r="AQ21" s="434"/>
      <c r="AR21" s="434"/>
      <c r="AS21" s="434"/>
      <c r="AT21" s="434"/>
      <c r="AU21" s="434"/>
      <c r="AV21" s="434"/>
      <c r="AW21" s="434"/>
      <c r="AX21" s="434"/>
    </row>
    <row r="22" spans="1:51" ht="19.5" customHeight="1">
      <c r="A22" s="434"/>
      <c r="B22" s="434"/>
      <c r="C22" s="434"/>
      <c r="D22" s="434"/>
      <c r="E22" s="988"/>
      <c r="F22" s="267"/>
      <c r="G22" s="624"/>
      <c r="H22" s="875"/>
      <c r="I22" s="610" t="b">
        <v>1</v>
      </c>
      <c r="J22" s="582" t="s">
        <v>729</v>
      </c>
      <c r="K22" s="267"/>
      <c r="L22" s="267"/>
      <c r="M22" s="267"/>
      <c r="N22" s="267"/>
      <c r="O22" s="267"/>
      <c r="P22" s="267"/>
      <c r="Q22" s="267"/>
      <c r="R22" s="267"/>
      <c r="S22" s="267"/>
      <c r="T22" s="267"/>
      <c r="U22" s="610" t="b">
        <v>0</v>
      </c>
      <c r="V22" s="582" t="s">
        <v>730</v>
      </c>
      <c r="W22" s="267"/>
      <c r="X22" s="267"/>
      <c r="Y22" s="267"/>
      <c r="Z22" s="267"/>
      <c r="AA22" s="267"/>
      <c r="AB22" s="267"/>
      <c r="AC22" s="624"/>
      <c r="AD22" s="434"/>
      <c r="AE22" s="434"/>
      <c r="AF22" s="434"/>
      <c r="AG22" s="434"/>
      <c r="AH22" s="997"/>
      <c r="AI22" s="434"/>
      <c r="AJ22" s="434"/>
      <c r="AK22" s="434"/>
      <c r="AL22" s="434"/>
      <c r="AM22" s="434"/>
      <c r="AN22" s="434"/>
      <c r="AO22" s="434"/>
      <c r="AP22" s="434"/>
      <c r="AQ22" s="434"/>
      <c r="AR22" s="434"/>
      <c r="AS22" s="434"/>
      <c r="AT22" s="434"/>
      <c r="AU22" s="434"/>
      <c r="AV22" s="434"/>
      <c r="AW22" s="434"/>
      <c r="AX22" s="434"/>
    </row>
    <row r="23" spans="1:51" ht="19.5" customHeight="1">
      <c r="A23" s="434"/>
      <c r="B23" s="434"/>
      <c r="C23" s="434"/>
      <c r="D23" s="434"/>
      <c r="E23" s="988"/>
      <c r="F23" s="267"/>
      <c r="G23" s="624"/>
      <c r="H23" s="875"/>
      <c r="I23" s="610" t="b">
        <v>0</v>
      </c>
      <c r="J23" s="582" t="s">
        <v>731</v>
      </c>
      <c r="K23" s="267"/>
      <c r="L23" s="267"/>
      <c r="M23" s="267"/>
      <c r="N23" s="267"/>
      <c r="O23" s="267"/>
      <c r="P23" s="267"/>
      <c r="Q23" s="267"/>
      <c r="R23" s="267"/>
      <c r="S23" s="267"/>
      <c r="T23" s="267"/>
      <c r="U23" s="610" t="b">
        <v>0</v>
      </c>
      <c r="V23" s="582" t="s">
        <v>732</v>
      </c>
      <c r="W23" s="267"/>
      <c r="X23" s="267"/>
      <c r="Y23" s="267"/>
      <c r="Z23" s="267"/>
      <c r="AA23" s="267"/>
      <c r="AB23" s="267"/>
      <c r="AC23" s="624"/>
      <c r="AD23" s="434"/>
      <c r="AE23" s="434"/>
      <c r="AF23" s="434"/>
      <c r="AG23" s="434"/>
      <c r="AH23" s="997"/>
      <c r="AI23" s="434"/>
      <c r="AJ23" s="434"/>
      <c r="AK23" s="434"/>
      <c r="AL23" s="434"/>
      <c r="AM23" s="434"/>
      <c r="AN23" s="434"/>
      <c r="AO23" s="434"/>
      <c r="AP23" s="434"/>
      <c r="AQ23" s="434"/>
      <c r="AR23" s="434"/>
      <c r="AS23" s="434"/>
      <c r="AT23" s="434"/>
      <c r="AU23" s="434"/>
      <c r="AV23" s="434"/>
      <c r="AW23" s="434"/>
      <c r="AX23" s="434"/>
    </row>
    <row r="24" spans="1:51" ht="19.5" customHeight="1">
      <c r="A24" s="434"/>
      <c r="B24" s="434"/>
      <c r="C24" s="434"/>
      <c r="D24" s="434"/>
      <c r="E24" s="1154" t="s">
        <v>292</v>
      </c>
      <c r="F24" s="434"/>
      <c r="G24" s="434" t="s">
        <v>1153</v>
      </c>
      <c r="H24" s="631"/>
      <c r="I24" s="591"/>
      <c r="J24" s="591"/>
      <c r="K24" s="591"/>
      <c r="L24" s="591"/>
      <c r="M24" s="591"/>
      <c r="N24" s="591"/>
      <c r="O24" s="591"/>
      <c r="P24" s="591"/>
      <c r="Q24" s="591"/>
      <c r="R24" s="591"/>
      <c r="S24" s="591"/>
      <c r="T24" s="591"/>
      <c r="U24" s="591"/>
      <c r="V24" s="591"/>
      <c r="W24" s="591"/>
      <c r="X24" s="591"/>
      <c r="Y24" s="591"/>
      <c r="Z24" s="3437"/>
      <c r="AA24" s="3437"/>
      <c r="AB24" s="3437"/>
      <c r="AC24" s="3437"/>
      <c r="AD24" s="3437"/>
      <c r="AE24" s="3437"/>
      <c r="AF24" s="3437"/>
      <c r="AG24" s="707"/>
      <c r="AH24" s="997"/>
      <c r="AI24" s="434"/>
      <c r="AJ24" s="434"/>
      <c r="AK24" s="434"/>
      <c r="AL24" s="434"/>
      <c r="AM24" s="434"/>
      <c r="AN24" s="434"/>
      <c r="AO24" s="434"/>
      <c r="AP24" s="434"/>
      <c r="AQ24" s="1002"/>
      <c r="AR24" s="434"/>
      <c r="AS24" s="434"/>
      <c r="AT24" s="434"/>
      <c r="AU24" s="434"/>
      <c r="AV24" s="434"/>
      <c r="AW24" s="434"/>
      <c r="AX24" s="434"/>
    </row>
    <row r="25" spans="1:51" ht="19.5" customHeight="1">
      <c r="A25" s="434"/>
      <c r="B25" s="434"/>
      <c r="C25" s="434"/>
      <c r="D25" s="434"/>
      <c r="E25" s="1009" t="s">
        <v>300</v>
      </c>
      <c r="F25" s="434"/>
      <c r="G25" s="434" t="s">
        <v>1154</v>
      </c>
      <c r="H25" s="631"/>
      <c r="I25" s="591"/>
      <c r="J25" s="591"/>
      <c r="K25" s="591"/>
      <c r="L25" s="591"/>
      <c r="M25" s="591"/>
      <c r="N25" s="591"/>
      <c r="O25" s="591"/>
      <c r="P25" s="591"/>
      <c r="Q25" s="591"/>
      <c r="R25" s="591"/>
      <c r="S25" s="591"/>
      <c r="T25" s="591"/>
      <c r="U25" s="591"/>
      <c r="V25" s="591"/>
      <c r="W25" s="591"/>
      <c r="X25" s="591"/>
      <c r="Y25" s="591"/>
      <c r="Z25" s="591"/>
      <c r="AA25" s="591"/>
      <c r="AB25" s="591"/>
      <c r="AC25" s="582"/>
      <c r="AD25" s="582"/>
      <c r="AE25" s="582"/>
      <c r="AF25" s="582"/>
      <c r="AG25" s="707"/>
      <c r="AH25" s="997"/>
      <c r="AI25" s="434"/>
      <c r="AJ25" s="434"/>
      <c r="AK25" s="434"/>
      <c r="AL25" s="434"/>
      <c r="AM25" s="434"/>
      <c r="AN25" s="434"/>
      <c r="AO25" s="434"/>
      <c r="AP25" s="434"/>
      <c r="AQ25" s="434"/>
      <c r="AR25" s="434"/>
      <c r="AS25" s="434"/>
      <c r="AT25" s="434"/>
      <c r="AU25" s="434"/>
      <c r="AV25" s="434"/>
      <c r="AW25" s="434"/>
      <c r="AX25" s="434"/>
    </row>
    <row r="26" spans="1:51" ht="19.5" customHeight="1">
      <c r="A26" s="434"/>
      <c r="B26" s="434"/>
      <c r="C26" s="434"/>
      <c r="D26" s="434"/>
      <c r="E26" s="1155"/>
      <c r="F26" s="1007"/>
      <c r="G26" s="624"/>
      <c r="H26" s="434"/>
      <c r="I26" s="610" t="b">
        <v>1</v>
      </c>
      <c r="J26" s="582" t="s">
        <v>415</v>
      </c>
      <c r="K26" s="434"/>
      <c r="L26" s="434"/>
      <c r="M26" s="434"/>
      <c r="N26" s="434"/>
      <c r="O26" s="434"/>
      <c r="P26" s="434"/>
      <c r="Q26" s="434"/>
      <c r="R26" s="434"/>
      <c r="S26" s="434"/>
      <c r="T26" s="434"/>
      <c r="U26" s="610" t="b">
        <v>0</v>
      </c>
      <c r="V26" s="582" t="s">
        <v>416</v>
      </c>
      <c r="W26" s="434"/>
      <c r="X26" s="434"/>
      <c r="Y26" s="434"/>
      <c r="Z26" s="434"/>
      <c r="AA26" s="434"/>
      <c r="AB26" s="434"/>
      <c r="AC26" s="624"/>
      <c r="AD26" s="582"/>
      <c r="AE26" s="624"/>
      <c r="AF26" s="582"/>
      <c r="AG26" s="624"/>
      <c r="AH26" s="997"/>
      <c r="AI26" s="434"/>
      <c r="AJ26" s="434"/>
      <c r="AK26" s="434"/>
      <c r="AL26" s="434"/>
      <c r="AM26" s="434"/>
      <c r="AN26" s="434"/>
      <c r="AO26" s="434"/>
      <c r="AP26" s="434"/>
      <c r="AQ26" s="434"/>
      <c r="AR26" s="434"/>
      <c r="AS26" s="434"/>
      <c r="AT26" s="434"/>
      <c r="AU26" s="434"/>
      <c r="AV26" s="434"/>
      <c r="AW26" s="434"/>
      <c r="AX26" s="434"/>
    </row>
    <row r="27" spans="1:51" ht="19.5" customHeight="1">
      <c r="A27" s="434"/>
      <c r="B27" s="434"/>
      <c r="C27" s="434"/>
      <c r="D27" s="434"/>
      <c r="E27" s="1155"/>
      <c r="F27" s="1007"/>
      <c r="G27" s="624"/>
      <c r="H27" s="434"/>
      <c r="I27" s="610" t="b">
        <v>0</v>
      </c>
      <c r="J27" s="582" t="s">
        <v>417</v>
      </c>
      <c r="K27" s="434"/>
      <c r="L27" s="434"/>
      <c r="M27" s="434"/>
      <c r="N27" s="434"/>
      <c r="O27" s="434"/>
      <c r="P27" s="434"/>
      <c r="Q27" s="434"/>
      <c r="R27" s="434"/>
      <c r="S27" s="434"/>
      <c r="T27" s="434"/>
      <c r="U27" s="610" t="b">
        <v>0</v>
      </c>
      <c r="V27" s="582" t="s">
        <v>418</v>
      </c>
      <c r="W27" s="434"/>
      <c r="X27" s="434"/>
      <c r="Y27" s="434"/>
      <c r="Z27" s="434"/>
      <c r="AA27" s="434"/>
      <c r="AB27" s="434"/>
      <c r="AC27" s="624"/>
      <c r="AD27" s="582"/>
      <c r="AE27" s="582"/>
      <c r="AF27" s="582"/>
      <c r="AG27" s="582"/>
      <c r="AH27" s="997"/>
      <c r="AI27" s="434"/>
      <c r="AJ27" s="434"/>
      <c r="AK27" s="434"/>
      <c r="AL27" s="434"/>
      <c r="AM27" s="434"/>
      <c r="AN27" s="434"/>
      <c r="AO27" s="434"/>
      <c r="AP27" s="434"/>
      <c r="AQ27" s="434"/>
      <c r="AR27" s="434"/>
      <c r="AS27" s="434"/>
      <c r="AT27" s="434"/>
      <c r="AU27" s="434"/>
      <c r="AV27" s="434"/>
      <c r="AW27" s="434"/>
      <c r="AX27" s="434"/>
    </row>
    <row r="28" spans="1:51" ht="19.5" customHeight="1">
      <c r="A28" s="434"/>
      <c r="B28" s="434"/>
      <c r="C28" s="434"/>
      <c r="D28" s="434"/>
      <c r="E28" s="1155"/>
      <c r="F28" s="1007"/>
      <c r="G28" s="624"/>
      <c r="H28" s="434"/>
      <c r="I28" s="610" t="b">
        <v>0</v>
      </c>
      <c r="J28" s="582" t="s">
        <v>419</v>
      </c>
      <c r="K28" s="434"/>
      <c r="L28" s="434"/>
      <c r="M28" s="434"/>
      <c r="N28" s="434"/>
      <c r="O28" s="434"/>
      <c r="P28" s="434"/>
      <c r="Q28" s="434"/>
      <c r="R28" s="434"/>
      <c r="S28" s="434"/>
      <c r="T28" s="434"/>
      <c r="U28" s="610" t="b">
        <v>0</v>
      </c>
      <c r="V28" s="757" t="s">
        <v>1021</v>
      </c>
      <c r="W28" s="599"/>
      <c r="X28" s="599"/>
      <c r="Y28" s="599"/>
      <c r="Z28" s="3438"/>
      <c r="AA28" s="3438"/>
      <c r="AB28" s="3438"/>
      <c r="AC28" s="3438"/>
      <c r="AD28" s="3438"/>
      <c r="AE28" s="3438"/>
      <c r="AF28" s="3438"/>
      <c r="AG28" s="582"/>
      <c r="AH28" s="997"/>
      <c r="AI28" s="434"/>
      <c r="AJ28" s="434"/>
      <c r="AK28" s="434"/>
      <c r="AL28" s="434"/>
      <c r="AM28" s="434"/>
      <c r="AN28" s="434"/>
      <c r="AO28" s="434"/>
      <c r="AP28" s="434"/>
      <c r="AQ28" s="434"/>
      <c r="AR28" s="434"/>
      <c r="AS28" s="434"/>
      <c r="AT28" s="434"/>
      <c r="AU28" s="434"/>
      <c r="AV28" s="434"/>
      <c r="AW28" s="434"/>
      <c r="AX28" s="434"/>
    </row>
    <row r="29" spans="1:51" ht="15" customHeight="1" thickBot="1">
      <c r="A29" s="434"/>
      <c r="B29" s="434"/>
      <c r="C29" s="434"/>
      <c r="D29" s="434"/>
      <c r="E29" s="646"/>
      <c r="F29" s="659"/>
      <c r="G29" s="659"/>
      <c r="H29" s="659"/>
      <c r="I29" s="659"/>
      <c r="J29" s="659"/>
      <c r="K29" s="659"/>
      <c r="L29" s="659"/>
      <c r="M29" s="659"/>
      <c r="N29" s="659"/>
      <c r="O29" s="659"/>
      <c r="P29" s="659"/>
      <c r="Q29" s="659"/>
      <c r="R29" s="659"/>
      <c r="S29" s="659"/>
      <c r="T29" s="659"/>
      <c r="U29" s="659"/>
      <c r="V29" s="659"/>
      <c r="W29" s="659"/>
      <c r="X29" s="659"/>
      <c r="Y29" s="659"/>
      <c r="Z29" s="1742" t="str">
        <f>IF(AND(opmainsanf_sanfclean_payavecos_monbm_other=FALSE,opmainsanf_sanfclean_payavecos_monbm_other_specify&gt;0),"Please check Others if you have entries.",IF(AND(opmainsanf_sanfclean_payavecos_monbm_other=TRUE,ISBLANK(opmainsanf_sanfclean_payavecos_monbm_other_specify)),"Please specify.",""))</f>
        <v/>
      </c>
      <c r="AA29" s="659"/>
      <c r="AB29" s="659"/>
      <c r="AC29" s="659"/>
      <c r="AD29" s="659"/>
      <c r="AE29" s="659"/>
      <c r="AF29" s="659"/>
      <c r="AG29" s="659"/>
      <c r="AH29" s="660"/>
      <c r="AI29" s="434"/>
      <c r="AJ29" s="434"/>
      <c r="AK29" s="434"/>
      <c r="AL29" s="434"/>
      <c r="AM29" s="434"/>
      <c r="AN29" s="434"/>
      <c r="AO29" s="434"/>
      <c r="AP29" s="434"/>
      <c r="AQ29" s="434"/>
      <c r="AR29" s="434"/>
      <c r="AS29" s="434"/>
      <c r="AT29" s="434"/>
      <c r="AU29" s="434"/>
      <c r="AV29" s="434"/>
      <c r="AW29" s="434"/>
      <c r="AX29" s="434"/>
    </row>
    <row r="30" spans="1:51" ht="20.100000000000001" customHeight="1">
      <c r="A30" s="434"/>
      <c r="B30" s="434"/>
      <c r="C30" s="434"/>
      <c r="D30" s="434"/>
      <c r="E30" s="434"/>
      <c r="F30" s="434"/>
      <c r="G30" s="434"/>
      <c r="H30" s="434"/>
      <c r="I30" s="434"/>
      <c r="J30" s="434"/>
      <c r="K30" s="434"/>
      <c r="L30" s="434"/>
      <c r="M30" s="434"/>
      <c r="N30" s="434"/>
      <c r="O30" s="434"/>
      <c r="P30" s="434"/>
      <c r="Q30" s="434"/>
      <c r="R30" s="434"/>
      <c r="S30" s="434"/>
      <c r="T30" s="434"/>
      <c r="U30" s="952"/>
      <c r="V30" s="434"/>
      <c r="W30" s="434"/>
      <c r="X30" s="434"/>
      <c r="Y30" s="434"/>
      <c r="Z30" s="1738"/>
      <c r="AA30" s="434"/>
      <c r="AB30" s="434"/>
      <c r="AC30" s="434"/>
      <c r="AD30" s="434"/>
      <c r="AE30" s="434"/>
      <c r="AF30" s="434"/>
      <c r="AG30" s="434"/>
      <c r="AH30" s="434"/>
      <c r="AI30" s="434"/>
      <c r="AJ30" s="434"/>
      <c r="AK30" s="434"/>
      <c r="AL30" s="434"/>
      <c r="AM30" s="434"/>
      <c r="AN30" s="434"/>
      <c r="AO30" s="434"/>
      <c r="AP30" s="434"/>
      <c r="AQ30" s="434"/>
      <c r="AR30" s="434"/>
      <c r="AS30" s="434"/>
      <c r="AT30" s="434"/>
      <c r="AU30" s="434"/>
      <c r="AV30" s="434"/>
      <c r="AW30" s="434"/>
      <c r="AX30" s="434"/>
    </row>
    <row r="31" spans="1:51" ht="20.25">
      <c r="A31" s="434"/>
      <c r="B31" s="434"/>
      <c r="C31" s="434"/>
      <c r="D31" s="434"/>
      <c r="E31" s="1146" t="s">
        <v>11427</v>
      </c>
      <c r="F31" s="626"/>
      <c r="G31" s="580"/>
      <c r="H31" s="1109"/>
      <c r="I31" s="1109"/>
      <c r="J31" s="1109"/>
      <c r="K31" s="626"/>
      <c r="L31" s="626"/>
      <c r="M31" s="626"/>
      <c r="N31" s="626"/>
      <c r="O31" s="626"/>
      <c r="P31" s="434"/>
      <c r="Q31" s="434"/>
      <c r="R31" s="434"/>
      <c r="S31" s="434"/>
      <c r="T31" s="434"/>
      <c r="U31" s="434"/>
      <c r="V31" s="434"/>
      <c r="W31" s="434"/>
      <c r="X31" s="434"/>
      <c r="Y31" s="434"/>
      <c r="Z31" s="434"/>
      <c r="AA31" s="434"/>
      <c r="AB31" s="434"/>
      <c r="AC31" s="434"/>
      <c r="AD31" s="434"/>
      <c r="AE31" s="434"/>
      <c r="AF31" s="434"/>
      <c r="AG31" s="434"/>
      <c r="AH31" s="434"/>
      <c r="AI31" s="434"/>
      <c r="AJ31" s="434"/>
      <c r="AK31" s="434"/>
      <c r="AL31" s="434"/>
      <c r="AM31" s="434"/>
      <c r="AN31" s="434"/>
      <c r="AO31" s="434"/>
      <c r="AP31" s="434"/>
      <c r="AQ31" s="434"/>
      <c r="AR31" s="434"/>
      <c r="AS31" s="434"/>
      <c r="AT31" s="434"/>
      <c r="AU31" s="434"/>
      <c r="AV31" s="434"/>
      <c r="AW31" s="434"/>
      <c r="AX31" s="434"/>
    </row>
    <row r="32" spans="1:51" s="40" customFormat="1" ht="16.5" thickBot="1">
      <c r="A32" s="582"/>
      <c r="B32" s="582"/>
      <c r="C32" s="582"/>
      <c r="D32" s="582"/>
      <c r="E32" s="583" t="s">
        <v>1017</v>
      </c>
      <c r="F32" s="582"/>
      <c r="G32" s="582"/>
      <c r="H32" s="582"/>
      <c r="I32" s="582"/>
      <c r="J32" s="582"/>
      <c r="K32" s="582"/>
      <c r="L32" s="582"/>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c r="AY32" s="582"/>
    </row>
    <row r="33" spans="1:51" ht="8.1" customHeight="1">
      <c r="A33" s="434"/>
      <c r="B33" s="434"/>
      <c r="C33" s="434"/>
      <c r="D33" s="434"/>
      <c r="E33" s="648"/>
      <c r="F33" s="1108"/>
      <c r="G33" s="745"/>
      <c r="H33" s="1107"/>
      <c r="I33" s="1107"/>
      <c r="J33" s="1107"/>
      <c r="K33" s="1108"/>
      <c r="L33" s="1108"/>
      <c r="M33" s="1108"/>
      <c r="N33" s="1108"/>
      <c r="O33" s="1108"/>
      <c r="P33" s="650"/>
      <c r="Q33" s="650"/>
      <c r="R33" s="650"/>
      <c r="S33" s="650"/>
      <c r="T33" s="650"/>
      <c r="U33" s="650"/>
      <c r="V33" s="650"/>
      <c r="W33" s="650"/>
      <c r="X33" s="650"/>
      <c r="Y33" s="650"/>
      <c r="Z33" s="650"/>
      <c r="AA33" s="650"/>
      <c r="AB33" s="650"/>
      <c r="AC33" s="650"/>
      <c r="AD33" s="650"/>
      <c r="AE33" s="650"/>
      <c r="AF33" s="650"/>
      <c r="AG33" s="650"/>
      <c r="AH33" s="651"/>
      <c r="AI33" s="434"/>
      <c r="AJ33" s="434"/>
      <c r="AK33" s="434"/>
      <c r="AL33" s="434"/>
      <c r="AM33" s="434"/>
      <c r="AN33" s="434"/>
      <c r="AO33" s="434"/>
      <c r="AP33" s="434"/>
      <c r="AQ33" s="434"/>
      <c r="AR33" s="434"/>
      <c r="AS33" s="434"/>
      <c r="AT33" s="434"/>
      <c r="AU33" s="434"/>
      <c r="AV33" s="434"/>
      <c r="AW33" s="434"/>
      <c r="AX33" s="434"/>
    </row>
    <row r="34" spans="1:51" ht="19.5" customHeight="1">
      <c r="A34" s="434"/>
      <c r="B34" s="434"/>
      <c r="C34" s="434"/>
      <c r="D34" s="434"/>
      <c r="E34" s="1156"/>
      <c r="F34" s="434" t="s">
        <v>733</v>
      </c>
      <c r="G34" s="599"/>
      <c r="H34" s="1109"/>
      <c r="I34" s="1109"/>
      <c r="J34" s="1109"/>
      <c r="K34" s="1074"/>
      <c r="L34" s="1074"/>
      <c r="M34" s="1074"/>
      <c r="N34" s="1074"/>
      <c r="O34" s="1074"/>
      <c r="P34" s="434"/>
      <c r="Q34" s="434"/>
      <c r="R34" s="434"/>
      <c r="S34" s="434"/>
      <c r="T34" s="434"/>
      <c r="U34" s="434"/>
      <c r="V34" s="1109"/>
      <c r="W34" s="1109"/>
      <c r="X34" s="873" t="b">
        <v>1</v>
      </c>
      <c r="Y34" s="593" t="s">
        <v>484</v>
      </c>
      <c r="Z34" s="593"/>
      <c r="AA34" s="434"/>
      <c r="AB34" s="434"/>
      <c r="AC34" s="873" t="b">
        <v>0</v>
      </c>
      <c r="AD34" s="593" t="s">
        <v>485</v>
      </c>
      <c r="AE34" s="861"/>
      <c r="AF34" s="593"/>
      <c r="AG34" s="434"/>
      <c r="AH34" s="997"/>
      <c r="AI34" s="434"/>
      <c r="AJ34" s="434"/>
      <c r="AK34" s="434"/>
      <c r="AL34" s="434"/>
      <c r="AM34" s="434"/>
      <c r="AN34" s="434"/>
      <c r="AO34" s="434"/>
      <c r="AP34" s="434"/>
      <c r="AQ34" s="434"/>
      <c r="AR34" s="434"/>
      <c r="AS34" s="434"/>
      <c r="AT34" s="434"/>
      <c r="AU34" s="434"/>
      <c r="AV34" s="434"/>
      <c r="AW34" s="434"/>
      <c r="AX34" s="434"/>
    </row>
    <row r="35" spans="1:51" ht="19.5" customHeight="1">
      <c r="A35" s="434"/>
      <c r="B35" s="434"/>
      <c r="C35" s="434"/>
      <c r="D35" s="434"/>
      <c r="E35" s="1110"/>
      <c r="F35" s="434"/>
      <c r="G35" s="434" t="s">
        <v>734</v>
      </c>
      <c r="H35" s="1109"/>
      <c r="I35" s="1109"/>
      <c r="J35" s="1109"/>
      <c r="K35" s="626"/>
      <c r="L35" s="626"/>
      <c r="M35" s="626"/>
      <c r="N35" s="626"/>
      <c r="O35" s="626"/>
      <c r="P35" s="434"/>
      <c r="Q35" s="434"/>
      <c r="R35" s="434"/>
      <c r="S35" s="434"/>
      <c r="T35" s="434"/>
      <c r="U35" s="434"/>
      <c r="V35" s="434"/>
      <c r="W35" s="434"/>
      <c r="X35" s="434"/>
      <c r="Y35" s="434"/>
      <c r="Z35" s="434"/>
      <c r="AA35" s="434"/>
      <c r="AB35" s="434"/>
      <c r="AC35" s="434"/>
      <c r="AD35" s="434"/>
      <c r="AE35" s="434"/>
      <c r="AF35" s="434"/>
      <c r="AG35" s="434"/>
      <c r="AH35" s="997"/>
      <c r="AI35" s="434"/>
      <c r="AJ35" s="434"/>
      <c r="AK35" s="434"/>
      <c r="AL35" s="434"/>
      <c r="AM35" s="434"/>
      <c r="AN35" s="434"/>
      <c r="AO35" s="434"/>
      <c r="AP35" s="434"/>
      <c r="AQ35" s="434"/>
      <c r="AR35" s="434"/>
      <c r="AS35" s="434"/>
      <c r="AT35" s="434"/>
      <c r="AU35" s="434"/>
      <c r="AV35" s="434"/>
      <c r="AW35" s="434"/>
      <c r="AX35" s="434"/>
    </row>
    <row r="36" spans="1:51" ht="19.5" customHeight="1">
      <c r="A36" s="434"/>
      <c r="B36" s="434"/>
      <c r="C36" s="434"/>
      <c r="D36" s="434"/>
      <c r="E36" s="1110"/>
      <c r="F36" s="434"/>
      <c r="G36" s="434"/>
      <c r="H36" s="580"/>
      <c r="I36" s="610" t="b">
        <v>1</v>
      </c>
      <c r="J36" s="582" t="s">
        <v>735</v>
      </c>
      <c r="K36" s="434"/>
      <c r="L36" s="434"/>
      <c r="M36" s="434"/>
      <c r="N36" s="434"/>
      <c r="O36" s="434"/>
      <c r="P36" s="434"/>
      <c r="Q36" s="434"/>
      <c r="R36" s="434"/>
      <c r="S36" s="434"/>
      <c r="T36" s="434"/>
      <c r="U36" s="610" t="b">
        <v>0</v>
      </c>
      <c r="V36" s="582" t="s">
        <v>736</v>
      </c>
      <c r="W36" s="434"/>
      <c r="X36" s="434"/>
      <c r="Y36" s="434"/>
      <c r="Z36" s="434"/>
      <c r="AA36" s="434"/>
      <c r="AB36" s="434"/>
      <c r="AC36" s="434"/>
      <c r="AD36" s="434"/>
      <c r="AE36" s="434"/>
      <c r="AF36" s="434"/>
      <c r="AG36" s="434"/>
      <c r="AH36" s="997"/>
      <c r="AI36" s="434"/>
      <c r="AJ36" s="434"/>
      <c r="AK36" s="434"/>
      <c r="AL36" s="434"/>
      <c r="AM36" s="434"/>
      <c r="AN36" s="434"/>
      <c r="AO36" s="434"/>
      <c r="AP36" s="434"/>
      <c r="AQ36" s="434"/>
      <c r="AR36" s="434"/>
      <c r="AS36" s="434"/>
      <c r="AT36" s="434"/>
      <c r="AU36" s="434"/>
      <c r="AV36" s="434"/>
      <c r="AW36" s="434"/>
      <c r="AX36" s="434"/>
    </row>
    <row r="37" spans="1:51" ht="19.5" customHeight="1">
      <c r="A37" s="434"/>
      <c r="B37" s="434"/>
      <c r="C37" s="434"/>
      <c r="D37" s="434"/>
      <c r="E37" s="1110"/>
      <c r="F37" s="434"/>
      <c r="G37" s="434"/>
      <c r="H37" s="580"/>
      <c r="I37" s="610" t="b">
        <v>1</v>
      </c>
      <c r="J37" s="582" t="s">
        <v>737</v>
      </c>
      <c r="K37" s="434"/>
      <c r="L37" s="434"/>
      <c r="M37" s="434"/>
      <c r="N37" s="434"/>
      <c r="O37" s="434"/>
      <c r="P37" s="434"/>
      <c r="Q37" s="434"/>
      <c r="R37" s="434"/>
      <c r="S37" s="434"/>
      <c r="T37" s="434"/>
      <c r="U37" s="610" t="b">
        <v>0</v>
      </c>
      <c r="V37" s="757" t="s">
        <v>1021</v>
      </c>
      <c r="W37" s="599"/>
      <c r="X37" s="599"/>
      <c r="Y37" s="599"/>
      <c r="Z37" s="3439"/>
      <c r="AA37" s="3439"/>
      <c r="AB37" s="3439"/>
      <c r="AC37" s="3439"/>
      <c r="AD37" s="3439"/>
      <c r="AE37" s="3439"/>
      <c r="AF37" s="3439"/>
      <c r="AG37" s="434"/>
      <c r="AH37" s="997"/>
      <c r="AI37" s="434"/>
      <c r="AJ37" s="434"/>
      <c r="AK37" s="434"/>
      <c r="AL37" s="434"/>
      <c r="AM37" s="434"/>
      <c r="AN37" s="434"/>
      <c r="AO37" s="434"/>
      <c r="AP37" s="434"/>
      <c r="AQ37" s="434"/>
      <c r="AR37" s="434"/>
      <c r="AS37" s="434"/>
      <c r="AT37" s="434"/>
      <c r="AU37" s="434"/>
      <c r="AV37" s="434"/>
      <c r="AW37" s="434"/>
      <c r="AX37" s="434"/>
    </row>
    <row r="38" spans="1:51" ht="15" customHeight="1" thickBot="1">
      <c r="A38" s="434"/>
      <c r="B38" s="434"/>
      <c r="C38" s="434"/>
      <c r="D38" s="434"/>
      <c r="E38" s="1157"/>
      <c r="F38" s="866"/>
      <c r="G38" s="596"/>
      <c r="H38" s="1139"/>
      <c r="I38" s="1139"/>
      <c r="J38" s="659"/>
      <c r="K38" s="659"/>
      <c r="L38" s="659"/>
      <c r="M38" s="659"/>
      <c r="N38" s="659"/>
      <c r="O38" s="659"/>
      <c r="P38" s="659"/>
      <c r="Q38" s="659"/>
      <c r="R38" s="659"/>
      <c r="S38" s="659"/>
      <c r="T38" s="659"/>
      <c r="U38" s="659"/>
      <c r="V38" s="659"/>
      <c r="W38" s="659"/>
      <c r="X38" s="659"/>
      <c r="Y38" s="659"/>
      <c r="Z38" s="1743" t="str">
        <f>IF(AND(mestrualh_avail_sanpads_yes_others=FALSE,mestrualh_avail_sanpads_yes_others_specify&gt;0),"Please check Others if you have entries.",IF(AND(mestrualh_avail_sanpads_yes_others=TRUE,ISBLANK(mestrualh_avail_sanpads_yes_others_specify)),"Please specify.",""))</f>
        <v/>
      </c>
      <c r="AA38" s="659"/>
      <c r="AB38" s="659"/>
      <c r="AC38" s="659"/>
      <c r="AD38" s="659"/>
      <c r="AE38" s="659"/>
      <c r="AF38" s="659"/>
      <c r="AG38" s="659"/>
      <c r="AH38" s="660"/>
      <c r="AI38" s="434"/>
      <c r="AJ38" s="434"/>
      <c r="AK38" s="434"/>
      <c r="AL38" s="434"/>
      <c r="AM38" s="434"/>
      <c r="AN38" s="434"/>
      <c r="AO38" s="434"/>
      <c r="AP38" s="434"/>
      <c r="AQ38" s="434"/>
      <c r="AR38" s="434"/>
      <c r="AS38" s="434"/>
      <c r="AT38" s="434"/>
      <c r="AU38" s="434"/>
      <c r="AV38" s="434"/>
      <c r="AW38" s="434"/>
      <c r="AX38" s="434"/>
    </row>
    <row r="39" spans="1:51" s="164" customFormat="1" ht="30.75" customHeight="1">
      <c r="A39" s="260"/>
      <c r="B39" s="260"/>
      <c r="C39" s="260"/>
      <c r="D39" s="260"/>
      <c r="E39" s="260"/>
      <c r="F39" s="260"/>
      <c r="G39" s="260"/>
      <c r="H39" s="260"/>
      <c r="I39" s="260"/>
      <c r="J39" s="260"/>
      <c r="K39" s="260"/>
      <c r="L39" s="260"/>
      <c r="M39" s="260"/>
      <c r="N39" s="260"/>
      <c r="O39" s="260"/>
      <c r="P39" s="227"/>
      <c r="Q39" s="260"/>
      <c r="R39" s="260"/>
      <c r="S39" s="260"/>
      <c r="T39" s="260"/>
      <c r="U39" s="260"/>
      <c r="V39" s="1158"/>
      <c r="W39" s="260"/>
      <c r="X39" s="260"/>
      <c r="Y39" s="260"/>
      <c r="Z39" s="260"/>
      <c r="AA39" s="260"/>
      <c r="AB39" s="260"/>
      <c r="AC39" s="260"/>
      <c r="AD39" s="260"/>
      <c r="AE39" s="227"/>
      <c r="AF39" s="260"/>
      <c r="AG39" s="227"/>
      <c r="AH39" s="260"/>
      <c r="AI39" s="227"/>
      <c r="AJ39" s="260"/>
      <c r="AK39" s="260"/>
      <c r="AL39" s="260"/>
      <c r="AM39" s="260"/>
      <c r="AN39" s="260"/>
      <c r="AO39" s="260"/>
      <c r="AP39" s="260"/>
      <c r="AQ39" s="260"/>
      <c r="AR39" s="260"/>
      <c r="AS39" s="260"/>
      <c r="AT39" s="260"/>
      <c r="AU39" s="260"/>
      <c r="AV39" s="260"/>
      <c r="AW39" s="227"/>
      <c r="AX39" s="260"/>
      <c r="AY39" s="260"/>
    </row>
    <row r="40" spans="1:51" s="37" customFormat="1" ht="15">
      <c r="A40" s="263"/>
      <c r="B40" s="332" t="s">
        <v>32</v>
      </c>
      <c r="C40" s="263"/>
      <c r="D40" s="263"/>
      <c r="E40" s="263"/>
      <c r="F40" s="263"/>
      <c r="G40" s="263"/>
      <c r="H40" s="263"/>
      <c r="I40" s="263"/>
      <c r="J40" s="263"/>
      <c r="K40" s="263"/>
      <c r="L40" s="263"/>
      <c r="M40" s="263"/>
      <c r="N40" s="263"/>
      <c r="O40" s="263"/>
      <c r="P40" s="263"/>
      <c r="Q40" s="332" t="s">
        <v>577</v>
      </c>
      <c r="R40" s="263"/>
      <c r="S40" s="263"/>
      <c r="T40" s="263"/>
      <c r="U40" s="263"/>
      <c r="V40" s="263"/>
      <c r="W40" s="263"/>
      <c r="X40" s="263"/>
      <c r="Y40" s="263"/>
      <c r="Z40" s="263"/>
      <c r="AA40" s="263"/>
      <c r="AB40" s="263"/>
      <c r="AC40" s="263"/>
      <c r="AD40" s="263"/>
      <c r="AE40" s="263"/>
      <c r="AF40" s="263"/>
      <c r="AG40" s="263"/>
      <c r="AH40" s="263"/>
      <c r="AI40" s="332" t="s">
        <v>33</v>
      </c>
      <c r="AJ40" s="263"/>
      <c r="AK40" s="263"/>
      <c r="AL40" s="263"/>
      <c r="AM40" s="263"/>
      <c r="AN40" s="263"/>
      <c r="AO40" s="263"/>
      <c r="AP40" s="263"/>
      <c r="AQ40" s="263"/>
      <c r="AR40" s="263"/>
      <c r="AS40" s="263"/>
      <c r="AT40" s="263"/>
      <c r="AU40" s="263"/>
      <c r="AV40" s="263"/>
      <c r="AW40" s="263"/>
      <c r="AX40" s="263"/>
      <c r="AY40" s="263"/>
    </row>
    <row r="41" spans="1:51" s="37" customFormat="1" ht="21.75" customHeight="1">
      <c r="A41" s="263"/>
      <c r="B41" s="332" t="s">
        <v>75</v>
      </c>
      <c r="C41" s="263"/>
      <c r="D41" s="263"/>
      <c r="E41" s="263"/>
      <c r="F41" s="2790" t="str">
        <f>activesheet!E21</f>
        <v>MELCHESIEDICK Q. BOLANIO / March 17, 2023</v>
      </c>
      <c r="G41" s="2790"/>
      <c r="H41" s="2790"/>
      <c r="I41" s="2790"/>
      <c r="J41" s="2790"/>
      <c r="K41" s="2790"/>
      <c r="L41" s="2790"/>
      <c r="M41" s="2790"/>
      <c r="N41" s="2790"/>
      <c r="O41" s="263"/>
      <c r="P41" s="263"/>
      <c r="Q41" s="2790" t="str">
        <f>activesheet!E2417</f>
        <v>RACQUEL N. ACOMPANADO / March 17, 2023</v>
      </c>
      <c r="R41" s="2790"/>
      <c r="S41" s="2790"/>
      <c r="T41" s="2790"/>
      <c r="U41" s="2790"/>
      <c r="V41" s="2790"/>
      <c r="W41" s="2790"/>
      <c r="X41" s="2790"/>
      <c r="Y41" s="2790"/>
      <c r="Z41" s="2790"/>
      <c r="AA41" s="2790"/>
      <c r="AB41" s="2790"/>
      <c r="AC41" s="2790"/>
      <c r="AD41" s="2790"/>
      <c r="AE41" s="2790"/>
      <c r="AF41" s="2790"/>
      <c r="AG41" s="263"/>
      <c r="AH41" s="263"/>
      <c r="AI41" s="1819" t="str">
        <f>activesheet!E25</f>
        <v>MICHAEL T. JAMIS / March 17, 2023</v>
      </c>
      <c r="AJ41" s="1819"/>
      <c r="AK41" s="1819"/>
      <c r="AL41" s="1819"/>
      <c r="AM41" s="1819"/>
      <c r="AN41" s="1819"/>
      <c r="AO41" s="1819"/>
      <c r="AP41" s="1819"/>
      <c r="AQ41" s="1819"/>
      <c r="AR41" s="1819"/>
      <c r="AS41" s="1819"/>
      <c r="AT41" s="1819"/>
      <c r="AU41" s="1819"/>
      <c r="AV41" s="263"/>
      <c r="AW41" s="263"/>
      <c r="AX41" s="263"/>
      <c r="AY41" s="263"/>
    </row>
    <row r="42" spans="1:51" s="39" customFormat="1" ht="15" customHeight="1">
      <c r="A42" s="280"/>
      <c r="B42" s="228"/>
      <c r="C42" s="280"/>
      <c r="D42" s="280"/>
      <c r="E42" s="280"/>
      <c r="F42" s="1811" t="s">
        <v>37</v>
      </c>
      <c r="G42" s="1811"/>
      <c r="H42" s="1811"/>
      <c r="I42" s="1811"/>
      <c r="J42" s="1811"/>
      <c r="K42" s="1811"/>
      <c r="L42" s="1811"/>
      <c r="M42" s="1811"/>
      <c r="N42" s="1811"/>
      <c r="O42" s="281"/>
      <c r="P42" s="281"/>
      <c r="Q42" s="1811" t="s">
        <v>37</v>
      </c>
      <c r="R42" s="1811"/>
      <c r="S42" s="1811"/>
      <c r="T42" s="1811"/>
      <c r="U42" s="1811"/>
      <c r="V42" s="1811"/>
      <c r="W42" s="1811"/>
      <c r="X42" s="1811"/>
      <c r="Y42" s="1811"/>
      <c r="Z42" s="1811"/>
      <c r="AA42" s="1811"/>
      <c r="AB42" s="1811"/>
      <c r="AC42" s="1811"/>
      <c r="AD42" s="1811"/>
      <c r="AE42" s="1811"/>
      <c r="AF42" s="1811"/>
      <c r="AG42" s="280"/>
      <c r="AH42" s="280"/>
      <c r="AI42" s="1820"/>
      <c r="AJ42" s="1820"/>
      <c r="AK42" s="1820"/>
      <c r="AL42" s="1820"/>
      <c r="AM42" s="1820"/>
      <c r="AN42" s="1820"/>
      <c r="AO42" s="1820"/>
      <c r="AP42" s="1820"/>
      <c r="AQ42" s="1820"/>
      <c r="AR42" s="1820"/>
      <c r="AS42" s="1820"/>
      <c r="AT42" s="1820"/>
      <c r="AU42" s="1820"/>
      <c r="AV42" s="280"/>
      <c r="AW42" s="280"/>
      <c r="AX42" s="280"/>
      <c r="AY42" s="280"/>
    </row>
    <row r="43" spans="1:51" s="37" customFormat="1" ht="21.75" customHeight="1">
      <c r="A43" s="263"/>
      <c r="B43" s="332" t="s">
        <v>58</v>
      </c>
      <c r="C43" s="263"/>
      <c r="D43" s="263"/>
      <c r="E43" s="263"/>
      <c r="F43" s="2790" t="str">
        <f>activesheet!E22</f>
        <v>SECONDARY SCHOOL PRINCIPAL IV</v>
      </c>
      <c r="G43" s="2790"/>
      <c r="H43" s="2790"/>
      <c r="I43" s="2790"/>
      <c r="J43" s="2790"/>
      <c r="K43" s="2790"/>
      <c r="L43" s="2790"/>
      <c r="M43" s="2790"/>
      <c r="N43" s="2790"/>
      <c r="O43" s="263"/>
      <c r="P43" s="263"/>
      <c r="Q43" s="332" t="s">
        <v>58</v>
      </c>
      <c r="R43" s="263"/>
      <c r="S43" s="263"/>
      <c r="T43" s="263"/>
      <c r="U43" s="2790" t="str">
        <f>activesheet!E2418</f>
        <v>NURSE II</v>
      </c>
      <c r="V43" s="2790"/>
      <c r="W43" s="2790"/>
      <c r="X43" s="2790"/>
      <c r="Y43" s="2790"/>
      <c r="Z43" s="2790"/>
      <c r="AA43" s="2790"/>
      <c r="AB43" s="2790"/>
      <c r="AC43" s="2790"/>
      <c r="AD43" s="2790"/>
      <c r="AE43" s="2790"/>
      <c r="AF43" s="2790"/>
      <c r="AG43" s="263"/>
      <c r="AH43" s="263"/>
      <c r="AI43" s="1811" t="s">
        <v>37</v>
      </c>
      <c r="AJ43" s="1811"/>
      <c r="AK43" s="1811"/>
      <c r="AL43" s="1811"/>
      <c r="AM43" s="1811"/>
      <c r="AN43" s="1811"/>
      <c r="AO43" s="1811"/>
      <c r="AP43" s="1811"/>
      <c r="AQ43" s="1811"/>
      <c r="AR43" s="1811"/>
      <c r="AS43" s="1811"/>
      <c r="AT43" s="1811"/>
      <c r="AU43" s="1811"/>
      <c r="AV43" s="263"/>
      <c r="AW43" s="263"/>
      <c r="AX43" s="263"/>
      <c r="AY43" s="263"/>
    </row>
    <row r="44" spans="1:51">
      <c r="A44" s="434"/>
      <c r="B44" s="976"/>
      <c r="C44" s="976"/>
      <c r="D44" s="976"/>
      <c r="E44" s="976"/>
      <c r="F44" s="976"/>
      <c r="G44" s="976"/>
      <c r="H44" s="976"/>
      <c r="I44" s="976"/>
      <c r="J44" s="976"/>
      <c r="K44" s="976"/>
      <c r="L44" s="976"/>
      <c r="M44" s="976"/>
      <c r="N44" s="976"/>
      <c r="O44" s="976"/>
      <c r="P44" s="976"/>
      <c r="Q44" s="976"/>
      <c r="R44" s="976"/>
      <c r="S44" s="976"/>
      <c r="T44" s="976"/>
      <c r="U44" s="976"/>
      <c r="V44" s="976"/>
      <c r="W44" s="976"/>
      <c r="X44" s="976"/>
      <c r="Y44" s="976"/>
      <c r="Z44" s="976"/>
      <c r="AA44" s="976"/>
      <c r="AB44" s="941"/>
      <c r="AC44" s="434"/>
      <c r="AD44" s="434"/>
      <c r="AE44" s="434"/>
      <c r="AF44" s="434"/>
      <c r="AG44" s="434"/>
      <c r="AH44" s="434"/>
      <c r="AI44" s="434"/>
      <c r="AJ44" s="434"/>
      <c r="AK44" s="434"/>
      <c r="AL44" s="434"/>
      <c r="AM44" s="434"/>
      <c r="AN44" s="434"/>
      <c r="AO44" s="434"/>
      <c r="AP44" s="434"/>
      <c r="AQ44" s="434"/>
      <c r="AR44" s="434"/>
      <c r="AS44" s="434"/>
      <c r="AT44" s="434"/>
      <c r="AU44" s="434"/>
      <c r="AV44" s="434"/>
      <c r="AW44" s="434"/>
      <c r="AX44" s="434"/>
    </row>
    <row r="45" spans="1:51">
      <c r="A45" s="434"/>
      <c r="B45" s="434"/>
      <c r="C45" s="434"/>
      <c r="D45" s="434"/>
      <c r="E45" s="434"/>
      <c r="F45" s="434"/>
      <c r="G45" s="434"/>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4"/>
      <c r="AU45" s="434"/>
      <c r="AV45" s="434"/>
      <c r="AW45" s="434"/>
      <c r="AX45" s="434"/>
    </row>
    <row r="46" spans="1:51">
      <c r="A46" s="434"/>
      <c r="B46" s="434"/>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4"/>
      <c r="AU46" s="434"/>
      <c r="AV46" s="434"/>
      <c r="AW46" s="434"/>
      <c r="AX46" s="434"/>
    </row>
    <row r="47" spans="1:51">
      <c r="A47" s="434"/>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4"/>
      <c r="AU47" s="434"/>
      <c r="AV47" s="434"/>
      <c r="AW47" s="434"/>
      <c r="AX47" s="434"/>
    </row>
    <row r="48" spans="1:51">
      <c r="A48" s="434"/>
      <c r="B48" s="434"/>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row>
    <row r="49" spans="1:50">
      <c r="A49" s="434"/>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4"/>
      <c r="AU49" s="434"/>
      <c r="AV49" s="434"/>
      <c r="AW49" s="434"/>
      <c r="AX49" s="434"/>
    </row>
    <row r="50" spans="1:50">
      <c r="A50" s="434"/>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c r="AD50" s="434"/>
      <c r="AE50" s="434"/>
      <c r="AF50" s="434"/>
      <c r="AG50" s="434"/>
      <c r="AH50" s="434"/>
      <c r="AI50" s="434"/>
      <c r="AJ50" s="434"/>
      <c r="AK50" s="434"/>
      <c r="AL50" s="434"/>
      <c r="AM50" s="434"/>
      <c r="AN50" s="434"/>
      <c r="AO50" s="434"/>
      <c r="AP50" s="434"/>
      <c r="AQ50" s="434"/>
      <c r="AR50" s="434"/>
      <c r="AS50" s="434"/>
      <c r="AT50" s="434"/>
      <c r="AU50" s="434"/>
      <c r="AV50" s="434"/>
      <c r="AW50" s="434"/>
      <c r="AX50" s="434"/>
    </row>
    <row r="51" spans="1:50">
      <c r="A51" s="434"/>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c r="AD51" s="434"/>
      <c r="AE51" s="434"/>
      <c r="AF51" s="434"/>
      <c r="AG51" s="434"/>
      <c r="AH51" s="434"/>
      <c r="AI51" s="434"/>
      <c r="AJ51" s="434"/>
      <c r="AK51" s="434"/>
      <c r="AL51" s="434"/>
      <c r="AM51" s="434"/>
      <c r="AN51" s="434"/>
      <c r="AO51" s="434"/>
      <c r="AP51" s="434"/>
      <c r="AQ51" s="434"/>
      <c r="AR51" s="434"/>
      <c r="AS51" s="434"/>
      <c r="AT51" s="434"/>
      <c r="AU51" s="434"/>
      <c r="AV51" s="434"/>
      <c r="AW51" s="434"/>
      <c r="AX51" s="434"/>
    </row>
    <row r="52" spans="1:50">
      <c r="A52" s="434"/>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c r="AD52" s="434"/>
      <c r="AE52" s="434"/>
      <c r="AF52" s="434"/>
      <c r="AG52" s="434"/>
      <c r="AH52" s="434"/>
      <c r="AI52" s="434"/>
      <c r="AJ52" s="434"/>
      <c r="AK52" s="434"/>
      <c r="AL52" s="434"/>
      <c r="AM52" s="434"/>
      <c r="AN52" s="434"/>
      <c r="AO52" s="434"/>
      <c r="AP52" s="434"/>
      <c r="AQ52" s="434"/>
      <c r="AR52" s="434"/>
      <c r="AS52" s="434"/>
      <c r="AT52" s="434"/>
      <c r="AU52" s="434"/>
      <c r="AV52" s="434"/>
      <c r="AW52" s="434"/>
      <c r="AX52" s="434"/>
    </row>
    <row r="53" spans="1:50">
      <c r="A53" s="434"/>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c r="AD53" s="434"/>
      <c r="AE53" s="434"/>
      <c r="AF53" s="434"/>
      <c r="AG53" s="434"/>
      <c r="AH53" s="434"/>
      <c r="AI53" s="434"/>
      <c r="AJ53" s="434"/>
      <c r="AK53" s="434"/>
      <c r="AL53" s="434"/>
      <c r="AM53" s="434"/>
      <c r="AN53" s="434"/>
      <c r="AO53" s="434"/>
      <c r="AP53" s="434"/>
      <c r="AQ53" s="434"/>
      <c r="AR53" s="434"/>
      <c r="AS53" s="434"/>
      <c r="AT53" s="434"/>
      <c r="AU53" s="434"/>
      <c r="AV53" s="434"/>
      <c r="AW53" s="434"/>
      <c r="AX53" s="434"/>
    </row>
  </sheetData>
  <sheetProtection algorithmName="SHA-512" hashValue="TfDs9asiFFdsPvSL2yDiia3JKYuItcFW4/XUb8OkLkb8QKYBcBEcMk/UMWWADEiukwmZq2UgwB1QvpBHe93/4g==" saltValue="uyjJu4/UHcEs7+ykRk19aw==" spinCount="100000" sheet="1" objects="1" scenarios="1"/>
  <customSheetViews>
    <customSheetView guid="{6EFEFCA0-BF14-457A-85A3-29CBF2A862A5}" showGridLines="0" fitToPage="1">
      <selection sqref="A1:AX46"/>
      <pageMargins left="0.23622047244094491" right="0.23622047244094491" top="0.19685039370078741" bottom="0.19685039370078741" header="0" footer="0.11811023622047245"/>
      <printOptions horizontalCentered="1" verticalCentered="1"/>
      <pageSetup paperSize="9" scale="70" orientation="landscape" r:id="rId1"/>
      <headerFooter>
        <oddFooter>&amp;L&amp;10&amp;F &amp;A&amp;R&amp;10Page 37 of 61</oddFooter>
      </headerFooter>
    </customSheetView>
  </customSheetViews>
  <mergeCells count="11">
    <mergeCell ref="F43:N43"/>
    <mergeCell ref="U43:AF43"/>
    <mergeCell ref="AI43:AU43"/>
    <mergeCell ref="Z24:AF24"/>
    <mergeCell ref="Z28:AF28"/>
    <mergeCell ref="Z37:AF37"/>
    <mergeCell ref="F41:N41"/>
    <mergeCell ref="Q41:AF41"/>
    <mergeCell ref="AI41:AU42"/>
    <mergeCell ref="F42:N42"/>
    <mergeCell ref="Q42:AF42"/>
  </mergeCells>
  <conditionalFormatting sqref="G35">
    <cfRule type="expression" dxfId="4" priority="1">
      <formula>$U$37</formula>
    </cfRule>
    <cfRule type="expression" dxfId="3" priority="2">
      <formula>$U$36</formula>
    </cfRule>
    <cfRule type="expression" dxfId="2" priority="3">
      <formula>$I$37</formula>
    </cfRule>
    <cfRule type="expression" dxfId="1" priority="4">
      <formula>$I$36</formula>
    </cfRule>
    <cfRule type="expression" dxfId="0" priority="5">
      <formula>$X$34</formula>
    </cfRule>
  </conditionalFormatting>
  <dataValidations count="1">
    <dataValidation type="decimal" allowBlank="1" showInputMessage="1" showErrorMessage="1" errorTitle="GSHSP SY 2022-2023" error="Please enter valid number between 0-100,000.00." sqref="Z24:AF24" xr:uid="{1CD1D0B3-4C4E-4F36-874B-9CB5A8FCEC2C}">
      <formula1>0</formula1>
      <formula2>100000</formula2>
    </dataValidation>
  </dataValidations>
  <printOptions horizontalCentered="1" verticalCentered="1"/>
  <pageMargins left="0.23622047244094491" right="0.23622047244094491" top="0.19685039370078741" bottom="0.19685039370078741" header="0" footer="0.11811023622047245"/>
  <pageSetup paperSize="9" scale="70" orientation="landscape" r:id="rId2"/>
  <headerFooter>
    <oddFooter>&amp;L&amp;10&amp;F &amp;A&amp;R&amp;10Page 37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6801" r:id="rId5" name="Check Box 1">
              <controlPr defaultSize="0" autoFill="0" autoLine="0" autoPict="0">
                <anchor moveWithCells="1">
                  <from>
                    <xdr:col>28</xdr:col>
                    <xdr:colOff>28575</xdr:colOff>
                    <xdr:row>4</xdr:row>
                    <xdr:rowOff>28575</xdr:rowOff>
                  </from>
                  <to>
                    <xdr:col>28</xdr:col>
                    <xdr:colOff>228600</xdr:colOff>
                    <xdr:row>4</xdr:row>
                    <xdr:rowOff>219075</xdr:rowOff>
                  </to>
                </anchor>
              </controlPr>
            </control>
          </mc:Choice>
        </mc:AlternateContent>
        <mc:AlternateContent xmlns:mc="http://schemas.openxmlformats.org/markup-compatibility/2006">
          <mc:Choice Requires="x14">
            <control shapeId="76802" r:id="rId6" name="Check Box 2">
              <controlPr defaultSize="0" autoFill="0" autoLine="0" autoPict="0">
                <anchor moveWithCells="1">
                  <from>
                    <xdr:col>8</xdr:col>
                    <xdr:colOff>28575</xdr:colOff>
                    <xdr:row>7</xdr:row>
                    <xdr:rowOff>28575</xdr:rowOff>
                  </from>
                  <to>
                    <xdr:col>8</xdr:col>
                    <xdr:colOff>238125</xdr:colOff>
                    <xdr:row>7</xdr:row>
                    <xdr:rowOff>238125</xdr:rowOff>
                  </to>
                </anchor>
              </controlPr>
            </control>
          </mc:Choice>
        </mc:AlternateContent>
        <mc:AlternateContent xmlns:mc="http://schemas.openxmlformats.org/markup-compatibility/2006">
          <mc:Choice Requires="x14">
            <control shapeId="76803" r:id="rId7" name="Check Box 3">
              <controlPr defaultSize="0" autoFill="0" autoLine="0" autoPict="0">
                <anchor moveWithCells="1">
                  <from>
                    <xdr:col>8</xdr:col>
                    <xdr:colOff>28575</xdr:colOff>
                    <xdr:row>8</xdr:row>
                    <xdr:rowOff>38100</xdr:rowOff>
                  </from>
                  <to>
                    <xdr:col>8</xdr:col>
                    <xdr:colOff>257175</xdr:colOff>
                    <xdr:row>8</xdr:row>
                    <xdr:rowOff>219075</xdr:rowOff>
                  </to>
                </anchor>
              </controlPr>
            </control>
          </mc:Choice>
        </mc:AlternateContent>
        <mc:AlternateContent xmlns:mc="http://schemas.openxmlformats.org/markup-compatibility/2006">
          <mc:Choice Requires="x14">
            <control shapeId="76804" r:id="rId8" name="Check Box 4">
              <controlPr defaultSize="0" autoFill="0" autoLine="0" autoPict="0">
                <anchor moveWithCells="1">
                  <from>
                    <xdr:col>8</xdr:col>
                    <xdr:colOff>28575</xdr:colOff>
                    <xdr:row>9</xdr:row>
                    <xdr:rowOff>9525</xdr:rowOff>
                  </from>
                  <to>
                    <xdr:col>8</xdr:col>
                    <xdr:colOff>238125</xdr:colOff>
                    <xdr:row>9</xdr:row>
                    <xdr:rowOff>219075</xdr:rowOff>
                  </to>
                </anchor>
              </controlPr>
            </control>
          </mc:Choice>
        </mc:AlternateContent>
        <mc:AlternateContent xmlns:mc="http://schemas.openxmlformats.org/markup-compatibility/2006">
          <mc:Choice Requires="x14">
            <control shapeId="76805" r:id="rId9" name="Check Box 5">
              <controlPr defaultSize="0" autoFill="0" autoLine="0" autoPict="0">
                <anchor moveWithCells="1">
                  <from>
                    <xdr:col>21</xdr:col>
                    <xdr:colOff>28575</xdr:colOff>
                    <xdr:row>7</xdr:row>
                    <xdr:rowOff>28575</xdr:rowOff>
                  </from>
                  <to>
                    <xdr:col>21</xdr:col>
                    <xdr:colOff>257175</xdr:colOff>
                    <xdr:row>7</xdr:row>
                    <xdr:rowOff>238125</xdr:rowOff>
                  </to>
                </anchor>
              </controlPr>
            </control>
          </mc:Choice>
        </mc:AlternateContent>
        <mc:AlternateContent xmlns:mc="http://schemas.openxmlformats.org/markup-compatibility/2006">
          <mc:Choice Requires="x14">
            <control shapeId="76806" r:id="rId10" name="Check Box 6">
              <controlPr defaultSize="0" autoFill="0" autoLine="0" autoPict="0">
                <anchor moveWithCells="1">
                  <from>
                    <xdr:col>21</xdr:col>
                    <xdr:colOff>28575</xdr:colOff>
                    <xdr:row>8</xdr:row>
                    <xdr:rowOff>0</xdr:rowOff>
                  </from>
                  <to>
                    <xdr:col>22</xdr:col>
                    <xdr:colOff>0</xdr:colOff>
                    <xdr:row>8</xdr:row>
                    <xdr:rowOff>238125</xdr:rowOff>
                  </to>
                </anchor>
              </controlPr>
            </control>
          </mc:Choice>
        </mc:AlternateContent>
        <mc:AlternateContent xmlns:mc="http://schemas.openxmlformats.org/markup-compatibility/2006">
          <mc:Choice Requires="x14">
            <control shapeId="76807" r:id="rId11" name="Check Box 7">
              <controlPr defaultSize="0" autoFill="0" autoLine="0" autoPict="0">
                <anchor moveWithCells="1">
                  <from>
                    <xdr:col>21</xdr:col>
                    <xdr:colOff>28575</xdr:colOff>
                    <xdr:row>9</xdr:row>
                    <xdr:rowOff>9525</xdr:rowOff>
                  </from>
                  <to>
                    <xdr:col>22</xdr:col>
                    <xdr:colOff>9525</xdr:colOff>
                    <xdr:row>9</xdr:row>
                    <xdr:rowOff>219075</xdr:rowOff>
                  </to>
                </anchor>
              </controlPr>
            </control>
          </mc:Choice>
        </mc:AlternateContent>
        <mc:AlternateContent xmlns:mc="http://schemas.openxmlformats.org/markup-compatibility/2006">
          <mc:Choice Requires="x14">
            <control shapeId="76808" r:id="rId12" name="Check Box 8">
              <controlPr defaultSize="0" autoFill="0" autoLine="0" autoPict="0">
                <anchor moveWithCells="1">
                  <from>
                    <xdr:col>33</xdr:col>
                    <xdr:colOff>28575</xdr:colOff>
                    <xdr:row>7</xdr:row>
                    <xdr:rowOff>9525</xdr:rowOff>
                  </from>
                  <to>
                    <xdr:col>33</xdr:col>
                    <xdr:colOff>257175</xdr:colOff>
                    <xdr:row>7</xdr:row>
                    <xdr:rowOff>228600</xdr:rowOff>
                  </to>
                </anchor>
              </controlPr>
            </control>
          </mc:Choice>
        </mc:AlternateContent>
        <mc:AlternateContent xmlns:mc="http://schemas.openxmlformats.org/markup-compatibility/2006">
          <mc:Choice Requires="x14">
            <control shapeId="76809" r:id="rId13" name="Check Box 9">
              <controlPr defaultSize="0" autoFill="0" autoLine="0" autoPict="0">
                <anchor moveWithCells="1">
                  <from>
                    <xdr:col>33</xdr:col>
                    <xdr:colOff>28575</xdr:colOff>
                    <xdr:row>8</xdr:row>
                    <xdr:rowOff>9525</xdr:rowOff>
                  </from>
                  <to>
                    <xdr:col>34</xdr:col>
                    <xdr:colOff>9525</xdr:colOff>
                    <xdr:row>9</xdr:row>
                    <xdr:rowOff>0</xdr:rowOff>
                  </to>
                </anchor>
              </controlPr>
            </control>
          </mc:Choice>
        </mc:AlternateContent>
        <mc:AlternateContent xmlns:mc="http://schemas.openxmlformats.org/markup-compatibility/2006">
          <mc:Choice Requires="x14">
            <control shapeId="76810" r:id="rId14" name="Check Box 10">
              <controlPr defaultSize="0" autoFill="0" autoLine="0" autoPict="0">
                <anchor moveWithCells="1">
                  <from>
                    <xdr:col>33</xdr:col>
                    <xdr:colOff>28575</xdr:colOff>
                    <xdr:row>9</xdr:row>
                    <xdr:rowOff>28575</xdr:rowOff>
                  </from>
                  <to>
                    <xdr:col>34</xdr:col>
                    <xdr:colOff>0</xdr:colOff>
                    <xdr:row>9</xdr:row>
                    <xdr:rowOff>238125</xdr:rowOff>
                  </to>
                </anchor>
              </controlPr>
            </control>
          </mc:Choice>
        </mc:AlternateContent>
        <mc:AlternateContent xmlns:mc="http://schemas.openxmlformats.org/markup-compatibility/2006">
          <mc:Choice Requires="x14">
            <control shapeId="76811" r:id="rId15" name="Check Box 11">
              <controlPr defaultSize="0" autoFill="0" autoLine="0" autoPict="0">
                <anchor moveWithCells="1">
                  <from>
                    <xdr:col>33</xdr:col>
                    <xdr:colOff>28575</xdr:colOff>
                    <xdr:row>10</xdr:row>
                    <xdr:rowOff>9525</xdr:rowOff>
                  </from>
                  <to>
                    <xdr:col>34</xdr:col>
                    <xdr:colOff>0</xdr:colOff>
                    <xdr:row>10</xdr:row>
                    <xdr:rowOff>238125</xdr:rowOff>
                  </to>
                </anchor>
              </controlPr>
            </control>
          </mc:Choice>
        </mc:AlternateContent>
        <mc:AlternateContent xmlns:mc="http://schemas.openxmlformats.org/markup-compatibility/2006">
          <mc:Choice Requires="x14">
            <control shapeId="76812" r:id="rId16" name="Check Box 12">
              <controlPr defaultSize="0" autoFill="0" autoLine="0" autoPict="0">
                <anchor moveWithCells="1">
                  <from>
                    <xdr:col>8</xdr:col>
                    <xdr:colOff>28575</xdr:colOff>
                    <xdr:row>13</xdr:row>
                    <xdr:rowOff>0</xdr:rowOff>
                  </from>
                  <to>
                    <xdr:col>9</xdr:col>
                    <xdr:colOff>28575</xdr:colOff>
                    <xdr:row>14</xdr:row>
                    <xdr:rowOff>0</xdr:rowOff>
                  </to>
                </anchor>
              </controlPr>
            </control>
          </mc:Choice>
        </mc:AlternateContent>
        <mc:AlternateContent xmlns:mc="http://schemas.openxmlformats.org/markup-compatibility/2006">
          <mc:Choice Requires="x14">
            <control shapeId="76813" r:id="rId17" name="Check Box 13">
              <controlPr defaultSize="0" autoFill="0" autoLine="0" autoPict="0">
                <anchor moveWithCells="1">
                  <from>
                    <xdr:col>8</xdr:col>
                    <xdr:colOff>28575</xdr:colOff>
                    <xdr:row>14</xdr:row>
                    <xdr:rowOff>28575</xdr:rowOff>
                  </from>
                  <to>
                    <xdr:col>8</xdr:col>
                    <xdr:colOff>238125</xdr:colOff>
                    <xdr:row>14</xdr:row>
                    <xdr:rowOff>228600</xdr:rowOff>
                  </to>
                </anchor>
              </controlPr>
            </control>
          </mc:Choice>
        </mc:AlternateContent>
        <mc:AlternateContent xmlns:mc="http://schemas.openxmlformats.org/markup-compatibility/2006">
          <mc:Choice Requires="x14">
            <control shapeId="76814" r:id="rId18" name="Check Box 14">
              <controlPr defaultSize="0" autoFill="0" autoLine="0" autoPict="0">
                <anchor moveWithCells="1">
                  <from>
                    <xdr:col>21</xdr:col>
                    <xdr:colOff>28575</xdr:colOff>
                    <xdr:row>13</xdr:row>
                    <xdr:rowOff>28575</xdr:rowOff>
                  </from>
                  <to>
                    <xdr:col>21</xdr:col>
                    <xdr:colOff>257175</xdr:colOff>
                    <xdr:row>13</xdr:row>
                    <xdr:rowOff>238125</xdr:rowOff>
                  </to>
                </anchor>
              </controlPr>
            </control>
          </mc:Choice>
        </mc:AlternateContent>
        <mc:AlternateContent xmlns:mc="http://schemas.openxmlformats.org/markup-compatibility/2006">
          <mc:Choice Requires="x14">
            <control shapeId="76815" r:id="rId19" name="Check Box 15">
              <controlPr defaultSize="0" autoFill="0" autoLine="0" autoPict="0">
                <anchor moveWithCells="1">
                  <from>
                    <xdr:col>21</xdr:col>
                    <xdr:colOff>28575</xdr:colOff>
                    <xdr:row>14</xdr:row>
                    <xdr:rowOff>28575</xdr:rowOff>
                  </from>
                  <to>
                    <xdr:col>21</xdr:col>
                    <xdr:colOff>238125</xdr:colOff>
                    <xdr:row>14</xdr:row>
                    <xdr:rowOff>219075</xdr:rowOff>
                  </to>
                </anchor>
              </controlPr>
            </control>
          </mc:Choice>
        </mc:AlternateContent>
        <mc:AlternateContent xmlns:mc="http://schemas.openxmlformats.org/markup-compatibility/2006">
          <mc:Choice Requires="x14">
            <control shapeId="76816" r:id="rId20" name="Check Box 16">
              <controlPr defaultSize="0" autoFill="0" autoLine="0" autoPict="0">
                <anchor moveWithCells="1">
                  <from>
                    <xdr:col>33</xdr:col>
                    <xdr:colOff>28575</xdr:colOff>
                    <xdr:row>13</xdr:row>
                    <xdr:rowOff>9525</xdr:rowOff>
                  </from>
                  <to>
                    <xdr:col>34</xdr:col>
                    <xdr:colOff>9525</xdr:colOff>
                    <xdr:row>13</xdr:row>
                    <xdr:rowOff>238125</xdr:rowOff>
                  </to>
                </anchor>
              </controlPr>
            </control>
          </mc:Choice>
        </mc:AlternateContent>
        <mc:AlternateContent xmlns:mc="http://schemas.openxmlformats.org/markup-compatibility/2006">
          <mc:Choice Requires="x14">
            <control shapeId="76817" r:id="rId21" name="Check Box 17">
              <controlPr defaultSize="0" autoFill="0" autoLine="0" autoPict="0">
                <anchor moveWithCells="1">
                  <from>
                    <xdr:col>8</xdr:col>
                    <xdr:colOff>28575</xdr:colOff>
                    <xdr:row>21</xdr:row>
                    <xdr:rowOff>9525</xdr:rowOff>
                  </from>
                  <to>
                    <xdr:col>8</xdr:col>
                    <xdr:colOff>238125</xdr:colOff>
                    <xdr:row>21</xdr:row>
                    <xdr:rowOff>238125</xdr:rowOff>
                  </to>
                </anchor>
              </controlPr>
            </control>
          </mc:Choice>
        </mc:AlternateContent>
        <mc:AlternateContent xmlns:mc="http://schemas.openxmlformats.org/markup-compatibility/2006">
          <mc:Choice Requires="x14">
            <control shapeId="76818" r:id="rId22" name="Check Box 18">
              <controlPr defaultSize="0" autoFill="0" autoLine="0" autoPict="0">
                <anchor moveWithCells="1">
                  <from>
                    <xdr:col>8</xdr:col>
                    <xdr:colOff>28575</xdr:colOff>
                    <xdr:row>22</xdr:row>
                    <xdr:rowOff>28575</xdr:rowOff>
                  </from>
                  <to>
                    <xdr:col>8</xdr:col>
                    <xdr:colOff>219075</xdr:colOff>
                    <xdr:row>23</xdr:row>
                    <xdr:rowOff>0</xdr:rowOff>
                  </to>
                </anchor>
              </controlPr>
            </control>
          </mc:Choice>
        </mc:AlternateContent>
        <mc:AlternateContent xmlns:mc="http://schemas.openxmlformats.org/markup-compatibility/2006">
          <mc:Choice Requires="x14">
            <control shapeId="76819" r:id="rId23" name="Check Box 19">
              <controlPr defaultSize="0" autoFill="0" autoLine="0" autoPict="0">
                <anchor moveWithCells="1">
                  <from>
                    <xdr:col>20</xdr:col>
                    <xdr:colOff>28575</xdr:colOff>
                    <xdr:row>21</xdr:row>
                    <xdr:rowOff>28575</xdr:rowOff>
                  </from>
                  <to>
                    <xdr:col>20</xdr:col>
                    <xdr:colOff>238125</xdr:colOff>
                    <xdr:row>21</xdr:row>
                    <xdr:rowOff>228600</xdr:rowOff>
                  </to>
                </anchor>
              </controlPr>
            </control>
          </mc:Choice>
        </mc:AlternateContent>
        <mc:AlternateContent xmlns:mc="http://schemas.openxmlformats.org/markup-compatibility/2006">
          <mc:Choice Requires="x14">
            <control shapeId="76820" r:id="rId24" name="Check Box 20">
              <controlPr defaultSize="0" autoFill="0" autoLine="0" autoPict="0">
                <anchor moveWithCells="1">
                  <from>
                    <xdr:col>20</xdr:col>
                    <xdr:colOff>28575</xdr:colOff>
                    <xdr:row>22</xdr:row>
                    <xdr:rowOff>28575</xdr:rowOff>
                  </from>
                  <to>
                    <xdr:col>20</xdr:col>
                    <xdr:colOff>238125</xdr:colOff>
                    <xdr:row>22</xdr:row>
                    <xdr:rowOff>238125</xdr:rowOff>
                  </to>
                </anchor>
              </controlPr>
            </control>
          </mc:Choice>
        </mc:AlternateContent>
        <mc:AlternateContent xmlns:mc="http://schemas.openxmlformats.org/markup-compatibility/2006">
          <mc:Choice Requires="x14">
            <control shapeId="76821" r:id="rId25" name="Check Box 21">
              <controlPr defaultSize="0" autoFill="0" autoLine="0" autoPict="0">
                <anchor moveWithCells="1">
                  <from>
                    <xdr:col>8</xdr:col>
                    <xdr:colOff>28575</xdr:colOff>
                    <xdr:row>25</xdr:row>
                    <xdr:rowOff>9525</xdr:rowOff>
                  </from>
                  <to>
                    <xdr:col>8</xdr:col>
                    <xdr:colOff>257175</xdr:colOff>
                    <xdr:row>25</xdr:row>
                    <xdr:rowOff>238125</xdr:rowOff>
                  </to>
                </anchor>
              </controlPr>
            </control>
          </mc:Choice>
        </mc:AlternateContent>
        <mc:AlternateContent xmlns:mc="http://schemas.openxmlformats.org/markup-compatibility/2006">
          <mc:Choice Requires="x14">
            <control shapeId="76822" r:id="rId26" name="Check Box 22">
              <controlPr defaultSize="0" autoFill="0" autoLine="0" autoPict="0">
                <anchor moveWithCells="1">
                  <from>
                    <xdr:col>8</xdr:col>
                    <xdr:colOff>28575</xdr:colOff>
                    <xdr:row>26</xdr:row>
                    <xdr:rowOff>9525</xdr:rowOff>
                  </from>
                  <to>
                    <xdr:col>8</xdr:col>
                    <xdr:colOff>238125</xdr:colOff>
                    <xdr:row>26</xdr:row>
                    <xdr:rowOff>238125</xdr:rowOff>
                  </to>
                </anchor>
              </controlPr>
            </control>
          </mc:Choice>
        </mc:AlternateContent>
        <mc:AlternateContent xmlns:mc="http://schemas.openxmlformats.org/markup-compatibility/2006">
          <mc:Choice Requires="x14">
            <control shapeId="76823" r:id="rId27" name="Check Box 23">
              <controlPr defaultSize="0" autoFill="0" autoLine="0" autoPict="0">
                <anchor moveWithCells="1">
                  <from>
                    <xdr:col>8</xdr:col>
                    <xdr:colOff>28575</xdr:colOff>
                    <xdr:row>27</xdr:row>
                    <xdr:rowOff>9525</xdr:rowOff>
                  </from>
                  <to>
                    <xdr:col>8</xdr:col>
                    <xdr:colOff>257175</xdr:colOff>
                    <xdr:row>27</xdr:row>
                    <xdr:rowOff>219075</xdr:rowOff>
                  </to>
                </anchor>
              </controlPr>
            </control>
          </mc:Choice>
        </mc:AlternateContent>
        <mc:AlternateContent xmlns:mc="http://schemas.openxmlformats.org/markup-compatibility/2006">
          <mc:Choice Requires="x14">
            <control shapeId="76824" r:id="rId28" name="Check Box 24">
              <controlPr defaultSize="0" autoFill="0" autoLine="0" autoPict="0">
                <anchor moveWithCells="1">
                  <from>
                    <xdr:col>20</xdr:col>
                    <xdr:colOff>28575</xdr:colOff>
                    <xdr:row>25</xdr:row>
                    <xdr:rowOff>9525</xdr:rowOff>
                  </from>
                  <to>
                    <xdr:col>20</xdr:col>
                    <xdr:colOff>238125</xdr:colOff>
                    <xdr:row>25</xdr:row>
                    <xdr:rowOff>219075</xdr:rowOff>
                  </to>
                </anchor>
              </controlPr>
            </control>
          </mc:Choice>
        </mc:AlternateContent>
        <mc:AlternateContent xmlns:mc="http://schemas.openxmlformats.org/markup-compatibility/2006">
          <mc:Choice Requires="x14">
            <control shapeId="76825" r:id="rId29" name="Check Box 25">
              <controlPr defaultSize="0" autoFill="0" autoLine="0" autoPict="0">
                <anchor moveWithCells="1">
                  <from>
                    <xdr:col>20</xdr:col>
                    <xdr:colOff>28575</xdr:colOff>
                    <xdr:row>26</xdr:row>
                    <xdr:rowOff>9525</xdr:rowOff>
                  </from>
                  <to>
                    <xdr:col>20</xdr:col>
                    <xdr:colOff>257175</xdr:colOff>
                    <xdr:row>26</xdr:row>
                    <xdr:rowOff>219075</xdr:rowOff>
                  </to>
                </anchor>
              </controlPr>
            </control>
          </mc:Choice>
        </mc:AlternateContent>
        <mc:AlternateContent xmlns:mc="http://schemas.openxmlformats.org/markup-compatibility/2006">
          <mc:Choice Requires="x14">
            <control shapeId="76826" r:id="rId30" name="Check Box 26">
              <controlPr defaultSize="0" autoFill="0" autoLine="0" autoPict="0">
                <anchor moveWithCells="1">
                  <from>
                    <xdr:col>20</xdr:col>
                    <xdr:colOff>28575</xdr:colOff>
                    <xdr:row>27</xdr:row>
                    <xdr:rowOff>9525</xdr:rowOff>
                  </from>
                  <to>
                    <xdr:col>20</xdr:col>
                    <xdr:colOff>238125</xdr:colOff>
                    <xdr:row>27</xdr:row>
                    <xdr:rowOff>219075</xdr:rowOff>
                  </to>
                </anchor>
              </controlPr>
            </control>
          </mc:Choice>
        </mc:AlternateContent>
        <mc:AlternateContent xmlns:mc="http://schemas.openxmlformats.org/markup-compatibility/2006">
          <mc:Choice Requires="x14">
            <control shapeId="76827" r:id="rId31" name="Check Box 27">
              <controlPr defaultSize="0" autoFill="0" autoLine="0" autoPict="0">
                <anchor moveWithCells="1">
                  <from>
                    <xdr:col>23</xdr:col>
                    <xdr:colOff>28575</xdr:colOff>
                    <xdr:row>33</xdr:row>
                    <xdr:rowOff>9525</xdr:rowOff>
                  </from>
                  <to>
                    <xdr:col>23</xdr:col>
                    <xdr:colOff>257175</xdr:colOff>
                    <xdr:row>33</xdr:row>
                    <xdr:rowOff>238125</xdr:rowOff>
                  </to>
                </anchor>
              </controlPr>
            </control>
          </mc:Choice>
        </mc:AlternateContent>
        <mc:AlternateContent xmlns:mc="http://schemas.openxmlformats.org/markup-compatibility/2006">
          <mc:Choice Requires="x14">
            <control shapeId="76828" r:id="rId32" name="Check Box 28">
              <controlPr defaultSize="0" autoFill="0" autoLine="0" autoPict="0">
                <anchor moveWithCells="1">
                  <from>
                    <xdr:col>8</xdr:col>
                    <xdr:colOff>28575</xdr:colOff>
                    <xdr:row>35</xdr:row>
                    <xdr:rowOff>9525</xdr:rowOff>
                  </from>
                  <to>
                    <xdr:col>9</xdr:col>
                    <xdr:colOff>9525</xdr:colOff>
                    <xdr:row>36</xdr:row>
                    <xdr:rowOff>0</xdr:rowOff>
                  </to>
                </anchor>
              </controlPr>
            </control>
          </mc:Choice>
        </mc:AlternateContent>
        <mc:AlternateContent xmlns:mc="http://schemas.openxmlformats.org/markup-compatibility/2006">
          <mc:Choice Requires="x14">
            <control shapeId="76829" r:id="rId33" name="Check Box 29">
              <controlPr defaultSize="0" autoFill="0" autoLine="0" autoPict="0">
                <anchor moveWithCells="1">
                  <from>
                    <xdr:col>8</xdr:col>
                    <xdr:colOff>28575</xdr:colOff>
                    <xdr:row>36</xdr:row>
                    <xdr:rowOff>9525</xdr:rowOff>
                  </from>
                  <to>
                    <xdr:col>9</xdr:col>
                    <xdr:colOff>28575</xdr:colOff>
                    <xdr:row>37</xdr:row>
                    <xdr:rowOff>0</xdr:rowOff>
                  </to>
                </anchor>
              </controlPr>
            </control>
          </mc:Choice>
        </mc:AlternateContent>
        <mc:AlternateContent xmlns:mc="http://schemas.openxmlformats.org/markup-compatibility/2006">
          <mc:Choice Requires="x14">
            <control shapeId="76830" r:id="rId34" name="Check Box 30">
              <controlPr defaultSize="0" autoFill="0" autoLine="0" autoPict="0">
                <anchor moveWithCells="1">
                  <from>
                    <xdr:col>20</xdr:col>
                    <xdr:colOff>28575</xdr:colOff>
                    <xdr:row>35</xdr:row>
                    <xdr:rowOff>0</xdr:rowOff>
                  </from>
                  <to>
                    <xdr:col>20</xdr:col>
                    <xdr:colOff>228600</xdr:colOff>
                    <xdr:row>35</xdr:row>
                    <xdr:rowOff>228600</xdr:rowOff>
                  </to>
                </anchor>
              </controlPr>
            </control>
          </mc:Choice>
        </mc:AlternateContent>
        <mc:AlternateContent xmlns:mc="http://schemas.openxmlformats.org/markup-compatibility/2006">
          <mc:Choice Requires="x14">
            <control shapeId="76831" r:id="rId35" name="Check Box 31">
              <controlPr defaultSize="0" autoFill="0" autoLine="0" autoPict="0">
                <anchor moveWithCells="1">
                  <from>
                    <xdr:col>20</xdr:col>
                    <xdr:colOff>28575</xdr:colOff>
                    <xdr:row>35</xdr:row>
                    <xdr:rowOff>238125</xdr:rowOff>
                  </from>
                  <to>
                    <xdr:col>21</xdr:col>
                    <xdr:colOff>9525</xdr:colOff>
                    <xdr:row>37</xdr:row>
                    <xdr:rowOff>28575</xdr:rowOff>
                  </to>
                </anchor>
              </controlPr>
            </control>
          </mc:Choice>
        </mc:AlternateContent>
        <mc:AlternateContent xmlns:mc="http://schemas.openxmlformats.org/markup-compatibility/2006">
          <mc:Choice Requires="x14">
            <control shapeId="76832" r:id="rId36" name="Check Box 32">
              <controlPr defaultSize="0" autoFill="0" autoLine="0" autoPict="0">
                <anchor moveWithCells="1">
                  <from>
                    <xdr:col>33</xdr:col>
                    <xdr:colOff>28575</xdr:colOff>
                    <xdr:row>4</xdr:row>
                    <xdr:rowOff>28575</xdr:rowOff>
                  </from>
                  <to>
                    <xdr:col>34</xdr:col>
                    <xdr:colOff>0</xdr:colOff>
                    <xdr:row>4</xdr:row>
                    <xdr:rowOff>238125</xdr:rowOff>
                  </to>
                </anchor>
              </controlPr>
            </control>
          </mc:Choice>
        </mc:AlternateContent>
        <mc:AlternateContent xmlns:mc="http://schemas.openxmlformats.org/markup-compatibility/2006">
          <mc:Choice Requires="x14">
            <control shapeId="76833" r:id="rId37" name="Check Box 33">
              <controlPr defaultSize="0" autoFill="0" autoLine="0" autoPict="0">
                <anchor moveWithCells="1">
                  <from>
                    <xdr:col>28</xdr:col>
                    <xdr:colOff>38100</xdr:colOff>
                    <xdr:row>33</xdr:row>
                    <xdr:rowOff>9525</xdr:rowOff>
                  </from>
                  <to>
                    <xdr:col>29</xdr:col>
                    <xdr:colOff>28575</xdr:colOff>
                    <xdr:row>33</xdr:row>
                    <xdr:rowOff>238125</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01">
    <tabColor rgb="FFFFFF00"/>
    <pageSetUpPr fitToPage="1"/>
  </sheetPr>
  <dimension ref="A1:BN55"/>
  <sheetViews>
    <sheetView showGridLines="0" zoomScaleNormal="100" workbookViewId="0">
      <selection sqref="A1:BB43"/>
    </sheetView>
  </sheetViews>
  <sheetFormatPr defaultColWidth="9" defaultRowHeight="15.75"/>
  <cols>
    <col min="1" max="1" width="2.125" style="48" customWidth="1"/>
    <col min="2" max="52" width="3.625" style="48" customWidth="1"/>
    <col min="53" max="53" width="2.125" style="48" customWidth="1"/>
    <col min="54" max="60" width="3.625" style="48" customWidth="1"/>
    <col min="61" max="16384" width="9" style="48"/>
  </cols>
  <sheetData>
    <row r="1" spans="1:60"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row>
    <row r="2" spans="1:60">
      <c r="A2" s="222"/>
      <c r="B2" s="222"/>
      <c r="C2" s="222"/>
      <c r="D2" s="222"/>
      <c r="E2" s="222"/>
      <c r="F2" s="222"/>
      <c r="G2" s="309" t="s">
        <v>11428</v>
      </c>
      <c r="H2" s="309"/>
      <c r="I2" s="309"/>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09"/>
      <c r="AJ2" s="309"/>
      <c r="AK2" s="309"/>
      <c r="AL2" s="309"/>
      <c r="AM2" s="309"/>
      <c r="AN2" s="309"/>
      <c r="AO2" s="309"/>
      <c r="AP2" s="309"/>
      <c r="AQ2" s="309"/>
      <c r="AR2" s="222"/>
      <c r="AS2" s="222"/>
      <c r="AT2" s="222"/>
      <c r="AU2" s="222"/>
      <c r="AV2" s="222"/>
      <c r="AW2" s="222"/>
      <c r="AX2" s="222"/>
      <c r="AY2" s="222"/>
      <c r="AZ2" s="222"/>
      <c r="BA2" s="222"/>
      <c r="BB2" s="222"/>
      <c r="BC2" s="222"/>
      <c r="BD2" s="222"/>
      <c r="BE2" s="222"/>
      <c r="BF2" s="222"/>
      <c r="BG2" s="222"/>
      <c r="BH2" s="222"/>
    </row>
    <row r="3" spans="1:60" s="40" customFormat="1" ht="16.5" thickBot="1">
      <c r="A3" s="582"/>
      <c r="B3" s="582"/>
      <c r="C3" s="582"/>
      <c r="D3" s="582"/>
      <c r="E3" s="582"/>
      <c r="F3" s="582"/>
      <c r="G3" s="583" t="s">
        <v>1017</v>
      </c>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c r="BB3" s="582"/>
      <c r="BC3" s="582"/>
      <c r="BD3" s="582"/>
      <c r="BE3" s="582"/>
      <c r="BF3" s="582"/>
      <c r="BG3" s="582"/>
      <c r="BH3" s="582"/>
    </row>
    <row r="4" spans="1:60" s="44" customFormat="1" ht="5.25" customHeight="1">
      <c r="A4" s="434"/>
      <c r="B4" s="434"/>
      <c r="C4" s="434"/>
      <c r="D4" s="434"/>
      <c r="E4" s="434"/>
      <c r="F4" s="434"/>
      <c r="G4" s="648"/>
      <c r="H4" s="650"/>
      <c r="I4" s="984"/>
      <c r="J4" s="985"/>
      <c r="K4" s="985"/>
      <c r="L4" s="985"/>
      <c r="M4" s="985"/>
      <c r="N4" s="985"/>
      <c r="O4" s="985"/>
      <c r="P4" s="985"/>
      <c r="Q4" s="985"/>
      <c r="R4" s="985"/>
      <c r="S4" s="985"/>
      <c r="T4" s="685"/>
      <c r="U4" s="685"/>
      <c r="V4" s="685"/>
      <c r="W4" s="685"/>
      <c r="X4" s="685"/>
      <c r="Y4" s="685"/>
      <c r="Z4" s="586"/>
      <c r="AA4" s="986"/>
      <c r="AB4" s="986"/>
      <c r="AC4" s="986"/>
      <c r="AD4" s="986"/>
      <c r="AE4" s="986"/>
      <c r="AF4" s="986"/>
      <c r="AG4" s="685"/>
      <c r="AH4" s="685"/>
      <c r="AI4" s="685"/>
      <c r="AJ4" s="685"/>
      <c r="AK4" s="685"/>
      <c r="AL4" s="685"/>
      <c r="AM4" s="685"/>
      <c r="AN4" s="685"/>
      <c r="AO4" s="685"/>
      <c r="AP4" s="685"/>
      <c r="AQ4" s="650"/>
      <c r="AR4" s="650"/>
      <c r="AS4" s="650"/>
      <c r="AT4" s="651"/>
      <c r="AU4" s="434"/>
      <c r="AV4" s="434"/>
      <c r="AW4" s="434"/>
      <c r="AX4" s="434"/>
      <c r="AY4" s="434"/>
      <c r="AZ4" s="434"/>
      <c r="BA4" s="434"/>
      <c r="BB4" s="434"/>
      <c r="BC4" s="434"/>
      <c r="BD4" s="434"/>
      <c r="BE4" s="434"/>
      <c r="BF4" s="434"/>
      <c r="BG4" s="434"/>
      <c r="BH4" s="434"/>
    </row>
    <row r="5" spans="1:60" s="44" customFormat="1" ht="30" customHeight="1">
      <c r="A5" s="434"/>
      <c r="B5" s="434"/>
      <c r="C5" s="434"/>
      <c r="D5" s="434"/>
      <c r="E5" s="434"/>
      <c r="F5" s="434"/>
      <c r="G5" s="988"/>
      <c r="H5" s="1048" t="s">
        <v>47</v>
      </c>
      <c r="I5" s="989" t="s">
        <v>970</v>
      </c>
      <c r="J5" s="990"/>
      <c r="K5" s="434"/>
      <c r="L5" s="990"/>
      <c r="M5" s="990"/>
      <c r="N5" s="990"/>
      <c r="O5" s="990"/>
      <c r="P5" s="990"/>
      <c r="Q5" s="990"/>
      <c r="R5" s="990"/>
      <c r="S5" s="990"/>
      <c r="T5" s="990"/>
      <c r="U5" s="990"/>
      <c r="V5" s="990"/>
      <c r="W5" s="990"/>
      <c r="X5" s="990"/>
      <c r="Y5" s="990"/>
      <c r="Z5" s="990"/>
      <c r="AA5" s="434"/>
      <c r="AB5" s="434"/>
      <c r="AC5" s="434"/>
      <c r="AD5" s="434"/>
      <c r="AE5" s="434"/>
      <c r="AF5" s="873" t="b">
        <v>1</v>
      </c>
      <c r="AG5" s="593" t="s">
        <v>484</v>
      </c>
      <c r="AH5" s="593"/>
      <c r="AI5" s="434"/>
      <c r="AJ5" s="434"/>
      <c r="AK5" s="873"/>
      <c r="AL5" s="593" t="s">
        <v>485</v>
      </c>
      <c r="AM5" s="434"/>
      <c r="AN5" s="593"/>
      <c r="AO5" s="593"/>
      <c r="AP5" s="434"/>
      <c r="AQ5" s="434"/>
      <c r="AR5" s="861"/>
      <c r="AS5" s="593"/>
      <c r="AT5" s="997"/>
      <c r="AU5" s="434"/>
      <c r="AV5" s="434"/>
      <c r="AW5" s="434"/>
      <c r="AX5" s="434"/>
      <c r="AY5" s="434"/>
      <c r="AZ5" s="434"/>
      <c r="BA5" s="434"/>
      <c r="BB5" s="434"/>
      <c r="BC5" s="434"/>
      <c r="BD5" s="434"/>
      <c r="BE5" s="434"/>
      <c r="BF5" s="434"/>
      <c r="BG5" s="434"/>
      <c r="BH5" s="434"/>
    </row>
    <row r="6" spans="1:60" s="45" customFormat="1" ht="30" customHeight="1">
      <c r="A6" s="591"/>
      <c r="B6" s="591"/>
      <c r="C6" s="591"/>
      <c r="D6" s="591"/>
      <c r="E6" s="591"/>
      <c r="F6" s="591"/>
      <c r="G6" s="628"/>
      <c r="H6" s="591"/>
      <c r="I6" s="621" t="s">
        <v>396</v>
      </c>
      <c r="J6" s="633" t="s">
        <v>971</v>
      </c>
      <c r="K6" s="591"/>
      <c r="L6" s="623"/>
      <c r="M6" s="623"/>
      <c r="N6" s="623"/>
      <c r="O6" s="623"/>
      <c r="P6" s="623"/>
      <c r="Q6" s="623"/>
      <c r="R6" s="623"/>
      <c r="S6" s="591"/>
      <c r="T6" s="610" t="b">
        <v>0</v>
      </c>
      <c r="U6" s="582" t="s">
        <v>604</v>
      </c>
      <c r="V6" s="591"/>
      <c r="W6" s="591"/>
      <c r="X6" s="610" t="b">
        <v>0</v>
      </c>
      <c r="Y6" s="582" t="s">
        <v>606</v>
      </c>
      <c r="Z6" s="591"/>
      <c r="AA6" s="591"/>
      <c r="AB6" s="610" t="b">
        <v>0</v>
      </c>
      <c r="AC6" s="582" t="s">
        <v>605</v>
      </c>
      <c r="AD6" s="591"/>
      <c r="AE6" s="591"/>
      <c r="AF6" s="610" t="b">
        <v>1</v>
      </c>
      <c r="AG6" s="757" t="s">
        <v>1021</v>
      </c>
      <c r="AH6" s="599"/>
      <c r="AI6" s="599"/>
      <c r="AJ6" s="599"/>
      <c r="AK6" s="3438" t="s">
        <v>11903</v>
      </c>
      <c r="AL6" s="3438"/>
      <c r="AM6" s="3438"/>
      <c r="AN6" s="3438"/>
      <c r="AO6" s="3438"/>
      <c r="AP6" s="3438"/>
      <c r="AQ6" s="3438"/>
      <c r="AR6" s="1735" t="str">
        <f>IF(AND(sch_cpc_fmeet_others=FALSE,sch_cpc_fmeet_others_specify&gt;0),"Please check Others if you have entries.",IF(AND(sch_cpc_fmeet_others=TRUE,ISBLANK(sch_cpc_fmeet_others_specify)),"Please specify.",""))</f>
        <v/>
      </c>
      <c r="AS6" s="591"/>
      <c r="AT6" s="632"/>
      <c r="AU6" s="591"/>
      <c r="AV6" s="591"/>
      <c r="AW6" s="591"/>
      <c r="AX6" s="591"/>
      <c r="AY6" s="591"/>
      <c r="AZ6" s="591"/>
      <c r="BA6" s="591"/>
      <c r="BB6" s="591"/>
      <c r="BC6" s="591"/>
      <c r="BD6" s="591"/>
      <c r="BE6" s="591"/>
      <c r="BF6" s="591"/>
      <c r="BG6" s="591"/>
      <c r="BH6" s="591"/>
    </row>
    <row r="7" spans="1:60" s="45" customFormat="1" ht="30" customHeight="1">
      <c r="A7" s="591"/>
      <c r="B7" s="591"/>
      <c r="C7" s="591"/>
      <c r="D7" s="591"/>
      <c r="E7" s="591"/>
      <c r="F7" s="591"/>
      <c r="G7" s="628"/>
      <c r="H7" s="621"/>
      <c r="I7" s="621" t="s">
        <v>397</v>
      </c>
      <c r="J7" s="633" t="s">
        <v>972</v>
      </c>
      <c r="K7" s="591"/>
      <c r="L7" s="623"/>
      <c r="M7" s="623"/>
      <c r="N7" s="623"/>
      <c r="O7" s="623"/>
      <c r="P7" s="623"/>
      <c r="Q7" s="623"/>
      <c r="R7" s="623"/>
      <c r="S7" s="623"/>
      <c r="T7" s="623"/>
      <c r="U7" s="623"/>
      <c r="V7" s="623"/>
      <c r="W7" s="623"/>
      <c r="X7" s="623"/>
      <c r="Y7" s="625"/>
      <c r="Z7" s="582"/>
      <c r="AA7" s="582"/>
      <c r="AB7" s="591"/>
      <c r="AC7" s="591"/>
      <c r="AD7" s="625"/>
      <c r="AE7" s="582"/>
      <c r="AF7" s="3438">
        <v>0</v>
      </c>
      <c r="AG7" s="3438"/>
      <c r="AH7" s="3438"/>
      <c r="AI7" s="3438"/>
      <c r="AJ7" s="3438"/>
      <c r="AK7" s="3438"/>
      <c r="AL7" s="3438"/>
      <c r="AM7" s="874"/>
      <c r="AN7" s="582"/>
      <c r="AO7" s="582"/>
      <c r="AP7" s="591"/>
      <c r="AQ7" s="591"/>
      <c r="AR7" s="625"/>
      <c r="AS7" s="582"/>
      <c r="AT7" s="632"/>
      <c r="AU7" s="591"/>
      <c r="AV7" s="591"/>
      <c r="AW7" s="591"/>
      <c r="AX7" s="591"/>
      <c r="AY7" s="591"/>
      <c r="AZ7" s="591"/>
      <c r="BA7" s="591"/>
      <c r="BB7" s="591"/>
      <c r="BC7" s="591"/>
      <c r="BD7" s="591"/>
      <c r="BE7" s="591"/>
      <c r="BF7" s="591"/>
      <c r="BG7" s="591"/>
      <c r="BH7" s="591"/>
    </row>
    <row r="8" spans="1:60" s="44" customFormat="1" ht="6" customHeight="1">
      <c r="A8" s="434"/>
      <c r="B8" s="434"/>
      <c r="C8" s="434"/>
      <c r="D8" s="434"/>
      <c r="E8" s="434"/>
      <c r="F8" s="434"/>
      <c r="G8" s="988"/>
      <c r="H8" s="434"/>
      <c r="I8" s="434"/>
      <c r="J8" s="1049"/>
      <c r="K8" s="612"/>
      <c r="L8" s="612"/>
      <c r="M8" s="612"/>
      <c r="N8" s="612"/>
      <c r="O8" s="612"/>
      <c r="P8" s="612"/>
      <c r="Q8" s="612"/>
      <c r="R8" s="612"/>
      <c r="S8" s="612"/>
      <c r="T8" s="861"/>
      <c r="U8" s="434"/>
      <c r="V8" s="861"/>
      <c r="W8" s="960"/>
      <c r="X8" s="593"/>
      <c r="Y8" s="434"/>
      <c r="Z8" s="434"/>
      <c r="AA8" s="861"/>
      <c r="AB8" s="960"/>
      <c r="AC8" s="593"/>
      <c r="AD8" s="593"/>
      <c r="AE8" s="593"/>
      <c r="AF8" s="593"/>
      <c r="AG8" s="593"/>
      <c r="AH8" s="434"/>
      <c r="AI8" s="861"/>
      <c r="AJ8" s="861"/>
      <c r="AK8" s="861"/>
      <c r="AL8" s="861"/>
      <c r="AM8" s="861"/>
      <c r="AN8" s="861"/>
      <c r="AO8" s="861"/>
      <c r="AP8" s="861"/>
      <c r="AQ8" s="434"/>
      <c r="AR8" s="434"/>
      <c r="AS8" s="434"/>
      <c r="AT8" s="997"/>
      <c r="AU8" s="434"/>
      <c r="AV8" s="434"/>
      <c r="AW8" s="434"/>
      <c r="AX8" s="434"/>
      <c r="AY8" s="434"/>
      <c r="AZ8" s="434"/>
      <c r="BA8" s="434"/>
      <c r="BB8" s="434"/>
      <c r="BC8" s="434"/>
      <c r="BD8" s="434"/>
      <c r="BE8" s="434"/>
      <c r="BF8" s="434"/>
      <c r="BG8" s="434"/>
      <c r="BH8" s="434"/>
    </row>
    <row r="9" spans="1:60" s="44" customFormat="1" ht="30" customHeight="1">
      <c r="A9" s="434"/>
      <c r="B9" s="434"/>
      <c r="C9" s="434"/>
      <c r="D9" s="434"/>
      <c r="E9" s="434"/>
      <c r="F9" s="434"/>
      <c r="G9" s="988"/>
      <c r="H9" s="1048" t="s">
        <v>48</v>
      </c>
      <c r="I9" s="989" t="s">
        <v>973</v>
      </c>
      <c r="J9" s="990"/>
      <c r="K9" s="434"/>
      <c r="L9" s="990"/>
      <c r="M9" s="990"/>
      <c r="N9" s="990"/>
      <c r="O9" s="990"/>
      <c r="P9" s="990"/>
      <c r="Q9" s="990"/>
      <c r="R9" s="990"/>
      <c r="S9" s="990"/>
      <c r="T9" s="990"/>
      <c r="U9" s="990"/>
      <c r="V9" s="990"/>
      <c r="W9" s="990"/>
      <c r="X9" s="990"/>
      <c r="Y9" s="990"/>
      <c r="Z9" s="990"/>
      <c r="AA9" s="434"/>
      <c r="AB9" s="434"/>
      <c r="AC9" s="434"/>
      <c r="AD9" s="434"/>
      <c r="AE9" s="434"/>
      <c r="AF9" s="873" t="b">
        <v>1</v>
      </c>
      <c r="AG9" s="593" t="s">
        <v>484</v>
      </c>
      <c r="AH9" s="593"/>
      <c r="AI9" s="434"/>
      <c r="AJ9" s="434"/>
      <c r="AK9" s="873"/>
      <c r="AL9" s="593" t="s">
        <v>485</v>
      </c>
      <c r="AM9" s="861"/>
      <c r="AN9" s="593"/>
      <c r="AO9" s="593"/>
      <c r="AP9" s="434"/>
      <c r="AQ9" s="434"/>
      <c r="AR9" s="861"/>
      <c r="AS9" s="593"/>
      <c r="AT9" s="997"/>
      <c r="AU9" s="434"/>
      <c r="AV9" s="434"/>
      <c r="AW9" s="434"/>
      <c r="AX9" s="434"/>
      <c r="AY9" s="434"/>
      <c r="AZ9" s="434"/>
      <c r="BA9" s="434"/>
      <c r="BB9" s="434"/>
      <c r="BC9" s="434"/>
      <c r="BD9" s="434"/>
      <c r="BE9" s="434"/>
      <c r="BF9" s="434"/>
      <c r="BG9" s="434"/>
      <c r="BH9" s="434"/>
    </row>
    <row r="10" spans="1:60" s="44" customFormat="1" ht="11.25" customHeight="1" thickBot="1">
      <c r="A10" s="434"/>
      <c r="B10" s="434"/>
      <c r="C10" s="434"/>
      <c r="D10" s="434"/>
      <c r="E10" s="434"/>
      <c r="F10" s="434"/>
      <c r="G10" s="646"/>
      <c r="H10" s="659"/>
      <c r="I10" s="642"/>
      <c r="J10" s="642"/>
      <c r="K10" s="1000"/>
      <c r="L10" s="596"/>
      <c r="M10" s="596"/>
      <c r="N10" s="596"/>
      <c r="O10" s="596"/>
      <c r="P10" s="596"/>
      <c r="Q10" s="596"/>
      <c r="R10" s="596"/>
      <c r="S10" s="596"/>
      <c r="T10" s="596"/>
      <c r="U10" s="866"/>
      <c r="V10" s="866"/>
      <c r="W10" s="866"/>
      <c r="X10" s="866"/>
      <c r="Y10" s="866"/>
      <c r="Z10" s="596"/>
      <c r="AA10" s="866"/>
      <c r="AB10" s="866"/>
      <c r="AC10" s="866"/>
      <c r="AD10" s="866"/>
      <c r="AE10" s="866"/>
      <c r="AF10" s="866"/>
      <c r="AG10" s="596"/>
      <c r="AH10" s="596"/>
      <c r="AI10" s="596"/>
      <c r="AJ10" s="596"/>
      <c r="AK10" s="596"/>
      <c r="AL10" s="596"/>
      <c r="AM10" s="596"/>
      <c r="AN10" s="596"/>
      <c r="AO10" s="596"/>
      <c r="AP10" s="596"/>
      <c r="AQ10" s="659"/>
      <c r="AR10" s="659"/>
      <c r="AS10" s="659"/>
      <c r="AT10" s="660"/>
      <c r="AU10" s="434"/>
      <c r="AV10" s="434"/>
      <c r="AW10" s="434"/>
      <c r="AX10" s="434"/>
      <c r="AY10" s="434"/>
      <c r="AZ10" s="434"/>
      <c r="BA10" s="434"/>
      <c r="BB10" s="434"/>
      <c r="BC10" s="434"/>
      <c r="BD10" s="434"/>
      <c r="BE10" s="434"/>
      <c r="BF10" s="434"/>
      <c r="BG10" s="434"/>
      <c r="BH10" s="434"/>
    </row>
    <row r="11" spans="1:60" s="43" customFormat="1" ht="30.75" customHeight="1">
      <c r="A11" s="960"/>
      <c r="B11" s="960"/>
      <c r="C11" s="960"/>
      <c r="D11" s="960"/>
      <c r="E11" s="960"/>
      <c r="F11" s="960"/>
      <c r="G11" s="227"/>
      <c r="H11" s="982"/>
      <c r="I11" s="982"/>
      <c r="J11" s="982"/>
      <c r="K11" s="982"/>
      <c r="L11" s="982"/>
      <c r="M11" s="983"/>
      <c r="N11" s="983"/>
      <c r="O11" s="983"/>
      <c r="P11" s="983"/>
      <c r="Q11" s="983"/>
      <c r="R11" s="983"/>
      <c r="S11" s="983"/>
      <c r="T11" s="983"/>
      <c r="U11" s="983"/>
      <c r="V11" s="983"/>
      <c r="W11" s="983"/>
      <c r="X11" s="983"/>
      <c r="Y11" s="983"/>
      <c r="Z11" s="983"/>
      <c r="AA11" s="983"/>
      <c r="AB11" s="983"/>
      <c r="AC11" s="983"/>
      <c r="AD11" s="983"/>
      <c r="AE11" s="983"/>
      <c r="AF11" s="983"/>
      <c r="AG11" s="983"/>
      <c r="AH11" s="983"/>
      <c r="AI11" s="983"/>
      <c r="AJ11" s="983"/>
      <c r="AK11" s="983"/>
      <c r="AL11" s="983"/>
      <c r="AM11" s="983"/>
      <c r="AN11" s="983"/>
      <c r="AO11" s="983"/>
      <c r="AP11" s="983"/>
      <c r="AQ11" s="983"/>
      <c r="AR11" s="983"/>
      <c r="AS11" s="983"/>
      <c r="AT11" s="983"/>
      <c r="AU11" s="960"/>
      <c r="AV11" s="960"/>
      <c r="AW11" s="960"/>
      <c r="AX11" s="960"/>
      <c r="AY11" s="960"/>
      <c r="AZ11" s="960"/>
      <c r="BA11" s="960"/>
      <c r="BB11" s="960"/>
      <c r="BC11" s="960"/>
      <c r="BD11" s="960"/>
      <c r="BE11" s="960"/>
      <c r="BF11" s="960"/>
      <c r="BG11" s="960"/>
      <c r="BH11" s="960"/>
    </row>
    <row r="12" spans="1:60" s="44" customFormat="1">
      <c r="A12" s="434"/>
      <c r="B12" s="434"/>
      <c r="C12" s="434"/>
      <c r="D12" s="434"/>
      <c r="E12" s="434"/>
      <c r="F12" s="434"/>
      <c r="G12" s="611" t="s">
        <v>11429</v>
      </c>
      <c r="H12" s="611"/>
      <c r="I12" s="611"/>
      <c r="J12" s="611"/>
      <c r="K12" s="611"/>
      <c r="L12" s="611"/>
      <c r="M12" s="611"/>
      <c r="N12" s="611"/>
      <c r="O12" s="611"/>
      <c r="P12" s="611"/>
      <c r="Q12" s="612"/>
      <c r="R12" s="612"/>
      <c r="S12" s="612"/>
      <c r="T12" s="612"/>
      <c r="U12" s="612"/>
      <c r="V12" s="612"/>
      <c r="W12" s="612"/>
      <c r="X12" s="612"/>
      <c r="Y12" s="612"/>
      <c r="Z12" s="612"/>
      <c r="AA12" s="612"/>
      <c r="AB12" s="612"/>
      <c r="AC12" s="612"/>
      <c r="AD12" s="612"/>
      <c r="AE12" s="612"/>
      <c r="AF12" s="612"/>
      <c r="AG12" s="612"/>
      <c r="AH12" s="612"/>
      <c r="AI12" s="612"/>
      <c r="AJ12" s="612"/>
      <c r="AK12" s="612"/>
      <c r="AL12" s="612"/>
      <c r="AM12" s="612"/>
      <c r="AN12" s="612"/>
      <c r="AO12" s="612"/>
      <c r="AP12" s="612"/>
      <c r="AQ12" s="611"/>
      <c r="AR12" s="434"/>
      <c r="AS12" s="434"/>
      <c r="AT12" s="434"/>
      <c r="AU12" s="434"/>
      <c r="AV12" s="434"/>
      <c r="AW12" s="434"/>
      <c r="AX12" s="434"/>
      <c r="AY12" s="434"/>
      <c r="AZ12" s="434"/>
      <c r="BA12" s="434"/>
      <c r="BB12" s="434"/>
      <c r="BC12" s="434"/>
      <c r="BD12" s="434"/>
      <c r="BE12" s="434"/>
      <c r="BF12" s="434"/>
      <c r="BG12" s="434"/>
      <c r="BH12" s="434"/>
    </row>
    <row r="13" spans="1:60" s="40" customFormat="1" ht="16.5" thickBot="1">
      <c r="A13" s="582"/>
      <c r="B13" s="582"/>
      <c r="C13" s="582"/>
      <c r="D13" s="582"/>
      <c r="E13" s="582"/>
      <c r="F13" s="582"/>
      <c r="G13" s="583" t="s">
        <v>1016</v>
      </c>
      <c r="H13" s="582"/>
      <c r="I13" s="582"/>
      <c r="J13" s="582"/>
      <c r="K13" s="582"/>
      <c r="L13" s="582"/>
      <c r="M13" s="582"/>
      <c r="N13" s="582"/>
      <c r="O13" s="582"/>
      <c r="P13" s="582"/>
      <c r="Q13" s="582"/>
      <c r="R13" s="582"/>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582"/>
      <c r="AT13" s="582"/>
      <c r="AU13" s="582"/>
      <c r="AV13" s="582"/>
      <c r="AW13" s="582"/>
      <c r="AX13" s="582"/>
      <c r="AY13" s="582"/>
      <c r="AZ13" s="582"/>
      <c r="BA13" s="582"/>
      <c r="BB13" s="582"/>
      <c r="BC13" s="582"/>
      <c r="BD13" s="582"/>
      <c r="BE13" s="582"/>
      <c r="BF13" s="582"/>
      <c r="BG13" s="582"/>
      <c r="BH13" s="582"/>
    </row>
    <row r="14" spans="1:60" s="44" customFormat="1" ht="5.25" customHeight="1">
      <c r="A14" s="434"/>
      <c r="B14" s="434"/>
      <c r="C14" s="434"/>
      <c r="D14" s="434"/>
      <c r="E14" s="434"/>
      <c r="F14" s="434"/>
      <c r="G14" s="648"/>
      <c r="H14" s="650"/>
      <c r="I14" s="984"/>
      <c r="J14" s="985"/>
      <c r="K14" s="985"/>
      <c r="L14" s="985"/>
      <c r="M14" s="985"/>
      <c r="N14" s="985"/>
      <c r="O14" s="985"/>
      <c r="P14" s="985"/>
      <c r="Q14" s="985"/>
      <c r="R14" s="985"/>
      <c r="S14" s="985"/>
      <c r="T14" s="685"/>
      <c r="U14" s="685"/>
      <c r="V14" s="685"/>
      <c r="W14" s="685"/>
      <c r="X14" s="685"/>
      <c r="Y14" s="685"/>
      <c r="Z14" s="586"/>
      <c r="AA14" s="986"/>
      <c r="AB14" s="986"/>
      <c r="AC14" s="986"/>
      <c r="AD14" s="986"/>
      <c r="AE14" s="986"/>
      <c r="AF14" s="986"/>
      <c r="AG14" s="685"/>
      <c r="AH14" s="685"/>
      <c r="AI14" s="685"/>
      <c r="AJ14" s="685"/>
      <c r="AK14" s="685"/>
      <c r="AL14" s="685"/>
      <c r="AM14" s="685"/>
      <c r="AN14" s="685"/>
      <c r="AO14" s="685"/>
      <c r="AP14" s="685"/>
      <c r="AQ14" s="650"/>
      <c r="AR14" s="650"/>
      <c r="AS14" s="650"/>
      <c r="AT14" s="651"/>
      <c r="AU14" s="434"/>
      <c r="AV14" s="434"/>
      <c r="AW14" s="434"/>
      <c r="AX14" s="434"/>
      <c r="AY14" s="434"/>
      <c r="AZ14" s="434"/>
      <c r="BA14" s="434"/>
      <c r="BB14" s="434"/>
      <c r="BC14" s="434"/>
      <c r="BD14" s="434"/>
      <c r="BE14" s="434"/>
      <c r="BF14" s="434"/>
      <c r="BG14" s="434"/>
      <c r="BH14" s="434"/>
    </row>
    <row r="15" spans="1:60" s="44" customFormat="1" ht="24.95" customHeight="1">
      <c r="A15" s="434"/>
      <c r="B15" s="434"/>
      <c r="C15" s="434"/>
      <c r="D15" s="434"/>
      <c r="E15" s="434"/>
      <c r="F15" s="434"/>
      <c r="G15" s="988"/>
      <c r="H15" s="1048" t="s">
        <v>47</v>
      </c>
      <c r="I15" s="989" t="s">
        <v>1155</v>
      </c>
      <c r="J15" s="989"/>
      <c r="K15" s="998"/>
      <c r="L15" s="998"/>
      <c r="M15" s="998"/>
      <c r="N15" s="998"/>
      <c r="O15" s="998"/>
      <c r="P15" s="998"/>
      <c r="Q15" s="998"/>
      <c r="R15" s="998"/>
      <c r="S15" s="998"/>
      <c r="T15" s="861"/>
      <c r="U15" s="593"/>
      <c r="V15" s="593"/>
      <c r="W15" s="593"/>
      <c r="X15" s="593"/>
      <c r="Y15" s="593"/>
      <c r="Z15" s="999"/>
      <c r="AA15" s="861"/>
      <c r="AB15" s="861"/>
      <c r="AC15" s="861"/>
      <c r="AD15" s="861"/>
      <c r="AE15" s="861"/>
      <c r="AF15" s="861"/>
      <c r="AG15" s="593"/>
      <c r="AH15" s="593"/>
      <c r="AI15" s="593"/>
      <c r="AJ15" s="593"/>
      <c r="AK15" s="593"/>
      <c r="AL15" s="593"/>
      <c r="AM15" s="593"/>
      <c r="AN15" s="593"/>
      <c r="AO15" s="593"/>
      <c r="AP15" s="593"/>
      <c r="AQ15" s="434"/>
      <c r="AR15" s="434"/>
      <c r="AS15" s="434"/>
      <c r="AT15" s="997"/>
      <c r="AU15" s="434"/>
      <c r="AV15" s="434"/>
      <c r="AW15" s="434"/>
      <c r="AX15" s="434"/>
      <c r="AY15" s="434"/>
      <c r="AZ15" s="434"/>
      <c r="BA15" s="434"/>
      <c r="BB15" s="434"/>
      <c r="BC15" s="434"/>
      <c r="BD15" s="434"/>
      <c r="BE15" s="434"/>
      <c r="BF15" s="434"/>
      <c r="BG15" s="434"/>
      <c r="BH15" s="434"/>
    </row>
    <row r="16" spans="1:60" s="44" customFormat="1" ht="6" customHeight="1" thickBot="1">
      <c r="A16" s="434"/>
      <c r="B16" s="434"/>
      <c r="C16" s="434"/>
      <c r="D16" s="434"/>
      <c r="E16" s="434"/>
      <c r="F16" s="434"/>
      <c r="G16" s="988"/>
      <c r="H16" s="434"/>
      <c r="I16" s="434"/>
      <c r="J16" s="1049"/>
      <c r="K16" s="612"/>
      <c r="L16" s="612"/>
      <c r="M16" s="612"/>
      <c r="N16" s="612"/>
      <c r="O16" s="612"/>
      <c r="P16" s="612"/>
      <c r="Q16" s="612"/>
      <c r="R16" s="612"/>
      <c r="S16" s="612"/>
      <c r="T16" s="861"/>
      <c r="U16" s="434"/>
      <c r="V16" s="861"/>
      <c r="W16" s="960"/>
      <c r="X16" s="593"/>
      <c r="Y16" s="434"/>
      <c r="Z16" s="434"/>
      <c r="AA16" s="861"/>
      <c r="AB16" s="960"/>
      <c r="AC16" s="593"/>
      <c r="AD16" s="593"/>
      <c r="AE16" s="593"/>
      <c r="AF16" s="593"/>
      <c r="AG16" s="593"/>
      <c r="AH16" s="593"/>
      <c r="AI16" s="434"/>
      <c r="AJ16" s="861"/>
      <c r="AK16" s="861"/>
      <c r="AL16" s="861"/>
      <c r="AM16" s="861"/>
      <c r="AN16" s="861"/>
      <c r="AO16" s="861"/>
      <c r="AP16" s="861"/>
      <c r="AQ16" s="434"/>
      <c r="AR16" s="434"/>
      <c r="AS16" s="434"/>
      <c r="AT16" s="997"/>
      <c r="AU16" s="434"/>
      <c r="AV16" s="434"/>
      <c r="AW16" s="434"/>
      <c r="AX16" s="434"/>
      <c r="AY16" s="434"/>
      <c r="AZ16" s="434"/>
      <c r="BA16" s="434"/>
      <c r="BB16" s="434"/>
      <c r="BC16" s="434"/>
      <c r="BD16" s="434"/>
      <c r="BE16" s="434"/>
      <c r="BF16" s="434"/>
      <c r="BG16" s="434"/>
      <c r="BH16" s="434"/>
    </row>
    <row r="17" spans="1:66" s="44" customFormat="1" ht="20.100000000000001" customHeight="1">
      <c r="A17" s="434"/>
      <c r="B17" s="434"/>
      <c r="C17" s="434"/>
      <c r="D17" s="434"/>
      <c r="E17" s="434"/>
      <c r="F17" s="434"/>
      <c r="G17" s="988"/>
      <c r="H17" s="434"/>
      <c r="I17" s="3321" t="s">
        <v>1222</v>
      </c>
      <c r="J17" s="3322"/>
      <c r="K17" s="3322"/>
      <c r="L17" s="3322"/>
      <c r="M17" s="3322"/>
      <c r="N17" s="3323"/>
      <c r="O17" s="3330" t="s">
        <v>974</v>
      </c>
      <c r="P17" s="3331"/>
      <c r="Q17" s="3331"/>
      <c r="R17" s="3331"/>
      <c r="S17" s="3331"/>
      <c r="T17" s="3331"/>
      <c r="U17" s="3331"/>
      <c r="V17" s="3331"/>
      <c r="W17" s="3331"/>
      <c r="X17" s="3331"/>
      <c r="Y17" s="3331"/>
      <c r="Z17" s="3331"/>
      <c r="AA17" s="3331"/>
      <c r="AB17" s="3331"/>
      <c r="AC17" s="3331"/>
      <c r="AD17" s="3331"/>
      <c r="AE17" s="3331"/>
      <c r="AF17" s="3332"/>
      <c r="AG17" s="3330" t="s">
        <v>975</v>
      </c>
      <c r="AH17" s="3331"/>
      <c r="AI17" s="3331"/>
      <c r="AJ17" s="3331"/>
      <c r="AK17" s="3331"/>
      <c r="AL17" s="3331"/>
      <c r="AM17" s="3331"/>
      <c r="AN17" s="3331"/>
      <c r="AO17" s="3331"/>
      <c r="AP17" s="3331"/>
      <c r="AQ17" s="3331"/>
      <c r="AR17" s="3332"/>
      <c r="AS17" s="1050"/>
      <c r="AT17" s="1072"/>
      <c r="AU17" s="434"/>
      <c r="AV17" s="434"/>
      <c r="AW17" s="434"/>
      <c r="AX17" s="434"/>
      <c r="AY17" s="434"/>
      <c r="AZ17" s="434"/>
      <c r="BA17" s="434"/>
      <c r="BB17" s="434"/>
      <c r="BC17" s="434"/>
      <c r="BD17" s="434"/>
      <c r="BE17" s="434"/>
      <c r="BF17" s="434"/>
      <c r="BG17" s="434"/>
      <c r="BH17" s="434"/>
    </row>
    <row r="18" spans="1:66" s="44" customFormat="1" ht="15.95" customHeight="1" thickBot="1">
      <c r="A18" s="434"/>
      <c r="B18" s="434"/>
      <c r="C18" s="434"/>
      <c r="D18" s="434"/>
      <c r="E18" s="434"/>
      <c r="F18" s="434"/>
      <c r="G18" s="988"/>
      <c r="H18" s="434"/>
      <c r="I18" s="3327"/>
      <c r="J18" s="3328"/>
      <c r="K18" s="3328"/>
      <c r="L18" s="3328"/>
      <c r="M18" s="3328"/>
      <c r="N18" s="3329"/>
      <c r="O18" s="3455" t="s">
        <v>976</v>
      </c>
      <c r="P18" s="3456"/>
      <c r="Q18" s="3456"/>
      <c r="R18" s="3456"/>
      <c r="S18" s="3456"/>
      <c r="T18" s="3457"/>
      <c r="U18" s="3455" t="s">
        <v>977</v>
      </c>
      <c r="V18" s="3456"/>
      <c r="W18" s="3456"/>
      <c r="X18" s="3456"/>
      <c r="Y18" s="3456"/>
      <c r="Z18" s="3458"/>
      <c r="AA18" s="3456" t="s">
        <v>42</v>
      </c>
      <c r="AB18" s="3456"/>
      <c r="AC18" s="3456"/>
      <c r="AD18" s="3456"/>
      <c r="AE18" s="3456"/>
      <c r="AF18" s="3457"/>
      <c r="AG18" s="3455" t="s">
        <v>978</v>
      </c>
      <c r="AH18" s="3456"/>
      <c r="AI18" s="3456"/>
      <c r="AJ18" s="3456"/>
      <c r="AK18" s="3456"/>
      <c r="AL18" s="3457"/>
      <c r="AM18" s="3455" t="s">
        <v>979</v>
      </c>
      <c r="AN18" s="3456"/>
      <c r="AO18" s="3456"/>
      <c r="AP18" s="3456"/>
      <c r="AQ18" s="3456"/>
      <c r="AR18" s="3457"/>
      <c r="AS18" s="1050"/>
      <c r="AT18" s="1072"/>
      <c r="AU18" s="434"/>
      <c r="AV18" s="434"/>
      <c r="AW18" s="434"/>
      <c r="AX18" s="434"/>
      <c r="AY18" s="434"/>
      <c r="AZ18" s="434"/>
      <c r="BA18" s="434"/>
      <c r="BB18" s="434"/>
      <c r="BC18" s="434"/>
      <c r="BD18" s="434"/>
      <c r="BE18" s="434"/>
      <c r="BF18" s="434"/>
      <c r="BG18" s="434"/>
      <c r="BH18" s="434"/>
    </row>
    <row r="19" spans="1:66" s="44" customFormat="1" ht="30" customHeight="1">
      <c r="A19" s="434"/>
      <c r="B19" s="434"/>
      <c r="C19" s="434"/>
      <c r="D19" s="434"/>
      <c r="E19" s="434"/>
      <c r="F19" s="434"/>
      <c r="G19" s="988"/>
      <c r="H19" s="434"/>
      <c r="I19" s="1052" t="s">
        <v>1156</v>
      </c>
      <c r="J19" s="1097"/>
      <c r="K19" s="1097"/>
      <c r="L19" s="1097"/>
      <c r="M19" s="1097"/>
      <c r="N19" s="1098"/>
      <c r="O19" s="3313">
        <v>0</v>
      </c>
      <c r="P19" s="3351"/>
      <c r="Q19" s="3351"/>
      <c r="R19" s="3351"/>
      <c r="S19" s="3351"/>
      <c r="T19" s="3309"/>
      <c r="U19" s="3313">
        <v>0</v>
      </c>
      <c r="V19" s="3351"/>
      <c r="W19" s="3351"/>
      <c r="X19" s="3351"/>
      <c r="Y19" s="3351"/>
      <c r="Z19" s="3447"/>
      <c r="AA19" s="3448">
        <f>SUM(O19:Z19)</f>
        <v>0</v>
      </c>
      <c r="AB19" s="3448"/>
      <c r="AC19" s="3448"/>
      <c r="AD19" s="3448"/>
      <c r="AE19" s="3448"/>
      <c r="AF19" s="3449"/>
      <c r="AG19" s="3313">
        <v>0</v>
      </c>
      <c r="AH19" s="3351"/>
      <c r="AI19" s="3351"/>
      <c r="AJ19" s="3351"/>
      <c r="AK19" s="3351"/>
      <c r="AL19" s="3309"/>
      <c r="AM19" s="3313">
        <v>0</v>
      </c>
      <c r="AN19" s="3351"/>
      <c r="AO19" s="3351"/>
      <c r="AP19" s="3351"/>
      <c r="AQ19" s="3351"/>
      <c r="AR19" s="3309"/>
      <c r="AS19" s="1058"/>
      <c r="AT19" s="1078"/>
      <c r="AU19" s="434"/>
      <c r="AV19" s="434"/>
      <c r="AW19" s="434"/>
      <c r="AX19" s="434"/>
      <c r="AY19" s="434"/>
      <c r="AZ19" s="434"/>
      <c r="BA19" s="434"/>
      <c r="BB19" s="434"/>
      <c r="BC19" s="434"/>
      <c r="BD19" s="434"/>
      <c r="BE19" s="434"/>
      <c r="BF19" s="434"/>
      <c r="BG19" s="434"/>
      <c r="BH19" s="434"/>
    </row>
    <row r="20" spans="1:66" s="44" customFormat="1" ht="30" customHeight="1">
      <c r="A20" s="434"/>
      <c r="B20" s="434"/>
      <c r="C20" s="434"/>
      <c r="D20" s="434"/>
      <c r="E20" s="434"/>
      <c r="F20" s="434"/>
      <c r="G20" s="988"/>
      <c r="H20" s="434"/>
      <c r="I20" s="1082" t="s">
        <v>1157</v>
      </c>
      <c r="J20" s="1083"/>
      <c r="K20" s="1083"/>
      <c r="L20" s="1083"/>
      <c r="M20" s="1083"/>
      <c r="N20" s="1084"/>
      <c r="O20" s="3398">
        <v>0</v>
      </c>
      <c r="P20" s="3399"/>
      <c r="Q20" s="3399"/>
      <c r="R20" s="3399"/>
      <c r="S20" s="3399"/>
      <c r="T20" s="3400"/>
      <c r="U20" s="3398">
        <v>0</v>
      </c>
      <c r="V20" s="3399"/>
      <c r="W20" s="3399"/>
      <c r="X20" s="3399"/>
      <c r="Y20" s="3399"/>
      <c r="Z20" s="3452"/>
      <c r="AA20" s="3453">
        <f t="shared" ref="AA20:AA22" si="0">SUM(O20:Z20)</f>
        <v>0</v>
      </c>
      <c r="AB20" s="3453"/>
      <c r="AC20" s="3453"/>
      <c r="AD20" s="3453"/>
      <c r="AE20" s="3453"/>
      <c r="AF20" s="3454"/>
      <c r="AG20" s="3398">
        <v>0</v>
      </c>
      <c r="AH20" s="3399"/>
      <c r="AI20" s="3399"/>
      <c r="AJ20" s="3399"/>
      <c r="AK20" s="3399"/>
      <c r="AL20" s="3400"/>
      <c r="AM20" s="3398">
        <v>0</v>
      </c>
      <c r="AN20" s="3399"/>
      <c r="AO20" s="3399"/>
      <c r="AP20" s="3399"/>
      <c r="AQ20" s="3399"/>
      <c r="AR20" s="3400"/>
      <c r="AS20" s="1058"/>
      <c r="AT20" s="1078"/>
      <c r="AU20" s="434"/>
      <c r="AV20" s="434"/>
      <c r="AW20" s="434"/>
      <c r="AX20" s="434"/>
      <c r="AY20" s="434"/>
      <c r="AZ20" s="434"/>
      <c r="BA20" s="434"/>
      <c r="BB20" s="434"/>
      <c r="BC20" s="434"/>
      <c r="BD20" s="434"/>
      <c r="BE20" s="434"/>
      <c r="BF20" s="434"/>
      <c r="BG20" s="434"/>
      <c r="BH20" s="434"/>
    </row>
    <row r="21" spans="1:66" s="44" customFormat="1" ht="30" customHeight="1">
      <c r="A21" s="434"/>
      <c r="B21" s="434"/>
      <c r="C21" s="434"/>
      <c r="D21" s="434"/>
      <c r="E21" s="434"/>
      <c r="F21" s="434"/>
      <c r="G21" s="988"/>
      <c r="H21" s="434"/>
      <c r="I21" s="1082" t="s">
        <v>1158</v>
      </c>
      <c r="J21" s="1083"/>
      <c r="K21" s="1083"/>
      <c r="L21" s="1083"/>
      <c r="M21" s="1083"/>
      <c r="N21" s="1084"/>
      <c r="O21" s="3398">
        <v>0</v>
      </c>
      <c r="P21" s="3399"/>
      <c r="Q21" s="3399"/>
      <c r="R21" s="3399"/>
      <c r="S21" s="3399"/>
      <c r="T21" s="3400"/>
      <c r="U21" s="3398">
        <v>0</v>
      </c>
      <c r="V21" s="3399"/>
      <c r="W21" s="3399"/>
      <c r="X21" s="3399"/>
      <c r="Y21" s="3399"/>
      <c r="Z21" s="3452"/>
      <c r="AA21" s="3453">
        <f t="shared" si="0"/>
        <v>0</v>
      </c>
      <c r="AB21" s="3453"/>
      <c r="AC21" s="3453"/>
      <c r="AD21" s="3453"/>
      <c r="AE21" s="3453"/>
      <c r="AF21" s="3454"/>
      <c r="AG21" s="3398">
        <v>0</v>
      </c>
      <c r="AH21" s="3399"/>
      <c r="AI21" s="3399"/>
      <c r="AJ21" s="3399"/>
      <c r="AK21" s="3399"/>
      <c r="AL21" s="3400"/>
      <c r="AM21" s="3398">
        <v>0</v>
      </c>
      <c r="AN21" s="3399"/>
      <c r="AO21" s="3399"/>
      <c r="AP21" s="3399"/>
      <c r="AQ21" s="3399"/>
      <c r="AR21" s="3400"/>
      <c r="AS21" s="1058"/>
      <c r="AT21" s="1078"/>
      <c r="AU21" s="434"/>
      <c r="AV21" s="434"/>
      <c r="AW21" s="434"/>
      <c r="AX21" s="434"/>
      <c r="AY21" s="434"/>
      <c r="AZ21" s="434"/>
      <c r="BA21" s="434"/>
      <c r="BB21" s="434"/>
      <c r="BC21" s="434"/>
      <c r="BD21" s="434"/>
      <c r="BE21" s="434"/>
      <c r="BF21" s="434"/>
      <c r="BG21" s="434"/>
      <c r="BH21" s="434"/>
    </row>
    <row r="22" spans="1:66" s="44" customFormat="1" ht="30" customHeight="1" thickBot="1">
      <c r="A22" s="434"/>
      <c r="B22" s="434"/>
      <c r="C22" s="434"/>
      <c r="D22" s="434"/>
      <c r="E22" s="434"/>
      <c r="F22" s="434"/>
      <c r="G22" s="988"/>
      <c r="H22" s="434"/>
      <c r="I22" s="1055" t="s">
        <v>1159</v>
      </c>
      <c r="J22" s="1056"/>
      <c r="K22" s="1056"/>
      <c r="L22" s="1056"/>
      <c r="M22" s="1056"/>
      <c r="N22" s="1057"/>
      <c r="O22" s="3352">
        <v>0</v>
      </c>
      <c r="P22" s="3353"/>
      <c r="Q22" s="3353"/>
      <c r="R22" s="3353"/>
      <c r="S22" s="3353"/>
      <c r="T22" s="3354"/>
      <c r="U22" s="3352">
        <v>0</v>
      </c>
      <c r="V22" s="3353"/>
      <c r="W22" s="3353"/>
      <c r="X22" s="3353"/>
      <c r="Y22" s="3353"/>
      <c r="Z22" s="3444"/>
      <c r="AA22" s="3445">
        <f t="shared" si="0"/>
        <v>0</v>
      </c>
      <c r="AB22" s="3445"/>
      <c r="AC22" s="3445"/>
      <c r="AD22" s="3445"/>
      <c r="AE22" s="3445"/>
      <c r="AF22" s="3446"/>
      <c r="AG22" s="3352">
        <v>0</v>
      </c>
      <c r="AH22" s="3353"/>
      <c r="AI22" s="3353"/>
      <c r="AJ22" s="3353"/>
      <c r="AK22" s="3353"/>
      <c r="AL22" s="3354"/>
      <c r="AM22" s="3352">
        <v>0</v>
      </c>
      <c r="AN22" s="3353"/>
      <c r="AO22" s="3353"/>
      <c r="AP22" s="3353"/>
      <c r="AQ22" s="3353"/>
      <c r="AR22" s="3354"/>
      <c r="AS22" s="1058"/>
      <c r="AT22" s="1078"/>
      <c r="AU22" s="434"/>
      <c r="AV22" s="434"/>
      <c r="AW22" s="434"/>
      <c r="AX22" s="434"/>
      <c r="AY22" s="434"/>
      <c r="AZ22" s="434"/>
      <c r="BA22" s="434"/>
      <c r="BB22" s="434"/>
      <c r="BC22" s="434"/>
      <c r="BD22" s="434"/>
      <c r="BE22" s="434"/>
      <c r="BF22" s="434"/>
      <c r="BG22" s="434"/>
      <c r="BH22" s="434"/>
    </row>
    <row r="23" spans="1:66" s="44" customFormat="1" ht="30" customHeight="1" thickTop="1" thickBot="1">
      <c r="A23" s="434"/>
      <c r="B23" s="434"/>
      <c r="C23" s="434"/>
      <c r="D23" s="434"/>
      <c r="E23" s="434"/>
      <c r="F23" s="434"/>
      <c r="G23" s="988"/>
      <c r="H23" s="434"/>
      <c r="I23" s="3413" t="s">
        <v>42</v>
      </c>
      <c r="J23" s="3414"/>
      <c r="K23" s="3414"/>
      <c r="L23" s="3414"/>
      <c r="M23" s="3414"/>
      <c r="N23" s="3415"/>
      <c r="O23" s="3281">
        <f>SUM(O19:T22)</f>
        <v>0</v>
      </c>
      <c r="P23" s="3273"/>
      <c r="Q23" s="3273"/>
      <c r="R23" s="3273"/>
      <c r="S23" s="3273"/>
      <c r="T23" s="3277"/>
      <c r="U23" s="3281">
        <f>SUM(U19:Z22)</f>
        <v>0</v>
      </c>
      <c r="V23" s="3273"/>
      <c r="W23" s="3273"/>
      <c r="X23" s="3273"/>
      <c r="Y23" s="3273"/>
      <c r="Z23" s="3442"/>
      <c r="AA23" s="3273">
        <f>SUM(AA19:AF22)</f>
        <v>0</v>
      </c>
      <c r="AB23" s="3273"/>
      <c r="AC23" s="3273"/>
      <c r="AD23" s="3273"/>
      <c r="AE23" s="3273"/>
      <c r="AF23" s="3277"/>
      <c r="AG23" s="3281">
        <f>SUM(AG19:AL22)</f>
        <v>0</v>
      </c>
      <c r="AH23" s="3273"/>
      <c r="AI23" s="3273"/>
      <c r="AJ23" s="3273"/>
      <c r="AK23" s="3273"/>
      <c r="AL23" s="3277"/>
      <c r="AM23" s="3281">
        <f>SUM(AM19:AR22)</f>
        <v>0</v>
      </c>
      <c r="AN23" s="3273"/>
      <c r="AO23" s="3273"/>
      <c r="AP23" s="3273"/>
      <c r="AQ23" s="3273"/>
      <c r="AR23" s="3277"/>
      <c r="AS23" s="1058"/>
      <c r="AT23" s="1078"/>
      <c r="AU23" s="434"/>
      <c r="AV23" s="434"/>
      <c r="AW23" s="434"/>
      <c r="AX23" s="434"/>
      <c r="AY23" s="434"/>
      <c r="AZ23" s="434"/>
      <c r="BA23" s="434"/>
      <c r="BB23" s="434"/>
      <c r="BC23" s="434"/>
      <c r="BD23" s="434"/>
      <c r="BE23" s="434"/>
      <c r="BF23" s="434"/>
      <c r="BG23" s="434"/>
      <c r="BH23" s="434"/>
    </row>
    <row r="24" spans="1:66" s="44" customFormat="1" ht="6" customHeight="1">
      <c r="A24" s="434"/>
      <c r="B24" s="434"/>
      <c r="C24" s="434"/>
      <c r="D24" s="434"/>
      <c r="E24" s="434"/>
      <c r="F24" s="434"/>
      <c r="G24" s="988"/>
      <c r="H24" s="434"/>
      <c r="I24" s="434"/>
      <c r="J24" s="1049"/>
      <c r="K24" s="612"/>
      <c r="L24" s="612"/>
      <c r="M24" s="612"/>
      <c r="N24" s="612"/>
      <c r="O24" s="612"/>
      <c r="P24" s="612"/>
      <c r="Q24" s="612"/>
      <c r="R24" s="612"/>
      <c r="S24" s="612"/>
      <c r="T24" s="861"/>
      <c r="U24" s="434"/>
      <c r="V24" s="861"/>
      <c r="W24" s="960"/>
      <c r="X24" s="593"/>
      <c r="Y24" s="434"/>
      <c r="Z24" s="434"/>
      <c r="AA24" s="861"/>
      <c r="AB24" s="960"/>
      <c r="AC24" s="593"/>
      <c r="AD24" s="593"/>
      <c r="AE24" s="593"/>
      <c r="AF24" s="593"/>
      <c r="AG24" s="593"/>
      <c r="AH24" s="434"/>
      <c r="AI24" s="861"/>
      <c r="AJ24" s="861"/>
      <c r="AK24" s="861"/>
      <c r="AL24" s="861"/>
      <c r="AM24" s="861"/>
      <c r="AN24" s="861"/>
      <c r="AO24" s="861"/>
      <c r="AP24" s="861"/>
      <c r="AQ24" s="434"/>
      <c r="AR24" s="434"/>
      <c r="AS24" s="434"/>
      <c r="AT24" s="997"/>
      <c r="AU24" s="434"/>
      <c r="AV24" s="434"/>
      <c r="AW24" s="434"/>
      <c r="AX24" s="434"/>
      <c r="AY24" s="434"/>
      <c r="AZ24" s="434"/>
      <c r="BA24" s="434"/>
      <c r="BB24" s="434"/>
      <c r="BC24" s="434"/>
      <c r="BD24" s="434"/>
      <c r="BE24" s="434"/>
      <c r="BF24" s="434"/>
      <c r="BG24" s="434"/>
      <c r="BH24" s="434"/>
    </row>
    <row r="25" spans="1:66" s="44" customFormat="1" ht="24.95" customHeight="1">
      <c r="A25" s="434"/>
      <c r="B25" s="434"/>
      <c r="C25" s="434"/>
      <c r="D25" s="434"/>
      <c r="E25" s="434"/>
      <c r="F25" s="434"/>
      <c r="G25" s="988"/>
      <c r="H25" s="1048" t="s">
        <v>48</v>
      </c>
      <c r="I25" s="989" t="s">
        <v>980</v>
      </c>
      <c r="J25" s="989"/>
      <c r="K25" s="998"/>
      <c r="L25" s="998"/>
      <c r="M25" s="998"/>
      <c r="N25" s="998"/>
      <c r="O25" s="998"/>
      <c r="P25" s="998"/>
      <c r="Q25" s="998"/>
      <c r="R25" s="998"/>
      <c r="S25" s="998"/>
      <c r="T25" s="861"/>
      <c r="U25" s="593"/>
      <c r="V25" s="593"/>
      <c r="W25" s="593"/>
      <c r="X25" s="593"/>
      <c r="Y25" s="593"/>
      <c r="Z25" s="999"/>
      <c r="AA25" s="861"/>
      <c r="AB25" s="861"/>
      <c r="AC25" s="861"/>
      <c r="AD25" s="861"/>
      <c r="AE25" s="861"/>
      <c r="AF25" s="861"/>
      <c r="AG25" s="593"/>
      <c r="AH25" s="593"/>
      <c r="AI25" s="593"/>
      <c r="AJ25" s="593"/>
      <c r="AK25" s="593"/>
      <c r="AL25" s="593"/>
      <c r="AM25" s="593"/>
      <c r="AN25" s="593"/>
      <c r="AO25" s="593"/>
      <c r="AP25" s="593"/>
      <c r="AQ25" s="434"/>
      <c r="AR25" s="434"/>
      <c r="AS25" s="434"/>
      <c r="AT25" s="997"/>
      <c r="AU25" s="434"/>
      <c r="AV25" s="434"/>
      <c r="AW25" s="434"/>
      <c r="AX25" s="434"/>
      <c r="AY25" s="434"/>
      <c r="AZ25" s="434"/>
      <c r="BA25" s="434"/>
      <c r="BB25" s="434"/>
      <c r="BC25" s="434"/>
      <c r="BD25" s="434"/>
      <c r="BE25" s="434"/>
      <c r="BF25" s="434"/>
      <c r="BG25" s="434"/>
      <c r="BH25" s="434"/>
    </row>
    <row r="26" spans="1:66" s="44" customFormat="1" ht="6" customHeight="1" thickBot="1">
      <c r="A26" s="434"/>
      <c r="B26" s="434"/>
      <c r="C26" s="434"/>
      <c r="D26" s="434"/>
      <c r="E26" s="434"/>
      <c r="F26" s="434"/>
      <c r="G26" s="988"/>
      <c r="H26" s="434"/>
      <c r="I26" s="612"/>
      <c r="J26" s="612"/>
      <c r="K26" s="612"/>
      <c r="L26" s="612"/>
      <c r="M26" s="612"/>
      <c r="N26" s="612"/>
      <c r="O26" s="612"/>
      <c r="P26" s="612"/>
      <c r="Q26" s="612"/>
      <c r="R26" s="861"/>
      <c r="S26" s="434"/>
      <c r="T26" s="861"/>
      <c r="U26" s="960"/>
      <c r="V26" s="593"/>
      <c r="W26" s="434"/>
      <c r="X26" s="434"/>
      <c r="Y26" s="861"/>
      <c r="Z26" s="960"/>
      <c r="AA26" s="593"/>
      <c r="AB26" s="593"/>
      <c r="AC26" s="593"/>
      <c r="AD26" s="593"/>
      <c r="AE26" s="593"/>
      <c r="AF26" s="593"/>
      <c r="AG26" s="434"/>
      <c r="AH26" s="861"/>
      <c r="AI26" s="861"/>
      <c r="AJ26" s="861"/>
      <c r="AK26" s="861"/>
      <c r="AL26" s="861"/>
      <c r="AM26" s="861"/>
      <c r="AN26" s="861"/>
      <c r="AO26" s="434"/>
      <c r="AP26" s="434"/>
      <c r="AQ26" s="434"/>
      <c r="AR26" s="434"/>
      <c r="AS26" s="434"/>
      <c r="AT26" s="997"/>
      <c r="AU26" s="434"/>
      <c r="AV26" s="434"/>
      <c r="AW26" s="434"/>
      <c r="AX26" s="434"/>
      <c r="AY26" s="434"/>
      <c r="AZ26" s="434"/>
      <c r="BA26" s="434"/>
      <c r="BB26" s="434"/>
      <c r="BC26" s="434"/>
      <c r="BD26" s="434"/>
      <c r="BE26" s="434"/>
      <c r="BF26" s="434"/>
      <c r="BG26" s="434"/>
      <c r="BH26" s="434"/>
    </row>
    <row r="27" spans="1:66" s="44" customFormat="1" ht="34.5" customHeight="1" thickBot="1">
      <c r="A27" s="434"/>
      <c r="B27" s="434"/>
      <c r="C27" s="434"/>
      <c r="D27" s="434"/>
      <c r="E27" s="434"/>
      <c r="F27" s="434"/>
      <c r="G27" s="988"/>
      <c r="H27" s="434"/>
      <c r="I27" s="3362" t="s">
        <v>281</v>
      </c>
      <c r="J27" s="3363"/>
      <c r="K27" s="3363"/>
      <c r="L27" s="3363"/>
      <c r="M27" s="3363"/>
      <c r="N27" s="3364"/>
      <c r="O27" s="3362" t="s">
        <v>45</v>
      </c>
      <c r="P27" s="3363"/>
      <c r="Q27" s="3363"/>
      <c r="R27" s="3363"/>
      <c r="S27" s="3363"/>
      <c r="T27" s="3364"/>
      <c r="U27" s="3362" t="s">
        <v>46</v>
      </c>
      <c r="V27" s="3363"/>
      <c r="W27" s="3363"/>
      <c r="X27" s="3363"/>
      <c r="Y27" s="3363"/>
      <c r="Z27" s="3450"/>
      <c r="AA27" s="3451" t="s">
        <v>42</v>
      </c>
      <c r="AB27" s="3363"/>
      <c r="AC27" s="3363"/>
      <c r="AD27" s="3363"/>
      <c r="AE27" s="3363"/>
      <c r="AF27" s="3364"/>
      <c r="AG27" s="861"/>
      <c r="AH27" s="861"/>
      <c r="AI27" s="861"/>
      <c r="AJ27" s="434"/>
      <c r="AK27" s="434"/>
      <c r="AL27" s="434"/>
      <c r="AM27" s="434"/>
      <c r="AN27" s="434"/>
      <c r="AO27" s="434"/>
      <c r="AP27" s="434"/>
      <c r="AQ27" s="434"/>
      <c r="AR27" s="434"/>
      <c r="AS27" s="593"/>
      <c r="AT27" s="691"/>
      <c r="AU27" s="434"/>
      <c r="AV27" s="434"/>
      <c r="AW27" s="434"/>
      <c r="AX27" s="434"/>
      <c r="AY27" s="434"/>
      <c r="AZ27" s="434"/>
      <c r="BA27" s="434"/>
      <c r="BB27" s="434"/>
      <c r="BC27" s="434"/>
      <c r="BD27" s="434"/>
      <c r="BE27" s="434"/>
      <c r="BF27" s="434"/>
      <c r="BG27" s="434"/>
      <c r="BH27" s="434"/>
    </row>
    <row r="28" spans="1:66" s="44" customFormat="1" ht="30" customHeight="1">
      <c r="A28" s="434"/>
      <c r="B28" s="434"/>
      <c r="C28" s="434"/>
      <c r="D28" s="434"/>
      <c r="E28" s="434"/>
      <c r="F28" s="434"/>
      <c r="G28" s="988"/>
      <c r="H28" s="434"/>
      <c r="I28" s="1052"/>
      <c r="J28" s="1160" t="s">
        <v>1164</v>
      </c>
      <c r="K28" s="1053"/>
      <c r="L28" s="1053"/>
      <c r="M28" s="1053"/>
      <c r="N28" s="1054"/>
      <c r="O28" s="3313">
        <v>0</v>
      </c>
      <c r="P28" s="3351"/>
      <c r="Q28" s="3351"/>
      <c r="R28" s="3351"/>
      <c r="S28" s="3351"/>
      <c r="T28" s="3309"/>
      <c r="U28" s="3313">
        <v>0</v>
      </c>
      <c r="V28" s="3351"/>
      <c r="W28" s="3351"/>
      <c r="X28" s="3351"/>
      <c r="Y28" s="3351"/>
      <c r="Z28" s="3447"/>
      <c r="AA28" s="3448">
        <f>SUM(O28:Z28)</f>
        <v>0</v>
      </c>
      <c r="AB28" s="3448"/>
      <c r="AC28" s="3448"/>
      <c r="AD28" s="3448"/>
      <c r="AE28" s="3448"/>
      <c r="AF28" s="3449"/>
      <c r="AG28" s="861"/>
      <c r="AH28" s="861"/>
      <c r="AI28" s="861"/>
      <c r="AJ28" s="434"/>
      <c r="AK28" s="434"/>
      <c r="AL28" s="434"/>
      <c r="AM28" s="434"/>
      <c r="AN28" s="434"/>
      <c r="AO28" s="434"/>
      <c r="AP28" s="434"/>
      <c r="AQ28" s="434"/>
      <c r="AR28" s="434"/>
      <c r="AS28" s="593"/>
      <c r="AT28" s="691"/>
      <c r="AU28" s="434"/>
      <c r="AV28" s="434"/>
      <c r="AW28" s="434"/>
      <c r="AX28" s="434"/>
      <c r="AY28" s="434"/>
      <c r="AZ28" s="434"/>
      <c r="BA28" s="434"/>
      <c r="BB28" s="434"/>
      <c r="BC28" s="434"/>
      <c r="BD28" s="434"/>
      <c r="BE28" s="434"/>
      <c r="BF28" s="434"/>
      <c r="BG28" s="434"/>
      <c r="BH28" s="434"/>
    </row>
    <row r="29" spans="1:66" s="44" customFormat="1" ht="30" customHeight="1" thickBot="1">
      <c r="A29" s="434"/>
      <c r="B29" s="434"/>
      <c r="C29" s="434"/>
      <c r="D29" s="434"/>
      <c r="E29" s="434"/>
      <c r="F29" s="434"/>
      <c r="G29" s="988"/>
      <c r="H29" s="434"/>
      <c r="I29" s="1055"/>
      <c r="J29" s="1161" t="s">
        <v>1165</v>
      </c>
      <c r="K29" s="1056"/>
      <c r="L29" s="1056"/>
      <c r="M29" s="1056"/>
      <c r="N29" s="1057"/>
      <c r="O29" s="3352">
        <v>0</v>
      </c>
      <c r="P29" s="3353"/>
      <c r="Q29" s="3353"/>
      <c r="R29" s="3353"/>
      <c r="S29" s="3353"/>
      <c r="T29" s="3354"/>
      <c r="U29" s="3352">
        <v>0</v>
      </c>
      <c r="V29" s="3353"/>
      <c r="W29" s="3353"/>
      <c r="X29" s="3353"/>
      <c r="Y29" s="3353"/>
      <c r="Z29" s="3444"/>
      <c r="AA29" s="3445">
        <f>SUM(O29:Z29)</f>
        <v>0</v>
      </c>
      <c r="AB29" s="3445"/>
      <c r="AC29" s="3445"/>
      <c r="AD29" s="3445"/>
      <c r="AE29" s="3445"/>
      <c r="AF29" s="3446"/>
      <c r="AG29" s="861"/>
      <c r="AH29" s="861"/>
      <c r="AI29" s="861"/>
      <c r="AJ29" s="434"/>
      <c r="AK29" s="434"/>
      <c r="AL29" s="434"/>
      <c r="AM29" s="434"/>
      <c r="AN29" s="434"/>
      <c r="AO29" s="434"/>
      <c r="AP29" s="434"/>
      <c r="AQ29" s="434"/>
      <c r="AR29" s="434"/>
      <c r="AS29" s="593"/>
      <c r="AT29" s="691"/>
      <c r="AU29" s="434"/>
      <c r="AV29" s="434"/>
      <c r="AW29" s="434"/>
      <c r="AX29" s="434"/>
      <c r="AY29" s="434"/>
      <c r="AZ29" s="434"/>
      <c r="BA29" s="434"/>
      <c r="BB29" s="434"/>
      <c r="BC29" s="434"/>
      <c r="BD29" s="434"/>
      <c r="BE29" s="434"/>
      <c r="BF29" s="434"/>
      <c r="BG29" s="434"/>
      <c r="BH29" s="434"/>
    </row>
    <row r="30" spans="1:66" s="44" customFormat="1" ht="30" customHeight="1" thickTop="1" thickBot="1">
      <c r="A30" s="434"/>
      <c r="B30" s="434"/>
      <c r="C30" s="434"/>
      <c r="D30" s="434"/>
      <c r="E30" s="434"/>
      <c r="F30" s="434"/>
      <c r="G30" s="988"/>
      <c r="H30" s="434"/>
      <c r="I30" s="3413" t="s">
        <v>42</v>
      </c>
      <c r="J30" s="3414"/>
      <c r="K30" s="3414"/>
      <c r="L30" s="3414"/>
      <c r="M30" s="3414"/>
      <c r="N30" s="3415"/>
      <c r="O30" s="3281">
        <f>SUM(O28:T29)</f>
        <v>0</v>
      </c>
      <c r="P30" s="3273"/>
      <c r="Q30" s="3273"/>
      <c r="R30" s="3273"/>
      <c r="S30" s="3273"/>
      <c r="T30" s="3277"/>
      <c r="U30" s="3281">
        <f>SUM(U28:Z29)</f>
        <v>0</v>
      </c>
      <c r="V30" s="3273"/>
      <c r="W30" s="3273"/>
      <c r="X30" s="3273"/>
      <c r="Y30" s="3273"/>
      <c r="Z30" s="3442"/>
      <c r="AA30" s="3273">
        <f>SUM(AA28:AF29)</f>
        <v>0</v>
      </c>
      <c r="AB30" s="3273"/>
      <c r="AC30" s="3273"/>
      <c r="AD30" s="3273"/>
      <c r="AE30" s="3273"/>
      <c r="AF30" s="3277"/>
      <c r="AG30" s="861"/>
      <c r="AH30" s="861"/>
      <c r="AI30" s="861"/>
      <c r="AJ30" s="434"/>
      <c r="AK30" s="434"/>
      <c r="AL30" s="434"/>
      <c r="AM30" s="434"/>
      <c r="AN30" s="434"/>
      <c r="AO30" s="434"/>
      <c r="AP30" s="434"/>
      <c r="AQ30" s="434"/>
      <c r="AR30" s="434"/>
      <c r="AS30" s="593"/>
      <c r="AT30" s="691"/>
      <c r="AU30" s="434"/>
      <c r="AV30" s="434"/>
      <c r="AW30" s="434"/>
      <c r="AX30" s="434"/>
      <c r="AY30" s="434"/>
      <c r="AZ30" s="434"/>
      <c r="BA30" s="434"/>
      <c r="BB30" s="434"/>
      <c r="BC30" s="434"/>
      <c r="BD30" s="434"/>
      <c r="BE30" s="434"/>
      <c r="BF30" s="434"/>
      <c r="BG30" s="434"/>
      <c r="BH30" s="434"/>
    </row>
    <row r="31" spans="1:66" s="44" customFormat="1" ht="11.25" customHeight="1" thickBot="1">
      <c r="A31" s="434"/>
      <c r="B31" s="434"/>
      <c r="C31" s="434"/>
      <c r="D31" s="434"/>
      <c r="E31" s="434"/>
      <c r="F31" s="434"/>
      <c r="G31" s="646"/>
      <c r="H31" s="659"/>
      <c r="I31" s="642"/>
      <c r="J31" s="642"/>
      <c r="K31" s="1000"/>
      <c r="L31" s="596"/>
      <c r="M31" s="596"/>
      <c r="N31" s="596"/>
      <c r="O31" s="596"/>
      <c r="P31" s="596"/>
      <c r="Q31" s="596"/>
      <c r="R31" s="596"/>
      <c r="S31" s="596"/>
      <c r="T31" s="596"/>
      <c r="U31" s="866"/>
      <c r="V31" s="866"/>
      <c r="W31" s="866"/>
      <c r="X31" s="866"/>
      <c r="Y31" s="866"/>
      <c r="Z31" s="596"/>
      <c r="AA31" s="866"/>
      <c r="AB31" s="866"/>
      <c r="AC31" s="866"/>
      <c r="AD31" s="866"/>
      <c r="AE31" s="866"/>
      <c r="AF31" s="866"/>
      <c r="AG31" s="596"/>
      <c r="AH31" s="596"/>
      <c r="AI31" s="596"/>
      <c r="AJ31" s="596"/>
      <c r="AK31" s="596"/>
      <c r="AL31" s="596"/>
      <c r="AM31" s="596"/>
      <c r="AN31" s="596"/>
      <c r="AO31" s="596"/>
      <c r="AP31" s="596"/>
      <c r="AQ31" s="659"/>
      <c r="AR31" s="659"/>
      <c r="AS31" s="659"/>
      <c r="AT31" s="660"/>
      <c r="AU31" s="434"/>
      <c r="AV31" s="434"/>
      <c r="AW31" s="434"/>
      <c r="AX31" s="434"/>
      <c r="AY31" s="434"/>
      <c r="AZ31" s="434"/>
      <c r="BA31" s="434"/>
      <c r="BB31" s="434"/>
      <c r="BC31" s="434"/>
      <c r="BD31" s="434"/>
      <c r="BE31" s="434"/>
      <c r="BF31" s="434"/>
      <c r="BG31" s="434"/>
      <c r="BH31" s="434"/>
    </row>
    <row r="32" spans="1:66" s="44" customFormat="1" ht="6" customHeight="1">
      <c r="A32" s="434"/>
      <c r="B32" s="434"/>
      <c r="C32" s="434"/>
      <c r="D32" s="434"/>
      <c r="E32" s="434"/>
      <c r="F32" s="434"/>
      <c r="G32" s="434"/>
      <c r="H32" s="434"/>
      <c r="I32" s="434"/>
      <c r="J32" s="1049"/>
      <c r="K32" s="612"/>
      <c r="L32" s="612"/>
      <c r="M32" s="612"/>
      <c r="N32" s="612"/>
      <c r="O32" s="612"/>
      <c r="P32" s="612"/>
      <c r="Q32" s="612"/>
      <c r="R32" s="612"/>
      <c r="S32" s="612"/>
      <c r="T32" s="861"/>
      <c r="U32" s="434"/>
      <c r="V32" s="861"/>
      <c r="W32" s="960"/>
      <c r="X32" s="593"/>
      <c r="Y32" s="434"/>
      <c r="Z32" s="434"/>
      <c r="AA32" s="861"/>
      <c r="AB32" s="960"/>
      <c r="AC32" s="593"/>
      <c r="AD32" s="593"/>
      <c r="AE32" s="593"/>
      <c r="AF32" s="593"/>
      <c r="AG32" s="593"/>
      <c r="AH32" s="434"/>
      <c r="AI32" s="861"/>
      <c r="AJ32" s="861"/>
      <c r="AK32" s="861"/>
      <c r="AL32" s="861"/>
      <c r="AM32" s="861"/>
      <c r="AN32" s="861"/>
      <c r="AO32" s="861"/>
      <c r="AP32" s="861"/>
      <c r="AQ32" s="861"/>
      <c r="AR32" s="861"/>
      <c r="AS32" s="861"/>
      <c r="AT32" s="861"/>
      <c r="AU32" s="861"/>
      <c r="AV32" s="861"/>
      <c r="AW32" s="861"/>
      <c r="AX32" s="861"/>
      <c r="AY32" s="861"/>
      <c r="AZ32" s="861"/>
      <c r="BA32" s="861"/>
      <c r="BB32" s="434"/>
      <c r="BC32" s="434"/>
      <c r="BD32" s="434"/>
      <c r="BE32" s="434"/>
      <c r="BF32" s="434"/>
      <c r="BG32" s="434"/>
      <c r="BH32" s="434"/>
      <c r="BK32" s="41"/>
      <c r="BL32" s="41"/>
      <c r="BM32" s="41"/>
      <c r="BN32" s="41"/>
    </row>
    <row r="33" spans="1:60" s="44" customFormat="1" ht="15.95" customHeight="1">
      <c r="A33" s="434"/>
      <c r="B33" s="434"/>
      <c r="C33" s="434"/>
      <c r="D33" s="434"/>
      <c r="E33" s="434"/>
      <c r="F33" s="434"/>
      <c r="G33" s="1162" t="s">
        <v>47</v>
      </c>
      <c r="H33" s="3443" t="s">
        <v>1160</v>
      </c>
      <c r="I33" s="3443"/>
      <c r="J33" s="3443"/>
      <c r="K33" s="3443"/>
      <c r="L33" s="3443"/>
      <c r="M33" s="3443"/>
      <c r="N33" s="3443"/>
      <c r="O33" s="3443"/>
      <c r="P33" s="3443"/>
      <c r="Q33" s="3443"/>
      <c r="R33" s="3443"/>
      <c r="S33" s="3443"/>
      <c r="T33" s="3443"/>
      <c r="U33" s="3443"/>
      <c r="V33" s="3443"/>
      <c r="W33" s="3443"/>
      <c r="X33" s="3443"/>
      <c r="Y33" s="3443"/>
      <c r="Z33" s="3443"/>
      <c r="AA33" s="3443"/>
      <c r="AB33" s="3443"/>
      <c r="AC33" s="3443"/>
      <c r="AD33" s="3443"/>
      <c r="AE33" s="3443"/>
      <c r="AF33" s="3443"/>
      <c r="AG33" s="3443"/>
      <c r="AH33" s="3443"/>
      <c r="AI33" s="3443"/>
      <c r="AJ33" s="3443"/>
      <c r="AK33" s="3443"/>
      <c r="AL33" s="3443"/>
      <c r="AM33" s="3443"/>
      <c r="AN33" s="3443"/>
      <c r="AO33" s="3443"/>
      <c r="AP33" s="3443"/>
      <c r="AQ33" s="3443"/>
      <c r="AR33" s="3443"/>
      <c r="AS33" s="3443"/>
      <c r="AT33" s="3443"/>
      <c r="AU33" s="1081"/>
      <c r="AV33" s="1081"/>
      <c r="AW33" s="1081"/>
      <c r="AX33" s="1081"/>
      <c r="AY33" s="434"/>
      <c r="AZ33" s="434"/>
      <c r="BA33" s="434"/>
      <c r="BB33" s="434"/>
      <c r="BC33" s="434"/>
      <c r="BD33" s="434"/>
      <c r="BE33" s="434"/>
      <c r="BF33" s="434"/>
      <c r="BG33" s="434"/>
      <c r="BH33" s="434"/>
    </row>
    <row r="34" spans="1:60" s="44" customFormat="1" ht="15.75" customHeight="1">
      <c r="A34" s="434"/>
      <c r="B34" s="434"/>
      <c r="C34" s="434"/>
      <c r="D34" s="434"/>
      <c r="E34" s="434"/>
      <c r="F34" s="434"/>
      <c r="G34" s="1162" t="s">
        <v>48</v>
      </c>
      <c r="H34" s="1163" t="s">
        <v>1161</v>
      </c>
      <c r="I34" s="434"/>
      <c r="J34" s="434"/>
      <c r="K34" s="1081"/>
      <c r="L34" s="1081"/>
      <c r="M34" s="1081"/>
      <c r="N34" s="1081"/>
      <c r="O34" s="1081"/>
      <c r="P34" s="1081"/>
      <c r="Q34" s="1081"/>
      <c r="R34" s="1081"/>
      <c r="S34" s="1081"/>
      <c r="T34" s="1081"/>
      <c r="U34" s="1081"/>
      <c r="V34" s="1081"/>
      <c r="W34" s="1081"/>
      <c r="X34" s="1081"/>
      <c r="Y34" s="1081"/>
      <c r="Z34" s="1081"/>
      <c r="AA34" s="1081"/>
      <c r="AB34" s="1081"/>
      <c r="AC34" s="1081"/>
      <c r="AD34" s="1081"/>
      <c r="AE34" s="1081"/>
      <c r="AF34" s="1081"/>
      <c r="AG34" s="1081"/>
      <c r="AH34" s="1081"/>
      <c r="AI34" s="1081"/>
      <c r="AJ34" s="1081"/>
      <c r="AK34" s="1081"/>
      <c r="AL34" s="1081"/>
      <c r="AM34" s="1081"/>
      <c r="AN34" s="1081"/>
      <c r="AO34" s="1081"/>
      <c r="AP34" s="1081"/>
      <c r="AQ34" s="1081"/>
      <c r="AR34" s="1081"/>
      <c r="AS34" s="1081"/>
      <c r="AT34" s="1081"/>
      <c r="AU34" s="1081"/>
      <c r="AV34" s="1081"/>
      <c r="AW34" s="1081"/>
      <c r="AX34" s="1081"/>
      <c r="AY34" s="434"/>
      <c r="AZ34" s="434"/>
      <c r="BA34" s="434"/>
      <c r="BB34" s="434"/>
      <c r="BC34" s="434"/>
      <c r="BD34" s="434"/>
      <c r="BE34" s="434"/>
      <c r="BF34" s="434"/>
      <c r="BG34" s="434"/>
      <c r="BH34" s="434"/>
    </row>
    <row r="35" spans="1:60" s="44" customFormat="1" ht="15.75" customHeight="1">
      <c r="A35" s="434"/>
      <c r="B35" s="434"/>
      <c r="C35" s="434"/>
      <c r="D35" s="434"/>
      <c r="E35" s="434"/>
      <c r="F35" s="434"/>
      <c r="G35" s="1162" t="s">
        <v>49</v>
      </c>
      <c r="H35" s="1163" t="s">
        <v>1162</v>
      </c>
      <c r="I35" s="434"/>
      <c r="J35" s="434"/>
      <c r="K35" s="1081"/>
      <c r="L35" s="1081"/>
      <c r="M35" s="1081"/>
      <c r="N35" s="1081"/>
      <c r="O35" s="1081"/>
      <c r="P35" s="1081"/>
      <c r="Q35" s="1081"/>
      <c r="R35" s="1081"/>
      <c r="S35" s="1081"/>
      <c r="T35" s="1081"/>
      <c r="U35" s="1081"/>
      <c r="V35" s="1081"/>
      <c r="W35" s="1081"/>
      <c r="X35" s="1081"/>
      <c r="Y35" s="1081"/>
      <c r="Z35" s="1081"/>
      <c r="AA35" s="1081"/>
      <c r="AB35" s="1081"/>
      <c r="AC35" s="1081"/>
      <c r="AD35" s="1081"/>
      <c r="AE35" s="1081"/>
      <c r="AF35" s="1081"/>
      <c r="AG35" s="1081"/>
      <c r="AH35" s="1081"/>
      <c r="AI35" s="1081"/>
      <c r="AJ35" s="1081"/>
      <c r="AK35" s="1081"/>
      <c r="AL35" s="1081"/>
      <c r="AM35" s="1081"/>
      <c r="AN35" s="1081"/>
      <c r="AO35" s="1081"/>
      <c r="AP35" s="1081"/>
      <c r="AQ35" s="1081"/>
      <c r="AR35" s="1081"/>
      <c r="AS35" s="1081"/>
      <c r="AT35" s="1081"/>
      <c r="AU35" s="1081"/>
      <c r="AV35" s="1081"/>
      <c r="AW35" s="1081"/>
      <c r="AX35" s="1081"/>
      <c r="AY35" s="434"/>
      <c r="AZ35" s="434"/>
      <c r="BA35" s="434"/>
      <c r="BB35" s="434"/>
      <c r="BC35" s="434"/>
      <c r="BD35" s="434"/>
      <c r="BE35" s="434"/>
      <c r="BF35" s="434"/>
      <c r="BG35" s="434"/>
      <c r="BH35" s="434"/>
    </row>
    <row r="36" spans="1:60" s="44" customFormat="1" ht="15.75" customHeight="1">
      <c r="A36" s="434"/>
      <c r="B36" s="434"/>
      <c r="C36" s="434"/>
      <c r="D36" s="434"/>
      <c r="E36" s="434"/>
      <c r="F36" s="434"/>
      <c r="G36" s="1162" t="s">
        <v>50</v>
      </c>
      <c r="H36" s="1163" t="s">
        <v>1163</v>
      </c>
      <c r="I36" s="434"/>
      <c r="J36" s="434"/>
      <c r="K36" s="1081"/>
      <c r="L36" s="1081"/>
      <c r="M36" s="1081"/>
      <c r="N36" s="1081"/>
      <c r="O36" s="1081"/>
      <c r="P36" s="1081"/>
      <c r="Q36" s="1081"/>
      <c r="R36" s="1081"/>
      <c r="S36" s="1081"/>
      <c r="T36" s="1081"/>
      <c r="U36" s="1081"/>
      <c r="V36" s="1081"/>
      <c r="W36" s="1081"/>
      <c r="X36" s="1081"/>
      <c r="Y36" s="1081"/>
      <c r="Z36" s="1081"/>
      <c r="AA36" s="1081"/>
      <c r="AB36" s="1081"/>
      <c r="AC36" s="1081"/>
      <c r="AD36" s="1081"/>
      <c r="AE36" s="1081"/>
      <c r="AF36" s="1081"/>
      <c r="AG36" s="1081"/>
      <c r="AH36" s="1081"/>
      <c r="AI36" s="1081"/>
      <c r="AJ36" s="1081"/>
      <c r="AK36" s="1081"/>
      <c r="AL36" s="1081"/>
      <c r="AM36" s="1081"/>
      <c r="AN36" s="1081"/>
      <c r="AO36" s="1081"/>
      <c r="AP36" s="1081"/>
      <c r="AQ36" s="1081"/>
      <c r="AR36" s="1081"/>
      <c r="AS36" s="1081"/>
      <c r="AT36" s="1081"/>
      <c r="AU36" s="1081"/>
      <c r="AV36" s="1081"/>
      <c r="AW36" s="1081"/>
      <c r="AX36" s="1081"/>
      <c r="AY36" s="434"/>
      <c r="AZ36" s="434"/>
      <c r="BA36" s="434"/>
      <c r="BB36" s="434"/>
      <c r="BC36" s="434"/>
      <c r="BD36" s="434"/>
      <c r="BE36" s="434"/>
      <c r="BF36" s="434"/>
      <c r="BG36" s="434"/>
      <c r="BH36" s="434"/>
    </row>
    <row r="37" spans="1:60" s="43" customFormat="1" ht="30.75" customHeight="1">
      <c r="A37" s="960"/>
      <c r="B37" s="227"/>
      <c r="C37" s="982"/>
      <c r="D37" s="982"/>
      <c r="E37" s="982"/>
      <c r="F37" s="982"/>
      <c r="G37" s="982"/>
      <c r="H37" s="983"/>
      <c r="I37" s="983"/>
      <c r="J37" s="983"/>
      <c r="K37" s="983"/>
      <c r="L37" s="983"/>
      <c r="M37" s="983"/>
      <c r="N37" s="983"/>
      <c r="O37" s="983"/>
      <c r="P37" s="983"/>
      <c r="Q37" s="983"/>
      <c r="R37" s="983"/>
      <c r="S37" s="983"/>
      <c r="T37" s="983"/>
      <c r="U37" s="983"/>
      <c r="V37" s="983"/>
      <c r="W37" s="983"/>
      <c r="X37" s="983"/>
      <c r="Y37" s="983"/>
      <c r="Z37" s="983"/>
      <c r="AA37" s="983"/>
      <c r="AB37" s="983"/>
      <c r="AC37" s="983"/>
      <c r="AD37" s="983"/>
      <c r="AE37" s="983"/>
      <c r="AF37" s="983"/>
      <c r="AG37" s="983"/>
      <c r="AH37" s="983"/>
      <c r="AI37" s="983"/>
      <c r="AJ37" s="983"/>
      <c r="AK37" s="983"/>
      <c r="AL37" s="983"/>
      <c r="AM37" s="983"/>
      <c r="AN37" s="983"/>
      <c r="AO37" s="983"/>
      <c r="AP37" s="960"/>
      <c r="AQ37" s="960"/>
      <c r="AR37" s="960"/>
      <c r="AS37" s="960"/>
      <c r="AT37" s="960"/>
      <c r="AU37" s="960"/>
      <c r="AV37" s="960"/>
      <c r="AW37" s="960"/>
      <c r="AX37" s="960"/>
      <c r="AY37" s="960"/>
      <c r="AZ37" s="960"/>
      <c r="BA37" s="960"/>
      <c r="BB37" s="960"/>
      <c r="BC37" s="960"/>
      <c r="BD37" s="960"/>
      <c r="BE37" s="960"/>
      <c r="BF37" s="960"/>
      <c r="BG37" s="960"/>
      <c r="BH37" s="960"/>
    </row>
    <row r="38" spans="1:60" s="1" customFormat="1" ht="15">
      <c r="A38" s="331"/>
      <c r="B38" s="332" t="s">
        <v>74</v>
      </c>
      <c r="C38" s="331"/>
      <c r="D38" s="331"/>
      <c r="E38" s="331"/>
      <c r="F38" s="331"/>
      <c r="G38" s="331"/>
      <c r="H38" s="331"/>
      <c r="I38" s="331"/>
      <c r="J38" s="331"/>
      <c r="K38" s="331"/>
      <c r="L38" s="331"/>
      <c r="M38" s="331"/>
      <c r="N38" s="331"/>
      <c r="O38" s="331"/>
      <c r="P38" s="331"/>
      <c r="Q38" s="331"/>
      <c r="R38" s="331"/>
      <c r="S38" s="331"/>
      <c r="T38" s="332" t="s">
        <v>984</v>
      </c>
      <c r="U38" s="331"/>
      <c r="V38" s="331"/>
      <c r="W38" s="331"/>
      <c r="X38" s="331"/>
      <c r="Y38" s="331"/>
      <c r="Z38" s="331"/>
      <c r="AA38" s="331"/>
      <c r="AB38" s="331"/>
      <c r="AC38" s="331"/>
      <c r="AD38" s="331"/>
      <c r="AE38" s="331"/>
      <c r="AF38" s="331"/>
      <c r="AG38" s="331"/>
      <c r="AH38" s="331"/>
      <c r="AI38" s="331"/>
      <c r="AJ38" s="331"/>
      <c r="AK38" s="331"/>
      <c r="AL38" s="332" t="s">
        <v>33</v>
      </c>
      <c r="AM38" s="331"/>
      <c r="AN38" s="331"/>
      <c r="AO38" s="331"/>
      <c r="AP38" s="331"/>
      <c r="AQ38" s="331"/>
      <c r="AR38" s="331"/>
      <c r="AS38" s="331"/>
      <c r="AT38" s="331"/>
      <c r="AU38" s="331"/>
      <c r="AV38" s="331"/>
      <c r="AW38" s="331"/>
      <c r="AX38" s="331"/>
      <c r="AY38" s="331"/>
      <c r="AZ38" s="331"/>
      <c r="BA38" s="331"/>
      <c r="BB38" s="331"/>
      <c r="BC38" s="331"/>
      <c r="BD38" s="331"/>
      <c r="BE38" s="331"/>
      <c r="BF38" s="331"/>
      <c r="BG38" s="331"/>
      <c r="BH38" s="331"/>
    </row>
    <row r="39" spans="1:60" s="1" customFormat="1" ht="21.75" customHeight="1">
      <c r="A39" s="331"/>
      <c r="B39" s="332" t="s">
        <v>75</v>
      </c>
      <c r="C39" s="331"/>
      <c r="D39" s="331"/>
      <c r="E39" s="331"/>
      <c r="F39" s="1891" t="str">
        <f>activesheet!E21</f>
        <v>MELCHESIEDICK Q. BOLANIO / March 17, 2023</v>
      </c>
      <c r="G39" s="1891"/>
      <c r="H39" s="1891"/>
      <c r="I39" s="1891"/>
      <c r="J39" s="1891"/>
      <c r="K39" s="1891"/>
      <c r="L39" s="1891"/>
      <c r="M39" s="1891"/>
      <c r="N39" s="1891"/>
      <c r="O39" s="1891"/>
      <c r="P39" s="1891"/>
      <c r="Q39" s="331"/>
      <c r="R39" s="360"/>
      <c r="S39" s="360"/>
      <c r="T39" s="1810" t="s">
        <v>11911</v>
      </c>
      <c r="U39" s="1810"/>
      <c r="V39" s="1810"/>
      <c r="W39" s="1810"/>
      <c r="X39" s="1810"/>
      <c r="Y39" s="1810"/>
      <c r="Z39" s="1810"/>
      <c r="AA39" s="1810"/>
      <c r="AB39" s="1810"/>
      <c r="AC39" s="1810"/>
      <c r="AD39" s="1810"/>
      <c r="AE39" s="1810"/>
      <c r="AF39" s="1810"/>
      <c r="AG39" s="1810"/>
      <c r="AH39" s="1810"/>
      <c r="AI39" s="331"/>
      <c r="AJ39" s="331"/>
      <c r="AK39" s="331"/>
      <c r="AL39" s="3440" t="str">
        <f>activesheet!E25</f>
        <v>MICHAEL T. JAMIS / March 17, 2023</v>
      </c>
      <c r="AM39" s="3440"/>
      <c r="AN39" s="3440"/>
      <c r="AO39" s="3440"/>
      <c r="AP39" s="3440"/>
      <c r="AQ39" s="3440"/>
      <c r="AR39" s="3440"/>
      <c r="AS39" s="3440"/>
      <c r="AT39" s="3440"/>
      <c r="AU39" s="3440"/>
      <c r="AV39" s="3440"/>
      <c r="AW39" s="3440"/>
      <c r="AX39" s="3440"/>
      <c r="AY39" s="3440"/>
      <c r="AZ39" s="3440"/>
      <c r="BA39" s="331"/>
      <c r="BB39" s="331"/>
      <c r="BC39" s="331"/>
      <c r="BD39" s="331"/>
      <c r="BE39" s="331"/>
      <c r="BF39" s="331"/>
      <c r="BG39" s="331"/>
      <c r="BH39" s="331"/>
    </row>
    <row r="40" spans="1:60" s="2" customFormat="1" ht="13.5" customHeight="1">
      <c r="A40" s="325"/>
      <c r="B40" s="228"/>
      <c r="C40" s="325"/>
      <c r="D40" s="325"/>
      <c r="E40" s="325"/>
      <c r="F40" s="1811" t="s">
        <v>37</v>
      </c>
      <c r="G40" s="1811"/>
      <c r="H40" s="1811"/>
      <c r="I40" s="1811"/>
      <c r="J40" s="1811"/>
      <c r="K40" s="1811"/>
      <c r="L40" s="1811"/>
      <c r="M40" s="1811"/>
      <c r="N40" s="1811"/>
      <c r="O40" s="1811"/>
      <c r="P40" s="1811"/>
      <c r="Q40" s="358"/>
      <c r="R40" s="247"/>
      <c r="S40" s="247"/>
      <c r="T40" s="1811" t="s">
        <v>37</v>
      </c>
      <c r="U40" s="1811"/>
      <c r="V40" s="1811"/>
      <c r="W40" s="1811"/>
      <c r="X40" s="1811"/>
      <c r="Y40" s="1811"/>
      <c r="Z40" s="1811"/>
      <c r="AA40" s="1811"/>
      <c r="AB40" s="1811"/>
      <c r="AC40" s="1811"/>
      <c r="AD40" s="1811"/>
      <c r="AE40" s="1811"/>
      <c r="AF40" s="1811"/>
      <c r="AG40" s="1811"/>
      <c r="AH40" s="1811"/>
      <c r="AI40" s="358"/>
      <c r="AJ40" s="325"/>
      <c r="AK40" s="325"/>
      <c r="AL40" s="3441"/>
      <c r="AM40" s="3441"/>
      <c r="AN40" s="3441"/>
      <c r="AO40" s="3441"/>
      <c r="AP40" s="3441"/>
      <c r="AQ40" s="3441"/>
      <c r="AR40" s="3441"/>
      <c r="AS40" s="3441"/>
      <c r="AT40" s="3441"/>
      <c r="AU40" s="3441"/>
      <c r="AV40" s="3441"/>
      <c r="AW40" s="3441"/>
      <c r="AX40" s="3441"/>
      <c r="AY40" s="3441"/>
      <c r="AZ40" s="3441"/>
      <c r="BA40" s="325"/>
      <c r="BB40" s="325"/>
      <c r="BC40" s="325"/>
      <c r="BD40" s="325"/>
      <c r="BE40" s="325"/>
      <c r="BF40" s="325"/>
      <c r="BG40" s="325"/>
      <c r="BH40" s="325"/>
    </row>
    <row r="41" spans="1:60" s="1" customFormat="1" ht="21.75" customHeight="1">
      <c r="A41" s="331"/>
      <c r="B41" s="332" t="s">
        <v>58</v>
      </c>
      <c r="C41" s="331"/>
      <c r="D41" s="331"/>
      <c r="E41" s="331"/>
      <c r="F41" s="1891" t="str">
        <f>activesheet!E22</f>
        <v>SECONDARY SCHOOL PRINCIPAL IV</v>
      </c>
      <c r="G41" s="1891"/>
      <c r="H41" s="1891"/>
      <c r="I41" s="1891"/>
      <c r="J41" s="1891"/>
      <c r="K41" s="1891"/>
      <c r="L41" s="1891"/>
      <c r="M41" s="1891"/>
      <c r="N41" s="1891"/>
      <c r="O41" s="1891"/>
      <c r="P41" s="1891"/>
      <c r="Q41" s="331"/>
      <c r="R41" s="360"/>
      <c r="S41" s="360"/>
      <c r="T41" s="332" t="s">
        <v>58</v>
      </c>
      <c r="U41" s="331"/>
      <c r="V41" s="331"/>
      <c r="W41" s="331"/>
      <c r="X41" s="1810" t="s">
        <v>11897</v>
      </c>
      <c r="Y41" s="1810"/>
      <c r="Z41" s="1810"/>
      <c r="AA41" s="1810"/>
      <c r="AB41" s="1810"/>
      <c r="AC41" s="1810"/>
      <c r="AD41" s="1810"/>
      <c r="AE41" s="1810"/>
      <c r="AF41" s="1810"/>
      <c r="AG41" s="1810"/>
      <c r="AH41" s="1810"/>
      <c r="AI41" s="331"/>
      <c r="AJ41" s="331"/>
      <c r="AK41" s="331"/>
      <c r="AL41" s="1811" t="s">
        <v>37</v>
      </c>
      <c r="AM41" s="1811"/>
      <c r="AN41" s="1811"/>
      <c r="AO41" s="1811"/>
      <c r="AP41" s="1811"/>
      <c r="AQ41" s="1811"/>
      <c r="AR41" s="1811"/>
      <c r="AS41" s="1811"/>
      <c r="AT41" s="1811"/>
      <c r="AU41" s="1811"/>
      <c r="AV41" s="1811"/>
      <c r="AW41" s="1811"/>
      <c r="AX41" s="1811"/>
      <c r="AY41" s="1811"/>
      <c r="AZ41" s="1811"/>
      <c r="BA41" s="331"/>
      <c r="BB41" s="331"/>
      <c r="BC41" s="331"/>
      <c r="BD41" s="331"/>
      <c r="BE41" s="331"/>
      <c r="BF41" s="331"/>
      <c r="BG41" s="331"/>
      <c r="BH41" s="331"/>
    </row>
    <row r="42" spans="1:60">
      <c r="A42" s="222"/>
      <c r="B42" s="551"/>
      <c r="C42" s="222"/>
      <c r="D42" s="551"/>
      <c r="E42" s="222"/>
      <c r="F42" s="551"/>
      <c r="G42" s="222"/>
      <c r="H42" s="551"/>
      <c r="I42" s="222"/>
      <c r="J42" s="551"/>
      <c r="K42" s="222"/>
      <c r="L42" s="222"/>
      <c r="M42" s="551"/>
      <c r="N42" s="222"/>
      <c r="O42" s="551"/>
      <c r="P42" s="222"/>
      <c r="Q42" s="551"/>
      <c r="R42" s="551"/>
      <c r="S42" s="551"/>
      <c r="T42" s="551"/>
      <c r="U42" s="551"/>
      <c r="V42" s="222"/>
      <c r="W42" s="551"/>
      <c r="X42" s="222"/>
      <c r="Y42" s="551"/>
      <c r="Z42" s="222"/>
      <c r="AA42" s="551"/>
      <c r="AB42" s="222"/>
      <c r="AC42" s="551"/>
      <c r="AD42" s="222"/>
      <c r="AE42" s="551"/>
      <c r="AF42" s="551"/>
      <c r="AG42" s="222"/>
      <c r="AH42" s="551"/>
      <c r="AI42" s="222"/>
      <c r="AJ42" s="551"/>
      <c r="AK42" s="222"/>
      <c r="AL42" s="551"/>
      <c r="AM42" s="222"/>
      <c r="AN42" s="551"/>
      <c r="AO42" s="361"/>
      <c r="AP42" s="222"/>
      <c r="AQ42" s="222"/>
      <c r="AR42" s="222"/>
      <c r="AS42" s="222"/>
      <c r="AT42" s="222"/>
      <c r="AU42" s="551"/>
      <c r="AV42" s="222"/>
      <c r="AW42" s="222"/>
      <c r="AX42" s="222"/>
      <c r="AY42" s="222"/>
      <c r="AZ42" s="222"/>
      <c r="BA42" s="222"/>
      <c r="BB42" s="222"/>
      <c r="BC42" s="222"/>
      <c r="BD42" s="222"/>
      <c r="BE42" s="222"/>
      <c r="BF42" s="222"/>
      <c r="BG42" s="222"/>
      <c r="BH42" s="222"/>
    </row>
    <row r="43" spans="1:60">
      <c r="A43" s="222"/>
      <c r="B43" s="222"/>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c r="AF43" s="222"/>
      <c r="AG43" s="222"/>
      <c r="AH43" s="222"/>
      <c r="AI43" s="222"/>
      <c r="AJ43" s="222"/>
      <c r="AK43" s="222"/>
      <c r="AL43" s="222"/>
      <c r="AM43" s="331"/>
      <c r="AN43" s="222"/>
      <c r="AO43" s="222"/>
      <c r="AP43" s="222"/>
      <c r="AQ43" s="222"/>
      <c r="AR43" s="222"/>
      <c r="AS43" s="222"/>
      <c r="AT43" s="222"/>
      <c r="AU43" s="222"/>
      <c r="AV43" s="222"/>
      <c r="AW43" s="222"/>
      <c r="AX43" s="222"/>
      <c r="AY43" s="222"/>
      <c r="AZ43" s="222"/>
      <c r="BA43" s="222"/>
      <c r="BB43" s="222"/>
      <c r="BC43" s="222"/>
      <c r="BD43" s="222"/>
      <c r="BE43" s="222"/>
      <c r="BF43" s="222"/>
      <c r="BG43" s="222"/>
      <c r="BH43" s="222"/>
    </row>
    <row r="44" spans="1:60">
      <c r="A44" s="222"/>
      <c r="B44" s="222"/>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c r="AK44" s="222"/>
      <c r="AL44" s="222"/>
      <c r="AM44" s="331"/>
      <c r="AN44" s="222"/>
      <c r="AO44" s="222"/>
      <c r="AP44" s="222"/>
      <c r="AQ44" s="222"/>
      <c r="AR44" s="222"/>
      <c r="AS44" s="222"/>
      <c r="AT44" s="222"/>
      <c r="AU44" s="222"/>
      <c r="AV44" s="222"/>
      <c r="AW44" s="222"/>
      <c r="AX44" s="222"/>
      <c r="AY44" s="222"/>
      <c r="AZ44" s="222"/>
      <c r="BA44" s="222"/>
      <c r="BB44" s="222"/>
      <c r="BC44" s="222"/>
      <c r="BD44" s="222"/>
      <c r="BE44" s="222"/>
      <c r="BF44" s="222"/>
      <c r="BG44" s="222"/>
      <c r="BH44" s="222"/>
    </row>
    <row r="45" spans="1:60">
      <c r="A45" s="222"/>
      <c r="B45" s="222"/>
      <c r="C45" s="222"/>
      <c r="D45" s="222"/>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c r="AE45" s="222"/>
      <c r="AF45" s="222"/>
      <c r="AG45" s="222"/>
      <c r="AH45" s="222"/>
      <c r="AI45" s="222"/>
      <c r="AJ45" s="222"/>
      <c r="AK45" s="222"/>
      <c r="AL45" s="222"/>
      <c r="AM45" s="325"/>
      <c r="AN45" s="222"/>
      <c r="AO45" s="222"/>
      <c r="AP45" s="222"/>
      <c r="AQ45" s="222"/>
      <c r="AR45" s="222"/>
      <c r="AS45" s="222"/>
      <c r="AT45" s="222"/>
      <c r="AU45" s="222"/>
      <c r="AV45" s="222"/>
      <c r="AW45" s="222"/>
      <c r="AX45" s="222"/>
      <c r="AY45" s="222"/>
      <c r="AZ45" s="222"/>
      <c r="BA45" s="222"/>
      <c r="BB45" s="222"/>
      <c r="BC45" s="222"/>
      <c r="BD45" s="222"/>
      <c r="BE45" s="222"/>
      <c r="BF45" s="222"/>
      <c r="BG45" s="222"/>
      <c r="BH45" s="222"/>
    </row>
    <row r="46" spans="1:60">
      <c r="A46" s="222"/>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c r="AK46" s="222"/>
      <c r="AL46" s="222"/>
      <c r="AM46" s="222"/>
      <c r="AN46" s="222"/>
      <c r="AO46" s="222"/>
      <c r="AP46" s="222"/>
      <c r="AQ46" s="222"/>
      <c r="AR46" s="222"/>
      <c r="AS46" s="222"/>
      <c r="AT46" s="222"/>
      <c r="AU46" s="222"/>
      <c r="AV46" s="222"/>
      <c r="AW46" s="222"/>
      <c r="AX46" s="222"/>
      <c r="AY46" s="222"/>
      <c r="AZ46" s="222"/>
      <c r="BA46" s="222"/>
      <c r="BB46" s="222"/>
      <c r="BC46" s="222"/>
      <c r="BD46" s="222"/>
      <c r="BE46" s="222"/>
      <c r="BF46" s="222"/>
      <c r="BG46" s="222"/>
      <c r="BH46" s="222"/>
    </row>
    <row r="47" spans="1:60">
      <c r="A47" s="222"/>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c r="AF47" s="222"/>
      <c r="AG47" s="222"/>
      <c r="AH47" s="222"/>
      <c r="AI47" s="222"/>
      <c r="AJ47" s="222"/>
      <c r="AK47" s="222"/>
      <c r="AL47" s="222"/>
      <c r="AM47" s="222"/>
      <c r="AN47" s="222"/>
      <c r="AO47" s="222"/>
      <c r="AP47" s="222"/>
      <c r="AQ47" s="222"/>
      <c r="AR47" s="222"/>
      <c r="AS47" s="222"/>
      <c r="AT47" s="222"/>
      <c r="AU47" s="222"/>
      <c r="AV47" s="222"/>
      <c r="AW47" s="222"/>
      <c r="AX47" s="222"/>
      <c r="AY47" s="222"/>
      <c r="AZ47" s="222"/>
      <c r="BA47" s="222"/>
      <c r="BB47" s="222"/>
      <c r="BC47" s="222"/>
      <c r="BD47" s="222"/>
      <c r="BE47" s="222"/>
      <c r="BF47" s="222"/>
      <c r="BG47" s="222"/>
      <c r="BH47" s="222"/>
    </row>
    <row r="48" spans="1:60">
      <c r="A48" s="222"/>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c r="AE48" s="222"/>
      <c r="AF48" s="222"/>
      <c r="AG48" s="222"/>
      <c r="AH48" s="222"/>
      <c r="AI48" s="222"/>
      <c r="AJ48" s="222"/>
      <c r="AK48" s="222"/>
      <c r="AL48" s="222"/>
      <c r="AM48" s="222"/>
      <c r="AN48" s="222"/>
      <c r="AO48" s="222"/>
      <c r="AP48" s="222"/>
      <c r="AQ48" s="222"/>
      <c r="AR48" s="222"/>
      <c r="AS48" s="222"/>
      <c r="AT48" s="222"/>
      <c r="AU48" s="222"/>
      <c r="AV48" s="222"/>
      <c r="AW48" s="222"/>
      <c r="AX48" s="222"/>
      <c r="AY48" s="222"/>
      <c r="AZ48" s="222"/>
      <c r="BA48" s="222"/>
      <c r="BB48" s="222"/>
      <c r="BC48" s="222"/>
      <c r="BD48" s="222"/>
      <c r="BE48" s="222"/>
      <c r="BF48" s="222"/>
      <c r="BG48" s="222"/>
      <c r="BH48" s="222"/>
    </row>
    <row r="49" spans="1:60">
      <c r="A49" s="222"/>
      <c r="B49" s="222"/>
      <c r="C49" s="222"/>
      <c r="D49" s="222"/>
      <c r="E49" s="222"/>
      <c r="F49" s="222"/>
      <c r="G49" s="222"/>
      <c r="H49" s="222"/>
      <c r="I49" s="222"/>
      <c r="J49" s="222"/>
      <c r="K49" s="222"/>
      <c r="L49" s="222"/>
      <c r="M49" s="222"/>
      <c r="N49" s="222"/>
      <c r="O49" s="222"/>
      <c r="P49" s="222"/>
      <c r="Q49" s="222"/>
      <c r="R49" s="222"/>
      <c r="S49" s="222"/>
      <c r="T49" s="222"/>
      <c r="U49" s="222"/>
      <c r="V49" s="222"/>
      <c r="W49" s="222"/>
      <c r="X49" s="222"/>
      <c r="Y49" s="222"/>
      <c r="Z49" s="222"/>
      <c r="AA49" s="222"/>
      <c r="AB49" s="222"/>
      <c r="AC49" s="222"/>
      <c r="AD49" s="222"/>
      <c r="AE49" s="222"/>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row>
    <row r="50" spans="1:60">
      <c r="A50" s="222"/>
      <c r="B50" s="222"/>
      <c r="C50" s="222"/>
      <c r="D50" s="222"/>
      <c r="E50" s="222"/>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c r="AK50" s="222"/>
      <c r="AL50" s="222"/>
      <c r="AM50" s="222"/>
      <c r="AN50" s="222"/>
      <c r="AO50" s="222"/>
      <c r="AP50" s="222"/>
      <c r="AQ50" s="222"/>
      <c r="AR50" s="222"/>
      <c r="AS50" s="222"/>
      <c r="AT50" s="222"/>
      <c r="AU50" s="222"/>
      <c r="AV50" s="222"/>
      <c r="AW50" s="222"/>
      <c r="AX50" s="222"/>
      <c r="AY50" s="222"/>
      <c r="AZ50" s="222"/>
      <c r="BA50" s="222"/>
      <c r="BB50" s="222"/>
      <c r="BC50" s="222"/>
      <c r="BD50" s="222"/>
      <c r="BE50" s="222"/>
      <c r="BF50" s="222"/>
      <c r="BG50" s="222"/>
      <c r="BH50" s="222"/>
    </row>
    <row r="51" spans="1:60">
      <c r="A51" s="222"/>
      <c r="B51" s="222"/>
      <c r="C51" s="222"/>
      <c r="D51" s="222"/>
      <c r="E51" s="222"/>
      <c r="F51" s="222"/>
      <c r="G51" s="222"/>
      <c r="H51" s="222"/>
      <c r="I51" s="222"/>
      <c r="J51" s="222"/>
      <c r="K51" s="222"/>
      <c r="L51" s="222"/>
      <c r="M51" s="222"/>
      <c r="N51" s="222"/>
      <c r="O51" s="222"/>
      <c r="P51" s="222"/>
      <c r="Q51" s="222"/>
      <c r="R51" s="222"/>
      <c r="S51" s="222"/>
      <c r="T51" s="222"/>
      <c r="U51" s="222"/>
      <c r="V51" s="222"/>
      <c r="W51" s="222"/>
      <c r="X51" s="222"/>
      <c r="Y51" s="222"/>
      <c r="Z51" s="222"/>
      <c r="AA51" s="222"/>
      <c r="AB51" s="222"/>
      <c r="AC51" s="222"/>
      <c r="AD51" s="222"/>
      <c r="AE51" s="222"/>
      <c r="AF51" s="222"/>
      <c r="AG51" s="222"/>
      <c r="AH51" s="222"/>
      <c r="AI51" s="222"/>
      <c r="AJ51" s="222"/>
      <c r="AK51" s="222"/>
      <c r="AL51" s="222"/>
      <c r="AM51" s="222"/>
      <c r="AN51" s="222"/>
      <c r="AO51" s="222"/>
      <c r="AP51" s="222"/>
      <c r="AQ51" s="222"/>
      <c r="AR51" s="222"/>
      <c r="AS51" s="222"/>
      <c r="AT51" s="222"/>
      <c r="AU51" s="222"/>
      <c r="AV51" s="222"/>
      <c r="AW51" s="222"/>
      <c r="AX51" s="222"/>
      <c r="AY51" s="222"/>
      <c r="AZ51" s="222"/>
      <c r="BA51" s="222"/>
      <c r="BB51" s="222"/>
      <c r="BC51" s="222"/>
      <c r="BD51" s="222"/>
      <c r="BE51" s="222"/>
      <c r="BF51" s="222"/>
      <c r="BG51" s="222"/>
      <c r="BH51" s="222"/>
    </row>
    <row r="52" spans="1:60">
      <c r="A52" s="222"/>
      <c r="B52" s="222"/>
      <c r="C52" s="222"/>
      <c r="D52" s="222"/>
      <c r="E52" s="222"/>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c r="AK52" s="222"/>
      <c r="AL52" s="222"/>
      <c r="AM52" s="222"/>
      <c r="AN52" s="222"/>
      <c r="AO52" s="222"/>
      <c r="AP52" s="222"/>
      <c r="AQ52" s="222"/>
      <c r="AR52" s="222"/>
      <c r="AS52" s="222"/>
      <c r="AT52" s="222"/>
      <c r="AU52" s="222"/>
      <c r="AV52" s="222"/>
      <c r="AW52" s="222"/>
      <c r="AX52" s="222"/>
      <c r="AY52" s="222"/>
      <c r="AZ52" s="222"/>
      <c r="BA52" s="222"/>
      <c r="BB52" s="222"/>
      <c r="BC52" s="222"/>
      <c r="BD52" s="222"/>
      <c r="BE52" s="222"/>
      <c r="BF52" s="222"/>
      <c r="BG52" s="222"/>
      <c r="BH52" s="222"/>
    </row>
    <row r="53" spans="1:60">
      <c r="A53" s="222"/>
      <c r="B53" s="222"/>
      <c r="C53" s="222"/>
      <c r="D53" s="222"/>
      <c r="E53" s="222"/>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c r="BE53" s="222"/>
      <c r="BF53" s="222"/>
      <c r="BG53" s="222"/>
      <c r="BH53" s="222"/>
    </row>
    <row r="54" spans="1:60">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222"/>
      <c r="AI54" s="222"/>
      <c r="AJ54" s="222"/>
      <c r="AK54" s="222"/>
      <c r="AL54" s="222"/>
      <c r="AM54" s="222"/>
      <c r="AN54" s="222"/>
      <c r="AO54" s="222"/>
      <c r="AP54" s="222"/>
      <c r="AQ54" s="222"/>
      <c r="AR54" s="222"/>
      <c r="AS54" s="222"/>
      <c r="AT54" s="222"/>
      <c r="AU54" s="222"/>
      <c r="AV54" s="222"/>
      <c r="AW54" s="222"/>
      <c r="AX54" s="222"/>
      <c r="AY54" s="222"/>
      <c r="AZ54" s="222"/>
      <c r="BA54" s="222"/>
      <c r="BB54" s="222"/>
      <c r="BC54" s="222"/>
      <c r="BD54" s="222"/>
      <c r="BE54" s="222"/>
      <c r="BF54" s="222"/>
      <c r="BG54" s="222"/>
      <c r="BH54" s="222"/>
    </row>
    <row r="55" spans="1:60">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row>
  </sheetData>
  <sheetProtection algorithmName="SHA-512" hashValue="s+McOxD/HB0QqQkIC2ooX8u/PW8p76zXV4Ub+oKwpJfgYSoTMV5ApwXhsW0xtV0qrbpBBvm2Hek5Zf7P982Zpw==" saltValue="DgBttPXKtAlvX11NnD2hLg==" spinCount="100000" sheet="1" objects="1" scenarios="1"/>
  <customSheetViews>
    <customSheetView guid="{6EFEFCA0-BF14-457A-85A3-29CBF2A862A5}" showGridLines="0" fitToPage="1">
      <selection sqref="A1:BB43"/>
      <pageMargins left="0.23622047244094491" right="0.23622047244094491" top="0.19685039370078741" bottom="0.19685039370078741" header="0" footer="0.11811023622047245"/>
      <printOptions horizontalCentered="1" verticalCentered="1"/>
      <pageSetup paperSize="9" scale="68" orientation="landscape" r:id="rId1"/>
      <headerFooter>
        <oddFooter>&amp;L&amp;10&amp;F &amp;A&amp;R&amp;10Page 38 of 61</oddFooter>
      </headerFooter>
    </customSheetView>
  </customSheetViews>
  <mergeCells count="59">
    <mergeCell ref="AK6:AQ6"/>
    <mergeCell ref="AF7:AL7"/>
    <mergeCell ref="I17:N18"/>
    <mergeCell ref="O17:AF17"/>
    <mergeCell ref="AG17:AR17"/>
    <mergeCell ref="O18:T18"/>
    <mergeCell ref="U18:Z18"/>
    <mergeCell ref="AA18:AF18"/>
    <mergeCell ref="AG18:AL18"/>
    <mergeCell ref="AM18:AR18"/>
    <mergeCell ref="O19:T19"/>
    <mergeCell ref="U19:Z19"/>
    <mergeCell ref="AA19:AF19"/>
    <mergeCell ref="AG19:AL19"/>
    <mergeCell ref="AM19:AR19"/>
    <mergeCell ref="O20:T20"/>
    <mergeCell ref="U20:Z20"/>
    <mergeCell ref="AA20:AF20"/>
    <mergeCell ref="AG20:AL20"/>
    <mergeCell ref="AM20:AR20"/>
    <mergeCell ref="O21:T21"/>
    <mergeCell ref="U21:Z21"/>
    <mergeCell ref="AA21:AF21"/>
    <mergeCell ref="AG21:AL21"/>
    <mergeCell ref="AM21:AR21"/>
    <mergeCell ref="O22:T22"/>
    <mergeCell ref="U22:Z22"/>
    <mergeCell ref="AA22:AF22"/>
    <mergeCell ref="AG22:AL22"/>
    <mergeCell ref="AM22:AR22"/>
    <mergeCell ref="AM23:AR23"/>
    <mergeCell ref="I27:N27"/>
    <mergeCell ref="O27:T27"/>
    <mergeCell ref="U27:Z27"/>
    <mergeCell ref="AA27:AF27"/>
    <mergeCell ref="I23:N23"/>
    <mergeCell ref="O23:T23"/>
    <mergeCell ref="U23:Z23"/>
    <mergeCell ref="AA23:AF23"/>
    <mergeCell ref="AG23:AL23"/>
    <mergeCell ref="O29:T29"/>
    <mergeCell ref="U29:Z29"/>
    <mergeCell ref="AA29:AF29"/>
    <mergeCell ref="O28:T28"/>
    <mergeCell ref="U28:Z28"/>
    <mergeCell ref="AA28:AF28"/>
    <mergeCell ref="I30:N30"/>
    <mergeCell ref="O30:T30"/>
    <mergeCell ref="U30:Z30"/>
    <mergeCell ref="AA30:AF30"/>
    <mergeCell ref="H33:AT33"/>
    <mergeCell ref="F41:P41"/>
    <mergeCell ref="X41:AH41"/>
    <mergeCell ref="AL41:AZ41"/>
    <mergeCell ref="F39:P39"/>
    <mergeCell ref="T39:AH39"/>
    <mergeCell ref="AL39:AZ40"/>
    <mergeCell ref="F40:P40"/>
    <mergeCell ref="T40:AH40"/>
  </mergeCells>
  <dataValidations count="2">
    <dataValidation type="whole" allowBlank="1" showInputMessage="1" showErrorMessage="1" errorTitle="GSHSP SY 2022-2023" error="Please enter valid number between 0-999." sqref="AF7:AL7 AG19:AR22" xr:uid="{80BEA2B4-66B4-4DDC-ABA6-18AC05E8087A}">
      <formula1>0</formula1>
      <formula2>999</formula2>
    </dataValidation>
    <dataValidation type="whole" allowBlank="1" showInputMessage="1" showErrorMessage="1" errorTitle="GSHSP SY 2022-2023" error="Please enter valid number between 0-20,000." sqref="O19:Z22 O28:Z29" xr:uid="{54105785-7600-4374-B912-B10B08DBE298}">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68" orientation="landscape" r:id="rId2"/>
  <headerFooter>
    <oddFooter>&amp;L&amp;10&amp;F &amp;A&amp;R&amp;10Page 38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7825" r:id="rId5" name="Check Box 1">
              <controlPr defaultSize="0" autoFill="0" autoLine="0" autoPict="0">
                <anchor moveWithCells="1">
                  <from>
                    <xdr:col>31</xdr:col>
                    <xdr:colOff>28575</xdr:colOff>
                    <xdr:row>4</xdr:row>
                    <xdr:rowOff>142875</xdr:rowOff>
                  </from>
                  <to>
                    <xdr:col>31</xdr:col>
                    <xdr:colOff>257175</xdr:colOff>
                    <xdr:row>4</xdr:row>
                    <xdr:rowOff>371475</xdr:rowOff>
                  </to>
                </anchor>
              </controlPr>
            </control>
          </mc:Choice>
        </mc:AlternateContent>
        <mc:AlternateContent xmlns:mc="http://schemas.openxmlformats.org/markup-compatibility/2006">
          <mc:Choice Requires="x14">
            <control shapeId="77826" r:id="rId6" name="Check Box 2">
              <controlPr defaultSize="0" autoFill="0" autoLine="0" autoPict="0">
                <anchor moveWithCells="1">
                  <from>
                    <xdr:col>19</xdr:col>
                    <xdr:colOff>28575</xdr:colOff>
                    <xdr:row>5</xdr:row>
                    <xdr:rowOff>85725</xdr:rowOff>
                  </from>
                  <to>
                    <xdr:col>19</xdr:col>
                    <xdr:colOff>238125</xdr:colOff>
                    <xdr:row>5</xdr:row>
                    <xdr:rowOff>295275</xdr:rowOff>
                  </to>
                </anchor>
              </controlPr>
            </control>
          </mc:Choice>
        </mc:AlternateContent>
        <mc:AlternateContent xmlns:mc="http://schemas.openxmlformats.org/markup-compatibility/2006">
          <mc:Choice Requires="x14">
            <control shapeId="77827" r:id="rId7" name="Check Box 3">
              <controlPr defaultSize="0" autoFill="0" autoLine="0" autoPict="0">
                <anchor moveWithCells="1">
                  <from>
                    <xdr:col>23</xdr:col>
                    <xdr:colOff>28575</xdr:colOff>
                    <xdr:row>5</xdr:row>
                    <xdr:rowOff>85725</xdr:rowOff>
                  </from>
                  <to>
                    <xdr:col>23</xdr:col>
                    <xdr:colOff>257175</xdr:colOff>
                    <xdr:row>5</xdr:row>
                    <xdr:rowOff>295275</xdr:rowOff>
                  </to>
                </anchor>
              </controlPr>
            </control>
          </mc:Choice>
        </mc:AlternateContent>
        <mc:AlternateContent xmlns:mc="http://schemas.openxmlformats.org/markup-compatibility/2006">
          <mc:Choice Requires="x14">
            <control shapeId="77828" r:id="rId8" name="Check Box 4">
              <controlPr defaultSize="0" autoFill="0" autoLine="0" autoPict="0">
                <anchor moveWithCells="1">
                  <from>
                    <xdr:col>27</xdr:col>
                    <xdr:colOff>38100</xdr:colOff>
                    <xdr:row>5</xdr:row>
                    <xdr:rowOff>85725</xdr:rowOff>
                  </from>
                  <to>
                    <xdr:col>27</xdr:col>
                    <xdr:colOff>228600</xdr:colOff>
                    <xdr:row>5</xdr:row>
                    <xdr:rowOff>314325</xdr:rowOff>
                  </to>
                </anchor>
              </controlPr>
            </control>
          </mc:Choice>
        </mc:AlternateContent>
        <mc:AlternateContent xmlns:mc="http://schemas.openxmlformats.org/markup-compatibility/2006">
          <mc:Choice Requires="x14">
            <control shapeId="77829" r:id="rId9" name="Check Box 5">
              <controlPr defaultSize="0" autoFill="0" autoLine="0" autoPict="0">
                <anchor moveWithCells="1">
                  <from>
                    <xdr:col>31</xdr:col>
                    <xdr:colOff>28575</xdr:colOff>
                    <xdr:row>5</xdr:row>
                    <xdr:rowOff>85725</xdr:rowOff>
                  </from>
                  <to>
                    <xdr:col>31</xdr:col>
                    <xdr:colOff>238125</xdr:colOff>
                    <xdr:row>5</xdr:row>
                    <xdr:rowOff>333375</xdr:rowOff>
                  </to>
                </anchor>
              </controlPr>
            </control>
          </mc:Choice>
        </mc:AlternateContent>
        <mc:AlternateContent xmlns:mc="http://schemas.openxmlformats.org/markup-compatibility/2006">
          <mc:Choice Requires="x14">
            <control shapeId="77830" r:id="rId10" name="Check Box 6">
              <controlPr defaultSize="0" autoFill="0" autoLine="0" autoPict="0">
                <anchor moveWithCells="1">
                  <from>
                    <xdr:col>31</xdr:col>
                    <xdr:colOff>28575</xdr:colOff>
                    <xdr:row>8</xdr:row>
                    <xdr:rowOff>142875</xdr:rowOff>
                  </from>
                  <to>
                    <xdr:col>31</xdr:col>
                    <xdr:colOff>257175</xdr:colOff>
                    <xdr:row>8</xdr:row>
                    <xdr:rowOff>352425</xdr:rowOff>
                  </to>
                </anchor>
              </controlPr>
            </control>
          </mc:Choice>
        </mc:AlternateContent>
        <mc:AlternateContent xmlns:mc="http://schemas.openxmlformats.org/markup-compatibility/2006">
          <mc:Choice Requires="x14">
            <control shapeId="77831" r:id="rId11" name="Check Box 7">
              <controlPr defaultSize="0" autoFill="0" autoLine="0" autoPict="0">
                <anchor moveWithCells="1">
                  <from>
                    <xdr:col>36</xdr:col>
                    <xdr:colOff>38100</xdr:colOff>
                    <xdr:row>4</xdr:row>
                    <xdr:rowOff>161925</xdr:rowOff>
                  </from>
                  <to>
                    <xdr:col>37</xdr:col>
                    <xdr:colOff>9525</xdr:colOff>
                    <xdr:row>4</xdr:row>
                    <xdr:rowOff>371475</xdr:rowOff>
                  </to>
                </anchor>
              </controlPr>
            </control>
          </mc:Choice>
        </mc:AlternateContent>
        <mc:AlternateContent xmlns:mc="http://schemas.openxmlformats.org/markup-compatibility/2006">
          <mc:Choice Requires="x14">
            <control shapeId="77832" r:id="rId12" name="Check Box 8">
              <controlPr defaultSize="0" autoFill="0" autoLine="0" autoPict="0">
                <anchor moveWithCells="1">
                  <from>
                    <xdr:col>36</xdr:col>
                    <xdr:colOff>28575</xdr:colOff>
                    <xdr:row>8</xdr:row>
                    <xdr:rowOff>142875</xdr:rowOff>
                  </from>
                  <to>
                    <xdr:col>37</xdr:col>
                    <xdr:colOff>9525</xdr:colOff>
                    <xdr:row>8</xdr:row>
                    <xdr:rowOff>371475</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93586-A179-4207-ADB2-2C9599A19AAA}">
  <sheetPr codeName="Sheet411">
    <tabColor rgb="FFFFFF00"/>
    <pageSetUpPr fitToPage="1"/>
  </sheetPr>
  <dimension ref="A1:BI65"/>
  <sheetViews>
    <sheetView showGridLines="0" zoomScaleNormal="100" workbookViewId="0">
      <selection sqref="A1:AJ54"/>
    </sheetView>
  </sheetViews>
  <sheetFormatPr defaultColWidth="9" defaultRowHeight="15.75"/>
  <cols>
    <col min="1" max="1" width="2.125" style="48" customWidth="1"/>
    <col min="2" max="33" width="3.625" style="48" customWidth="1"/>
    <col min="34" max="34" width="2.125" style="48" customWidth="1"/>
    <col min="35" max="52" width="3.625" style="48" customWidth="1"/>
    <col min="53" max="53" width="2.125" style="48" customWidth="1"/>
    <col min="54" max="62" width="3.625" style="48" customWidth="1"/>
    <col min="63" max="16384" width="9" style="48"/>
  </cols>
  <sheetData>
    <row r="1" spans="1:56" ht="12"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row>
    <row r="2" spans="1:56">
      <c r="A2" s="222"/>
      <c r="B2" s="222"/>
      <c r="C2" s="222"/>
      <c r="D2" s="309" t="s">
        <v>11430</v>
      </c>
      <c r="E2" s="309"/>
      <c r="F2" s="309"/>
      <c r="G2" s="309"/>
      <c r="H2" s="309"/>
      <c r="I2" s="309"/>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09"/>
      <c r="AJ2" s="309"/>
      <c r="AK2" s="309"/>
      <c r="AL2" s="309"/>
      <c r="AM2" s="309"/>
      <c r="AN2" s="309"/>
      <c r="AO2" s="222"/>
      <c r="AP2" s="222"/>
      <c r="AQ2" s="222"/>
      <c r="AR2" s="222"/>
      <c r="AS2" s="222"/>
      <c r="AT2" s="222"/>
      <c r="AU2" s="222"/>
      <c r="AV2" s="222"/>
      <c r="AW2" s="222"/>
      <c r="AX2" s="222"/>
      <c r="AY2" s="222"/>
      <c r="AZ2" s="222"/>
      <c r="BA2" s="222"/>
      <c r="BB2" s="222"/>
      <c r="BC2" s="222"/>
      <c r="BD2" s="222"/>
    </row>
    <row r="3" spans="1:56" s="40" customFormat="1" ht="16.5" thickBot="1">
      <c r="A3" s="582"/>
      <c r="B3" s="582"/>
      <c r="C3" s="582"/>
      <c r="D3" s="583" t="s">
        <v>1016</v>
      </c>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c r="BB3" s="582"/>
      <c r="BC3" s="582"/>
      <c r="BD3" s="582"/>
    </row>
    <row r="4" spans="1:56" s="44" customFormat="1" ht="5.25" customHeight="1">
      <c r="A4" s="434"/>
      <c r="B4" s="434"/>
      <c r="C4" s="434"/>
      <c r="D4" s="648"/>
      <c r="E4" s="650"/>
      <c r="F4" s="984"/>
      <c r="G4" s="985"/>
      <c r="H4" s="985"/>
      <c r="I4" s="985"/>
      <c r="J4" s="985"/>
      <c r="K4" s="985"/>
      <c r="L4" s="985"/>
      <c r="M4" s="985"/>
      <c r="N4" s="985"/>
      <c r="O4" s="985"/>
      <c r="P4" s="985"/>
      <c r="Q4" s="685"/>
      <c r="R4" s="685"/>
      <c r="S4" s="685"/>
      <c r="T4" s="685"/>
      <c r="U4" s="685"/>
      <c r="V4" s="685"/>
      <c r="W4" s="586"/>
      <c r="X4" s="986"/>
      <c r="Y4" s="986"/>
      <c r="Z4" s="986"/>
      <c r="AA4" s="986"/>
      <c r="AB4" s="986"/>
      <c r="AC4" s="986"/>
      <c r="AD4" s="685"/>
      <c r="AE4" s="685"/>
      <c r="AF4" s="1165"/>
      <c r="AG4" s="625"/>
      <c r="AH4" s="434"/>
      <c r="AI4" s="434"/>
      <c r="AJ4" s="434"/>
      <c r="AK4" s="434"/>
      <c r="AL4" s="434"/>
      <c r="AM4" s="434"/>
      <c r="AN4" s="434"/>
      <c r="AO4" s="434"/>
      <c r="AP4" s="434"/>
      <c r="AQ4" s="434"/>
      <c r="AR4" s="434"/>
      <c r="AS4" s="434"/>
      <c r="AT4" s="434"/>
      <c r="AU4" s="434"/>
      <c r="AV4" s="434"/>
      <c r="AW4" s="434"/>
      <c r="AX4" s="434"/>
      <c r="AY4" s="434"/>
      <c r="AZ4" s="434"/>
      <c r="BA4" s="434"/>
      <c r="BB4" s="434"/>
      <c r="BC4" s="434"/>
      <c r="BD4" s="434"/>
    </row>
    <row r="5" spans="1:56" s="44" customFormat="1" ht="24.95" customHeight="1">
      <c r="A5" s="434"/>
      <c r="B5" s="434"/>
      <c r="C5" s="434"/>
      <c r="D5" s="988"/>
      <c r="E5" s="1048" t="s">
        <v>47</v>
      </c>
      <c r="F5" s="989" t="s">
        <v>1166</v>
      </c>
      <c r="G5" s="989"/>
      <c r="H5" s="998"/>
      <c r="I5" s="998"/>
      <c r="J5" s="998"/>
      <c r="K5" s="998"/>
      <c r="L5" s="998"/>
      <c r="M5" s="998"/>
      <c r="N5" s="998"/>
      <c r="O5" s="998"/>
      <c r="P5" s="998"/>
      <c r="Q5" s="861"/>
      <c r="R5" s="593"/>
      <c r="S5" s="593"/>
      <c r="T5" s="593"/>
      <c r="U5" s="593"/>
      <c r="V5" s="593"/>
      <c r="W5" s="999"/>
      <c r="X5" s="861"/>
      <c r="Y5" s="861"/>
      <c r="Z5" s="861"/>
      <c r="AA5" s="861"/>
      <c r="AB5" s="861"/>
      <c r="AC5" s="861"/>
      <c r="AD5" s="593"/>
      <c r="AE5" s="593"/>
      <c r="AF5" s="690"/>
      <c r="AG5" s="593"/>
      <c r="AH5" s="434"/>
      <c r="AI5" s="434"/>
      <c r="AJ5" s="434"/>
      <c r="AK5" s="434"/>
      <c r="AL5" s="434"/>
      <c r="AM5" s="434"/>
      <c r="AN5" s="434"/>
      <c r="AO5" s="434"/>
      <c r="AP5" s="434"/>
      <c r="AQ5" s="434"/>
      <c r="AR5" s="434"/>
      <c r="AS5" s="434"/>
      <c r="AT5" s="434"/>
      <c r="AU5" s="434"/>
      <c r="AV5" s="434"/>
      <c r="AW5" s="434"/>
      <c r="AX5" s="434"/>
      <c r="AY5" s="434"/>
      <c r="AZ5" s="434"/>
      <c r="BA5" s="434"/>
      <c r="BB5" s="434"/>
      <c r="BC5" s="434"/>
      <c r="BD5" s="434"/>
    </row>
    <row r="6" spans="1:56" s="44" customFormat="1" ht="6" customHeight="1" thickBot="1">
      <c r="A6" s="434"/>
      <c r="B6" s="434"/>
      <c r="C6" s="434"/>
      <c r="D6" s="988"/>
      <c r="E6" s="434"/>
      <c r="F6" s="434"/>
      <c r="G6" s="1049"/>
      <c r="H6" s="612"/>
      <c r="I6" s="612"/>
      <c r="J6" s="612"/>
      <c r="K6" s="612"/>
      <c r="L6" s="612"/>
      <c r="M6" s="612"/>
      <c r="N6" s="612"/>
      <c r="O6" s="612"/>
      <c r="P6" s="612"/>
      <c r="Q6" s="861"/>
      <c r="R6" s="434"/>
      <c r="S6" s="861"/>
      <c r="T6" s="960"/>
      <c r="U6" s="593"/>
      <c r="V6" s="434"/>
      <c r="W6" s="434"/>
      <c r="X6" s="861"/>
      <c r="Y6" s="960"/>
      <c r="Z6" s="593"/>
      <c r="AA6" s="593"/>
      <c r="AB6" s="593"/>
      <c r="AC6" s="593"/>
      <c r="AD6" s="593"/>
      <c r="AE6" s="861"/>
      <c r="AF6" s="1166"/>
      <c r="AG6" s="861"/>
      <c r="AH6" s="434"/>
      <c r="AI6" s="434"/>
      <c r="AJ6" s="434"/>
      <c r="AK6" s="434"/>
      <c r="AL6" s="434"/>
      <c r="AM6" s="434"/>
      <c r="AN6" s="434"/>
      <c r="AO6" s="434"/>
      <c r="AP6" s="434"/>
      <c r="AQ6" s="434"/>
      <c r="AR6" s="434"/>
      <c r="AS6" s="434"/>
      <c r="AT6" s="434"/>
      <c r="AU6" s="434"/>
      <c r="AV6" s="434"/>
      <c r="AW6" s="434"/>
      <c r="AX6" s="434"/>
      <c r="AY6" s="434"/>
      <c r="AZ6" s="434"/>
      <c r="BA6" s="434"/>
      <c r="BB6" s="434"/>
      <c r="BC6" s="434"/>
      <c r="BD6" s="434"/>
    </row>
    <row r="7" spans="1:56" s="44" customFormat="1" ht="20.100000000000001" customHeight="1">
      <c r="A7" s="434"/>
      <c r="B7" s="434"/>
      <c r="C7" s="434"/>
      <c r="D7" s="988"/>
      <c r="E7" s="434"/>
      <c r="F7" s="3321" t="s">
        <v>1221</v>
      </c>
      <c r="G7" s="3322"/>
      <c r="H7" s="3322"/>
      <c r="I7" s="3322"/>
      <c r="J7" s="3322"/>
      <c r="K7" s="3323"/>
      <c r="L7" s="3330" t="s">
        <v>974</v>
      </c>
      <c r="M7" s="3331"/>
      <c r="N7" s="3331"/>
      <c r="O7" s="3331"/>
      <c r="P7" s="3331"/>
      <c r="Q7" s="3331"/>
      <c r="R7" s="3331"/>
      <c r="S7" s="3331"/>
      <c r="T7" s="3331"/>
      <c r="U7" s="3331"/>
      <c r="V7" s="3331"/>
      <c r="W7" s="3331"/>
      <c r="X7" s="3331"/>
      <c r="Y7" s="3331"/>
      <c r="Z7" s="3331"/>
      <c r="AA7" s="3331"/>
      <c r="AB7" s="3331"/>
      <c r="AC7" s="3332"/>
      <c r="AD7" s="1050"/>
      <c r="AE7" s="1073"/>
      <c r="AF7" s="1050"/>
      <c r="AG7" s="1073"/>
      <c r="AH7" s="1073"/>
      <c r="AI7" s="1073"/>
      <c r="AJ7" s="1073"/>
      <c r="AK7" s="1073"/>
      <c r="AL7" s="434"/>
      <c r="AM7" s="434"/>
      <c r="AN7" s="434"/>
      <c r="AO7" s="434"/>
      <c r="AP7" s="434"/>
      <c r="AQ7" s="434"/>
      <c r="AR7" s="434"/>
      <c r="AS7" s="434"/>
      <c r="AT7" s="434"/>
      <c r="AU7" s="434"/>
      <c r="AV7" s="434"/>
      <c r="AW7" s="434"/>
      <c r="AX7" s="434"/>
      <c r="AY7" s="434"/>
      <c r="AZ7" s="434"/>
      <c r="BA7" s="434"/>
      <c r="BB7" s="434"/>
      <c r="BC7" s="434"/>
      <c r="BD7" s="434"/>
    </row>
    <row r="8" spans="1:56" s="44" customFormat="1" ht="15.95" customHeight="1" thickBot="1">
      <c r="A8" s="434"/>
      <c r="B8" s="434"/>
      <c r="C8" s="434"/>
      <c r="D8" s="988"/>
      <c r="E8" s="434"/>
      <c r="F8" s="3327"/>
      <c r="G8" s="3328"/>
      <c r="H8" s="3328"/>
      <c r="I8" s="3328"/>
      <c r="J8" s="3328"/>
      <c r="K8" s="3329"/>
      <c r="L8" s="3455" t="s">
        <v>976</v>
      </c>
      <c r="M8" s="3456"/>
      <c r="N8" s="3456"/>
      <c r="O8" s="3456"/>
      <c r="P8" s="3456"/>
      <c r="Q8" s="3457"/>
      <c r="R8" s="3455" t="s">
        <v>977</v>
      </c>
      <c r="S8" s="3456"/>
      <c r="T8" s="3456"/>
      <c r="U8" s="3456"/>
      <c r="V8" s="3456"/>
      <c r="W8" s="3458"/>
      <c r="X8" s="3456" t="s">
        <v>42</v>
      </c>
      <c r="Y8" s="3456"/>
      <c r="Z8" s="3456"/>
      <c r="AA8" s="3456"/>
      <c r="AB8" s="3456"/>
      <c r="AC8" s="3457"/>
      <c r="AD8" s="1167"/>
      <c r="AE8" s="1168"/>
      <c r="AF8" s="1167"/>
      <c r="AG8" s="1168"/>
      <c r="AH8" s="1168"/>
      <c r="AI8" s="1168"/>
      <c r="AJ8" s="1073"/>
      <c r="AK8" s="1073"/>
      <c r="AL8" s="434"/>
      <c r="AM8" s="434"/>
      <c r="AN8" s="434"/>
      <c r="AO8" s="434"/>
      <c r="AP8" s="434"/>
      <c r="AQ8" s="434"/>
      <c r="AR8" s="434"/>
      <c r="AS8" s="434"/>
      <c r="AT8" s="434"/>
      <c r="AU8" s="434"/>
      <c r="AV8" s="434"/>
      <c r="AW8" s="434"/>
      <c r="AX8" s="434"/>
      <c r="AY8" s="434"/>
      <c r="AZ8" s="434"/>
      <c r="BA8" s="434"/>
      <c r="BB8" s="434"/>
      <c r="BC8" s="434"/>
      <c r="BD8" s="434"/>
    </row>
    <row r="9" spans="1:56" s="44" customFormat="1" ht="25.5" customHeight="1">
      <c r="A9" s="434"/>
      <c r="B9" s="434"/>
      <c r="C9" s="434"/>
      <c r="D9" s="988"/>
      <c r="E9" s="434"/>
      <c r="F9" s="1052" t="s">
        <v>1167</v>
      </c>
      <c r="G9" s="1097"/>
      <c r="H9" s="1097"/>
      <c r="I9" s="1097"/>
      <c r="J9" s="1097"/>
      <c r="K9" s="1098"/>
      <c r="L9" s="3313">
        <v>0</v>
      </c>
      <c r="M9" s="3351"/>
      <c r="N9" s="3351"/>
      <c r="O9" s="3351"/>
      <c r="P9" s="3351"/>
      <c r="Q9" s="3309"/>
      <c r="R9" s="3313">
        <v>0</v>
      </c>
      <c r="S9" s="3351"/>
      <c r="T9" s="3351"/>
      <c r="U9" s="3351"/>
      <c r="V9" s="3351"/>
      <c r="W9" s="3447"/>
      <c r="X9" s="3473">
        <f>SUM(L9:W9)</f>
        <v>0</v>
      </c>
      <c r="Y9" s="3473"/>
      <c r="Z9" s="3473"/>
      <c r="AA9" s="3473"/>
      <c r="AB9" s="3473"/>
      <c r="AC9" s="3474"/>
      <c r="AD9" s="1058"/>
      <c r="AE9" s="622"/>
      <c r="AF9" s="1058"/>
      <c r="AG9" s="622"/>
      <c r="AH9" s="622"/>
      <c r="AI9" s="622"/>
      <c r="AJ9" s="622"/>
      <c r="AK9" s="622"/>
      <c r="AL9" s="434"/>
      <c r="AM9" s="434"/>
      <c r="AN9" s="434"/>
      <c r="AO9" s="434"/>
      <c r="AP9" s="434"/>
      <c r="AQ9" s="434"/>
      <c r="AR9" s="434"/>
      <c r="AS9" s="434"/>
      <c r="AT9" s="434"/>
      <c r="AU9" s="434"/>
      <c r="AV9" s="434"/>
      <c r="AW9" s="434"/>
      <c r="AX9" s="434"/>
      <c r="AY9" s="434"/>
      <c r="AZ9" s="434"/>
      <c r="BA9" s="434"/>
      <c r="BB9" s="434"/>
      <c r="BC9" s="434"/>
      <c r="BD9" s="434"/>
    </row>
    <row r="10" spans="1:56" s="44" customFormat="1" ht="25.5" customHeight="1">
      <c r="A10" s="434"/>
      <c r="B10" s="434"/>
      <c r="C10" s="434"/>
      <c r="D10" s="988"/>
      <c r="E10" s="434"/>
      <c r="F10" s="1082" t="s">
        <v>1168</v>
      </c>
      <c r="G10" s="1083"/>
      <c r="H10" s="1083"/>
      <c r="I10" s="1083"/>
      <c r="J10" s="1083"/>
      <c r="K10" s="1084"/>
      <c r="L10" s="3398">
        <v>0</v>
      </c>
      <c r="M10" s="3399"/>
      <c r="N10" s="3399"/>
      <c r="O10" s="3399"/>
      <c r="P10" s="3399"/>
      <c r="Q10" s="3400"/>
      <c r="R10" s="3398">
        <v>0</v>
      </c>
      <c r="S10" s="3399"/>
      <c r="T10" s="3399"/>
      <c r="U10" s="3399"/>
      <c r="V10" s="3399"/>
      <c r="W10" s="3452"/>
      <c r="X10" s="3460">
        <f>SUM(L10:W10)</f>
        <v>0</v>
      </c>
      <c r="Y10" s="3460"/>
      <c r="Z10" s="3460"/>
      <c r="AA10" s="3460"/>
      <c r="AB10" s="3460"/>
      <c r="AC10" s="3461"/>
      <c r="AD10" s="1058"/>
      <c r="AE10" s="622"/>
      <c r="AF10" s="1058"/>
      <c r="AG10" s="622"/>
      <c r="AH10" s="622"/>
      <c r="AI10" s="622"/>
      <c r="AJ10" s="622"/>
      <c r="AK10" s="622"/>
      <c r="AL10" s="434"/>
      <c r="AM10" s="434"/>
      <c r="AN10" s="434"/>
      <c r="AO10" s="434"/>
      <c r="AP10" s="434"/>
      <c r="AQ10" s="434"/>
      <c r="AR10" s="434"/>
      <c r="AS10" s="434"/>
      <c r="AT10" s="434"/>
      <c r="AU10" s="434"/>
      <c r="AV10" s="434"/>
      <c r="AW10" s="434"/>
      <c r="AX10" s="434"/>
      <c r="AY10" s="434"/>
      <c r="AZ10" s="434"/>
      <c r="BA10" s="434"/>
      <c r="BB10" s="434"/>
      <c r="BC10" s="434"/>
      <c r="BD10" s="434"/>
    </row>
    <row r="11" spans="1:56" s="44" customFormat="1" ht="25.5" customHeight="1">
      <c r="A11" s="434"/>
      <c r="B11" s="434"/>
      <c r="C11" s="434"/>
      <c r="D11" s="988"/>
      <c r="E11" s="434"/>
      <c r="F11" s="1082" t="s">
        <v>1169</v>
      </c>
      <c r="G11" s="1083"/>
      <c r="H11" s="1083"/>
      <c r="I11" s="1083"/>
      <c r="J11" s="1083"/>
      <c r="K11" s="1084"/>
      <c r="L11" s="3398">
        <v>0</v>
      </c>
      <c r="M11" s="3399"/>
      <c r="N11" s="3399"/>
      <c r="O11" s="3399"/>
      <c r="P11" s="3399"/>
      <c r="Q11" s="3400"/>
      <c r="R11" s="3398">
        <v>0</v>
      </c>
      <c r="S11" s="3399"/>
      <c r="T11" s="3399"/>
      <c r="U11" s="3399"/>
      <c r="V11" s="3399"/>
      <c r="W11" s="3452"/>
      <c r="X11" s="3460">
        <f>SUM(L11:W11)</f>
        <v>0</v>
      </c>
      <c r="Y11" s="3460"/>
      <c r="Z11" s="3460"/>
      <c r="AA11" s="3460"/>
      <c r="AB11" s="3460"/>
      <c r="AC11" s="3461"/>
      <c r="AD11" s="1058"/>
      <c r="AE11" s="622"/>
      <c r="AF11" s="1058"/>
      <c r="AG11" s="622"/>
      <c r="AH11" s="622"/>
      <c r="AI11" s="622"/>
      <c r="AJ11" s="622"/>
      <c r="AK11" s="622"/>
      <c r="AL11" s="434"/>
      <c r="AM11" s="434"/>
      <c r="AN11" s="434"/>
      <c r="AO11" s="434"/>
      <c r="AP11" s="434"/>
      <c r="AQ11" s="434"/>
      <c r="AR11" s="434"/>
      <c r="AS11" s="434"/>
      <c r="AT11" s="434"/>
      <c r="AU11" s="434"/>
      <c r="AV11" s="434"/>
      <c r="AW11" s="434"/>
      <c r="AX11" s="434"/>
      <c r="AY11" s="434"/>
      <c r="AZ11" s="434"/>
      <c r="BA11" s="434"/>
      <c r="BB11" s="434"/>
      <c r="BC11" s="434"/>
      <c r="BD11" s="434"/>
    </row>
    <row r="12" spans="1:56" s="44" customFormat="1" ht="25.5" customHeight="1" thickBot="1">
      <c r="A12" s="434"/>
      <c r="B12" s="434"/>
      <c r="C12" s="434"/>
      <c r="D12" s="988"/>
      <c r="E12" s="434"/>
      <c r="F12" s="1055" t="s">
        <v>1170</v>
      </c>
      <c r="G12" s="1056"/>
      <c r="H12" s="1056"/>
      <c r="I12" s="1056"/>
      <c r="J12" s="1056"/>
      <c r="K12" s="1057"/>
      <c r="L12" s="3352">
        <v>0</v>
      </c>
      <c r="M12" s="3353"/>
      <c r="N12" s="3353"/>
      <c r="O12" s="3353"/>
      <c r="P12" s="3353"/>
      <c r="Q12" s="3354"/>
      <c r="R12" s="3352">
        <v>0</v>
      </c>
      <c r="S12" s="3353"/>
      <c r="T12" s="3353"/>
      <c r="U12" s="3353"/>
      <c r="V12" s="3353"/>
      <c r="W12" s="3444"/>
      <c r="X12" s="3465">
        <f>SUM(L12:W12)</f>
        <v>0</v>
      </c>
      <c r="Y12" s="3465"/>
      <c r="Z12" s="3465"/>
      <c r="AA12" s="3465"/>
      <c r="AB12" s="3465"/>
      <c r="AC12" s="3466"/>
      <c r="AD12" s="1058"/>
      <c r="AE12" s="622"/>
      <c r="AF12" s="1058"/>
      <c r="AG12" s="622"/>
      <c r="AH12" s="622"/>
      <c r="AI12" s="622"/>
      <c r="AJ12" s="622"/>
      <c r="AK12" s="622"/>
      <c r="AL12" s="434"/>
      <c r="AM12" s="434"/>
      <c r="AN12" s="434"/>
      <c r="AO12" s="434"/>
      <c r="AP12" s="434"/>
      <c r="AQ12" s="434"/>
      <c r="AR12" s="434"/>
      <c r="AS12" s="434"/>
      <c r="AT12" s="434"/>
      <c r="AU12" s="434"/>
      <c r="AV12" s="434"/>
      <c r="AW12" s="434"/>
      <c r="AX12" s="434"/>
      <c r="AY12" s="434"/>
      <c r="AZ12" s="434"/>
      <c r="BA12" s="434"/>
      <c r="BB12" s="434"/>
      <c r="BC12" s="434"/>
      <c r="BD12" s="434"/>
    </row>
    <row r="13" spans="1:56" s="44" customFormat="1" ht="25.5" customHeight="1" thickTop="1" thickBot="1">
      <c r="A13" s="434"/>
      <c r="B13" s="434"/>
      <c r="C13" s="434"/>
      <c r="D13" s="988"/>
      <c r="E13" s="434"/>
      <c r="F13" s="3413" t="s">
        <v>42</v>
      </c>
      <c r="G13" s="3414"/>
      <c r="H13" s="3414"/>
      <c r="I13" s="3414"/>
      <c r="J13" s="3414"/>
      <c r="K13" s="3415"/>
      <c r="L13" s="3281">
        <f>SUM(L9:Q12)</f>
        <v>0</v>
      </c>
      <c r="M13" s="3273"/>
      <c r="N13" s="3273"/>
      <c r="O13" s="3273"/>
      <c r="P13" s="3273"/>
      <c r="Q13" s="3277"/>
      <c r="R13" s="3281">
        <f>SUM(R9:W12)</f>
        <v>0</v>
      </c>
      <c r="S13" s="3273"/>
      <c r="T13" s="3273"/>
      <c r="U13" s="3273"/>
      <c r="V13" s="3273"/>
      <c r="W13" s="3442"/>
      <c r="X13" s="3273">
        <f>SUM(X9:AC12)</f>
        <v>0</v>
      </c>
      <c r="Y13" s="3273"/>
      <c r="Z13" s="3273"/>
      <c r="AA13" s="3273"/>
      <c r="AB13" s="3273"/>
      <c r="AC13" s="3277"/>
      <c r="AD13" s="1058"/>
      <c r="AE13" s="622"/>
      <c r="AF13" s="1058"/>
      <c r="AG13" s="622"/>
      <c r="AH13" s="622"/>
      <c r="AI13" s="622"/>
      <c r="AJ13" s="622"/>
      <c r="AK13" s="622"/>
      <c r="AL13" s="434"/>
      <c r="AM13" s="434"/>
      <c r="AN13" s="434"/>
      <c r="AO13" s="434"/>
      <c r="AP13" s="434"/>
      <c r="AQ13" s="434"/>
      <c r="AR13" s="434"/>
      <c r="AS13" s="434"/>
      <c r="AT13" s="434"/>
      <c r="AU13" s="434"/>
      <c r="AV13" s="434"/>
      <c r="AW13" s="434"/>
      <c r="AX13" s="434"/>
      <c r="AY13" s="434"/>
      <c r="AZ13" s="434"/>
      <c r="BA13" s="434"/>
      <c r="BB13" s="434"/>
      <c r="BC13" s="434"/>
      <c r="BD13" s="434"/>
    </row>
    <row r="14" spans="1:56" s="44" customFormat="1" ht="6" customHeight="1">
      <c r="A14" s="434"/>
      <c r="B14" s="434"/>
      <c r="C14" s="434"/>
      <c r="D14" s="988"/>
      <c r="E14" s="434"/>
      <c r="F14" s="434"/>
      <c r="G14" s="1049"/>
      <c r="H14" s="612"/>
      <c r="I14" s="612"/>
      <c r="J14" s="612"/>
      <c r="K14" s="612"/>
      <c r="L14" s="612"/>
      <c r="M14" s="612"/>
      <c r="N14" s="612"/>
      <c r="O14" s="612"/>
      <c r="P14" s="612"/>
      <c r="Q14" s="861"/>
      <c r="R14" s="434"/>
      <c r="S14" s="861"/>
      <c r="T14" s="960"/>
      <c r="U14" s="593"/>
      <c r="V14" s="434"/>
      <c r="W14" s="434"/>
      <c r="X14" s="861"/>
      <c r="Y14" s="960"/>
      <c r="Z14" s="593"/>
      <c r="AA14" s="593"/>
      <c r="AB14" s="593"/>
      <c r="AC14" s="593"/>
      <c r="AD14" s="593"/>
      <c r="AE14" s="861"/>
      <c r="AF14" s="1166"/>
      <c r="AG14" s="861"/>
      <c r="AH14" s="434"/>
      <c r="AI14" s="434"/>
      <c r="AJ14" s="434"/>
      <c r="AK14" s="434"/>
      <c r="AL14" s="434"/>
      <c r="AM14" s="434"/>
      <c r="AN14" s="434"/>
      <c r="AO14" s="434"/>
      <c r="AP14" s="434"/>
      <c r="AQ14" s="434"/>
      <c r="AR14" s="434"/>
      <c r="AS14" s="434"/>
      <c r="AT14" s="434"/>
      <c r="AU14" s="434"/>
      <c r="AV14" s="434"/>
      <c r="AW14" s="434"/>
      <c r="AX14" s="434"/>
      <c r="AY14" s="434"/>
      <c r="AZ14" s="434"/>
      <c r="BA14" s="434"/>
      <c r="BB14" s="434"/>
      <c r="BC14" s="434"/>
      <c r="BD14" s="434"/>
    </row>
    <row r="15" spans="1:56" s="44" customFormat="1" ht="24.95" customHeight="1">
      <c r="A15" s="434"/>
      <c r="B15" s="434"/>
      <c r="C15" s="434"/>
      <c r="D15" s="988"/>
      <c r="E15" s="1048" t="s">
        <v>48</v>
      </c>
      <c r="F15" s="989" t="s">
        <v>981</v>
      </c>
      <c r="G15" s="989"/>
      <c r="H15" s="998"/>
      <c r="I15" s="998"/>
      <c r="J15" s="998"/>
      <c r="K15" s="998"/>
      <c r="L15" s="998"/>
      <c r="M15" s="998"/>
      <c r="N15" s="998"/>
      <c r="O15" s="998"/>
      <c r="P15" s="998"/>
      <c r="Q15" s="861"/>
      <c r="R15" s="593"/>
      <c r="S15" s="593"/>
      <c r="T15" s="593"/>
      <c r="U15" s="593"/>
      <c r="V15" s="593"/>
      <c r="W15" s="999"/>
      <c r="X15" s="861"/>
      <c r="Y15" s="861"/>
      <c r="Z15" s="861"/>
      <c r="AA15" s="861"/>
      <c r="AB15" s="861"/>
      <c r="AC15" s="861"/>
      <c r="AD15" s="593"/>
      <c r="AE15" s="593"/>
      <c r="AF15" s="690"/>
      <c r="AG15" s="593"/>
      <c r="AH15" s="434"/>
      <c r="AI15" s="434"/>
      <c r="AJ15" s="434"/>
      <c r="AK15" s="434"/>
      <c r="AL15" s="434"/>
      <c r="AM15" s="434"/>
      <c r="AN15" s="434"/>
      <c r="AO15" s="434"/>
      <c r="AP15" s="434"/>
      <c r="AQ15" s="434"/>
      <c r="AR15" s="434"/>
      <c r="AS15" s="434"/>
      <c r="AT15" s="434"/>
      <c r="AU15" s="434"/>
      <c r="AV15" s="434"/>
      <c r="AW15" s="434"/>
      <c r="AX15" s="434"/>
      <c r="AY15" s="434"/>
      <c r="AZ15" s="434"/>
      <c r="BA15" s="434"/>
      <c r="BB15" s="434"/>
      <c r="BC15" s="434"/>
      <c r="BD15" s="434"/>
    </row>
    <row r="16" spans="1:56" s="44" customFormat="1" ht="6" customHeight="1" thickBot="1">
      <c r="A16" s="434"/>
      <c r="B16" s="434"/>
      <c r="C16" s="434"/>
      <c r="D16" s="988"/>
      <c r="E16" s="434"/>
      <c r="F16" s="612"/>
      <c r="G16" s="612"/>
      <c r="H16" s="612"/>
      <c r="I16" s="612"/>
      <c r="J16" s="612"/>
      <c r="K16" s="612"/>
      <c r="L16" s="612"/>
      <c r="M16" s="612"/>
      <c r="N16" s="612"/>
      <c r="O16" s="861"/>
      <c r="P16" s="434"/>
      <c r="Q16" s="861"/>
      <c r="R16" s="960"/>
      <c r="S16" s="593"/>
      <c r="T16" s="434"/>
      <c r="U16" s="434"/>
      <c r="V16" s="861"/>
      <c r="W16" s="960"/>
      <c r="X16" s="593"/>
      <c r="Y16" s="593"/>
      <c r="Z16" s="593"/>
      <c r="AA16" s="593"/>
      <c r="AB16" s="593"/>
      <c r="AC16" s="593"/>
      <c r="AD16" s="434"/>
      <c r="AE16" s="861"/>
      <c r="AF16" s="988"/>
      <c r="AG16" s="434"/>
      <c r="AH16" s="434"/>
      <c r="AI16" s="434"/>
      <c r="AJ16" s="434"/>
      <c r="AK16" s="434"/>
      <c r="AL16" s="434"/>
      <c r="AM16" s="434"/>
      <c r="AN16" s="434"/>
      <c r="AO16" s="434"/>
      <c r="AP16" s="434"/>
      <c r="AQ16" s="434"/>
      <c r="AR16" s="434"/>
      <c r="AS16" s="434"/>
      <c r="AT16" s="434"/>
      <c r="AU16" s="434"/>
      <c r="AV16" s="434"/>
      <c r="AW16" s="434"/>
      <c r="AX16" s="434"/>
      <c r="AY16" s="434"/>
      <c r="AZ16" s="434"/>
      <c r="BA16" s="434"/>
      <c r="BB16" s="434"/>
      <c r="BC16" s="434"/>
      <c r="BD16" s="434"/>
    </row>
    <row r="17" spans="1:56" s="44" customFormat="1" ht="34.5" customHeight="1" thickBot="1">
      <c r="A17" s="434"/>
      <c r="B17" s="434"/>
      <c r="C17" s="434"/>
      <c r="D17" s="988"/>
      <c r="E17" s="434"/>
      <c r="F17" s="3362" t="s">
        <v>281</v>
      </c>
      <c r="G17" s="3363"/>
      <c r="H17" s="3363"/>
      <c r="I17" s="3363"/>
      <c r="J17" s="3363"/>
      <c r="K17" s="3364"/>
      <c r="L17" s="3362" t="s">
        <v>45</v>
      </c>
      <c r="M17" s="3363"/>
      <c r="N17" s="3363"/>
      <c r="O17" s="3363"/>
      <c r="P17" s="3363"/>
      <c r="Q17" s="3364"/>
      <c r="R17" s="3362" t="s">
        <v>46</v>
      </c>
      <c r="S17" s="3363"/>
      <c r="T17" s="3363"/>
      <c r="U17" s="3363"/>
      <c r="V17" s="3363"/>
      <c r="W17" s="3450"/>
      <c r="X17" s="3451" t="s">
        <v>42</v>
      </c>
      <c r="Y17" s="3363"/>
      <c r="Z17" s="3363"/>
      <c r="AA17" s="3363"/>
      <c r="AB17" s="3363"/>
      <c r="AC17" s="3364"/>
      <c r="AD17" s="861"/>
      <c r="AE17" s="434"/>
      <c r="AF17" s="988"/>
      <c r="AG17" s="434"/>
      <c r="AH17" s="434"/>
      <c r="AI17" s="434"/>
      <c r="AJ17" s="593"/>
      <c r="AK17" s="593"/>
      <c r="AL17" s="434"/>
      <c r="AM17" s="434"/>
      <c r="AN17" s="434"/>
      <c r="AO17" s="434"/>
      <c r="AP17" s="434"/>
      <c r="AQ17" s="434"/>
      <c r="AR17" s="434"/>
      <c r="AS17" s="434"/>
      <c r="AT17" s="434"/>
      <c r="AU17" s="434"/>
      <c r="AV17" s="434"/>
      <c r="AW17" s="434"/>
      <c r="AX17" s="434"/>
      <c r="AY17" s="434"/>
      <c r="AZ17" s="434"/>
      <c r="BA17" s="434"/>
      <c r="BB17" s="434"/>
      <c r="BC17" s="434"/>
      <c r="BD17" s="434"/>
    </row>
    <row r="18" spans="1:56" s="44" customFormat="1" ht="25.5" customHeight="1">
      <c r="A18" s="434"/>
      <c r="B18" s="434"/>
      <c r="C18" s="434"/>
      <c r="D18" s="988"/>
      <c r="E18" s="434"/>
      <c r="F18" s="1052"/>
      <c r="G18" s="1160" t="s">
        <v>1164</v>
      </c>
      <c r="H18" s="1160"/>
      <c r="I18" s="1053"/>
      <c r="J18" s="1053"/>
      <c r="K18" s="1054"/>
      <c r="L18" s="3313">
        <v>0</v>
      </c>
      <c r="M18" s="3351"/>
      <c r="N18" s="3351"/>
      <c r="O18" s="3351"/>
      <c r="P18" s="3351"/>
      <c r="Q18" s="3309"/>
      <c r="R18" s="3313">
        <v>0</v>
      </c>
      <c r="S18" s="3351"/>
      <c r="T18" s="3351"/>
      <c r="U18" s="3351"/>
      <c r="V18" s="3351"/>
      <c r="W18" s="3447"/>
      <c r="X18" s="3473">
        <f>SUM(L18:W18)</f>
        <v>0</v>
      </c>
      <c r="Y18" s="3473"/>
      <c r="Z18" s="3473"/>
      <c r="AA18" s="3473"/>
      <c r="AB18" s="3473"/>
      <c r="AC18" s="3474"/>
      <c r="AD18" s="861"/>
      <c r="AE18" s="434"/>
      <c r="AF18" s="988"/>
      <c r="AG18" s="434"/>
      <c r="AH18" s="434"/>
      <c r="AI18" s="434"/>
      <c r="AJ18" s="593"/>
      <c r="AK18" s="593"/>
      <c r="AL18" s="434"/>
      <c r="AM18" s="434"/>
      <c r="AN18" s="434"/>
      <c r="AO18" s="434"/>
      <c r="AP18" s="434"/>
      <c r="AQ18" s="434"/>
      <c r="AR18" s="434"/>
      <c r="AS18" s="434"/>
      <c r="AT18" s="434"/>
      <c r="AU18" s="434"/>
      <c r="AV18" s="434"/>
      <c r="AW18" s="434"/>
      <c r="AX18" s="434"/>
      <c r="AY18" s="434"/>
      <c r="AZ18" s="434"/>
      <c r="BA18" s="434"/>
      <c r="BB18" s="434"/>
      <c r="BC18" s="434"/>
      <c r="BD18" s="434"/>
    </row>
    <row r="19" spans="1:56" s="44" customFormat="1" ht="25.5" customHeight="1" thickBot="1">
      <c r="A19" s="434"/>
      <c r="B19" s="434"/>
      <c r="C19" s="434"/>
      <c r="D19" s="988"/>
      <c r="E19" s="434"/>
      <c r="F19" s="1055"/>
      <c r="G19" s="1161" t="s">
        <v>1165</v>
      </c>
      <c r="H19" s="1161"/>
      <c r="I19" s="1056"/>
      <c r="J19" s="1056"/>
      <c r="K19" s="1057"/>
      <c r="L19" s="3352">
        <v>0</v>
      </c>
      <c r="M19" s="3353"/>
      <c r="N19" s="3353"/>
      <c r="O19" s="3353"/>
      <c r="P19" s="3353"/>
      <c r="Q19" s="3354"/>
      <c r="R19" s="3352">
        <v>0</v>
      </c>
      <c r="S19" s="3353"/>
      <c r="T19" s="3353"/>
      <c r="U19" s="3353"/>
      <c r="V19" s="3353"/>
      <c r="W19" s="3444"/>
      <c r="X19" s="3465">
        <f>SUM(L19:W19)</f>
        <v>0</v>
      </c>
      <c r="Y19" s="3465"/>
      <c r="Z19" s="3465"/>
      <c r="AA19" s="3465"/>
      <c r="AB19" s="3465"/>
      <c r="AC19" s="3466"/>
      <c r="AD19" s="861"/>
      <c r="AE19" s="434"/>
      <c r="AF19" s="988"/>
      <c r="AG19" s="434"/>
      <c r="AH19" s="434"/>
      <c r="AI19" s="434"/>
      <c r="AJ19" s="593"/>
      <c r="AK19" s="593"/>
      <c r="AL19" s="434"/>
      <c r="AM19" s="434"/>
      <c r="AN19" s="434"/>
      <c r="AO19" s="434"/>
      <c r="AP19" s="434"/>
      <c r="AQ19" s="434"/>
      <c r="AR19" s="434"/>
      <c r="AS19" s="434"/>
      <c r="AT19" s="434"/>
      <c r="AU19" s="434"/>
      <c r="AV19" s="434"/>
      <c r="AW19" s="434"/>
      <c r="AX19" s="434"/>
      <c r="AY19" s="434"/>
      <c r="AZ19" s="434"/>
      <c r="BA19" s="434"/>
      <c r="BB19" s="434"/>
      <c r="BC19" s="434"/>
      <c r="BD19" s="434"/>
    </row>
    <row r="20" spans="1:56" s="44" customFormat="1" ht="25.5" customHeight="1" thickTop="1" thickBot="1">
      <c r="A20" s="434"/>
      <c r="B20" s="434"/>
      <c r="C20" s="434"/>
      <c r="D20" s="988"/>
      <c r="E20" s="434"/>
      <c r="F20" s="3413" t="s">
        <v>42</v>
      </c>
      <c r="G20" s="3414"/>
      <c r="H20" s="3414"/>
      <c r="I20" s="3414"/>
      <c r="J20" s="3414"/>
      <c r="K20" s="3415"/>
      <c r="L20" s="3281">
        <f>SUM(L18:Q19)</f>
        <v>0</v>
      </c>
      <c r="M20" s="3273"/>
      <c r="N20" s="3273"/>
      <c r="O20" s="3273"/>
      <c r="P20" s="3273"/>
      <c r="Q20" s="3277"/>
      <c r="R20" s="3281">
        <f>SUM(R18:W19)</f>
        <v>0</v>
      </c>
      <c r="S20" s="3273"/>
      <c r="T20" s="3273"/>
      <c r="U20" s="3273"/>
      <c r="V20" s="3273"/>
      <c r="W20" s="3442"/>
      <c r="X20" s="3273">
        <f>SUM(X18:AC19)</f>
        <v>0</v>
      </c>
      <c r="Y20" s="3273"/>
      <c r="Z20" s="3273"/>
      <c r="AA20" s="3273"/>
      <c r="AB20" s="3273"/>
      <c r="AC20" s="3277"/>
      <c r="AD20" s="861"/>
      <c r="AE20" s="434"/>
      <c r="AF20" s="988"/>
      <c r="AG20" s="434"/>
      <c r="AH20" s="434"/>
      <c r="AI20" s="434"/>
      <c r="AJ20" s="593"/>
      <c r="AK20" s="593"/>
      <c r="AL20" s="434"/>
      <c r="AM20" s="434"/>
      <c r="AN20" s="434"/>
      <c r="AO20" s="434"/>
      <c r="AP20" s="434"/>
      <c r="AQ20" s="434"/>
      <c r="AR20" s="434"/>
      <c r="AS20" s="434"/>
      <c r="AT20" s="434"/>
      <c r="AU20" s="434"/>
      <c r="AV20" s="434"/>
      <c r="AW20" s="434"/>
      <c r="AX20" s="434"/>
      <c r="AY20" s="434"/>
      <c r="AZ20" s="434"/>
      <c r="BA20" s="434"/>
      <c r="BB20" s="434"/>
      <c r="BC20" s="434"/>
      <c r="BD20" s="434"/>
    </row>
    <row r="21" spans="1:56" s="44" customFormat="1" ht="6" customHeight="1">
      <c r="A21" s="434"/>
      <c r="B21" s="434"/>
      <c r="C21" s="434"/>
      <c r="D21" s="988"/>
      <c r="E21" s="434"/>
      <c r="F21" s="434"/>
      <c r="G21" s="1049"/>
      <c r="H21" s="612"/>
      <c r="I21" s="612"/>
      <c r="J21" s="612"/>
      <c r="K21" s="612"/>
      <c r="L21" s="612"/>
      <c r="M21" s="612"/>
      <c r="N21" s="612"/>
      <c r="O21" s="612"/>
      <c r="P21" s="612"/>
      <c r="Q21" s="861"/>
      <c r="R21" s="434"/>
      <c r="S21" s="861"/>
      <c r="T21" s="960"/>
      <c r="U21" s="593"/>
      <c r="V21" s="434"/>
      <c r="W21" s="434"/>
      <c r="X21" s="861"/>
      <c r="Y21" s="960"/>
      <c r="Z21" s="593"/>
      <c r="AA21" s="593"/>
      <c r="AB21" s="593"/>
      <c r="AC21" s="593"/>
      <c r="AD21" s="593"/>
      <c r="AE21" s="861"/>
      <c r="AF21" s="1166"/>
      <c r="AG21" s="861"/>
      <c r="AH21" s="434"/>
      <c r="AI21" s="434"/>
      <c r="AJ21" s="434"/>
      <c r="AK21" s="434"/>
      <c r="AL21" s="434"/>
      <c r="AM21" s="434"/>
      <c r="AN21" s="434"/>
      <c r="AO21" s="434"/>
      <c r="AP21" s="434"/>
      <c r="AQ21" s="434"/>
      <c r="AR21" s="434"/>
      <c r="AS21" s="434"/>
      <c r="AT21" s="434"/>
      <c r="AU21" s="434"/>
      <c r="AV21" s="434"/>
      <c r="AW21" s="434"/>
      <c r="AX21" s="434"/>
      <c r="AY21" s="434"/>
      <c r="AZ21" s="434"/>
      <c r="BA21" s="434"/>
      <c r="BB21" s="434"/>
      <c r="BC21" s="434"/>
      <c r="BD21" s="434"/>
    </row>
    <row r="22" spans="1:56" s="44" customFormat="1" ht="24.95" customHeight="1">
      <c r="A22" s="434"/>
      <c r="B22" s="434"/>
      <c r="C22" s="434"/>
      <c r="D22" s="988"/>
      <c r="E22" s="1048" t="s">
        <v>49</v>
      </c>
      <c r="F22" s="989" t="s">
        <v>982</v>
      </c>
      <c r="G22" s="989"/>
      <c r="H22" s="998"/>
      <c r="I22" s="998"/>
      <c r="J22" s="998"/>
      <c r="K22" s="998"/>
      <c r="L22" s="998"/>
      <c r="M22" s="998"/>
      <c r="N22" s="998"/>
      <c r="O22" s="998"/>
      <c r="P22" s="998"/>
      <c r="Q22" s="861"/>
      <c r="R22" s="593"/>
      <c r="S22" s="593"/>
      <c r="T22" s="593"/>
      <c r="U22" s="593"/>
      <c r="V22" s="593"/>
      <c r="W22" s="999"/>
      <c r="X22" s="861"/>
      <c r="Y22" s="861"/>
      <c r="Z22" s="861"/>
      <c r="AA22" s="861"/>
      <c r="AB22" s="861"/>
      <c r="AC22" s="861"/>
      <c r="AD22" s="593"/>
      <c r="AE22" s="593"/>
      <c r="AF22" s="690"/>
      <c r="AG22" s="593"/>
      <c r="AH22" s="434"/>
      <c r="AI22" s="434"/>
      <c r="AJ22" s="434"/>
      <c r="AK22" s="434"/>
      <c r="AL22" s="434"/>
      <c r="AM22" s="434"/>
      <c r="AN22" s="434"/>
      <c r="AO22" s="434"/>
      <c r="AP22" s="434"/>
      <c r="AQ22" s="434"/>
      <c r="AR22" s="434"/>
      <c r="AS22" s="434"/>
      <c r="AT22" s="434"/>
      <c r="AU22" s="434"/>
      <c r="AV22" s="434"/>
      <c r="AW22" s="434"/>
      <c r="AX22" s="434"/>
      <c r="AY22" s="434"/>
      <c r="AZ22" s="434"/>
      <c r="BA22" s="434"/>
      <c r="BB22" s="434"/>
      <c r="BC22" s="434"/>
      <c r="BD22" s="434"/>
    </row>
    <row r="23" spans="1:56" s="44" customFormat="1" ht="6" customHeight="1" thickBot="1">
      <c r="A23" s="434"/>
      <c r="B23" s="434"/>
      <c r="C23" s="434"/>
      <c r="D23" s="988"/>
      <c r="E23" s="434"/>
      <c r="F23" s="612"/>
      <c r="G23" s="612"/>
      <c r="H23" s="612"/>
      <c r="I23" s="612"/>
      <c r="J23" s="612"/>
      <c r="K23" s="612"/>
      <c r="L23" s="612"/>
      <c r="M23" s="612"/>
      <c r="N23" s="612"/>
      <c r="O23" s="861"/>
      <c r="P23" s="434"/>
      <c r="Q23" s="861"/>
      <c r="R23" s="960"/>
      <c r="S23" s="593"/>
      <c r="T23" s="434"/>
      <c r="U23" s="434"/>
      <c r="V23" s="861"/>
      <c r="W23" s="960"/>
      <c r="X23" s="593"/>
      <c r="Y23" s="593"/>
      <c r="Z23" s="593"/>
      <c r="AA23" s="593"/>
      <c r="AB23" s="593"/>
      <c r="AC23" s="593"/>
      <c r="AD23" s="434"/>
      <c r="AE23" s="861"/>
      <c r="AF23" s="988"/>
      <c r="AG23" s="434"/>
      <c r="AH23" s="434"/>
      <c r="AI23" s="434"/>
      <c r="AJ23" s="434"/>
      <c r="AK23" s="434"/>
      <c r="AL23" s="434"/>
      <c r="AM23" s="434"/>
      <c r="AN23" s="434"/>
      <c r="AO23" s="434"/>
      <c r="AP23" s="434"/>
      <c r="AQ23" s="434"/>
      <c r="AR23" s="434"/>
      <c r="AS23" s="434"/>
      <c r="AT23" s="434"/>
      <c r="AU23" s="434"/>
      <c r="AV23" s="434"/>
      <c r="AW23" s="434"/>
      <c r="AX23" s="434"/>
      <c r="AY23" s="434"/>
      <c r="AZ23" s="434"/>
      <c r="BA23" s="434"/>
      <c r="BB23" s="434"/>
      <c r="BC23" s="434"/>
      <c r="BD23" s="434"/>
    </row>
    <row r="24" spans="1:56" s="44" customFormat="1" ht="34.5" customHeight="1" thickBot="1">
      <c r="A24" s="434"/>
      <c r="B24" s="434"/>
      <c r="C24" s="434"/>
      <c r="D24" s="988"/>
      <c r="E24" s="434"/>
      <c r="F24" s="3362" t="s">
        <v>983</v>
      </c>
      <c r="G24" s="3363"/>
      <c r="H24" s="3363"/>
      <c r="I24" s="3363"/>
      <c r="J24" s="3363"/>
      <c r="K24" s="3364"/>
      <c r="L24" s="3362" t="s">
        <v>43</v>
      </c>
      <c r="M24" s="3363"/>
      <c r="N24" s="3363"/>
      <c r="O24" s="3363"/>
      <c r="P24" s="3363"/>
      <c r="Q24" s="3364"/>
      <c r="R24" s="3362" t="s">
        <v>44</v>
      </c>
      <c r="S24" s="3363"/>
      <c r="T24" s="3363"/>
      <c r="U24" s="3363"/>
      <c r="V24" s="3363"/>
      <c r="W24" s="3450"/>
      <c r="X24" s="3363" t="s">
        <v>579</v>
      </c>
      <c r="Y24" s="3363"/>
      <c r="Z24" s="3363"/>
      <c r="AA24" s="3363"/>
      <c r="AB24" s="3363"/>
      <c r="AC24" s="3364"/>
      <c r="AD24" s="434"/>
      <c r="AE24" s="434"/>
      <c r="AF24" s="988"/>
      <c r="AG24" s="434"/>
      <c r="AH24" s="434"/>
      <c r="AI24" s="434"/>
      <c r="AJ24" s="593"/>
      <c r="AK24" s="593"/>
      <c r="AL24" s="434"/>
      <c r="AM24" s="434"/>
      <c r="AN24" s="434"/>
      <c r="AO24" s="434"/>
      <c r="AP24" s="434"/>
      <c r="AQ24" s="434"/>
      <c r="AR24" s="434"/>
      <c r="AS24" s="434"/>
      <c r="AT24" s="434"/>
      <c r="AU24" s="434"/>
      <c r="AV24" s="434"/>
      <c r="AW24" s="434"/>
      <c r="AX24" s="434"/>
      <c r="AY24" s="434"/>
      <c r="AZ24" s="434"/>
      <c r="BA24" s="434"/>
      <c r="BB24" s="434"/>
      <c r="BC24" s="434"/>
      <c r="BD24" s="434"/>
    </row>
    <row r="25" spans="1:56" s="44" customFormat="1" ht="25.5" customHeight="1">
      <c r="A25" s="434"/>
      <c r="B25" s="434"/>
      <c r="C25" s="434"/>
      <c r="D25" s="988"/>
      <c r="E25" s="434"/>
      <c r="F25" s="3470" t="s">
        <v>1171</v>
      </c>
      <c r="G25" s="3471"/>
      <c r="H25" s="3471"/>
      <c r="I25" s="3471"/>
      <c r="J25" s="3471"/>
      <c r="K25" s="3472"/>
      <c r="L25" s="3313">
        <v>0</v>
      </c>
      <c r="M25" s="3351"/>
      <c r="N25" s="3351"/>
      <c r="O25" s="3351"/>
      <c r="P25" s="3351"/>
      <c r="Q25" s="3309"/>
      <c r="R25" s="3313">
        <v>0</v>
      </c>
      <c r="S25" s="3351"/>
      <c r="T25" s="3351"/>
      <c r="U25" s="3351"/>
      <c r="V25" s="3351"/>
      <c r="W25" s="3447"/>
      <c r="X25" s="3473">
        <f t="shared" ref="X25:X33" si="0">SUM(L25:W25)</f>
        <v>0</v>
      </c>
      <c r="Y25" s="3473"/>
      <c r="Z25" s="3473"/>
      <c r="AA25" s="3473"/>
      <c r="AB25" s="3473"/>
      <c r="AC25" s="3474"/>
      <c r="AD25" s="434"/>
      <c r="AE25" s="434"/>
      <c r="AF25" s="988"/>
      <c r="AG25" s="434"/>
      <c r="AH25" s="434"/>
      <c r="AI25" s="434"/>
      <c r="AJ25" s="593"/>
      <c r="AK25" s="593"/>
      <c r="AL25" s="434"/>
      <c r="AM25" s="434"/>
      <c r="AN25" s="434"/>
      <c r="AO25" s="434"/>
      <c r="AP25" s="434"/>
      <c r="AQ25" s="434"/>
      <c r="AR25" s="434"/>
      <c r="AS25" s="434"/>
      <c r="AT25" s="434"/>
      <c r="AU25" s="434"/>
      <c r="AV25" s="434"/>
      <c r="AW25" s="434"/>
      <c r="AX25" s="434"/>
      <c r="AY25" s="434"/>
      <c r="AZ25" s="434"/>
      <c r="BA25" s="434"/>
      <c r="BB25" s="434"/>
      <c r="BC25" s="434"/>
      <c r="BD25" s="434"/>
    </row>
    <row r="26" spans="1:56" s="44" customFormat="1" ht="25.5" customHeight="1">
      <c r="A26" s="434"/>
      <c r="B26" s="434"/>
      <c r="C26" s="434"/>
      <c r="D26" s="988"/>
      <c r="E26" s="434"/>
      <c r="F26" s="3467" t="s">
        <v>1172</v>
      </c>
      <c r="G26" s="3468"/>
      <c r="H26" s="3468"/>
      <c r="I26" s="3468"/>
      <c r="J26" s="3468"/>
      <c r="K26" s="3469"/>
      <c r="L26" s="3398">
        <v>0</v>
      </c>
      <c r="M26" s="3399"/>
      <c r="N26" s="3399"/>
      <c r="O26" s="3399"/>
      <c r="P26" s="3399"/>
      <c r="Q26" s="3400"/>
      <c r="R26" s="3398">
        <v>0</v>
      </c>
      <c r="S26" s="3399"/>
      <c r="T26" s="3399"/>
      <c r="U26" s="3399"/>
      <c r="V26" s="3399"/>
      <c r="W26" s="3452"/>
      <c r="X26" s="3460">
        <f t="shared" si="0"/>
        <v>0</v>
      </c>
      <c r="Y26" s="3460"/>
      <c r="Z26" s="3460"/>
      <c r="AA26" s="3460"/>
      <c r="AB26" s="3460"/>
      <c r="AC26" s="3461"/>
      <c r="AD26" s="434"/>
      <c r="AE26" s="434"/>
      <c r="AF26" s="988"/>
      <c r="AG26" s="434"/>
      <c r="AH26" s="434"/>
      <c r="AI26" s="434"/>
      <c r="AJ26" s="593"/>
      <c r="AK26" s="593"/>
      <c r="AL26" s="434"/>
      <c r="AM26" s="434"/>
      <c r="AN26" s="434"/>
      <c r="AO26" s="434"/>
      <c r="AP26" s="434"/>
      <c r="AQ26" s="434"/>
      <c r="AR26" s="434"/>
      <c r="AS26" s="434"/>
      <c r="AT26" s="434"/>
      <c r="AU26" s="434"/>
      <c r="AV26" s="434"/>
      <c r="AW26" s="434"/>
      <c r="AX26" s="434"/>
      <c r="AY26" s="434"/>
      <c r="AZ26" s="434"/>
      <c r="BA26" s="434"/>
      <c r="BB26" s="434"/>
      <c r="BC26" s="434"/>
      <c r="BD26" s="434"/>
    </row>
    <row r="27" spans="1:56" s="44" customFormat="1" ht="25.5" customHeight="1">
      <c r="A27" s="434"/>
      <c r="B27" s="434"/>
      <c r="C27" s="434"/>
      <c r="D27" s="988"/>
      <c r="E27" s="434"/>
      <c r="F27" s="3467" t="s">
        <v>1173</v>
      </c>
      <c r="G27" s="3468"/>
      <c r="H27" s="3468"/>
      <c r="I27" s="3468"/>
      <c r="J27" s="3468"/>
      <c r="K27" s="3469"/>
      <c r="L27" s="3398">
        <v>0</v>
      </c>
      <c r="M27" s="3399"/>
      <c r="N27" s="3399"/>
      <c r="O27" s="3399"/>
      <c r="P27" s="3399"/>
      <c r="Q27" s="3400"/>
      <c r="R27" s="3398">
        <v>0</v>
      </c>
      <c r="S27" s="3399"/>
      <c r="T27" s="3399"/>
      <c r="U27" s="3399"/>
      <c r="V27" s="3399"/>
      <c r="W27" s="3452"/>
      <c r="X27" s="3460">
        <f t="shared" si="0"/>
        <v>0</v>
      </c>
      <c r="Y27" s="3460"/>
      <c r="Z27" s="3460"/>
      <c r="AA27" s="3460"/>
      <c r="AB27" s="3460"/>
      <c r="AC27" s="3461"/>
      <c r="AD27" s="434"/>
      <c r="AE27" s="434"/>
      <c r="AF27" s="988"/>
      <c r="AG27" s="434"/>
      <c r="AH27" s="434"/>
      <c r="AI27" s="434"/>
      <c r="AJ27" s="593"/>
      <c r="AK27" s="593"/>
      <c r="AL27" s="434"/>
      <c r="AM27" s="434"/>
      <c r="AN27" s="434"/>
      <c r="AO27" s="434"/>
      <c r="AP27" s="434"/>
      <c r="AQ27" s="434"/>
      <c r="AR27" s="434"/>
      <c r="AS27" s="434"/>
      <c r="AT27" s="434"/>
      <c r="AU27" s="434"/>
      <c r="AV27" s="434"/>
      <c r="AW27" s="434"/>
      <c r="AX27" s="434"/>
      <c r="AY27" s="434"/>
      <c r="AZ27" s="434"/>
      <c r="BA27" s="434"/>
      <c r="BB27" s="434"/>
      <c r="BC27" s="434"/>
      <c r="BD27" s="434"/>
    </row>
    <row r="28" spans="1:56" s="44" customFormat="1" ht="25.5" customHeight="1">
      <c r="A28" s="434"/>
      <c r="B28" s="434"/>
      <c r="C28" s="434"/>
      <c r="D28" s="988"/>
      <c r="E28" s="434"/>
      <c r="F28" s="3467" t="s">
        <v>1174</v>
      </c>
      <c r="G28" s="3468"/>
      <c r="H28" s="3468"/>
      <c r="I28" s="3468"/>
      <c r="J28" s="3468"/>
      <c r="K28" s="3469"/>
      <c r="L28" s="3398">
        <v>0</v>
      </c>
      <c r="M28" s="3399"/>
      <c r="N28" s="3399"/>
      <c r="O28" s="3399"/>
      <c r="P28" s="3399"/>
      <c r="Q28" s="3400"/>
      <c r="R28" s="3398">
        <v>0</v>
      </c>
      <c r="S28" s="3399"/>
      <c r="T28" s="3399"/>
      <c r="U28" s="3399"/>
      <c r="V28" s="3399"/>
      <c r="W28" s="3452"/>
      <c r="X28" s="3460">
        <f t="shared" si="0"/>
        <v>0</v>
      </c>
      <c r="Y28" s="3460"/>
      <c r="Z28" s="3460"/>
      <c r="AA28" s="3460"/>
      <c r="AB28" s="3460"/>
      <c r="AC28" s="3461"/>
      <c r="AD28" s="434"/>
      <c r="AE28" s="434"/>
      <c r="AF28" s="988"/>
      <c r="AG28" s="434"/>
      <c r="AH28" s="434"/>
      <c r="AI28" s="434"/>
      <c r="AJ28" s="593"/>
      <c r="AK28" s="593"/>
      <c r="AL28" s="434"/>
      <c r="AM28" s="434"/>
      <c r="AN28" s="434"/>
      <c r="AO28" s="434"/>
      <c r="AP28" s="434"/>
      <c r="AQ28" s="434"/>
      <c r="AR28" s="434"/>
      <c r="AS28" s="434"/>
      <c r="AT28" s="434"/>
      <c r="AU28" s="434"/>
      <c r="AV28" s="434"/>
      <c r="AW28" s="434"/>
      <c r="AX28" s="434"/>
      <c r="AY28" s="434"/>
      <c r="AZ28" s="434"/>
      <c r="BA28" s="434"/>
      <c r="BB28" s="434"/>
      <c r="BC28" s="434"/>
      <c r="BD28" s="434"/>
    </row>
    <row r="29" spans="1:56" s="44" customFormat="1" ht="25.5" customHeight="1">
      <c r="A29" s="434"/>
      <c r="B29" s="434"/>
      <c r="C29" s="434"/>
      <c r="D29" s="988"/>
      <c r="E29" s="434"/>
      <c r="F29" s="3467" t="s">
        <v>1175</v>
      </c>
      <c r="G29" s="3468"/>
      <c r="H29" s="3468"/>
      <c r="I29" s="3468"/>
      <c r="J29" s="3468"/>
      <c r="K29" s="3469"/>
      <c r="L29" s="3398">
        <v>0</v>
      </c>
      <c r="M29" s="3399"/>
      <c r="N29" s="3399"/>
      <c r="O29" s="3399"/>
      <c r="P29" s="3399"/>
      <c r="Q29" s="3400"/>
      <c r="R29" s="3398">
        <v>0</v>
      </c>
      <c r="S29" s="3399"/>
      <c r="T29" s="3399"/>
      <c r="U29" s="3399"/>
      <c r="V29" s="3399"/>
      <c r="W29" s="3452"/>
      <c r="X29" s="3460">
        <f t="shared" si="0"/>
        <v>0</v>
      </c>
      <c r="Y29" s="3460"/>
      <c r="Z29" s="3460"/>
      <c r="AA29" s="3460"/>
      <c r="AB29" s="3460"/>
      <c r="AC29" s="3461"/>
      <c r="AD29" s="434"/>
      <c r="AE29" s="434"/>
      <c r="AF29" s="988"/>
      <c r="AG29" s="434"/>
      <c r="AH29" s="434"/>
      <c r="AI29" s="434"/>
      <c r="AJ29" s="593"/>
      <c r="AK29" s="593"/>
      <c r="AL29" s="434"/>
      <c r="AM29" s="434"/>
      <c r="AN29" s="434"/>
      <c r="AO29" s="434"/>
      <c r="AP29" s="434"/>
      <c r="AQ29" s="434"/>
      <c r="AR29" s="434"/>
      <c r="AS29" s="434"/>
      <c r="AT29" s="434"/>
      <c r="AU29" s="434"/>
      <c r="AV29" s="434"/>
      <c r="AW29" s="434"/>
      <c r="AX29" s="434"/>
      <c r="AY29" s="434"/>
      <c r="AZ29" s="434"/>
      <c r="BA29" s="434"/>
      <c r="BB29" s="434"/>
      <c r="BC29" s="434"/>
      <c r="BD29" s="434"/>
    </row>
    <row r="30" spans="1:56" s="44" customFormat="1" ht="25.5" customHeight="1">
      <c r="A30" s="434"/>
      <c r="B30" s="434"/>
      <c r="C30" s="434"/>
      <c r="D30" s="988"/>
      <c r="E30" s="434"/>
      <c r="F30" s="3467" t="s">
        <v>1176</v>
      </c>
      <c r="G30" s="3468"/>
      <c r="H30" s="3468"/>
      <c r="I30" s="3468"/>
      <c r="J30" s="3468"/>
      <c r="K30" s="3469"/>
      <c r="L30" s="3398">
        <v>0</v>
      </c>
      <c r="M30" s="3399"/>
      <c r="N30" s="3399"/>
      <c r="O30" s="3399"/>
      <c r="P30" s="3399"/>
      <c r="Q30" s="3400"/>
      <c r="R30" s="3398">
        <v>0</v>
      </c>
      <c r="S30" s="3399"/>
      <c r="T30" s="3399"/>
      <c r="U30" s="3399"/>
      <c r="V30" s="3399"/>
      <c r="W30" s="3452"/>
      <c r="X30" s="3460">
        <f t="shared" si="0"/>
        <v>0</v>
      </c>
      <c r="Y30" s="3460"/>
      <c r="Z30" s="3460"/>
      <c r="AA30" s="3460"/>
      <c r="AB30" s="3460"/>
      <c r="AC30" s="3461"/>
      <c r="AD30" s="434"/>
      <c r="AE30" s="434"/>
      <c r="AF30" s="988"/>
      <c r="AG30" s="434"/>
      <c r="AH30" s="434"/>
      <c r="AI30" s="434"/>
      <c r="AJ30" s="593"/>
      <c r="AK30" s="593"/>
      <c r="AL30" s="434"/>
      <c r="AM30" s="434"/>
      <c r="AN30" s="434"/>
      <c r="AO30" s="434"/>
      <c r="AP30" s="434"/>
      <c r="AQ30" s="434"/>
      <c r="AR30" s="434"/>
      <c r="AS30" s="434"/>
      <c r="AT30" s="434"/>
      <c r="AU30" s="434"/>
      <c r="AV30" s="434"/>
      <c r="AW30" s="434"/>
      <c r="AX30" s="434"/>
      <c r="AY30" s="434"/>
      <c r="AZ30" s="434"/>
      <c r="BA30" s="434"/>
      <c r="BB30" s="434"/>
      <c r="BC30" s="434"/>
      <c r="BD30" s="434"/>
    </row>
    <row r="31" spans="1:56" s="44" customFormat="1" ht="25.5" customHeight="1">
      <c r="A31" s="434"/>
      <c r="B31" s="434"/>
      <c r="C31" s="434"/>
      <c r="D31" s="988"/>
      <c r="E31" s="434"/>
      <c r="F31" s="3467" t="s">
        <v>1177</v>
      </c>
      <c r="G31" s="3468"/>
      <c r="H31" s="3468"/>
      <c r="I31" s="3468"/>
      <c r="J31" s="3468"/>
      <c r="K31" s="3469"/>
      <c r="L31" s="3398">
        <v>0</v>
      </c>
      <c r="M31" s="3399"/>
      <c r="N31" s="3399"/>
      <c r="O31" s="3399"/>
      <c r="P31" s="3399"/>
      <c r="Q31" s="3400"/>
      <c r="R31" s="3398">
        <v>0</v>
      </c>
      <c r="S31" s="3399"/>
      <c r="T31" s="3399"/>
      <c r="U31" s="3399"/>
      <c r="V31" s="3399"/>
      <c r="W31" s="3452"/>
      <c r="X31" s="3460">
        <f t="shared" si="0"/>
        <v>0</v>
      </c>
      <c r="Y31" s="3460"/>
      <c r="Z31" s="3460"/>
      <c r="AA31" s="3460"/>
      <c r="AB31" s="3460"/>
      <c r="AC31" s="3461"/>
      <c r="AD31" s="434"/>
      <c r="AE31" s="434"/>
      <c r="AF31" s="988"/>
      <c r="AG31" s="434"/>
      <c r="AH31" s="434"/>
      <c r="AI31" s="434"/>
      <c r="AJ31" s="593"/>
      <c r="AK31" s="593"/>
      <c r="AL31" s="434"/>
      <c r="AM31" s="434"/>
      <c r="AN31" s="434"/>
      <c r="AO31" s="434"/>
      <c r="AP31" s="434"/>
      <c r="AQ31" s="434"/>
      <c r="AR31" s="434"/>
      <c r="AS31" s="434"/>
      <c r="AT31" s="434"/>
      <c r="AU31" s="434"/>
      <c r="AV31" s="434"/>
      <c r="AW31" s="434"/>
      <c r="AX31" s="434"/>
      <c r="AY31" s="434"/>
      <c r="AZ31" s="434"/>
      <c r="BA31" s="434"/>
      <c r="BB31" s="434"/>
      <c r="BC31" s="434"/>
      <c r="BD31" s="434"/>
    </row>
    <row r="32" spans="1:56" s="44" customFormat="1" ht="25.5" customHeight="1">
      <c r="A32" s="434"/>
      <c r="B32" s="434"/>
      <c r="C32" s="434"/>
      <c r="D32" s="988"/>
      <c r="E32" s="434"/>
      <c r="F32" s="3467" t="s">
        <v>1178</v>
      </c>
      <c r="G32" s="3468"/>
      <c r="H32" s="3468"/>
      <c r="I32" s="3468"/>
      <c r="J32" s="3468"/>
      <c r="K32" s="3469"/>
      <c r="L32" s="3398">
        <v>0</v>
      </c>
      <c r="M32" s="3399"/>
      <c r="N32" s="3399"/>
      <c r="O32" s="3399"/>
      <c r="P32" s="3399"/>
      <c r="Q32" s="3400"/>
      <c r="R32" s="3398">
        <v>0</v>
      </c>
      <c r="S32" s="3399"/>
      <c r="T32" s="3399"/>
      <c r="U32" s="3399"/>
      <c r="V32" s="3399"/>
      <c r="W32" s="3452"/>
      <c r="X32" s="3460">
        <f t="shared" si="0"/>
        <v>0</v>
      </c>
      <c r="Y32" s="3460"/>
      <c r="Z32" s="3460"/>
      <c r="AA32" s="3460"/>
      <c r="AB32" s="3460"/>
      <c r="AC32" s="3461"/>
      <c r="AD32" s="434"/>
      <c r="AE32" s="434"/>
      <c r="AF32" s="988"/>
      <c r="AG32" s="434"/>
      <c r="AH32" s="434"/>
      <c r="AI32" s="434"/>
      <c r="AJ32" s="593"/>
      <c r="AK32" s="593"/>
      <c r="AL32" s="434"/>
      <c r="AM32" s="434"/>
      <c r="AN32" s="434"/>
      <c r="AO32" s="434"/>
      <c r="AP32" s="434"/>
      <c r="AQ32" s="434"/>
      <c r="AR32" s="434"/>
      <c r="AS32" s="434"/>
      <c r="AT32" s="434"/>
      <c r="AU32" s="434"/>
      <c r="AV32" s="434"/>
      <c r="AW32" s="434"/>
      <c r="AX32" s="434"/>
      <c r="AY32" s="434"/>
      <c r="AZ32" s="434"/>
      <c r="BA32" s="434"/>
      <c r="BB32" s="434"/>
      <c r="BC32" s="434"/>
      <c r="BD32" s="434"/>
    </row>
    <row r="33" spans="1:61" s="44" customFormat="1" ht="25.5" customHeight="1" thickBot="1">
      <c r="A33" s="434"/>
      <c r="B33" s="434"/>
      <c r="C33" s="434"/>
      <c r="D33" s="988"/>
      <c r="E33" s="434"/>
      <c r="F33" s="3462" t="s">
        <v>1225</v>
      </c>
      <c r="G33" s="3463"/>
      <c r="H33" s="3463"/>
      <c r="I33" s="3463"/>
      <c r="J33" s="3463"/>
      <c r="K33" s="3464"/>
      <c r="L33" s="3352">
        <v>0</v>
      </c>
      <c r="M33" s="3353"/>
      <c r="N33" s="3353"/>
      <c r="O33" s="3353"/>
      <c r="P33" s="3353"/>
      <c r="Q33" s="3354"/>
      <c r="R33" s="3352">
        <v>0</v>
      </c>
      <c r="S33" s="3353"/>
      <c r="T33" s="3353"/>
      <c r="U33" s="3353"/>
      <c r="V33" s="3353"/>
      <c r="W33" s="3444"/>
      <c r="X33" s="3465">
        <f t="shared" si="0"/>
        <v>0</v>
      </c>
      <c r="Y33" s="3465"/>
      <c r="Z33" s="3465"/>
      <c r="AA33" s="3465"/>
      <c r="AB33" s="3465"/>
      <c r="AC33" s="3466"/>
      <c r="AD33" s="434"/>
      <c r="AE33" s="434"/>
      <c r="AF33" s="988"/>
      <c r="AG33" s="434"/>
      <c r="AH33" s="434"/>
      <c r="AI33" s="434"/>
      <c r="AJ33" s="593"/>
      <c r="AK33" s="593"/>
      <c r="AL33" s="434"/>
      <c r="AM33" s="434"/>
      <c r="AN33" s="434"/>
      <c r="AO33" s="434"/>
      <c r="AP33" s="434"/>
      <c r="AQ33" s="434"/>
      <c r="AR33" s="434"/>
      <c r="AS33" s="434"/>
      <c r="AT33" s="434"/>
      <c r="AU33" s="434"/>
      <c r="AV33" s="434"/>
      <c r="AW33" s="434"/>
      <c r="AX33" s="434"/>
      <c r="AY33" s="434"/>
      <c r="AZ33" s="434"/>
      <c r="BA33" s="434"/>
      <c r="BB33" s="434"/>
      <c r="BC33" s="434"/>
      <c r="BD33" s="434"/>
    </row>
    <row r="34" spans="1:61" s="44" customFormat="1" ht="25.5" customHeight="1" thickTop="1" thickBot="1">
      <c r="A34" s="434"/>
      <c r="B34" s="434"/>
      <c r="C34" s="434"/>
      <c r="D34" s="988"/>
      <c r="E34" s="434"/>
      <c r="F34" s="3413" t="s">
        <v>42</v>
      </c>
      <c r="G34" s="3414"/>
      <c r="H34" s="3414"/>
      <c r="I34" s="3414"/>
      <c r="J34" s="3414"/>
      <c r="K34" s="3415"/>
      <c r="L34" s="3281">
        <f>SUM(L25:Q33)</f>
        <v>0</v>
      </c>
      <c r="M34" s="3273"/>
      <c r="N34" s="3273"/>
      <c r="O34" s="3273"/>
      <c r="P34" s="3273"/>
      <c r="Q34" s="3277"/>
      <c r="R34" s="3281">
        <f>SUM(R25:W33)</f>
        <v>0</v>
      </c>
      <c r="S34" s="3273"/>
      <c r="T34" s="3273"/>
      <c r="U34" s="3273"/>
      <c r="V34" s="3273"/>
      <c r="W34" s="3442"/>
      <c r="X34" s="3273">
        <f>SUM(X25:AC33)</f>
        <v>0</v>
      </c>
      <c r="Y34" s="3273"/>
      <c r="Z34" s="3273"/>
      <c r="AA34" s="3273"/>
      <c r="AB34" s="3273"/>
      <c r="AC34" s="3277"/>
      <c r="AD34" s="434"/>
      <c r="AE34" s="434"/>
      <c r="AF34" s="988"/>
      <c r="AG34" s="434"/>
      <c r="AH34" s="434"/>
      <c r="AI34" s="434"/>
      <c r="AJ34" s="593"/>
      <c r="AK34" s="593"/>
      <c r="AL34" s="434"/>
      <c r="AM34" s="434"/>
      <c r="AN34" s="434"/>
      <c r="AO34" s="434"/>
      <c r="AP34" s="434"/>
      <c r="AQ34" s="434"/>
      <c r="AR34" s="434"/>
      <c r="AS34" s="434"/>
      <c r="AT34" s="434"/>
      <c r="AU34" s="434"/>
      <c r="AV34" s="434"/>
      <c r="AW34" s="434"/>
      <c r="AX34" s="434"/>
      <c r="AY34" s="434"/>
      <c r="AZ34" s="434"/>
      <c r="BA34" s="434"/>
      <c r="BB34" s="434"/>
      <c r="BC34" s="434"/>
      <c r="BD34" s="434"/>
    </row>
    <row r="35" spans="1:61" s="44" customFormat="1" ht="11.25" customHeight="1" thickBot="1">
      <c r="A35" s="434"/>
      <c r="B35" s="434"/>
      <c r="C35" s="434"/>
      <c r="D35" s="646"/>
      <c r="E35" s="659"/>
      <c r="F35" s="642"/>
      <c r="G35" s="642"/>
      <c r="H35" s="1000"/>
      <c r="I35" s="596"/>
      <c r="J35" s="596"/>
      <c r="K35" s="596"/>
      <c r="L35" s="596"/>
      <c r="M35" s="596"/>
      <c r="N35" s="596"/>
      <c r="O35" s="596"/>
      <c r="P35" s="596"/>
      <c r="Q35" s="596"/>
      <c r="R35" s="866"/>
      <c r="S35" s="866"/>
      <c r="T35" s="866"/>
      <c r="U35" s="866"/>
      <c r="V35" s="866"/>
      <c r="W35" s="596"/>
      <c r="X35" s="866"/>
      <c r="Y35" s="866"/>
      <c r="Z35" s="866"/>
      <c r="AA35" s="866"/>
      <c r="AB35" s="866"/>
      <c r="AC35" s="866"/>
      <c r="AD35" s="596"/>
      <c r="AE35" s="596"/>
      <c r="AF35" s="588"/>
      <c r="AG35" s="582"/>
      <c r="AH35" s="434"/>
      <c r="AI35" s="434"/>
      <c r="AJ35" s="434"/>
      <c r="AK35" s="434"/>
      <c r="AL35" s="434"/>
      <c r="AM35" s="434"/>
      <c r="AN35" s="434"/>
      <c r="AO35" s="434"/>
      <c r="AP35" s="434"/>
      <c r="AQ35" s="434"/>
      <c r="AR35" s="434"/>
      <c r="AS35" s="434"/>
      <c r="AT35" s="434"/>
      <c r="AU35" s="434"/>
      <c r="AV35" s="434"/>
      <c r="AW35" s="434"/>
      <c r="AX35" s="434"/>
      <c r="AY35" s="434"/>
      <c r="AZ35" s="434"/>
      <c r="BA35" s="434"/>
      <c r="BB35" s="434"/>
      <c r="BC35" s="434"/>
      <c r="BD35" s="434"/>
    </row>
    <row r="36" spans="1:61" s="44" customFormat="1" ht="6" customHeight="1">
      <c r="A36" s="434"/>
      <c r="B36" s="434"/>
      <c r="C36" s="434"/>
      <c r="D36" s="434"/>
      <c r="E36" s="434"/>
      <c r="F36" s="434"/>
      <c r="G36" s="1049"/>
      <c r="H36" s="612"/>
      <c r="I36" s="612"/>
      <c r="J36" s="612"/>
      <c r="K36" s="612"/>
      <c r="L36" s="612"/>
      <c r="M36" s="612"/>
      <c r="N36" s="612"/>
      <c r="O36" s="612"/>
      <c r="P36" s="612"/>
      <c r="Q36" s="861"/>
      <c r="R36" s="434"/>
      <c r="S36" s="861"/>
      <c r="T36" s="960"/>
      <c r="U36" s="593"/>
      <c r="V36" s="434"/>
      <c r="W36" s="434"/>
      <c r="X36" s="861"/>
      <c r="Y36" s="960"/>
      <c r="Z36" s="593"/>
      <c r="AA36" s="593"/>
      <c r="AB36" s="593"/>
      <c r="AC36" s="593"/>
      <c r="AD36" s="593"/>
      <c r="AE36" s="434"/>
      <c r="AF36" s="861"/>
      <c r="AG36" s="861"/>
      <c r="AH36" s="861"/>
      <c r="AI36" s="861"/>
      <c r="AJ36" s="861"/>
      <c r="AK36" s="861"/>
      <c r="AL36" s="861"/>
      <c r="AM36" s="861"/>
      <c r="AN36" s="861"/>
      <c r="AO36" s="861"/>
      <c r="AP36" s="861"/>
      <c r="AQ36" s="861"/>
      <c r="AR36" s="861"/>
      <c r="AS36" s="861"/>
      <c r="AT36" s="861"/>
      <c r="AU36" s="861"/>
      <c r="AV36" s="861"/>
      <c r="AW36" s="861"/>
      <c r="AX36" s="861"/>
      <c r="AY36" s="434"/>
      <c r="AZ36" s="434"/>
      <c r="BA36" s="434"/>
      <c r="BB36" s="434"/>
      <c r="BC36" s="434"/>
      <c r="BD36" s="434"/>
      <c r="BF36" s="41"/>
      <c r="BG36" s="41"/>
      <c r="BH36" s="41"/>
      <c r="BI36" s="41"/>
    </row>
    <row r="37" spans="1:61" s="44" customFormat="1" ht="33" customHeight="1">
      <c r="A37" s="434"/>
      <c r="B37" s="434"/>
      <c r="C37" s="434"/>
      <c r="D37" s="1169" t="s">
        <v>47</v>
      </c>
      <c r="E37" s="3388" t="s">
        <v>1179</v>
      </c>
      <c r="F37" s="3388"/>
      <c r="G37" s="3388"/>
      <c r="H37" s="3388"/>
      <c r="I37" s="3388"/>
      <c r="J37" s="3388"/>
      <c r="K37" s="3388"/>
      <c r="L37" s="3388"/>
      <c r="M37" s="3388"/>
      <c r="N37" s="3388"/>
      <c r="O37" s="3388"/>
      <c r="P37" s="3388"/>
      <c r="Q37" s="3388"/>
      <c r="R37" s="3388"/>
      <c r="S37" s="3388"/>
      <c r="T37" s="3388"/>
      <c r="U37" s="3388"/>
      <c r="V37" s="3388"/>
      <c r="W37" s="3388"/>
      <c r="X37" s="3388"/>
      <c r="Y37" s="3388"/>
      <c r="Z37" s="3388"/>
      <c r="AA37" s="3388"/>
      <c r="AB37" s="3388"/>
      <c r="AC37" s="3388"/>
      <c r="AD37" s="3388"/>
      <c r="AE37" s="3388"/>
      <c r="AF37" s="1170"/>
      <c r="AG37" s="1170"/>
      <c r="AH37" s="1170"/>
      <c r="AI37" s="1170"/>
      <c r="AJ37" s="1170"/>
      <c r="AK37" s="1170"/>
      <c r="AL37" s="1170"/>
      <c r="AM37" s="1170"/>
      <c r="AN37" s="1170"/>
      <c r="AO37" s="1170"/>
      <c r="AP37" s="1170"/>
      <c r="AQ37" s="1170"/>
      <c r="AR37" s="1081"/>
      <c r="AS37" s="1081"/>
      <c r="AT37" s="1081"/>
      <c r="AU37" s="1081"/>
      <c r="AV37" s="434"/>
      <c r="AW37" s="434"/>
      <c r="AX37" s="434"/>
      <c r="AY37" s="434"/>
      <c r="AZ37" s="434"/>
      <c r="BA37" s="434"/>
      <c r="BB37" s="434"/>
      <c r="BC37" s="434"/>
      <c r="BD37" s="434"/>
    </row>
    <row r="38" spans="1:61" s="44" customFormat="1" ht="15.75" customHeight="1">
      <c r="A38" s="434"/>
      <c r="B38" s="434"/>
      <c r="C38" s="434"/>
      <c r="D38" s="1162" t="s">
        <v>48</v>
      </c>
      <c r="E38" s="3459" t="s">
        <v>1180</v>
      </c>
      <c r="F38" s="3459"/>
      <c r="G38" s="3459"/>
      <c r="H38" s="3459"/>
      <c r="I38" s="3459"/>
      <c r="J38" s="3459"/>
      <c r="K38" s="3459"/>
      <c r="L38" s="3459"/>
      <c r="M38" s="3459"/>
      <c r="N38" s="3459"/>
      <c r="O38" s="3459"/>
      <c r="P38" s="3459"/>
      <c r="Q38" s="3459"/>
      <c r="R38" s="3459"/>
      <c r="S38" s="3459"/>
      <c r="T38" s="3459"/>
      <c r="U38" s="3459"/>
      <c r="V38" s="3459"/>
      <c r="W38" s="3459"/>
      <c r="X38" s="3459"/>
      <c r="Y38" s="3459"/>
      <c r="Z38" s="3459"/>
      <c r="AA38" s="3459"/>
      <c r="AB38" s="3459"/>
      <c r="AC38" s="3459"/>
      <c r="AD38" s="3459"/>
      <c r="AE38" s="3459"/>
      <c r="AF38" s="1163"/>
      <c r="AG38" s="1163"/>
      <c r="AH38" s="1163"/>
      <c r="AI38" s="1163"/>
      <c r="AJ38" s="1163"/>
      <c r="AK38" s="1163"/>
      <c r="AL38" s="1163"/>
      <c r="AM38" s="1163"/>
      <c r="AN38" s="1163"/>
      <c r="AO38" s="1163"/>
      <c r="AP38" s="1163"/>
      <c r="AQ38" s="1163"/>
      <c r="AR38" s="1081"/>
      <c r="AS38" s="1081"/>
      <c r="AT38" s="1081"/>
      <c r="AU38" s="1081"/>
      <c r="AV38" s="434"/>
      <c r="AW38" s="434"/>
      <c r="AX38" s="434"/>
      <c r="AY38" s="434"/>
      <c r="AZ38" s="434"/>
      <c r="BA38" s="434"/>
      <c r="BB38" s="434"/>
      <c r="BC38" s="434"/>
      <c r="BD38" s="434"/>
    </row>
    <row r="39" spans="1:61" s="44" customFormat="1" ht="15.75" customHeight="1">
      <c r="A39" s="434"/>
      <c r="B39" s="434"/>
      <c r="C39" s="434"/>
      <c r="D39" s="1162" t="s">
        <v>49</v>
      </c>
      <c r="E39" s="3459" t="s">
        <v>1181</v>
      </c>
      <c r="F39" s="3459"/>
      <c r="G39" s="3459"/>
      <c r="H39" s="3459"/>
      <c r="I39" s="3459"/>
      <c r="J39" s="3459"/>
      <c r="K39" s="3459"/>
      <c r="L39" s="3459"/>
      <c r="M39" s="3459"/>
      <c r="N39" s="3459"/>
      <c r="O39" s="3459"/>
      <c r="P39" s="3459"/>
      <c r="Q39" s="3459"/>
      <c r="R39" s="3459"/>
      <c r="S39" s="3459"/>
      <c r="T39" s="3459"/>
      <c r="U39" s="3459"/>
      <c r="V39" s="3459"/>
      <c r="W39" s="3459"/>
      <c r="X39" s="3459"/>
      <c r="Y39" s="3459"/>
      <c r="Z39" s="3459"/>
      <c r="AA39" s="3459"/>
      <c r="AB39" s="3459"/>
      <c r="AC39" s="3459"/>
      <c r="AD39" s="3459"/>
      <c r="AE39" s="3459"/>
      <c r="AF39" s="1163"/>
      <c r="AG39" s="1163"/>
      <c r="AH39" s="1163"/>
      <c r="AI39" s="1163"/>
      <c r="AJ39" s="1163"/>
      <c r="AK39" s="1163"/>
      <c r="AL39" s="1163"/>
      <c r="AM39" s="1163"/>
      <c r="AN39" s="1163"/>
      <c r="AO39" s="1163"/>
      <c r="AP39" s="1163"/>
      <c r="AQ39" s="1163"/>
      <c r="AR39" s="1081"/>
      <c r="AS39" s="1081"/>
      <c r="AT39" s="1081"/>
      <c r="AU39" s="1081"/>
      <c r="AV39" s="434"/>
      <c r="AW39" s="434"/>
      <c r="AX39" s="434"/>
      <c r="AY39" s="434"/>
      <c r="AZ39" s="434"/>
      <c r="BA39" s="434"/>
      <c r="BB39" s="434"/>
      <c r="BC39" s="434"/>
      <c r="BD39" s="434"/>
    </row>
    <row r="40" spans="1:61" s="44" customFormat="1" ht="33" customHeight="1">
      <c r="A40" s="434"/>
      <c r="B40" s="434"/>
      <c r="C40" s="434"/>
      <c r="D40" s="1169" t="s">
        <v>50</v>
      </c>
      <c r="E40" s="3459" t="s">
        <v>1182</v>
      </c>
      <c r="F40" s="3459"/>
      <c r="G40" s="3459"/>
      <c r="H40" s="3459"/>
      <c r="I40" s="3459"/>
      <c r="J40" s="3459"/>
      <c r="K40" s="3459"/>
      <c r="L40" s="3459"/>
      <c r="M40" s="3459"/>
      <c r="N40" s="3459"/>
      <c r="O40" s="3459"/>
      <c r="P40" s="3459"/>
      <c r="Q40" s="3459"/>
      <c r="R40" s="3459"/>
      <c r="S40" s="3459"/>
      <c r="T40" s="3459"/>
      <c r="U40" s="3459"/>
      <c r="V40" s="3459"/>
      <c r="W40" s="3459"/>
      <c r="X40" s="3459"/>
      <c r="Y40" s="3459"/>
      <c r="Z40" s="3459"/>
      <c r="AA40" s="3459"/>
      <c r="AB40" s="3459"/>
      <c r="AC40" s="3459"/>
      <c r="AD40" s="3459"/>
      <c r="AE40" s="3459"/>
      <c r="AF40" s="1163"/>
      <c r="AG40" s="1163"/>
      <c r="AH40" s="1163"/>
      <c r="AI40" s="1163"/>
      <c r="AJ40" s="1163"/>
      <c r="AK40" s="1163"/>
      <c r="AL40" s="1163"/>
      <c r="AM40" s="1163"/>
      <c r="AN40" s="1163"/>
      <c r="AO40" s="1163"/>
      <c r="AP40" s="1163"/>
      <c r="AQ40" s="1163"/>
      <c r="AR40" s="1081"/>
      <c r="AS40" s="1081"/>
      <c r="AT40" s="1081"/>
      <c r="AU40" s="1081"/>
      <c r="AV40" s="434"/>
      <c r="AW40" s="434"/>
      <c r="AX40" s="434"/>
      <c r="AY40" s="434"/>
      <c r="AZ40" s="434"/>
      <c r="BA40" s="434"/>
      <c r="BB40" s="434"/>
      <c r="BC40" s="434"/>
      <c r="BD40" s="434"/>
    </row>
    <row r="41" spans="1:61" s="44" customFormat="1" ht="33" customHeight="1">
      <c r="A41" s="434"/>
      <c r="B41" s="434"/>
      <c r="C41" s="434"/>
      <c r="D41" s="1169" t="s">
        <v>51</v>
      </c>
      <c r="E41" s="3388" t="s">
        <v>1183</v>
      </c>
      <c r="F41" s="3388"/>
      <c r="G41" s="3388"/>
      <c r="H41" s="3388"/>
      <c r="I41" s="3388"/>
      <c r="J41" s="3388"/>
      <c r="K41" s="3388"/>
      <c r="L41" s="3388"/>
      <c r="M41" s="3388"/>
      <c r="N41" s="3388"/>
      <c r="O41" s="3388"/>
      <c r="P41" s="3388"/>
      <c r="Q41" s="3388"/>
      <c r="R41" s="3388"/>
      <c r="S41" s="3388"/>
      <c r="T41" s="3388"/>
      <c r="U41" s="3388"/>
      <c r="V41" s="3388"/>
      <c r="W41" s="3388"/>
      <c r="X41" s="3388"/>
      <c r="Y41" s="3388"/>
      <c r="Z41" s="3388"/>
      <c r="AA41" s="3388"/>
      <c r="AB41" s="3388"/>
      <c r="AC41" s="3388"/>
      <c r="AD41" s="3388"/>
      <c r="AE41" s="3388"/>
      <c r="AF41" s="1170"/>
      <c r="AG41" s="1170"/>
      <c r="AH41" s="1170"/>
      <c r="AI41" s="1170"/>
      <c r="AJ41" s="1170"/>
      <c r="AK41" s="1170"/>
      <c r="AL41" s="1170"/>
      <c r="AM41" s="1170"/>
      <c r="AN41" s="1170"/>
      <c r="AO41" s="1170"/>
      <c r="AP41" s="1170"/>
      <c r="AQ41" s="1170"/>
      <c r="AR41" s="1081"/>
      <c r="AS41" s="1081"/>
      <c r="AT41" s="1081"/>
      <c r="AU41" s="1081"/>
      <c r="AV41" s="434"/>
      <c r="AW41" s="434"/>
      <c r="AX41" s="434"/>
      <c r="AY41" s="434"/>
      <c r="AZ41" s="434"/>
      <c r="BA41" s="434"/>
      <c r="BB41" s="434"/>
      <c r="BC41" s="434"/>
      <c r="BD41" s="434"/>
    </row>
    <row r="42" spans="1:61" s="44" customFormat="1" ht="33" customHeight="1">
      <c r="A42" s="434"/>
      <c r="B42" s="434"/>
      <c r="C42" s="434"/>
      <c r="D42" s="1169" t="s">
        <v>52</v>
      </c>
      <c r="E42" s="3388" t="s">
        <v>1184</v>
      </c>
      <c r="F42" s="3388"/>
      <c r="G42" s="3388"/>
      <c r="H42" s="3388"/>
      <c r="I42" s="3388"/>
      <c r="J42" s="3388"/>
      <c r="K42" s="3388"/>
      <c r="L42" s="3388"/>
      <c r="M42" s="3388"/>
      <c r="N42" s="3388"/>
      <c r="O42" s="3388"/>
      <c r="P42" s="3388"/>
      <c r="Q42" s="3388"/>
      <c r="R42" s="3388"/>
      <c r="S42" s="3388"/>
      <c r="T42" s="3388"/>
      <c r="U42" s="3388"/>
      <c r="V42" s="3388"/>
      <c r="W42" s="3388"/>
      <c r="X42" s="3388"/>
      <c r="Y42" s="3388"/>
      <c r="Z42" s="3388"/>
      <c r="AA42" s="3388"/>
      <c r="AB42" s="3388"/>
      <c r="AC42" s="3388"/>
      <c r="AD42" s="3388"/>
      <c r="AE42" s="3388"/>
      <c r="AF42" s="1170"/>
      <c r="AG42" s="1170"/>
      <c r="AH42" s="1170"/>
      <c r="AI42" s="1170"/>
      <c r="AJ42" s="1170"/>
      <c r="AK42" s="1170"/>
      <c r="AL42" s="1170"/>
      <c r="AM42" s="1170"/>
      <c r="AN42" s="1170"/>
      <c r="AO42" s="1170"/>
      <c r="AP42" s="1170"/>
      <c r="AQ42" s="1170"/>
      <c r="AR42" s="1081"/>
      <c r="AS42" s="1081"/>
      <c r="AT42" s="1081"/>
      <c r="AU42" s="1081"/>
      <c r="AV42" s="434"/>
      <c r="AW42" s="434"/>
      <c r="AX42" s="434"/>
      <c r="AY42" s="434"/>
      <c r="AZ42" s="434"/>
      <c r="BA42" s="434"/>
      <c r="BB42" s="434"/>
      <c r="BC42" s="434"/>
      <c r="BD42" s="434"/>
    </row>
    <row r="43" spans="1:61" s="46" customFormat="1" ht="30.75" customHeight="1">
      <c r="A43" s="222"/>
      <c r="B43" s="222"/>
      <c r="C43" s="222"/>
      <c r="D43" s="227"/>
      <c r="E43" s="222"/>
      <c r="F43" s="227"/>
      <c r="G43" s="222"/>
      <c r="H43" s="227"/>
      <c r="I43" s="222"/>
      <c r="J43" s="227"/>
      <c r="K43" s="222"/>
      <c r="L43" s="227"/>
      <c r="M43" s="222"/>
      <c r="N43" s="227"/>
      <c r="O43" s="222"/>
      <c r="P43" s="222"/>
      <c r="Q43" s="227"/>
      <c r="R43" s="227"/>
      <c r="S43" s="227"/>
      <c r="T43" s="222"/>
      <c r="U43" s="227"/>
      <c r="V43" s="222"/>
      <c r="W43" s="227"/>
      <c r="X43" s="222"/>
      <c r="Y43" s="227"/>
      <c r="Z43" s="222"/>
      <c r="AA43" s="222"/>
      <c r="AB43" s="227"/>
      <c r="AC43" s="222"/>
      <c r="AD43" s="222"/>
      <c r="AE43" s="222"/>
      <c r="AF43" s="222"/>
      <c r="AG43" s="222"/>
      <c r="AH43" s="222"/>
      <c r="AI43" s="222"/>
      <c r="AJ43" s="222"/>
      <c r="AK43" s="222"/>
      <c r="AL43" s="222"/>
      <c r="AM43" s="222"/>
      <c r="AN43" s="222"/>
      <c r="AO43" s="222"/>
      <c r="AP43" s="222"/>
      <c r="AQ43" s="222"/>
      <c r="AR43" s="222"/>
      <c r="AS43" s="222"/>
      <c r="AT43" s="222"/>
      <c r="AU43" s="222"/>
      <c r="AV43" s="222"/>
      <c r="AW43" s="222"/>
      <c r="AX43" s="222"/>
      <c r="AY43" s="222"/>
      <c r="AZ43" s="222"/>
      <c r="BA43" s="222"/>
      <c r="BB43" s="222"/>
      <c r="BC43" s="222"/>
      <c r="BD43" s="222"/>
    </row>
    <row r="44" spans="1:61" s="1" customFormat="1" ht="15">
      <c r="A44" s="331"/>
      <c r="B44" s="332" t="s">
        <v>74</v>
      </c>
      <c r="C44" s="331"/>
      <c r="D44" s="331"/>
      <c r="E44" s="331"/>
      <c r="F44" s="331"/>
      <c r="G44" s="331"/>
      <c r="H44" s="331"/>
      <c r="I44" s="331"/>
      <c r="J44" s="331"/>
      <c r="K44" s="331"/>
      <c r="L44" s="331"/>
      <c r="M44" s="331"/>
      <c r="N44" s="331"/>
      <c r="O44" s="331"/>
      <c r="P44" s="331"/>
      <c r="Q44" s="331"/>
      <c r="R44" s="331"/>
      <c r="S44" s="331"/>
      <c r="T44" s="332" t="s">
        <v>984</v>
      </c>
      <c r="U44" s="331"/>
      <c r="V44" s="331"/>
      <c r="W44" s="331"/>
      <c r="X44" s="331"/>
      <c r="Y44" s="331"/>
      <c r="Z44" s="331"/>
      <c r="AA44" s="331"/>
      <c r="AB44" s="331"/>
      <c r="AC44" s="331"/>
      <c r="AD44" s="331"/>
      <c r="AE44" s="331"/>
      <c r="AF44" s="331"/>
      <c r="AG44" s="331"/>
      <c r="AH44" s="331"/>
      <c r="AI44" s="331"/>
      <c r="AJ44" s="331"/>
      <c r="AK44" s="331"/>
      <c r="AL44" s="331"/>
      <c r="AM44" s="331"/>
      <c r="AN44" s="331"/>
      <c r="AO44" s="331"/>
      <c r="AP44" s="331"/>
      <c r="AQ44" s="331"/>
      <c r="AR44" s="331"/>
      <c r="AS44" s="331"/>
      <c r="AT44" s="331"/>
      <c r="AU44" s="331"/>
      <c r="AV44" s="331"/>
      <c r="AW44" s="331"/>
      <c r="AX44" s="331"/>
      <c r="AY44" s="331"/>
      <c r="AZ44" s="331"/>
      <c r="BA44" s="331"/>
      <c r="BB44" s="331"/>
      <c r="BC44" s="331"/>
      <c r="BD44" s="331"/>
    </row>
    <row r="45" spans="1:61" s="1" customFormat="1" ht="21.75" customHeight="1">
      <c r="A45" s="331"/>
      <c r="B45" s="332" t="s">
        <v>75</v>
      </c>
      <c r="C45" s="331"/>
      <c r="D45" s="331"/>
      <c r="E45" s="331"/>
      <c r="F45" s="1891" t="str">
        <f>activesheet!E21</f>
        <v>MELCHESIEDICK Q. BOLANIO / March 17, 2023</v>
      </c>
      <c r="G45" s="1891"/>
      <c r="H45" s="1891"/>
      <c r="I45" s="1891"/>
      <c r="J45" s="1891"/>
      <c r="K45" s="1891"/>
      <c r="L45" s="1891"/>
      <c r="M45" s="1891"/>
      <c r="N45" s="1891"/>
      <c r="O45" s="1891"/>
      <c r="P45" s="1891"/>
      <c r="Q45" s="331"/>
      <c r="R45" s="360"/>
      <c r="S45" s="360"/>
      <c r="T45" s="1891" t="str">
        <f>activesheet!E2801</f>
        <v>RONE RAY M. PORTACION / March 17, 2023</v>
      </c>
      <c r="U45" s="1891"/>
      <c r="V45" s="1891"/>
      <c r="W45" s="1891"/>
      <c r="X45" s="1891"/>
      <c r="Y45" s="1891"/>
      <c r="Z45" s="1891"/>
      <c r="AA45" s="1891"/>
      <c r="AB45" s="1891"/>
      <c r="AC45" s="1891"/>
      <c r="AD45" s="1891"/>
      <c r="AE45" s="1891"/>
      <c r="AF45" s="1891"/>
      <c r="AG45" s="1891"/>
      <c r="AH45" s="331"/>
      <c r="AI45" s="331"/>
      <c r="AJ45" s="331"/>
      <c r="AK45" s="331"/>
      <c r="AL45" s="331"/>
      <c r="AM45" s="331"/>
      <c r="AN45" s="331"/>
      <c r="AO45" s="331"/>
      <c r="AP45" s="331"/>
      <c r="AQ45" s="331"/>
      <c r="AR45" s="331"/>
      <c r="AS45" s="331"/>
      <c r="AT45" s="331"/>
      <c r="AU45" s="331"/>
      <c r="AV45" s="331"/>
      <c r="AW45" s="331"/>
      <c r="AX45" s="331"/>
      <c r="AY45" s="331"/>
      <c r="AZ45" s="331"/>
      <c r="BA45" s="331"/>
      <c r="BB45" s="331"/>
      <c r="BC45" s="331"/>
      <c r="BD45" s="331"/>
    </row>
    <row r="46" spans="1:61" s="2" customFormat="1" ht="13.5" customHeight="1">
      <c r="A46" s="325"/>
      <c r="B46" s="228"/>
      <c r="C46" s="325"/>
      <c r="D46" s="325"/>
      <c r="E46" s="325"/>
      <c r="F46" s="1811" t="s">
        <v>37</v>
      </c>
      <c r="G46" s="1811"/>
      <c r="H46" s="1811"/>
      <c r="I46" s="1811"/>
      <c r="J46" s="1811"/>
      <c r="K46" s="1811"/>
      <c r="L46" s="1811"/>
      <c r="M46" s="1811"/>
      <c r="N46" s="1811"/>
      <c r="O46" s="1811"/>
      <c r="P46" s="1811"/>
      <c r="Q46" s="358"/>
      <c r="R46" s="247"/>
      <c r="S46" s="247"/>
      <c r="T46" s="1811" t="s">
        <v>37</v>
      </c>
      <c r="U46" s="1811"/>
      <c r="V46" s="1811"/>
      <c r="W46" s="1811"/>
      <c r="X46" s="1811"/>
      <c r="Y46" s="1811"/>
      <c r="Z46" s="1811"/>
      <c r="AA46" s="1811"/>
      <c r="AB46" s="1811"/>
      <c r="AC46" s="1811"/>
      <c r="AD46" s="1811"/>
      <c r="AE46" s="1811"/>
      <c r="AF46" s="1811"/>
      <c r="AG46" s="1811"/>
      <c r="AH46" s="325"/>
      <c r="AI46" s="358"/>
      <c r="AJ46" s="325"/>
      <c r="AK46" s="325"/>
      <c r="AL46" s="325"/>
      <c r="AM46" s="325"/>
      <c r="AN46" s="325"/>
      <c r="AO46" s="325"/>
      <c r="AP46" s="325"/>
      <c r="AQ46" s="325"/>
      <c r="AR46" s="325"/>
      <c r="AS46" s="325"/>
      <c r="AT46" s="325"/>
      <c r="AU46" s="325"/>
      <c r="AV46" s="325"/>
      <c r="AW46" s="325"/>
      <c r="AX46" s="325"/>
      <c r="AY46" s="325"/>
      <c r="AZ46" s="325"/>
      <c r="BA46" s="325"/>
      <c r="BB46" s="325"/>
      <c r="BC46" s="325"/>
      <c r="BD46" s="325"/>
    </row>
    <row r="47" spans="1:61" s="1" customFormat="1" ht="21.75" customHeight="1">
      <c r="A47" s="331"/>
      <c r="B47" s="332" t="s">
        <v>58</v>
      </c>
      <c r="C47" s="331"/>
      <c r="D47" s="331"/>
      <c r="E47" s="331"/>
      <c r="F47" s="1891" t="str">
        <f>activesheet!E22</f>
        <v>SECONDARY SCHOOL PRINCIPAL IV</v>
      </c>
      <c r="G47" s="1891"/>
      <c r="H47" s="1891"/>
      <c r="I47" s="1891"/>
      <c r="J47" s="1891"/>
      <c r="K47" s="1891"/>
      <c r="L47" s="1891"/>
      <c r="M47" s="1891"/>
      <c r="N47" s="1891"/>
      <c r="O47" s="1891"/>
      <c r="P47" s="1891"/>
      <c r="Q47" s="331"/>
      <c r="R47" s="360"/>
      <c r="S47" s="360"/>
      <c r="T47" s="332" t="s">
        <v>58</v>
      </c>
      <c r="U47" s="331"/>
      <c r="V47" s="331"/>
      <c r="W47" s="331"/>
      <c r="X47" s="1891" t="str">
        <f>activesheet!E2802</f>
        <v>EDUCATION PROGRAM SUPERVISOR</v>
      </c>
      <c r="Y47" s="1891"/>
      <c r="Z47" s="1891"/>
      <c r="AA47" s="1891"/>
      <c r="AB47" s="1891"/>
      <c r="AC47" s="1891"/>
      <c r="AD47" s="1891"/>
      <c r="AE47" s="1891"/>
      <c r="AF47" s="1891"/>
      <c r="AG47" s="1891"/>
      <c r="AH47" s="331"/>
      <c r="AI47" s="331"/>
      <c r="AJ47" s="331"/>
      <c r="AK47" s="331"/>
      <c r="AL47" s="331"/>
      <c r="AM47" s="331"/>
      <c r="AN47" s="331"/>
      <c r="AO47" s="331"/>
      <c r="AP47" s="331"/>
      <c r="AQ47" s="331"/>
      <c r="AR47" s="331"/>
      <c r="AS47" s="331"/>
      <c r="AT47" s="331"/>
      <c r="AU47" s="331"/>
      <c r="AV47" s="331"/>
      <c r="AW47" s="331"/>
      <c r="AX47" s="331"/>
      <c r="AY47" s="331"/>
      <c r="AZ47" s="331"/>
      <c r="BA47" s="331"/>
      <c r="BB47" s="331"/>
      <c r="BC47" s="331"/>
      <c r="BD47" s="331"/>
    </row>
    <row r="48" spans="1:61" ht="30.6" customHeight="1">
      <c r="A48" s="222"/>
      <c r="B48" s="551"/>
      <c r="C48" s="222"/>
      <c r="D48" s="551"/>
      <c r="E48" s="222"/>
      <c r="F48" s="551"/>
      <c r="G48" s="222"/>
      <c r="H48" s="222"/>
      <c r="I48" s="551"/>
      <c r="J48" s="222"/>
      <c r="K48" s="551"/>
      <c r="L48" s="222"/>
      <c r="M48" s="551"/>
      <c r="N48" s="551"/>
      <c r="O48" s="551"/>
      <c r="P48" s="551"/>
      <c r="Q48" s="551"/>
      <c r="R48" s="222"/>
      <c r="S48" s="551"/>
      <c r="T48" s="222"/>
      <c r="U48" s="551"/>
      <c r="V48" s="222"/>
      <c r="W48" s="551"/>
      <c r="X48" s="222"/>
      <c r="Y48" s="551"/>
      <c r="Z48" s="222"/>
      <c r="AA48" s="551"/>
      <c r="AB48" s="551"/>
      <c r="AC48" s="222"/>
      <c r="AD48" s="551"/>
      <c r="AE48" s="222"/>
      <c r="AF48" s="551"/>
      <c r="AG48" s="222"/>
      <c r="AH48" s="551"/>
      <c r="AI48" s="222"/>
      <c r="AJ48" s="551"/>
      <c r="AK48" s="361"/>
      <c r="AL48" s="222"/>
      <c r="AM48" s="222"/>
      <c r="AN48" s="222"/>
      <c r="AO48" s="222"/>
      <c r="AP48" s="222"/>
      <c r="AQ48" s="222"/>
      <c r="AR48" s="222"/>
      <c r="AS48" s="222"/>
      <c r="AT48" s="222"/>
      <c r="AU48" s="222"/>
      <c r="AV48" s="222"/>
      <c r="AW48" s="222"/>
      <c r="AX48" s="222"/>
      <c r="AY48" s="222"/>
      <c r="AZ48" s="222"/>
      <c r="BA48" s="222"/>
      <c r="BB48" s="222"/>
      <c r="BC48" s="222"/>
      <c r="BD48" s="222"/>
    </row>
    <row r="49" spans="1:56">
      <c r="A49" s="222"/>
      <c r="B49" s="222"/>
      <c r="C49" s="222"/>
      <c r="D49" s="222"/>
      <c r="E49" s="222"/>
      <c r="F49" s="222"/>
      <c r="G49" s="222"/>
      <c r="H49" s="222"/>
      <c r="I49" s="222"/>
      <c r="J49" s="222"/>
      <c r="K49" s="332" t="s">
        <v>33</v>
      </c>
      <c r="L49" s="331"/>
      <c r="M49" s="331"/>
      <c r="N49" s="331"/>
      <c r="O49" s="331"/>
      <c r="P49" s="331"/>
      <c r="Q49" s="331"/>
      <c r="R49" s="331"/>
      <c r="S49" s="331"/>
      <c r="T49" s="331"/>
      <c r="U49" s="331"/>
      <c r="V49" s="331"/>
      <c r="W49" s="331"/>
      <c r="X49" s="331"/>
      <c r="Y49" s="331"/>
      <c r="Z49" s="222"/>
      <c r="AA49" s="222"/>
      <c r="AB49" s="222"/>
      <c r="AC49" s="222"/>
      <c r="AD49" s="222"/>
      <c r="AE49" s="222"/>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row>
    <row r="50" spans="1:56">
      <c r="A50" s="222"/>
      <c r="B50" s="222"/>
      <c r="C50" s="222"/>
      <c r="D50" s="222"/>
      <c r="E50" s="222"/>
      <c r="F50" s="222"/>
      <c r="G50" s="222"/>
      <c r="H50" s="222"/>
      <c r="I50" s="222"/>
      <c r="J50" s="222"/>
      <c r="K50" s="3440" t="str">
        <f>activesheet!E25</f>
        <v>MICHAEL T. JAMIS / March 17, 2023</v>
      </c>
      <c r="L50" s="3440"/>
      <c r="M50" s="3440"/>
      <c r="N50" s="3440"/>
      <c r="O50" s="3440"/>
      <c r="P50" s="3440"/>
      <c r="Q50" s="3440"/>
      <c r="R50" s="3440"/>
      <c r="S50" s="3440"/>
      <c r="T50" s="3440"/>
      <c r="U50" s="3440"/>
      <c r="V50" s="3440"/>
      <c r="W50" s="3440"/>
      <c r="X50" s="3440"/>
      <c r="Y50" s="222"/>
      <c r="Z50" s="222"/>
      <c r="AA50" s="222"/>
      <c r="AB50" s="222"/>
      <c r="AC50" s="222"/>
      <c r="AD50" s="222"/>
      <c r="AE50" s="222"/>
      <c r="AF50" s="222"/>
      <c r="AG50" s="222"/>
      <c r="AH50" s="222"/>
      <c r="AI50" s="222"/>
      <c r="AJ50" s="222"/>
      <c r="AK50" s="222"/>
      <c r="AL50" s="222"/>
      <c r="AM50" s="222"/>
      <c r="AN50" s="222"/>
      <c r="AO50" s="222"/>
      <c r="AP50" s="222"/>
      <c r="AQ50" s="222"/>
      <c r="AR50" s="222"/>
      <c r="AS50" s="222"/>
      <c r="AT50" s="222"/>
      <c r="AU50" s="222"/>
      <c r="AV50" s="222"/>
      <c r="AW50" s="222"/>
      <c r="AX50" s="222"/>
      <c r="AY50" s="222"/>
      <c r="AZ50" s="222"/>
      <c r="BA50" s="222"/>
      <c r="BB50" s="222"/>
      <c r="BC50" s="222"/>
      <c r="BD50" s="222"/>
    </row>
    <row r="51" spans="1:56">
      <c r="A51" s="222"/>
      <c r="B51" s="222"/>
      <c r="C51" s="222"/>
      <c r="D51" s="222"/>
      <c r="E51" s="222"/>
      <c r="F51" s="222"/>
      <c r="G51" s="222"/>
      <c r="H51" s="222"/>
      <c r="I51" s="222"/>
      <c r="J51" s="222"/>
      <c r="K51" s="3441"/>
      <c r="L51" s="3441"/>
      <c r="M51" s="3441"/>
      <c r="N51" s="3441"/>
      <c r="O51" s="3441"/>
      <c r="P51" s="3441"/>
      <c r="Q51" s="3441"/>
      <c r="R51" s="3441"/>
      <c r="S51" s="3441"/>
      <c r="T51" s="3441"/>
      <c r="U51" s="3441"/>
      <c r="V51" s="3441"/>
      <c r="W51" s="3441"/>
      <c r="X51" s="3441"/>
      <c r="Y51" s="222"/>
      <c r="Z51" s="222"/>
      <c r="AA51" s="222"/>
      <c r="AB51" s="222"/>
      <c r="AC51" s="222"/>
      <c r="AD51" s="222"/>
      <c r="AE51" s="222"/>
      <c r="AF51" s="222"/>
      <c r="AG51" s="222"/>
      <c r="AH51" s="222"/>
      <c r="AI51" s="222"/>
      <c r="AJ51" s="222"/>
      <c r="AK51" s="222"/>
      <c r="AL51" s="222"/>
      <c r="AM51" s="222"/>
      <c r="AN51" s="222"/>
      <c r="AO51" s="222"/>
      <c r="AP51" s="222"/>
      <c r="AQ51" s="222"/>
      <c r="AR51" s="222"/>
      <c r="AS51" s="222"/>
      <c r="AT51" s="222"/>
      <c r="AU51" s="222"/>
      <c r="AV51" s="222"/>
      <c r="AW51" s="222"/>
      <c r="AX51" s="222"/>
      <c r="AY51" s="222"/>
      <c r="AZ51" s="222"/>
      <c r="BA51" s="222"/>
      <c r="BB51" s="222"/>
      <c r="BC51" s="222"/>
      <c r="BD51" s="222"/>
    </row>
    <row r="52" spans="1:56">
      <c r="A52" s="222"/>
      <c r="B52" s="222"/>
      <c r="C52" s="222"/>
      <c r="D52" s="222"/>
      <c r="E52" s="222"/>
      <c r="F52" s="222"/>
      <c r="G52" s="222"/>
      <c r="H52" s="222"/>
      <c r="I52" s="222"/>
      <c r="J52" s="222"/>
      <c r="K52" s="1811" t="s">
        <v>37</v>
      </c>
      <c r="L52" s="1811"/>
      <c r="M52" s="1811"/>
      <c r="N52" s="1811"/>
      <c r="O52" s="1811"/>
      <c r="P52" s="1811"/>
      <c r="Q52" s="1811"/>
      <c r="R52" s="1811"/>
      <c r="S52" s="1811"/>
      <c r="T52" s="1811"/>
      <c r="U52" s="1811"/>
      <c r="V52" s="1811"/>
      <c r="W52" s="1811"/>
      <c r="X52" s="1811"/>
      <c r="Y52" s="222"/>
      <c r="Z52" s="222"/>
      <c r="AA52" s="222"/>
      <c r="AB52" s="222"/>
      <c r="AC52" s="222"/>
      <c r="AD52" s="222"/>
      <c r="AE52" s="222"/>
      <c r="AF52" s="222"/>
      <c r="AG52" s="222"/>
      <c r="AH52" s="222"/>
      <c r="AI52" s="222"/>
      <c r="AJ52" s="222"/>
      <c r="AK52" s="222"/>
      <c r="AL52" s="222"/>
      <c r="AM52" s="222"/>
      <c r="AN52" s="222"/>
      <c r="AO52" s="222"/>
      <c r="AP52" s="222"/>
      <c r="AQ52" s="222"/>
      <c r="AR52" s="222"/>
      <c r="AS52" s="222"/>
      <c r="AT52" s="222"/>
      <c r="AU52" s="222"/>
      <c r="AV52" s="222"/>
      <c r="AW52" s="222"/>
      <c r="AX52" s="222"/>
      <c r="AY52" s="222"/>
      <c r="AZ52" s="222"/>
      <c r="BA52" s="222"/>
      <c r="BB52" s="222"/>
      <c r="BC52" s="222"/>
      <c r="BD52" s="222"/>
    </row>
    <row r="53" spans="1:56">
      <c r="A53" s="222"/>
      <c r="B53" s="222"/>
      <c r="C53" s="222"/>
      <c r="D53" s="222"/>
      <c r="E53" s="222"/>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row>
    <row r="54" spans="1:56">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222"/>
      <c r="AI54" s="222"/>
      <c r="AJ54" s="222"/>
      <c r="AK54" s="222"/>
      <c r="AL54" s="222"/>
      <c r="AM54" s="222"/>
      <c r="AN54" s="222"/>
      <c r="AO54" s="222"/>
      <c r="AP54" s="222"/>
      <c r="AQ54" s="222"/>
      <c r="AR54" s="222"/>
      <c r="AS54" s="222"/>
      <c r="AT54" s="222"/>
      <c r="AU54" s="222"/>
      <c r="AV54" s="222"/>
      <c r="AW54" s="222"/>
      <c r="AX54" s="222"/>
      <c r="AY54" s="222"/>
      <c r="AZ54" s="222"/>
      <c r="BA54" s="222"/>
      <c r="BB54" s="222"/>
      <c r="BC54" s="222"/>
      <c r="BD54" s="222"/>
    </row>
    <row r="55" spans="1:56">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row>
    <row r="56" spans="1:56">
      <c r="A56" s="222"/>
      <c r="B56" s="222"/>
      <c r="C56" s="222"/>
      <c r="D56" s="222"/>
      <c r="E56" s="222"/>
      <c r="F56" s="222"/>
      <c r="G56" s="222"/>
      <c r="H56" s="222"/>
      <c r="I56" s="222"/>
      <c r="J56" s="222"/>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row>
    <row r="57" spans="1:56">
      <c r="A57" s="222"/>
      <c r="B57" s="222"/>
      <c r="C57" s="222"/>
      <c r="D57" s="222"/>
      <c r="E57" s="222"/>
      <c r="F57" s="222"/>
      <c r="G57" s="222"/>
      <c r="H57" s="222"/>
      <c r="I57" s="222"/>
      <c r="J57" s="222"/>
      <c r="K57" s="222"/>
      <c r="L57" s="222"/>
      <c r="M57" s="222"/>
      <c r="N57" s="222"/>
      <c r="O57" s="222"/>
      <c r="P57" s="222"/>
      <c r="Q57" s="222"/>
      <c r="R57" s="222"/>
      <c r="S57" s="222"/>
      <c r="T57" s="222"/>
      <c r="U57" s="222"/>
      <c r="V57" s="222"/>
      <c r="W57" s="222"/>
      <c r="X57" s="222"/>
      <c r="Y57" s="222"/>
      <c r="Z57" s="222"/>
      <c r="AA57" s="222"/>
      <c r="AB57" s="222"/>
      <c r="AC57" s="222"/>
      <c r="AD57" s="222"/>
      <c r="AE57" s="222"/>
      <c r="AF57" s="222"/>
      <c r="AG57" s="222"/>
      <c r="AH57" s="222"/>
      <c r="AI57" s="222"/>
      <c r="AJ57" s="222"/>
      <c r="AK57" s="222"/>
      <c r="AL57" s="222"/>
      <c r="AM57" s="222"/>
      <c r="AN57" s="222"/>
      <c r="AO57" s="222"/>
      <c r="AP57" s="222"/>
      <c r="AQ57" s="222"/>
      <c r="AR57" s="222"/>
      <c r="AS57" s="222"/>
      <c r="AT57" s="222"/>
      <c r="AU57" s="222"/>
      <c r="AV57" s="222"/>
      <c r="AW57" s="222"/>
      <c r="AX57" s="222"/>
      <c r="AY57" s="222"/>
      <c r="AZ57" s="222"/>
      <c r="BA57" s="222"/>
      <c r="BB57" s="222"/>
      <c r="BC57" s="222"/>
      <c r="BD57" s="222"/>
    </row>
    <row r="58" spans="1:56">
      <c r="A58" s="222"/>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C58" s="222"/>
      <c r="AD58" s="222"/>
      <c r="AE58" s="222"/>
      <c r="AF58" s="222"/>
      <c r="AG58" s="222"/>
      <c r="AH58" s="222"/>
      <c r="AI58" s="222"/>
      <c r="AJ58" s="222"/>
      <c r="AK58" s="222"/>
      <c r="AL58" s="222"/>
      <c r="AM58" s="222"/>
      <c r="AN58" s="222"/>
      <c r="AO58" s="222"/>
      <c r="AP58" s="222"/>
      <c r="AQ58" s="222"/>
      <c r="AR58" s="222"/>
      <c r="AS58" s="222"/>
      <c r="AT58" s="222"/>
      <c r="AU58" s="222"/>
      <c r="AV58" s="222"/>
      <c r="AW58" s="222"/>
      <c r="AX58" s="222"/>
      <c r="AY58" s="222"/>
      <c r="AZ58" s="222"/>
      <c r="BA58" s="222"/>
      <c r="BB58" s="222"/>
      <c r="BC58" s="222"/>
      <c r="BD58" s="222"/>
    </row>
    <row r="59" spans="1:56">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c r="AA59" s="222"/>
      <c r="AB59" s="222"/>
      <c r="AC59" s="222"/>
      <c r="AD59" s="222"/>
      <c r="AE59" s="222"/>
      <c r="AF59" s="222"/>
      <c r="AG59" s="222"/>
      <c r="AH59" s="222"/>
      <c r="AI59" s="222"/>
      <c r="AJ59" s="222"/>
      <c r="AK59" s="222"/>
      <c r="AL59" s="222"/>
      <c r="AM59" s="222"/>
      <c r="AN59" s="222"/>
      <c r="AO59" s="222"/>
      <c r="AP59" s="222"/>
      <c r="AQ59" s="222"/>
      <c r="AR59" s="222"/>
      <c r="AS59" s="222"/>
      <c r="AT59" s="222"/>
      <c r="AU59" s="222"/>
      <c r="AV59" s="222"/>
      <c r="AW59" s="222"/>
      <c r="AX59" s="222"/>
      <c r="AY59" s="222"/>
      <c r="AZ59" s="222"/>
      <c r="BA59" s="222"/>
      <c r="BB59" s="222"/>
      <c r="BC59" s="222"/>
      <c r="BD59" s="222"/>
    </row>
    <row r="60" spans="1:56">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c r="AA60" s="222"/>
      <c r="AB60" s="222"/>
      <c r="AC60" s="222"/>
      <c r="AD60" s="222"/>
      <c r="AE60" s="222"/>
      <c r="AF60" s="222"/>
      <c r="AG60" s="222"/>
      <c r="AH60" s="222"/>
      <c r="AI60" s="222"/>
      <c r="AJ60" s="222"/>
      <c r="AK60" s="222"/>
      <c r="AL60" s="222"/>
      <c r="AM60" s="222"/>
      <c r="AN60" s="222"/>
      <c r="AO60" s="222"/>
      <c r="AP60" s="222"/>
      <c r="AQ60" s="222"/>
      <c r="AR60" s="222"/>
      <c r="AS60" s="222"/>
      <c r="AT60" s="222"/>
      <c r="AU60" s="222"/>
      <c r="AV60" s="222"/>
      <c r="AW60" s="222"/>
      <c r="AX60" s="222"/>
      <c r="AY60" s="222"/>
      <c r="AZ60" s="222"/>
      <c r="BA60" s="222"/>
      <c r="BB60" s="222"/>
      <c r="BC60" s="222"/>
      <c r="BD60" s="222"/>
    </row>
    <row r="61" spans="1:56">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c r="AK61" s="222"/>
      <c r="AL61" s="222"/>
      <c r="AM61" s="222"/>
      <c r="AN61" s="222"/>
      <c r="AO61" s="222"/>
      <c r="AP61" s="222"/>
      <c r="AQ61" s="222"/>
      <c r="AR61" s="222"/>
      <c r="AS61" s="222"/>
      <c r="AT61" s="222"/>
      <c r="AU61" s="222"/>
      <c r="AV61" s="222"/>
      <c r="AW61" s="222"/>
      <c r="AX61" s="222"/>
      <c r="AY61" s="222"/>
      <c r="AZ61" s="222"/>
      <c r="BA61" s="222"/>
      <c r="BB61" s="222"/>
      <c r="BC61" s="222"/>
      <c r="BD61" s="222"/>
    </row>
    <row r="62" spans="1:56">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222"/>
      <c r="AD62" s="222"/>
      <c r="AE62" s="222"/>
      <c r="AF62" s="222"/>
      <c r="AG62" s="222"/>
      <c r="AH62" s="222"/>
      <c r="AI62" s="222"/>
      <c r="AJ62" s="222"/>
      <c r="AK62" s="222"/>
      <c r="AL62" s="222"/>
      <c r="AM62" s="222"/>
      <c r="AN62" s="222"/>
      <c r="AO62" s="222"/>
      <c r="AP62" s="222"/>
      <c r="AQ62" s="222"/>
      <c r="AR62" s="222"/>
      <c r="AS62" s="222"/>
      <c r="AT62" s="222"/>
      <c r="AU62" s="222"/>
      <c r="AV62" s="222"/>
      <c r="AW62" s="222"/>
      <c r="AX62" s="222"/>
      <c r="AY62" s="222"/>
      <c r="AZ62" s="222"/>
      <c r="BA62" s="222"/>
      <c r="BB62" s="222"/>
      <c r="BC62" s="222"/>
      <c r="BD62" s="222"/>
    </row>
    <row r="63" spans="1:56">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c r="AE63" s="222"/>
      <c r="AF63" s="222"/>
      <c r="AG63" s="222"/>
      <c r="AH63" s="222"/>
      <c r="AI63" s="222"/>
      <c r="AJ63" s="222"/>
      <c r="AK63" s="222"/>
      <c r="AL63" s="222"/>
      <c r="AM63" s="222"/>
      <c r="AN63" s="222"/>
      <c r="AO63" s="222"/>
      <c r="AP63" s="222"/>
      <c r="AQ63" s="222"/>
      <c r="AR63" s="222"/>
      <c r="AS63" s="222"/>
      <c r="AT63" s="222"/>
      <c r="AU63" s="222"/>
      <c r="AV63" s="222"/>
      <c r="AW63" s="222"/>
      <c r="AX63" s="222"/>
      <c r="AY63" s="222"/>
      <c r="AZ63" s="222"/>
      <c r="BA63" s="222"/>
      <c r="BB63" s="222"/>
      <c r="BC63" s="222"/>
      <c r="BD63" s="222"/>
    </row>
    <row r="64" spans="1:56">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c r="AE64" s="222"/>
      <c r="AF64" s="222"/>
      <c r="AG64" s="222"/>
      <c r="AH64" s="222"/>
      <c r="AI64" s="222"/>
      <c r="AJ64" s="222"/>
      <c r="AK64" s="222"/>
      <c r="AL64" s="222"/>
      <c r="AM64" s="222"/>
      <c r="AN64" s="222"/>
      <c r="AO64" s="222"/>
      <c r="AP64" s="222"/>
      <c r="AQ64" s="222"/>
      <c r="AR64" s="222"/>
      <c r="AS64" s="222"/>
      <c r="AT64" s="222"/>
      <c r="AU64" s="222"/>
      <c r="AV64" s="222"/>
      <c r="AW64" s="222"/>
      <c r="AX64" s="222"/>
      <c r="AY64" s="222"/>
      <c r="AZ64" s="222"/>
      <c r="BA64" s="222"/>
      <c r="BB64" s="222"/>
      <c r="BC64" s="222"/>
      <c r="BD64" s="222"/>
    </row>
    <row r="65" spans="1:56">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222"/>
      <c r="AD65" s="222"/>
      <c r="AE65" s="222"/>
      <c r="AF65" s="222"/>
      <c r="AG65" s="222"/>
      <c r="AH65" s="222"/>
      <c r="AI65" s="222"/>
      <c r="AJ65" s="222"/>
      <c r="AK65" s="222"/>
      <c r="AL65" s="222"/>
      <c r="AM65" s="222"/>
      <c r="AN65" s="222"/>
      <c r="AO65" s="222"/>
      <c r="AP65" s="222"/>
      <c r="AQ65" s="222"/>
      <c r="AR65" s="222"/>
      <c r="AS65" s="222"/>
      <c r="AT65" s="222"/>
      <c r="AU65" s="222"/>
      <c r="AV65" s="222"/>
      <c r="AW65" s="222"/>
      <c r="AX65" s="222"/>
      <c r="AY65" s="222"/>
      <c r="AZ65" s="222"/>
      <c r="BA65" s="222"/>
      <c r="BB65" s="222"/>
      <c r="BC65" s="222"/>
      <c r="BD65" s="222"/>
    </row>
  </sheetData>
  <sheetProtection algorithmName="SHA-512" hashValue="Zn+hbINWciRVqBj90CQduAvrKRjivGOuKSFS6o6RAQUwSOl8oiTXZ+IEKCnJPTdKpTtFXhKAP2ysHC2QTxDYaQ==" saltValue="h3ESnjvKiKrIosCIfonFGQ==" spinCount="100000" sheet="1" objects="1" scenarios="1"/>
  <customSheetViews>
    <customSheetView guid="{6EFEFCA0-BF14-457A-85A3-29CBF2A862A5}" showGridLines="0" fitToPage="1">
      <selection sqref="A1:AJ54"/>
      <pageMargins left="0.23622047244094491" right="0.23622047244094491" top="0.19685039370078741" bottom="0.19685039370078741" header="0" footer="0.11811023622047245"/>
      <printOptions horizontalCentered="1" verticalCentered="1"/>
      <pageSetup paperSize="9" scale="73" orientation="portrait" r:id="rId1"/>
      <headerFooter>
        <oddFooter>&amp;L&amp;10&amp;F &amp;A&amp;R&amp;10Page 39 of 61</oddFooter>
      </headerFooter>
    </customSheetView>
  </customSheetViews>
  <mergeCells count="93">
    <mergeCell ref="K50:X51"/>
    <mergeCell ref="K52:X52"/>
    <mergeCell ref="F7:K8"/>
    <mergeCell ref="L7:AC7"/>
    <mergeCell ref="L8:Q8"/>
    <mergeCell ref="R8:W8"/>
    <mergeCell ref="X8:AC8"/>
    <mergeCell ref="L9:Q9"/>
    <mergeCell ref="R9:W9"/>
    <mergeCell ref="X9:AC9"/>
    <mergeCell ref="L10:Q10"/>
    <mergeCell ref="R10:W10"/>
    <mergeCell ref="X10:AC10"/>
    <mergeCell ref="L11:Q11"/>
    <mergeCell ref="R11:W11"/>
    <mergeCell ref="X11:AC11"/>
    <mergeCell ref="L12:Q12"/>
    <mergeCell ref="R12:W12"/>
    <mergeCell ref="X12:AC12"/>
    <mergeCell ref="F13:K13"/>
    <mergeCell ref="L13:Q13"/>
    <mergeCell ref="R13:W13"/>
    <mergeCell ref="X13:AC13"/>
    <mergeCell ref="F17:K17"/>
    <mergeCell ref="L17:Q17"/>
    <mergeCell ref="R17:W17"/>
    <mergeCell ref="X17:AC17"/>
    <mergeCell ref="L19:Q19"/>
    <mergeCell ref="R19:W19"/>
    <mergeCell ref="X19:AC19"/>
    <mergeCell ref="L18:Q18"/>
    <mergeCell ref="R18:W18"/>
    <mergeCell ref="X18:AC18"/>
    <mergeCell ref="F20:K20"/>
    <mergeCell ref="L20:Q20"/>
    <mergeCell ref="R20:W20"/>
    <mergeCell ref="X20:AC20"/>
    <mergeCell ref="F24:K24"/>
    <mergeCell ref="L24:Q24"/>
    <mergeCell ref="R24:W24"/>
    <mergeCell ref="X24:AC24"/>
    <mergeCell ref="F25:K25"/>
    <mergeCell ref="L25:Q25"/>
    <mergeCell ref="R25:W25"/>
    <mergeCell ref="X25:AC25"/>
    <mergeCell ref="X26:AC26"/>
    <mergeCell ref="F27:K27"/>
    <mergeCell ref="L27:Q27"/>
    <mergeCell ref="R27:W27"/>
    <mergeCell ref="X27:AC27"/>
    <mergeCell ref="F26:K26"/>
    <mergeCell ref="L26:Q26"/>
    <mergeCell ref="R26:W26"/>
    <mergeCell ref="X28:AC28"/>
    <mergeCell ref="F29:K29"/>
    <mergeCell ref="L29:Q29"/>
    <mergeCell ref="R29:W29"/>
    <mergeCell ref="X29:AC29"/>
    <mergeCell ref="F28:K28"/>
    <mergeCell ref="L28:Q28"/>
    <mergeCell ref="R28:W28"/>
    <mergeCell ref="X30:AC30"/>
    <mergeCell ref="F31:K31"/>
    <mergeCell ref="L31:Q31"/>
    <mergeCell ref="R31:W31"/>
    <mergeCell ref="X31:AC31"/>
    <mergeCell ref="F30:K30"/>
    <mergeCell ref="L30:Q30"/>
    <mergeCell ref="R30:W30"/>
    <mergeCell ref="X34:AC34"/>
    <mergeCell ref="F34:K34"/>
    <mergeCell ref="L34:Q34"/>
    <mergeCell ref="R34:W34"/>
    <mergeCell ref="X32:AC32"/>
    <mergeCell ref="F33:K33"/>
    <mergeCell ref="L33:Q33"/>
    <mergeCell ref="R33:W33"/>
    <mergeCell ref="X33:AC33"/>
    <mergeCell ref="F32:K32"/>
    <mergeCell ref="L32:Q32"/>
    <mergeCell ref="R32:W32"/>
    <mergeCell ref="F47:P47"/>
    <mergeCell ref="E37:AE37"/>
    <mergeCell ref="E38:AE38"/>
    <mergeCell ref="E39:AE39"/>
    <mergeCell ref="E40:AE40"/>
    <mergeCell ref="E41:AE41"/>
    <mergeCell ref="E42:AE42"/>
    <mergeCell ref="T45:AG45"/>
    <mergeCell ref="T46:AG46"/>
    <mergeCell ref="X47:AG47"/>
    <mergeCell ref="F45:P45"/>
    <mergeCell ref="F46:P46"/>
  </mergeCells>
  <dataValidations count="1">
    <dataValidation type="whole" allowBlank="1" showInputMessage="1" showErrorMessage="1" errorTitle="GSHSP SY 2022-2023" error="Please enter valid number between 0-20,000." sqref="L9:W12 L18:W19 L25:W33" xr:uid="{841ECF1C-1AF4-43EC-B573-CC06A0FEAEA8}">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73" orientation="portrait" r:id="rId2"/>
  <headerFooter>
    <oddFooter>&amp;L&amp;10&amp;F &amp;A&amp;R&amp;10Page 39 of 61</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2">
    <tabColor rgb="FFFFFF00"/>
    <pageSetUpPr fitToPage="1"/>
  </sheetPr>
  <dimension ref="A1:BI38"/>
  <sheetViews>
    <sheetView showGridLines="0" topLeftCell="A21" zoomScaleNormal="100" workbookViewId="0">
      <selection activeCell="Q26" sqref="Q26:AC26"/>
    </sheetView>
  </sheetViews>
  <sheetFormatPr defaultColWidth="9" defaultRowHeight="15.75"/>
  <cols>
    <col min="1" max="1" width="2.125" style="56" customWidth="1"/>
    <col min="2" max="45" width="3.625" style="56" customWidth="1"/>
    <col min="46" max="46" width="2.125" style="56" customWidth="1"/>
    <col min="47" max="48" width="3.625" style="56" customWidth="1"/>
    <col min="49" max="49" width="2.125" style="56" customWidth="1"/>
    <col min="50" max="60" width="3.625" style="56" customWidth="1"/>
    <col min="61" max="61" width="2.125" style="56" customWidth="1"/>
    <col min="62" max="16384" width="9" style="56"/>
  </cols>
  <sheetData>
    <row r="1" spans="1:61" ht="12" customHeight="1">
      <c r="A1" s="661"/>
      <c r="B1" s="661"/>
      <c r="C1" s="661"/>
      <c r="D1" s="661"/>
      <c r="E1" s="661"/>
      <c r="F1" s="661"/>
      <c r="G1" s="661"/>
      <c r="H1" s="661"/>
      <c r="I1" s="661"/>
      <c r="J1" s="661"/>
      <c r="K1" s="661"/>
      <c r="L1" s="661"/>
      <c r="M1" s="661"/>
      <c r="N1" s="661"/>
      <c r="O1" s="661"/>
      <c r="P1" s="661"/>
      <c r="Q1" s="661"/>
      <c r="R1" s="661"/>
      <c r="S1" s="661"/>
      <c r="T1" s="661"/>
      <c r="U1" s="661"/>
      <c r="V1" s="661"/>
      <c r="W1" s="661"/>
      <c r="X1" s="661"/>
      <c r="Y1" s="661"/>
      <c r="Z1" s="661"/>
      <c r="AA1" s="661"/>
      <c r="AB1" s="661"/>
      <c r="AC1" s="661"/>
      <c r="AD1" s="661"/>
      <c r="AE1" s="661"/>
      <c r="AF1" s="661"/>
      <c r="AG1" s="661"/>
      <c r="AH1" s="661"/>
      <c r="AI1" s="661"/>
      <c r="AJ1" s="661"/>
      <c r="AK1" s="661"/>
      <c r="AL1" s="661"/>
      <c r="AM1" s="661"/>
      <c r="AN1" s="661"/>
      <c r="AO1" s="661"/>
      <c r="AP1" s="661"/>
      <c r="AQ1" s="661"/>
      <c r="AR1" s="661"/>
      <c r="AS1" s="661"/>
      <c r="AT1" s="661"/>
      <c r="AU1" s="661"/>
      <c r="AV1" s="661"/>
      <c r="AW1" s="661"/>
      <c r="AX1" s="661"/>
      <c r="AY1" s="661"/>
      <c r="AZ1" s="661"/>
      <c r="BA1" s="661"/>
      <c r="BB1" s="661"/>
      <c r="BC1" s="661"/>
      <c r="BD1" s="661"/>
      <c r="BE1" s="661"/>
      <c r="BF1" s="661"/>
      <c r="BG1" s="661"/>
      <c r="BH1" s="661"/>
      <c r="BI1" s="661"/>
    </row>
    <row r="2" spans="1:61" s="111" customFormat="1">
      <c r="A2" s="1171"/>
      <c r="B2" s="1171"/>
      <c r="C2" s="1171"/>
      <c r="D2" s="1171"/>
      <c r="E2" s="581" t="s">
        <v>11431</v>
      </c>
      <c r="F2" s="1171"/>
      <c r="G2" s="1171"/>
      <c r="H2" s="1171"/>
      <c r="I2" s="1171"/>
      <c r="J2" s="1172"/>
      <c r="K2" s="1171"/>
      <c r="L2" s="1171"/>
      <c r="M2" s="1171"/>
      <c r="N2" s="1171"/>
      <c r="O2" s="1171"/>
      <c r="P2" s="1171"/>
      <c r="Q2" s="1171"/>
      <c r="R2" s="1171"/>
      <c r="S2" s="1171"/>
      <c r="T2" s="1171"/>
      <c r="U2" s="1171"/>
      <c r="V2" s="1171"/>
      <c r="W2" s="1171"/>
      <c r="X2" s="1171"/>
      <c r="Y2" s="1171"/>
      <c r="Z2" s="1171"/>
      <c r="AA2" s="1171"/>
      <c r="AB2" s="1171"/>
      <c r="AC2" s="1171"/>
      <c r="AD2" s="1171"/>
      <c r="AE2" s="1171"/>
      <c r="AF2" s="1171"/>
      <c r="AG2" s="1171"/>
      <c r="AH2" s="1171"/>
      <c r="AI2" s="1171"/>
      <c r="AJ2" s="1171"/>
      <c r="AK2" s="1171"/>
      <c r="AL2" s="1171"/>
      <c r="AM2" s="1171"/>
      <c r="AN2" s="1171"/>
      <c r="AO2" s="1171"/>
      <c r="AP2" s="1171"/>
      <c r="AQ2" s="1171"/>
      <c r="AR2" s="1171"/>
      <c r="AS2" s="1171"/>
      <c r="AT2" s="1171"/>
      <c r="AU2" s="1171"/>
      <c r="AV2" s="1171"/>
      <c r="AW2" s="1171"/>
      <c r="AX2" s="1171"/>
      <c r="AY2" s="1171"/>
      <c r="AZ2" s="1171"/>
      <c r="BA2" s="1171"/>
      <c r="BB2" s="1171"/>
      <c r="BC2" s="1171"/>
      <c r="BD2" s="1171"/>
      <c r="BE2" s="1171"/>
      <c r="BF2" s="1171"/>
      <c r="BG2" s="1171"/>
      <c r="BH2" s="1171"/>
      <c r="BI2" s="1171"/>
    </row>
    <row r="3" spans="1:61" s="111" customFormat="1">
      <c r="A3" s="1171"/>
      <c r="B3" s="1171"/>
      <c r="C3" s="1171"/>
      <c r="D3" s="1171"/>
      <c r="E3" s="613" t="s">
        <v>770</v>
      </c>
      <c r="F3" s="1171"/>
      <c r="G3" s="1171"/>
      <c r="H3" s="1171"/>
      <c r="I3" s="1171"/>
      <c r="J3" s="1173"/>
      <c r="K3" s="1173"/>
      <c r="L3" s="1173"/>
      <c r="M3" s="1173"/>
      <c r="N3" s="1173"/>
      <c r="O3" s="1173"/>
      <c r="P3" s="1171"/>
      <c r="Q3" s="1171"/>
      <c r="R3" s="1171"/>
      <c r="S3" s="1171"/>
      <c r="T3" s="1171"/>
      <c r="U3" s="1171"/>
      <c r="V3" s="1171"/>
      <c r="W3" s="1171"/>
      <c r="X3" s="1171"/>
      <c r="Y3" s="1171"/>
      <c r="Z3" s="1171"/>
      <c r="AA3" s="1171"/>
      <c r="AB3" s="1171"/>
      <c r="AC3" s="1171"/>
      <c r="AD3" s="1171"/>
      <c r="AE3" s="1171"/>
      <c r="AF3" s="1171"/>
      <c r="AG3" s="1171"/>
      <c r="AH3" s="1171"/>
      <c r="AI3" s="1171"/>
      <c r="AJ3" s="1171"/>
      <c r="AK3" s="1171"/>
      <c r="AL3" s="1171"/>
      <c r="AM3" s="1171"/>
      <c r="AN3" s="1171"/>
      <c r="AO3" s="1171"/>
      <c r="AP3" s="1171"/>
      <c r="AQ3" s="1171"/>
      <c r="AR3" s="1171"/>
      <c r="AS3" s="1171"/>
      <c r="AT3" s="1171"/>
      <c r="AU3" s="1171"/>
      <c r="AV3" s="1171"/>
      <c r="AW3" s="1171"/>
      <c r="AX3" s="1171"/>
      <c r="AY3" s="1171"/>
      <c r="AZ3" s="1171"/>
      <c r="BA3" s="1171"/>
      <c r="BB3" s="1171"/>
      <c r="BC3" s="1171"/>
      <c r="BD3" s="1171"/>
      <c r="BE3" s="1171"/>
      <c r="BF3" s="1171"/>
      <c r="BG3" s="1171"/>
      <c r="BH3" s="1171"/>
      <c r="BI3" s="1171"/>
    </row>
    <row r="4" spans="1:61" s="113" customFormat="1" ht="39.950000000000003" customHeight="1" thickBot="1">
      <c r="A4" s="645"/>
      <c r="B4" s="645"/>
      <c r="C4" s="645"/>
      <c r="D4" s="645"/>
      <c r="E4" s="3485" t="s">
        <v>771</v>
      </c>
      <c r="F4" s="3477"/>
      <c r="G4" s="3477"/>
      <c r="H4" s="3477"/>
      <c r="I4" s="3477"/>
      <c r="J4" s="3477"/>
      <c r="K4" s="3477"/>
      <c r="L4" s="3477"/>
      <c r="M4" s="3477"/>
      <c r="N4" s="3486"/>
      <c r="O4" s="3476" t="s">
        <v>772</v>
      </c>
      <c r="P4" s="3477"/>
      <c r="Q4" s="3478"/>
      <c r="R4" s="3479" t="s">
        <v>773</v>
      </c>
      <c r="S4" s="3477"/>
      <c r="T4" s="3478"/>
      <c r="U4" s="3479" t="s">
        <v>774</v>
      </c>
      <c r="V4" s="3477"/>
      <c r="W4" s="3480"/>
      <c r="X4" s="3485" t="s">
        <v>771</v>
      </c>
      <c r="Y4" s="3477"/>
      <c r="Z4" s="3477"/>
      <c r="AA4" s="3477"/>
      <c r="AB4" s="3477"/>
      <c r="AC4" s="3477"/>
      <c r="AD4" s="3477"/>
      <c r="AE4" s="3477"/>
      <c r="AF4" s="3477"/>
      <c r="AG4" s="3486"/>
      <c r="AH4" s="3476" t="s">
        <v>772</v>
      </c>
      <c r="AI4" s="3477"/>
      <c r="AJ4" s="3478"/>
      <c r="AK4" s="3479" t="s">
        <v>773</v>
      </c>
      <c r="AL4" s="3477"/>
      <c r="AM4" s="3478"/>
      <c r="AN4" s="3479" t="s">
        <v>774</v>
      </c>
      <c r="AO4" s="3477"/>
      <c r="AP4" s="3480"/>
      <c r="AQ4" s="1029"/>
      <c r="AR4" s="1029"/>
      <c r="AS4" s="645"/>
      <c r="AT4" s="645"/>
      <c r="AU4" s="645"/>
      <c r="AV4" s="645"/>
      <c r="AW4" s="645"/>
      <c r="AX4" s="645"/>
      <c r="AY4" s="645"/>
      <c r="AZ4" s="645"/>
      <c r="BA4" s="645"/>
      <c r="BB4" s="645"/>
      <c r="BC4" s="645"/>
      <c r="BD4" s="645"/>
      <c r="BE4" s="645"/>
      <c r="BF4" s="645"/>
      <c r="BG4" s="645"/>
      <c r="BH4" s="645"/>
      <c r="BI4" s="645"/>
    </row>
    <row r="5" spans="1:61" s="102" customFormat="1" ht="30" customHeight="1">
      <c r="A5" s="599"/>
      <c r="B5" s="599"/>
      <c r="C5" s="599"/>
      <c r="D5" s="599"/>
      <c r="E5" s="1174" t="s">
        <v>47</v>
      </c>
      <c r="F5" s="1175" t="s">
        <v>775</v>
      </c>
      <c r="G5" s="1175"/>
      <c r="H5" s="1175"/>
      <c r="I5" s="1175"/>
      <c r="J5" s="1175"/>
      <c r="K5" s="1175"/>
      <c r="L5" s="1175"/>
      <c r="M5" s="1175"/>
      <c r="N5" s="1176"/>
      <c r="O5" s="1177"/>
      <c r="P5" s="1199" t="b">
        <v>0</v>
      </c>
      <c r="Q5" s="1178"/>
      <c r="R5" s="1179"/>
      <c r="S5" s="1199" t="b">
        <v>0</v>
      </c>
      <c r="T5" s="1178"/>
      <c r="U5" s="1179"/>
      <c r="V5" s="1199" t="b">
        <v>0</v>
      </c>
      <c r="W5" s="1180"/>
      <c r="X5" s="1174" t="s">
        <v>776</v>
      </c>
      <c r="Y5" s="1175" t="s">
        <v>777</v>
      </c>
      <c r="Z5" s="1175"/>
      <c r="AA5" s="1175"/>
      <c r="AB5" s="1175"/>
      <c r="AC5" s="1175"/>
      <c r="AD5" s="1175"/>
      <c r="AE5" s="1175"/>
      <c r="AF5" s="1175"/>
      <c r="AG5" s="1176"/>
      <c r="AH5" s="1177"/>
      <c r="AI5" s="1199" t="b">
        <v>0</v>
      </c>
      <c r="AJ5" s="1178"/>
      <c r="AK5" s="1179"/>
      <c r="AL5" s="1199" t="b">
        <v>0</v>
      </c>
      <c r="AM5" s="1178"/>
      <c r="AN5" s="1179"/>
      <c r="AO5" s="1199" t="b">
        <v>0</v>
      </c>
      <c r="AP5" s="1180"/>
      <c r="AQ5" s="1181"/>
      <c r="AR5" s="1181"/>
      <c r="AS5" s="599"/>
      <c r="AT5" s="599"/>
      <c r="AU5" s="599"/>
      <c r="AV5" s="599"/>
      <c r="AW5" s="599"/>
      <c r="AX5" s="599"/>
      <c r="AY5" s="599"/>
      <c r="AZ5" s="599"/>
      <c r="BA5" s="599"/>
      <c r="BB5" s="599"/>
      <c r="BC5" s="599"/>
      <c r="BD5" s="599"/>
      <c r="BE5" s="599"/>
      <c r="BF5" s="599"/>
      <c r="BG5" s="599"/>
      <c r="BH5" s="599"/>
      <c r="BI5" s="599"/>
    </row>
    <row r="6" spans="1:61" s="102" customFormat="1" ht="30" customHeight="1">
      <c r="A6" s="599"/>
      <c r="B6" s="599"/>
      <c r="C6" s="599"/>
      <c r="D6" s="599"/>
      <c r="E6" s="1174" t="s">
        <v>48</v>
      </c>
      <c r="F6" s="1175" t="s">
        <v>778</v>
      </c>
      <c r="G6" s="1175"/>
      <c r="H6" s="1175"/>
      <c r="I6" s="1175"/>
      <c r="J6" s="1175"/>
      <c r="K6" s="1175"/>
      <c r="L6" s="1175"/>
      <c r="M6" s="1175"/>
      <c r="N6" s="1176"/>
      <c r="O6" s="1182"/>
      <c r="P6" s="1200" t="b">
        <v>1</v>
      </c>
      <c r="Q6" s="1183"/>
      <c r="R6" s="1184"/>
      <c r="S6" s="1200" t="b">
        <v>1</v>
      </c>
      <c r="T6" s="1183"/>
      <c r="U6" s="1184"/>
      <c r="V6" s="1200" t="b">
        <v>0</v>
      </c>
      <c r="W6" s="1185"/>
      <c r="X6" s="1174" t="s">
        <v>779</v>
      </c>
      <c r="Y6" s="1175" t="s">
        <v>780</v>
      </c>
      <c r="Z6" s="1175"/>
      <c r="AA6" s="1175"/>
      <c r="AB6" s="1175"/>
      <c r="AC6" s="1175"/>
      <c r="AD6" s="1175"/>
      <c r="AE6" s="1175"/>
      <c r="AF6" s="1175"/>
      <c r="AG6" s="1176"/>
      <c r="AH6" s="1182"/>
      <c r="AI6" s="1200" t="b">
        <v>0</v>
      </c>
      <c r="AJ6" s="1183"/>
      <c r="AK6" s="1184"/>
      <c r="AL6" s="1200" t="b">
        <v>0</v>
      </c>
      <c r="AM6" s="1183"/>
      <c r="AN6" s="1184"/>
      <c r="AO6" s="1200" t="b">
        <v>0</v>
      </c>
      <c r="AP6" s="1185"/>
      <c r="AQ6" s="1181"/>
      <c r="AR6" s="1181"/>
      <c r="AS6" s="599"/>
      <c r="AT6" s="599"/>
      <c r="AU6" s="599"/>
      <c r="AV6" s="599"/>
      <c r="AW6" s="599"/>
      <c r="AX6" s="599"/>
      <c r="AY6" s="599"/>
      <c r="AZ6" s="599"/>
      <c r="BA6" s="599"/>
      <c r="BB6" s="599"/>
      <c r="BC6" s="599"/>
      <c r="BD6" s="599"/>
      <c r="BE6" s="599"/>
      <c r="BF6" s="599"/>
      <c r="BG6" s="599"/>
      <c r="BH6" s="599"/>
      <c r="BI6" s="599"/>
    </row>
    <row r="7" spans="1:61" s="102" customFormat="1" ht="30" customHeight="1">
      <c r="A7" s="599"/>
      <c r="B7" s="599"/>
      <c r="C7" s="599"/>
      <c r="D7" s="599"/>
      <c r="E7" s="1174" t="s">
        <v>49</v>
      </c>
      <c r="F7" s="1175" t="s">
        <v>781</v>
      </c>
      <c r="G7" s="1175"/>
      <c r="H7" s="1175"/>
      <c r="I7" s="1175"/>
      <c r="J7" s="1175"/>
      <c r="K7" s="1175"/>
      <c r="L7" s="1175"/>
      <c r="M7" s="1175"/>
      <c r="N7" s="1186"/>
      <c r="O7" s="1182"/>
      <c r="P7" s="1200" t="b">
        <v>0</v>
      </c>
      <c r="Q7" s="1183"/>
      <c r="R7" s="1184"/>
      <c r="S7" s="1200" t="b">
        <v>0</v>
      </c>
      <c r="T7" s="1183"/>
      <c r="U7" s="1184"/>
      <c r="V7" s="1200" t="b">
        <v>0</v>
      </c>
      <c r="W7" s="1185"/>
      <c r="X7" s="1174" t="s">
        <v>782</v>
      </c>
      <c r="Y7" s="1175" t="s">
        <v>783</v>
      </c>
      <c r="Z7" s="1175"/>
      <c r="AA7" s="1175"/>
      <c r="AB7" s="1175"/>
      <c r="AC7" s="1175"/>
      <c r="AD7" s="1175"/>
      <c r="AE7" s="1175"/>
      <c r="AF7" s="1175"/>
      <c r="AG7" s="1186"/>
      <c r="AH7" s="1182"/>
      <c r="AI7" s="1200" t="b">
        <v>0</v>
      </c>
      <c r="AJ7" s="1183"/>
      <c r="AK7" s="1184"/>
      <c r="AL7" s="1200" t="b">
        <v>0</v>
      </c>
      <c r="AM7" s="1183"/>
      <c r="AN7" s="1184"/>
      <c r="AO7" s="1200" t="b">
        <v>0</v>
      </c>
      <c r="AP7" s="1185"/>
      <c r="AQ7" s="1181"/>
      <c r="AR7" s="1181"/>
      <c r="AS7" s="599"/>
      <c r="AT7" s="599"/>
      <c r="AU7" s="599"/>
      <c r="AV7" s="599"/>
      <c r="AW7" s="599"/>
      <c r="AX7" s="599"/>
      <c r="AY7" s="599"/>
      <c r="AZ7" s="599"/>
      <c r="BA7" s="599"/>
      <c r="BB7" s="599"/>
      <c r="BC7" s="599"/>
      <c r="BD7" s="599"/>
      <c r="BE7" s="599"/>
      <c r="BF7" s="599"/>
      <c r="BG7" s="599"/>
      <c r="BH7" s="599"/>
      <c r="BI7" s="599"/>
    </row>
    <row r="8" spans="1:61" s="102" customFormat="1" ht="30" customHeight="1">
      <c r="A8" s="599"/>
      <c r="B8" s="599"/>
      <c r="C8" s="599"/>
      <c r="D8" s="599"/>
      <c r="E8" s="1174" t="s">
        <v>50</v>
      </c>
      <c r="F8" s="1175" t="s">
        <v>784</v>
      </c>
      <c r="G8" s="1175"/>
      <c r="H8" s="1175"/>
      <c r="I8" s="1175"/>
      <c r="J8" s="1175"/>
      <c r="K8" s="1175"/>
      <c r="L8" s="1175"/>
      <c r="M8" s="1175"/>
      <c r="N8" s="1186"/>
      <c r="O8" s="1182"/>
      <c r="P8" s="1200" t="b">
        <v>0</v>
      </c>
      <c r="Q8" s="1183"/>
      <c r="R8" s="1184"/>
      <c r="S8" s="1200" t="b">
        <v>0</v>
      </c>
      <c r="T8" s="1183"/>
      <c r="U8" s="1184"/>
      <c r="V8" s="1200" t="b">
        <v>0</v>
      </c>
      <c r="W8" s="1185"/>
      <c r="X8" s="1174" t="s">
        <v>785</v>
      </c>
      <c r="Y8" s="1175" t="s">
        <v>786</v>
      </c>
      <c r="Z8" s="1175"/>
      <c r="AA8" s="1175"/>
      <c r="AB8" s="1175"/>
      <c r="AC8" s="1175"/>
      <c r="AD8" s="1175"/>
      <c r="AE8" s="1175"/>
      <c r="AF8" s="1175"/>
      <c r="AG8" s="1186"/>
      <c r="AH8" s="1182"/>
      <c r="AI8" s="1200" t="b">
        <v>1</v>
      </c>
      <c r="AJ8" s="1183"/>
      <c r="AK8" s="1184"/>
      <c r="AL8" s="1200" t="b">
        <v>1</v>
      </c>
      <c r="AM8" s="1183"/>
      <c r="AN8" s="1184"/>
      <c r="AO8" s="1200" t="b">
        <v>0</v>
      </c>
      <c r="AP8" s="1185"/>
      <c r="AQ8" s="1181"/>
      <c r="AR8" s="1181"/>
      <c r="AS8" s="599"/>
      <c r="AT8" s="599"/>
      <c r="AU8" s="599"/>
      <c r="AV8" s="599"/>
      <c r="AW8" s="599"/>
      <c r="AX8" s="599"/>
      <c r="AY8" s="599"/>
      <c r="AZ8" s="599"/>
      <c r="BA8" s="599"/>
      <c r="BB8" s="599"/>
      <c r="BC8" s="599"/>
      <c r="BD8" s="599"/>
      <c r="BE8" s="599"/>
      <c r="BF8" s="599"/>
      <c r="BG8" s="599"/>
      <c r="BH8" s="599"/>
      <c r="BI8" s="599"/>
    </row>
    <row r="9" spans="1:61" s="102" customFormat="1" ht="30" customHeight="1">
      <c r="A9" s="599"/>
      <c r="B9" s="599"/>
      <c r="C9" s="599"/>
      <c r="D9" s="599"/>
      <c r="E9" s="1174" t="s">
        <v>51</v>
      </c>
      <c r="F9" s="1175" t="s">
        <v>787</v>
      </c>
      <c r="G9" s="1175"/>
      <c r="H9" s="1175"/>
      <c r="I9" s="1175"/>
      <c r="J9" s="1175"/>
      <c r="K9" s="1175"/>
      <c r="L9" s="1175"/>
      <c r="M9" s="1175"/>
      <c r="N9" s="1186"/>
      <c r="O9" s="1182"/>
      <c r="P9" s="1200" t="b">
        <v>0</v>
      </c>
      <c r="Q9" s="1183"/>
      <c r="R9" s="1184"/>
      <c r="S9" s="1200" t="b">
        <v>0</v>
      </c>
      <c r="T9" s="1183"/>
      <c r="U9" s="1184"/>
      <c r="V9" s="1200" t="b">
        <v>0</v>
      </c>
      <c r="W9" s="1185"/>
      <c r="X9" s="1174" t="s">
        <v>788</v>
      </c>
      <c r="Y9" s="1175" t="s">
        <v>789</v>
      </c>
      <c r="Z9" s="1175"/>
      <c r="AA9" s="1175"/>
      <c r="AB9" s="1175"/>
      <c r="AC9" s="1175"/>
      <c r="AD9" s="1175"/>
      <c r="AE9" s="1175"/>
      <c r="AF9" s="1175"/>
      <c r="AG9" s="1186"/>
      <c r="AH9" s="1182"/>
      <c r="AI9" s="1200" t="b">
        <v>0</v>
      </c>
      <c r="AJ9" s="1183"/>
      <c r="AK9" s="1184"/>
      <c r="AL9" s="1200" t="b">
        <v>0</v>
      </c>
      <c r="AM9" s="1183"/>
      <c r="AN9" s="1184"/>
      <c r="AO9" s="1200" t="b">
        <v>0</v>
      </c>
      <c r="AP9" s="1185"/>
      <c r="AQ9" s="1181"/>
      <c r="AR9" s="1181"/>
      <c r="AS9" s="599"/>
      <c r="AT9" s="599"/>
      <c r="AU9" s="599"/>
      <c r="AV9" s="599"/>
      <c r="AW9" s="599"/>
      <c r="AX9" s="599"/>
      <c r="AY9" s="599"/>
      <c r="AZ9" s="599"/>
      <c r="BA9" s="599"/>
      <c r="BB9" s="599"/>
      <c r="BC9" s="599"/>
      <c r="BD9" s="599"/>
      <c r="BE9" s="599"/>
      <c r="BF9" s="599"/>
      <c r="BG9" s="599"/>
      <c r="BH9" s="599"/>
      <c r="BI9" s="599"/>
    </row>
    <row r="10" spans="1:61" s="11" customFormat="1" ht="30" customHeight="1">
      <c r="A10" s="430"/>
      <c r="B10" s="430"/>
      <c r="C10" s="430"/>
      <c r="D10" s="430"/>
      <c r="E10" s="1174" t="s">
        <v>52</v>
      </c>
      <c r="F10" s="1175" t="s">
        <v>790</v>
      </c>
      <c r="G10" s="1175"/>
      <c r="H10" s="1175"/>
      <c r="I10" s="1175"/>
      <c r="J10" s="1175"/>
      <c r="K10" s="1175"/>
      <c r="L10" s="1175"/>
      <c r="M10" s="1175"/>
      <c r="N10" s="1186"/>
      <c r="O10" s="1182"/>
      <c r="P10" s="1200" t="b">
        <v>0</v>
      </c>
      <c r="Q10" s="1183"/>
      <c r="R10" s="1184"/>
      <c r="S10" s="1200" t="b">
        <v>0</v>
      </c>
      <c r="T10" s="1183"/>
      <c r="U10" s="1184"/>
      <c r="V10" s="1200" t="b">
        <v>0</v>
      </c>
      <c r="W10" s="1185"/>
      <c r="X10" s="1174" t="s">
        <v>791</v>
      </c>
      <c r="Y10" s="1175" t="s">
        <v>792</v>
      </c>
      <c r="Z10" s="1175"/>
      <c r="AA10" s="1175"/>
      <c r="AB10" s="1175"/>
      <c r="AC10" s="1175"/>
      <c r="AD10" s="1175"/>
      <c r="AE10" s="1175"/>
      <c r="AF10" s="1175"/>
      <c r="AG10" s="1186"/>
      <c r="AH10" s="1182"/>
      <c r="AI10" s="1200" t="b">
        <v>0</v>
      </c>
      <c r="AJ10" s="1183"/>
      <c r="AK10" s="1184"/>
      <c r="AL10" s="1200" t="b">
        <v>0</v>
      </c>
      <c r="AM10" s="1183"/>
      <c r="AN10" s="1184"/>
      <c r="AO10" s="1200" t="b">
        <v>0</v>
      </c>
      <c r="AP10" s="1185"/>
      <c r="AQ10" s="1181"/>
      <c r="AR10" s="1181"/>
      <c r="AS10" s="430"/>
      <c r="AT10" s="430"/>
      <c r="AU10" s="430"/>
      <c r="AV10" s="430"/>
      <c r="AW10" s="430"/>
      <c r="AX10" s="430"/>
      <c r="AY10" s="430"/>
      <c r="AZ10" s="430"/>
      <c r="BA10" s="430"/>
      <c r="BB10" s="430"/>
      <c r="BC10" s="430"/>
      <c r="BD10" s="430"/>
      <c r="BE10" s="430"/>
      <c r="BF10" s="430"/>
      <c r="BG10" s="430"/>
      <c r="BH10" s="430"/>
      <c r="BI10" s="430"/>
    </row>
    <row r="11" spans="1:61" s="102" customFormat="1" ht="30" customHeight="1">
      <c r="A11" s="599"/>
      <c r="B11" s="599"/>
      <c r="C11" s="599"/>
      <c r="D11" s="599"/>
      <c r="E11" s="1174" t="s">
        <v>53</v>
      </c>
      <c r="F11" s="1175" t="s">
        <v>793</v>
      </c>
      <c r="G11" s="1175"/>
      <c r="H11" s="1175"/>
      <c r="I11" s="1175"/>
      <c r="J11" s="1175"/>
      <c r="K11" s="1175"/>
      <c r="L11" s="1175"/>
      <c r="M11" s="1175"/>
      <c r="N11" s="1186"/>
      <c r="O11" s="1182"/>
      <c r="P11" s="1200" t="b">
        <v>0</v>
      </c>
      <c r="Q11" s="1183"/>
      <c r="R11" s="1184"/>
      <c r="S11" s="1200" t="b">
        <v>0</v>
      </c>
      <c r="T11" s="1183"/>
      <c r="U11" s="1184"/>
      <c r="V11" s="1200" t="b">
        <v>0</v>
      </c>
      <c r="W11" s="1185"/>
      <c r="X11" s="1174" t="s">
        <v>794</v>
      </c>
      <c r="Y11" s="1175" t="s">
        <v>795</v>
      </c>
      <c r="Z11" s="1175"/>
      <c r="AA11" s="1175"/>
      <c r="AB11" s="1175"/>
      <c r="AC11" s="1175"/>
      <c r="AD11" s="1175"/>
      <c r="AE11" s="1175"/>
      <c r="AF11" s="1175"/>
      <c r="AG11" s="1186"/>
      <c r="AH11" s="1182"/>
      <c r="AI11" s="1200" t="b">
        <v>0</v>
      </c>
      <c r="AJ11" s="1183"/>
      <c r="AK11" s="1184"/>
      <c r="AL11" s="1200" t="b">
        <v>0</v>
      </c>
      <c r="AM11" s="1183"/>
      <c r="AN11" s="1184"/>
      <c r="AO11" s="1200" t="b">
        <v>0</v>
      </c>
      <c r="AP11" s="1185"/>
      <c r="AQ11" s="1181"/>
      <c r="AR11" s="1181"/>
      <c r="AS11" s="599"/>
      <c r="AT11" s="599"/>
      <c r="AU11" s="599"/>
      <c r="AV11" s="599"/>
      <c r="AW11" s="599"/>
      <c r="AX11" s="599"/>
      <c r="AY11" s="599"/>
      <c r="AZ11" s="599"/>
      <c r="BA11" s="599"/>
      <c r="BB11" s="599"/>
      <c r="BC11" s="599"/>
      <c r="BD11" s="599"/>
      <c r="BE11" s="599"/>
      <c r="BF11" s="599"/>
      <c r="BG11" s="599"/>
      <c r="BH11" s="599"/>
      <c r="BI11" s="599"/>
    </row>
    <row r="12" spans="1:61" s="102" customFormat="1" ht="30" customHeight="1">
      <c r="A12" s="599"/>
      <c r="B12" s="599"/>
      <c r="C12" s="599"/>
      <c r="D12" s="599"/>
      <c r="E12" s="1174" t="s">
        <v>54</v>
      </c>
      <c r="F12" s="782" t="s">
        <v>796</v>
      </c>
      <c r="G12" s="782"/>
      <c r="H12" s="782"/>
      <c r="I12" s="782"/>
      <c r="J12" s="782"/>
      <c r="K12" s="782"/>
      <c r="L12" s="782"/>
      <c r="M12" s="782"/>
      <c r="N12" s="1187"/>
      <c r="O12" s="1182"/>
      <c r="P12" s="1200" t="b">
        <v>0</v>
      </c>
      <c r="Q12" s="1183"/>
      <c r="R12" s="1184"/>
      <c r="S12" s="1200" t="b">
        <v>0</v>
      </c>
      <c r="T12" s="1183"/>
      <c r="U12" s="1184"/>
      <c r="V12" s="1200" t="b">
        <v>0</v>
      </c>
      <c r="W12" s="1185"/>
      <c r="X12" s="1174" t="s">
        <v>797</v>
      </c>
      <c r="Y12" s="782" t="s">
        <v>798</v>
      </c>
      <c r="Z12" s="782"/>
      <c r="AA12" s="782"/>
      <c r="AB12" s="782"/>
      <c r="AC12" s="782"/>
      <c r="AD12" s="782"/>
      <c r="AE12" s="782"/>
      <c r="AF12" s="782"/>
      <c r="AG12" s="1187"/>
      <c r="AH12" s="1182"/>
      <c r="AI12" s="1200" t="b">
        <v>0</v>
      </c>
      <c r="AJ12" s="1183"/>
      <c r="AK12" s="1184"/>
      <c r="AL12" s="1200" t="b">
        <v>0</v>
      </c>
      <c r="AM12" s="1183"/>
      <c r="AN12" s="1184"/>
      <c r="AO12" s="1200" t="b">
        <v>0</v>
      </c>
      <c r="AP12" s="1185"/>
      <c r="AQ12" s="1181"/>
      <c r="AR12" s="1181"/>
      <c r="AS12" s="599"/>
      <c r="AT12" s="599"/>
      <c r="AU12" s="599"/>
      <c r="AV12" s="599"/>
      <c r="AW12" s="599"/>
      <c r="AX12" s="599"/>
      <c r="AY12" s="599"/>
      <c r="AZ12" s="599"/>
      <c r="BA12" s="599"/>
      <c r="BB12" s="599"/>
      <c r="BC12" s="599"/>
      <c r="BD12" s="599"/>
      <c r="BE12" s="599"/>
      <c r="BF12" s="599"/>
      <c r="BG12" s="599"/>
      <c r="BH12" s="599"/>
      <c r="BI12" s="599"/>
    </row>
    <row r="13" spans="1:61" s="102" customFormat="1" ht="30" customHeight="1">
      <c r="A13" s="599"/>
      <c r="B13" s="599"/>
      <c r="C13" s="599"/>
      <c r="D13" s="599"/>
      <c r="E13" s="1174" t="s">
        <v>55</v>
      </c>
      <c r="F13" s="1175" t="s">
        <v>799</v>
      </c>
      <c r="G13" s="1175"/>
      <c r="H13" s="1175"/>
      <c r="I13" s="1175"/>
      <c r="J13" s="1175"/>
      <c r="K13" s="1175"/>
      <c r="L13" s="1175"/>
      <c r="M13" s="1175"/>
      <c r="N13" s="1186"/>
      <c r="O13" s="1182"/>
      <c r="P13" s="1200" t="b">
        <v>0</v>
      </c>
      <c r="Q13" s="1183"/>
      <c r="R13" s="1184"/>
      <c r="S13" s="1200" t="b">
        <v>0</v>
      </c>
      <c r="T13" s="1183"/>
      <c r="U13" s="1184"/>
      <c r="V13" s="1200" t="b">
        <v>0</v>
      </c>
      <c r="W13" s="1185"/>
      <c r="X13" s="1174" t="s">
        <v>800</v>
      </c>
      <c r="Y13" s="1175" t="s">
        <v>801</v>
      </c>
      <c r="Z13" s="1175"/>
      <c r="AA13" s="1175"/>
      <c r="AB13" s="1175"/>
      <c r="AC13" s="1175"/>
      <c r="AD13" s="1175"/>
      <c r="AE13" s="1175"/>
      <c r="AF13" s="1175"/>
      <c r="AG13" s="1186"/>
      <c r="AH13" s="1182"/>
      <c r="AI13" s="1200" t="b">
        <v>0</v>
      </c>
      <c r="AJ13" s="1183"/>
      <c r="AK13" s="1184"/>
      <c r="AL13" s="1200" t="b">
        <v>0</v>
      </c>
      <c r="AM13" s="1183"/>
      <c r="AN13" s="1184"/>
      <c r="AO13" s="1200" t="b">
        <v>0</v>
      </c>
      <c r="AP13" s="1185"/>
      <c r="AQ13" s="1181"/>
      <c r="AR13" s="1181"/>
      <c r="AS13" s="599"/>
      <c r="AT13" s="599"/>
      <c r="AU13" s="599"/>
      <c r="AV13" s="599"/>
      <c r="AW13" s="599"/>
      <c r="AX13" s="599"/>
      <c r="AY13" s="599"/>
      <c r="AZ13" s="599"/>
      <c r="BA13" s="599"/>
      <c r="BB13" s="599"/>
      <c r="BC13" s="599"/>
      <c r="BD13" s="599"/>
      <c r="BE13" s="599"/>
      <c r="BF13" s="599"/>
      <c r="BG13" s="599"/>
      <c r="BH13" s="599"/>
      <c r="BI13" s="599"/>
    </row>
    <row r="14" spans="1:61" s="102" customFormat="1" ht="30" customHeight="1">
      <c r="A14" s="599"/>
      <c r="B14" s="599"/>
      <c r="C14" s="599"/>
      <c r="D14" s="599"/>
      <c r="E14" s="1174" t="s">
        <v>56</v>
      </c>
      <c r="F14" s="782" t="s">
        <v>802</v>
      </c>
      <c r="G14" s="782"/>
      <c r="H14" s="782"/>
      <c r="I14" s="782"/>
      <c r="J14" s="782"/>
      <c r="K14" s="782"/>
      <c r="L14" s="782"/>
      <c r="M14" s="782"/>
      <c r="N14" s="1187"/>
      <c r="O14" s="1182"/>
      <c r="P14" s="1200" t="b">
        <v>0</v>
      </c>
      <c r="Q14" s="1183"/>
      <c r="R14" s="1184"/>
      <c r="S14" s="1200" t="b">
        <v>0</v>
      </c>
      <c r="T14" s="1183"/>
      <c r="U14" s="1184"/>
      <c r="V14" s="1200" t="b">
        <v>0</v>
      </c>
      <c r="W14" s="1185"/>
      <c r="X14" s="1174" t="s">
        <v>803</v>
      </c>
      <c r="Y14" s="782" t="s">
        <v>804</v>
      </c>
      <c r="Z14" s="782"/>
      <c r="AA14" s="782"/>
      <c r="AB14" s="782"/>
      <c r="AC14" s="782"/>
      <c r="AD14" s="782"/>
      <c r="AE14" s="782"/>
      <c r="AF14" s="782"/>
      <c r="AG14" s="1187"/>
      <c r="AH14" s="1182"/>
      <c r="AI14" s="1200" t="b">
        <v>0</v>
      </c>
      <c r="AJ14" s="1183"/>
      <c r="AK14" s="1184"/>
      <c r="AL14" s="1200" t="b">
        <v>0</v>
      </c>
      <c r="AM14" s="1183"/>
      <c r="AN14" s="1184"/>
      <c r="AO14" s="1200" t="b">
        <v>0</v>
      </c>
      <c r="AP14" s="1185"/>
      <c r="AQ14" s="1181"/>
      <c r="AR14" s="1181"/>
      <c r="AS14" s="599"/>
      <c r="AT14" s="599"/>
      <c r="AU14" s="599"/>
      <c r="AV14" s="599"/>
      <c r="AW14" s="599"/>
      <c r="AX14" s="599"/>
      <c r="AY14" s="599"/>
      <c r="AZ14" s="599"/>
      <c r="BA14" s="599"/>
      <c r="BB14" s="599"/>
      <c r="BC14" s="599"/>
      <c r="BD14" s="599"/>
      <c r="BE14" s="599"/>
      <c r="BF14" s="599"/>
      <c r="BG14" s="599"/>
      <c r="BH14" s="599"/>
      <c r="BI14" s="599"/>
    </row>
    <row r="15" spans="1:61" s="102" customFormat="1" ht="30" customHeight="1">
      <c r="A15" s="599"/>
      <c r="B15" s="599"/>
      <c r="C15" s="599"/>
      <c r="D15" s="599"/>
      <c r="E15" s="1174" t="s">
        <v>57</v>
      </c>
      <c r="F15" s="782" t="s">
        <v>805</v>
      </c>
      <c r="G15" s="782"/>
      <c r="H15" s="782"/>
      <c r="I15" s="782"/>
      <c r="J15" s="782"/>
      <c r="K15" s="782"/>
      <c r="L15" s="782"/>
      <c r="M15" s="782"/>
      <c r="N15" s="1187"/>
      <c r="O15" s="1182"/>
      <c r="P15" s="1200" t="b">
        <v>1</v>
      </c>
      <c r="Q15" s="1183"/>
      <c r="R15" s="1184"/>
      <c r="S15" s="1200" t="b">
        <v>1</v>
      </c>
      <c r="T15" s="1183"/>
      <c r="U15" s="1184"/>
      <c r="V15" s="1200" t="b">
        <v>0</v>
      </c>
      <c r="W15" s="1185"/>
      <c r="X15" s="1174" t="s">
        <v>806</v>
      </c>
      <c r="Y15" s="782" t="s">
        <v>807</v>
      </c>
      <c r="Z15" s="782"/>
      <c r="AA15" s="782"/>
      <c r="AB15" s="782"/>
      <c r="AC15" s="782"/>
      <c r="AD15" s="782"/>
      <c r="AE15" s="782"/>
      <c r="AF15" s="782"/>
      <c r="AG15" s="1187"/>
      <c r="AH15" s="1182"/>
      <c r="AI15" s="1200" t="b">
        <v>0</v>
      </c>
      <c r="AJ15" s="1183"/>
      <c r="AK15" s="1184"/>
      <c r="AL15" s="1200" t="b">
        <v>0</v>
      </c>
      <c r="AM15" s="1183"/>
      <c r="AN15" s="1184"/>
      <c r="AO15" s="1200" t="b">
        <v>0</v>
      </c>
      <c r="AP15" s="1185"/>
      <c r="AQ15" s="1181"/>
      <c r="AR15" s="1181"/>
      <c r="AS15" s="599"/>
      <c r="AT15" s="599"/>
      <c r="AU15" s="599"/>
      <c r="AV15" s="599"/>
      <c r="AW15" s="599"/>
      <c r="AX15" s="599"/>
      <c r="AY15" s="599"/>
      <c r="AZ15" s="599"/>
      <c r="BA15" s="599"/>
      <c r="BB15" s="599"/>
      <c r="BC15" s="599"/>
      <c r="BD15" s="599"/>
      <c r="BE15" s="599"/>
      <c r="BF15" s="599"/>
      <c r="BG15" s="599"/>
      <c r="BH15" s="599"/>
      <c r="BI15" s="599"/>
    </row>
    <row r="16" spans="1:61" s="102" customFormat="1" ht="30" customHeight="1">
      <c r="A16" s="599"/>
      <c r="B16" s="599"/>
      <c r="C16" s="599"/>
      <c r="D16" s="599"/>
      <c r="E16" s="1174" t="s">
        <v>752</v>
      </c>
      <c r="F16" s="782" t="s">
        <v>808</v>
      </c>
      <c r="G16" s="782"/>
      <c r="H16" s="782"/>
      <c r="I16" s="782"/>
      <c r="J16" s="782"/>
      <c r="K16" s="782"/>
      <c r="L16" s="782"/>
      <c r="M16" s="782"/>
      <c r="N16" s="1187"/>
      <c r="O16" s="1182"/>
      <c r="P16" s="1200" t="b">
        <v>0</v>
      </c>
      <c r="Q16" s="1183"/>
      <c r="R16" s="1184"/>
      <c r="S16" s="1200" t="b">
        <v>0</v>
      </c>
      <c r="T16" s="1183"/>
      <c r="U16" s="1184"/>
      <c r="V16" s="1200" t="b">
        <v>0</v>
      </c>
      <c r="W16" s="1185"/>
      <c r="X16" s="1174" t="s">
        <v>809</v>
      </c>
      <c r="Y16" s="782" t="s">
        <v>810</v>
      </c>
      <c r="Z16" s="782"/>
      <c r="AA16" s="782"/>
      <c r="AB16" s="782"/>
      <c r="AC16" s="782"/>
      <c r="AD16" s="782"/>
      <c r="AE16" s="782"/>
      <c r="AF16" s="782"/>
      <c r="AG16" s="1187"/>
      <c r="AH16" s="1182"/>
      <c r="AI16" s="1200" t="b">
        <v>0</v>
      </c>
      <c r="AJ16" s="1183"/>
      <c r="AK16" s="1184"/>
      <c r="AL16" s="1200" t="b">
        <v>0</v>
      </c>
      <c r="AM16" s="1183"/>
      <c r="AN16" s="1184"/>
      <c r="AO16" s="1200" t="b">
        <v>0</v>
      </c>
      <c r="AP16" s="1185"/>
      <c r="AQ16" s="1181"/>
      <c r="AR16" s="1181"/>
      <c r="AS16" s="599"/>
      <c r="AT16" s="599"/>
      <c r="AU16" s="599"/>
      <c r="AV16" s="599"/>
      <c r="AW16" s="599"/>
      <c r="AX16" s="599"/>
      <c r="AY16" s="599"/>
      <c r="AZ16" s="599"/>
      <c r="BA16" s="599"/>
      <c r="BB16" s="599"/>
      <c r="BC16" s="599"/>
      <c r="BD16" s="599"/>
      <c r="BE16" s="599"/>
      <c r="BF16" s="599"/>
      <c r="BG16" s="599"/>
      <c r="BH16" s="599"/>
      <c r="BI16" s="599"/>
    </row>
    <row r="17" spans="1:61" s="102" customFormat="1" ht="30" customHeight="1">
      <c r="A17" s="599"/>
      <c r="B17" s="599"/>
      <c r="C17" s="599"/>
      <c r="D17" s="599"/>
      <c r="E17" s="1174" t="s">
        <v>811</v>
      </c>
      <c r="F17" s="1175" t="s">
        <v>812</v>
      </c>
      <c r="G17" s="1175"/>
      <c r="H17" s="1175"/>
      <c r="I17" s="1175"/>
      <c r="J17" s="1175"/>
      <c r="K17" s="1175"/>
      <c r="L17" s="1175"/>
      <c r="M17" s="1175"/>
      <c r="N17" s="1186"/>
      <c r="O17" s="1182"/>
      <c r="P17" s="1200" t="b">
        <v>0</v>
      </c>
      <c r="Q17" s="1183"/>
      <c r="R17" s="1184"/>
      <c r="S17" s="1200" t="b">
        <v>0</v>
      </c>
      <c r="T17" s="1183"/>
      <c r="U17" s="1184"/>
      <c r="V17" s="1200" t="b">
        <v>0</v>
      </c>
      <c r="W17" s="1185"/>
      <c r="X17" s="1174" t="s">
        <v>813</v>
      </c>
      <c r="Y17" s="1175" t="s">
        <v>814</v>
      </c>
      <c r="Z17" s="1175"/>
      <c r="AA17" s="1175"/>
      <c r="AB17" s="1175"/>
      <c r="AC17" s="1175"/>
      <c r="AD17" s="1175"/>
      <c r="AE17" s="1175"/>
      <c r="AF17" s="1175"/>
      <c r="AG17" s="1186"/>
      <c r="AH17" s="1182"/>
      <c r="AI17" s="1200" t="b">
        <v>0</v>
      </c>
      <c r="AJ17" s="1183"/>
      <c r="AK17" s="1184"/>
      <c r="AL17" s="1200" t="b">
        <v>0</v>
      </c>
      <c r="AM17" s="1183"/>
      <c r="AN17" s="1184"/>
      <c r="AO17" s="1200" t="b">
        <v>0</v>
      </c>
      <c r="AP17" s="1185"/>
      <c r="AQ17" s="1181"/>
      <c r="AR17" s="1181"/>
      <c r="AS17" s="599"/>
      <c r="AT17" s="599"/>
      <c r="AU17" s="599"/>
      <c r="AV17" s="599"/>
      <c r="AW17" s="599"/>
      <c r="AX17" s="599"/>
      <c r="AY17" s="599"/>
      <c r="AZ17" s="599"/>
      <c r="BA17" s="599"/>
      <c r="BB17" s="599"/>
      <c r="BC17" s="599"/>
      <c r="BD17" s="599"/>
      <c r="BE17" s="599"/>
      <c r="BF17" s="599"/>
      <c r="BG17" s="599"/>
      <c r="BH17" s="599"/>
      <c r="BI17" s="599"/>
    </row>
    <row r="18" spans="1:61" s="102" customFormat="1" ht="30" customHeight="1">
      <c r="A18" s="599"/>
      <c r="B18" s="599"/>
      <c r="C18" s="599"/>
      <c r="D18" s="599"/>
      <c r="E18" s="1174" t="s">
        <v>815</v>
      </c>
      <c r="F18" s="782" t="s">
        <v>816</v>
      </c>
      <c r="G18" s="782"/>
      <c r="H18" s="782"/>
      <c r="I18" s="782"/>
      <c r="J18" s="782"/>
      <c r="K18" s="782"/>
      <c r="L18" s="782"/>
      <c r="M18" s="782"/>
      <c r="N18" s="1187"/>
      <c r="O18" s="1182"/>
      <c r="P18" s="1200" t="b">
        <v>0</v>
      </c>
      <c r="Q18" s="1183"/>
      <c r="R18" s="1184"/>
      <c r="S18" s="1200" t="b">
        <v>0</v>
      </c>
      <c r="T18" s="1183"/>
      <c r="U18" s="1184"/>
      <c r="V18" s="1200" t="b">
        <v>0</v>
      </c>
      <c r="W18" s="1185"/>
      <c r="X18" s="1174" t="s">
        <v>817</v>
      </c>
      <c r="Y18" s="782" t="s">
        <v>818</v>
      </c>
      <c r="Z18" s="782"/>
      <c r="AA18" s="782"/>
      <c r="AB18" s="782"/>
      <c r="AC18" s="782"/>
      <c r="AD18" s="782"/>
      <c r="AE18" s="782"/>
      <c r="AF18" s="782"/>
      <c r="AG18" s="1187"/>
      <c r="AH18" s="1182"/>
      <c r="AI18" s="1200" t="b">
        <v>0</v>
      </c>
      <c r="AJ18" s="1183"/>
      <c r="AK18" s="1184"/>
      <c r="AL18" s="1200" t="b">
        <v>0</v>
      </c>
      <c r="AM18" s="1183"/>
      <c r="AN18" s="1184"/>
      <c r="AO18" s="1200" t="b">
        <v>0</v>
      </c>
      <c r="AP18" s="1185"/>
      <c r="AQ18" s="1181"/>
      <c r="AR18" s="1181"/>
      <c r="AS18" s="599"/>
      <c r="AT18" s="599"/>
      <c r="AU18" s="599"/>
      <c r="AV18" s="599"/>
      <c r="AW18" s="599"/>
      <c r="AX18" s="599"/>
      <c r="AY18" s="599"/>
      <c r="AZ18" s="599"/>
      <c r="BA18" s="599"/>
      <c r="BB18" s="599"/>
      <c r="BC18" s="599"/>
      <c r="BD18" s="599"/>
      <c r="BE18" s="599"/>
      <c r="BF18" s="599"/>
      <c r="BG18" s="599"/>
      <c r="BH18" s="599"/>
      <c r="BI18" s="599"/>
    </row>
    <row r="19" spans="1:61" s="102" customFormat="1" ht="30" customHeight="1" thickBot="1">
      <c r="A19" s="599"/>
      <c r="B19" s="599"/>
      <c r="C19" s="599"/>
      <c r="D19" s="599"/>
      <c r="E19" s="1188" t="s">
        <v>819</v>
      </c>
      <c r="F19" s="1189" t="s">
        <v>820</v>
      </c>
      <c r="G19" s="1189"/>
      <c r="H19" s="1189"/>
      <c r="I19" s="1189"/>
      <c r="J19" s="1189"/>
      <c r="K19" s="1189"/>
      <c r="L19" s="1189"/>
      <c r="M19" s="1189"/>
      <c r="N19" s="1190"/>
      <c r="O19" s="1191"/>
      <c r="P19" s="1201" t="b">
        <v>0</v>
      </c>
      <c r="Q19" s="1192"/>
      <c r="R19" s="1193"/>
      <c r="S19" s="1201" t="b">
        <v>0</v>
      </c>
      <c r="T19" s="1192"/>
      <c r="U19" s="1193"/>
      <c r="V19" s="1201" t="b">
        <v>0</v>
      </c>
      <c r="W19" s="1194"/>
      <c r="X19" s="3481"/>
      <c r="Y19" s="3482"/>
      <c r="Z19" s="3482"/>
      <c r="AA19" s="3482"/>
      <c r="AB19" s="3482"/>
      <c r="AC19" s="3482"/>
      <c r="AD19" s="3482"/>
      <c r="AE19" s="3482"/>
      <c r="AF19" s="3482"/>
      <c r="AG19" s="3482"/>
      <c r="AH19" s="3482"/>
      <c r="AI19" s="3482"/>
      <c r="AJ19" s="3482"/>
      <c r="AK19" s="3482"/>
      <c r="AL19" s="3482"/>
      <c r="AM19" s="3482"/>
      <c r="AN19" s="3482"/>
      <c r="AO19" s="3482"/>
      <c r="AP19" s="3483"/>
      <c r="AQ19" s="599"/>
      <c r="AR19" s="599"/>
      <c r="AS19" s="599"/>
      <c r="AT19" s="599"/>
      <c r="AU19" s="599"/>
      <c r="AV19" s="599"/>
      <c r="AW19" s="599"/>
      <c r="AX19" s="599"/>
      <c r="AY19" s="599"/>
      <c r="AZ19" s="599"/>
      <c r="BA19" s="599"/>
      <c r="BB19" s="599"/>
      <c r="BC19" s="599"/>
      <c r="BD19" s="599"/>
      <c r="BE19" s="599"/>
      <c r="BF19" s="599"/>
      <c r="BG19" s="599"/>
      <c r="BH19" s="599"/>
      <c r="BI19" s="599"/>
    </row>
    <row r="20" spans="1:61" s="114" customFormat="1">
      <c r="A20" s="1195"/>
      <c r="B20" s="1195"/>
      <c r="C20" s="1195"/>
      <c r="D20" s="1195"/>
      <c r="E20" s="546" t="s">
        <v>47</v>
      </c>
      <c r="F20" s="3484" t="s">
        <v>1185</v>
      </c>
      <c r="G20" s="3484"/>
      <c r="H20" s="3484"/>
      <c r="I20" s="3484"/>
      <c r="J20" s="3484"/>
      <c r="K20" s="3484"/>
      <c r="L20" s="3484"/>
      <c r="M20" s="3484"/>
      <c r="N20" s="3484"/>
      <c r="O20" s="3484"/>
      <c r="P20" s="3484"/>
      <c r="Q20" s="3484"/>
      <c r="R20" s="3484"/>
      <c r="S20" s="3484"/>
      <c r="T20" s="3484"/>
      <c r="U20" s="3484"/>
      <c r="V20" s="3484"/>
      <c r="W20" s="3484"/>
      <c r="X20" s="3484"/>
      <c r="Y20" s="3484"/>
      <c r="Z20" s="3484"/>
      <c r="AA20" s="3484"/>
      <c r="AB20" s="3484"/>
      <c r="AC20" s="3484"/>
      <c r="AD20" s="3484"/>
      <c r="AE20" s="3484"/>
      <c r="AF20" s="3484"/>
      <c r="AG20" s="3484"/>
      <c r="AH20" s="3484"/>
      <c r="AI20" s="3484"/>
      <c r="AJ20" s="3484"/>
      <c r="AK20" s="3484"/>
      <c r="AL20" s="3484"/>
      <c r="AM20" s="3484"/>
      <c r="AN20" s="3484"/>
      <c r="AO20" s="3484"/>
      <c r="AP20" s="3484"/>
      <c r="AQ20" s="1196"/>
      <c r="AR20" s="1196"/>
      <c r="AS20" s="1197"/>
      <c r="AT20" s="1197"/>
      <c r="AU20" s="1197"/>
      <c r="AV20" s="1197"/>
      <c r="AW20" s="1197"/>
      <c r="AX20" s="1197"/>
      <c r="AY20" s="1197"/>
      <c r="AZ20" s="1197"/>
      <c r="BA20" s="1195"/>
      <c r="BB20" s="1195"/>
      <c r="BC20" s="1195"/>
      <c r="BD20" s="1195"/>
      <c r="BE20" s="1195"/>
      <c r="BF20" s="1195"/>
      <c r="BG20" s="1195"/>
      <c r="BH20" s="1195"/>
      <c r="BI20" s="1195"/>
    </row>
    <row r="21" spans="1:61" s="114" customFormat="1">
      <c r="A21" s="1195"/>
      <c r="B21" s="1195"/>
      <c r="C21" s="1195"/>
      <c r="D21" s="1195"/>
      <c r="E21" s="546" t="s">
        <v>48</v>
      </c>
      <c r="F21" s="3475" t="s">
        <v>1186</v>
      </c>
      <c r="G21" s="3475"/>
      <c r="H21" s="3475"/>
      <c r="I21" s="3475"/>
      <c r="J21" s="3475"/>
      <c r="K21" s="3475"/>
      <c r="L21" s="3475"/>
      <c r="M21" s="3475"/>
      <c r="N21" s="3475"/>
      <c r="O21" s="3475"/>
      <c r="P21" s="3475"/>
      <c r="Q21" s="3475"/>
      <c r="R21" s="3475"/>
      <c r="S21" s="3475"/>
      <c r="T21" s="3475"/>
      <c r="U21" s="3475"/>
      <c r="V21" s="3475"/>
      <c r="W21" s="3475"/>
      <c r="X21" s="3475"/>
      <c r="Y21" s="3475"/>
      <c r="Z21" s="3475"/>
      <c r="AA21" s="3475"/>
      <c r="AB21" s="3475"/>
      <c r="AC21" s="3475"/>
      <c r="AD21" s="3475"/>
      <c r="AE21" s="3475"/>
      <c r="AF21" s="3475"/>
      <c r="AG21" s="3475"/>
      <c r="AH21" s="3475"/>
      <c r="AI21" s="3475"/>
      <c r="AJ21" s="3475"/>
      <c r="AK21" s="3475"/>
      <c r="AL21" s="3475"/>
      <c r="AM21" s="3475"/>
      <c r="AN21" s="3475"/>
      <c r="AO21" s="3475"/>
      <c r="AP21" s="3475"/>
      <c r="AQ21" s="1196"/>
      <c r="AR21" s="1196"/>
      <c r="AS21" s="1197"/>
      <c r="AT21" s="1197"/>
      <c r="AU21" s="1197"/>
      <c r="AV21" s="1197"/>
      <c r="AW21" s="1197"/>
      <c r="AX21" s="1197"/>
      <c r="AY21" s="1197"/>
      <c r="AZ21" s="1197"/>
      <c r="BA21" s="1195"/>
      <c r="BB21" s="1195"/>
      <c r="BC21" s="1195"/>
      <c r="BD21" s="1195"/>
      <c r="BE21" s="1195"/>
      <c r="BF21" s="1195"/>
      <c r="BG21" s="1195"/>
      <c r="BH21" s="1195"/>
      <c r="BI21" s="1195"/>
    </row>
    <row r="22" spans="1:61" s="114" customFormat="1">
      <c r="A22" s="1195"/>
      <c r="B22" s="1195"/>
      <c r="C22" s="1195"/>
      <c r="D22" s="1195"/>
      <c r="E22" s="546" t="s">
        <v>49</v>
      </c>
      <c r="F22" s="3475" t="s">
        <v>1187</v>
      </c>
      <c r="G22" s="3475"/>
      <c r="H22" s="3475"/>
      <c r="I22" s="3475"/>
      <c r="J22" s="3475"/>
      <c r="K22" s="3475"/>
      <c r="L22" s="3475"/>
      <c r="M22" s="3475"/>
      <c r="N22" s="3475"/>
      <c r="O22" s="3475"/>
      <c r="P22" s="3475"/>
      <c r="Q22" s="3475"/>
      <c r="R22" s="3475"/>
      <c r="S22" s="3475"/>
      <c r="T22" s="3475"/>
      <c r="U22" s="3475"/>
      <c r="V22" s="3475"/>
      <c r="W22" s="3475"/>
      <c r="X22" s="3475"/>
      <c r="Y22" s="3475"/>
      <c r="Z22" s="3475"/>
      <c r="AA22" s="3475"/>
      <c r="AB22" s="3475"/>
      <c r="AC22" s="3475"/>
      <c r="AD22" s="3475"/>
      <c r="AE22" s="3475"/>
      <c r="AF22" s="3475"/>
      <c r="AG22" s="3475"/>
      <c r="AH22" s="3475"/>
      <c r="AI22" s="3475"/>
      <c r="AJ22" s="3475"/>
      <c r="AK22" s="3475"/>
      <c r="AL22" s="3475"/>
      <c r="AM22" s="3475"/>
      <c r="AN22" s="3475"/>
      <c r="AO22" s="3475"/>
      <c r="AP22" s="3475"/>
      <c r="AQ22" s="1196"/>
      <c r="AR22" s="1196"/>
      <c r="AS22" s="1197"/>
      <c r="AT22" s="1197"/>
      <c r="AU22" s="1197"/>
      <c r="AV22" s="1197"/>
      <c r="AW22" s="1197"/>
      <c r="AX22" s="1197"/>
      <c r="AY22" s="1197"/>
      <c r="AZ22" s="1197"/>
      <c r="BA22" s="1195"/>
      <c r="BB22" s="1195"/>
      <c r="BC22" s="1195"/>
      <c r="BD22" s="1195"/>
      <c r="BE22" s="1195"/>
      <c r="BF22" s="1195"/>
      <c r="BG22" s="1195"/>
      <c r="BH22" s="1195"/>
      <c r="BI22" s="1195"/>
    </row>
    <row r="23" spans="1:61" s="44" customFormat="1" ht="30.75" customHeight="1">
      <c r="A23" s="434"/>
      <c r="B23" s="434"/>
      <c r="C23" s="434"/>
      <c r="D23" s="434"/>
      <c r="E23" s="434"/>
      <c r="F23" s="434"/>
      <c r="G23" s="434"/>
      <c r="H23" s="434"/>
      <c r="I23" s="434"/>
      <c r="J23" s="434"/>
      <c r="K23" s="434"/>
      <c r="L23" s="434"/>
      <c r="M23" s="434"/>
      <c r="N23" s="434"/>
      <c r="O23" s="1198"/>
      <c r="P23" s="434"/>
      <c r="Q23" s="434"/>
      <c r="R23" s="434"/>
      <c r="S23" s="434"/>
      <c r="T23" s="434"/>
      <c r="U23" s="434"/>
      <c r="V23" s="434"/>
      <c r="W23" s="434"/>
      <c r="X23" s="434"/>
      <c r="Y23" s="434"/>
      <c r="Z23" s="434"/>
      <c r="AA23" s="434"/>
      <c r="AB23" s="434"/>
      <c r="AC23" s="434"/>
      <c r="AD23" s="434"/>
      <c r="AE23" s="434"/>
      <c r="AF23" s="434"/>
      <c r="AG23" s="434"/>
      <c r="AH23" s="434"/>
      <c r="AI23" s="434"/>
      <c r="AJ23" s="434"/>
      <c r="AK23" s="434"/>
      <c r="AL23" s="434"/>
      <c r="AM23" s="434"/>
      <c r="AN23" s="434"/>
      <c r="AO23" s="434"/>
      <c r="AP23" s="434"/>
      <c r="AQ23" s="434"/>
      <c r="AR23" s="434"/>
      <c r="AS23" s="434"/>
      <c r="AT23" s="434"/>
      <c r="AU23" s="434"/>
      <c r="AV23" s="434"/>
      <c r="AW23" s="434"/>
      <c r="AX23" s="434"/>
      <c r="AY23" s="434"/>
      <c r="AZ23" s="434"/>
      <c r="BA23" s="434"/>
      <c r="BB23" s="434"/>
      <c r="BC23" s="434"/>
      <c r="BD23" s="434"/>
      <c r="BE23" s="434"/>
      <c r="BF23" s="434"/>
      <c r="BG23" s="434"/>
      <c r="BH23" s="434"/>
      <c r="BI23" s="434"/>
    </row>
    <row r="24" spans="1:61" s="1" customFormat="1" ht="15">
      <c r="A24" s="331"/>
      <c r="B24" s="332" t="s">
        <v>32</v>
      </c>
      <c r="C24" s="331"/>
      <c r="D24" s="331"/>
      <c r="E24" s="331"/>
      <c r="F24" s="331"/>
      <c r="G24" s="331"/>
      <c r="H24" s="331"/>
      <c r="I24" s="331"/>
      <c r="J24" s="331"/>
      <c r="K24" s="331"/>
      <c r="L24" s="331"/>
      <c r="M24" s="331"/>
      <c r="N24" s="331"/>
      <c r="O24" s="331"/>
      <c r="P24" s="331"/>
      <c r="Q24" s="332" t="s">
        <v>821</v>
      </c>
      <c r="R24" s="331"/>
      <c r="S24" s="331"/>
      <c r="T24" s="331"/>
      <c r="U24" s="331"/>
      <c r="V24" s="331"/>
      <c r="W24" s="331"/>
      <c r="X24" s="331"/>
      <c r="Y24" s="331"/>
      <c r="Z24" s="331"/>
      <c r="AA24" s="331"/>
      <c r="AB24" s="331"/>
      <c r="AC24" s="331"/>
      <c r="AD24" s="331"/>
      <c r="AE24" s="331"/>
      <c r="AF24" s="332" t="s">
        <v>33</v>
      </c>
      <c r="AG24" s="331"/>
      <c r="AH24" s="331"/>
      <c r="AI24" s="331"/>
      <c r="AJ24" s="331"/>
      <c r="AK24" s="331"/>
      <c r="AL24" s="331"/>
      <c r="AM24" s="331"/>
      <c r="AN24" s="331"/>
      <c r="AO24" s="331"/>
      <c r="AP24" s="331"/>
      <c r="AQ24" s="331"/>
      <c r="AR24" s="331"/>
      <c r="AS24" s="331"/>
      <c r="AT24" s="331"/>
      <c r="AU24" s="331"/>
      <c r="AV24" s="331"/>
      <c r="AW24" s="331"/>
      <c r="AX24" s="331"/>
      <c r="AY24" s="331"/>
      <c r="AZ24" s="331"/>
      <c r="BA24" s="331"/>
      <c r="BB24" s="331"/>
      <c r="BC24" s="331"/>
      <c r="BD24" s="331"/>
      <c r="BE24" s="331"/>
      <c r="BF24" s="331"/>
      <c r="BG24" s="331"/>
      <c r="BH24" s="331"/>
      <c r="BI24" s="331"/>
    </row>
    <row r="25" spans="1:61" s="1" customFormat="1" ht="21.75" customHeight="1">
      <c r="A25" s="331"/>
      <c r="B25" s="332" t="s">
        <v>75</v>
      </c>
      <c r="C25" s="331"/>
      <c r="D25" s="331"/>
      <c r="E25" s="331"/>
      <c r="F25" s="1891" t="str">
        <f>activesheet!E21</f>
        <v>MELCHESIEDICK Q. BOLANIO / March 17, 2023</v>
      </c>
      <c r="G25" s="1891"/>
      <c r="H25" s="1891"/>
      <c r="I25" s="1891"/>
      <c r="J25" s="1891"/>
      <c r="K25" s="1891"/>
      <c r="L25" s="1891"/>
      <c r="M25" s="1891"/>
      <c r="N25" s="1891"/>
      <c r="O25" s="331"/>
      <c r="P25" s="331"/>
      <c r="Q25" s="1810" t="s">
        <v>11921</v>
      </c>
      <c r="R25" s="1810"/>
      <c r="S25" s="1810"/>
      <c r="T25" s="1810"/>
      <c r="U25" s="1810"/>
      <c r="V25" s="1810"/>
      <c r="W25" s="1810"/>
      <c r="X25" s="1810"/>
      <c r="Y25" s="1810"/>
      <c r="Z25" s="1810"/>
      <c r="AA25" s="1810"/>
      <c r="AB25" s="1810"/>
      <c r="AC25" s="1810"/>
      <c r="AD25" s="331"/>
      <c r="AE25" s="331"/>
      <c r="AF25" s="1819" t="str">
        <f>activesheet!E25</f>
        <v>MICHAEL T. JAMIS / March 17, 2023</v>
      </c>
      <c r="AG25" s="1819"/>
      <c r="AH25" s="1819"/>
      <c r="AI25" s="1819"/>
      <c r="AJ25" s="1819"/>
      <c r="AK25" s="1819"/>
      <c r="AL25" s="1819"/>
      <c r="AM25" s="1819"/>
      <c r="AN25" s="1819"/>
      <c r="AO25" s="1819"/>
      <c r="AP25" s="1819"/>
      <c r="AQ25" s="1819"/>
      <c r="AR25" s="1819"/>
      <c r="AS25" s="331"/>
      <c r="AT25" s="331"/>
      <c r="AU25" s="331"/>
      <c r="AV25" s="331"/>
      <c r="AW25" s="331"/>
      <c r="AX25" s="331"/>
      <c r="AY25" s="331"/>
      <c r="AZ25" s="331"/>
      <c r="BA25" s="331"/>
      <c r="BB25" s="331"/>
      <c r="BC25" s="331"/>
      <c r="BD25" s="331"/>
      <c r="BE25" s="331"/>
      <c r="BF25" s="331"/>
      <c r="BG25" s="331"/>
      <c r="BH25" s="331"/>
      <c r="BI25" s="331"/>
    </row>
    <row r="26" spans="1:61" s="2" customFormat="1" ht="15">
      <c r="A26" s="325"/>
      <c r="B26" s="228"/>
      <c r="C26" s="325"/>
      <c r="D26" s="325"/>
      <c r="E26" s="325"/>
      <c r="F26" s="1811" t="s">
        <v>37</v>
      </c>
      <c r="G26" s="1811"/>
      <c r="H26" s="1811"/>
      <c r="I26" s="1811"/>
      <c r="J26" s="1811"/>
      <c r="K26" s="1811"/>
      <c r="L26" s="1811"/>
      <c r="M26" s="1811"/>
      <c r="N26" s="1811"/>
      <c r="O26" s="281"/>
      <c r="P26" s="281"/>
      <c r="Q26" s="1811" t="s">
        <v>37</v>
      </c>
      <c r="R26" s="1811"/>
      <c r="S26" s="1811"/>
      <c r="T26" s="1811"/>
      <c r="U26" s="1811"/>
      <c r="V26" s="1811"/>
      <c r="W26" s="1811"/>
      <c r="X26" s="1811"/>
      <c r="Y26" s="1811"/>
      <c r="Z26" s="1811"/>
      <c r="AA26" s="1811"/>
      <c r="AB26" s="1811"/>
      <c r="AC26" s="1811"/>
      <c r="AD26" s="325"/>
      <c r="AE26" s="325"/>
      <c r="AF26" s="1820"/>
      <c r="AG26" s="1820"/>
      <c r="AH26" s="1820"/>
      <c r="AI26" s="1820"/>
      <c r="AJ26" s="1820"/>
      <c r="AK26" s="1820"/>
      <c r="AL26" s="1820"/>
      <c r="AM26" s="1820"/>
      <c r="AN26" s="1820"/>
      <c r="AO26" s="1820"/>
      <c r="AP26" s="1820"/>
      <c r="AQ26" s="1820"/>
      <c r="AR26" s="1820"/>
      <c r="AS26" s="331"/>
      <c r="AT26" s="331"/>
      <c r="AU26" s="325"/>
      <c r="AV26" s="325"/>
      <c r="AW26" s="325"/>
      <c r="AX26" s="325"/>
      <c r="AY26" s="325"/>
      <c r="AZ26" s="325"/>
      <c r="BA26" s="325"/>
      <c r="BB26" s="325"/>
      <c r="BC26" s="325"/>
      <c r="BD26" s="325"/>
      <c r="BE26" s="325"/>
      <c r="BF26" s="325"/>
      <c r="BG26" s="325"/>
      <c r="BH26" s="325"/>
      <c r="BI26" s="325"/>
    </row>
    <row r="27" spans="1:61" s="1" customFormat="1" ht="21.75" customHeight="1">
      <c r="A27" s="331"/>
      <c r="B27" s="332" t="s">
        <v>58</v>
      </c>
      <c r="C27" s="331"/>
      <c r="D27" s="331"/>
      <c r="E27" s="331"/>
      <c r="F27" s="1891" t="str">
        <f>activesheet!E22</f>
        <v>SECONDARY SCHOOL PRINCIPAL IV</v>
      </c>
      <c r="G27" s="1891"/>
      <c r="H27" s="1891"/>
      <c r="I27" s="1891"/>
      <c r="J27" s="1891"/>
      <c r="K27" s="1891"/>
      <c r="L27" s="1891"/>
      <c r="M27" s="1891"/>
      <c r="N27" s="1891"/>
      <c r="O27" s="331"/>
      <c r="P27" s="331"/>
      <c r="Q27" s="332" t="s">
        <v>58</v>
      </c>
      <c r="R27" s="331"/>
      <c r="S27" s="331"/>
      <c r="T27" s="331"/>
      <c r="U27" s="1810" t="s">
        <v>11897</v>
      </c>
      <c r="V27" s="1810"/>
      <c r="W27" s="1810"/>
      <c r="X27" s="1810"/>
      <c r="Y27" s="1810"/>
      <c r="Z27" s="1810"/>
      <c r="AA27" s="1810"/>
      <c r="AB27" s="1810"/>
      <c r="AC27" s="1810"/>
      <c r="AD27" s="331"/>
      <c r="AE27" s="331"/>
      <c r="AF27" s="1811" t="s">
        <v>37</v>
      </c>
      <c r="AG27" s="1811"/>
      <c r="AH27" s="1811"/>
      <c r="AI27" s="1811"/>
      <c r="AJ27" s="1811"/>
      <c r="AK27" s="1811"/>
      <c r="AL27" s="1811"/>
      <c r="AM27" s="1811"/>
      <c r="AN27" s="1811"/>
      <c r="AO27" s="1811"/>
      <c r="AP27" s="1811"/>
      <c r="AQ27" s="1811"/>
      <c r="AR27" s="1811"/>
      <c r="AS27" s="322"/>
      <c r="AT27" s="322"/>
      <c r="AU27" s="331"/>
      <c r="AV27" s="331"/>
      <c r="AW27" s="331"/>
      <c r="AX27" s="331"/>
      <c r="AY27" s="331"/>
      <c r="AZ27" s="331"/>
      <c r="BA27" s="331"/>
      <c r="BB27" s="331"/>
      <c r="BC27" s="331"/>
      <c r="BD27" s="331"/>
      <c r="BE27" s="331"/>
      <c r="BF27" s="331"/>
      <c r="BG27" s="331"/>
      <c r="BH27" s="331"/>
      <c r="BI27" s="331"/>
    </row>
    <row r="28" spans="1:61">
      <c r="A28" s="661"/>
      <c r="B28" s="661"/>
      <c r="C28" s="661"/>
      <c r="D28" s="661"/>
      <c r="E28" s="661"/>
      <c r="F28" s="661"/>
      <c r="G28" s="661"/>
      <c r="H28" s="661"/>
      <c r="I28" s="661"/>
      <c r="J28" s="661"/>
      <c r="K28" s="661"/>
      <c r="L28" s="661"/>
      <c r="M28" s="661"/>
      <c r="N28" s="661"/>
      <c r="O28" s="661"/>
      <c r="P28" s="661"/>
      <c r="Q28" s="661"/>
      <c r="R28" s="661"/>
      <c r="S28" s="661"/>
      <c r="T28" s="661"/>
      <c r="U28" s="661"/>
      <c r="V28" s="661"/>
      <c r="W28" s="661"/>
      <c r="X28" s="661"/>
      <c r="Y28" s="661"/>
      <c r="Z28" s="661"/>
      <c r="AA28" s="661"/>
      <c r="AB28" s="661"/>
      <c r="AC28" s="661"/>
      <c r="AD28" s="661"/>
      <c r="AE28" s="661"/>
      <c r="AF28" s="661"/>
      <c r="AG28" s="661"/>
      <c r="AH28" s="661"/>
      <c r="AI28" s="661"/>
      <c r="AJ28" s="661"/>
      <c r="AK28" s="661"/>
      <c r="AL28" s="661"/>
      <c r="AM28" s="661"/>
      <c r="AN28" s="661"/>
      <c r="AO28" s="661"/>
      <c r="AP28" s="661"/>
      <c r="AQ28" s="661"/>
      <c r="AR28" s="661"/>
      <c r="AS28" s="661"/>
      <c r="AT28" s="661"/>
      <c r="AU28" s="661"/>
      <c r="AV28" s="661"/>
      <c r="AW28" s="661"/>
      <c r="AX28" s="661"/>
      <c r="AY28" s="661"/>
      <c r="AZ28" s="661"/>
      <c r="BA28" s="661"/>
      <c r="BB28" s="661"/>
      <c r="BC28" s="661"/>
      <c r="BD28" s="661"/>
      <c r="BE28" s="661"/>
      <c r="BF28" s="661"/>
      <c r="BG28" s="661"/>
      <c r="BH28" s="661"/>
      <c r="BI28" s="661"/>
    </row>
    <row r="29" spans="1:61">
      <c r="A29" s="661"/>
      <c r="B29" s="661"/>
      <c r="C29" s="661"/>
      <c r="D29" s="661"/>
      <c r="E29" s="661"/>
      <c r="F29" s="661"/>
      <c r="G29" s="661"/>
      <c r="H29" s="661"/>
      <c r="I29" s="661"/>
      <c r="J29" s="661"/>
      <c r="K29" s="661"/>
      <c r="L29" s="661"/>
      <c r="M29" s="661"/>
      <c r="N29" s="661"/>
      <c r="O29" s="661"/>
      <c r="P29" s="661"/>
      <c r="Q29" s="661"/>
      <c r="R29" s="661"/>
      <c r="S29" s="661"/>
      <c r="T29" s="661"/>
      <c r="U29" s="661"/>
      <c r="V29" s="661"/>
      <c r="W29" s="661"/>
      <c r="X29" s="661"/>
      <c r="Y29" s="661"/>
      <c r="Z29" s="661"/>
      <c r="AA29" s="661"/>
      <c r="AB29" s="661"/>
      <c r="AC29" s="661"/>
      <c r="AD29" s="661"/>
      <c r="AE29" s="661"/>
      <c r="AF29" s="661"/>
      <c r="AG29" s="661"/>
      <c r="AH29" s="661"/>
      <c r="AI29" s="661"/>
      <c r="AJ29" s="661"/>
      <c r="AK29" s="661"/>
      <c r="AL29" s="661"/>
      <c r="AM29" s="661"/>
      <c r="AN29" s="661"/>
      <c r="AO29" s="661"/>
      <c r="AP29" s="661"/>
      <c r="AQ29" s="661"/>
      <c r="AR29" s="661"/>
      <c r="AS29" s="661"/>
      <c r="AT29" s="661"/>
      <c r="AU29" s="661"/>
      <c r="AV29" s="661"/>
      <c r="AW29" s="661"/>
      <c r="AX29" s="661"/>
      <c r="AY29" s="661"/>
      <c r="AZ29" s="661"/>
      <c r="BA29" s="661"/>
      <c r="BB29" s="661"/>
      <c r="BC29" s="661"/>
      <c r="BD29" s="661"/>
      <c r="BE29" s="661"/>
      <c r="BF29" s="661"/>
      <c r="BG29" s="661"/>
      <c r="BH29" s="661"/>
      <c r="BI29" s="661"/>
    </row>
    <row r="30" spans="1:61">
      <c r="A30" s="661"/>
      <c r="B30" s="661"/>
      <c r="C30" s="661"/>
      <c r="D30" s="661"/>
      <c r="E30" s="661"/>
      <c r="F30" s="661"/>
      <c r="G30" s="661"/>
      <c r="H30" s="661"/>
      <c r="I30" s="661"/>
      <c r="J30" s="661"/>
      <c r="K30" s="661"/>
      <c r="L30" s="661"/>
      <c r="M30" s="661"/>
      <c r="N30" s="661"/>
      <c r="O30" s="661"/>
      <c r="P30" s="661"/>
      <c r="Q30" s="661"/>
      <c r="R30" s="661"/>
      <c r="S30" s="661"/>
      <c r="T30" s="661"/>
      <c r="U30" s="661"/>
      <c r="V30" s="661"/>
      <c r="W30" s="661"/>
      <c r="X30" s="661"/>
      <c r="Y30" s="661"/>
      <c r="Z30" s="661"/>
      <c r="AA30" s="661"/>
      <c r="AB30" s="661"/>
      <c r="AC30" s="661"/>
      <c r="AD30" s="661"/>
      <c r="AE30" s="661"/>
      <c r="AF30" s="661"/>
      <c r="AG30" s="661"/>
      <c r="AH30" s="661"/>
      <c r="AI30" s="661"/>
      <c r="AJ30" s="661"/>
      <c r="AK30" s="661"/>
      <c r="AL30" s="661"/>
      <c r="AM30" s="661"/>
      <c r="AN30" s="661"/>
      <c r="AO30" s="661"/>
      <c r="AP30" s="661"/>
      <c r="AQ30" s="661"/>
      <c r="AR30" s="661"/>
      <c r="AS30" s="661"/>
      <c r="AT30" s="661"/>
      <c r="AU30" s="661"/>
      <c r="AV30" s="661"/>
      <c r="AW30" s="661"/>
      <c r="AX30" s="661"/>
      <c r="AY30" s="661"/>
      <c r="AZ30" s="661"/>
      <c r="BA30" s="661"/>
      <c r="BB30" s="661"/>
      <c r="BC30" s="661"/>
      <c r="BD30" s="661"/>
      <c r="BE30" s="661"/>
      <c r="BF30" s="661"/>
      <c r="BG30" s="661"/>
      <c r="BH30" s="661"/>
      <c r="BI30" s="661"/>
    </row>
    <row r="31" spans="1:61">
      <c r="A31" s="661"/>
      <c r="B31" s="661"/>
      <c r="C31" s="661"/>
      <c r="D31" s="661"/>
      <c r="E31" s="661"/>
      <c r="F31" s="661"/>
      <c r="G31" s="661"/>
      <c r="H31" s="661"/>
      <c r="I31" s="661"/>
      <c r="J31" s="661"/>
      <c r="K31" s="661"/>
      <c r="L31" s="661"/>
      <c r="M31" s="661"/>
      <c r="N31" s="661"/>
      <c r="O31" s="661"/>
      <c r="P31" s="661"/>
      <c r="Q31" s="661"/>
      <c r="R31" s="661"/>
      <c r="S31" s="661"/>
      <c r="T31" s="661"/>
      <c r="U31" s="661"/>
      <c r="V31" s="661"/>
      <c r="W31" s="661"/>
      <c r="X31" s="661"/>
      <c r="Y31" s="661"/>
      <c r="Z31" s="661"/>
      <c r="AA31" s="661"/>
      <c r="AB31" s="661"/>
      <c r="AC31" s="661"/>
      <c r="AD31" s="661"/>
      <c r="AE31" s="661"/>
      <c r="AF31" s="661"/>
      <c r="AG31" s="661"/>
      <c r="AH31" s="661"/>
      <c r="AI31" s="661"/>
      <c r="AJ31" s="661"/>
      <c r="AK31" s="661"/>
      <c r="AL31" s="661"/>
      <c r="AM31" s="661"/>
      <c r="AN31" s="661"/>
      <c r="AO31" s="661"/>
      <c r="AP31" s="661"/>
      <c r="AQ31" s="661"/>
      <c r="AR31" s="661"/>
      <c r="AS31" s="661"/>
      <c r="AT31" s="661"/>
      <c r="AU31" s="661"/>
      <c r="AV31" s="661"/>
      <c r="AW31" s="661"/>
      <c r="AX31" s="661"/>
      <c r="AY31" s="661"/>
      <c r="AZ31" s="661"/>
      <c r="BA31" s="661"/>
      <c r="BB31" s="661"/>
      <c r="BC31" s="661"/>
      <c r="BD31" s="661"/>
      <c r="BE31" s="661"/>
      <c r="BF31" s="661"/>
      <c r="BG31" s="661"/>
      <c r="BH31" s="661"/>
      <c r="BI31" s="661"/>
    </row>
    <row r="32" spans="1:61">
      <c r="A32" s="661"/>
      <c r="B32" s="661"/>
      <c r="C32" s="661"/>
      <c r="D32" s="661"/>
      <c r="E32" s="661"/>
      <c r="F32" s="661"/>
      <c r="G32" s="661"/>
      <c r="H32" s="661"/>
      <c r="I32" s="661"/>
      <c r="J32" s="661"/>
      <c r="K32" s="661"/>
      <c r="L32" s="661"/>
      <c r="M32" s="661"/>
      <c r="N32" s="661"/>
      <c r="O32" s="661"/>
      <c r="P32" s="661"/>
      <c r="Q32" s="661"/>
      <c r="R32" s="661"/>
      <c r="S32" s="661"/>
      <c r="T32" s="661"/>
      <c r="U32" s="661"/>
      <c r="V32" s="661"/>
      <c r="W32" s="661"/>
      <c r="X32" s="661"/>
      <c r="Y32" s="661"/>
      <c r="Z32" s="661"/>
      <c r="AA32" s="661"/>
      <c r="AB32" s="661"/>
      <c r="AC32" s="661"/>
      <c r="AD32" s="661"/>
      <c r="AE32" s="661"/>
      <c r="AF32" s="661"/>
      <c r="AG32" s="661"/>
      <c r="AH32" s="661"/>
      <c r="AI32" s="661"/>
      <c r="AJ32" s="661"/>
      <c r="AK32" s="661"/>
      <c r="AL32" s="661"/>
      <c r="AM32" s="661"/>
      <c r="AN32" s="661"/>
      <c r="AO32" s="661"/>
      <c r="AP32" s="661"/>
      <c r="AQ32" s="661"/>
      <c r="AR32" s="661"/>
      <c r="AS32" s="661"/>
      <c r="AT32" s="661"/>
      <c r="AU32" s="661"/>
      <c r="AV32" s="661"/>
      <c r="AW32" s="661"/>
      <c r="AX32" s="661"/>
      <c r="AY32" s="661"/>
      <c r="AZ32" s="661"/>
      <c r="BA32" s="661"/>
      <c r="BB32" s="661"/>
      <c r="BC32" s="661"/>
      <c r="BD32" s="661"/>
      <c r="BE32" s="661"/>
      <c r="BF32" s="661"/>
      <c r="BG32" s="661"/>
      <c r="BH32" s="661"/>
      <c r="BI32" s="661"/>
    </row>
    <row r="33" spans="1:61">
      <c r="A33" s="661"/>
      <c r="B33" s="661"/>
      <c r="C33" s="661"/>
      <c r="D33" s="661"/>
      <c r="E33" s="661"/>
      <c r="F33" s="661"/>
      <c r="G33" s="661"/>
      <c r="H33" s="661"/>
      <c r="I33" s="661"/>
      <c r="J33" s="661"/>
      <c r="K33" s="661"/>
      <c r="L33" s="661"/>
      <c r="M33" s="661"/>
      <c r="N33" s="661"/>
      <c r="O33" s="661"/>
      <c r="P33" s="661"/>
      <c r="Q33" s="661"/>
      <c r="R33" s="661"/>
      <c r="S33" s="661"/>
      <c r="T33" s="661"/>
      <c r="U33" s="661"/>
      <c r="V33" s="661"/>
      <c r="W33" s="661"/>
      <c r="X33" s="661"/>
      <c r="Y33" s="661"/>
      <c r="Z33" s="661"/>
      <c r="AA33" s="661"/>
      <c r="AB33" s="661"/>
      <c r="AC33" s="661"/>
      <c r="AD33" s="661"/>
      <c r="AE33" s="661"/>
      <c r="AF33" s="661"/>
      <c r="AG33" s="661"/>
      <c r="AH33" s="661"/>
      <c r="AI33" s="661"/>
      <c r="AJ33" s="661"/>
      <c r="AK33" s="661"/>
      <c r="AL33" s="661"/>
      <c r="AM33" s="661"/>
      <c r="AN33" s="661"/>
      <c r="AO33" s="661"/>
      <c r="AP33" s="661"/>
      <c r="AQ33" s="661"/>
      <c r="AR33" s="661"/>
      <c r="AS33" s="661"/>
      <c r="AT33" s="661"/>
      <c r="AU33" s="661"/>
      <c r="AV33" s="661"/>
      <c r="AW33" s="661"/>
      <c r="AX33" s="661"/>
      <c r="AY33" s="661"/>
      <c r="AZ33" s="661"/>
      <c r="BA33" s="661"/>
      <c r="BB33" s="661"/>
      <c r="BC33" s="661"/>
      <c r="BD33" s="661"/>
      <c r="BE33" s="661"/>
      <c r="BF33" s="661"/>
      <c r="BG33" s="661"/>
      <c r="BH33" s="661"/>
      <c r="BI33" s="661"/>
    </row>
    <row r="34" spans="1:61">
      <c r="A34" s="661"/>
      <c r="B34" s="661"/>
      <c r="C34" s="661"/>
      <c r="D34" s="661"/>
      <c r="E34" s="661"/>
      <c r="F34" s="661"/>
      <c r="G34" s="661"/>
      <c r="H34" s="661"/>
      <c r="I34" s="661"/>
      <c r="J34" s="661"/>
      <c r="K34" s="661"/>
      <c r="L34" s="661"/>
      <c r="M34" s="661"/>
      <c r="N34" s="661"/>
      <c r="O34" s="661"/>
      <c r="P34" s="661"/>
      <c r="Q34" s="661"/>
      <c r="R34" s="661"/>
      <c r="S34" s="661"/>
      <c r="T34" s="661"/>
      <c r="U34" s="661"/>
      <c r="V34" s="661"/>
      <c r="W34" s="661"/>
      <c r="X34" s="661"/>
      <c r="Y34" s="661"/>
      <c r="Z34" s="661"/>
      <c r="AA34" s="661"/>
      <c r="AB34" s="661"/>
      <c r="AC34" s="661"/>
      <c r="AD34" s="661"/>
      <c r="AE34" s="661"/>
      <c r="AF34" s="661"/>
      <c r="AG34" s="661"/>
      <c r="AH34" s="661"/>
      <c r="AI34" s="661"/>
      <c r="AJ34" s="661"/>
      <c r="AK34" s="661"/>
      <c r="AL34" s="661"/>
      <c r="AM34" s="661"/>
      <c r="AN34" s="661"/>
      <c r="AO34" s="661"/>
      <c r="AP34" s="661"/>
      <c r="AQ34" s="661"/>
      <c r="AR34" s="661"/>
      <c r="AS34" s="661"/>
      <c r="AT34" s="661"/>
      <c r="AU34" s="661"/>
      <c r="AV34" s="661"/>
      <c r="AW34" s="661"/>
      <c r="AX34" s="661"/>
      <c r="AY34" s="661"/>
      <c r="AZ34" s="661"/>
      <c r="BA34" s="661"/>
      <c r="BB34" s="661"/>
      <c r="BC34" s="661"/>
      <c r="BD34" s="661"/>
      <c r="BE34" s="661"/>
      <c r="BF34" s="661"/>
      <c r="BG34" s="661"/>
      <c r="BH34" s="661"/>
      <c r="BI34" s="661"/>
    </row>
    <row r="35" spans="1:61">
      <c r="A35" s="661"/>
      <c r="B35" s="661"/>
      <c r="C35" s="661"/>
      <c r="D35" s="661"/>
      <c r="E35" s="661"/>
      <c r="F35" s="661"/>
      <c r="G35" s="661"/>
      <c r="H35" s="661"/>
      <c r="I35" s="661"/>
      <c r="J35" s="661"/>
      <c r="K35" s="661"/>
      <c r="L35" s="661"/>
      <c r="M35" s="661"/>
      <c r="N35" s="661"/>
      <c r="O35" s="661"/>
      <c r="P35" s="661"/>
      <c r="Q35" s="661"/>
      <c r="R35" s="661"/>
      <c r="S35" s="661"/>
      <c r="T35" s="661"/>
      <c r="U35" s="661"/>
      <c r="V35" s="661"/>
      <c r="W35" s="661"/>
      <c r="X35" s="661"/>
      <c r="Y35" s="661"/>
      <c r="Z35" s="661"/>
      <c r="AA35" s="661"/>
      <c r="AB35" s="661"/>
      <c r="AC35" s="661"/>
      <c r="AD35" s="661"/>
      <c r="AE35" s="661"/>
      <c r="AF35" s="661"/>
      <c r="AG35" s="661"/>
      <c r="AH35" s="661"/>
      <c r="AI35" s="661"/>
      <c r="AJ35" s="661"/>
      <c r="AK35" s="661"/>
      <c r="AL35" s="661"/>
      <c r="AM35" s="661"/>
      <c r="AN35" s="661"/>
      <c r="AO35" s="661"/>
      <c r="AP35" s="661"/>
      <c r="AQ35" s="661"/>
      <c r="AR35" s="661"/>
      <c r="AS35" s="661"/>
      <c r="AT35" s="661"/>
      <c r="AU35" s="661"/>
      <c r="AV35" s="661"/>
      <c r="AW35" s="661"/>
      <c r="AX35" s="661"/>
      <c r="AY35" s="661"/>
      <c r="AZ35" s="661"/>
      <c r="BA35" s="661"/>
      <c r="BB35" s="661"/>
      <c r="BC35" s="661"/>
      <c r="BD35" s="661"/>
      <c r="BE35" s="661"/>
      <c r="BF35" s="661"/>
      <c r="BG35" s="661"/>
      <c r="BH35" s="661"/>
      <c r="BI35" s="661"/>
    </row>
    <row r="36" spans="1:61">
      <c r="A36" s="661"/>
      <c r="B36" s="661"/>
      <c r="C36" s="661"/>
      <c r="D36" s="661"/>
      <c r="E36" s="661"/>
      <c r="F36" s="661"/>
      <c r="G36" s="661"/>
      <c r="H36" s="66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1"/>
      <c r="BC36" s="661"/>
      <c r="BD36" s="661"/>
      <c r="BE36" s="661"/>
      <c r="BF36" s="661"/>
      <c r="BG36" s="661"/>
      <c r="BH36" s="661"/>
      <c r="BI36" s="661"/>
    </row>
    <row r="37" spans="1:61">
      <c r="A37" s="661"/>
      <c r="B37" s="661"/>
      <c r="C37" s="661"/>
      <c r="D37" s="661"/>
      <c r="E37" s="661"/>
      <c r="F37" s="661"/>
      <c r="G37" s="661"/>
      <c r="H37" s="66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1"/>
      <c r="BC37" s="661"/>
      <c r="BD37" s="661"/>
      <c r="BE37" s="661"/>
      <c r="BF37" s="661"/>
      <c r="BG37" s="661"/>
      <c r="BH37" s="661"/>
      <c r="BI37" s="661"/>
    </row>
    <row r="38" spans="1:61">
      <c r="A38" s="661"/>
      <c r="B38" s="661"/>
      <c r="C38" s="661"/>
      <c r="D38" s="661"/>
      <c r="E38" s="661"/>
      <c r="F38" s="661"/>
      <c r="G38" s="661"/>
      <c r="H38" s="66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1"/>
      <c r="BC38" s="661"/>
      <c r="BD38" s="661"/>
      <c r="BE38" s="661"/>
      <c r="BF38" s="661"/>
      <c r="BG38" s="661"/>
      <c r="BH38" s="661"/>
      <c r="BI38" s="661"/>
    </row>
  </sheetData>
  <sheetProtection algorithmName="SHA-512" hashValue="YjF/BLlOj3/4GmylLgz+EJdlugXhbACmv9nLTx86/QuurS3nzLLa+mo+9neFBiUfFAU+CzsrxXLjCsTYRKmdOw==" saltValue="DFKOvsW7ErO4Frl7jpgFQg==" spinCount="100000" sheet="1" objects="1" scenarios="1"/>
  <customSheetViews>
    <customSheetView guid="{6EFEFCA0-BF14-457A-85A3-29CBF2A862A5}" showGridLines="0" fitToPage="1" topLeftCell="A21">
      <selection activeCell="Q26" sqref="Q26:AC26"/>
      <pageMargins left="0.23622047244094491" right="0.23622047244094491" top="0.19685039370078741" bottom="0.19685039370078741" header="0" footer="0.11811023622047245"/>
      <printOptions horizontalCentered="1" verticalCentered="1"/>
      <pageSetup paperSize="9" scale="62" orientation="landscape" r:id="rId1"/>
      <headerFooter>
        <oddFooter>&amp;L&amp;10&amp;F &amp;A&amp;R&amp;10Page 40 of 61</oddFooter>
      </headerFooter>
    </customSheetView>
  </customSheetViews>
  <mergeCells count="20">
    <mergeCell ref="AH4:AJ4"/>
    <mergeCell ref="AK4:AM4"/>
    <mergeCell ref="AN4:AP4"/>
    <mergeCell ref="X19:AP19"/>
    <mergeCell ref="F20:AP20"/>
    <mergeCell ref="E4:N4"/>
    <mergeCell ref="O4:Q4"/>
    <mergeCell ref="R4:T4"/>
    <mergeCell ref="U4:W4"/>
    <mergeCell ref="X4:AG4"/>
    <mergeCell ref="F27:N27"/>
    <mergeCell ref="U27:AC27"/>
    <mergeCell ref="AF27:AR27"/>
    <mergeCell ref="F21:AP21"/>
    <mergeCell ref="F22:AP22"/>
    <mergeCell ref="F25:N25"/>
    <mergeCell ref="Q25:AC25"/>
    <mergeCell ref="AF25:AR26"/>
    <mergeCell ref="F26:N26"/>
    <mergeCell ref="Q26:AC26"/>
  </mergeCells>
  <printOptions horizontalCentered="1" verticalCentered="1"/>
  <pageMargins left="0.23622047244094491" right="0.23622047244094491" top="0.19685039370078741" bottom="0.19685039370078741" header="0" footer="0.11811023622047245"/>
  <pageSetup paperSize="9" scale="62" orientation="landscape" r:id="rId2"/>
  <headerFooter>
    <oddFooter>&amp;L&amp;10&amp;F &amp;A&amp;R&amp;10Page 40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79873" r:id="rId5" name="Check Box 1">
              <controlPr defaultSize="0" autoFill="0" autoLine="0" autoPict="0">
                <anchor moveWithCells="1">
                  <from>
                    <xdr:col>15</xdr:col>
                    <xdr:colOff>28575</xdr:colOff>
                    <xdr:row>4</xdr:row>
                    <xdr:rowOff>66675</xdr:rowOff>
                  </from>
                  <to>
                    <xdr:col>15</xdr:col>
                    <xdr:colOff>257175</xdr:colOff>
                    <xdr:row>4</xdr:row>
                    <xdr:rowOff>333375</xdr:rowOff>
                  </to>
                </anchor>
              </controlPr>
            </control>
          </mc:Choice>
        </mc:AlternateContent>
        <mc:AlternateContent xmlns:mc="http://schemas.openxmlformats.org/markup-compatibility/2006">
          <mc:Choice Requires="x14">
            <control shapeId="79874" r:id="rId6" name="Check Box 2">
              <controlPr defaultSize="0" autoFill="0" autoLine="0" autoPict="0">
                <anchor moveWithCells="1">
                  <from>
                    <xdr:col>18</xdr:col>
                    <xdr:colOff>28575</xdr:colOff>
                    <xdr:row>4</xdr:row>
                    <xdr:rowOff>66675</xdr:rowOff>
                  </from>
                  <to>
                    <xdr:col>18</xdr:col>
                    <xdr:colOff>228600</xdr:colOff>
                    <xdr:row>4</xdr:row>
                    <xdr:rowOff>295275</xdr:rowOff>
                  </to>
                </anchor>
              </controlPr>
            </control>
          </mc:Choice>
        </mc:AlternateContent>
        <mc:AlternateContent xmlns:mc="http://schemas.openxmlformats.org/markup-compatibility/2006">
          <mc:Choice Requires="x14">
            <control shapeId="79875" r:id="rId7" name="Check Box 3">
              <controlPr defaultSize="0" autoFill="0" autoLine="0" autoPict="0">
                <anchor moveWithCells="1">
                  <from>
                    <xdr:col>21</xdr:col>
                    <xdr:colOff>28575</xdr:colOff>
                    <xdr:row>4</xdr:row>
                    <xdr:rowOff>76200</xdr:rowOff>
                  </from>
                  <to>
                    <xdr:col>21</xdr:col>
                    <xdr:colOff>219075</xdr:colOff>
                    <xdr:row>4</xdr:row>
                    <xdr:rowOff>295275</xdr:rowOff>
                  </to>
                </anchor>
              </controlPr>
            </control>
          </mc:Choice>
        </mc:AlternateContent>
        <mc:AlternateContent xmlns:mc="http://schemas.openxmlformats.org/markup-compatibility/2006">
          <mc:Choice Requires="x14">
            <control shapeId="79876" r:id="rId8" name="Check Box 4">
              <controlPr defaultSize="0" autoFill="0" autoLine="0" autoPict="0">
                <anchor moveWithCells="1">
                  <from>
                    <xdr:col>15</xdr:col>
                    <xdr:colOff>38100</xdr:colOff>
                    <xdr:row>5</xdr:row>
                    <xdr:rowOff>66675</xdr:rowOff>
                  </from>
                  <to>
                    <xdr:col>16</xdr:col>
                    <xdr:colOff>9525</xdr:colOff>
                    <xdr:row>5</xdr:row>
                    <xdr:rowOff>304800</xdr:rowOff>
                  </to>
                </anchor>
              </controlPr>
            </control>
          </mc:Choice>
        </mc:AlternateContent>
        <mc:AlternateContent xmlns:mc="http://schemas.openxmlformats.org/markup-compatibility/2006">
          <mc:Choice Requires="x14">
            <control shapeId="79877" r:id="rId9" name="Check Box 5">
              <controlPr defaultSize="0" autoFill="0" autoLine="0" autoPict="0">
                <anchor moveWithCells="1">
                  <from>
                    <xdr:col>18</xdr:col>
                    <xdr:colOff>28575</xdr:colOff>
                    <xdr:row>5</xdr:row>
                    <xdr:rowOff>66675</xdr:rowOff>
                  </from>
                  <to>
                    <xdr:col>18</xdr:col>
                    <xdr:colOff>257175</xdr:colOff>
                    <xdr:row>5</xdr:row>
                    <xdr:rowOff>304800</xdr:rowOff>
                  </to>
                </anchor>
              </controlPr>
            </control>
          </mc:Choice>
        </mc:AlternateContent>
        <mc:AlternateContent xmlns:mc="http://schemas.openxmlformats.org/markup-compatibility/2006">
          <mc:Choice Requires="x14">
            <control shapeId="79878" r:id="rId10" name="Check Box 6">
              <controlPr defaultSize="0" autoFill="0" autoLine="0" autoPict="0">
                <anchor moveWithCells="1">
                  <from>
                    <xdr:col>21</xdr:col>
                    <xdr:colOff>28575</xdr:colOff>
                    <xdr:row>5</xdr:row>
                    <xdr:rowOff>66675</xdr:rowOff>
                  </from>
                  <to>
                    <xdr:col>21</xdr:col>
                    <xdr:colOff>228600</xdr:colOff>
                    <xdr:row>5</xdr:row>
                    <xdr:rowOff>276225</xdr:rowOff>
                  </to>
                </anchor>
              </controlPr>
            </control>
          </mc:Choice>
        </mc:AlternateContent>
        <mc:AlternateContent xmlns:mc="http://schemas.openxmlformats.org/markup-compatibility/2006">
          <mc:Choice Requires="x14">
            <control shapeId="79879" r:id="rId11" name="Check Box 7">
              <controlPr defaultSize="0" autoFill="0" autoLine="0" autoPict="0">
                <anchor moveWithCells="1">
                  <from>
                    <xdr:col>15</xdr:col>
                    <xdr:colOff>28575</xdr:colOff>
                    <xdr:row>6</xdr:row>
                    <xdr:rowOff>47625</xdr:rowOff>
                  </from>
                  <to>
                    <xdr:col>16</xdr:col>
                    <xdr:colOff>9525</xdr:colOff>
                    <xdr:row>6</xdr:row>
                    <xdr:rowOff>314325</xdr:rowOff>
                  </to>
                </anchor>
              </controlPr>
            </control>
          </mc:Choice>
        </mc:AlternateContent>
        <mc:AlternateContent xmlns:mc="http://schemas.openxmlformats.org/markup-compatibility/2006">
          <mc:Choice Requires="x14">
            <control shapeId="79880" r:id="rId12" name="Check Box 8">
              <controlPr defaultSize="0" autoFill="0" autoLine="0" autoPict="0">
                <anchor moveWithCells="1">
                  <from>
                    <xdr:col>18</xdr:col>
                    <xdr:colOff>28575</xdr:colOff>
                    <xdr:row>6</xdr:row>
                    <xdr:rowOff>66675</xdr:rowOff>
                  </from>
                  <to>
                    <xdr:col>18</xdr:col>
                    <xdr:colOff>219075</xdr:colOff>
                    <xdr:row>6</xdr:row>
                    <xdr:rowOff>295275</xdr:rowOff>
                  </to>
                </anchor>
              </controlPr>
            </control>
          </mc:Choice>
        </mc:AlternateContent>
        <mc:AlternateContent xmlns:mc="http://schemas.openxmlformats.org/markup-compatibility/2006">
          <mc:Choice Requires="x14">
            <control shapeId="79881" r:id="rId13" name="Check Box 9">
              <controlPr defaultSize="0" autoFill="0" autoLine="0" autoPict="0">
                <anchor moveWithCells="1">
                  <from>
                    <xdr:col>21</xdr:col>
                    <xdr:colOff>28575</xdr:colOff>
                    <xdr:row>6</xdr:row>
                    <xdr:rowOff>66675</xdr:rowOff>
                  </from>
                  <to>
                    <xdr:col>21</xdr:col>
                    <xdr:colOff>200025</xdr:colOff>
                    <xdr:row>6</xdr:row>
                    <xdr:rowOff>276225</xdr:rowOff>
                  </to>
                </anchor>
              </controlPr>
            </control>
          </mc:Choice>
        </mc:AlternateContent>
        <mc:AlternateContent xmlns:mc="http://schemas.openxmlformats.org/markup-compatibility/2006">
          <mc:Choice Requires="x14">
            <control shapeId="79882" r:id="rId14" name="Check Box 10">
              <controlPr defaultSize="0" autoFill="0" autoLine="0" autoPict="0">
                <anchor moveWithCells="1">
                  <from>
                    <xdr:col>15</xdr:col>
                    <xdr:colOff>28575</xdr:colOff>
                    <xdr:row>7</xdr:row>
                    <xdr:rowOff>47625</xdr:rowOff>
                  </from>
                  <to>
                    <xdr:col>16</xdr:col>
                    <xdr:colOff>0</xdr:colOff>
                    <xdr:row>7</xdr:row>
                    <xdr:rowOff>295275</xdr:rowOff>
                  </to>
                </anchor>
              </controlPr>
            </control>
          </mc:Choice>
        </mc:AlternateContent>
        <mc:AlternateContent xmlns:mc="http://schemas.openxmlformats.org/markup-compatibility/2006">
          <mc:Choice Requires="x14">
            <control shapeId="79883" r:id="rId15" name="Check Box 11">
              <controlPr defaultSize="0" autoFill="0" autoLine="0" autoPict="0">
                <anchor moveWithCells="1">
                  <from>
                    <xdr:col>18</xdr:col>
                    <xdr:colOff>28575</xdr:colOff>
                    <xdr:row>7</xdr:row>
                    <xdr:rowOff>76200</xdr:rowOff>
                  </from>
                  <to>
                    <xdr:col>18</xdr:col>
                    <xdr:colOff>228600</xdr:colOff>
                    <xdr:row>7</xdr:row>
                    <xdr:rowOff>314325</xdr:rowOff>
                  </to>
                </anchor>
              </controlPr>
            </control>
          </mc:Choice>
        </mc:AlternateContent>
        <mc:AlternateContent xmlns:mc="http://schemas.openxmlformats.org/markup-compatibility/2006">
          <mc:Choice Requires="x14">
            <control shapeId="79884" r:id="rId16" name="Check Box 12">
              <controlPr defaultSize="0" autoFill="0" autoLine="0" autoPict="0">
                <anchor moveWithCells="1">
                  <from>
                    <xdr:col>21</xdr:col>
                    <xdr:colOff>28575</xdr:colOff>
                    <xdr:row>7</xdr:row>
                    <xdr:rowOff>66675</xdr:rowOff>
                  </from>
                  <to>
                    <xdr:col>21</xdr:col>
                    <xdr:colOff>228600</xdr:colOff>
                    <xdr:row>7</xdr:row>
                    <xdr:rowOff>295275</xdr:rowOff>
                  </to>
                </anchor>
              </controlPr>
            </control>
          </mc:Choice>
        </mc:AlternateContent>
        <mc:AlternateContent xmlns:mc="http://schemas.openxmlformats.org/markup-compatibility/2006">
          <mc:Choice Requires="x14">
            <control shapeId="79885" r:id="rId17" name="Check Box 13">
              <controlPr defaultSize="0" autoFill="0" autoLine="0" autoPict="0">
                <anchor moveWithCells="1">
                  <from>
                    <xdr:col>15</xdr:col>
                    <xdr:colOff>28575</xdr:colOff>
                    <xdr:row>8</xdr:row>
                    <xdr:rowOff>66675</xdr:rowOff>
                  </from>
                  <to>
                    <xdr:col>15</xdr:col>
                    <xdr:colOff>257175</xdr:colOff>
                    <xdr:row>8</xdr:row>
                    <xdr:rowOff>333375</xdr:rowOff>
                  </to>
                </anchor>
              </controlPr>
            </control>
          </mc:Choice>
        </mc:AlternateContent>
        <mc:AlternateContent xmlns:mc="http://schemas.openxmlformats.org/markup-compatibility/2006">
          <mc:Choice Requires="x14">
            <control shapeId="79886" r:id="rId18" name="Check Box 14">
              <controlPr defaultSize="0" autoFill="0" autoLine="0" autoPict="0">
                <anchor moveWithCells="1">
                  <from>
                    <xdr:col>18</xdr:col>
                    <xdr:colOff>28575</xdr:colOff>
                    <xdr:row>8</xdr:row>
                    <xdr:rowOff>66675</xdr:rowOff>
                  </from>
                  <to>
                    <xdr:col>18</xdr:col>
                    <xdr:colOff>228600</xdr:colOff>
                    <xdr:row>8</xdr:row>
                    <xdr:rowOff>276225</xdr:rowOff>
                  </to>
                </anchor>
              </controlPr>
            </control>
          </mc:Choice>
        </mc:AlternateContent>
        <mc:AlternateContent xmlns:mc="http://schemas.openxmlformats.org/markup-compatibility/2006">
          <mc:Choice Requires="x14">
            <control shapeId="79887" r:id="rId19" name="Check Box 15">
              <controlPr defaultSize="0" autoFill="0" autoLine="0" autoPict="0">
                <anchor moveWithCells="1">
                  <from>
                    <xdr:col>21</xdr:col>
                    <xdr:colOff>28575</xdr:colOff>
                    <xdr:row>8</xdr:row>
                    <xdr:rowOff>66675</xdr:rowOff>
                  </from>
                  <to>
                    <xdr:col>21</xdr:col>
                    <xdr:colOff>219075</xdr:colOff>
                    <xdr:row>8</xdr:row>
                    <xdr:rowOff>257175</xdr:rowOff>
                  </to>
                </anchor>
              </controlPr>
            </control>
          </mc:Choice>
        </mc:AlternateContent>
        <mc:AlternateContent xmlns:mc="http://schemas.openxmlformats.org/markup-compatibility/2006">
          <mc:Choice Requires="x14">
            <control shapeId="79888" r:id="rId20" name="Check Box 16">
              <controlPr defaultSize="0" autoFill="0" autoLine="0" autoPict="0">
                <anchor moveWithCells="1">
                  <from>
                    <xdr:col>15</xdr:col>
                    <xdr:colOff>28575</xdr:colOff>
                    <xdr:row>9</xdr:row>
                    <xdr:rowOff>66675</xdr:rowOff>
                  </from>
                  <to>
                    <xdr:col>15</xdr:col>
                    <xdr:colOff>238125</xdr:colOff>
                    <xdr:row>9</xdr:row>
                    <xdr:rowOff>276225</xdr:rowOff>
                  </to>
                </anchor>
              </controlPr>
            </control>
          </mc:Choice>
        </mc:AlternateContent>
        <mc:AlternateContent xmlns:mc="http://schemas.openxmlformats.org/markup-compatibility/2006">
          <mc:Choice Requires="x14">
            <control shapeId="79889" r:id="rId21" name="Check Box 17">
              <controlPr defaultSize="0" autoFill="0" autoLine="0" autoPict="0">
                <anchor moveWithCells="1">
                  <from>
                    <xdr:col>18</xdr:col>
                    <xdr:colOff>28575</xdr:colOff>
                    <xdr:row>9</xdr:row>
                    <xdr:rowOff>66675</xdr:rowOff>
                  </from>
                  <to>
                    <xdr:col>18</xdr:col>
                    <xdr:colOff>257175</xdr:colOff>
                    <xdr:row>9</xdr:row>
                    <xdr:rowOff>295275</xdr:rowOff>
                  </to>
                </anchor>
              </controlPr>
            </control>
          </mc:Choice>
        </mc:AlternateContent>
        <mc:AlternateContent xmlns:mc="http://schemas.openxmlformats.org/markup-compatibility/2006">
          <mc:Choice Requires="x14">
            <control shapeId="79890" r:id="rId22" name="Check Box 18">
              <controlPr defaultSize="0" autoFill="0" autoLine="0" autoPict="0">
                <anchor moveWithCells="1">
                  <from>
                    <xdr:col>21</xdr:col>
                    <xdr:colOff>28575</xdr:colOff>
                    <xdr:row>9</xdr:row>
                    <xdr:rowOff>66675</xdr:rowOff>
                  </from>
                  <to>
                    <xdr:col>21</xdr:col>
                    <xdr:colOff>238125</xdr:colOff>
                    <xdr:row>9</xdr:row>
                    <xdr:rowOff>295275</xdr:rowOff>
                  </to>
                </anchor>
              </controlPr>
            </control>
          </mc:Choice>
        </mc:AlternateContent>
        <mc:AlternateContent xmlns:mc="http://schemas.openxmlformats.org/markup-compatibility/2006">
          <mc:Choice Requires="x14">
            <control shapeId="79891" r:id="rId23" name="Check Box 19">
              <controlPr defaultSize="0" autoFill="0" autoLine="0" autoPict="0">
                <anchor moveWithCells="1">
                  <from>
                    <xdr:col>15</xdr:col>
                    <xdr:colOff>28575</xdr:colOff>
                    <xdr:row>10</xdr:row>
                    <xdr:rowOff>66675</xdr:rowOff>
                  </from>
                  <to>
                    <xdr:col>15</xdr:col>
                    <xdr:colOff>238125</xdr:colOff>
                    <xdr:row>10</xdr:row>
                    <xdr:rowOff>276225</xdr:rowOff>
                  </to>
                </anchor>
              </controlPr>
            </control>
          </mc:Choice>
        </mc:AlternateContent>
        <mc:AlternateContent xmlns:mc="http://schemas.openxmlformats.org/markup-compatibility/2006">
          <mc:Choice Requires="x14">
            <control shapeId="79892" r:id="rId24" name="Check Box 20">
              <controlPr defaultSize="0" autoFill="0" autoLine="0" autoPict="0">
                <anchor moveWithCells="1">
                  <from>
                    <xdr:col>18</xdr:col>
                    <xdr:colOff>28575</xdr:colOff>
                    <xdr:row>10</xdr:row>
                    <xdr:rowOff>66675</xdr:rowOff>
                  </from>
                  <to>
                    <xdr:col>18</xdr:col>
                    <xdr:colOff>219075</xdr:colOff>
                    <xdr:row>10</xdr:row>
                    <xdr:rowOff>276225</xdr:rowOff>
                  </to>
                </anchor>
              </controlPr>
            </control>
          </mc:Choice>
        </mc:AlternateContent>
        <mc:AlternateContent xmlns:mc="http://schemas.openxmlformats.org/markup-compatibility/2006">
          <mc:Choice Requires="x14">
            <control shapeId="79893" r:id="rId25" name="Check Box 21">
              <controlPr defaultSize="0" autoFill="0" autoLine="0" autoPict="0">
                <anchor moveWithCells="1">
                  <from>
                    <xdr:col>21</xdr:col>
                    <xdr:colOff>28575</xdr:colOff>
                    <xdr:row>10</xdr:row>
                    <xdr:rowOff>66675</xdr:rowOff>
                  </from>
                  <to>
                    <xdr:col>21</xdr:col>
                    <xdr:colOff>257175</xdr:colOff>
                    <xdr:row>10</xdr:row>
                    <xdr:rowOff>295275</xdr:rowOff>
                  </to>
                </anchor>
              </controlPr>
            </control>
          </mc:Choice>
        </mc:AlternateContent>
        <mc:AlternateContent xmlns:mc="http://schemas.openxmlformats.org/markup-compatibility/2006">
          <mc:Choice Requires="x14">
            <control shapeId="79894" r:id="rId26" name="Check Box 22">
              <controlPr defaultSize="0" autoFill="0" autoLine="0" autoPict="0">
                <anchor moveWithCells="1">
                  <from>
                    <xdr:col>15</xdr:col>
                    <xdr:colOff>28575</xdr:colOff>
                    <xdr:row>11</xdr:row>
                    <xdr:rowOff>76200</xdr:rowOff>
                  </from>
                  <to>
                    <xdr:col>15</xdr:col>
                    <xdr:colOff>266700</xdr:colOff>
                    <xdr:row>11</xdr:row>
                    <xdr:rowOff>276225</xdr:rowOff>
                  </to>
                </anchor>
              </controlPr>
            </control>
          </mc:Choice>
        </mc:AlternateContent>
        <mc:AlternateContent xmlns:mc="http://schemas.openxmlformats.org/markup-compatibility/2006">
          <mc:Choice Requires="x14">
            <control shapeId="79895" r:id="rId27" name="Check Box 23">
              <controlPr defaultSize="0" autoFill="0" autoLine="0" autoPict="0">
                <anchor moveWithCells="1">
                  <from>
                    <xdr:col>18</xdr:col>
                    <xdr:colOff>28575</xdr:colOff>
                    <xdr:row>11</xdr:row>
                    <xdr:rowOff>66675</xdr:rowOff>
                  </from>
                  <to>
                    <xdr:col>18</xdr:col>
                    <xdr:colOff>228600</xdr:colOff>
                    <xdr:row>11</xdr:row>
                    <xdr:rowOff>295275</xdr:rowOff>
                  </to>
                </anchor>
              </controlPr>
            </control>
          </mc:Choice>
        </mc:AlternateContent>
        <mc:AlternateContent xmlns:mc="http://schemas.openxmlformats.org/markup-compatibility/2006">
          <mc:Choice Requires="x14">
            <control shapeId="79896" r:id="rId28" name="Check Box 24">
              <controlPr defaultSize="0" autoFill="0" autoLine="0" autoPict="0">
                <anchor moveWithCells="1">
                  <from>
                    <xdr:col>21</xdr:col>
                    <xdr:colOff>9525</xdr:colOff>
                    <xdr:row>11</xdr:row>
                    <xdr:rowOff>66675</xdr:rowOff>
                  </from>
                  <to>
                    <xdr:col>21</xdr:col>
                    <xdr:colOff>238125</xdr:colOff>
                    <xdr:row>11</xdr:row>
                    <xdr:rowOff>276225</xdr:rowOff>
                  </to>
                </anchor>
              </controlPr>
            </control>
          </mc:Choice>
        </mc:AlternateContent>
        <mc:AlternateContent xmlns:mc="http://schemas.openxmlformats.org/markup-compatibility/2006">
          <mc:Choice Requires="x14">
            <control shapeId="79897" r:id="rId29" name="Check Box 25">
              <controlPr defaultSize="0" autoFill="0" autoLine="0" autoPict="0">
                <anchor moveWithCells="1">
                  <from>
                    <xdr:col>15</xdr:col>
                    <xdr:colOff>28575</xdr:colOff>
                    <xdr:row>12</xdr:row>
                    <xdr:rowOff>66675</xdr:rowOff>
                  </from>
                  <to>
                    <xdr:col>16</xdr:col>
                    <xdr:colOff>0</xdr:colOff>
                    <xdr:row>12</xdr:row>
                    <xdr:rowOff>314325</xdr:rowOff>
                  </to>
                </anchor>
              </controlPr>
            </control>
          </mc:Choice>
        </mc:AlternateContent>
        <mc:AlternateContent xmlns:mc="http://schemas.openxmlformats.org/markup-compatibility/2006">
          <mc:Choice Requires="x14">
            <control shapeId="79898" r:id="rId30" name="Check Box 26">
              <controlPr defaultSize="0" autoFill="0" autoLine="0" autoPict="0">
                <anchor moveWithCells="1">
                  <from>
                    <xdr:col>18</xdr:col>
                    <xdr:colOff>28575</xdr:colOff>
                    <xdr:row>12</xdr:row>
                    <xdr:rowOff>66675</xdr:rowOff>
                  </from>
                  <to>
                    <xdr:col>18</xdr:col>
                    <xdr:colOff>228600</xdr:colOff>
                    <xdr:row>12</xdr:row>
                    <xdr:rowOff>266700</xdr:rowOff>
                  </to>
                </anchor>
              </controlPr>
            </control>
          </mc:Choice>
        </mc:AlternateContent>
        <mc:AlternateContent xmlns:mc="http://schemas.openxmlformats.org/markup-compatibility/2006">
          <mc:Choice Requires="x14">
            <control shapeId="79899" r:id="rId31" name="Check Box 27">
              <controlPr defaultSize="0" autoFill="0" autoLine="0" autoPict="0">
                <anchor moveWithCells="1">
                  <from>
                    <xdr:col>21</xdr:col>
                    <xdr:colOff>28575</xdr:colOff>
                    <xdr:row>12</xdr:row>
                    <xdr:rowOff>66675</xdr:rowOff>
                  </from>
                  <to>
                    <xdr:col>21</xdr:col>
                    <xdr:colOff>219075</xdr:colOff>
                    <xdr:row>12</xdr:row>
                    <xdr:rowOff>266700</xdr:rowOff>
                  </to>
                </anchor>
              </controlPr>
            </control>
          </mc:Choice>
        </mc:AlternateContent>
        <mc:AlternateContent xmlns:mc="http://schemas.openxmlformats.org/markup-compatibility/2006">
          <mc:Choice Requires="x14">
            <control shapeId="79900" r:id="rId32" name="Check Box 28">
              <controlPr defaultSize="0" autoFill="0" autoLine="0" autoPict="0">
                <anchor moveWithCells="1">
                  <from>
                    <xdr:col>15</xdr:col>
                    <xdr:colOff>28575</xdr:colOff>
                    <xdr:row>13</xdr:row>
                    <xdr:rowOff>66675</xdr:rowOff>
                  </from>
                  <to>
                    <xdr:col>16</xdr:col>
                    <xdr:colOff>9525</xdr:colOff>
                    <xdr:row>13</xdr:row>
                    <xdr:rowOff>295275</xdr:rowOff>
                  </to>
                </anchor>
              </controlPr>
            </control>
          </mc:Choice>
        </mc:AlternateContent>
        <mc:AlternateContent xmlns:mc="http://schemas.openxmlformats.org/markup-compatibility/2006">
          <mc:Choice Requires="x14">
            <control shapeId="79901" r:id="rId33" name="Check Box 29">
              <controlPr defaultSize="0" autoFill="0" autoLine="0" autoPict="0">
                <anchor moveWithCells="1">
                  <from>
                    <xdr:col>18</xdr:col>
                    <xdr:colOff>28575</xdr:colOff>
                    <xdr:row>13</xdr:row>
                    <xdr:rowOff>66675</xdr:rowOff>
                  </from>
                  <to>
                    <xdr:col>18</xdr:col>
                    <xdr:colOff>228600</xdr:colOff>
                    <xdr:row>13</xdr:row>
                    <xdr:rowOff>257175</xdr:rowOff>
                  </to>
                </anchor>
              </controlPr>
            </control>
          </mc:Choice>
        </mc:AlternateContent>
        <mc:AlternateContent xmlns:mc="http://schemas.openxmlformats.org/markup-compatibility/2006">
          <mc:Choice Requires="x14">
            <control shapeId="79902" r:id="rId34" name="Check Box 30">
              <controlPr defaultSize="0" autoFill="0" autoLine="0" autoPict="0">
                <anchor moveWithCells="1">
                  <from>
                    <xdr:col>21</xdr:col>
                    <xdr:colOff>28575</xdr:colOff>
                    <xdr:row>13</xdr:row>
                    <xdr:rowOff>66675</xdr:rowOff>
                  </from>
                  <to>
                    <xdr:col>21</xdr:col>
                    <xdr:colOff>238125</xdr:colOff>
                    <xdr:row>13</xdr:row>
                    <xdr:rowOff>314325</xdr:rowOff>
                  </to>
                </anchor>
              </controlPr>
            </control>
          </mc:Choice>
        </mc:AlternateContent>
        <mc:AlternateContent xmlns:mc="http://schemas.openxmlformats.org/markup-compatibility/2006">
          <mc:Choice Requires="x14">
            <control shapeId="79903" r:id="rId35" name="Check Box 31">
              <controlPr defaultSize="0" autoFill="0" autoLine="0" autoPict="0">
                <anchor moveWithCells="1">
                  <from>
                    <xdr:col>15</xdr:col>
                    <xdr:colOff>28575</xdr:colOff>
                    <xdr:row>14</xdr:row>
                    <xdr:rowOff>66675</xdr:rowOff>
                  </from>
                  <to>
                    <xdr:col>15</xdr:col>
                    <xdr:colOff>238125</xdr:colOff>
                    <xdr:row>14</xdr:row>
                    <xdr:rowOff>295275</xdr:rowOff>
                  </to>
                </anchor>
              </controlPr>
            </control>
          </mc:Choice>
        </mc:AlternateContent>
        <mc:AlternateContent xmlns:mc="http://schemas.openxmlformats.org/markup-compatibility/2006">
          <mc:Choice Requires="x14">
            <control shapeId="79904" r:id="rId36" name="Check Box 32">
              <controlPr defaultSize="0" autoFill="0" autoLine="0" autoPict="0">
                <anchor moveWithCells="1">
                  <from>
                    <xdr:col>18</xdr:col>
                    <xdr:colOff>28575</xdr:colOff>
                    <xdr:row>14</xdr:row>
                    <xdr:rowOff>66675</xdr:rowOff>
                  </from>
                  <to>
                    <xdr:col>18</xdr:col>
                    <xdr:colOff>219075</xdr:colOff>
                    <xdr:row>14</xdr:row>
                    <xdr:rowOff>276225</xdr:rowOff>
                  </to>
                </anchor>
              </controlPr>
            </control>
          </mc:Choice>
        </mc:AlternateContent>
        <mc:AlternateContent xmlns:mc="http://schemas.openxmlformats.org/markup-compatibility/2006">
          <mc:Choice Requires="x14">
            <control shapeId="79905" r:id="rId37" name="Check Box 33">
              <controlPr defaultSize="0" autoFill="0" autoLine="0" autoPict="0">
                <anchor moveWithCells="1">
                  <from>
                    <xdr:col>21</xdr:col>
                    <xdr:colOff>28575</xdr:colOff>
                    <xdr:row>14</xdr:row>
                    <xdr:rowOff>66675</xdr:rowOff>
                  </from>
                  <to>
                    <xdr:col>21</xdr:col>
                    <xdr:colOff>238125</xdr:colOff>
                    <xdr:row>14</xdr:row>
                    <xdr:rowOff>276225</xdr:rowOff>
                  </to>
                </anchor>
              </controlPr>
            </control>
          </mc:Choice>
        </mc:AlternateContent>
        <mc:AlternateContent xmlns:mc="http://schemas.openxmlformats.org/markup-compatibility/2006">
          <mc:Choice Requires="x14">
            <control shapeId="79906" r:id="rId38" name="Check Box 34">
              <controlPr defaultSize="0" autoFill="0" autoLine="0" autoPict="0">
                <anchor moveWithCells="1">
                  <from>
                    <xdr:col>15</xdr:col>
                    <xdr:colOff>28575</xdr:colOff>
                    <xdr:row>15</xdr:row>
                    <xdr:rowOff>76200</xdr:rowOff>
                  </from>
                  <to>
                    <xdr:col>15</xdr:col>
                    <xdr:colOff>228600</xdr:colOff>
                    <xdr:row>15</xdr:row>
                    <xdr:rowOff>295275</xdr:rowOff>
                  </to>
                </anchor>
              </controlPr>
            </control>
          </mc:Choice>
        </mc:AlternateContent>
        <mc:AlternateContent xmlns:mc="http://schemas.openxmlformats.org/markup-compatibility/2006">
          <mc:Choice Requires="x14">
            <control shapeId="79907" r:id="rId39" name="Check Box 35">
              <controlPr defaultSize="0" autoFill="0" autoLine="0" autoPict="0">
                <anchor moveWithCells="1">
                  <from>
                    <xdr:col>18</xdr:col>
                    <xdr:colOff>28575</xdr:colOff>
                    <xdr:row>15</xdr:row>
                    <xdr:rowOff>66675</xdr:rowOff>
                  </from>
                  <to>
                    <xdr:col>18</xdr:col>
                    <xdr:colOff>238125</xdr:colOff>
                    <xdr:row>15</xdr:row>
                    <xdr:rowOff>257175</xdr:rowOff>
                  </to>
                </anchor>
              </controlPr>
            </control>
          </mc:Choice>
        </mc:AlternateContent>
        <mc:AlternateContent xmlns:mc="http://schemas.openxmlformats.org/markup-compatibility/2006">
          <mc:Choice Requires="x14">
            <control shapeId="79908" r:id="rId40" name="Check Box 36">
              <controlPr defaultSize="0" autoFill="0" autoLine="0" autoPict="0">
                <anchor moveWithCells="1">
                  <from>
                    <xdr:col>21</xdr:col>
                    <xdr:colOff>28575</xdr:colOff>
                    <xdr:row>15</xdr:row>
                    <xdr:rowOff>76200</xdr:rowOff>
                  </from>
                  <to>
                    <xdr:col>21</xdr:col>
                    <xdr:colOff>238125</xdr:colOff>
                    <xdr:row>15</xdr:row>
                    <xdr:rowOff>295275</xdr:rowOff>
                  </to>
                </anchor>
              </controlPr>
            </control>
          </mc:Choice>
        </mc:AlternateContent>
        <mc:AlternateContent xmlns:mc="http://schemas.openxmlformats.org/markup-compatibility/2006">
          <mc:Choice Requires="x14">
            <control shapeId="79909" r:id="rId41" name="Check Box 37">
              <controlPr defaultSize="0" autoFill="0" autoLine="0" autoPict="0">
                <anchor moveWithCells="1">
                  <from>
                    <xdr:col>15</xdr:col>
                    <xdr:colOff>28575</xdr:colOff>
                    <xdr:row>16</xdr:row>
                    <xdr:rowOff>66675</xdr:rowOff>
                  </from>
                  <to>
                    <xdr:col>15</xdr:col>
                    <xdr:colOff>257175</xdr:colOff>
                    <xdr:row>16</xdr:row>
                    <xdr:rowOff>276225</xdr:rowOff>
                  </to>
                </anchor>
              </controlPr>
            </control>
          </mc:Choice>
        </mc:AlternateContent>
        <mc:AlternateContent xmlns:mc="http://schemas.openxmlformats.org/markup-compatibility/2006">
          <mc:Choice Requires="x14">
            <control shapeId="79910" r:id="rId42" name="Check Box 38">
              <controlPr defaultSize="0" autoFill="0" autoLine="0" autoPict="0">
                <anchor moveWithCells="1">
                  <from>
                    <xdr:col>18</xdr:col>
                    <xdr:colOff>28575</xdr:colOff>
                    <xdr:row>16</xdr:row>
                    <xdr:rowOff>66675</xdr:rowOff>
                  </from>
                  <to>
                    <xdr:col>18</xdr:col>
                    <xdr:colOff>219075</xdr:colOff>
                    <xdr:row>16</xdr:row>
                    <xdr:rowOff>266700</xdr:rowOff>
                  </to>
                </anchor>
              </controlPr>
            </control>
          </mc:Choice>
        </mc:AlternateContent>
        <mc:AlternateContent xmlns:mc="http://schemas.openxmlformats.org/markup-compatibility/2006">
          <mc:Choice Requires="x14">
            <control shapeId="79911" r:id="rId43" name="Check Box 39">
              <controlPr defaultSize="0" autoFill="0" autoLine="0" autoPict="0">
                <anchor moveWithCells="1">
                  <from>
                    <xdr:col>21</xdr:col>
                    <xdr:colOff>28575</xdr:colOff>
                    <xdr:row>16</xdr:row>
                    <xdr:rowOff>66675</xdr:rowOff>
                  </from>
                  <to>
                    <xdr:col>21</xdr:col>
                    <xdr:colOff>238125</xdr:colOff>
                    <xdr:row>16</xdr:row>
                    <xdr:rowOff>276225</xdr:rowOff>
                  </to>
                </anchor>
              </controlPr>
            </control>
          </mc:Choice>
        </mc:AlternateContent>
        <mc:AlternateContent xmlns:mc="http://schemas.openxmlformats.org/markup-compatibility/2006">
          <mc:Choice Requires="x14">
            <control shapeId="79912" r:id="rId44" name="Check Box 40">
              <controlPr defaultSize="0" autoFill="0" autoLine="0" autoPict="0">
                <anchor moveWithCells="1">
                  <from>
                    <xdr:col>15</xdr:col>
                    <xdr:colOff>28575</xdr:colOff>
                    <xdr:row>17</xdr:row>
                    <xdr:rowOff>66675</xdr:rowOff>
                  </from>
                  <to>
                    <xdr:col>15</xdr:col>
                    <xdr:colOff>257175</xdr:colOff>
                    <xdr:row>17</xdr:row>
                    <xdr:rowOff>276225</xdr:rowOff>
                  </to>
                </anchor>
              </controlPr>
            </control>
          </mc:Choice>
        </mc:AlternateContent>
        <mc:AlternateContent xmlns:mc="http://schemas.openxmlformats.org/markup-compatibility/2006">
          <mc:Choice Requires="x14">
            <control shapeId="79913" r:id="rId45" name="Check Box 41">
              <controlPr defaultSize="0" autoFill="0" autoLine="0" autoPict="0">
                <anchor moveWithCells="1">
                  <from>
                    <xdr:col>18</xdr:col>
                    <xdr:colOff>28575</xdr:colOff>
                    <xdr:row>17</xdr:row>
                    <xdr:rowOff>76200</xdr:rowOff>
                  </from>
                  <to>
                    <xdr:col>18</xdr:col>
                    <xdr:colOff>219075</xdr:colOff>
                    <xdr:row>17</xdr:row>
                    <xdr:rowOff>295275</xdr:rowOff>
                  </to>
                </anchor>
              </controlPr>
            </control>
          </mc:Choice>
        </mc:AlternateContent>
        <mc:AlternateContent xmlns:mc="http://schemas.openxmlformats.org/markup-compatibility/2006">
          <mc:Choice Requires="x14">
            <control shapeId="79914" r:id="rId46" name="Check Box 42">
              <controlPr defaultSize="0" autoFill="0" autoLine="0" autoPict="0">
                <anchor moveWithCells="1">
                  <from>
                    <xdr:col>21</xdr:col>
                    <xdr:colOff>28575</xdr:colOff>
                    <xdr:row>17</xdr:row>
                    <xdr:rowOff>66675</xdr:rowOff>
                  </from>
                  <to>
                    <xdr:col>21</xdr:col>
                    <xdr:colOff>219075</xdr:colOff>
                    <xdr:row>17</xdr:row>
                    <xdr:rowOff>304800</xdr:rowOff>
                  </to>
                </anchor>
              </controlPr>
            </control>
          </mc:Choice>
        </mc:AlternateContent>
        <mc:AlternateContent xmlns:mc="http://schemas.openxmlformats.org/markup-compatibility/2006">
          <mc:Choice Requires="x14">
            <control shapeId="79915" r:id="rId47" name="Check Box 43">
              <controlPr defaultSize="0" autoFill="0" autoLine="0" autoPict="0">
                <anchor moveWithCells="1">
                  <from>
                    <xdr:col>15</xdr:col>
                    <xdr:colOff>28575</xdr:colOff>
                    <xdr:row>18</xdr:row>
                    <xdr:rowOff>66675</xdr:rowOff>
                  </from>
                  <to>
                    <xdr:col>15</xdr:col>
                    <xdr:colOff>238125</xdr:colOff>
                    <xdr:row>18</xdr:row>
                    <xdr:rowOff>295275</xdr:rowOff>
                  </to>
                </anchor>
              </controlPr>
            </control>
          </mc:Choice>
        </mc:AlternateContent>
        <mc:AlternateContent xmlns:mc="http://schemas.openxmlformats.org/markup-compatibility/2006">
          <mc:Choice Requires="x14">
            <control shapeId="79916" r:id="rId48" name="Check Box 44">
              <controlPr defaultSize="0" autoFill="0" autoLine="0" autoPict="0">
                <anchor moveWithCells="1">
                  <from>
                    <xdr:col>18</xdr:col>
                    <xdr:colOff>28575</xdr:colOff>
                    <xdr:row>18</xdr:row>
                    <xdr:rowOff>76200</xdr:rowOff>
                  </from>
                  <to>
                    <xdr:col>18</xdr:col>
                    <xdr:colOff>228600</xdr:colOff>
                    <xdr:row>18</xdr:row>
                    <xdr:rowOff>295275</xdr:rowOff>
                  </to>
                </anchor>
              </controlPr>
            </control>
          </mc:Choice>
        </mc:AlternateContent>
        <mc:AlternateContent xmlns:mc="http://schemas.openxmlformats.org/markup-compatibility/2006">
          <mc:Choice Requires="x14">
            <control shapeId="79917" r:id="rId49" name="Check Box 45">
              <controlPr defaultSize="0" autoFill="0" autoLine="0" autoPict="0">
                <anchor moveWithCells="1">
                  <from>
                    <xdr:col>21</xdr:col>
                    <xdr:colOff>28575</xdr:colOff>
                    <xdr:row>18</xdr:row>
                    <xdr:rowOff>47625</xdr:rowOff>
                  </from>
                  <to>
                    <xdr:col>21</xdr:col>
                    <xdr:colOff>238125</xdr:colOff>
                    <xdr:row>18</xdr:row>
                    <xdr:rowOff>276225</xdr:rowOff>
                  </to>
                </anchor>
              </controlPr>
            </control>
          </mc:Choice>
        </mc:AlternateContent>
        <mc:AlternateContent xmlns:mc="http://schemas.openxmlformats.org/markup-compatibility/2006">
          <mc:Choice Requires="x14">
            <control shapeId="79918" r:id="rId50" name="Check Box 46">
              <controlPr defaultSize="0" autoFill="0" autoLine="0" autoPict="0">
                <anchor moveWithCells="1">
                  <from>
                    <xdr:col>34</xdr:col>
                    <xdr:colOff>28575</xdr:colOff>
                    <xdr:row>4</xdr:row>
                    <xdr:rowOff>66675</xdr:rowOff>
                  </from>
                  <to>
                    <xdr:col>34</xdr:col>
                    <xdr:colOff>257175</xdr:colOff>
                    <xdr:row>4</xdr:row>
                    <xdr:rowOff>314325</xdr:rowOff>
                  </to>
                </anchor>
              </controlPr>
            </control>
          </mc:Choice>
        </mc:AlternateContent>
        <mc:AlternateContent xmlns:mc="http://schemas.openxmlformats.org/markup-compatibility/2006">
          <mc:Choice Requires="x14">
            <control shapeId="79919" r:id="rId51" name="Check Box 47">
              <controlPr defaultSize="0" autoFill="0" autoLine="0" autoPict="0">
                <anchor moveWithCells="1">
                  <from>
                    <xdr:col>37</xdr:col>
                    <xdr:colOff>28575</xdr:colOff>
                    <xdr:row>4</xdr:row>
                    <xdr:rowOff>66675</xdr:rowOff>
                  </from>
                  <to>
                    <xdr:col>37</xdr:col>
                    <xdr:colOff>219075</xdr:colOff>
                    <xdr:row>4</xdr:row>
                    <xdr:rowOff>295275</xdr:rowOff>
                  </to>
                </anchor>
              </controlPr>
            </control>
          </mc:Choice>
        </mc:AlternateContent>
        <mc:AlternateContent xmlns:mc="http://schemas.openxmlformats.org/markup-compatibility/2006">
          <mc:Choice Requires="x14">
            <control shapeId="79920" r:id="rId52" name="Check Box 48">
              <controlPr defaultSize="0" autoFill="0" autoLine="0" autoPict="0">
                <anchor moveWithCells="1">
                  <from>
                    <xdr:col>40</xdr:col>
                    <xdr:colOff>28575</xdr:colOff>
                    <xdr:row>4</xdr:row>
                    <xdr:rowOff>76200</xdr:rowOff>
                  </from>
                  <to>
                    <xdr:col>40</xdr:col>
                    <xdr:colOff>228600</xdr:colOff>
                    <xdr:row>4</xdr:row>
                    <xdr:rowOff>314325</xdr:rowOff>
                  </to>
                </anchor>
              </controlPr>
            </control>
          </mc:Choice>
        </mc:AlternateContent>
        <mc:AlternateContent xmlns:mc="http://schemas.openxmlformats.org/markup-compatibility/2006">
          <mc:Choice Requires="x14">
            <control shapeId="79921" r:id="rId53" name="Check Box 49">
              <controlPr defaultSize="0" autoFill="0" autoLine="0" autoPict="0">
                <anchor moveWithCells="1">
                  <from>
                    <xdr:col>34</xdr:col>
                    <xdr:colOff>28575</xdr:colOff>
                    <xdr:row>5</xdr:row>
                    <xdr:rowOff>66675</xdr:rowOff>
                  </from>
                  <to>
                    <xdr:col>34</xdr:col>
                    <xdr:colOff>257175</xdr:colOff>
                    <xdr:row>5</xdr:row>
                    <xdr:rowOff>314325</xdr:rowOff>
                  </to>
                </anchor>
              </controlPr>
            </control>
          </mc:Choice>
        </mc:AlternateContent>
        <mc:AlternateContent xmlns:mc="http://schemas.openxmlformats.org/markup-compatibility/2006">
          <mc:Choice Requires="x14">
            <control shapeId="79922" r:id="rId54" name="Check Box 50">
              <controlPr defaultSize="0" autoFill="0" autoLine="0" autoPict="0">
                <anchor moveWithCells="1">
                  <from>
                    <xdr:col>37</xdr:col>
                    <xdr:colOff>28575</xdr:colOff>
                    <xdr:row>5</xdr:row>
                    <xdr:rowOff>66675</xdr:rowOff>
                  </from>
                  <to>
                    <xdr:col>37</xdr:col>
                    <xdr:colOff>266700</xdr:colOff>
                    <xdr:row>5</xdr:row>
                    <xdr:rowOff>314325</xdr:rowOff>
                  </to>
                </anchor>
              </controlPr>
            </control>
          </mc:Choice>
        </mc:AlternateContent>
        <mc:AlternateContent xmlns:mc="http://schemas.openxmlformats.org/markup-compatibility/2006">
          <mc:Choice Requires="x14">
            <control shapeId="79923" r:id="rId55" name="Check Box 51">
              <controlPr defaultSize="0" autoFill="0" autoLine="0" autoPict="0">
                <anchor moveWithCells="1">
                  <from>
                    <xdr:col>40</xdr:col>
                    <xdr:colOff>28575</xdr:colOff>
                    <xdr:row>5</xdr:row>
                    <xdr:rowOff>76200</xdr:rowOff>
                  </from>
                  <to>
                    <xdr:col>40</xdr:col>
                    <xdr:colOff>257175</xdr:colOff>
                    <xdr:row>5</xdr:row>
                    <xdr:rowOff>295275</xdr:rowOff>
                  </to>
                </anchor>
              </controlPr>
            </control>
          </mc:Choice>
        </mc:AlternateContent>
        <mc:AlternateContent xmlns:mc="http://schemas.openxmlformats.org/markup-compatibility/2006">
          <mc:Choice Requires="x14">
            <control shapeId="79924" r:id="rId56" name="Check Box 52">
              <controlPr defaultSize="0" autoFill="0" autoLine="0" autoPict="0">
                <anchor moveWithCells="1">
                  <from>
                    <xdr:col>34</xdr:col>
                    <xdr:colOff>28575</xdr:colOff>
                    <xdr:row>6</xdr:row>
                    <xdr:rowOff>66675</xdr:rowOff>
                  </from>
                  <to>
                    <xdr:col>34</xdr:col>
                    <xdr:colOff>238125</xdr:colOff>
                    <xdr:row>6</xdr:row>
                    <xdr:rowOff>304800</xdr:rowOff>
                  </to>
                </anchor>
              </controlPr>
            </control>
          </mc:Choice>
        </mc:AlternateContent>
        <mc:AlternateContent xmlns:mc="http://schemas.openxmlformats.org/markup-compatibility/2006">
          <mc:Choice Requires="x14">
            <control shapeId="79925" r:id="rId57" name="Check Box 53">
              <controlPr defaultSize="0" autoFill="0" autoLine="0" autoPict="0">
                <anchor moveWithCells="1">
                  <from>
                    <xdr:col>37</xdr:col>
                    <xdr:colOff>28575</xdr:colOff>
                    <xdr:row>6</xdr:row>
                    <xdr:rowOff>76200</xdr:rowOff>
                  </from>
                  <to>
                    <xdr:col>37</xdr:col>
                    <xdr:colOff>257175</xdr:colOff>
                    <xdr:row>6</xdr:row>
                    <xdr:rowOff>304800</xdr:rowOff>
                  </to>
                </anchor>
              </controlPr>
            </control>
          </mc:Choice>
        </mc:AlternateContent>
        <mc:AlternateContent xmlns:mc="http://schemas.openxmlformats.org/markup-compatibility/2006">
          <mc:Choice Requires="x14">
            <control shapeId="79926" r:id="rId58" name="Check Box 54">
              <controlPr defaultSize="0" autoFill="0" autoLine="0" autoPict="0">
                <anchor moveWithCells="1">
                  <from>
                    <xdr:col>40</xdr:col>
                    <xdr:colOff>28575</xdr:colOff>
                    <xdr:row>6</xdr:row>
                    <xdr:rowOff>66675</xdr:rowOff>
                  </from>
                  <to>
                    <xdr:col>40</xdr:col>
                    <xdr:colOff>219075</xdr:colOff>
                    <xdr:row>6</xdr:row>
                    <xdr:rowOff>295275</xdr:rowOff>
                  </to>
                </anchor>
              </controlPr>
            </control>
          </mc:Choice>
        </mc:AlternateContent>
        <mc:AlternateContent xmlns:mc="http://schemas.openxmlformats.org/markup-compatibility/2006">
          <mc:Choice Requires="x14">
            <control shapeId="79927" r:id="rId59" name="Check Box 55">
              <controlPr defaultSize="0" autoFill="0" autoLine="0" autoPict="0">
                <anchor moveWithCells="1">
                  <from>
                    <xdr:col>34</xdr:col>
                    <xdr:colOff>28575</xdr:colOff>
                    <xdr:row>7</xdr:row>
                    <xdr:rowOff>85725</xdr:rowOff>
                  </from>
                  <to>
                    <xdr:col>34</xdr:col>
                    <xdr:colOff>257175</xdr:colOff>
                    <xdr:row>7</xdr:row>
                    <xdr:rowOff>304800</xdr:rowOff>
                  </to>
                </anchor>
              </controlPr>
            </control>
          </mc:Choice>
        </mc:AlternateContent>
        <mc:AlternateContent xmlns:mc="http://schemas.openxmlformats.org/markup-compatibility/2006">
          <mc:Choice Requires="x14">
            <control shapeId="79928" r:id="rId60" name="Check Box 56">
              <controlPr defaultSize="0" autoFill="0" autoLine="0" autoPict="0">
                <anchor moveWithCells="1">
                  <from>
                    <xdr:col>37</xdr:col>
                    <xdr:colOff>28575</xdr:colOff>
                    <xdr:row>7</xdr:row>
                    <xdr:rowOff>76200</xdr:rowOff>
                  </from>
                  <to>
                    <xdr:col>37</xdr:col>
                    <xdr:colOff>257175</xdr:colOff>
                    <xdr:row>7</xdr:row>
                    <xdr:rowOff>295275</xdr:rowOff>
                  </to>
                </anchor>
              </controlPr>
            </control>
          </mc:Choice>
        </mc:AlternateContent>
        <mc:AlternateContent xmlns:mc="http://schemas.openxmlformats.org/markup-compatibility/2006">
          <mc:Choice Requires="x14">
            <control shapeId="79929" r:id="rId61" name="Check Box 57">
              <controlPr defaultSize="0" autoFill="0" autoLine="0" autoPict="0">
                <anchor moveWithCells="1">
                  <from>
                    <xdr:col>40</xdr:col>
                    <xdr:colOff>28575</xdr:colOff>
                    <xdr:row>7</xdr:row>
                    <xdr:rowOff>85725</xdr:rowOff>
                  </from>
                  <to>
                    <xdr:col>40</xdr:col>
                    <xdr:colOff>257175</xdr:colOff>
                    <xdr:row>7</xdr:row>
                    <xdr:rowOff>333375</xdr:rowOff>
                  </to>
                </anchor>
              </controlPr>
            </control>
          </mc:Choice>
        </mc:AlternateContent>
        <mc:AlternateContent xmlns:mc="http://schemas.openxmlformats.org/markup-compatibility/2006">
          <mc:Choice Requires="x14">
            <control shapeId="79930" r:id="rId62" name="Check Box 58">
              <controlPr defaultSize="0" autoFill="0" autoLine="0" autoPict="0">
                <anchor moveWithCells="1">
                  <from>
                    <xdr:col>34</xdr:col>
                    <xdr:colOff>28575</xdr:colOff>
                    <xdr:row>8</xdr:row>
                    <xdr:rowOff>47625</xdr:rowOff>
                  </from>
                  <to>
                    <xdr:col>34</xdr:col>
                    <xdr:colOff>228600</xdr:colOff>
                    <xdr:row>8</xdr:row>
                    <xdr:rowOff>266700</xdr:rowOff>
                  </to>
                </anchor>
              </controlPr>
            </control>
          </mc:Choice>
        </mc:AlternateContent>
        <mc:AlternateContent xmlns:mc="http://schemas.openxmlformats.org/markup-compatibility/2006">
          <mc:Choice Requires="x14">
            <control shapeId="79931" r:id="rId63" name="Check Box 59">
              <controlPr defaultSize="0" autoFill="0" autoLine="0" autoPict="0">
                <anchor moveWithCells="1">
                  <from>
                    <xdr:col>37</xdr:col>
                    <xdr:colOff>28575</xdr:colOff>
                    <xdr:row>8</xdr:row>
                    <xdr:rowOff>66675</xdr:rowOff>
                  </from>
                  <to>
                    <xdr:col>37</xdr:col>
                    <xdr:colOff>228600</xdr:colOff>
                    <xdr:row>8</xdr:row>
                    <xdr:rowOff>295275</xdr:rowOff>
                  </to>
                </anchor>
              </controlPr>
            </control>
          </mc:Choice>
        </mc:AlternateContent>
        <mc:AlternateContent xmlns:mc="http://schemas.openxmlformats.org/markup-compatibility/2006">
          <mc:Choice Requires="x14">
            <control shapeId="79932" r:id="rId64" name="Check Box 60">
              <controlPr defaultSize="0" autoFill="0" autoLine="0" autoPict="0">
                <anchor moveWithCells="1">
                  <from>
                    <xdr:col>40</xdr:col>
                    <xdr:colOff>28575</xdr:colOff>
                    <xdr:row>8</xdr:row>
                    <xdr:rowOff>76200</xdr:rowOff>
                  </from>
                  <to>
                    <xdr:col>40</xdr:col>
                    <xdr:colOff>219075</xdr:colOff>
                    <xdr:row>8</xdr:row>
                    <xdr:rowOff>257175</xdr:rowOff>
                  </to>
                </anchor>
              </controlPr>
            </control>
          </mc:Choice>
        </mc:AlternateContent>
        <mc:AlternateContent xmlns:mc="http://schemas.openxmlformats.org/markup-compatibility/2006">
          <mc:Choice Requires="x14">
            <control shapeId="79933" r:id="rId65" name="Check Box 61">
              <controlPr defaultSize="0" autoFill="0" autoLine="0" autoPict="0">
                <anchor moveWithCells="1">
                  <from>
                    <xdr:col>34</xdr:col>
                    <xdr:colOff>28575</xdr:colOff>
                    <xdr:row>9</xdr:row>
                    <xdr:rowOff>66675</xdr:rowOff>
                  </from>
                  <to>
                    <xdr:col>34</xdr:col>
                    <xdr:colOff>257175</xdr:colOff>
                    <xdr:row>9</xdr:row>
                    <xdr:rowOff>276225</xdr:rowOff>
                  </to>
                </anchor>
              </controlPr>
            </control>
          </mc:Choice>
        </mc:AlternateContent>
        <mc:AlternateContent xmlns:mc="http://schemas.openxmlformats.org/markup-compatibility/2006">
          <mc:Choice Requires="x14">
            <control shapeId="79934" r:id="rId66" name="Check Box 62">
              <controlPr defaultSize="0" autoFill="0" autoLine="0" autoPict="0">
                <anchor moveWithCells="1">
                  <from>
                    <xdr:col>37</xdr:col>
                    <xdr:colOff>28575</xdr:colOff>
                    <xdr:row>9</xdr:row>
                    <xdr:rowOff>66675</xdr:rowOff>
                  </from>
                  <to>
                    <xdr:col>37</xdr:col>
                    <xdr:colOff>238125</xdr:colOff>
                    <xdr:row>9</xdr:row>
                    <xdr:rowOff>295275</xdr:rowOff>
                  </to>
                </anchor>
              </controlPr>
            </control>
          </mc:Choice>
        </mc:AlternateContent>
        <mc:AlternateContent xmlns:mc="http://schemas.openxmlformats.org/markup-compatibility/2006">
          <mc:Choice Requires="x14">
            <control shapeId="79935" r:id="rId67" name="Check Box 63">
              <controlPr defaultSize="0" autoFill="0" autoLine="0" autoPict="0">
                <anchor moveWithCells="1">
                  <from>
                    <xdr:col>40</xdr:col>
                    <xdr:colOff>28575</xdr:colOff>
                    <xdr:row>9</xdr:row>
                    <xdr:rowOff>66675</xdr:rowOff>
                  </from>
                  <to>
                    <xdr:col>40</xdr:col>
                    <xdr:colOff>257175</xdr:colOff>
                    <xdr:row>9</xdr:row>
                    <xdr:rowOff>304800</xdr:rowOff>
                  </to>
                </anchor>
              </controlPr>
            </control>
          </mc:Choice>
        </mc:AlternateContent>
        <mc:AlternateContent xmlns:mc="http://schemas.openxmlformats.org/markup-compatibility/2006">
          <mc:Choice Requires="x14">
            <control shapeId="79936" r:id="rId68" name="Check Box 64">
              <controlPr defaultSize="0" autoFill="0" autoLine="0" autoPict="0">
                <anchor moveWithCells="1">
                  <from>
                    <xdr:col>34</xdr:col>
                    <xdr:colOff>28575</xdr:colOff>
                    <xdr:row>10</xdr:row>
                    <xdr:rowOff>76200</xdr:rowOff>
                  </from>
                  <to>
                    <xdr:col>34</xdr:col>
                    <xdr:colOff>257175</xdr:colOff>
                    <xdr:row>10</xdr:row>
                    <xdr:rowOff>314325</xdr:rowOff>
                  </to>
                </anchor>
              </controlPr>
            </control>
          </mc:Choice>
        </mc:AlternateContent>
        <mc:AlternateContent xmlns:mc="http://schemas.openxmlformats.org/markup-compatibility/2006">
          <mc:Choice Requires="x14">
            <control shapeId="79937" r:id="rId69" name="Check Box 65">
              <controlPr defaultSize="0" autoFill="0" autoLine="0" autoPict="0">
                <anchor moveWithCells="1">
                  <from>
                    <xdr:col>37</xdr:col>
                    <xdr:colOff>28575</xdr:colOff>
                    <xdr:row>10</xdr:row>
                    <xdr:rowOff>66675</xdr:rowOff>
                  </from>
                  <to>
                    <xdr:col>37</xdr:col>
                    <xdr:colOff>228600</xdr:colOff>
                    <xdr:row>10</xdr:row>
                    <xdr:rowOff>295275</xdr:rowOff>
                  </to>
                </anchor>
              </controlPr>
            </control>
          </mc:Choice>
        </mc:AlternateContent>
        <mc:AlternateContent xmlns:mc="http://schemas.openxmlformats.org/markup-compatibility/2006">
          <mc:Choice Requires="x14">
            <control shapeId="79938" r:id="rId70" name="Check Box 66">
              <controlPr defaultSize="0" autoFill="0" autoLine="0" autoPict="0">
                <anchor moveWithCells="1">
                  <from>
                    <xdr:col>40</xdr:col>
                    <xdr:colOff>28575</xdr:colOff>
                    <xdr:row>10</xdr:row>
                    <xdr:rowOff>76200</xdr:rowOff>
                  </from>
                  <to>
                    <xdr:col>40</xdr:col>
                    <xdr:colOff>219075</xdr:colOff>
                    <xdr:row>10</xdr:row>
                    <xdr:rowOff>295275</xdr:rowOff>
                  </to>
                </anchor>
              </controlPr>
            </control>
          </mc:Choice>
        </mc:AlternateContent>
        <mc:AlternateContent xmlns:mc="http://schemas.openxmlformats.org/markup-compatibility/2006">
          <mc:Choice Requires="x14">
            <control shapeId="79939" r:id="rId71" name="Check Box 67">
              <controlPr defaultSize="0" autoFill="0" autoLine="0" autoPict="0">
                <anchor moveWithCells="1">
                  <from>
                    <xdr:col>34</xdr:col>
                    <xdr:colOff>28575</xdr:colOff>
                    <xdr:row>11</xdr:row>
                    <xdr:rowOff>66675</xdr:rowOff>
                  </from>
                  <to>
                    <xdr:col>34</xdr:col>
                    <xdr:colOff>228600</xdr:colOff>
                    <xdr:row>11</xdr:row>
                    <xdr:rowOff>276225</xdr:rowOff>
                  </to>
                </anchor>
              </controlPr>
            </control>
          </mc:Choice>
        </mc:AlternateContent>
        <mc:AlternateContent xmlns:mc="http://schemas.openxmlformats.org/markup-compatibility/2006">
          <mc:Choice Requires="x14">
            <control shapeId="79940" r:id="rId72" name="Check Box 68">
              <controlPr defaultSize="0" autoFill="0" autoLine="0" autoPict="0">
                <anchor moveWithCells="1">
                  <from>
                    <xdr:col>37</xdr:col>
                    <xdr:colOff>28575</xdr:colOff>
                    <xdr:row>11</xdr:row>
                    <xdr:rowOff>66675</xdr:rowOff>
                  </from>
                  <to>
                    <xdr:col>37</xdr:col>
                    <xdr:colOff>238125</xdr:colOff>
                    <xdr:row>11</xdr:row>
                    <xdr:rowOff>295275</xdr:rowOff>
                  </to>
                </anchor>
              </controlPr>
            </control>
          </mc:Choice>
        </mc:AlternateContent>
        <mc:AlternateContent xmlns:mc="http://schemas.openxmlformats.org/markup-compatibility/2006">
          <mc:Choice Requires="x14">
            <control shapeId="79941" r:id="rId73" name="Check Box 69">
              <controlPr defaultSize="0" autoFill="0" autoLine="0" autoPict="0">
                <anchor moveWithCells="1">
                  <from>
                    <xdr:col>40</xdr:col>
                    <xdr:colOff>28575</xdr:colOff>
                    <xdr:row>11</xdr:row>
                    <xdr:rowOff>66675</xdr:rowOff>
                  </from>
                  <to>
                    <xdr:col>40</xdr:col>
                    <xdr:colOff>219075</xdr:colOff>
                    <xdr:row>11</xdr:row>
                    <xdr:rowOff>276225</xdr:rowOff>
                  </to>
                </anchor>
              </controlPr>
            </control>
          </mc:Choice>
        </mc:AlternateContent>
        <mc:AlternateContent xmlns:mc="http://schemas.openxmlformats.org/markup-compatibility/2006">
          <mc:Choice Requires="x14">
            <control shapeId="79942" r:id="rId74" name="Check Box 70">
              <controlPr defaultSize="0" autoFill="0" autoLine="0" autoPict="0">
                <anchor moveWithCells="1">
                  <from>
                    <xdr:col>34</xdr:col>
                    <xdr:colOff>28575</xdr:colOff>
                    <xdr:row>12</xdr:row>
                    <xdr:rowOff>66675</xdr:rowOff>
                  </from>
                  <to>
                    <xdr:col>34</xdr:col>
                    <xdr:colOff>257175</xdr:colOff>
                    <xdr:row>12</xdr:row>
                    <xdr:rowOff>295275</xdr:rowOff>
                  </to>
                </anchor>
              </controlPr>
            </control>
          </mc:Choice>
        </mc:AlternateContent>
        <mc:AlternateContent xmlns:mc="http://schemas.openxmlformats.org/markup-compatibility/2006">
          <mc:Choice Requires="x14">
            <control shapeId="79943" r:id="rId75" name="Check Box 71">
              <controlPr defaultSize="0" autoFill="0" autoLine="0" autoPict="0">
                <anchor moveWithCells="1">
                  <from>
                    <xdr:col>37</xdr:col>
                    <xdr:colOff>28575</xdr:colOff>
                    <xdr:row>12</xdr:row>
                    <xdr:rowOff>85725</xdr:rowOff>
                  </from>
                  <to>
                    <xdr:col>37</xdr:col>
                    <xdr:colOff>219075</xdr:colOff>
                    <xdr:row>12</xdr:row>
                    <xdr:rowOff>295275</xdr:rowOff>
                  </to>
                </anchor>
              </controlPr>
            </control>
          </mc:Choice>
        </mc:AlternateContent>
        <mc:AlternateContent xmlns:mc="http://schemas.openxmlformats.org/markup-compatibility/2006">
          <mc:Choice Requires="x14">
            <control shapeId="79944" r:id="rId76" name="Check Box 72">
              <controlPr defaultSize="0" autoFill="0" autoLine="0" autoPict="0">
                <anchor moveWithCells="1">
                  <from>
                    <xdr:col>40</xdr:col>
                    <xdr:colOff>28575</xdr:colOff>
                    <xdr:row>12</xdr:row>
                    <xdr:rowOff>76200</xdr:rowOff>
                  </from>
                  <to>
                    <xdr:col>40</xdr:col>
                    <xdr:colOff>219075</xdr:colOff>
                    <xdr:row>12</xdr:row>
                    <xdr:rowOff>295275</xdr:rowOff>
                  </to>
                </anchor>
              </controlPr>
            </control>
          </mc:Choice>
        </mc:AlternateContent>
        <mc:AlternateContent xmlns:mc="http://schemas.openxmlformats.org/markup-compatibility/2006">
          <mc:Choice Requires="x14">
            <control shapeId="79945" r:id="rId77" name="Check Box 73">
              <controlPr defaultSize="0" autoFill="0" autoLine="0" autoPict="0">
                <anchor moveWithCells="1">
                  <from>
                    <xdr:col>34</xdr:col>
                    <xdr:colOff>28575</xdr:colOff>
                    <xdr:row>13</xdr:row>
                    <xdr:rowOff>47625</xdr:rowOff>
                  </from>
                  <to>
                    <xdr:col>34</xdr:col>
                    <xdr:colOff>257175</xdr:colOff>
                    <xdr:row>13</xdr:row>
                    <xdr:rowOff>295275</xdr:rowOff>
                  </to>
                </anchor>
              </controlPr>
            </control>
          </mc:Choice>
        </mc:AlternateContent>
        <mc:AlternateContent xmlns:mc="http://schemas.openxmlformats.org/markup-compatibility/2006">
          <mc:Choice Requires="x14">
            <control shapeId="79946" r:id="rId78" name="Check Box 74">
              <controlPr defaultSize="0" autoFill="0" autoLine="0" autoPict="0">
                <anchor moveWithCells="1">
                  <from>
                    <xdr:col>37</xdr:col>
                    <xdr:colOff>28575</xdr:colOff>
                    <xdr:row>13</xdr:row>
                    <xdr:rowOff>66675</xdr:rowOff>
                  </from>
                  <to>
                    <xdr:col>37</xdr:col>
                    <xdr:colOff>257175</xdr:colOff>
                    <xdr:row>13</xdr:row>
                    <xdr:rowOff>295275</xdr:rowOff>
                  </to>
                </anchor>
              </controlPr>
            </control>
          </mc:Choice>
        </mc:AlternateContent>
        <mc:AlternateContent xmlns:mc="http://schemas.openxmlformats.org/markup-compatibility/2006">
          <mc:Choice Requires="x14">
            <control shapeId="79947" r:id="rId79" name="Check Box 75">
              <controlPr defaultSize="0" autoFill="0" autoLine="0" autoPict="0">
                <anchor moveWithCells="1">
                  <from>
                    <xdr:col>40</xdr:col>
                    <xdr:colOff>28575</xdr:colOff>
                    <xdr:row>13</xdr:row>
                    <xdr:rowOff>66675</xdr:rowOff>
                  </from>
                  <to>
                    <xdr:col>40</xdr:col>
                    <xdr:colOff>257175</xdr:colOff>
                    <xdr:row>13</xdr:row>
                    <xdr:rowOff>295275</xdr:rowOff>
                  </to>
                </anchor>
              </controlPr>
            </control>
          </mc:Choice>
        </mc:AlternateContent>
        <mc:AlternateContent xmlns:mc="http://schemas.openxmlformats.org/markup-compatibility/2006">
          <mc:Choice Requires="x14">
            <control shapeId="79948" r:id="rId80" name="Check Box 76">
              <controlPr defaultSize="0" autoFill="0" autoLine="0" autoPict="0">
                <anchor moveWithCells="1">
                  <from>
                    <xdr:col>34</xdr:col>
                    <xdr:colOff>28575</xdr:colOff>
                    <xdr:row>14</xdr:row>
                    <xdr:rowOff>66675</xdr:rowOff>
                  </from>
                  <to>
                    <xdr:col>34</xdr:col>
                    <xdr:colOff>228600</xdr:colOff>
                    <xdr:row>14</xdr:row>
                    <xdr:rowOff>314325</xdr:rowOff>
                  </to>
                </anchor>
              </controlPr>
            </control>
          </mc:Choice>
        </mc:AlternateContent>
        <mc:AlternateContent xmlns:mc="http://schemas.openxmlformats.org/markup-compatibility/2006">
          <mc:Choice Requires="x14">
            <control shapeId="79949" r:id="rId81" name="Check Box 77">
              <controlPr defaultSize="0" autoFill="0" autoLine="0" autoPict="0">
                <anchor moveWithCells="1">
                  <from>
                    <xdr:col>37</xdr:col>
                    <xdr:colOff>28575</xdr:colOff>
                    <xdr:row>14</xdr:row>
                    <xdr:rowOff>76200</xdr:rowOff>
                  </from>
                  <to>
                    <xdr:col>37</xdr:col>
                    <xdr:colOff>238125</xdr:colOff>
                    <xdr:row>14</xdr:row>
                    <xdr:rowOff>276225</xdr:rowOff>
                  </to>
                </anchor>
              </controlPr>
            </control>
          </mc:Choice>
        </mc:AlternateContent>
        <mc:AlternateContent xmlns:mc="http://schemas.openxmlformats.org/markup-compatibility/2006">
          <mc:Choice Requires="x14">
            <control shapeId="79950" r:id="rId82" name="Check Box 78">
              <controlPr defaultSize="0" autoFill="0" autoLine="0" autoPict="0">
                <anchor moveWithCells="1">
                  <from>
                    <xdr:col>40</xdr:col>
                    <xdr:colOff>28575</xdr:colOff>
                    <xdr:row>14</xdr:row>
                    <xdr:rowOff>66675</xdr:rowOff>
                  </from>
                  <to>
                    <xdr:col>40</xdr:col>
                    <xdr:colOff>219075</xdr:colOff>
                    <xdr:row>14</xdr:row>
                    <xdr:rowOff>295275</xdr:rowOff>
                  </to>
                </anchor>
              </controlPr>
            </control>
          </mc:Choice>
        </mc:AlternateContent>
        <mc:AlternateContent xmlns:mc="http://schemas.openxmlformats.org/markup-compatibility/2006">
          <mc:Choice Requires="x14">
            <control shapeId="79951" r:id="rId83" name="Check Box 79">
              <controlPr defaultSize="0" autoFill="0" autoLine="0" autoPict="0">
                <anchor moveWithCells="1">
                  <from>
                    <xdr:col>34</xdr:col>
                    <xdr:colOff>38100</xdr:colOff>
                    <xdr:row>15</xdr:row>
                    <xdr:rowOff>66675</xdr:rowOff>
                  </from>
                  <to>
                    <xdr:col>34</xdr:col>
                    <xdr:colOff>266700</xdr:colOff>
                    <xdr:row>15</xdr:row>
                    <xdr:rowOff>276225</xdr:rowOff>
                  </to>
                </anchor>
              </controlPr>
            </control>
          </mc:Choice>
        </mc:AlternateContent>
        <mc:AlternateContent xmlns:mc="http://schemas.openxmlformats.org/markup-compatibility/2006">
          <mc:Choice Requires="x14">
            <control shapeId="79952" r:id="rId84" name="Check Box 80">
              <controlPr defaultSize="0" autoFill="0" autoLine="0" autoPict="0">
                <anchor moveWithCells="1">
                  <from>
                    <xdr:col>37</xdr:col>
                    <xdr:colOff>28575</xdr:colOff>
                    <xdr:row>15</xdr:row>
                    <xdr:rowOff>85725</xdr:rowOff>
                  </from>
                  <to>
                    <xdr:col>37</xdr:col>
                    <xdr:colOff>238125</xdr:colOff>
                    <xdr:row>15</xdr:row>
                    <xdr:rowOff>304800</xdr:rowOff>
                  </to>
                </anchor>
              </controlPr>
            </control>
          </mc:Choice>
        </mc:AlternateContent>
        <mc:AlternateContent xmlns:mc="http://schemas.openxmlformats.org/markup-compatibility/2006">
          <mc:Choice Requires="x14">
            <control shapeId="79953" r:id="rId85" name="Check Box 81">
              <controlPr defaultSize="0" autoFill="0" autoLine="0" autoPict="0">
                <anchor moveWithCells="1">
                  <from>
                    <xdr:col>40</xdr:col>
                    <xdr:colOff>28575</xdr:colOff>
                    <xdr:row>15</xdr:row>
                    <xdr:rowOff>104775</xdr:rowOff>
                  </from>
                  <to>
                    <xdr:col>40</xdr:col>
                    <xdr:colOff>257175</xdr:colOff>
                    <xdr:row>15</xdr:row>
                    <xdr:rowOff>276225</xdr:rowOff>
                  </to>
                </anchor>
              </controlPr>
            </control>
          </mc:Choice>
        </mc:AlternateContent>
        <mc:AlternateContent xmlns:mc="http://schemas.openxmlformats.org/markup-compatibility/2006">
          <mc:Choice Requires="x14">
            <control shapeId="79954" r:id="rId86" name="Check Box 82">
              <controlPr defaultSize="0" autoFill="0" autoLine="0" autoPict="0">
                <anchor moveWithCells="1">
                  <from>
                    <xdr:col>34</xdr:col>
                    <xdr:colOff>28575</xdr:colOff>
                    <xdr:row>16</xdr:row>
                    <xdr:rowOff>66675</xdr:rowOff>
                  </from>
                  <to>
                    <xdr:col>34</xdr:col>
                    <xdr:colOff>228600</xdr:colOff>
                    <xdr:row>16</xdr:row>
                    <xdr:rowOff>276225</xdr:rowOff>
                  </to>
                </anchor>
              </controlPr>
            </control>
          </mc:Choice>
        </mc:AlternateContent>
        <mc:AlternateContent xmlns:mc="http://schemas.openxmlformats.org/markup-compatibility/2006">
          <mc:Choice Requires="x14">
            <control shapeId="79955" r:id="rId87" name="Check Box 83">
              <controlPr defaultSize="0" autoFill="0" autoLine="0" autoPict="0">
                <anchor moveWithCells="1">
                  <from>
                    <xdr:col>37</xdr:col>
                    <xdr:colOff>28575</xdr:colOff>
                    <xdr:row>16</xdr:row>
                    <xdr:rowOff>66675</xdr:rowOff>
                  </from>
                  <to>
                    <xdr:col>37</xdr:col>
                    <xdr:colOff>219075</xdr:colOff>
                    <xdr:row>16</xdr:row>
                    <xdr:rowOff>266700</xdr:rowOff>
                  </to>
                </anchor>
              </controlPr>
            </control>
          </mc:Choice>
        </mc:AlternateContent>
        <mc:AlternateContent xmlns:mc="http://schemas.openxmlformats.org/markup-compatibility/2006">
          <mc:Choice Requires="x14">
            <control shapeId="79956" r:id="rId88" name="Check Box 84">
              <controlPr defaultSize="0" autoFill="0" autoLine="0" autoPict="0">
                <anchor moveWithCells="1">
                  <from>
                    <xdr:col>40</xdr:col>
                    <xdr:colOff>28575</xdr:colOff>
                    <xdr:row>16</xdr:row>
                    <xdr:rowOff>66675</xdr:rowOff>
                  </from>
                  <to>
                    <xdr:col>40</xdr:col>
                    <xdr:colOff>219075</xdr:colOff>
                    <xdr:row>16</xdr:row>
                    <xdr:rowOff>276225</xdr:rowOff>
                  </to>
                </anchor>
              </controlPr>
            </control>
          </mc:Choice>
        </mc:AlternateContent>
        <mc:AlternateContent xmlns:mc="http://schemas.openxmlformats.org/markup-compatibility/2006">
          <mc:Choice Requires="x14">
            <control shapeId="79957" r:id="rId89" name="Check Box 85">
              <controlPr defaultSize="0" autoFill="0" autoLine="0" autoPict="0">
                <anchor moveWithCells="1">
                  <from>
                    <xdr:col>34</xdr:col>
                    <xdr:colOff>28575</xdr:colOff>
                    <xdr:row>17</xdr:row>
                    <xdr:rowOff>66675</xdr:rowOff>
                  </from>
                  <to>
                    <xdr:col>34</xdr:col>
                    <xdr:colOff>238125</xdr:colOff>
                    <xdr:row>17</xdr:row>
                    <xdr:rowOff>276225</xdr:rowOff>
                  </to>
                </anchor>
              </controlPr>
            </control>
          </mc:Choice>
        </mc:AlternateContent>
        <mc:AlternateContent xmlns:mc="http://schemas.openxmlformats.org/markup-compatibility/2006">
          <mc:Choice Requires="x14">
            <control shapeId="79958" r:id="rId90" name="Check Box 86">
              <controlPr defaultSize="0" autoFill="0" autoLine="0" autoPict="0">
                <anchor moveWithCells="1">
                  <from>
                    <xdr:col>37</xdr:col>
                    <xdr:colOff>28575</xdr:colOff>
                    <xdr:row>17</xdr:row>
                    <xdr:rowOff>66675</xdr:rowOff>
                  </from>
                  <to>
                    <xdr:col>37</xdr:col>
                    <xdr:colOff>228600</xdr:colOff>
                    <xdr:row>17</xdr:row>
                    <xdr:rowOff>276225</xdr:rowOff>
                  </to>
                </anchor>
              </controlPr>
            </control>
          </mc:Choice>
        </mc:AlternateContent>
        <mc:AlternateContent xmlns:mc="http://schemas.openxmlformats.org/markup-compatibility/2006">
          <mc:Choice Requires="x14">
            <control shapeId="79959" r:id="rId91" name="Check Box 87">
              <controlPr defaultSize="0" autoFill="0" autoLine="0" autoPict="0">
                <anchor moveWithCells="1">
                  <from>
                    <xdr:col>40</xdr:col>
                    <xdr:colOff>28575</xdr:colOff>
                    <xdr:row>17</xdr:row>
                    <xdr:rowOff>47625</xdr:rowOff>
                  </from>
                  <to>
                    <xdr:col>40</xdr:col>
                    <xdr:colOff>257175</xdr:colOff>
                    <xdr:row>17</xdr:row>
                    <xdr:rowOff>257175</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3">
    <tabColor rgb="FFFFFF00"/>
    <pageSetUpPr fitToPage="1"/>
  </sheetPr>
  <dimension ref="A1:BI71"/>
  <sheetViews>
    <sheetView showGridLines="0" zoomScaleNormal="100" workbookViewId="0">
      <selection sqref="A1:AO47"/>
    </sheetView>
  </sheetViews>
  <sheetFormatPr defaultColWidth="9" defaultRowHeight="15.75"/>
  <cols>
    <col min="1" max="1" width="2.125" style="56" customWidth="1"/>
    <col min="2" max="39" width="3.625" style="56" customWidth="1"/>
    <col min="40" max="40" width="2.125" style="56" customWidth="1"/>
    <col min="41" max="44" width="3.625" style="56" customWidth="1"/>
    <col min="45" max="45" width="2.125" style="56" customWidth="1"/>
    <col min="46" max="48" width="3.625" style="56" customWidth="1"/>
    <col min="49" max="49" width="2.125" style="56" customWidth="1"/>
    <col min="50" max="60" width="3.625" style="56" customWidth="1"/>
    <col min="61" max="61" width="2.125" style="56" customWidth="1"/>
    <col min="62" max="16384" width="9" style="56"/>
  </cols>
  <sheetData>
    <row r="1" spans="1:61" ht="12" customHeight="1">
      <c r="A1" s="661"/>
      <c r="B1" s="661"/>
      <c r="C1" s="661"/>
      <c r="D1" s="661"/>
      <c r="E1" s="661"/>
      <c r="F1" s="661"/>
      <c r="G1" s="661"/>
      <c r="H1" s="661"/>
      <c r="I1" s="661"/>
      <c r="J1" s="661"/>
      <c r="K1" s="661"/>
      <c r="L1" s="661"/>
      <c r="M1" s="661"/>
      <c r="N1" s="661"/>
      <c r="O1" s="661"/>
      <c r="P1" s="661"/>
      <c r="Q1" s="661"/>
      <c r="R1" s="661"/>
      <c r="S1" s="661"/>
      <c r="T1" s="661"/>
      <c r="U1" s="661"/>
      <c r="V1" s="661"/>
      <c r="W1" s="661"/>
      <c r="X1" s="661"/>
      <c r="Y1" s="661"/>
      <c r="Z1" s="661"/>
      <c r="AA1" s="661"/>
      <c r="AB1" s="661"/>
      <c r="AC1" s="661"/>
      <c r="AD1" s="661"/>
      <c r="AE1" s="661"/>
      <c r="AF1" s="661"/>
      <c r="AG1" s="661"/>
      <c r="AH1" s="661"/>
      <c r="AI1" s="661"/>
      <c r="AJ1" s="661"/>
      <c r="AK1" s="661"/>
      <c r="AL1" s="661"/>
      <c r="AM1" s="661"/>
      <c r="AN1" s="661"/>
      <c r="AO1" s="661"/>
      <c r="AP1" s="661"/>
      <c r="AQ1" s="661"/>
      <c r="AR1" s="661"/>
      <c r="AS1" s="661"/>
      <c r="AT1" s="661"/>
      <c r="AU1" s="661"/>
      <c r="AV1" s="661"/>
      <c r="AW1" s="661"/>
      <c r="AX1" s="661"/>
      <c r="AY1" s="661"/>
      <c r="AZ1" s="661"/>
      <c r="BA1" s="661"/>
      <c r="BB1" s="661"/>
      <c r="BC1" s="661"/>
      <c r="BD1" s="661"/>
      <c r="BE1" s="661"/>
      <c r="BF1" s="661"/>
      <c r="BG1" s="661"/>
      <c r="BH1" s="661"/>
      <c r="BI1" s="661"/>
    </row>
    <row r="2" spans="1:61" s="115" customFormat="1" ht="17.25">
      <c r="A2" s="1202"/>
      <c r="B2" s="1202"/>
      <c r="C2" s="1203" t="s">
        <v>11432</v>
      </c>
      <c r="D2" s="1202"/>
      <c r="E2" s="1202"/>
      <c r="F2" s="1202"/>
      <c r="G2" s="1202"/>
      <c r="H2" s="1204"/>
      <c r="I2" s="1202"/>
      <c r="J2" s="1202"/>
      <c r="K2" s="1202"/>
      <c r="L2" s="1202"/>
      <c r="M2" s="1202"/>
      <c r="N2" s="1202"/>
      <c r="O2" s="1202"/>
      <c r="P2" s="1202"/>
      <c r="Q2" s="1202"/>
      <c r="R2" s="1202"/>
      <c r="S2" s="1202"/>
      <c r="T2" s="1202"/>
      <c r="U2" s="1202"/>
      <c r="V2" s="1202"/>
      <c r="W2" s="1202"/>
      <c r="X2" s="1202"/>
      <c r="Y2" s="1202"/>
      <c r="Z2" s="1202"/>
      <c r="AA2" s="1202"/>
      <c r="AB2" s="1202"/>
      <c r="AC2" s="1202"/>
      <c r="AD2" s="1202"/>
      <c r="AE2" s="1202"/>
      <c r="AF2" s="1202"/>
      <c r="AG2" s="1202"/>
      <c r="AH2" s="1202"/>
      <c r="AI2" s="1202"/>
      <c r="AJ2" s="1202"/>
      <c r="AK2" s="1202"/>
      <c r="AL2" s="1202"/>
      <c r="AM2" s="1202"/>
      <c r="AN2" s="1202"/>
      <c r="AO2" s="1202"/>
      <c r="AP2" s="1202"/>
      <c r="AQ2" s="1202"/>
      <c r="AR2" s="1202"/>
      <c r="AS2" s="1202"/>
      <c r="AT2" s="1202"/>
      <c r="AU2" s="1202"/>
      <c r="AV2" s="1202"/>
      <c r="AW2" s="1202"/>
      <c r="AX2" s="1202"/>
      <c r="AY2" s="1202"/>
      <c r="AZ2" s="1202"/>
      <c r="BA2" s="1202"/>
      <c r="BB2" s="1202"/>
      <c r="BC2" s="1202"/>
      <c r="BD2" s="1202"/>
      <c r="BE2" s="1202"/>
      <c r="BF2" s="1202"/>
      <c r="BG2" s="1202"/>
      <c r="BH2" s="1202"/>
      <c r="BI2" s="1202"/>
    </row>
    <row r="3" spans="1:61" s="115" customFormat="1" ht="18" thickBot="1">
      <c r="A3" s="1202"/>
      <c r="B3" s="1202"/>
      <c r="C3" s="1205" t="s">
        <v>1016</v>
      </c>
      <c r="D3" s="1202"/>
      <c r="E3" s="1202"/>
      <c r="F3" s="1202"/>
      <c r="G3" s="1202"/>
      <c r="H3" s="1206"/>
      <c r="I3" s="1206"/>
      <c r="J3" s="1206"/>
      <c r="K3" s="1206"/>
      <c r="L3" s="1206"/>
      <c r="M3" s="1206"/>
      <c r="N3" s="1206"/>
      <c r="O3" s="1202"/>
      <c r="P3" s="1202"/>
      <c r="Q3" s="1202"/>
      <c r="R3" s="1202"/>
      <c r="S3" s="1202"/>
      <c r="T3" s="1202"/>
      <c r="U3" s="1202"/>
      <c r="V3" s="1202"/>
      <c r="W3" s="1202"/>
      <c r="X3" s="1202"/>
      <c r="Y3" s="1202"/>
      <c r="Z3" s="1202"/>
      <c r="AA3" s="1202"/>
      <c r="AB3" s="1202"/>
      <c r="AC3" s="1202"/>
      <c r="AD3" s="1202"/>
      <c r="AE3" s="1202"/>
      <c r="AF3" s="1202"/>
      <c r="AG3" s="1202"/>
      <c r="AH3" s="1202"/>
      <c r="AI3" s="1202"/>
      <c r="AJ3" s="1202"/>
      <c r="AK3" s="1202"/>
      <c r="AL3" s="1202"/>
      <c r="AM3" s="1202"/>
      <c r="AN3" s="1202"/>
      <c r="AO3" s="1202"/>
      <c r="AP3" s="1202"/>
      <c r="AQ3" s="1202"/>
      <c r="AR3" s="1202"/>
      <c r="AS3" s="1202"/>
      <c r="AT3" s="1202"/>
      <c r="AU3" s="1202"/>
      <c r="AV3" s="1202"/>
      <c r="AW3" s="1202"/>
      <c r="AX3" s="1202"/>
      <c r="AY3" s="1202"/>
      <c r="AZ3" s="1202"/>
      <c r="BA3" s="1202"/>
      <c r="BB3" s="1202"/>
      <c r="BC3" s="1202"/>
      <c r="BD3" s="1202"/>
      <c r="BE3" s="1202"/>
      <c r="BF3" s="1202"/>
      <c r="BG3" s="1202"/>
      <c r="BH3" s="1202"/>
      <c r="BI3" s="1202"/>
    </row>
    <row r="4" spans="1:61" s="116" customFormat="1" ht="87.75" customHeight="1" thickBot="1">
      <c r="A4" s="1207"/>
      <c r="B4" s="1207"/>
      <c r="C4" s="3499" t="s">
        <v>822</v>
      </c>
      <c r="D4" s="3500"/>
      <c r="E4" s="3500"/>
      <c r="F4" s="3500"/>
      <c r="G4" s="3500"/>
      <c r="H4" s="3500"/>
      <c r="I4" s="3500"/>
      <c r="J4" s="3500"/>
      <c r="K4" s="3500"/>
      <c r="L4" s="3500"/>
      <c r="M4" s="3501"/>
      <c r="N4" s="3502" t="s">
        <v>823</v>
      </c>
      <c r="O4" s="3500"/>
      <c r="P4" s="3500"/>
      <c r="Q4" s="3500"/>
      <c r="R4" s="3503"/>
      <c r="S4" s="3504" t="s">
        <v>824</v>
      </c>
      <c r="T4" s="3500"/>
      <c r="U4" s="3500"/>
      <c r="V4" s="3500"/>
      <c r="W4" s="3500"/>
      <c r="X4" s="3504" t="s">
        <v>825</v>
      </c>
      <c r="Y4" s="3500"/>
      <c r="Z4" s="3500"/>
      <c r="AA4" s="3500"/>
      <c r="AB4" s="3503"/>
      <c r="AC4" s="3500" t="s">
        <v>826</v>
      </c>
      <c r="AD4" s="3500"/>
      <c r="AE4" s="3500"/>
      <c r="AF4" s="3500"/>
      <c r="AG4" s="3503"/>
      <c r="AH4" s="3504" t="s">
        <v>827</v>
      </c>
      <c r="AI4" s="3500"/>
      <c r="AJ4" s="3500"/>
      <c r="AK4" s="3500"/>
      <c r="AL4" s="3505"/>
      <c r="AM4" s="1207"/>
      <c r="AN4" s="1207"/>
      <c r="AO4" s="1207"/>
      <c r="AP4" s="1207"/>
      <c r="AQ4" s="1207"/>
      <c r="AR4" s="1207"/>
      <c r="AS4" s="1207"/>
      <c r="AT4" s="1207"/>
      <c r="AU4" s="1207"/>
      <c r="AV4" s="1207"/>
      <c r="AW4" s="1207"/>
      <c r="AX4" s="1207"/>
      <c r="AY4" s="1207"/>
      <c r="AZ4" s="1207"/>
      <c r="BA4" s="1207"/>
      <c r="BB4" s="1207"/>
      <c r="BC4" s="1207"/>
      <c r="BD4" s="1207"/>
      <c r="BE4" s="1207"/>
      <c r="BF4" s="1207"/>
      <c r="BG4" s="1207"/>
      <c r="BH4" s="1207"/>
      <c r="BI4" s="1207"/>
    </row>
    <row r="5" spans="1:61" s="102" customFormat="1" ht="30" customHeight="1">
      <c r="A5" s="599"/>
      <c r="B5" s="599"/>
      <c r="C5" s="1208" t="s">
        <v>47</v>
      </c>
      <c r="D5" s="1209" t="s">
        <v>775</v>
      </c>
      <c r="E5" s="1209"/>
      <c r="F5" s="1209"/>
      <c r="G5" s="1209"/>
      <c r="H5" s="1209"/>
      <c r="I5" s="1209"/>
      <c r="J5" s="1209"/>
      <c r="K5" s="1209"/>
      <c r="L5" s="1209"/>
      <c r="M5" s="1210"/>
      <c r="N5" s="3506">
        <v>0</v>
      </c>
      <c r="O5" s="3507"/>
      <c r="P5" s="3507"/>
      <c r="Q5" s="3507"/>
      <c r="R5" s="3508"/>
      <c r="S5" s="3509">
        <v>0</v>
      </c>
      <c r="T5" s="3507"/>
      <c r="U5" s="3507"/>
      <c r="V5" s="3507"/>
      <c r="W5" s="3508"/>
      <c r="X5" s="3509">
        <v>0</v>
      </c>
      <c r="Y5" s="3507"/>
      <c r="Z5" s="3507"/>
      <c r="AA5" s="3507"/>
      <c r="AB5" s="3508"/>
      <c r="AC5" s="3509">
        <v>0</v>
      </c>
      <c r="AD5" s="3507"/>
      <c r="AE5" s="3507"/>
      <c r="AF5" s="3507"/>
      <c r="AG5" s="3508"/>
      <c r="AH5" s="3509">
        <v>0</v>
      </c>
      <c r="AI5" s="3507"/>
      <c r="AJ5" s="3507"/>
      <c r="AK5" s="3507"/>
      <c r="AL5" s="3510"/>
      <c r="AM5" s="599"/>
      <c r="AN5" s="599"/>
      <c r="AO5" s="599"/>
      <c r="AP5" s="599"/>
      <c r="AQ5" s="599"/>
      <c r="AR5" s="599"/>
      <c r="AS5" s="599"/>
      <c r="AT5" s="599"/>
      <c r="AU5" s="599"/>
      <c r="AV5" s="599"/>
      <c r="AW5" s="599"/>
      <c r="AX5" s="599"/>
      <c r="AY5" s="599"/>
      <c r="AZ5" s="599"/>
      <c r="BA5" s="599"/>
      <c r="BB5" s="599"/>
      <c r="BC5" s="599"/>
      <c r="BD5" s="599"/>
      <c r="BE5" s="599"/>
      <c r="BF5" s="599"/>
      <c r="BG5" s="599"/>
      <c r="BH5" s="599"/>
      <c r="BI5" s="599"/>
    </row>
    <row r="6" spans="1:61" s="102" customFormat="1" ht="30" customHeight="1">
      <c r="A6" s="599"/>
      <c r="B6" s="599"/>
      <c r="C6" s="1211" t="s">
        <v>48</v>
      </c>
      <c r="D6" s="1212" t="s">
        <v>778</v>
      </c>
      <c r="E6" s="1212"/>
      <c r="F6" s="1212"/>
      <c r="G6" s="1212"/>
      <c r="H6" s="1212"/>
      <c r="I6" s="1212"/>
      <c r="J6" s="1212"/>
      <c r="K6" s="1212"/>
      <c r="L6" s="1212"/>
      <c r="M6" s="1213"/>
      <c r="N6" s="3489">
        <v>2</v>
      </c>
      <c r="O6" s="3490"/>
      <c r="P6" s="3490"/>
      <c r="Q6" s="3490"/>
      <c r="R6" s="3491"/>
      <c r="S6" s="3492">
        <v>0</v>
      </c>
      <c r="T6" s="3490"/>
      <c r="U6" s="3490"/>
      <c r="V6" s="3490"/>
      <c r="W6" s="3491"/>
      <c r="X6" s="3492">
        <v>2</v>
      </c>
      <c r="Y6" s="3490"/>
      <c r="Z6" s="3490"/>
      <c r="AA6" s="3490"/>
      <c r="AB6" s="3491"/>
      <c r="AC6" s="3492">
        <v>0</v>
      </c>
      <c r="AD6" s="3490"/>
      <c r="AE6" s="3490"/>
      <c r="AF6" s="3490"/>
      <c r="AG6" s="3491"/>
      <c r="AH6" s="3492">
        <v>0</v>
      </c>
      <c r="AI6" s="3490"/>
      <c r="AJ6" s="3490"/>
      <c r="AK6" s="3490"/>
      <c r="AL6" s="3493"/>
      <c r="AM6" s="599"/>
      <c r="AN6" s="599"/>
      <c r="AO6" s="599"/>
      <c r="AP6" s="599"/>
      <c r="AQ6" s="599"/>
      <c r="AR6" s="599"/>
      <c r="AS6" s="599"/>
      <c r="AT6" s="599"/>
      <c r="AU6" s="599"/>
      <c r="AV6" s="599"/>
      <c r="AW6" s="599"/>
      <c r="AX6" s="599"/>
      <c r="AY6" s="599"/>
      <c r="AZ6" s="599"/>
      <c r="BA6" s="599"/>
      <c r="BB6" s="599"/>
      <c r="BC6" s="599"/>
      <c r="BD6" s="599"/>
      <c r="BE6" s="599"/>
      <c r="BF6" s="599"/>
      <c r="BG6" s="599"/>
      <c r="BH6" s="599"/>
      <c r="BI6" s="599"/>
    </row>
    <row r="7" spans="1:61" s="102" customFormat="1" ht="30" customHeight="1">
      <c r="A7" s="599"/>
      <c r="B7" s="599"/>
      <c r="C7" s="1211" t="s">
        <v>49</v>
      </c>
      <c r="D7" s="1212" t="s">
        <v>781</v>
      </c>
      <c r="E7" s="1212"/>
      <c r="F7" s="1212"/>
      <c r="G7" s="1212"/>
      <c r="H7" s="1212"/>
      <c r="I7" s="1212"/>
      <c r="J7" s="1212"/>
      <c r="K7" s="1212"/>
      <c r="L7" s="1212"/>
      <c r="M7" s="1214"/>
      <c r="N7" s="3489">
        <v>0</v>
      </c>
      <c r="O7" s="3490"/>
      <c r="P7" s="3490"/>
      <c r="Q7" s="3490"/>
      <c r="R7" s="3491"/>
      <c r="S7" s="3492">
        <v>0</v>
      </c>
      <c r="T7" s="3490"/>
      <c r="U7" s="3490"/>
      <c r="V7" s="3490"/>
      <c r="W7" s="3491"/>
      <c r="X7" s="3492">
        <v>0</v>
      </c>
      <c r="Y7" s="3490"/>
      <c r="Z7" s="3490"/>
      <c r="AA7" s="3490"/>
      <c r="AB7" s="3491"/>
      <c r="AC7" s="3492">
        <v>0</v>
      </c>
      <c r="AD7" s="3490"/>
      <c r="AE7" s="3490"/>
      <c r="AF7" s="3490"/>
      <c r="AG7" s="3491"/>
      <c r="AH7" s="3492">
        <v>0</v>
      </c>
      <c r="AI7" s="3490"/>
      <c r="AJ7" s="3490"/>
      <c r="AK7" s="3490"/>
      <c r="AL7" s="3493"/>
      <c r="AM7" s="599"/>
      <c r="AN7" s="599"/>
      <c r="AO7" s="599"/>
      <c r="AP7" s="599"/>
      <c r="AQ7" s="599"/>
      <c r="AR7" s="599"/>
      <c r="AS7" s="599"/>
      <c r="AT7" s="599"/>
      <c r="AU7" s="599"/>
      <c r="AV7" s="599"/>
      <c r="AW7" s="599"/>
      <c r="AX7" s="599"/>
      <c r="AY7" s="599"/>
      <c r="AZ7" s="599"/>
      <c r="BA7" s="599"/>
      <c r="BB7" s="599"/>
      <c r="BC7" s="599"/>
      <c r="BD7" s="599"/>
      <c r="BE7" s="599"/>
      <c r="BF7" s="599"/>
      <c r="BG7" s="599"/>
      <c r="BH7" s="599"/>
      <c r="BI7" s="599"/>
    </row>
    <row r="8" spans="1:61" s="102" customFormat="1" ht="30" customHeight="1">
      <c r="A8" s="599"/>
      <c r="B8" s="599"/>
      <c r="C8" s="1211" t="s">
        <v>50</v>
      </c>
      <c r="D8" s="1212" t="s">
        <v>784</v>
      </c>
      <c r="E8" s="1212"/>
      <c r="F8" s="1212"/>
      <c r="G8" s="1212"/>
      <c r="H8" s="1212"/>
      <c r="I8" s="1212"/>
      <c r="J8" s="1212"/>
      <c r="K8" s="1212"/>
      <c r="L8" s="1212"/>
      <c r="M8" s="1214"/>
      <c r="N8" s="3489">
        <v>0</v>
      </c>
      <c r="O8" s="3490"/>
      <c r="P8" s="3490"/>
      <c r="Q8" s="3490"/>
      <c r="R8" s="3491"/>
      <c r="S8" s="3492">
        <v>0</v>
      </c>
      <c r="T8" s="3490"/>
      <c r="U8" s="3490"/>
      <c r="V8" s="3490"/>
      <c r="W8" s="3491"/>
      <c r="X8" s="3492">
        <v>0</v>
      </c>
      <c r="Y8" s="3490"/>
      <c r="Z8" s="3490"/>
      <c r="AA8" s="3490"/>
      <c r="AB8" s="3491"/>
      <c r="AC8" s="3492">
        <v>0</v>
      </c>
      <c r="AD8" s="3490"/>
      <c r="AE8" s="3490"/>
      <c r="AF8" s="3490"/>
      <c r="AG8" s="3491"/>
      <c r="AH8" s="3492">
        <v>0</v>
      </c>
      <c r="AI8" s="3490"/>
      <c r="AJ8" s="3490"/>
      <c r="AK8" s="3490"/>
      <c r="AL8" s="3493"/>
      <c r="AM8" s="599"/>
      <c r="AN8" s="599"/>
      <c r="AO8" s="599"/>
      <c r="AP8" s="599"/>
      <c r="AQ8" s="599"/>
      <c r="AR8" s="599"/>
      <c r="AS8" s="599"/>
      <c r="AT8" s="599"/>
      <c r="AU8" s="599"/>
      <c r="AV8" s="599"/>
      <c r="AW8" s="599"/>
      <c r="AX8" s="599"/>
      <c r="AY8" s="599"/>
      <c r="AZ8" s="599"/>
      <c r="BA8" s="599"/>
      <c r="BB8" s="599"/>
      <c r="BC8" s="599"/>
      <c r="BD8" s="599"/>
      <c r="BE8" s="599"/>
      <c r="BF8" s="599"/>
      <c r="BG8" s="599"/>
      <c r="BH8" s="599"/>
      <c r="BI8" s="599"/>
    </row>
    <row r="9" spans="1:61" s="102" customFormat="1" ht="30" customHeight="1">
      <c r="A9" s="599"/>
      <c r="B9" s="599"/>
      <c r="C9" s="1211" t="s">
        <v>51</v>
      </c>
      <c r="D9" s="1212" t="s">
        <v>787</v>
      </c>
      <c r="E9" s="1212"/>
      <c r="F9" s="1212"/>
      <c r="G9" s="1212"/>
      <c r="H9" s="1212"/>
      <c r="I9" s="1212"/>
      <c r="J9" s="1212"/>
      <c r="K9" s="1212"/>
      <c r="L9" s="1212"/>
      <c r="M9" s="1214"/>
      <c r="N9" s="3489">
        <v>0</v>
      </c>
      <c r="O9" s="3490"/>
      <c r="P9" s="3490"/>
      <c r="Q9" s="3490"/>
      <c r="R9" s="3491"/>
      <c r="S9" s="3492">
        <v>0</v>
      </c>
      <c r="T9" s="3490"/>
      <c r="U9" s="3490"/>
      <c r="V9" s="3490"/>
      <c r="W9" s="3491"/>
      <c r="X9" s="3492">
        <v>0</v>
      </c>
      <c r="Y9" s="3490"/>
      <c r="Z9" s="3490"/>
      <c r="AA9" s="3490"/>
      <c r="AB9" s="3491"/>
      <c r="AC9" s="3492">
        <v>0</v>
      </c>
      <c r="AD9" s="3490"/>
      <c r="AE9" s="3490"/>
      <c r="AF9" s="3490"/>
      <c r="AG9" s="3491"/>
      <c r="AH9" s="3492">
        <v>0</v>
      </c>
      <c r="AI9" s="3490"/>
      <c r="AJ9" s="3490"/>
      <c r="AK9" s="3490"/>
      <c r="AL9" s="3493"/>
      <c r="AM9" s="599"/>
      <c r="AN9" s="599"/>
      <c r="AO9" s="599"/>
      <c r="AP9" s="599"/>
      <c r="AQ9" s="599"/>
      <c r="AR9" s="599"/>
      <c r="AS9" s="599"/>
      <c r="AT9" s="599"/>
      <c r="AU9" s="599"/>
      <c r="AV9" s="599"/>
      <c r="AW9" s="599"/>
      <c r="AX9" s="599"/>
      <c r="AY9" s="599"/>
      <c r="AZ9" s="599"/>
      <c r="BA9" s="599"/>
      <c r="BB9" s="599"/>
      <c r="BC9" s="599"/>
      <c r="BD9" s="599"/>
      <c r="BE9" s="599"/>
      <c r="BF9" s="599"/>
      <c r="BG9" s="599"/>
      <c r="BH9" s="599"/>
      <c r="BI9" s="599"/>
    </row>
    <row r="10" spans="1:61" s="11" customFormat="1" ht="30" customHeight="1">
      <c r="A10" s="430"/>
      <c r="B10" s="430"/>
      <c r="C10" s="1211" t="s">
        <v>52</v>
      </c>
      <c r="D10" s="1212" t="s">
        <v>790</v>
      </c>
      <c r="E10" s="1212"/>
      <c r="F10" s="1212"/>
      <c r="G10" s="1212"/>
      <c r="H10" s="1212"/>
      <c r="I10" s="1212"/>
      <c r="J10" s="1212"/>
      <c r="K10" s="1212"/>
      <c r="L10" s="1212"/>
      <c r="M10" s="1214"/>
      <c r="N10" s="3489">
        <v>0</v>
      </c>
      <c r="O10" s="3490"/>
      <c r="P10" s="3490"/>
      <c r="Q10" s="3490"/>
      <c r="R10" s="3491"/>
      <c r="S10" s="3492">
        <v>0</v>
      </c>
      <c r="T10" s="3490"/>
      <c r="U10" s="3490"/>
      <c r="V10" s="3490"/>
      <c r="W10" s="3491"/>
      <c r="X10" s="3492">
        <v>0</v>
      </c>
      <c r="Y10" s="3490"/>
      <c r="Z10" s="3490"/>
      <c r="AA10" s="3490"/>
      <c r="AB10" s="3491"/>
      <c r="AC10" s="3492">
        <v>0</v>
      </c>
      <c r="AD10" s="3490"/>
      <c r="AE10" s="3490"/>
      <c r="AF10" s="3490"/>
      <c r="AG10" s="3491"/>
      <c r="AH10" s="3492">
        <v>0</v>
      </c>
      <c r="AI10" s="3490"/>
      <c r="AJ10" s="3490"/>
      <c r="AK10" s="3490"/>
      <c r="AL10" s="3493"/>
      <c r="AM10" s="430"/>
      <c r="AN10" s="430"/>
      <c r="AO10" s="430"/>
      <c r="AP10" s="430"/>
      <c r="AQ10" s="430"/>
      <c r="AR10" s="430"/>
      <c r="AS10" s="430"/>
      <c r="AT10" s="430"/>
      <c r="AU10" s="430"/>
      <c r="AV10" s="430"/>
      <c r="AW10" s="430"/>
      <c r="AX10" s="430"/>
      <c r="AY10" s="430"/>
      <c r="AZ10" s="430"/>
      <c r="BA10" s="430"/>
      <c r="BB10" s="430"/>
      <c r="BC10" s="430"/>
      <c r="BD10" s="430"/>
      <c r="BE10" s="430"/>
      <c r="BF10" s="430"/>
      <c r="BG10" s="430"/>
      <c r="BH10" s="430"/>
      <c r="BI10" s="430"/>
    </row>
    <row r="11" spans="1:61" s="102" customFormat="1" ht="30" customHeight="1">
      <c r="A11" s="599"/>
      <c r="B11" s="599"/>
      <c r="C11" s="1211" t="s">
        <v>53</v>
      </c>
      <c r="D11" s="1212" t="s">
        <v>793</v>
      </c>
      <c r="E11" s="1212"/>
      <c r="F11" s="1212"/>
      <c r="G11" s="1212"/>
      <c r="H11" s="1212"/>
      <c r="I11" s="1212"/>
      <c r="J11" s="1212"/>
      <c r="K11" s="1212"/>
      <c r="L11" s="1212"/>
      <c r="M11" s="1214"/>
      <c r="N11" s="3489">
        <v>0</v>
      </c>
      <c r="O11" s="3490"/>
      <c r="P11" s="3490"/>
      <c r="Q11" s="3490"/>
      <c r="R11" s="3491"/>
      <c r="S11" s="3492">
        <v>0</v>
      </c>
      <c r="T11" s="3490"/>
      <c r="U11" s="3490"/>
      <c r="V11" s="3490"/>
      <c r="W11" s="3491"/>
      <c r="X11" s="3492">
        <v>0</v>
      </c>
      <c r="Y11" s="3490"/>
      <c r="Z11" s="3490"/>
      <c r="AA11" s="3490"/>
      <c r="AB11" s="3491"/>
      <c r="AC11" s="3492">
        <v>0</v>
      </c>
      <c r="AD11" s="3490"/>
      <c r="AE11" s="3490"/>
      <c r="AF11" s="3490"/>
      <c r="AG11" s="3491"/>
      <c r="AH11" s="3492">
        <v>0</v>
      </c>
      <c r="AI11" s="3490"/>
      <c r="AJ11" s="3490"/>
      <c r="AK11" s="3490"/>
      <c r="AL11" s="3493"/>
      <c r="AM11" s="599"/>
      <c r="AN11" s="599"/>
      <c r="AO11" s="599"/>
      <c r="AP11" s="599"/>
      <c r="AQ11" s="599"/>
      <c r="AR11" s="599"/>
      <c r="AS11" s="599"/>
      <c r="AT11" s="599"/>
      <c r="AU11" s="599"/>
      <c r="AV11" s="599"/>
      <c r="AW11" s="599"/>
      <c r="AX11" s="599"/>
      <c r="AY11" s="599"/>
      <c r="AZ11" s="599"/>
      <c r="BA11" s="599"/>
      <c r="BB11" s="599"/>
      <c r="BC11" s="599"/>
      <c r="BD11" s="599"/>
      <c r="BE11" s="599"/>
      <c r="BF11" s="599"/>
      <c r="BG11" s="599"/>
      <c r="BH11" s="599"/>
      <c r="BI11" s="599"/>
    </row>
    <row r="12" spans="1:61" s="102" customFormat="1" ht="30" customHeight="1">
      <c r="A12" s="599"/>
      <c r="B12" s="599"/>
      <c r="C12" s="1211" t="s">
        <v>54</v>
      </c>
      <c r="D12" s="1215" t="s">
        <v>796</v>
      </c>
      <c r="E12" s="1215"/>
      <c r="F12" s="1215"/>
      <c r="G12" s="1215"/>
      <c r="H12" s="1215"/>
      <c r="I12" s="1215"/>
      <c r="J12" s="1215"/>
      <c r="K12" s="1215"/>
      <c r="L12" s="1215"/>
      <c r="M12" s="1216"/>
      <c r="N12" s="3489">
        <v>0</v>
      </c>
      <c r="O12" s="3490"/>
      <c r="P12" s="3490"/>
      <c r="Q12" s="3490"/>
      <c r="R12" s="3491"/>
      <c r="S12" s="3492">
        <v>0</v>
      </c>
      <c r="T12" s="3490"/>
      <c r="U12" s="3490"/>
      <c r="V12" s="3490"/>
      <c r="W12" s="3491"/>
      <c r="X12" s="3492">
        <v>0</v>
      </c>
      <c r="Y12" s="3490"/>
      <c r="Z12" s="3490"/>
      <c r="AA12" s="3490"/>
      <c r="AB12" s="3491"/>
      <c r="AC12" s="3492">
        <v>0</v>
      </c>
      <c r="AD12" s="3490"/>
      <c r="AE12" s="3490"/>
      <c r="AF12" s="3490"/>
      <c r="AG12" s="3491"/>
      <c r="AH12" s="3492">
        <v>0</v>
      </c>
      <c r="AI12" s="3490"/>
      <c r="AJ12" s="3490"/>
      <c r="AK12" s="3490"/>
      <c r="AL12" s="3493"/>
      <c r="AM12" s="599"/>
      <c r="AN12" s="599"/>
      <c r="AO12" s="599"/>
      <c r="AP12" s="599"/>
      <c r="AQ12" s="599"/>
      <c r="AR12" s="599"/>
      <c r="AS12" s="599"/>
      <c r="AT12" s="599"/>
      <c r="AU12" s="599"/>
      <c r="AV12" s="599"/>
      <c r="AW12" s="599"/>
      <c r="AX12" s="599"/>
      <c r="AY12" s="599"/>
      <c r="AZ12" s="599"/>
      <c r="BA12" s="599"/>
      <c r="BB12" s="599"/>
      <c r="BC12" s="599"/>
      <c r="BD12" s="599"/>
      <c r="BE12" s="599"/>
      <c r="BF12" s="599"/>
      <c r="BG12" s="599"/>
      <c r="BH12" s="599"/>
      <c r="BI12" s="599"/>
    </row>
    <row r="13" spans="1:61" s="102" customFormat="1" ht="30" customHeight="1">
      <c r="A13" s="599"/>
      <c r="B13" s="599"/>
      <c r="C13" s="1211" t="s">
        <v>55</v>
      </c>
      <c r="D13" s="1212" t="s">
        <v>799</v>
      </c>
      <c r="E13" s="1212"/>
      <c r="F13" s="1212"/>
      <c r="G13" s="1212"/>
      <c r="H13" s="1212"/>
      <c r="I13" s="1212"/>
      <c r="J13" s="1212"/>
      <c r="K13" s="1212"/>
      <c r="L13" s="1212"/>
      <c r="M13" s="1214"/>
      <c r="N13" s="3489">
        <v>0</v>
      </c>
      <c r="O13" s="3490"/>
      <c r="P13" s="3490"/>
      <c r="Q13" s="3490"/>
      <c r="R13" s="3491"/>
      <c r="S13" s="3492">
        <v>0</v>
      </c>
      <c r="T13" s="3490"/>
      <c r="U13" s="3490"/>
      <c r="V13" s="3490"/>
      <c r="W13" s="3491"/>
      <c r="X13" s="3492">
        <v>0</v>
      </c>
      <c r="Y13" s="3490"/>
      <c r="Z13" s="3490"/>
      <c r="AA13" s="3490"/>
      <c r="AB13" s="3491"/>
      <c r="AC13" s="3492">
        <v>0</v>
      </c>
      <c r="AD13" s="3490"/>
      <c r="AE13" s="3490"/>
      <c r="AF13" s="3490"/>
      <c r="AG13" s="3491"/>
      <c r="AH13" s="3492">
        <v>0</v>
      </c>
      <c r="AI13" s="3490"/>
      <c r="AJ13" s="3490"/>
      <c r="AK13" s="3490"/>
      <c r="AL13" s="3493"/>
      <c r="AM13" s="599"/>
      <c r="AN13" s="599"/>
      <c r="AO13" s="599"/>
      <c r="AP13" s="599"/>
      <c r="AQ13" s="599"/>
      <c r="AR13" s="599"/>
      <c r="AS13" s="599"/>
      <c r="AT13" s="599"/>
      <c r="AU13" s="599"/>
      <c r="AV13" s="599"/>
      <c r="AW13" s="599"/>
      <c r="AX13" s="599"/>
      <c r="AY13" s="599"/>
      <c r="AZ13" s="599"/>
      <c r="BA13" s="599"/>
      <c r="BB13" s="599"/>
      <c r="BC13" s="599"/>
      <c r="BD13" s="599"/>
      <c r="BE13" s="599"/>
      <c r="BF13" s="599"/>
      <c r="BG13" s="599"/>
      <c r="BH13" s="599"/>
      <c r="BI13" s="599"/>
    </row>
    <row r="14" spans="1:61" s="102" customFormat="1" ht="30" customHeight="1">
      <c r="A14" s="599"/>
      <c r="B14" s="599"/>
      <c r="C14" s="1211" t="s">
        <v>56</v>
      </c>
      <c r="D14" s="1215" t="s">
        <v>802</v>
      </c>
      <c r="E14" s="1215"/>
      <c r="F14" s="1215"/>
      <c r="G14" s="1215"/>
      <c r="H14" s="1215"/>
      <c r="I14" s="1215"/>
      <c r="J14" s="1215"/>
      <c r="K14" s="1215"/>
      <c r="L14" s="1215"/>
      <c r="M14" s="1216"/>
      <c r="N14" s="3489">
        <v>0</v>
      </c>
      <c r="O14" s="3490"/>
      <c r="P14" s="3490"/>
      <c r="Q14" s="3490"/>
      <c r="R14" s="3491"/>
      <c r="S14" s="3492">
        <v>0</v>
      </c>
      <c r="T14" s="3490"/>
      <c r="U14" s="3490"/>
      <c r="V14" s="3490"/>
      <c r="W14" s="3491"/>
      <c r="X14" s="3492">
        <v>0</v>
      </c>
      <c r="Y14" s="3490"/>
      <c r="Z14" s="3490"/>
      <c r="AA14" s="3490"/>
      <c r="AB14" s="3491"/>
      <c r="AC14" s="3492">
        <v>0</v>
      </c>
      <c r="AD14" s="3490"/>
      <c r="AE14" s="3490"/>
      <c r="AF14" s="3490"/>
      <c r="AG14" s="3491"/>
      <c r="AH14" s="3492">
        <v>0</v>
      </c>
      <c r="AI14" s="3490"/>
      <c r="AJ14" s="3490"/>
      <c r="AK14" s="3490"/>
      <c r="AL14" s="3493"/>
      <c r="AM14" s="599"/>
      <c r="AN14" s="599"/>
      <c r="AO14" s="599"/>
      <c r="AP14" s="599"/>
      <c r="AQ14" s="599"/>
      <c r="AR14" s="599"/>
      <c r="AS14" s="599"/>
      <c r="AT14" s="599"/>
      <c r="AU14" s="599"/>
      <c r="AV14" s="599"/>
      <c r="AW14" s="599"/>
      <c r="AX14" s="599"/>
      <c r="AY14" s="599"/>
      <c r="AZ14" s="599"/>
      <c r="BA14" s="599"/>
      <c r="BB14" s="599"/>
      <c r="BC14" s="599"/>
      <c r="BD14" s="599"/>
      <c r="BE14" s="599"/>
      <c r="BF14" s="599"/>
      <c r="BG14" s="599"/>
      <c r="BH14" s="599"/>
      <c r="BI14" s="599"/>
    </row>
    <row r="15" spans="1:61" s="102" customFormat="1" ht="30" customHeight="1">
      <c r="A15" s="599"/>
      <c r="B15" s="599"/>
      <c r="C15" s="1211" t="s">
        <v>57</v>
      </c>
      <c r="D15" s="1215" t="s">
        <v>805</v>
      </c>
      <c r="E15" s="1215"/>
      <c r="F15" s="1215"/>
      <c r="G15" s="1215"/>
      <c r="H15" s="1215"/>
      <c r="I15" s="1215"/>
      <c r="J15" s="1215"/>
      <c r="K15" s="1215"/>
      <c r="L15" s="1215"/>
      <c r="M15" s="1216"/>
      <c r="N15" s="3489">
        <v>0</v>
      </c>
      <c r="O15" s="3490"/>
      <c r="P15" s="3490"/>
      <c r="Q15" s="3490"/>
      <c r="R15" s="3491"/>
      <c r="S15" s="3492">
        <v>0</v>
      </c>
      <c r="T15" s="3490"/>
      <c r="U15" s="3490"/>
      <c r="V15" s="3490"/>
      <c r="W15" s="3491"/>
      <c r="X15" s="3492">
        <v>2</v>
      </c>
      <c r="Y15" s="3490"/>
      <c r="Z15" s="3490"/>
      <c r="AA15" s="3490"/>
      <c r="AB15" s="3491"/>
      <c r="AC15" s="3492">
        <v>0</v>
      </c>
      <c r="AD15" s="3490"/>
      <c r="AE15" s="3490"/>
      <c r="AF15" s="3490"/>
      <c r="AG15" s="3491"/>
      <c r="AH15" s="3492">
        <v>0</v>
      </c>
      <c r="AI15" s="3490"/>
      <c r="AJ15" s="3490"/>
      <c r="AK15" s="3490"/>
      <c r="AL15" s="3493"/>
      <c r="AM15" s="599"/>
      <c r="AN15" s="599"/>
      <c r="AO15" s="599"/>
      <c r="AP15" s="599"/>
      <c r="AQ15" s="599"/>
      <c r="AR15" s="599"/>
      <c r="AS15" s="599"/>
      <c r="AT15" s="599"/>
      <c r="AU15" s="599"/>
      <c r="AV15" s="599"/>
      <c r="AW15" s="599"/>
      <c r="AX15" s="599"/>
      <c r="AY15" s="599"/>
      <c r="AZ15" s="599"/>
      <c r="BA15" s="599"/>
      <c r="BB15" s="599"/>
      <c r="BC15" s="599"/>
      <c r="BD15" s="599"/>
      <c r="BE15" s="599"/>
      <c r="BF15" s="599"/>
      <c r="BG15" s="599"/>
      <c r="BH15" s="599"/>
      <c r="BI15" s="599"/>
    </row>
    <row r="16" spans="1:61" s="102" customFormat="1" ht="30" customHeight="1">
      <c r="A16" s="599"/>
      <c r="B16" s="599"/>
      <c r="C16" s="1211" t="s">
        <v>752</v>
      </c>
      <c r="D16" s="1215" t="s">
        <v>808</v>
      </c>
      <c r="E16" s="1215"/>
      <c r="F16" s="1215"/>
      <c r="G16" s="1215"/>
      <c r="H16" s="1215"/>
      <c r="I16" s="1215"/>
      <c r="J16" s="1215"/>
      <c r="K16" s="1215"/>
      <c r="L16" s="1215"/>
      <c r="M16" s="1216"/>
      <c r="N16" s="3489">
        <v>0</v>
      </c>
      <c r="O16" s="3490"/>
      <c r="P16" s="3490"/>
      <c r="Q16" s="3490"/>
      <c r="R16" s="3491"/>
      <c r="S16" s="3492">
        <v>0</v>
      </c>
      <c r="T16" s="3490"/>
      <c r="U16" s="3490"/>
      <c r="V16" s="3490"/>
      <c r="W16" s="3491"/>
      <c r="X16" s="3492">
        <v>0</v>
      </c>
      <c r="Y16" s="3490"/>
      <c r="Z16" s="3490"/>
      <c r="AA16" s="3490"/>
      <c r="AB16" s="3491"/>
      <c r="AC16" s="3492">
        <v>0</v>
      </c>
      <c r="AD16" s="3490"/>
      <c r="AE16" s="3490"/>
      <c r="AF16" s="3490"/>
      <c r="AG16" s="3491"/>
      <c r="AH16" s="3492">
        <v>0</v>
      </c>
      <c r="AI16" s="3490"/>
      <c r="AJ16" s="3490"/>
      <c r="AK16" s="3490"/>
      <c r="AL16" s="3493"/>
      <c r="AM16" s="599"/>
      <c r="AN16" s="599"/>
      <c r="AO16" s="599"/>
      <c r="AP16" s="599"/>
      <c r="AQ16" s="599"/>
      <c r="AR16" s="599"/>
      <c r="AS16" s="599"/>
      <c r="AT16" s="599"/>
      <c r="AU16" s="599"/>
      <c r="AV16" s="599"/>
      <c r="AW16" s="599"/>
      <c r="AX16" s="599"/>
      <c r="AY16" s="599"/>
      <c r="AZ16" s="599"/>
      <c r="BA16" s="599"/>
      <c r="BB16" s="599"/>
      <c r="BC16" s="599"/>
      <c r="BD16" s="599"/>
      <c r="BE16" s="599"/>
      <c r="BF16" s="599"/>
      <c r="BG16" s="599"/>
      <c r="BH16" s="599"/>
      <c r="BI16" s="599"/>
    </row>
    <row r="17" spans="1:61" s="102" customFormat="1" ht="30" customHeight="1">
      <c r="A17" s="599"/>
      <c r="B17" s="599"/>
      <c r="C17" s="1211" t="s">
        <v>811</v>
      </c>
      <c r="D17" s="1212" t="s">
        <v>812</v>
      </c>
      <c r="E17" s="1212"/>
      <c r="F17" s="1212"/>
      <c r="G17" s="1212"/>
      <c r="H17" s="1212"/>
      <c r="I17" s="1212"/>
      <c r="J17" s="1212"/>
      <c r="K17" s="1212"/>
      <c r="L17" s="1212"/>
      <c r="M17" s="1214"/>
      <c r="N17" s="3489">
        <v>0</v>
      </c>
      <c r="O17" s="3490"/>
      <c r="P17" s="3490"/>
      <c r="Q17" s="3490"/>
      <c r="R17" s="3491"/>
      <c r="S17" s="3492">
        <v>0</v>
      </c>
      <c r="T17" s="3490"/>
      <c r="U17" s="3490"/>
      <c r="V17" s="3490"/>
      <c r="W17" s="3491"/>
      <c r="X17" s="3492">
        <v>0</v>
      </c>
      <c r="Y17" s="3490"/>
      <c r="Z17" s="3490"/>
      <c r="AA17" s="3490"/>
      <c r="AB17" s="3491"/>
      <c r="AC17" s="3492">
        <v>0</v>
      </c>
      <c r="AD17" s="3490"/>
      <c r="AE17" s="3490"/>
      <c r="AF17" s="3490"/>
      <c r="AG17" s="3491"/>
      <c r="AH17" s="3492">
        <v>0</v>
      </c>
      <c r="AI17" s="3490"/>
      <c r="AJ17" s="3490"/>
      <c r="AK17" s="3490"/>
      <c r="AL17" s="3493"/>
      <c r="AM17" s="599"/>
      <c r="AN17" s="599"/>
      <c r="AO17" s="599"/>
      <c r="AP17" s="599"/>
      <c r="AQ17" s="599"/>
      <c r="AR17" s="599"/>
      <c r="AS17" s="599"/>
      <c r="AT17" s="599"/>
      <c r="AU17" s="599"/>
      <c r="AV17" s="599"/>
      <c r="AW17" s="599"/>
      <c r="AX17" s="599"/>
      <c r="AY17" s="599"/>
      <c r="AZ17" s="599"/>
      <c r="BA17" s="599"/>
      <c r="BB17" s="599"/>
      <c r="BC17" s="599"/>
      <c r="BD17" s="599"/>
      <c r="BE17" s="599"/>
      <c r="BF17" s="599"/>
      <c r="BG17" s="599"/>
      <c r="BH17" s="599"/>
      <c r="BI17" s="599"/>
    </row>
    <row r="18" spans="1:61" s="102" customFormat="1" ht="30" customHeight="1">
      <c r="A18" s="599"/>
      <c r="B18" s="599"/>
      <c r="C18" s="1211" t="s">
        <v>815</v>
      </c>
      <c r="D18" s="1215" t="s">
        <v>816</v>
      </c>
      <c r="E18" s="1215"/>
      <c r="F18" s="1215"/>
      <c r="G18" s="1215"/>
      <c r="H18" s="1215"/>
      <c r="I18" s="1215"/>
      <c r="J18" s="1215"/>
      <c r="K18" s="1215"/>
      <c r="L18" s="1215"/>
      <c r="M18" s="1216"/>
      <c r="N18" s="3489">
        <v>0</v>
      </c>
      <c r="O18" s="3490"/>
      <c r="P18" s="3490"/>
      <c r="Q18" s="3490"/>
      <c r="R18" s="3491"/>
      <c r="S18" s="3492">
        <v>0</v>
      </c>
      <c r="T18" s="3490"/>
      <c r="U18" s="3490"/>
      <c r="V18" s="3490"/>
      <c r="W18" s="3491"/>
      <c r="X18" s="3492">
        <v>0</v>
      </c>
      <c r="Y18" s="3490"/>
      <c r="Z18" s="3490"/>
      <c r="AA18" s="3490"/>
      <c r="AB18" s="3491"/>
      <c r="AC18" s="3492">
        <v>0</v>
      </c>
      <c r="AD18" s="3490"/>
      <c r="AE18" s="3490"/>
      <c r="AF18" s="3490"/>
      <c r="AG18" s="3491"/>
      <c r="AH18" s="3492">
        <v>0</v>
      </c>
      <c r="AI18" s="3490"/>
      <c r="AJ18" s="3490"/>
      <c r="AK18" s="3490"/>
      <c r="AL18" s="3493"/>
      <c r="AM18" s="599"/>
      <c r="AN18" s="599"/>
      <c r="AO18" s="599"/>
      <c r="AP18" s="599"/>
      <c r="AQ18" s="599"/>
      <c r="AR18" s="599"/>
      <c r="AS18" s="599"/>
      <c r="AT18" s="599"/>
      <c r="AU18" s="599"/>
      <c r="AV18" s="599"/>
      <c r="AW18" s="599"/>
      <c r="AX18" s="599"/>
      <c r="AY18" s="599"/>
      <c r="AZ18" s="599"/>
      <c r="BA18" s="599"/>
      <c r="BB18" s="599"/>
      <c r="BC18" s="599"/>
      <c r="BD18" s="599"/>
      <c r="BE18" s="599"/>
      <c r="BF18" s="599"/>
      <c r="BG18" s="599"/>
      <c r="BH18" s="599"/>
      <c r="BI18" s="599"/>
    </row>
    <row r="19" spans="1:61" s="102" customFormat="1" ht="30" customHeight="1">
      <c r="A19" s="599"/>
      <c r="B19" s="599"/>
      <c r="C19" s="1217" t="s">
        <v>819</v>
      </c>
      <c r="D19" s="1215" t="s">
        <v>820</v>
      </c>
      <c r="E19" s="1215"/>
      <c r="F19" s="1215"/>
      <c r="G19" s="1215"/>
      <c r="H19" s="1215"/>
      <c r="I19" s="1215"/>
      <c r="J19" s="1215"/>
      <c r="K19" s="1215"/>
      <c r="L19" s="1215"/>
      <c r="M19" s="1216"/>
      <c r="N19" s="3489">
        <v>0</v>
      </c>
      <c r="O19" s="3490"/>
      <c r="P19" s="3490"/>
      <c r="Q19" s="3490"/>
      <c r="R19" s="3491"/>
      <c r="S19" s="3492">
        <v>0</v>
      </c>
      <c r="T19" s="3490"/>
      <c r="U19" s="3490"/>
      <c r="V19" s="3490"/>
      <c r="W19" s="3491"/>
      <c r="X19" s="3492">
        <v>0</v>
      </c>
      <c r="Y19" s="3490"/>
      <c r="Z19" s="3490"/>
      <c r="AA19" s="3490"/>
      <c r="AB19" s="3491"/>
      <c r="AC19" s="3492">
        <v>0</v>
      </c>
      <c r="AD19" s="3490"/>
      <c r="AE19" s="3490"/>
      <c r="AF19" s="3490"/>
      <c r="AG19" s="3491"/>
      <c r="AH19" s="3492">
        <v>0</v>
      </c>
      <c r="AI19" s="3490"/>
      <c r="AJ19" s="3490"/>
      <c r="AK19" s="3490"/>
      <c r="AL19" s="3493"/>
      <c r="AM19" s="599"/>
      <c r="AN19" s="599"/>
      <c r="AO19" s="599"/>
      <c r="AP19" s="599"/>
      <c r="AQ19" s="599"/>
      <c r="AR19" s="599"/>
      <c r="AS19" s="599"/>
      <c r="AT19" s="599"/>
      <c r="AU19" s="599"/>
      <c r="AV19" s="599"/>
      <c r="AW19" s="599"/>
      <c r="AX19" s="599"/>
      <c r="AY19" s="599"/>
      <c r="AZ19" s="599"/>
      <c r="BA19" s="599"/>
      <c r="BB19" s="599"/>
      <c r="BC19" s="599"/>
      <c r="BD19" s="599"/>
      <c r="BE19" s="599"/>
      <c r="BF19" s="599"/>
      <c r="BG19" s="599"/>
      <c r="BH19" s="599"/>
      <c r="BI19" s="599"/>
    </row>
    <row r="20" spans="1:61" s="102" customFormat="1" ht="30" customHeight="1">
      <c r="A20" s="599"/>
      <c r="B20" s="599"/>
      <c r="C20" s="1211" t="s">
        <v>776</v>
      </c>
      <c r="D20" s="1212" t="s">
        <v>1188</v>
      </c>
      <c r="E20" s="1212"/>
      <c r="F20" s="1212"/>
      <c r="G20" s="1212"/>
      <c r="H20" s="1212"/>
      <c r="I20" s="1212"/>
      <c r="J20" s="1212"/>
      <c r="K20" s="1212"/>
      <c r="L20" s="1212"/>
      <c r="M20" s="1213"/>
      <c r="N20" s="3489">
        <v>0</v>
      </c>
      <c r="O20" s="3490"/>
      <c r="P20" s="3490"/>
      <c r="Q20" s="3490"/>
      <c r="R20" s="3491"/>
      <c r="S20" s="3492">
        <v>0</v>
      </c>
      <c r="T20" s="3490"/>
      <c r="U20" s="3490"/>
      <c r="V20" s="3490"/>
      <c r="W20" s="3491"/>
      <c r="X20" s="3492">
        <v>0</v>
      </c>
      <c r="Y20" s="3490"/>
      <c r="Z20" s="3490"/>
      <c r="AA20" s="3490"/>
      <c r="AB20" s="3491"/>
      <c r="AC20" s="3492">
        <v>0</v>
      </c>
      <c r="AD20" s="3490"/>
      <c r="AE20" s="3490"/>
      <c r="AF20" s="3490"/>
      <c r="AG20" s="3491"/>
      <c r="AH20" s="3492">
        <v>0</v>
      </c>
      <c r="AI20" s="3490"/>
      <c r="AJ20" s="3490"/>
      <c r="AK20" s="3490"/>
      <c r="AL20" s="3493"/>
      <c r="AM20" s="599"/>
      <c r="AN20" s="599"/>
      <c r="AO20" s="599"/>
      <c r="AP20" s="599"/>
      <c r="AQ20" s="599"/>
      <c r="AR20" s="599"/>
      <c r="AS20" s="599"/>
      <c r="AT20" s="599"/>
      <c r="AU20" s="599"/>
      <c r="AV20" s="599"/>
      <c r="AW20" s="599"/>
      <c r="AX20" s="599"/>
      <c r="AY20" s="599"/>
      <c r="AZ20" s="599"/>
      <c r="BA20" s="599"/>
      <c r="BB20" s="599"/>
      <c r="BC20" s="599"/>
      <c r="BD20" s="599"/>
      <c r="BE20" s="599"/>
      <c r="BF20" s="599"/>
      <c r="BG20" s="599"/>
      <c r="BH20" s="599"/>
      <c r="BI20" s="599"/>
    </row>
    <row r="21" spans="1:61" s="102" customFormat="1" ht="30" customHeight="1">
      <c r="A21" s="599"/>
      <c r="B21" s="599"/>
      <c r="C21" s="1211" t="s">
        <v>779</v>
      </c>
      <c r="D21" s="1212" t="s">
        <v>780</v>
      </c>
      <c r="E21" s="1212"/>
      <c r="F21" s="1212"/>
      <c r="G21" s="1212"/>
      <c r="H21" s="1212"/>
      <c r="I21" s="1212"/>
      <c r="J21" s="1212"/>
      <c r="K21" s="1212"/>
      <c r="L21" s="1212"/>
      <c r="M21" s="1213"/>
      <c r="N21" s="3489">
        <v>0</v>
      </c>
      <c r="O21" s="3490"/>
      <c r="P21" s="3490"/>
      <c r="Q21" s="3490"/>
      <c r="R21" s="3491"/>
      <c r="S21" s="3492">
        <v>0</v>
      </c>
      <c r="T21" s="3490"/>
      <c r="U21" s="3490"/>
      <c r="V21" s="3490"/>
      <c r="W21" s="3491"/>
      <c r="X21" s="3492">
        <v>0</v>
      </c>
      <c r="Y21" s="3490"/>
      <c r="Z21" s="3490"/>
      <c r="AA21" s="3490"/>
      <c r="AB21" s="3491"/>
      <c r="AC21" s="3492">
        <v>0</v>
      </c>
      <c r="AD21" s="3490"/>
      <c r="AE21" s="3490"/>
      <c r="AF21" s="3490"/>
      <c r="AG21" s="3491"/>
      <c r="AH21" s="3492">
        <v>0</v>
      </c>
      <c r="AI21" s="3490"/>
      <c r="AJ21" s="3490"/>
      <c r="AK21" s="3490"/>
      <c r="AL21" s="3493"/>
      <c r="AM21" s="599"/>
      <c r="AN21" s="599"/>
      <c r="AO21" s="599"/>
      <c r="AP21" s="599"/>
      <c r="AQ21" s="599"/>
      <c r="AR21" s="599"/>
      <c r="AS21" s="599"/>
      <c r="AT21" s="599"/>
      <c r="AU21" s="599"/>
      <c r="AV21" s="599"/>
      <c r="AW21" s="599"/>
      <c r="AX21" s="599"/>
      <c r="AY21" s="599"/>
      <c r="AZ21" s="599"/>
      <c r="BA21" s="599"/>
      <c r="BB21" s="599"/>
      <c r="BC21" s="599"/>
      <c r="BD21" s="599"/>
      <c r="BE21" s="599"/>
      <c r="BF21" s="599"/>
      <c r="BG21" s="599"/>
      <c r="BH21" s="599"/>
      <c r="BI21" s="599"/>
    </row>
    <row r="22" spans="1:61" s="102" customFormat="1" ht="30" customHeight="1">
      <c r="A22" s="599"/>
      <c r="B22" s="599"/>
      <c r="C22" s="1211" t="s">
        <v>782</v>
      </c>
      <c r="D22" s="1212" t="s">
        <v>783</v>
      </c>
      <c r="E22" s="1212"/>
      <c r="F22" s="1212"/>
      <c r="G22" s="1212"/>
      <c r="H22" s="1212"/>
      <c r="I22" s="1212"/>
      <c r="J22" s="1212"/>
      <c r="K22" s="1212"/>
      <c r="L22" s="1212"/>
      <c r="M22" s="1214"/>
      <c r="N22" s="3489">
        <v>0</v>
      </c>
      <c r="O22" s="3490"/>
      <c r="P22" s="3490"/>
      <c r="Q22" s="3490"/>
      <c r="R22" s="3491"/>
      <c r="S22" s="3492">
        <v>0</v>
      </c>
      <c r="T22" s="3490"/>
      <c r="U22" s="3490"/>
      <c r="V22" s="3490"/>
      <c r="W22" s="3491"/>
      <c r="X22" s="3492">
        <v>0</v>
      </c>
      <c r="Y22" s="3490"/>
      <c r="Z22" s="3490"/>
      <c r="AA22" s="3490"/>
      <c r="AB22" s="3491"/>
      <c r="AC22" s="3492">
        <v>0</v>
      </c>
      <c r="AD22" s="3490"/>
      <c r="AE22" s="3490"/>
      <c r="AF22" s="3490"/>
      <c r="AG22" s="3491"/>
      <c r="AH22" s="3492">
        <v>0</v>
      </c>
      <c r="AI22" s="3490"/>
      <c r="AJ22" s="3490"/>
      <c r="AK22" s="3490"/>
      <c r="AL22" s="3493"/>
      <c r="AM22" s="599"/>
      <c r="AN22" s="599"/>
      <c r="AO22" s="599"/>
      <c r="AP22" s="599"/>
      <c r="AQ22" s="599"/>
      <c r="AR22" s="599"/>
      <c r="AS22" s="599"/>
      <c r="AT22" s="599"/>
      <c r="AU22" s="599"/>
      <c r="AV22" s="599"/>
      <c r="AW22" s="599"/>
      <c r="AX22" s="599"/>
      <c r="AY22" s="599"/>
      <c r="AZ22" s="599"/>
      <c r="BA22" s="599"/>
      <c r="BB22" s="599"/>
      <c r="BC22" s="599"/>
      <c r="BD22" s="599"/>
      <c r="BE22" s="599"/>
      <c r="BF22" s="599"/>
      <c r="BG22" s="599"/>
      <c r="BH22" s="599"/>
      <c r="BI22" s="599"/>
    </row>
    <row r="23" spans="1:61" s="102" customFormat="1" ht="30" customHeight="1">
      <c r="A23" s="599"/>
      <c r="B23" s="599"/>
      <c r="C23" s="1211" t="s">
        <v>785</v>
      </c>
      <c r="D23" s="1212" t="s">
        <v>786</v>
      </c>
      <c r="E23" s="1212"/>
      <c r="F23" s="1212"/>
      <c r="G23" s="1212"/>
      <c r="H23" s="1212"/>
      <c r="I23" s="1212"/>
      <c r="J23" s="1212"/>
      <c r="K23" s="1212"/>
      <c r="L23" s="1212"/>
      <c r="M23" s="1214"/>
      <c r="N23" s="3489">
        <v>2</v>
      </c>
      <c r="O23" s="3490"/>
      <c r="P23" s="3490"/>
      <c r="Q23" s="3490"/>
      <c r="R23" s="3491"/>
      <c r="S23" s="3492">
        <v>0</v>
      </c>
      <c r="T23" s="3490"/>
      <c r="U23" s="3490"/>
      <c r="V23" s="3490"/>
      <c r="W23" s="3491"/>
      <c r="X23" s="3492">
        <v>2</v>
      </c>
      <c r="Y23" s="3490"/>
      <c r="Z23" s="3490"/>
      <c r="AA23" s="3490"/>
      <c r="AB23" s="3491"/>
      <c r="AC23" s="3492">
        <v>0</v>
      </c>
      <c r="AD23" s="3490"/>
      <c r="AE23" s="3490"/>
      <c r="AF23" s="3490"/>
      <c r="AG23" s="3491"/>
      <c r="AH23" s="3492">
        <v>0</v>
      </c>
      <c r="AI23" s="3490"/>
      <c r="AJ23" s="3490"/>
      <c r="AK23" s="3490"/>
      <c r="AL23" s="3493"/>
      <c r="AM23" s="599"/>
      <c r="AN23" s="599"/>
      <c r="AO23" s="599"/>
      <c r="AP23" s="599"/>
      <c r="AQ23" s="599"/>
      <c r="AR23" s="599"/>
      <c r="AS23" s="599"/>
      <c r="AT23" s="599"/>
      <c r="AU23" s="599"/>
      <c r="AV23" s="599"/>
      <c r="AW23" s="599"/>
      <c r="AX23" s="599"/>
      <c r="AY23" s="599"/>
      <c r="AZ23" s="599"/>
      <c r="BA23" s="599"/>
      <c r="BB23" s="599"/>
      <c r="BC23" s="599"/>
      <c r="BD23" s="599"/>
      <c r="BE23" s="599"/>
      <c r="BF23" s="599"/>
      <c r="BG23" s="599"/>
      <c r="BH23" s="599"/>
      <c r="BI23" s="599"/>
    </row>
    <row r="24" spans="1:61" s="102" customFormat="1" ht="30" customHeight="1">
      <c r="A24" s="599"/>
      <c r="B24" s="599"/>
      <c r="C24" s="1211" t="s">
        <v>788</v>
      </c>
      <c r="D24" s="1212" t="s">
        <v>789</v>
      </c>
      <c r="E24" s="1212"/>
      <c r="F24" s="1212"/>
      <c r="G24" s="1212"/>
      <c r="H24" s="1212"/>
      <c r="I24" s="1212"/>
      <c r="J24" s="1212"/>
      <c r="K24" s="1212"/>
      <c r="L24" s="1212"/>
      <c r="M24" s="1214"/>
      <c r="N24" s="3489">
        <v>0</v>
      </c>
      <c r="O24" s="3490"/>
      <c r="P24" s="3490"/>
      <c r="Q24" s="3490"/>
      <c r="R24" s="3491"/>
      <c r="S24" s="3492">
        <v>0</v>
      </c>
      <c r="T24" s="3490"/>
      <c r="U24" s="3490"/>
      <c r="V24" s="3490"/>
      <c r="W24" s="3491"/>
      <c r="X24" s="3492">
        <v>0</v>
      </c>
      <c r="Y24" s="3490"/>
      <c r="Z24" s="3490"/>
      <c r="AA24" s="3490"/>
      <c r="AB24" s="3491"/>
      <c r="AC24" s="3492">
        <v>0</v>
      </c>
      <c r="AD24" s="3490"/>
      <c r="AE24" s="3490"/>
      <c r="AF24" s="3490"/>
      <c r="AG24" s="3491"/>
      <c r="AH24" s="3492">
        <v>0</v>
      </c>
      <c r="AI24" s="3490"/>
      <c r="AJ24" s="3490"/>
      <c r="AK24" s="3490"/>
      <c r="AL24" s="3493"/>
      <c r="AM24" s="599"/>
      <c r="AN24" s="599"/>
      <c r="AO24" s="599"/>
      <c r="AP24" s="599"/>
      <c r="AQ24" s="599"/>
      <c r="AR24" s="599"/>
      <c r="AS24" s="599"/>
      <c r="AT24" s="599"/>
      <c r="AU24" s="599"/>
      <c r="AV24" s="599"/>
      <c r="AW24" s="599"/>
      <c r="AX24" s="599"/>
      <c r="AY24" s="599"/>
      <c r="AZ24" s="599"/>
      <c r="BA24" s="599"/>
      <c r="BB24" s="599"/>
      <c r="BC24" s="599"/>
      <c r="BD24" s="599"/>
      <c r="BE24" s="599"/>
      <c r="BF24" s="599"/>
      <c r="BG24" s="599"/>
      <c r="BH24" s="599"/>
      <c r="BI24" s="599"/>
    </row>
    <row r="25" spans="1:61" s="11" customFormat="1" ht="30" customHeight="1">
      <c r="A25" s="430"/>
      <c r="B25" s="430"/>
      <c r="C25" s="1211" t="s">
        <v>791</v>
      </c>
      <c r="D25" s="1212" t="s">
        <v>792</v>
      </c>
      <c r="E25" s="1212"/>
      <c r="F25" s="1212"/>
      <c r="G25" s="1212"/>
      <c r="H25" s="1212"/>
      <c r="I25" s="1212"/>
      <c r="J25" s="1212"/>
      <c r="K25" s="1212"/>
      <c r="L25" s="1212"/>
      <c r="M25" s="1214"/>
      <c r="N25" s="3489">
        <v>0</v>
      </c>
      <c r="O25" s="3490"/>
      <c r="P25" s="3490"/>
      <c r="Q25" s="3490"/>
      <c r="R25" s="3491"/>
      <c r="S25" s="3492">
        <v>0</v>
      </c>
      <c r="T25" s="3490"/>
      <c r="U25" s="3490"/>
      <c r="V25" s="3490"/>
      <c r="W25" s="3491"/>
      <c r="X25" s="3492">
        <v>0</v>
      </c>
      <c r="Y25" s="3490"/>
      <c r="Z25" s="3490"/>
      <c r="AA25" s="3490"/>
      <c r="AB25" s="3491"/>
      <c r="AC25" s="3492">
        <v>0</v>
      </c>
      <c r="AD25" s="3490"/>
      <c r="AE25" s="3490"/>
      <c r="AF25" s="3490"/>
      <c r="AG25" s="3491"/>
      <c r="AH25" s="3492">
        <v>0</v>
      </c>
      <c r="AI25" s="3490"/>
      <c r="AJ25" s="3490"/>
      <c r="AK25" s="3490"/>
      <c r="AL25" s="3493"/>
      <c r="AM25" s="430"/>
      <c r="AN25" s="430"/>
      <c r="AO25" s="430"/>
      <c r="AP25" s="430"/>
      <c r="AQ25" s="430"/>
      <c r="AR25" s="430"/>
      <c r="AS25" s="430"/>
      <c r="AT25" s="430"/>
      <c r="AU25" s="430"/>
      <c r="AV25" s="430"/>
      <c r="AW25" s="430"/>
      <c r="AX25" s="430"/>
      <c r="AY25" s="430"/>
      <c r="AZ25" s="430"/>
      <c r="BA25" s="430"/>
      <c r="BB25" s="430"/>
      <c r="BC25" s="430"/>
      <c r="BD25" s="430"/>
      <c r="BE25" s="430"/>
      <c r="BF25" s="430"/>
      <c r="BG25" s="430"/>
      <c r="BH25" s="430"/>
      <c r="BI25" s="430"/>
    </row>
    <row r="26" spans="1:61" s="102" customFormat="1" ht="30" customHeight="1">
      <c r="A26" s="599"/>
      <c r="B26" s="599"/>
      <c r="C26" s="1211" t="s">
        <v>794</v>
      </c>
      <c r="D26" s="1212" t="s">
        <v>795</v>
      </c>
      <c r="E26" s="1212"/>
      <c r="F26" s="1212"/>
      <c r="G26" s="1212"/>
      <c r="H26" s="1212"/>
      <c r="I26" s="1212"/>
      <c r="J26" s="1212"/>
      <c r="K26" s="1212"/>
      <c r="L26" s="1212"/>
      <c r="M26" s="1214"/>
      <c r="N26" s="3489">
        <v>0</v>
      </c>
      <c r="O26" s="3490"/>
      <c r="P26" s="3490"/>
      <c r="Q26" s="3490"/>
      <c r="R26" s="3491"/>
      <c r="S26" s="3492">
        <v>0</v>
      </c>
      <c r="T26" s="3490"/>
      <c r="U26" s="3490"/>
      <c r="V26" s="3490"/>
      <c r="W26" s="3491"/>
      <c r="X26" s="3492">
        <v>0</v>
      </c>
      <c r="Y26" s="3490"/>
      <c r="Z26" s="3490"/>
      <c r="AA26" s="3490"/>
      <c r="AB26" s="3491"/>
      <c r="AC26" s="3492">
        <v>0</v>
      </c>
      <c r="AD26" s="3490"/>
      <c r="AE26" s="3490"/>
      <c r="AF26" s="3490"/>
      <c r="AG26" s="3491"/>
      <c r="AH26" s="3492">
        <v>0</v>
      </c>
      <c r="AI26" s="3490"/>
      <c r="AJ26" s="3490"/>
      <c r="AK26" s="3490"/>
      <c r="AL26" s="3493"/>
      <c r="AM26" s="599"/>
      <c r="AN26" s="599"/>
      <c r="AO26" s="599"/>
      <c r="AP26" s="599"/>
      <c r="AQ26" s="599"/>
      <c r="AR26" s="599"/>
      <c r="AS26" s="599"/>
      <c r="AT26" s="599"/>
      <c r="AU26" s="599"/>
      <c r="AV26" s="599"/>
      <c r="AW26" s="599"/>
      <c r="AX26" s="599"/>
      <c r="AY26" s="599"/>
      <c r="AZ26" s="599"/>
      <c r="BA26" s="599"/>
      <c r="BB26" s="599"/>
      <c r="BC26" s="599"/>
      <c r="BD26" s="599"/>
      <c r="BE26" s="599"/>
      <c r="BF26" s="599"/>
      <c r="BG26" s="599"/>
      <c r="BH26" s="599"/>
      <c r="BI26" s="599"/>
    </row>
    <row r="27" spans="1:61" s="102" customFormat="1" ht="30" customHeight="1">
      <c r="A27" s="599"/>
      <c r="B27" s="599"/>
      <c r="C27" s="1211" t="s">
        <v>797</v>
      </c>
      <c r="D27" s="1215" t="s">
        <v>798</v>
      </c>
      <c r="E27" s="1215"/>
      <c r="F27" s="1215"/>
      <c r="G27" s="1215"/>
      <c r="H27" s="1215"/>
      <c r="I27" s="1215"/>
      <c r="J27" s="1215"/>
      <c r="K27" s="1215"/>
      <c r="L27" s="1215"/>
      <c r="M27" s="1216"/>
      <c r="N27" s="3489">
        <v>0</v>
      </c>
      <c r="O27" s="3490"/>
      <c r="P27" s="3490"/>
      <c r="Q27" s="3490"/>
      <c r="R27" s="3491"/>
      <c r="S27" s="3492">
        <v>0</v>
      </c>
      <c r="T27" s="3490"/>
      <c r="U27" s="3490"/>
      <c r="V27" s="3490"/>
      <c r="W27" s="3491"/>
      <c r="X27" s="3492">
        <v>0</v>
      </c>
      <c r="Y27" s="3490"/>
      <c r="Z27" s="3490"/>
      <c r="AA27" s="3490"/>
      <c r="AB27" s="3491"/>
      <c r="AC27" s="3492">
        <v>0</v>
      </c>
      <c r="AD27" s="3490"/>
      <c r="AE27" s="3490"/>
      <c r="AF27" s="3490"/>
      <c r="AG27" s="3491"/>
      <c r="AH27" s="3492">
        <v>0</v>
      </c>
      <c r="AI27" s="3490"/>
      <c r="AJ27" s="3490"/>
      <c r="AK27" s="3490"/>
      <c r="AL27" s="3493"/>
      <c r="AM27" s="599"/>
      <c r="AN27" s="599"/>
      <c r="AO27" s="599"/>
      <c r="AP27" s="599"/>
      <c r="AQ27" s="599"/>
      <c r="AR27" s="599"/>
      <c r="AS27" s="599"/>
      <c r="AT27" s="599"/>
      <c r="AU27" s="599"/>
      <c r="AV27" s="599"/>
      <c r="AW27" s="599"/>
      <c r="AX27" s="599"/>
      <c r="AY27" s="599"/>
      <c r="AZ27" s="599"/>
      <c r="BA27" s="599"/>
      <c r="BB27" s="599"/>
      <c r="BC27" s="599"/>
      <c r="BD27" s="599"/>
      <c r="BE27" s="599"/>
      <c r="BF27" s="599"/>
      <c r="BG27" s="599"/>
      <c r="BH27" s="599"/>
      <c r="BI27" s="599"/>
    </row>
    <row r="28" spans="1:61" s="102" customFormat="1" ht="30" customHeight="1">
      <c r="A28" s="599"/>
      <c r="B28" s="599"/>
      <c r="C28" s="1211" t="s">
        <v>800</v>
      </c>
      <c r="D28" s="1212" t="s">
        <v>801</v>
      </c>
      <c r="E28" s="1212"/>
      <c r="F28" s="1212"/>
      <c r="G28" s="1212"/>
      <c r="H28" s="1212"/>
      <c r="I28" s="1212"/>
      <c r="J28" s="1212"/>
      <c r="K28" s="1212"/>
      <c r="L28" s="1212"/>
      <c r="M28" s="1214"/>
      <c r="N28" s="3489">
        <v>0</v>
      </c>
      <c r="O28" s="3490"/>
      <c r="P28" s="3490"/>
      <c r="Q28" s="3490"/>
      <c r="R28" s="3491"/>
      <c r="S28" s="3492">
        <v>0</v>
      </c>
      <c r="T28" s="3490"/>
      <c r="U28" s="3490"/>
      <c r="V28" s="3490"/>
      <c r="W28" s="3491"/>
      <c r="X28" s="3492">
        <v>0</v>
      </c>
      <c r="Y28" s="3490"/>
      <c r="Z28" s="3490"/>
      <c r="AA28" s="3490"/>
      <c r="AB28" s="3491"/>
      <c r="AC28" s="3492">
        <v>0</v>
      </c>
      <c r="AD28" s="3490"/>
      <c r="AE28" s="3490"/>
      <c r="AF28" s="3490"/>
      <c r="AG28" s="3491"/>
      <c r="AH28" s="3492">
        <v>0</v>
      </c>
      <c r="AI28" s="3490"/>
      <c r="AJ28" s="3490"/>
      <c r="AK28" s="3490"/>
      <c r="AL28" s="3493"/>
      <c r="AM28" s="599"/>
      <c r="AN28" s="599"/>
      <c r="AO28" s="599"/>
      <c r="AP28" s="599"/>
      <c r="AQ28" s="599"/>
      <c r="AR28" s="599"/>
      <c r="AS28" s="599"/>
      <c r="AT28" s="599"/>
      <c r="AU28" s="599"/>
      <c r="AV28" s="599"/>
      <c r="AW28" s="599"/>
      <c r="AX28" s="599"/>
      <c r="AY28" s="599"/>
      <c r="AZ28" s="599"/>
      <c r="BA28" s="599"/>
      <c r="BB28" s="599"/>
      <c r="BC28" s="599"/>
      <c r="BD28" s="599"/>
      <c r="BE28" s="599"/>
      <c r="BF28" s="599"/>
      <c r="BG28" s="599"/>
      <c r="BH28" s="599"/>
      <c r="BI28" s="599"/>
    </row>
    <row r="29" spans="1:61" s="102" customFormat="1" ht="30" customHeight="1">
      <c r="A29" s="599"/>
      <c r="B29" s="599"/>
      <c r="C29" s="1211" t="s">
        <v>803</v>
      </c>
      <c r="D29" s="1215" t="s">
        <v>804</v>
      </c>
      <c r="E29" s="1215"/>
      <c r="F29" s="1215"/>
      <c r="G29" s="1215"/>
      <c r="H29" s="1215"/>
      <c r="I29" s="1215"/>
      <c r="J29" s="1215"/>
      <c r="K29" s="1215"/>
      <c r="L29" s="1215"/>
      <c r="M29" s="1216"/>
      <c r="N29" s="3489">
        <v>0</v>
      </c>
      <c r="O29" s="3490"/>
      <c r="P29" s="3490"/>
      <c r="Q29" s="3490"/>
      <c r="R29" s="3491"/>
      <c r="S29" s="3492">
        <v>0</v>
      </c>
      <c r="T29" s="3490"/>
      <c r="U29" s="3490"/>
      <c r="V29" s="3490"/>
      <c r="W29" s="3491"/>
      <c r="X29" s="3492">
        <v>0</v>
      </c>
      <c r="Y29" s="3490"/>
      <c r="Z29" s="3490"/>
      <c r="AA29" s="3490"/>
      <c r="AB29" s="3491"/>
      <c r="AC29" s="3492">
        <v>0</v>
      </c>
      <c r="AD29" s="3490"/>
      <c r="AE29" s="3490"/>
      <c r="AF29" s="3490"/>
      <c r="AG29" s="3491"/>
      <c r="AH29" s="3492">
        <v>0</v>
      </c>
      <c r="AI29" s="3490"/>
      <c r="AJ29" s="3490"/>
      <c r="AK29" s="3490"/>
      <c r="AL29" s="3493"/>
      <c r="AM29" s="599"/>
      <c r="AN29" s="599"/>
      <c r="AO29" s="599"/>
      <c r="AP29" s="599"/>
      <c r="AQ29" s="599"/>
      <c r="AR29" s="599"/>
      <c r="AS29" s="599"/>
      <c r="AT29" s="599"/>
      <c r="AU29" s="599"/>
      <c r="AV29" s="599"/>
      <c r="AW29" s="599"/>
      <c r="AX29" s="599"/>
      <c r="AY29" s="599"/>
      <c r="AZ29" s="599"/>
      <c r="BA29" s="599"/>
      <c r="BB29" s="599"/>
      <c r="BC29" s="599"/>
      <c r="BD29" s="599"/>
      <c r="BE29" s="599"/>
      <c r="BF29" s="599"/>
      <c r="BG29" s="599"/>
      <c r="BH29" s="599"/>
      <c r="BI29" s="599"/>
    </row>
    <row r="30" spans="1:61" s="102" customFormat="1" ht="30" customHeight="1">
      <c r="A30" s="599"/>
      <c r="B30" s="599"/>
      <c r="C30" s="1211" t="s">
        <v>806</v>
      </c>
      <c r="D30" s="1215" t="s">
        <v>807</v>
      </c>
      <c r="E30" s="1215"/>
      <c r="F30" s="1215"/>
      <c r="G30" s="1215"/>
      <c r="H30" s="1215"/>
      <c r="I30" s="1215"/>
      <c r="J30" s="1215"/>
      <c r="K30" s="1215"/>
      <c r="L30" s="1215"/>
      <c r="M30" s="1216"/>
      <c r="N30" s="3489">
        <v>0</v>
      </c>
      <c r="O30" s="3490"/>
      <c r="P30" s="3490"/>
      <c r="Q30" s="3490"/>
      <c r="R30" s="3491"/>
      <c r="S30" s="3492">
        <v>0</v>
      </c>
      <c r="T30" s="3490"/>
      <c r="U30" s="3490"/>
      <c r="V30" s="3490"/>
      <c r="W30" s="3491"/>
      <c r="X30" s="3492">
        <v>0</v>
      </c>
      <c r="Y30" s="3490"/>
      <c r="Z30" s="3490"/>
      <c r="AA30" s="3490"/>
      <c r="AB30" s="3491"/>
      <c r="AC30" s="3492">
        <v>0</v>
      </c>
      <c r="AD30" s="3490"/>
      <c r="AE30" s="3490"/>
      <c r="AF30" s="3490"/>
      <c r="AG30" s="3491"/>
      <c r="AH30" s="3492">
        <v>0</v>
      </c>
      <c r="AI30" s="3490"/>
      <c r="AJ30" s="3490"/>
      <c r="AK30" s="3490"/>
      <c r="AL30" s="3493"/>
      <c r="AM30" s="599"/>
      <c r="AN30" s="599"/>
      <c r="AO30" s="599"/>
      <c r="AP30" s="599"/>
      <c r="AQ30" s="599"/>
      <c r="AR30" s="599"/>
      <c r="AS30" s="599"/>
      <c r="AT30" s="599"/>
      <c r="AU30" s="599"/>
      <c r="AV30" s="599"/>
      <c r="AW30" s="599"/>
      <c r="AX30" s="599"/>
      <c r="AY30" s="599"/>
      <c r="AZ30" s="599"/>
      <c r="BA30" s="599"/>
      <c r="BB30" s="599"/>
      <c r="BC30" s="599"/>
      <c r="BD30" s="599"/>
      <c r="BE30" s="599"/>
      <c r="BF30" s="599"/>
      <c r="BG30" s="599"/>
      <c r="BH30" s="599"/>
      <c r="BI30" s="599"/>
    </row>
    <row r="31" spans="1:61" s="102" customFormat="1" ht="30" customHeight="1">
      <c r="A31" s="599"/>
      <c r="B31" s="599"/>
      <c r="C31" s="1211" t="s">
        <v>809</v>
      </c>
      <c r="D31" s="1215" t="s">
        <v>810</v>
      </c>
      <c r="E31" s="1215"/>
      <c r="F31" s="1215"/>
      <c r="G31" s="1215"/>
      <c r="H31" s="1215"/>
      <c r="I31" s="1215"/>
      <c r="J31" s="1215"/>
      <c r="K31" s="1215"/>
      <c r="L31" s="1215"/>
      <c r="M31" s="1216"/>
      <c r="N31" s="3489">
        <v>0</v>
      </c>
      <c r="O31" s="3490"/>
      <c r="P31" s="3490"/>
      <c r="Q31" s="3490"/>
      <c r="R31" s="3491"/>
      <c r="S31" s="3492">
        <v>0</v>
      </c>
      <c r="T31" s="3490"/>
      <c r="U31" s="3490"/>
      <c r="V31" s="3490"/>
      <c r="W31" s="3491"/>
      <c r="X31" s="3492">
        <v>0</v>
      </c>
      <c r="Y31" s="3490"/>
      <c r="Z31" s="3490"/>
      <c r="AA31" s="3490"/>
      <c r="AB31" s="3491"/>
      <c r="AC31" s="3492">
        <v>0</v>
      </c>
      <c r="AD31" s="3490"/>
      <c r="AE31" s="3490"/>
      <c r="AF31" s="3490"/>
      <c r="AG31" s="3491"/>
      <c r="AH31" s="3492">
        <v>0</v>
      </c>
      <c r="AI31" s="3490"/>
      <c r="AJ31" s="3490"/>
      <c r="AK31" s="3490"/>
      <c r="AL31" s="3493"/>
      <c r="AM31" s="599"/>
      <c r="AN31" s="599"/>
      <c r="AO31" s="599"/>
      <c r="AP31" s="599"/>
      <c r="AQ31" s="599"/>
      <c r="AR31" s="599"/>
      <c r="AS31" s="599"/>
      <c r="AT31" s="599"/>
      <c r="AU31" s="599"/>
      <c r="AV31" s="599"/>
      <c r="AW31" s="599"/>
      <c r="AX31" s="599"/>
      <c r="AY31" s="599"/>
      <c r="AZ31" s="599"/>
      <c r="BA31" s="599"/>
      <c r="BB31" s="599"/>
      <c r="BC31" s="599"/>
      <c r="BD31" s="599"/>
      <c r="BE31" s="599"/>
      <c r="BF31" s="599"/>
      <c r="BG31" s="599"/>
      <c r="BH31" s="599"/>
      <c r="BI31" s="599"/>
    </row>
    <row r="32" spans="1:61" s="102" customFormat="1" ht="30" customHeight="1">
      <c r="A32" s="599"/>
      <c r="B32" s="599"/>
      <c r="C32" s="1211" t="s">
        <v>813</v>
      </c>
      <c r="D32" s="1212" t="s">
        <v>814</v>
      </c>
      <c r="E32" s="1212"/>
      <c r="F32" s="1212"/>
      <c r="G32" s="1212"/>
      <c r="H32" s="1212"/>
      <c r="I32" s="1212"/>
      <c r="J32" s="1212"/>
      <c r="K32" s="1212"/>
      <c r="L32" s="1212"/>
      <c r="M32" s="1214"/>
      <c r="N32" s="3489">
        <v>0</v>
      </c>
      <c r="O32" s="3490"/>
      <c r="P32" s="3490"/>
      <c r="Q32" s="3490"/>
      <c r="R32" s="3491"/>
      <c r="S32" s="3492">
        <v>0</v>
      </c>
      <c r="T32" s="3490"/>
      <c r="U32" s="3490"/>
      <c r="V32" s="3490"/>
      <c r="W32" s="3491"/>
      <c r="X32" s="3492">
        <v>0</v>
      </c>
      <c r="Y32" s="3490"/>
      <c r="Z32" s="3490"/>
      <c r="AA32" s="3490"/>
      <c r="AB32" s="3491"/>
      <c r="AC32" s="3492">
        <v>0</v>
      </c>
      <c r="AD32" s="3490"/>
      <c r="AE32" s="3490"/>
      <c r="AF32" s="3490"/>
      <c r="AG32" s="3491"/>
      <c r="AH32" s="3492">
        <v>0</v>
      </c>
      <c r="AI32" s="3490"/>
      <c r="AJ32" s="3490"/>
      <c r="AK32" s="3490"/>
      <c r="AL32" s="3493"/>
      <c r="AM32" s="599"/>
      <c r="AN32" s="599"/>
      <c r="AO32" s="599"/>
      <c r="AP32" s="599"/>
      <c r="AQ32" s="599"/>
      <c r="AR32" s="599"/>
      <c r="AS32" s="599"/>
      <c r="AT32" s="599"/>
      <c r="AU32" s="599"/>
      <c r="AV32" s="599"/>
      <c r="AW32" s="599"/>
      <c r="AX32" s="599"/>
      <c r="AY32" s="599"/>
      <c r="AZ32" s="599"/>
      <c r="BA32" s="599"/>
      <c r="BB32" s="599"/>
      <c r="BC32" s="599"/>
      <c r="BD32" s="599"/>
      <c r="BE32" s="599"/>
      <c r="BF32" s="599"/>
      <c r="BG32" s="599"/>
      <c r="BH32" s="599"/>
      <c r="BI32" s="599"/>
    </row>
    <row r="33" spans="1:61" s="102" customFormat="1" ht="30" customHeight="1" thickBot="1">
      <c r="A33" s="599"/>
      <c r="B33" s="599"/>
      <c r="C33" s="1218" t="s">
        <v>817</v>
      </c>
      <c r="D33" s="1219" t="s">
        <v>818</v>
      </c>
      <c r="E33" s="1219"/>
      <c r="F33" s="1219"/>
      <c r="G33" s="1219"/>
      <c r="H33" s="1219"/>
      <c r="I33" s="1219"/>
      <c r="J33" s="1219"/>
      <c r="K33" s="1219"/>
      <c r="L33" s="1219"/>
      <c r="M33" s="1220"/>
      <c r="N33" s="3494">
        <v>0</v>
      </c>
      <c r="O33" s="3495"/>
      <c r="P33" s="3495"/>
      <c r="Q33" s="3495"/>
      <c r="R33" s="3496"/>
      <c r="S33" s="3497">
        <v>0</v>
      </c>
      <c r="T33" s="3495"/>
      <c r="U33" s="3495"/>
      <c r="V33" s="3495"/>
      <c r="W33" s="3496"/>
      <c r="X33" s="3497">
        <v>0</v>
      </c>
      <c r="Y33" s="3495"/>
      <c r="Z33" s="3495"/>
      <c r="AA33" s="3495"/>
      <c r="AB33" s="3496"/>
      <c r="AC33" s="3497">
        <v>0</v>
      </c>
      <c r="AD33" s="3495"/>
      <c r="AE33" s="3495"/>
      <c r="AF33" s="3495"/>
      <c r="AG33" s="3496"/>
      <c r="AH33" s="3497">
        <v>0</v>
      </c>
      <c r="AI33" s="3495"/>
      <c r="AJ33" s="3495"/>
      <c r="AK33" s="3495"/>
      <c r="AL33" s="3498"/>
      <c r="AM33" s="599"/>
      <c r="AN33" s="599"/>
      <c r="AO33" s="599"/>
      <c r="AP33" s="599"/>
      <c r="AQ33" s="599"/>
      <c r="AR33" s="599"/>
      <c r="AS33" s="599"/>
      <c r="AT33" s="599"/>
      <c r="AU33" s="599"/>
      <c r="AV33" s="599"/>
      <c r="AW33" s="599"/>
      <c r="AX33" s="599"/>
      <c r="AY33" s="599"/>
      <c r="AZ33" s="599"/>
      <c r="BA33" s="599"/>
      <c r="BB33" s="599"/>
      <c r="BC33" s="599"/>
      <c r="BD33" s="599"/>
      <c r="BE33" s="599"/>
      <c r="BF33" s="599"/>
      <c r="BG33" s="599"/>
      <c r="BH33" s="599"/>
      <c r="BI33" s="599"/>
    </row>
    <row r="34" spans="1:61" s="111" customFormat="1">
      <c r="A34" s="1171"/>
      <c r="B34" s="1171"/>
      <c r="C34" s="1221" t="s">
        <v>47</v>
      </c>
      <c r="D34" s="3487" t="s">
        <v>1189</v>
      </c>
      <c r="E34" s="3487"/>
      <c r="F34" s="3487"/>
      <c r="G34" s="3487"/>
      <c r="H34" s="3487"/>
      <c r="I34" s="3487"/>
      <c r="J34" s="3487"/>
      <c r="K34" s="3487"/>
      <c r="L34" s="3487"/>
      <c r="M34" s="3487"/>
      <c r="N34" s="3487"/>
      <c r="O34" s="3487"/>
      <c r="P34" s="3487"/>
      <c r="Q34" s="3487"/>
      <c r="R34" s="3487"/>
      <c r="S34" s="3487"/>
      <c r="T34" s="3487"/>
      <c r="U34" s="3487"/>
      <c r="V34" s="3487"/>
      <c r="W34" s="3487"/>
      <c r="X34" s="3487"/>
      <c r="Y34" s="3487"/>
      <c r="Z34" s="3487"/>
      <c r="AA34" s="3487"/>
      <c r="AB34" s="3487"/>
      <c r="AC34" s="3487"/>
      <c r="AD34" s="3487"/>
      <c r="AE34" s="3487"/>
      <c r="AF34" s="3487"/>
      <c r="AG34" s="3487"/>
      <c r="AH34" s="3487"/>
      <c r="AI34" s="3487"/>
      <c r="AJ34" s="3487"/>
      <c r="AK34" s="3487"/>
      <c r="AL34" s="3487"/>
      <c r="AM34" s="1222"/>
      <c r="AN34" s="1222"/>
      <c r="AO34" s="1222"/>
      <c r="AP34" s="1222"/>
      <c r="AQ34" s="1222"/>
      <c r="AR34" s="1222"/>
      <c r="AS34" s="1222"/>
      <c r="AT34" s="1222"/>
      <c r="AU34" s="1222"/>
      <c r="AV34" s="1222"/>
      <c r="AW34" s="1171"/>
      <c r="AX34" s="1171"/>
      <c r="AY34" s="1171"/>
      <c r="AZ34" s="1171"/>
      <c r="BA34" s="1171"/>
      <c r="BB34" s="1171"/>
      <c r="BC34" s="1171"/>
      <c r="BD34" s="1171"/>
      <c r="BE34" s="1171"/>
      <c r="BF34" s="1171"/>
      <c r="BG34" s="1171"/>
      <c r="BH34" s="1171"/>
      <c r="BI34" s="1171"/>
    </row>
    <row r="35" spans="1:61" s="111" customFormat="1">
      <c r="A35" s="1171"/>
      <c r="B35" s="1171"/>
      <c r="C35" s="1221" t="s">
        <v>48</v>
      </c>
      <c r="D35" s="3488" t="s">
        <v>1190</v>
      </c>
      <c r="E35" s="3488"/>
      <c r="F35" s="3488"/>
      <c r="G35" s="3488"/>
      <c r="H35" s="3488"/>
      <c r="I35" s="3488"/>
      <c r="J35" s="3488"/>
      <c r="K35" s="3488"/>
      <c r="L35" s="3488"/>
      <c r="M35" s="3488"/>
      <c r="N35" s="3488"/>
      <c r="O35" s="3488"/>
      <c r="P35" s="3488"/>
      <c r="Q35" s="3488"/>
      <c r="R35" s="3488"/>
      <c r="S35" s="3488"/>
      <c r="T35" s="3488"/>
      <c r="U35" s="3488"/>
      <c r="V35" s="3488"/>
      <c r="W35" s="3488"/>
      <c r="X35" s="3488"/>
      <c r="Y35" s="3488"/>
      <c r="Z35" s="3488"/>
      <c r="AA35" s="3488"/>
      <c r="AB35" s="3488"/>
      <c r="AC35" s="3488"/>
      <c r="AD35" s="3488"/>
      <c r="AE35" s="3488"/>
      <c r="AF35" s="3488"/>
      <c r="AG35" s="3488"/>
      <c r="AH35" s="3488"/>
      <c r="AI35" s="3488"/>
      <c r="AJ35" s="3488"/>
      <c r="AK35" s="3488"/>
      <c r="AL35" s="3488"/>
      <c r="AM35" s="1222"/>
      <c r="AN35" s="1222"/>
      <c r="AO35" s="1222"/>
      <c r="AP35" s="1222"/>
      <c r="AQ35" s="1222"/>
      <c r="AR35" s="1222"/>
      <c r="AS35" s="1222"/>
      <c r="AT35" s="1222"/>
      <c r="AU35" s="1222"/>
      <c r="AV35" s="1222"/>
      <c r="AW35" s="1171"/>
      <c r="AX35" s="1171"/>
      <c r="AY35" s="1171"/>
      <c r="AZ35" s="1171"/>
      <c r="BA35" s="1171"/>
      <c r="BB35" s="1171"/>
      <c r="BC35" s="1171"/>
      <c r="BD35" s="1171"/>
      <c r="BE35" s="1171"/>
      <c r="BF35" s="1171"/>
      <c r="BG35" s="1171"/>
      <c r="BH35" s="1171"/>
      <c r="BI35" s="1171"/>
    </row>
    <row r="36" spans="1:61" s="111" customFormat="1">
      <c r="A36" s="1171"/>
      <c r="B36" s="1171"/>
      <c r="C36" s="1221" t="s">
        <v>49</v>
      </c>
      <c r="D36" s="3488" t="s">
        <v>1191</v>
      </c>
      <c r="E36" s="3488"/>
      <c r="F36" s="3488"/>
      <c r="G36" s="3488"/>
      <c r="H36" s="3488"/>
      <c r="I36" s="3488"/>
      <c r="J36" s="3488"/>
      <c r="K36" s="3488"/>
      <c r="L36" s="3488"/>
      <c r="M36" s="3488"/>
      <c r="N36" s="3488"/>
      <c r="O36" s="3488"/>
      <c r="P36" s="3488"/>
      <c r="Q36" s="3488"/>
      <c r="R36" s="3488"/>
      <c r="S36" s="3488"/>
      <c r="T36" s="3488"/>
      <c r="U36" s="3488"/>
      <c r="V36" s="3488"/>
      <c r="W36" s="3488"/>
      <c r="X36" s="3488"/>
      <c r="Y36" s="3488"/>
      <c r="Z36" s="3488"/>
      <c r="AA36" s="3488"/>
      <c r="AB36" s="3488"/>
      <c r="AC36" s="3488"/>
      <c r="AD36" s="3488"/>
      <c r="AE36" s="3488"/>
      <c r="AF36" s="3488"/>
      <c r="AG36" s="3488"/>
      <c r="AH36" s="3488"/>
      <c r="AI36" s="3488"/>
      <c r="AJ36" s="3488"/>
      <c r="AK36" s="3488"/>
      <c r="AL36" s="3488"/>
      <c r="AM36" s="1222"/>
      <c r="AN36" s="1222"/>
      <c r="AO36" s="1222"/>
      <c r="AP36" s="1222"/>
      <c r="AQ36" s="1222"/>
      <c r="AR36" s="1222"/>
      <c r="AS36" s="1222"/>
      <c r="AT36" s="1222"/>
      <c r="AU36" s="1222"/>
      <c r="AV36" s="1222"/>
      <c r="AW36" s="1171"/>
      <c r="AX36" s="1171"/>
      <c r="AY36" s="1171"/>
      <c r="AZ36" s="1171"/>
      <c r="BA36" s="1171"/>
      <c r="BB36" s="1171"/>
      <c r="BC36" s="1171"/>
      <c r="BD36" s="1171"/>
      <c r="BE36" s="1171"/>
      <c r="BF36" s="1171"/>
      <c r="BG36" s="1171"/>
      <c r="BH36" s="1171"/>
      <c r="BI36" s="1171"/>
    </row>
    <row r="37" spans="1:61" s="111" customFormat="1">
      <c r="A37" s="1171"/>
      <c r="B37" s="1171"/>
      <c r="C37" s="1221" t="s">
        <v>50</v>
      </c>
      <c r="D37" s="3488" t="s">
        <v>1192</v>
      </c>
      <c r="E37" s="3488"/>
      <c r="F37" s="3488"/>
      <c r="G37" s="3488"/>
      <c r="H37" s="3488"/>
      <c r="I37" s="3488"/>
      <c r="J37" s="3488"/>
      <c r="K37" s="3488"/>
      <c r="L37" s="3488"/>
      <c r="M37" s="3488"/>
      <c r="N37" s="3488"/>
      <c r="O37" s="3488"/>
      <c r="P37" s="3488"/>
      <c r="Q37" s="3488"/>
      <c r="R37" s="3488"/>
      <c r="S37" s="3488"/>
      <c r="T37" s="3488"/>
      <c r="U37" s="3488"/>
      <c r="V37" s="3488"/>
      <c r="W37" s="3488"/>
      <c r="X37" s="3488"/>
      <c r="Y37" s="3488"/>
      <c r="Z37" s="3488"/>
      <c r="AA37" s="3488"/>
      <c r="AB37" s="3488"/>
      <c r="AC37" s="3488"/>
      <c r="AD37" s="3488"/>
      <c r="AE37" s="3488"/>
      <c r="AF37" s="3488"/>
      <c r="AG37" s="3488"/>
      <c r="AH37" s="3488"/>
      <c r="AI37" s="3488"/>
      <c r="AJ37" s="3488"/>
      <c r="AK37" s="3488"/>
      <c r="AL37" s="3488"/>
      <c r="AM37" s="1222"/>
      <c r="AN37" s="1222"/>
      <c r="AO37" s="1222"/>
      <c r="AP37" s="1222"/>
      <c r="AQ37" s="1222"/>
      <c r="AR37" s="1222"/>
      <c r="AS37" s="1222"/>
      <c r="AT37" s="1222"/>
      <c r="AU37" s="1222"/>
      <c r="AV37" s="1222"/>
      <c r="AW37" s="1171"/>
      <c r="AX37" s="1171"/>
      <c r="AY37" s="1171"/>
      <c r="AZ37" s="1171"/>
      <c r="BA37" s="1171"/>
      <c r="BB37" s="1171"/>
      <c r="BC37" s="1171"/>
      <c r="BD37" s="1171"/>
      <c r="BE37" s="1171"/>
      <c r="BF37" s="1171"/>
      <c r="BG37" s="1171"/>
      <c r="BH37" s="1171"/>
      <c r="BI37" s="1171"/>
    </row>
    <row r="38" spans="1:61" s="111" customFormat="1">
      <c r="A38" s="1171"/>
      <c r="B38" s="1171"/>
      <c r="C38" s="1221" t="s">
        <v>51</v>
      </c>
      <c r="D38" s="3488" t="s">
        <v>1193</v>
      </c>
      <c r="E38" s="3488"/>
      <c r="F38" s="3488"/>
      <c r="G38" s="3488"/>
      <c r="H38" s="3488"/>
      <c r="I38" s="3488"/>
      <c r="J38" s="3488"/>
      <c r="K38" s="3488"/>
      <c r="L38" s="3488"/>
      <c r="M38" s="3488"/>
      <c r="N38" s="3488"/>
      <c r="O38" s="3488"/>
      <c r="P38" s="3488"/>
      <c r="Q38" s="3488"/>
      <c r="R38" s="3488"/>
      <c r="S38" s="3488"/>
      <c r="T38" s="3488"/>
      <c r="U38" s="3488"/>
      <c r="V38" s="3488"/>
      <c r="W38" s="3488"/>
      <c r="X38" s="3488"/>
      <c r="Y38" s="3488"/>
      <c r="Z38" s="3488"/>
      <c r="AA38" s="3488"/>
      <c r="AB38" s="3488"/>
      <c r="AC38" s="3488"/>
      <c r="AD38" s="3488"/>
      <c r="AE38" s="3488"/>
      <c r="AF38" s="3488"/>
      <c r="AG38" s="3488"/>
      <c r="AH38" s="3488"/>
      <c r="AI38" s="3488"/>
      <c r="AJ38" s="3488"/>
      <c r="AK38" s="3488"/>
      <c r="AL38" s="3488"/>
      <c r="AM38" s="1222"/>
      <c r="AN38" s="1222"/>
      <c r="AO38" s="1222"/>
      <c r="AP38" s="1222"/>
      <c r="AQ38" s="1222"/>
      <c r="AR38" s="1222"/>
      <c r="AS38" s="1222"/>
      <c r="AT38" s="1222"/>
      <c r="AU38" s="1222"/>
      <c r="AV38" s="1222"/>
      <c r="AW38" s="1171"/>
      <c r="AX38" s="1171"/>
      <c r="AY38" s="1171"/>
      <c r="AZ38" s="1171"/>
      <c r="BA38" s="1171"/>
      <c r="BB38" s="1171"/>
      <c r="BC38" s="1171"/>
      <c r="BD38" s="1171"/>
      <c r="BE38" s="1171"/>
      <c r="BF38" s="1171"/>
      <c r="BG38" s="1171"/>
      <c r="BH38" s="1171"/>
      <c r="BI38" s="1171"/>
    </row>
    <row r="39" spans="1:61" s="111" customFormat="1" ht="12.75" customHeight="1">
      <c r="A39" s="1171"/>
      <c r="B39" s="1171"/>
      <c r="C39" s="1223"/>
      <c r="D39" s="1223"/>
      <c r="E39" s="1223"/>
      <c r="F39" s="1223"/>
      <c r="G39" s="1223"/>
      <c r="H39" s="1223"/>
      <c r="I39" s="1223"/>
      <c r="J39" s="1223"/>
      <c r="K39" s="1223"/>
      <c r="L39" s="1223"/>
      <c r="M39" s="1223"/>
      <c r="N39" s="1223"/>
      <c r="O39" s="1223"/>
      <c r="P39" s="1223"/>
      <c r="Q39" s="1223"/>
      <c r="R39" s="1223"/>
      <c r="S39" s="1223"/>
      <c r="T39" s="1223"/>
      <c r="U39" s="1223"/>
      <c r="V39" s="1223"/>
      <c r="W39" s="1223"/>
      <c r="X39" s="1223"/>
      <c r="Y39" s="1223"/>
      <c r="Z39" s="1223"/>
      <c r="AA39" s="1223"/>
      <c r="AB39" s="1223"/>
      <c r="AC39" s="1223"/>
      <c r="AD39" s="1223"/>
      <c r="AE39" s="1223"/>
      <c r="AF39" s="1223"/>
      <c r="AG39" s="1222"/>
      <c r="AH39" s="1222"/>
      <c r="AI39" s="1222"/>
      <c r="AJ39" s="1222"/>
      <c r="AK39" s="1222"/>
      <c r="AL39" s="1222"/>
      <c r="AM39" s="1222"/>
      <c r="AN39" s="1222"/>
      <c r="AO39" s="1222"/>
      <c r="AP39" s="1222"/>
      <c r="AQ39" s="1222"/>
      <c r="AR39" s="1222"/>
      <c r="AS39" s="1222"/>
      <c r="AT39" s="1222"/>
      <c r="AU39" s="1222"/>
      <c r="AV39" s="1222"/>
      <c r="AW39" s="1171"/>
      <c r="AX39" s="1171"/>
      <c r="AY39" s="1171"/>
      <c r="AZ39" s="1171"/>
      <c r="BA39" s="1171"/>
      <c r="BB39" s="1171"/>
      <c r="BC39" s="1171"/>
      <c r="BD39" s="1171"/>
      <c r="BE39" s="1171"/>
      <c r="BF39" s="1171"/>
      <c r="BG39" s="1171"/>
      <c r="BH39" s="1171"/>
      <c r="BI39" s="1171"/>
    </row>
    <row r="40" spans="1:61" s="111" customFormat="1" ht="17.25">
      <c r="A40" s="1171"/>
      <c r="B40" s="1171"/>
      <c r="C40" s="1224" t="s">
        <v>1194</v>
      </c>
      <c r="D40" s="1171"/>
      <c r="E40" s="1171"/>
      <c r="F40" s="1225"/>
      <c r="G40" s="1171"/>
      <c r="H40" s="1171"/>
      <c r="I40" s="1171"/>
      <c r="J40" s="1171"/>
      <c r="K40" s="1171"/>
      <c r="L40" s="1171"/>
      <c r="M40" s="1171"/>
      <c r="N40" s="1171"/>
      <c r="O40" s="1171"/>
      <c r="P40" s="1171"/>
      <c r="Q40" s="1171"/>
      <c r="R40" s="1171"/>
      <c r="S40" s="1171"/>
      <c r="T40" s="1171"/>
      <c r="U40" s="1171"/>
      <c r="V40" s="1171"/>
      <c r="W40" s="1171"/>
      <c r="X40" s="1171"/>
      <c r="Y40" s="1171"/>
      <c r="Z40" s="1171"/>
      <c r="AA40" s="1171"/>
      <c r="AB40" s="1171"/>
      <c r="AC40" s="1171"/>
      <c r="AD40" s="1171"/>
      <c r="AE40" s="1171"/>
      <c r="AF40" s="1171"/>
      <c r="AG40" s="1171"/>
      <c r="AH40" s="1171"/>
      <c r="AI40" s="1171"/>
      <c r="AJ40" s="1222"/>
      <c r="AK40" s="1222"/>
      <c r="AL40" s="1222"/>
      <c r="AM40" s="1222"/>
      <c r="AN40" s="1222"/>
      <c r="AO40" s="1222"/>
      <c r="AP40" s="1222"/>
      <c r="AQ40" s="1222"/>
      <c r="AR40" s="1222"/>
      <c r="AS40" s="1222"/>
      <c r="AT40" s="1222"/>
      <c r="AU40" s="1222"/>
      <c r="AV40" s="1222"/>
      <c r="AW40" s="1171"/>
      <c r="AX40" s="1171"/>
      <c r="AY40" s="1171"/>
      <c r="AZ40" s="1171"/>
      <c r="BA40" s="1171"/>
      <c r="BB40" s="1171"/>
      <c r="BC40" s="1171"/>
      <c r="BD40" s="1171"/>
      <c r="BE40" s="1171"/>
      <c r="BF40" s="1171"/>
      <c r="BG40" s="1171"/>
      <c r="BH40" s="1171"/>
      <c r="BI40" s="1171"/>
    </row>
    <row r="41" spans="1:61" s="44" customFormat="1" ht="30.75" customHeight="1">
      <c r="A41" s="434"/>
      <c r="B41" s="434"/>
      <c r="C41" s="434"/>
      <c r="D41" s="434"/>
      <c r="E41" s="434"/>
      <c r="F41" s="434"/>
      <c r="G41" s="434"/>
      <c r="H41" s="434"/>
      <c r="I41" s="434"/>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row>
    <row r="42" spans="1:61" s="1" customFormat="1" ht="15">
      <c r="A42" s="331"/>
      <c r="B42" s="332" t="s">
        <v>32</v>
      </c>
      <c r="C42" s="331"/>
      <c r="D42" s="331"/>
      <c r="E42" s="331"/>
      <c r="F42" s="331"/>
      <c r="G42" s="331"/>
      <c r="H42" s="331"/>
      <c r="I42" s="331"/>
      <c r="J42" s="331"/>
      <c r="K42" s="331"/>
      <c r="L42" s="331"/>
      <c r="M42" s="331"/>
      <c r="N42" s="331"/>
      <c r="O42" s="332" t="s">
        <v>821</v>
      </c>
      <c r="P42" s="331"/>
      <c r="Q42" s="331"/>
      <c r="R42" s="331"/>
      <c r="S42" s="331"/>
      <c r="T42" s="331"/>
      <c r="U42" s="331"/>
      <c r="V42" s="331"/>
      <c r="W42" s="331"/>
      <c r="X42" s="331"/>
      <c r="Y42" s="331"/>
      <c r="Z42" s="331"/>
      <c r="AA42" s="331"/>
      <c r="AB42" s="332" t="s">
        <v>33</v>
      </c>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c r="BA42" s="331"/>
      <c r="BB42" s="331"/>
      <c r="BC42" s="331"/>
      <c r="BD42" s="331"/>
      <c r="BE42" s="331"/>
      <c r="BF42" s="331"/>
      <c r="BG42" s="331"/>
      <c r="BH42" s="331"/>
      <c r="BI42" s="331"/>
    </row>
    <row r="43" spans="1:61" s="1" customFormat="1" ht="21.75" customHeight="1">
      <c r="A43" s="331"/>
      <c r="B43" s="332" t="s">
        <v>75</v>
      </c>
      <c r="C43" s="331"/>
      <c r="D43" s="331"/>
      <c r="E43" s="331"/>
      <c r="F43" s="1891" t="str">
        <f>activesheet!E21</f>
        <v>MELCHESIEDICK Q. BOLANIO / March 17, 2023</v>
      </c>
      <c r="G43" s="1891"/>
      <c r="H43" s="1891"/>
      <c r="I43" s="1891"/>
      <c r="J43" s="1891"/>
      <c r="K43" s="1891"/>
      <c r="L43" s="1891"/>
      <c r="M43" s="331"/>
      <c r="N43" s="331"/>
      <c r="O43" s="1891" t="str">
        <f>activesheet!E2920</f>
        <v>PARA D. TALIP / March 17, 2023</v>
      </c>
      <c r="P43" s="1891"/>
      <c r="Q43" s="1891"/>
      <c r="R43" s="1891"/>
      <c r="S43" s="1891"/>
      <c r="T43" s="1891"/>
      <c r="U43" s="1891"/>
      <c r="V43" s="1891"/>
      <c r="W43" s="1891"/>
      <c r="X43" s="1891"/>
      <c r="Y43" s="1891"/>
      <c r="Z43" s="331"/>
      <c r="AA43" s="331"/>
      <c r="AB43" s="1819" t="str">
        <f>activesheet!E25</f>
        <v>MICHAEL T. JAMIS / March 17, 2023</v>
      </c>
      <c r="AC43" s="1819"/>
      <c r="AD43" s="1819"/>
      <c r="AE43" s="1819"/>
      <c r="AF43" s="1819"/>
      <c r="AG43" s="1819"/>
      <c r="AH43" s="1819"/>
      <c r="AI43" s="1819"/>
      <c r="AJ43" s="1819"/>
      <c r="AK43" s="1819"/>
      <c r="AL43" s="1819"/>
      <c r="AM43" s="331"/>
      <c r="AN43" s="331"/>
      <c r="AO43" s="331"/>
      <c r="AP43" s="331"/>
      <c r="AQ43" s="331"/>
      <c r="AR43" s="331"/>
      <c r="AS43" s="331"/>
      <c r="AT43" s="331"/>
      <c r="AU43" s="331"/>
      <c r="AV43" s="331"/>
      <c r="AW43" s="331"/>
      <c r="AX43" s="331"/>
      <c r="AY43" s="331"/>
      <c r="AZ43" s="331"/>
      <c r="BA43" s="331"/>
      <c r="BB43" s="331"/>
      <c r="BC43" s="331"/>
      <c r="BD43" s="331"/>
      <c r="BE43" s="331"/>
      <c r="BF43" s="331"/>
      <c r="BG43" s="331"/>
      <c r="BH43" s="331"/>
      <c r="BI43" s="331"/>
    </row>
    <row r="44" spans="1:61" s="2" customFormat="1" ht="14.1" customHeight="1">
      <c r="A44" s="325"/>
      <c r="B44" s="228"/>
      <c r="C44" s="325"/>
      <c r="D44" s="325"/>
      <c r="E44" s="325"/>
      <c r="F44" s="1807" t="s">
        <v>37</v>
      </c>
      <c r="G44" s="1807"/>
      <c r="H44" s="1807"/>
      <c r="I44" s="1807"/>
      <c r="J44" s="1807"/>
      <c r="K44" s="1807"/>
      <c r="L44" s="1807"/>
      <c r="M44" s="358"/>
      <c r="N44" s="281"/>
      <c r="O44" s="1807" t="s">
        <v>37</v>
      </c>
      <c r="P44" s="1807"/>
      <c r="Q44" s="1807"/>
      <c r="R44" s="1807"/>
      <c r="S44" s="1807"/>
      <c r="T44" s="1807"/>
      <c r="U44" s="1807"/>
      <c r="V44" s="1807"/>
      <c r="W44" s="1807"/>
      <c r="X44" s="1807"/>
      <c r="Y44" s="1807"/>
      <c r="Z44" s="325"/>
      <c r="AA44" s="325"/>
      <c r="AB44" s="1820"/>
      <c r="AC44" s="1820"/>
      <c r="AD44" s="1820"/>
      <c r="AE44" s="1820"/>
      <c r="AF44" s="1820"/>
      <c r="AG44" s="1820"/>
      <c r="AH44" s="1820"/>
      <c r="AI44" s="1820"/>
      <c r="AJ44" s="1820"/>
      <c r="AK44" s="1820"/>
      <c r="AL44" s="1820"/>
      <c r="AM44" s="325"/>
      <c r="AN44" s="325"/>
      <c r="AO44" s="325"/>
      <c r="AP44" s="325"/>
      <c r="AQ44" s="325"/>
      <c r="AR44" s="325"/>
      <c r="AS44" s="325"/>
      <c r="AT44" s="325"/>
      <c r="AU44" s="325"/>
      <c r="AV44" s="325"/>
      <c r="AW44" s="325"/>
      <c r="AX44" s="325"/>
      <c r="AY44" s="325"/>
      <c r="AZ44" s="325"/>
      <c r="BA44" s="325"/>
      <c r="BB44" s="325"/>
      <c r="BC44" s="325"/>
      <c r="BD44" s="325"/>
      <c r="BE44" s="325"/>
      <c r="BF44" s="325"/>
      <c r="BG44" s="325"/>
      <c r="BH44" s="325"/>
      <c r="BI44" s="325"/>
    </row>
    <row r="45" spans="1:61" s="1" customFormat="1" ht="21.75" customHeight="1">
      <c r="A45" s="331"/>
      <c r="B45" s="332" t="s">
        <v>58</v>
      </c>
      <c r="C45" s="331"/>
      <c r="D45" s="331"/>
      <c r="E45" s="331"/>
      <c r="F45" s="1891" t="str">
        <f>activesheet!E22</f>
        <v>SECONDARY SCHOOL PRINCIPAL IV</v>
      </c>
      <c r="G45" s="1891"/>
      <c r="H45" s="1891"/>
      <c r="I45" s="1891"/>
      <c r="J45" s="1891"/>
      <c r="K45" s="1891"/>
      <c r="L45" s="1891"/>
      <c r="M45" s="331"/>
      <c r="N45" s="331"/>
      <c r="O45" s="332" t="s">
        <v>58</v>
      </c>
      <c r="P45" s="331"/>
      <c r="Q45" s="331"/>
      <c r="R45" s="331"/>
      <c r="S45" s="1891" t="str">
        <f>activesheet!E2921</f>
        <v>EDUCATION PROGRAM SUPERVISOR</v>
      </c>
      <c r="T45" s="1891"/>
      <c r="U45" s="1891"/>
      <c r="V45" s="1891"/>
      <c r="W45" s="1891"/>
      <c r="X45" s="1891"/>
      <c r="Y45" s="1891"/>
      <c r="Z45" s="331"/>
      <c r="AA45" s="331"/>
      <c r="AB45" s="1807" t="s">
        <v>37</v>
      </c>
      <c r="AC45" s="1807"/>
      <c r="AD45" s="1807"/>
      <c r="AE45" s="1807"/>
      <c r="AF45" s="1807"/>
      <c r="AG45" s="1807"/>
      <c r="AH45" s="1807"/>
      <c r="AI45" s="1807"/>
      <c r="AJ45" s="1807"/>
      <c r="AK45" s="1807"/>
      <c r="AL45" s="1807"/>
      <c r="AM45" s="331"/>
      <c r="AN45" s="331"/>
      <c r="AO45" s="331"/>
      <c r="AP45" s="331"/>
      <c r="AQ45" s="331"/>
      <c r="AR45" s="331"/>
      <c r="AS45" s="331"/>
      <c r="AT45" s="331"/>
      <c r="AU45" s="331"/>
      <c r="AV45" s="331"/>
      <c r="AW45" s="331"/>
      <c r="AX45" s="331"/>
      <c r="AY45" s="331"/>
      <c r="AZ45" s="331"/>
      <c r="BA45" s="331"/>
      <c r="BB45" s="331"/>
      <c r="BC45" s="331"/>
      <c r="BD45" s="331"/>
      <c r="BE45" s="331"/>
      <c r="BF45" s="331"/>
      <c r="BG45" s="331"/>
      <c r="BH45" s="331"/>
      <c r="BI45" s="331"/>
    </row>
    <row r="46" spans="1:61">
      <c r="A46" s="661"/>
      <c r="B46" s="661"/>
      <c r="C46" s="1223"/>
      <c r="D46" s="1223"/>
      <c r="E46" s="1223"/>
      <c r="F46" s="1223"/>
      <c r="G46" s="1223"/>
      <c r="H46" s="1223"/>
      <c r="I46" s="661"/>
      <c r="J46" s="1223"/>
      <c r="K46" s="1223"/>
      <c r="L46" s="1223"/>
      <c r="M46" s="1223"/>
      <c r="N46" s="1223"/>
      <c r="O46" s="1223"/>
      <c r="P46" s="1223"/>
      <c r="Q46" s="1223"/>
      <c r="R46" s="1223"/>
      <c r="S46" s="1223"/>
      <c r="T46" s="1223"/>
      <c r="U46" s="1223"/>
      <c r="V46" s="1223"/>
      <c r="W46" s="1223"/>
      <c r="X46" s="1223"/>
      <c r="Y46" s="1223"/>
      <c r="Z46" s="1223"/>
      <c r="AA46" s="1223"/>
      <c r="AB46" s="1223"/>
      <c r="AC46" s="1223"/>
      <c r="AD46" s="1223"/>
      <c r="AE46" s="1222"/>
      <c r="AF46" s="1222"/>
      <c r="AG46" s="1222"/>
      <c r="AH46" s="1222"/>
      <c r="AI46" s="1222"/>
      <c r="AJ46" s="1222"/>
      <c r="AK46" s="1222"/>
      <c r="AL46" s="1222"/>
      <c r="AM46" s="1222"/>
      <c r="AN46" s="1222"/>
      <c r="AO46" s="1222"/>
      <c r="AP46" s="1222"/>
      <c r="AQ46" s="1222"/>
      <c r="AR46" s="1222"/>
      <c r="AS46" s="1222"/>
      <c r="AT46" s="1222"/>
      <c r="AU46" s="1222"/>
      <c r="AV46" s="1222"/>
      <c r="AW46" s="1222"/>
      <c r="AX46" s="1222"/>
      <c r="AY46" s="661"/>
      <c r="AZ46" s="661"/>
      <c r="BA46" s="661"/>
      <c r="BB46" s="661"/>
      <c r="BC46" s="661"/>
      <c r="BD46" s="661"/>
      <c r="BE46" s="661"/>
      <c r="BF46" s="661"/>
      <c r="BG46" s="661"/>
      <c r="BH46" s="661"/>
      <c r="BI46" s="661"/>
    </row>
    <row r="47" spans="1:61" ht="15" customHeight="1">
      <c r="A47" s="661"/>
      <c r="B47" s="661"/>
      <c r="C47" s="661"/>
      <c r="D47" s="661"/>
      <c r="E47" s="581"/>
      <c r="F47" s="661"/>
      <c r="G47" s="661"/>
      <c r="H47" s="661"/>
      <c r="I47" s="661"/>
      <c r="J47" s="661"/>
      <c r="K47" s="661"/>
      <c r="L47" s="661"/>
      <c r="M47" s="661"/>
      <c r="N47" s="661"/>
      <c r="O47" s="661"/>
      <c r="P47" s="661"/>
      <c r="Q47" s="661"/>
      <c r="R47" s="661"/>
      <c r="S47" s="661"/>
      <c r="T47" s="661"/>
      <c r="U47" s="661"/>
      <c r="V47" s="661"/>
      <c r="W47" s="661"/>
      <c r="X47" s="661"/>
      <c r="Y47" s="661"/>
      <c r="Z47" s="661"/>
      <c r="AA47" s="661"/>
      <c r="AB47" s="661"/>
      <c r="AC47" s="661"/>
      <c r="AD47" s="661"/>
      <c r="AE47" s="661"/>
      <c r="AF47" s="661"/>
      <c r="AG47" s="661"/>
      <c r="AH47" s="661"/>
      <c r="AI47" s="661"/>
      <c r="AJ47" s="1222"/>
      <c r="AK47" s="1222"/>
      <c r="AL47" s="1222"/>
      <c r="AM47" s="1222"/>
      <c r="AN47" s="1222"/>
      <c r="AO47" s="1222"/>
      <c r="AP47" s="1222"/>
      <c r="AQ47" s="1222"/>
      <c r="AR47" s="1222"/>
      <c r="AS47" s="1222"/>
      <c r="AT47" s="1222"/>
      <c r="AU47" s="1222"/>
      <c r="AV47" s="1222"/>
      <c r="AW47" s="1222"/>
      <c r="AX47" s="1222"/>
      <c r="AY47" s="1222"/>
      <c r="AZ47" s="1222"/>
      <c r="BA47" s="661"/>
      <c r="BB47" s="661"/>
      <c r="BC47" s="661"/>
      <c r="BD47" s="661"/>
      <c r="BE47" s="661"/>
      <c r="BF47" s="661"/>
      <c r="BG47" s="661"/>
      <c r="BH47" s="661"/>
      <c r="BI47" s="661"/>
    </row>
    <row r="48" spans="1:61">
      <c r="A48" s="661"/>
      <c r="B48" s="661"/>
      <c r="C48" s="661"/>
      <c r="D48" s="661"/>
      <c r="E48" s="661"/>
      <c r="F48" s="661"/>
      <c r="G48" s="661"/>
      <c r="H48" s="661"/>
      <c r="I48" s="661"/>
      <c r="J48" s="661"/>
      <c r="K48" s="661"/>
      <c r="L48" s="661"/>
      <c r="M48" s="661"/>
      <c r="N48" s="661"/>
      <c r="O48" s="661"/>
      <c r="P48" s="661"/>
      <c r="Q48" s="661"/>
      <c r="R48" s="661"/>
      <c r="S48" s="661"/>
      <c r="T48" s="661"/>
      <c r="U48" s="661"/>
      <c r="V48" s="661"/>
      <c r="W48" s="661"/>
      <c r="X48" s="661"/>
      <c r="Y48" s="661"/>
      <c r="Z48" s="661"/>
      <c r="AA48" s="661"/>
      <c r="AB48" s="661"/>
      <c r="AC48" s="661"/>
      <c r="AD48" s="661"/>
      <c r="AE48" s="661"/>
      <c r="AF48" s="661"/>
      <c r="AG48" s="661"/>
      <c r="AH48" s="661"/>
      <c r="AI48" s="661"/>
      <c r="AJ48" s="661"/>
      <c r="AK48" s="661"/>
      <c r="AL48" s="661"/>
      <c r="AM48" s="661"/>
      <c r="AN48" s="661"/>
      <c r="AO48" s="661"/>
      <c r="AP48" s="661"/>
      <c r="AQ48" s="661"/>
      <c r="AR48" s="661"/>
      <c r="AS48" s="661"/>
      <c r="AT48" s="661"/>
      <c r="AU48" s="661"/>
      <c r="AV48" s="661"/>
      <c r="AW48" s="661"/>
      <c r="AX48" s="661"/>
      <c r="AY48" s="661"/>
      <c r="AZ48" s="661"/>
      <c r="BA48" s="661"/>
      <c r="BB48" s="661"/>
      <c r="BC48" s="661"/>
      <c r="BD48" s="661"/>
      <c r="BE48" s="661"/>
      <c r="BF48" s="661"/>
      <c r="BG48" s="661"/>
      <c r="BH48" s="661"/>
      <c r="BI48" s="661"/>
    </row>
    <row r="49" spans="1:61">
      <c r="A49" s="661"/>
      <c r="B49" s="661"/>
      <c r="C49" s="661"/>
      <c r="D49" s="661"/>
      <c r="E49" s="661"/>
      <c r="F49" s="661"/>
      <c r="G49" s="661"/>
      <c r="H49" s="66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1"/>
      <c r="AG49" s="661"/>
      <c r="AH49" s="661"/>
      <c r="AI49" s="661"/>
      <c r="AJ49" s="661"/>
      <c r="AK49" s="661"/>
      <c r="AL49" s="661"/>
      <c r="AM49" s="661"/>
      <c r="AN49" s="661"/>
      <c r="AO49" s="661"/>
      <c r="AP49" s="661"/>
      <c r="AQ49" s="661"/>
      <c r="AR49" s="661"/>
      <c r="AS49" s="661"/>
      <c r="AT49" s="661"/>
      <c r="AU49" s="661"/>
      <c r="AV49" s="661"/>
      <c r="AW49" s="661"/>
      <c r="AX49" s="661"/>
      <c r="AY49" s="661"/>
      <c r="AZ49" s="661"/>
      <c r="BA49" s="661"/>
      <c r="BB49" s="661"/>
      <c r="BC49" s="661"/>
      <c r="BD49" s="661"/>
      <c r="BE49" s="661"/>
      <c r="BF49" s="661"/>
      <c r="BG49" s="661"/>
      <c r="BH49" s="661"/>
      <c r="BI49" s="661"/>
    </row>
    <row r="50" spans="1:61">
      <c r="A50" s="661"/>
      <c r="B50" s="661"/>
      <c r="C50" s="661"/>
      <c r="D50" s="661"/>
      <c r="E50" s="661"/>
      <c r="F50" s="661"/>
      <c r="G50" s="661"/>
      <c r="H50" s="66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1"/>
      <c r="AG50" s="661"/>
      <c r="AH50" s="661"/>
      <c r="AI50" s="661"/>
      <c r="AJ50" s="661"/>
      <c r="AK50" s="661"/>
      <c r="AL50" s="661"/>
      <c r="AM50" s="661"/>
      <c r="AN50" s="661"/>
      <c r="AO50" s="661"/>
      <c r="AP50" s="661"/>
      <c r="AQ50" s="661"/>
      <c r="AR50" s="661"/>
      <c r="AS50" s="661"/>
      <c r="AT50" s="661"/>
      <c r="AU50" s="661"/>
      <c r="AV50" s="661"/>
      <c r="AW50" s="661"/>
      <c r="AX50" s="661"/>
      <c r="AY50" s="661"/>
      <c r="AZ50" s="661"/>
      <c r="BA50" s="661"/>
      <c r="BB50" s="661"/>
      <c r="BC50" s="661"/>
      <c r="BD50" s="661"/>
      <c r="BE50" s="661"/>
      <c r="BF50" s="661"/>
      <c r="BG50" s="661"/>
      <c r="BH50" s="661"/>
      <c r="BI50" s="661"/>
    </row>
    <row r="51" spans="1:61">
      <c r="A51" s="661"/>
      <c r="B51" s="661"/>
      <c r="C51" s="661"/>
      <c r="D51" s="661"/>
      <c r="E51" s="661"/>
      <c r="F51" s="661"/>
      <c r="G51" s="661"/>
      <c r="H51" s="66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1"/>
      <c r="AG51" s="661"/>
      <c r="AH51" s="661"/>
      <c r="AI51" s="661"/>
      <c r="AJ51" s="661"/>
      <c r="AK51" s="661"/>
      <c r="AL51" s="661"/>
      <c r="AM51" s="661"/>
      <c r="AN51" s="661"/>
      <c r="AO51" s="661"/>
      <c r="AP51" s="661"/>
      <c r="AQ51" s="661"/>
      <c r="AR51" s="661"/>
      <c r="AS51" s="661"/>
      <c r="AT51" s="661"/>
      <c r="AU51" s="661"/>
      <c r="AV51" s="661"/>
      <c r="AW51" s="661"/>
      <c r="AX51" s="661"/>
      <c r="AY51" s="661"/>
      <c r="AZ51" s="661"/>
      <c r="BA51" s="661"/>
      <c r="BB51" s="661"/>
      <c r="BC51" s="661"/>
      <c r="BD51" s="661"/>
      <c r="BE51" s="661"/>
      <c r="BF51" s="661"/>
      <c r="BG51" s="661"/>
      <c r="BH51" s="661"/>
      <c r="BI51" s="661"/>
    </row>
    <row r="52" spans="1:61">
      <c r="A52" s="661"/>
      <c r="B52" s="661"/>
      <c r="C52" s="661"/>
      <c r="D52" s="661"/>
      <c r="E52" s="661"/>
      <c r="F52" s="661"/>
      <c r="G52" s="661"/>
      <c r="H52" s="661"/>
      <c r="I52" s="661"/>
      <c r="J52" s="661"/>
      <c r="K52" s="661"/>
      <c r="L52" s="661"/>
      <c r="M52" s="661"/>
      <c r="N52" s="661"/>
      <c r="O52" s="661"/>
      <c r="P52" s="661"/>
      <c r="Q52" s="661"/>
      <c r="R52" s="661"/>
      <c r="S52" s="661"/>
      <c r="T52" s="661"/>
      <c r="U52" s="661"/>
      <c r="V52" s="661"/>
      <c r="W52" s="661"/>
      <c r="X52" s="661"/>
      <c r="Y52" s="661"/>
      <c r="Z52" s="661"/>
      <c r="AA52" s="661"/>
      <c r="AB52" s="661"/>
      <c r="AC52" s="661"/>
      <c r="AD52" s="661"/>
      <c r="AE52" s="661"/>
      <c r="AF52" s="661"/>
      <c r="AG52" s="661"/>
      <c r="AH52" s="661"/>
      <c r="AI52" s="661"/>
      <c r="AJ52" s="661"/>
      <c r="AK52" s="661"/>
      <c r="AL52" s="661"/>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row>
    <row r="53" spans="1:61">
      <c r="A53" s="661"/>
      <c r="B53" s="661"/>
      <c r="C53" s="661"/>
      <c r="D53" s="661"/>
      <c r="E53" s="661"/>
      <c r="F53" s="661"/>
      <c r="G53" s="661"/>
      <c r="H53" s="661"/>
      <c r="I53" s="661"/>
      <c r="J53" s="661"/>
      <c r="K53" s="661"/>
      <c r="L53" s="661"/>
      <c r="M53" s="661"/>
      <c r="N53" s="661"/>
      <c r="O53" s="661"/>
      <c r="P53" s="661"/>
      <c r="Q53" s="661"/>
      <c r="R53" s="661"/>
      <c r="S53" s="661"/>
      <c r="T53" s="661"/>
      <c r="U53" s="661"/>
      <c r="V53" s="661"/>
      <c r="W53" s="661"/>
      <c r="X53" s="661"/>
      <c r="Y53" s="661"/>
      <c r="Z53" s="661"/>
      <c r="AA53" s="661"/>
      <c r="AB53" s="661"/>
      <c r="AC53" s="661"/>
      <c r="AD53" s="661"/>
      <c r="AE53" s="661"/>
      <c r="AF53" s="661"/>
      <c r="AG53" s="661"/>
      <c r="AH53" s="661"/>
      <c r="AI53" s="661"/>
      <c r="AJ53" s="661"/>
      <c r="AK53" s="661"/>
      <c r="AL53" s="661"/>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row>
    <row r="54" spans="1:61">
      <c r="A54" s="661"/>
      <c r="B54" s="661"/>
      <c r="C54" s="661"/>
      <c r="D54" s="661"/>
      <c r="E54" s="661"/>
      <c r="F54" s="661"/>
      <c r="G54" s="661"/>
      <c r="H54" s="661"/>
      <c r="I54" s="661"/>
      <c r="J54" s="661"/>
      <c r="K54" s="661"/>
      <c r="L54" s="661"/>
      <c r="M54" s="661"/>
      <c r="N54" s="661"/>
      <c r="O54" s="661"/>
      <c r="P54" s="661"/>
      <c r="Q54" s="661"/>
      <c r="R54" s="661"/>
      <c r="S54" s="661"/>
      <c r="T54" s="661"/>
      <c r="U54" s="661"/>
      <c r="V54" s="661"/>
      <c r="W54" s="661"/>
      <c r="X54" s="661"/>
      <c r="Y54" s="661"/>
      <c r="Z54" s="661"/>
      <c r="AA54" s="661"/>
      <c r="AB54" s="661"/>
      <c r="AC54" s="661"/>
      <c r="AD54" s="661"/>
      <c r="AE54" s="661"/>
      <c r="AF54" s="661"/>
      <c r="AG54" s="661"/>
      <c r="AH54" s="661"/>
      <c r="AI54" s="661"/>
      <c r="AJ54" s="661"/>
      <c r="AK54" s="661"/>
      <c r="AL54" s="661"/>
      <c r="AM54" s="661"/>
      <c r="AN54" s="661"/>
      <c r="AO54" s="661"/>
      <c r="AP54" s="661"/>
      <c r="AQ54" s="661"/>
      <c r="AR54" s="661"/>
      <c r="AS54" s="661"/>
      <c r="AT54" s="661"/>
      <c r="AU54" s="661"/>
      <c r="AV54" s="661"/>
      <c r="AW54" s="661"/>
      <c r="AX54" s="661"/>
      <c r="AY54" s="661"/>
      <c r="AZ54" s="661"/>
      <c r="BA54" s="661"/>
      <c r="BB54" s="661"/>
      <c r="BC54" s="661"/>
      <c r="BD54" s="661"/>
      <c r="BE54" s="661"/>
      <c r="BF54" s="661"/>
      <c r="BG54" s="661"/>
      <c r="BH54" s="661"/>
      <c r="BI54" s="661"/>
    </row>
    <row r="55" spans="1:61">
      <c r="A55" s="661"/>
      <c r="B55" s="661"/>
      <c r="C55" s="661"/>
      <c r="D55" s="661"/>
      <c r="E55" s="661"/>
      <c r="F55" s="661"/>
      <c r="G55" s="661"/>
      <c r="H55" s="66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1"/>
      <c r="AP55" s="661"/>
      <c r="AQ55" s="661"/>
      <c r="AR55" s="661"/>
      <c r="AS55" s="661"/>
      <c r="AT55" s="661"/>
      <c r="AU55" s="661"/>
      <c r="AV55" s="661"/>
      <c r="AW55" s="661"/>
      <c r="AX55" s="661"/>
      <c r="AY55" s="661"/>
      <c r="AZ55" s="661"/>
      <c r="BA55" s="661"/>
      <c r="BB55" s="661"/>
      <c r="BC55" s="661"/>
      <c r="BD55" s="661"/>
      <c r="BE55" s="661"/>
      <c r="BF55" s="661"/>
      <c r="BG55" s="661"/>
      <c r="BH55" s="661"/>
      <c r="BI55" s="661"/>
    </row>
    <row r="56" spans="1:61">
      <c r="A56" s="661"/>
      <c r="B56" s="661"/>
      <c r="C56" s="661"/>
      <c r="D56" s="661"/>
      <c r="E56" s="661"/>
      <c r="F56" s="661"/>
      <c r="G56" s="661"/>
      <c r="H56" s="66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1"/>
      <c r="AY56" s="661"/>
      <c r="AZ56" s="661"/>
      <c r="BA56" s="661"/>
      <c r="BB56" s="661"/>
      <c r="BC56" s="661"/>
      <c r="BD56" s="661"/>
      <c r="BE56" s="661"/>
      <c r="BF56" s="661"/>
      <c r="BG56" s="661"/>
      <c r="BH56" s="661"/>
      <c r="BI56" s="661"/>
    </row>
    <row r="57" spans="1:61">
      <c r="A57" s="661"/>
      <c r="B57" s="661"/>
      <c r="C57" s="661"/>
      <c r="D57" s="661"/>
      <c r="E57" s="661"/>
      <c r="F57" s="661"/>
      <c r="G57" s="661"/>
      <c r="H57" s="66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1"/>
      <c r="AY57" s="661"/>
      <c r="AZ57" s="661"/>
      <c r="BA57" s="661"/>
      <c r="BB57" s="661"/>
      <c r="BC57" s="661"/>
      <c r="BD57" s="661"/>
      <c r="BE57" s="661"/>
      <c r="BF57" s="661"/>
      <c r="BG57" s="661"/>
      <c r="BH57" s="661"/>
      <c r="BI57" s="661"/>
    </row>
    <row r="58" spans="1:61">
      <c r="A58" s="661"/>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1"/>
      <c r="BH58" s="661"/>
      <c r="BI58" s="661"/>
    </row>
    <row r="59" spans="1:61">
      <c r="A59" s="661"/>
      <c r="B59" s="661"/>
      <c r="C59" s="661"/>
      <c r="D59" s="661"/>
      <c r="E59" s="661"/>
      <c r="F59" s="661"/>
      <c r="G59" s="661"/>
      <c r="H59" s="66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1"/>
      <c r="AY59" s="661"/>
      <c r="AZ59" s="661"/>
      <c r="BA59" s="661"/>
      <c r="BB59" s="661"/>
      <c r="BC59" s="661"/>
      <c r="BD59" s="661"/>
      <c r="BE59" s="661"/>
      <c r="BF59" s="661"/>
      <c r="BG59" s="661"/>
      <c r="BH59" s="661"/>
      <c r="BI59" s="661"/>
    </row>
    <row r="60" spans="1:61">
      <c r="A60" s="661"/>
      <c r="B60" s="661"/>
      <c r="C60" s="661"/>
      <c r="D60" s="661"/>
      <c r="E60" s="661"/>
      <c r="F60" s="661"/>
      <c r="G60" s="661"/>
      <c r="H60" s="66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1"/>
      <c r="AY60" s="661"/>
      <c r="AZ60" s="661"/>
      <c r="BA60" s="661"/>
      <c r="BB60" s="661"/>
      <c r="BC60" s="661"/>
      <c r="BD60" s="661"/>
      <c r="BE60" s="661"/>
      <c r="BF60" s="661"/>
      <c r="BG60" s="661"/>
      <c r="BH60" s="661"/>
      <c r="BI60" s="661"/>
    </row>
    <row r="61" spans="1:61">
      <c r="A61" s="661"/>
      <c r="B61" s="661"/>
      <c r="C61" s="661"/>
      <c r="D61" s="661"/>
      <c r="E61" s="661"/>
      <c r="F61" s="661"/>
      <c r="G61" s="661"/>
      <c r="H61" s="661"/>
      <c r="I61" s="661"/>
      <c r="J61" s="661"/>
      <c r="K61" s="661"/>
      <c r="L61" s="661"/>
      <c r="M61" s="661"/>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1"/>
      <c r="AY61" s="661"/>
      <c r="AZ61" s="661"/>
      <c r="BA61" s="661"/>
      <c r="BB61" s="661"/>
      <c r="BC61" s="661"/>
      <c r="BD61" s="661"/>
      <c r="BE61" s="661"/>
      <c r="BF61" s="661"/>
      <c r="BG61" s="661"/>
      <c r="BH61" s="661"/>
      <c r="BI61" s="661"/>
    </row>
    <row r="62" spans="1:61">
      <c r="A62" s="661"/>
      <c r="B62" s="661"/>
      <c r="C62" s="661"/>
      <c r="D62" s="661"/>
      <c r="E62" s="661"/>
      <c r="F62" s="661"/>
      <c r="G62" s="661"/>
      <c r="H62" s="661"/>
      <c r="I62" s="661"/>
      <c r="J62" s="661"/>
      <c r="K62" s="661"/>
      <c r="L62" s="661"/>
      <c r="M62" s="661"/>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1"/>
      <c r="AY62" s="661"/>
      <c r="AZ62" s="661"/>
      <c r="BA62" s="661"/>
      <c r="BB62" s="661"/>
      <c r="BC62" s="661"/>
      <c r="BD62" s="661"/>
      <c r="BE62" s="661"/>
      <c r="BF62" s="661"/>
      <c r="BG62" s="661"/>
      <c r="BH62" s="661"/>
      <c r="BI62" s="661"/>
    </row>
    <row r="63" spans="1:61">
      <c r="A63" s="661"/>
      <c r="B63" s="661"/>
      <c r="C63" s="661"/>
      <c r="D63" s="661"/>
      <c r="E63" s="661"/>
      <c r="F63" s="661"/>
      <c r="G63" s="661"/>
      <c r="H63" s="66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1"/>
      <c r="AK63" s="661"/>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row>
    <row r="64" spans="1:61">
      <c r="A64" s="661"/>
      <c r="B64" s="661"/>
      <c r="C64" s="661"/>
      <c r="D64" s="661"/>
      <c r="E64" s="661"/>
      <c r="F64" s="661"/>
      <c r="G64" s="661"/>
      <c r="H64" s="66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1"/>
      <c r="AK64" s="661"/>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row>
    <row r="65" spans="1:61">
      <c r="A65" s="661"/>
      <c r="B65" s="661"/>
      <c r="C65" s="661"/>
      <c r="D65" s="661"/>
      <c r="E65" s="661"/>
      <c r="F65" s="661"/>
      <c r="G65" s="661"/>
      <c r="H65" s="66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row>
    <row r="66" spans="1:61">
      <c r="A66" s="661"/>
      <c r="B66" s="661"/>
      <c r="C66" s="661"/>
      <c r="D66" s="661"/>
      <c r="E66" s="661"/>
      <c r="F66" s="661"/>
      <c r="G66" s="661"/>
      <c r="H66" s="661"/>
      <c r="I66" s="661"/>
      <c r="J66" s="661"/>
      <c r="K66" s="661"/>
      <c r="L66" s="661"/>
      <c r="M66" s="661"/>
      <c r="N66" s="661"/>
      <c r="O66" s="661"/>
      <c r="P66" s="661"/>
      <c r="Q66" s="661"/>
      <c r="R66" s="661"/>
      <c r="S66" s="661"/>
      <c r="T66" s="661"/>
      <c r="U66" s="661"/>
      <c r="V66" s="661"/>
      <c r="W66" s="661"/>
      <c r="X66" s="661"/>
      <c r="Y66" s="661"/>
      <c r="Z66" s="661"/>
      <c r="AA66" s="661"/>
      <c r="AB66" s="661"/>
      <c r="AC66" s="661"/>
      <c r="AD66" s="661"/>
      <c r="AE66" s="661"/>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row>
    <row r="67" spans="1:61">
      <c r="A67" s="661"/>
      <c r="B67" s="661"/>
      <c r="C67" s="661"/>
      <c r="D67" s="661"/>
      <c r="E67" s="661"/>
      <c r="F67" s="661"/>
      <c r="G67" s="661"/>
      <c r="H67" s="661"/>
      <c r="I67" s="661"/>
      <c r="J67" s="661"/>
      <c r="K67" s="661"/>
      <c r="L67" s="661"/>
      <c r="M67" s="661"/>
      <c r="N67" s="661"/>
      <c r="O67" s="661"/>
      <c r="P67" s="661"/>
      <c r="Q67" s="661"/>
      <c r="R67" s="661"/>
      <c r="S67" s="661"/>
      <c r="T67" s="661"/>
      <c r="U67" s="661"/>
      <c r="V67" s="661"/>
      <c r="W67" s="661"/>
      <c r="X67" s="661"/>
      <c r="Y67" s="661"/>
      <c r="Z67" s="661"/>
      <c r="AA67" s="661"/>
      <c r="AB67" s="661"/>
      <c r="AC67" s="661"/>
      <c r="AD67" s="661"/>
      <c r="AE67" s="661"/>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row>
    <row r="68" spans="1:61">
      <c r="A68" s="661"/>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61"/>
      <c r="BH68" s="661"/>
      <c r="BI68" s="661"/>
    </row>
    <row r="69" spans="1:61">
      <c r="A69" s="661"/>
      <c r="B69" s="661"/>
      <c r="C69" s="661"/>
      <c r="D69" s="661"/>
      <c r="E69" s="661"/>
      <c r="F69" s="661"/>
      <c r="G69" s="661"/>
      <c r="H69" s="66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1"/>
      <c r="AJ69" s="661"/>
      <c r="AK69" s="661"/>
      <c r="AL69" s="661"/>
      <c r="AM69" s="661"/>
      <c r="AN69" s="661"/>
      <c r="AO69" s="661"/>
      <c r="AP69" s="661"/>
      <c r="AQ69" s="661"/>
      <c r="AR69" s="661"/>
      <c r="AS69" s="661"/>
      <c r="AT69" s="661"/>
      <c r="AU69" s="661"/>
      <c r="AV69" s="661"/>
      <c r="AW69" s="661"/>
      <c r="AX69" s="661"/>
      <c r="AY69" s="661"/>
      <c r="AZ69" s="661"/>
      <c r="BA69" s="661"/>
      <c r="BB69" s="661"/>
      <c r="BC69" s="661"/>
      <c r="BD69" s="661"/>
      <c r="BE69" s="661"/>
      <c r="BF69" s="661"/>
      <c r="BG69" s="661"/>
      <c r="BH69" s="661"/>
      <c r="BI69" s="661"/>
    </row>
    <row r="70" spans="1:61">
      <c r="A70" s="661"/>
      <c r="B70" s="661"/>
      <c r="C70" s="661"/>
      <c r="D70" s="661"/>
      <c r="E70" s="661"/>
      <c r="F70" s="661"/>
      <c r="G70" s="661"/>
      <c r="H70" s="66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1"/>
      <c r="AJ70" s="661"/>
      <c r="AK70" s="661"/>
      <c r="AL70" s="661"/>
      <c r="AM70" s="661"/>
      <c r="AN70" s="661"/>
      <c r="AO70" s="661"/>
      <c r="AP70" s="661"/>
      <c r="AQ70" s="661"/>
      <c r="AR70" s="661"/>
      <c r="AS70" s="661"/>
      <c r="AT70" s="661"/>
      <c r="AU70" s="661"/>
      <c r="AV70" s="661"/>
      <c r="AW70" s="661"/>
      <c r="AX70" s="661"/>
      <c r="AY70" s="661"/>
      <c r="AZ70" s="661"/>
      <c r="BA70" s="661"/>
      <c r="BB70" s="661"/>
      <c r="BC70" s="661"/>
      <c r="BD70" s="661"/>
      <c r="BE70" s="661"/>
      <c r="BF70" s="661"/>
      <c r="BG70" s="661"/>
      <c r="BH70" s="661"/>
      <c r="BI70" s="661"/>
    </row>
    <row r="71" spans="1:61">
      <c r="A71" s="661"/>
      <c r="B71" s="661"/>
      <c r="C71" s="661"/>
      <c r="D71" s="661"/>
      <c r="E71" s="661"/>
      <c r="F71" s="661"/>
      <c r="G71" s="661"/>
      <c r="H71" s="661"/>
      <c r="I71" s="661"/>
      <c r="J71" s="661"/>
      <c r="K71" s="661"/>
      <c r="L71" s="661"/>
      <c r="M71" s="661"/>
      <c r="N71" s="661"/>
      <c r="O71" s="661"/>
      <c r="P71" s="661"/>
      <c r="Q71" s="661"/>
      <c r="R71" s="661"/>
      <c r="S71" s="661"/>
      <c r="T71" s="661"/>
      <c r="U71" s="661"/>
      <c r="V71" s="661"/>
      <c r="W71" s="661"/>
      <c r="X71" s="661"/>
      <c r="Y71" s="661"/>
      <c r="Z71" s="661"/>
      <c r="AA71" s="661"/>
      <c r="AB71" s="661"/>
      <c r="AC71" s="661"/>
      <c r="AD71" s="661"/>
      <c r="AE71" s="661"/>
      <c r="AF71" s="661"/>
      <c r="AG71" s="661"/>
      <c r="AH71" s="661"/>
      <c r="AI71" s="661"/>
      <c r="AJ71" s="661"/>
      <c r="AK71" s="661"/>
      <c r="AL71" s="661"/>
      <c r="AM71" s="661"/>
      <c r="AN71" s="661"/>
      <c r="AO71" s="661"/>
      <c r="AP71" s="661"/>
      <c r="AQ71" s="661"/>
      <c r="AR71" s="661"/>
      <c r="AS71" s="661"/>
      <c r="AT71" s="661"/>
      <c r="AU71" s="661"/>
      <c r="AV71" s="661"/>
      <c r="AW71" s="661"/>
      <c r="AX71" s="661"/>
      <c r="AY71" s="661"/>
      <c r="AZ71" s="661"/>
      <c r="BA71" s="661"/>
      <c r="BB71" s="661"/>
      <c r="BC71" s="661"/>
      <c r="BD71" s="661"/>
      <c r="BE71" s="661"/>
      <c r="BF71" s="661"/>
      <c r="BG71" s="661"/>
      <c r="BH71" s="661"/>
      <c r="BI71" s="661"/>
    </row>
  </sheetData>
  <sheetProtection algorithmName="SHA-512" hashValue="tp2LtiMgKuYakHd3lNW2PuJN27s/F7bAYUtqhsg+gjUx5AIo1g7wiZyieZarJLkZ8bRUX1DtUdyshh4vvm4E8w==" saltValue="vfJXB4iegwUYvsyKs+ZaxQ==" spinCount="100000" sheet="1" objects="1" scenarios="1"/>
  <customSheetViews>
    <customSheetView guid="{6EFEFCA0-BF14-457A-85A3-29CBF2A862A5}" showGridLines="0" fitToPage="1">
      <selection sqref="A1:AO47"/>
      <pageMargins left="0.23622047244094491" right="0.23622047244094491" top="0.19685039370078741" bottom="0.19685039370078741" header="0" footer="0.11811023622047245"/>
      <printOptions horizontalCentered="1" verticalCentered="1"/>
      <pageSetup paperSize="9" scale="64" orientation="portrait" r:id="rId1"/>
      <headerFooter>
        <oddFooter>&amp;L&amp;10&amp;F &amp;A&amp;R&amp;10Page 41 of 61</oddFooter>
      </headerFooter>
    </customSheetView>
  </customSheetViews>
  <mergeCells count="164">
    <mergeCell ref="C4:M4"/>
    <mergeCell ref="N4:R4"/>
    <mergeCell ref="S4:W4"/>
    <mergeCell ref="X4:AB4"/>
    <mergeCell ref="AC4:AG4"/>
    <mergeCell ref="AH4:AL4"/>
    <mergeCell ref="N5:R5"/>
    <mergeCell ref="S5:W5"/>
    <mergeCell ref="X5:AB5"/>
    <mergeCell ref="AC5:AG5"/>
    <mergeCell ref="AH5:AL5"/>
    <mergeCell ref="N6:R6"/>
    <mergeCell ref="S6:W6"/>
    <mergeCell ref="X6:AB6"/>
    <mergeCell ref="AC6:AG6"/>
    <mergeCell ref="AH6:AL6"/>
    <mergeCell ref="N7:R7"/>
    <mergeCell ref="S7:W7"/>
    <mergeCell ref="X7:AB7"/>
    <mergeCell ref="AC7:AG7"/>
    <mergeCell ref="AH7:AL7"/>
    <mergeCell ref="N8:R8"/>
    <mergeCell ref="S8:W8"/>
    <mergeCell ref="X8:AB8"/>
    <mergeCell ref="AC8:AG8"/>
    <mergeCell ref="AH8:AL8"/>
    <mergeCell ref="N9:R9"/>
    <mergeCell ref="S9:W9"/>
    <mergeCell ref="X9:AB9"/>
    <mergeCell ref="AC9:AG9"/>
    <mergeCell ref="AH9:AL9"/>
    <mergeCell ref="N10:R10"/>
    <mergeCell ref="S10:W10"/>
    <mergeCell ref="X10:AB10"/>
    <mergeCell ref="AC10:AG10"/>
    <mergeCell ref="AH10:AL10"/>
    <mergeCell ref="N11:R11"/>
    <mergeCell ref="S11:W11"/>
    <mergeCell ref="X11:AB11"/>
    <mergeCell ref="AC11:AG11"/>
    <mergeCell ref="AH11:AL11"/>
    <mergeCell ref="N12:R12"/>
    <mergeCell ref="S12:W12"/>
    <mergeCell ref="X12:AB12"/>
    <mergeCell ref="AC12:AG12"/>
    <mergeCell ref="AH12:AL12"/>
    <mergeCell ref="N13:R13"/>
    <mergeCell ref="S13:W13"/>
    <mergeCell ref="X13:AB13"/>
    <mergeCell ref="AC13:AG13"/>
    <mergeCell ref="AH13:AL13"/>
    <mergeCell ref="N14:R14"/>
    <mergeCell ref="S14:W14"/>
    <mergeCell ref="X14:AB14"/>
    <mergeCell ref="AC14:AG14"/>
    <mergeCell ref="AH14:AL14"/>
    <mergeCell ref="N15:R15"/>
    <mergeCell ref="S15:W15"/>
    <mergeCell ref="X15:AB15"/>
    <mergeCell ref="AC15:AG15"/>
    <mergeCell ref="AH15:AL15"/>
    <mergeCell ref="N16:R16"/>
    <mergeCell ref="S16:W16"/>
    <mergeCell ref="X16:AB16"/>
    <mergeCell ref="AC16:AG16"/>
    <mergeCell ref="AH16:AL16"/>
    <mergeCell ref="N17:R17"/>
    <mergeCell ref="S17:W17"/>
    <mergeCell ref="X17:AB17"/>
    <mergeCell ref="AC17:AG17"/>
    <mergeCell ref="AH17:AL17"/>
    <mergeCell ref="N18:R18"/>
    <mergeCell ref="S18:W18"/>
    <mergeCell ref="X18:AB18"/>
    <mergeCell ref="AC18:AG18"/>
    <mergeCell ref="AH18:AL18"/>
    <mergeCell ref="N19:R19"/>
    <mergeCell ref="S19:W19"/>
    <mergeCell ref="X19:AB19"/>
    <mergeCell ref="AC19:AG19"/>
    <mergeCell ref="AH19:AL19"/>
    <mergeCell ref="N20:R20"/>
    <mergeCell ref="S20:W20"/>
    <mergeCell ref="X20:AB20"/>
    <mergeCell ref="AC20:AG20"/>
    <mergeCell ref="AH20:AL20"/>
    <mergeCell ref="N21:R21"/>
    <mergeCell ref="S21:W21"/>
    <mergeCell ref="X21:AB21"/>
    <mergeCell ref="AC21:AG21"/>
    <mergeCell ref="AH21:AL21"/>
    <mergeCell ref="N22:R22"/>
    <mergeCell ref="S22:W22"/>
    <mergeCell ref="X22:AB22"/>
    <mergeCell ref="AC22:AG22"/>
    <mergeCell ref="AH22:AL22"/>
    <mergeCell ref="N23:R23"/>
    <mergeCell ref="S23:W23"/>
    <mergeCell ref="X23:AB23"/>
    <mergeCell ref="AC23:AG23"/>
    <mergeCell ref="AH23:AL23"/>
    <mergeCell ref="N24:R24"/>
    <mergeCell ref="S24:W24"/>
    <mergeCell ref="X24:AB24"/>
    <mergeCell ref="AC24:AG24"/>
    <mergeCell ref="AH24:AL24"/>
    <mergeCell ref="N25:R25"/>
    <mergeCell ref="S25:W25"/>
    <mergeCell ref="X25:AB25"/>
    <mergeCell ref="AC25:AG25"/>
    <mergeCell ref="AH25:AL25"/>
    <mergeCell ref="N26:R26"/>
    <mergeCell ref="S26:W26"/>
    <mergeCell ref="X26:AB26"/>
    <mergeCell ref="AC26:AG26"/>
    <mergeCell ref="AH26:AL26"/>
    <mergeCell ref="N27:R27"/>
    <mergeCell ref="S27:W27"/>
    <mergeCell ref="X27:AB27"/>
    <mergeCell ref="AC27:AG27"/>
    <mergeCell ref="AH27:AL27"/>
    <mergeCell ref="N28:R28"/>
    <mergeCell ref="S28:W28"/>
    <mergeCell ref="X28:AB28"/>
    <mergeCell ref="AC28:AG28"/>
    <mergeCell ref="AH28:AL28"/>
    <mergeCell ref="N29:R29"/>
    <mergeCell ref="S29:W29"/>
    <mergeCell ref="X29:AB29"/>
    <mergeCell ref="AC29:AG29"/>
    <mergeCell ref="AH29:AL29"/>
    <mergeCell ref="N30:R30"/>
    <mergeCell ref="S30:W30"/>
    <mergeCell ref="X30:AB30"/>
    <mergeCell ref="AC30:AG30"/>
    <mergeCell ref="AH30:AL30"/>
    <mergeCell ref="N31:R31"/>
    <mergeCell ref="S31:W31"/>
    <mergeCell ref="X31:AB31"/>
    <mergeCell ref="AC31:AG31"/>
    <mergeCell ref="AH31:AL31"/>
    <mergeCell ref="N32:R32"/>
    <mergeCell ref="S32:W32"/>
    <mergeCell ref="X32:AB32"/>
    <mergeCell ref="AC32:AG32"/>
    <mergeCell ref="AH32:AL32"/>
    <mergeCell ref="N33:R33"/>
    <mergeCell ref="S33:W33"/>
    <mergeCell ref="X33:AB33"/>
    <mergeCell ref="AC33:AG33"/>
    <mergeCell ref="AH33:AL33"/>
    <mergeCell ref="F45:L45"/>
    <mergeCell ref="S45:Y45"/>
    <mergeCell ref="AB45:AL45"/>
    <mergeCell ref="D34:AL34"/>
    <mergeCell ref="D35:AL35"/>
    <mergeCell ref="D36:AL36"/>
    <mergeCell ref="D37:AL37"/>
    <mergeCell ref="D38:AL38"/>
    <mergeCell ref="F43:L43"/>
    <mergeCell ref="O43:Y43"/>
    <mergeCell ref="AB43:AL44"/>
    <mergeCell ref="F44:L44"/>
    <mergeCell ref="O44:Y44"/>
  </mergeCells>
  <dataValidations count="1">
    <dataValidation type="whole" allowBlank="1" showInputMessage="1" showErrorMessage="1" errorTitle="GSHSP SY 2022-2023" error="Please enter valid number between 0-999." sqref="N5:AL33" xr:uid="{160CDCE5-15E0-4FD4-82F4-7DA7781B6981}">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4" orientation="portrait" r:id="rId2"/>
  <headerFooter>
    <oddFooter>&amp;L&amp;10&amp;F &amp;A&amp;R&amp;10Page 41 of 61</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13E66-B53C-4CC5-A8AB-D2E419292074}">
  <sheetPr codeName="Sheet44">
    <tabColor rgb="FFFFFF00"/>
    <pageSetUpPr fitToPage="1"/>
  </sheetPr>
  <dimension ref="A1:BG60"/>
  <sheetViews>
    <sheetView showGridLines="0" topLeftCell="B1" zoomScaleNormal="100" workbookViewId="0">
      <selection sqref="A1:AY41"/>
    </sheetView>
  </sheetViews>
  <sheetFormatPr defaultColWidth="9" defaultRowHeight="15.75"/>
  <cols>
    <col min="1" max="1" width="2.125" style="168" customWidth="1"/>
    <col min="2" max="44" width="3.625" style="168" customWidth="1"/>
    <col min="45" max="45" width="2.125" style="168" customWidth="1"/>
    <col min="46" max="47" width="3.625" style="168" customWidth="1"/>
    <col min="48" max="48" width="2.125" style="168" customWidth="1"/>
    <col min="49" max="262" width="3.625" style="168" customWidth="1"/>
    <col min="263" max="16384" width="9" style="168"/>
  </cols>
  <sheetData>
    <row r="1" spans="1:59" ht="12" customHeight="1">
      <c r="A1" s="941"/>
      <c r="B1" s="941"/>
      <c r="C1" s="941"/>
      <c r="D1" s="941"/>
      <c r="E1" s="941"/>
      <c r="F1" s="941"/>
      <c r="G1" s="941"/>
      <c r="H1" s="941"/>
      <c r="I1" s="941"/>
      <c r="J1" s="941"/>
      <c r="K1" s="941"/>
      <c r="L1" s="941"/>
      <c r="M1" s="941"/>
      <c r="N1" s="941"/>
      <c r="O1" s="941"/>
      <c r="P1" s="941"/>
      <c r="Q1" s="941"/>
      <c r="R1" s="941"/>
      <c r="S1" s="941"/>
      <c r="T1" s="941"/>
      <c r="U1" s="941"/>
      <c r="V1" s="941"/>
      <c r="W1" s="941"/>
      <c r="X1" s="941"/>
      <c r="Y1" s="941"/>
      <c r="Z1" s="941"/>
      <c r="AA1" s="941"/>
      <c r="AB1" s="941"/>
      <c r="AC1" s="941"/>
      <c r="AD1" s="941"/>
      <c r="AE1" s="941"/>
      <c r="AF1" s="941"/>
      <c r="AG1" s="941"/>
      <c r="AH1" s="941"/>
      <c r="AI1" s="941"/>
      <c r="AJ1" s="941"/>
      <c r="AK1" s="941"/>
      <c r="AL1" s="941"/>
      <c r="AM1" s="941"/>
      <c r="AN1" s="941"/>
      <c r="AO1" s="941"/>
      <c r="AP1" s="941"/>
      <c r="AQ1" s="941"/>
      <c r="AR1" s="941"/>
      <c r="AS1" s="941"/>
      <c r="AT1" s="941"/>
      <c r="AU1" s="941"/>
      <c r="AV1" s="941"/>
      <c r="AW1" s="941"/>
      <c r="AX1" s="941"/>
      <c r="AY1" s="941"/>
      <c r="AZ1" s="941"/>
      <c r="BA1" s="941"/>
      <c r="BB1" s="941"/>
      <c r="BC1" s="941"/>
      <c r="BD1" s="941"/>
      <c r="BE1" s="941"/>
      <c r="BF1" s="941"/>
      <c r="BG1" s="941"/>
    </row>
    <row r="2" spans="1:59" s="102" customFormat="1" ht="16.5" customHeight="1">
      <c r="A2" s="599"/>
      <c r="B2" s="1226" t="s">
        <v>11433</v>
      </c>
      <c r="C2" s="683"/>
      <c r="D2" s="683"/>
      <c r="E2" s="683"/>
      <c r="F2" s="683"/>
      <c r="G2" s="683"/>
      <c r="H2" s="683"/>
      <c r="I2" s="683"/>
      <c r="J2" s="683"/>
      <c r="K2" s="683"/>
      <c r="L2" s="683"/>
      <c r="M2" s="683"/>
      <c r="N2" s="683"/>
      <c r="O2" s="683"/>
      <c r="P2" s="683"/>
      <c r="Q2" s="683"/>
      <c r="R2" s="683"/>
      <c r="S2" s="684"/>
      <c r="T2" s="684"/>
      <c r="U2" s="684"/>
      <c r="V2" s="684"/>
      <c r="W2" s="684"/>
      <c r="X2" s="684"/>
      <c r="Y2" s="684"/>
      <c r="Z2" s="684"/>
      <c r="AA2" s="684"/>
      <c r="AB2" s="684"/>
      <c r="AC2" s="684"/>
      <c r="AD2" s="684"/>
      <c r="AE2" s="684"/>
      <c r="AF2" s="684"/>
      <c r="AG2" s="684"/>
      <c r="AH2" s="684"/>
      <c r="AI2" s="684"/>
      <c r="AJ2" s="684"/>
      <c r="AK2" s="684"/>
      <c r="AL2" s="684"/>
      <c r="AM2" s="599"/>
      <c r="AN2" s="599"/>
      <c r="AO2" s="599"/>
      <c r="AP2" s="599"/>
      <c r="AQ2" s="599"/>
      <c r="AR2" s="599"/>
      <c r="AS2" s="599"/>
      <c r="AT2" s="599"/>
      <c r="AU2" s="599"/>
      <c r="AV2" s="599"/>
      <c r="AW2" s="599"/>
      <c r="AX2" s="599"/>
      <c r="AY2" s="599"/>
      <c r="AZ2" s="599"/>
      <c r="BA2" s="599"/>
      <c r="BB2" s="599"/>
      <c r="BC2" s="599"/>
      <c r="BD2" s="599"/>
      <c r="BE2" s="599"/>
      <c r="BF2" s="599"/>
      <c r="BG2" s="599"/>
    </row>
    <row r="3" spans="1:59" s="41" customFormat="1" ht="18" thickBot="1">
      <c r="A3" s="593"/>
      <c r="B3" s="1227" t="s">
        <v>1030</v>
      </c>
      <c r="C3" s="593"/>
      <c r="D3" s="593"/>
      <c r="E3" s="593"/>
      <c r="F3" s="593"/>
      <c r="G3" s="593"/>
      <c r="H3" s="593"/>
      <c r="I3" s="593"/>
      <c r="J3" s="593"/>
      <c r="K3" s="593"/>
      <c r="L3" s="593"/>
      <c r="M3" s="593"/>
      <c r="N3" s="593"/>
      <c r="O3" s="593"/>
      <c r="P3" s="593"/>
      <c r="Q3" s="593"/>
      <c r="R3" s="593"/>
      <c r="S3" s="593"/>
      <c r="T3" s="593"/>
      <c r="U3" s="593"/>
      <c r="V3" s="593"/>
      <c r="W3" s="593"/>
      <c r="X3" s="593"/>
      <c r="Y3" s="593"/>
      <c r="Z3" s="593"/>
      <c r="AA3" s="593"/>
      <c r="AB3" s="593"/>
      <c r="AC3" s="593"/>
      <c r="AD3" s="593"/>
      <c r="AE3" s="593"/>
      <c r="AF3" s="593"/>
      <c r="AG3" s="593"/>
      <c r="AH3" s="593"/>
      <c r="AI3" s="593"/>
      <c r="AJ3" s="593"/>
      <c r="AK3" s="593"/>
      <c r="AL3" s="593"/>
      <c r="AM3" s="593"/>
      <c r="AN3" s="593"/>
      <c r="AO3" s="593"/>
      <c r="AP3" s="593"/>
      <c r="AQ3" s="593"/>
      <c r="AR3" s="593"/>
      <c r="AS3" s="593"/>
      <c r="AT3" s="593"/>
      <c r="AU3" s="593"/>
      <c r="AV3" s="593"/>
      <c r="AW3" s="593"/>
      <c r="AX3" s="593"/>
      <c r="AY3" s="593"/>
      <c r="AZ3" s="593"/>
      <c r="BA3" s="593"/>
      <c r="BB3" s="593"/>
      <c r="BC3" s="593"/>
      <c r="BD3" s="593"/>
      <c r="BE3" s="593"/>
      <c r="BF3" s="593"/>
      <c r="BG3" s="593"/>
    </row>
    <row r="4" spans="1:59" s="40" customFormat="1" ht="18" thickTop="1" thickBot="1">
      <c r="A4" s="582"/>
      <c r="B4" s="3554" t="s">
        <v>1957</v>
      </c>
      <c r="C4" s="3555"/>
      <c r="D4" s="3555"/>
      <c r="E4" s="3555"/>
      <c r="F4" s="3555"/>
      <c r="G4" s="3555"/>
      <c r="H4" s="3555"/>
      <c r="I4" s="3555"/>
      <c r="J4" s="3555"/>
      <c r="K4" s="3555"/>
      <c r="L4" s="3555"/>
      <c r="M4" s="3555"/>
      <c r="N4" s="3555"/>
      <c r="O4" s="3555"/>
      <c r="P4" s="3555"/>
      <c r="Q4" s="3555"/>
      <c r="R4" s="3555"/>
      <c r="S4" s="3555"/>
      <c r="T4" s="3556"/>
      <c r="U4" s="3560">
        <v>2021</v>
      </c>
      <c r="V4" s="3561"/>
      <c r="W4" s="3561"/>
      <c r="X4" s="3561"/>
      <c r="Y4" s="3561"/>
      <c r="Z4" s="3561"/>
      <c r="AA4" s="3561"/>
      <c r="AB4" s="3561"/>
      <c r="AC4" s="3561"/>
      <c r="AD4" s="3561"/>
      <c r="AE4" s="3561"/>
      <c r="AF4" s="3561"/>
      <c r="AG4" s="3561"/>
      <c r="AH4" s="3562"/>
      <c r="AI4" s="3561">
        <v>2022</v>
      </c>
      <c r="AJ4" s="3561"/>
      <c r="AK4" s="3561"/>
      <c r="AL4" s="3561"/>
      <c r="AM4" s="3561"/>
      <c r="AN4" s="3561"/>
      <c r="AO4" s="3561"/>
      <c r="AP4" s="3561"/>
      <c r="AQ4" s="3561"/>
      <c r="AR4" s="3563"/>
      <c r="AS4" s="582"/>
      <c r="AT4" s="582"/>
      <c r="AU4" s="582"/>
      <c r="AV4" s="582"/>
      <c r="AW4" s="582"/>
      <c r="AX4" s="582"/>
      <c r="AY4" s="582"/>
      <c r="AZ4" s="582"/>
      <c r="BA4" s="582"/>
      <c r="BB4" s="582"/>
      <c r="BC4" s="582"/>
      <c r="BD4" s="582"/>
      <c r="BE4" s="582"/>
      <c r="BF4" s="582"/>
      <c r="BG4" s="582"/>
    </row>
    <row r="5" spans="1:59" s="40" customFormat="1" ht="17.25" thickBot="1">
      <c r="A5" s="582"/>
      <c r="B5" s="3557"/>
      <c r="C5" s="3558"/>
      <c r="D5" s="3558"/>
      <c r="E5" s="3558"/>
      <c r="F5" s="3558"/>
      <c r="G5" s="3558"/>
      <c r="H5" s="3558"/>
      <c r="I5" s="3558"/>
      <c r="J5" s="3558"/>
      <c r="K5" s="3558"/>
      <c r="L5" s="3558"/>
      <c r="M5" s="3558"/>
      <c r="N5" s="3558"/>
      <c r="O5" s="3558"/>
      <c r="P5" s="3558"/>
      <c r="Q5" s="3558"/>
      <c r="R5" s="3558"/>
      <c r="S5" s="3558"/>
      <c r="T5" s="3559"/>
      <c r="U5" s="3564" t="s">
        <v>828</v>
      </c>
      <c r="V5" s="3549"/>
      <c r="W5" s="3549" t="s">
        <v>829</v>
      </c>
      <c r="X5" s="3549"/>
      <c r="Y5" s="3549" t="s">
        <v>830</v>
      </c>
      <c r="Z5" s="3549"/>
      <c r="AA5" s="3549" t="s">
        <v>831</v>
      </c>
      <c r="AB5" s="3549"/>
      <c r="AC5" s="3549" t="s">
        <v>832</v>
      </c>
      <c r="AD5" s="3549"/>
      <c r="AE5" s="3549" t="s">
        <v>833</v>
      </c>
      <c r="AF5" s="3549"/>
      <c r="AG5" s="3549" t="s">
        <v>834</v>
      </c>
      <c r="AH5" s="3565"/>
      <c r="AI5" s="3548" t="s">
        <v>835</v>
      </c>
      <c r="AJ5" s="3549"/>
      <c r="AK5" s="3549" t="s">
        <v>836</v>
      </c>
      <c r="AL5" s="3549"/>
      <c r="AM5" s="3549" t="s">
        <v>837</v>
      </c>
      <c r="AN5" s="3549"/>
      <c r="AO5" s="3549" t="s">
        <v>838</v>
      </c>
      <c r="AP5" s="3549"/>
      <c r="AQ5" s="3549" t="s">
        <v>839</v>
      </c>
      <c r="AR5" s="3550"/>
      <c r="AS5" s="582"/>
      <c r="AT5" s="582"/>
      <c r="AU5" s="582"/>
      <c r="AV5" s="582"/>
      <c r="AW5" s="582"/>
      <c r="AX5" s="582"/>
      <c r="AY5" s="582"/>
      <c r="AZ5" s="582"/>
      <c r="BA5" s="582"/>
      <c r="BB5" s="582"/>
      <c r="BC5" s="582"/>
      <c r="BD5" s="582"/>
      <c r="BE5" s="582"/>
      <c r="BF5" s="582"/>
      <c r="BG5" s="582"/>
    </row>
    <row r="6" spans="1:59" s="41" customFormat="1" ht="18" thickTop="1">
      <c r="A6" s="593"/>
      <c r="B6" s="198" t="s">
        <v>1673</v>
      </c>
      <c r="C6" s="199"/>
      <c r="D6" s="199"/>
      <c r="E6" s="200"/>
      <c r="F6" s="200"/>
      <c r="G6" s="200"/>
      <c r="H6" s="200"/>
      <c r="I6" s="200"/>
      <c r="J6" s="200"/>
      <c r="K6" s="200"/>
      <c r="L6" s="200"/>
      <c r="M6" s="200"/>
      <c r="N6" s="200"/>
      <c r="O6" s="200"/>
      <c r="P6" s="200"/>
      <c r="Q6" s="200"/>
      <c r="R6" s="200"/>
      <c r="S6" s="200"/>
      <c r="T6" s="201"/>
      <c r="U6" s="3551"/>
      <c r="V6" s="3552"/>
      <c r="W6" s="3552"/>
      <c r="X6" s="3552"/>
      <c r="Y6" s="3552"/>
      <c r="Z6" s="3552"/>
      <c r="AA6" s="3552"/>
      <c r="AB6" s="3552"/>
      <c r="AC6" s="3552"/>
      <c r="AD6" s="3552"/>
      <c r="AE6" s="3552"/>
      <c r="AF6" s="3552"/>
      <c r="AG6" s="3552"/>
      <c r="AH6" s="3552"/>
      <c r="AI6" s="3552"/>
      <c r="AJ6" s="3552"/>
      <c r="AK6" s="3552"/>
      <c r="AL6" s="3552"/>
      <c r="AM6" s="3552"/>
      <c r="AN6" s="3552"/>
      <c r="AO6" s="3552"/>
      <c r="AP6" s="3552"/>
      <c r="AQ6" s="3552"/>
      <c r="AR6" s="3553"/>
      <c r="AS6" s="593"/>
      <c r="AT6" s="593"/>
      <c r="AU6" s="593"/>
      <c r="AV6" s="593"/>
      <c r="AW6" s="593"/>
      <c r="AX6" s="593"/>
      <c r="AY6" s="593"/>
      <c r="AZ6" s="593"/>
      <c r="BA6" s="593"/>
      <c r="BB6" s="593"/>
      <c r="BC6" s="593"/>
      <c r="BD6" s="593"/>
      <c r="BE6" s="593"/>
      <c r="BF6" s="593"/>
      <c r="BG6" s="593"/>
    </row>
    <row r="7" spans="1:59" s="41" customFormat="1" ht="24.95" customHeight="1">
      <c r="A7" s="593"/>
      <c r="B7" s="1744"/>
      <c r="C7" s="3530" t="s">
        <v>840</v>
      </c>
      <c r="D7" s="3530"/>
      <c r="E7" s="3530"/>
      <c r="F7" s="3530"/>
      <c r="G7" s="3530"/>
      <c r="H7" s="3530"/>
      <c r="I7" s="3530"/>
      <c r="J7" s="3530"/>
      <c r="K7" s="3530"/>
      <c r="L7" s="3530"/>
      <c r="M7" s="3530"/>
      <c r="N7" s="3530"/>
      <c r="O7" s="3530"/>
      <c r="P7" s="3530"/>
      <c r="Q7" s="3530"/>
      <c r="R7" s="3530"/>
      <c r="S7" s="3530"/>
      <c r="T7" s="1745"/>
      <c r="U7" s="3545">
        <v>0</v>
      </c>
      <c r="V7" s="3546"/>
      <c r="W7" s="3542">
        <v>0</v>
      </c>
      <c r="X7" s="3543"/>
      <c r="Y7" s="3542">
        <v>0</v>
      </c>
      <c r="Z7" s="3543"/>
      <c r="AA7" s="3542">
        <v>0</v>
      </c>
      <c r="AB7" s="3543"/>
      <c r="AC7" s="3542">
        <v>0</v>
      </c>
      <c r="AD7" s="3543"/>
      <c r="AE7" s="3542">
        <v>0</v>
      </c>
      <c r="AF7" s="3543"/>
      <c r="AG7" s="3542">
        <v>0</v>
      </c>
      <c r="AH7" s="3547"/>
      <c r="AI7" s="3546">
        <v>0</v>
      </c>
      <c r="AJ7" s="3543"/>
      <c r="AK7" s="3542">
        <v>0</v>
      </c>
      <c r="AL7" s="3543"/>
      <c r="AM7" s="3542">
        <v>0</v>
      </c>
      <c r="AN7" s="3543"/>
      <c r="AO7" s="3542">
        <v>0</v>
      </c>
      <c r="AP7" s="3543"/>
      <c r="AQ7" s="3542">
        <v>0</v>
      </c>
      <c r="AR7" s="3544"/>
      <c r="AS7" s="593"/>
      <c r="AT7" s="593"/>
      <c r="AU7" s="593"/>
      <c r="AV7" s="593"/>
      <c r="AW7" s="593"/>
      <c r="AX7" s="593"/>
      <c r="AY7" s="593"/>
      <c r="AZ7" s="593"/>
      <c r="BA7" s="593"/>
      <c r="BB7" s="593"/>
      <c r="BC7" s="593"/>
      <c r="BD7" s="593"/>
      <c r="BE7" s="593"/>
      <c r="BF7" s="593"/>
      <c r="BG7" s="593"/>
    </row>
    <row r="8" spans="1:59" s="41" customFormat="1" ht="24.95" customHeight="1">
      <c r="A8" s="593"/>
      <c r="B8" s="1744"/>
      <c r="C8" s="3530" t="s">
        <v>841</v>
      </c>
      <c r="D8" s="3530"/>
      <c r="E8" s="3530"/>
      <c r="F8" s="3530"/>
      <c r="G8" s="3530"/>
      <c r="H8" s="3530"/>
      <c r="I8" s="3530"/>
      <c r="J8" s="3530"/>
      <c r="K8" s="3530"/>
      <c r="L8" s="3530"/>
      <c r="M8" s="3530"/>
      <c r="N8" s="3530"/>
      <c r="O8" s="3530"/>
      <c r="P8" s="3530"/>
      <c r="Q8" s="3530"/>
      <c r="R8" s="3530"/>
      <c r="S8" s="3530"/>
      <c r="T8" s="1745"/>
      <c r="U8" s="3545">
        <v>0</v>
      </c>
      <c r="V8" s="3546"/>
      <c r="W8" s="3542">
        <v>0</v>
      </c>
      <c r="X8" s="3543"/>
      <c r="Y8" s="3542">
        <v>0</v>
      </c>
      <c r="Z8" s="3543"/>
      <c r="AA8" s="3542">
        <v>0</v>
      </c>
      <c r="AB8" s="3543"/>
      <c r="AC8" s="3542">
        <v>0</v>
      </c>
      <c r="AD8" s="3543"/>
      <c r="AE8" s="3542">
        <v>0</v>
      </c>
      <c r="AF8" s="3543"/>
      <c r="AG8" s="3542">
        <v>0</v>
      </c>
      <c r="AH8" s="3547"/>
      <c r="AI8" s="3546">
        <v>0</v>
      </c>
      <c r="AJ8" s="3543"/>
      <c r="AK8" s="3542">
        <v>0</v>
      </c>
      <c r="AL8" s="3543"/>
      <c r="AM8" s="3542">
        <v>0</v>
      </c>
      <c r="AN8" s="3543"/>
      <c r="AO8" s="3542">
        <v>0</v>
      </c>
      <c r="AP8" s="3543"/>
      <c r="AQ8" s="3542">
        <v>0</v>
      </c>
      <c r="AR8" s="3544"/>
      <c r="AS8" s="593"/>
      <c r="AT8" s="593"/>
      <c r="AU8" s="593"/>
      <c r="AV8" s="593"/>
      <c r="AW8" s="593"/>
      <c r="AX8" s="593"/>
      <c r="AY8" s="593"/>
      <c r="AZ8" s="593"/>
      <c r="BA8" s="593"/>
      <c r="BB8" s="593"/>
      <c r="BC8" s="593"/>
      <c r="BD8" s="593"/>
      <c r="BE8" s="593"/>
      <c r="BF8" s="593"/>
      <c r="BG8" s="593"/>
    </row>
    <row r="9" spans="1:59" s="41" customFormat="1" ht="24.95" customHeight="1">
      <c r="A9" s="593"/>
      <c r="B9" s="1744"/>
      <c r="C9" s="3530" t="s">
        <v>1958</v>
      </c>
      <c r="D9" s="3530"/>
      <c r="E9" s="3530"/>
      <c r="F9" s="3530"/>
      <c r="G9" s="3530"/>
      <c r="H9" s="3530"/>
      <c r="I9" s="3530"/>
      <c r="J9" s="3530"/>
      <c r="K9" s="3530"/>
      <c r="L9" s="3530"/>
      <c r="M9" s="3530"/>
      <c r="N9" s="3530"/>
      <c r="O9" s="3530"/>
      <c r="P9" s="3530"/>
      <c r="Q9" s="3530"/>
      <c r="R9" s="3530"/>
      <c r="S9" s="3530"/>
      <c r="T9" s="1746"/>
      <c r="U9" s="3545">
        <v>0</v>
      </c>
      <c r="V9" s="3546"/>
      <c r="W9" s="3542">
        <v>0</v>
      </c>
      <c r="X9" s="3543"/>
      <c r="Y9" s="3542">
        <v>0</v>
      </c>
      <c r="Z9" s="3543"/>
      <c r="AA9" s="3542">
        <v>0</v>
      </c>
      <c r="AB9" s="3543"/>
      <c r="AC9" s="3542">
        <v>0</v>
      </c>
      <c r="AD9" s="3543"/>
      <c r="AE9" s="3542">
        <v>0</v>
      </c>
      <c r="AF9" s="3543"/>
      <c r="AG9" s="3542">
        <v>0</v>
      </c>
      <c r="AH9" s="3547"/>
      <c r="AI9" s="3546">
        <v>0</v>
      </c>
      <c r="AJ9" s="3543"/>
      <c r="AK9" s="3542">
        <v>0</v>
      </c>
      <c r="AL9" s="3543"/>
      <c r="AM9" s="3542">
        <v>0</v>
      </c>
      <c r="AN9" s="3543"/>
      <c r="AO9" s="3542">
        <v>0</v>
      </c>
      <c r="AP9" s="3543"/>
      <c r="AQ9" s="3542">
        <v>0</v>
      </c>
      <c r="AR9" s="3544"/>
      <c r="AS9" s="593"/>
      <c r="AT9" s="593"/>
      <c r="AU9" s="593"/>
      <c r="AV9" s="593"/>
      <c r="AW9" s="593"/>
      <c r="AX9" s="593"/>
      <c r="AY9" s="593"/>
      <c r="AZ9" s="593"/>
      <c r="BA9" s="593"/>
      <c r="BB9" s="593"/>
      <c r="BC9" s="593"/>
      <c r="BD9" s="593"/>
      <c r="BE9" s="593"/>
      <c r="BF9" s="593"/>
      <c r="BG9" s="593"/>
    </row>
    <row r="10" spans="1:59" s="41" customFormat="1" ht="24.95" customHeight="1">
      <c r="A10" s="593"/>
      <c r="B10" s="1744"/>
      <c r="C10" s="3530" t="s">
        <v>842</v>
      </c>
      <c r="D10" s="3530"/>
      <c r="E10" s="3530"/>
      <c r="F10" s="3530"/>
      <c r="G10" s="3530"/>
      <c r="H10" s="3530"/>
      <c r="I10" s="3530"/>
      <c r="J10" s="3530"/>
      <c r="K10" s="3530"/>
      <c r="L10" s="3530"/>
      <c r="M10" s="3530"/>
      <c r="N10" s="3530"/>
      <c r="O10" s="3530"/>
      <c r="P10" s="3530"/>
      <c r="Q10" s="3530"/>
      <c r="R10" s="3530"/>
      <c r="S10" s="3530"/>
      <c r="T10" s="1745"/>
      <c r="U10" s="3545">
        <v>0</v>
      </c>
      <c r="V10" s="3546"/>
      <c r="W10" s="3542">
        <v>0</v>
      </c>
      <c r="X10" s="3543"/>
      <c r="Y10" s="3542">
        <v>0</v>
      </c>
      <c r="Z10" s="3543"/>
      <c r="AA10" s="3542">
        <v>0</v>
      </c>
      <c r="AB10" s="3543"/>
      <c r="AC10" s="3542">
        <v>1</v>
      </c>
      <c r="AD10" s="3543"/>
      <c r="AE10" s="3542">
        <v>0</v>
      </c>
      <c r="AF10" s="3543"/>
      <c r="AG10" s="3542">
        <v>1</v>
      </c>
      <c r="AH10" s="3547"/>
      <c r="AI10" s="3546">
        <v>0</v>
      </c>
      <c r="AJ10" s="3543"/>
      <c r="AK10" s="3542">
        <v>0</v>
      </c>
      <c r="AL10" s="3543"/>
      <c r="AM10" s="3542">
        <v>1</v>
      </c>
      <c r="AN10" s="3543"/>
      <c r="AO10" s="3542">
        <v>0</v>
      </c>
      <c r="AP10" s="3543"/>
      <c r="AQ10" s="3542">
        <v>0</v>
      </c>
      <c r="AR10" s="3544"/>
      <c r="AS10" s="593"/>
      <c r="AT10" s="593"/>
      <c r="AU10" s="593"/>
      <c r="AV10" s="593"/>
      <c r="AW10" s="593"/>
      <c r="AX10" s="593"/>
      <c r="AY10" s="593"/>
      <c r="AZ10" s="593"/>
      <c r="BA10" s="593"/>
      <c r="BB10" s="593"/>
      <c r="BC10" s="593"/>
      <c r="BD10" s="593"/>
      <c r="BE10" s="593"/>
      <c r="BF10" s="593"/>
      <c r="BG10" s="593"/>
    </row>
    <row r="11" spans="1:59" s="55" customFormat="1" ht="24.95" customHeight="1">
      <c r="A11" s="267"/>
      <c r="B11" s="1747"/>
      <c r="C11" s="3530" t="s">
        <v>843</v>
      </c>
      <c r="D11" s="3530"/>
      <c r="E11" s="3530"/>
      <c r="F11" s="3530"/>
      <c r="G11" s="3530"/>
      <c r="H11" s="3530"/>
      <c r="I11" s="3530"/>
      <c r="J11" s="3530"/>
      <c r="K11" s="3530"/>
      <c r="L11" s="3530"/>
      <c r="M11" s="3530"/>
      <c r="N11" s="3530"/>
      <c r="O11" s="3530"/>
      <c r="P11" s="3530"/>
      <c r="Q11" s="3530"/>
      <c r="R11" s="3530"/>
      <c r="S11" s="3530"/>
      <c r="T11" s="1745"/>
      <c r="U11" s="3545">
        <v>0</v>
      </c>
      <c r="V11" s="3546"/>
      <c r="W11" s="3542">
        <v>0</v>
      </c>
      <c r="X11" s="3543"/>
      <c r="Y11" s="3542">
        <v>0</v>
      </c>
      <c r="Z11" s="3543"/>
      <c r="AA11" s="3542">
        <v>0</v>
      </c>
      <c r="AB11" s="3543"/>
      <c r="AC11" s="3542">
        <v>0</v>
      </c>
      <c r="AD11" s="3543"/>
      <c r="AE11" s="3542">
        <v>0</v>
      </c>
      <c r="AF11" s="3543"/>
      <c r="AG11" s="3542">
        <v>0</v>
      </c>
      <c r="AH11" s="3547"/>
      <c r="AI11" s="3546">
        <v>0</v>
      </c>
      <c r="AJ11" s="3543"/>
      <c r="AK11" s="3542">
        <v>0</v>
      </c>
      <c r="AL11" s="3543"/>
      <c r="AM11" s="3542">
        <v>0</v>
      </c>
      <c r="AN11" s="3543"/>
      <c r="AO11" s="3542">
        <v>0</v>
      </c>
      <c r="AP11" s="3543"/>
      <c r="AQ11" s="3542">
        <v>0</v>
      </c>
      <c r="AR11" s="3544"/>
      <c r="AS11" s="267"/>
      <c r="AT11" s="267"/>
      <c r="AU11" s="267"/>
      <c r="AV11" s="267"/>
      <c r="AW11" s="267"/>
      <c r="AX11" s="267"/>
      <c r="AY11" s="267"/>
      <c r="AZ11" s="267"/>
      <c r="BA11" s="267"/>
      <c r="BB11" s="267"/>
      <c r="BC11" s="267"/>
      <c r="BD11" s="267"/>
      <c r="BE11" s="267"/>
      <c r="BF11" s="267"/>
      <c r="BG11" s="267"/>
    </row>
    <row r="12" spans="1:59" s="41" customFormat="1" ht="24.75" customHeight="1">
      <c r="A12" s="593"/>
      <c r="B12" s="1744"/>
      <c r="C12" s="3530" t="s">
        <v>844</v>
      </c>
      <c r="D12" s="3530"/>
      <c r="E12" s="3530"/>
      <c r="F12" s="3530"/>
      <c r="G12" s="3530"/>
      <c r="H12" s="3530"/>
      <c r="I12" s="3530"/>
      <c r="J12" s="3530"/>
      <c r="K12" s="3530"/>
      <c r="L12" s="3530"/>
      <c r="M12" s="3530"/>
      <c r="N12" s="3530"/>
      <c r="O12" s="3530"/>
      <c r="P12" s="3530"/>
      <c r="Q12" s="3530"/>
      <c r="R12" s="3530"/>
      <c r="S12" s="3530"/>
      <c r="T12" s="1746"/>
      <c r="U12" s="3545">
        <v>0</v>
      </c>
      <c r="V12" s="3546"/>
      <c r="W12" s="3542">
        <v>0</v>
      </c>
      <c r="X12" s="3543"/>
      <c r="Y12" s="3542">
        <v>0</v>
      </c>
      <c r="Z12" s="3543"/>
      <c r="AA12" s="3542">
        <v>0</v>
      </c>
      <c r="AB12" s="3543"/>
      <c r="AC12" s="3542">
        <v>0</v>
      </c>
      <c r="AD12" s="3543"/>
      <c r="AE12" s="3542">
        <v>0</v>
      </c>
      <c r="AF12" s="3543"/>
      <c r="AG12" s="3542">
        <v>0</v>
      </c>
      <c r="AH12" s="3547"/>
      <c r="AI12" s="3546">
        <v>0</v>
      </c>
      <c r="AJ12" s="3543"/>
      <c r="AK12" s="3542">
        <v>0</v>
      </c>
      <c r="AL12" s="3543"/>
      <c r="AM12" s="3542">
        <v>0</v>
      </c>
      <c r="AN12" s="3543"/>
      <c r="AO12" s="3542">
        <v>0</v>
      </c>
      <c r="AP12" s="3543"/>
      <c r="AQ12" s="3542">
        <v>0</v>
      </c>
      <c r="AR12" s="3544"/>
      <c r="AS12" s="593"/>
      <c r="AT12" s="593"/>
      <c r="AU12" s="593"/>
      <c r="AV12" s="593"/>
      <c r="AW12" s="593"/>
      <c r="AX12" s="593"/>
      <c r="AY12" s="593"/>
      <c r="AZ12" s="593"/>
      <c r="BA12" s="593"/>
      <c r="BB12" s="593"/>
      <c r="BC12" s="593"/>
      <c r="BD12" s="593"/>
      <c r="BE12" s="593"/>
      <c r="BF12" s="593"/>
      <c r="BG12" s="593"/>
    </row>
    <row r="13" spans="1:59" s="41" customFormat="1" ht="24.95" customHeight="1">
      <c r="A13" s="593"/>
      <c r="B13" s="1744"/>
      <c r="C13" s="3530" t="s">
        <v>1404</v>
      </c>
      <c r="D13" s="3530"/>
      <c r="E13" s="3530"/>
      <c r="F13" s="3530"/>
      <c r="G13" s="3530"/>
      <c r="H13" s="3530"/>
      <c r="I13" s="3530"/>
      <c r="J13" s="3530"/>
      <c r="K13" s="3530"/>
      <c r="L13" s="3530"/>
      <c r="M13" s="3530"/>
      <c r="N13" s="3530"/>
      <c r="O13" s="3530"/>
      <c r="P13" s="3530"/>
      <c r="Q13" s="3530"/>
      <c r="R13" s="3530"/>
      <c r="S13" s="3530"/>
      <c r="T13" s="1746"/>
      <c r="U13" s="3545">
        <v>0</v>
      </c>
      <c r="V13" s="3546"/>
      <c r="W13" s="3542">
        <v>0</v>
      </c>
      <c r="X13" s="3543"/>
      <c r="Y13" s="3542">
        <v>0</v>
      </c>
      <c r="Z13" s="3543"/>
      <c r="AA13" s="3542">
        <v>0</v>
      </c>
      <c r="AB13" s="3543"/>
      <c r="AC13" s="3542">
        <v>0</v>
      </c>
      <c r="AD13" s="3543"/>
      <c r="AE13" s="3542">
        <v>0</v>
      </c>
      <c r="AF13" s="3543"/>
      <c r="AG13" s="3542">
        <v>0</v>
      </c>
      <c r="AH13" s="3547"/>
      <c r="AI13" s="3546">
        <v>0</v>
      </c>
      <c r="AJ13" s="3543"/>
      <c r="AK13" s="3542">
        <v>0</v>
      </c>
      <c r="AL13" s="3543"/>
      <c r="AM13" s="3542">
        <v>0</v>
      </c>
      <c r="AN13" s="3543"/>
      <c r="AO13" s="3542">
        <v>0</v>
      </c>
      <c r="AP13" s="3543"/>
      <c r="AQ13" s="3542">
        <v>0</v>
      </c>
      <c r="AR13" s="3544"/>
      <c r="AS13" s="593"/>
      <c r="AT13" s="593"/>
      <c r="AU13" s="593"/>
      <c r="AV13" s="593"/>
      <c r="AW13" s="593"/>
      <c r="AX13" s="593"/>
      <c r="AY13" s="593"/>
      <c r="AZ13" s="593"/>
      <c r="BA13" s="593"/>
      <c r="BB13" s="593"/>
      <c r="BC13" s="593"/>
      <c r="BD13" s="593"/>
      <c r="BE13" s="593"/>
      <c r="BF13" s="593"/>
      <c r="BG13" s="593"/>
    </row>
    <row r="14" spans="1:59" s="41" customFormat="1" ht="24.95" customHeight="1">
      <c r="A14" s="593"/>
      <c r="B14" s="1744"/>
      <c r="C14" s="3530" t="s">
        <v>845</v>
      </c>
      <c r="D14" s="3530"/>
      <c r="E14" s="3530"/>
      <c r="F14" s="3530"/>
      <c r="G14" s="3530"/>
      <c r="H14" s="3530"/>
      <c r="I14" s="3530"/>
      <c r="J14" s="3530"/>
      <c r="K14" s="3530"/>
      <c r="L14" s="3530"/>
      <c r="M14" s="3530"/>
      <c r="N14" s="3530"/>
      <c r="O14" s="3530"/>
      <c r="P14" s="3530"/>
      <c r="Q14" s="3530"/>
      <c r="R14" s="3530"/>
      <c r="S14" s="3530"/>
      <c r="T14" s="1745"/>
      <c r="U14" s="3545">
        <v>0</v>
      </c>
      <c r="V14" s="3546"/>
      <c r="W14" s="3542">
        <v>0</v>
      </c>
      <c r="X14" s="3543"/>
      <c r="Y14" s="3542">
        <v>0</v>
      </c>
      <c r="Z14" s="3543"/>
      <c r="AA14" s="3542">
        <v>0</v>
      </c>
      <c r="AB14" s="3543"/>
      <c r="AC14" s="3542">
        <v>0</v>
      </c>
      <c r="AD14" s="3543"/>
      <c r="AE14" s="3542">
        <v>0</v>
      </c>
      <c r="AF14" s="3543"/>
      <c r="AG14" s="3542">
        <v>0</v>
      </c>
      <c r="AH14" s="3547"/>
      <c r="AI14" s="3546">
        <v>0</v>
      </c>
      <c r="AJ14" s="3543"/>
      <c r="AK14" s="3542">
        <v>0</v>
      </c>
      <c r="AL14" s="3543"/>
      <c r="AM14" s="3542">
        <v>0</v>
      </c>
      <c r="AN14" s="3543"/>
      <c r="AO14" s="3542">
        <v>0</v>
      </c>
      <c r="AP14" s="3543"/>
      <c r="AQ14" s="3542">
        <v>0</v>
      </c>
      <c r="AR14" s="3544"/>
      <c r="AS14" s="593"/>
      <c r="AT14" s="593"/>
      <c r="AU14" s="593"/>
      <c r="AV14" s="593"/>
      <c r="AW14" s="593"/>
      <c r="AX14" s="593"/>
      <c r="AY14" s="593"/>
      <c r="AZ14" s="593"/>
      <c r="BA14" s="593"/>
      <c r="BB14" s="593"/>
      <c r="BC14" s="593"/>
      <c r="BD14" s="593"/>
      <c r="BE14" s="593"/>
      <c r="BF14" s="593"/>
      <c r="BG14" s="593"/>
    </row>
    <row r="15" spans="1:59" s="41" customFormat="1" ht="24.95" customHeight="1">
      <c r="A15" s="593"/>
      <c r="B15" s="1228"/>
      <c r="C15" s="3530" t="s">
        <v>846</v>
      </c>
      <c r="D15" s="3530"/>
      <c r="E15" s="3530"/>
      <c r="F15" s="3530"/>
      <c r="G15" s="3530"/>
      <c r="H15" s="3530"/>
      <c r="I15" s="3530"/>
      <c r="J15" s="3530"/>
      <c r="K15" s="3530"/>
      <c r="L15" s="3530"/>
      <c r="M15" s="3530"/>
      <c r="N15" s="3530"/>
      <c r="O15" s="3530"/>
      <c r="P15" s="3530"/>
      <c r="Q15" s="3530"/>
      <c r="R15" s="3530"/>
      <c r="S15" s="3530"/>
      <c r="T15" s="1745"/>
      <c r="U15" s="3545">
        <v>0</v>
      </c>
      <c r="V15" s="3546"/>
      <c r="W15" s="3542">
        <v>0</v>
      </c>
      <c r="X15" s="3543"/>
      <c r="Y15" s="3542">
        <v>0</v>
      </c>
      <c r="Z15" s="3543"/>
      <c r="AA15" s="3542">
        <v>0</v>
      </c>
      <c r="AB15" s="3543"/>
      <c r="AC15" s="3542">
        <v>0</v>
      </c>
      <c r="AD15" s="3543"/>
      <c r="AE15" s="3542">
        <v>0</v>
      </c>
      <c r="AF15" s="3543"/>
      <c r="AG15" s="3542">
        <v>0</v>
      </c>
      <c r="AH15" s="3547"/>
      <c r="AI15" s="3546">
        <v>0</v>
      </c>
      <c r="AJ15" s="3543"/>
      <c r="AK15" s="3542">
        <v>0</v>
      </c>
      <c r="AL15" s="3543"/>
      <c r="AM15" s="3542">
        <v>0</v>
      </c>
      <c r="AN15" s="3543"/>
      <c r="AO15" s="3542">
        <v>0</v>
      </c>
      <c r="AP15" s="3543"/>
      <c r="AQ15" s="3542">
        <v>0</v>
      </c>
      <c r="AR15" s="3544"/>
      <c r="AS15" s="593"/>
      <c r="AT15" s="593"/>
      <c r="AU15" s="593"/>
      <c r="AV15" s="593"/>
      <c r="AW15" s="593"/>
      <c r="AX15" s="593"/>
      <c r="AY15" s="593"/>
      <c r="AZ15" s="593"/>
      <c r="BA15" s="593"/>
      <c r="BB15" s="593"/>
      <c r="BC15" s="593"/>
      <c r="BD15" s="593"/>
      <c r="BE15" s="593"/>
      <c r="BF15" s="593"/>
      <c r="BG15" s="593"/>
    </row>
    <row r="16" spans="1:59" s="41" customFormat="1" ht="17.25">
      <c r="A16" s="593"/>
      <c r="B16" s="202" t="s">
        <v>1674</v>
      </c>
      <c r="C16" s="203"/>
      <c r="D16" s="203"/>
      <c r="E16" s="204"/>
      <c r="F16" s="204"/>
      <c r="G16" s="204"/>
      <c r="H16" s="204"/>
      <c r="I16" s="204"/>
      <c r="J16" s="204"/>
      <c r="K16" s="204"/>
      <c r="L16" s="204"/>
      <c r="M16" s="204"/>
      <c r="N16" s="204"/>
      <c r="O16" s="204"/>
      <c r="P16" s="204"/>
      <c r="Q16" s="204"/>
      <c r="R16" s="204"/>
      <c r="S16" s="204"/>
      <c r="T16" s="205"/>
      <c r="U16" s="3539"/>
      <c r="V16" s="3540"/>
      <c r="W16" s="3540"/>
      <c r="X16" s="3540"/>
      <c r="Y16" s="3540"/>
      <c r="Z16" s="3540"/>
      <c r="AA16" s="3540"/>
      <c r="AB16" s="3540"/>
      <c r="AC16" s="3540"/>
      <c r="AD16" s="3540"/>
      <c r="AE16" s="3540"/>
      <c r="AF16" s="3540"/>
      <c r="AG16" s="3540"/>
      <c r="AH16" s="3540"/>
      <c r="AI16" s="3540"/>
      <c r="AJ16" s="3540"/>
      <c r="AK16" s="3540"/>
      <c r="AL16" s="3540"/>
      <c r="AM16" s="3540"/>
      <c r="AN16" s="3540"/>
      <c r="AO16" s="3540"/>
      <c r="AP16" s="3540"/>
      <c r="AQ16" s="3540"/>
      <c r="AR16" s="3541"/>
      <c r="AS16" s="593"/>
      <c r="AT16" s="593"/>
      <c r="AU16" s="593"/>
      <c r="AV16" s="593"/>
      <c r="AW16" s="593"/>
      <c r="AX16" s="593"/>
      <c r="AY16" s="593"/>
      <c r="AZ16" s="593"/>
      <c r="BA16" s="593"/>
      <c r="BB16" s="593"/>
      <c r="BC16" s="593"/>
      <c r="BD16" s="593"/>
      <c r="BE16" s="593"/>
      <c r="BF16" s="593"/>
      <c r="BG16" s="593"/>
    </row>
    <row r="17" spans="1:59" s="41" customFormat="1" ht="24.75" customHeight="1">
      <c r="A17" s="593"/>
      <c r="B17" s="1744"/>
      <c r="C17" s="3530" t="s">
        <v>847</v>
      </c>
      <c r="D17" s="3530"/>
      <c r="E17" s="3530"/>
      <c r="F17" s="3530"/>
      <c r="G17" s="3530"/>
      <c r="H17" s="3530"/>
      <c r="I17" s="3530"/>
      <c r="J17" s="3530"/>
      <c r="K17" s="3530"/>
      <c r="L17" s="3530"/>
      <c r="M17" s="3530"/>
      <c r="N17" s="3530"/>
      <c r="O17" s="3530"/>
      <c r="P17" s="3530"/>
      <c r="Q17" s="3530"/>
      <c r="R17" s="3530"/>
      <c r="S17" s="3530"/>
      <c r="T17" s="1746"/>
      <c r="U17" s="3538">
        <v>0</v>
      </c>
      <c r="V17" s="3536"/>
      <c r="W17" s="3533">
        <v>0</v>
      </c>
      <c r="X17" s="3534"/>
      <c r="Y17" s="3533">
        <v>0</v>
      </c>
      <c r="Z17" s="3534"/>
      <c r="AA17" s="3533">
        <v>0</v>
      </c>
      <c r="AB17" s="3534"/>
      <c r="AC17" s="3533">
        <v>0</v>
      </c>
      <c r="AD17" s="3534"/>
      <c r="AE17" s="3533">
        <v>0</v>
      </c>
      <c r="AF17" s="3534"/>
      <c r="AG17" s="3533">
        <v>0</v>
      </c>
      <c r="AH17" s="3535"/>
      <c r="AI17" s="3536">
        <v>0</v>
      </c>
      <c r="AJ17" s="3534"/>
      <c r="AK17" s="3533">
        <v>0</v>
      </c>
      <c r="AL17" s="3534"/>
      <c r="AM17" s="3533">
        <v>0</v>
      </c>
      <c r="AN17" s="3534"/>
      <c r="AO17" s="3533">
        <v>0</v>
      </c>
      <c r="AP17" s="3534"/>
      <c r="AQ17" s="3533">
        <v>0</v>
      </c>
      <c r="AR17" s="3537"/>
      <c r="AS17" s="593"/>
      <c r="AT17" s="593"/>
      <c r="AU17" s="593"/>
      <c r="AV17" s="593"/>
      <c r="AW17" s="593"/>
      <c r="AX17" s="593"/>
      <c r="AY17" s="593"/>
      <c r="AZ17" s="593"/>
      <c r="BA17" s="593"/>
      <c r="BB17" s="593"/>
      <c r="BC17" s="593"/>
      <c r="BD17" s="593"/>
      <c r="BE17" s="593"/>
      <c r="BF17" s="593"/>
      <c r="BG17" s="593"/>
    </row>
    <row r="18" spans="1:59" s="41" customFormat="1" ht="24.75" customHeight="1">
      <c r="A18" s="593"/>
      <c r="B18" s="1744"/>
      <c r="C18" s="3530" t="s">
        <v>848</v>
      </c>
      <c r="D18" s="3530"/>
      <c r="E18" s="3530"/>
      <c r="F18" s="3530"/>
      <c r="G18" s="3530"/>
      <c r="H18" s="3530"/>
      <c r="I18" s="3530"/>
      <c r="J18" s="3530"/>
      <c r="K18" s="3530"/>
      <c r="L18" s="3530"/>
      <c r="M18" s="3530"/>
      <c r="N18" s="3530"/>
      <c r="O18" s="3530"/>
      <c r="P18" s="3530"/>
      <c r="Q18" s="3530"/>
      <c r="R18" s="3530"/>
      <c r="S18" s="3530"/>
      <c r="T18" s="1746"/>
      <c r="U18" s="3538">
        <v>0</v>
      </c>
      <c r="V18" s="3536"/>
      <c r="W18" s="3533">
        <v>0</v>
      </c>
      <c r="X18" s="3534"/>
      <c r="Y18" s="3533">
        <v>0</v>
      </c>
      <c r="Z18" s="3534"/>
      <c r="AA18" s="3533">
        <v>0</v>
      </c>
      <c r="AB18" s="3534"/>
      <c r="AC18" s="3533">
        <v>0</v>
      </c>
      <c r="AD18" s="3534"/>
      <c r="AE18" s="3533">
        <v>0</v>
      </c>
      <c r="AF18" s="3534"/>
      <c r="AG18" s="3533">
        <v>0</v>
      </c>
      <c r="AH18" s="3535"/>
      <c r="AI18" s="3536">
        <v>0</v>
      </c>
      <c r="AJ18" s="3534"/>
      <c r="AK18" s="3533">
        <v>0</v>
      </c>
      <c r="AL18" s="3534"/>
      <c r="AM18" s="3533">
        <v>0</v>
      </c>
      <c r="AN18" s="3534"/>
      <c r="AO18" s="3533">
        <v>0</v>
      </c>
      <c r="AP18" s="3534"/>
      <c r="AQ18" s="3533">
        <v>0</v>
      </c>
      <c r="AR18" s="3537"/>
      <c r="AS18" s="593"/>
      <c r="AT18" s="593"/>
      <c r="AU18" s="593"/>
      <c r="AV18" s="593"/>
      <c r="AW18" s="593"/>
      <c r="AX18" s="593"/>
      <c r="AY18" s="593"/>
      <c r="AZ18" s="593"/>
      <c r="BA18" s="593"/>
      <c r="BB18" s="593"/>
      <c r="BC18" s="593"/>
      <c r="BD18" s="593"/>
      <c r="BE18" s="593"/>
      <c r="BF18" s="593"/>
      <c r="BG18" s="593"/>
    </row>
    <row r="19" spans="1:59" s="41" customFormat="1" ht="24.75" customHeight="1">
      <c r="A19" s="593"/>
      <c r="B19" s="1744"/>
      <c r="C19" s="3530" t="s">
        <v>849</v>
      </c>
      <c r="D19" s="3530"/>
      <c r="E19" s="3530"/>
      <c r="F19" s="3530"/>
      <c r="G19" s="3530"/>
      <c r="H19" s="3530"/>
      <c r="I19" s="3530"/>
      <c r="J19" s="3530"/>
      <c r="K19" s="3530"/>
      <c r="L19" s="3530"/>
      <c r="M19" s="3530"/>
      <c r="N19" s="3530"/>
      <c r="O19" s="3530"/>
      <c r="P19" s="3530"/>
      <c r="Q19" s="3530"/>
      <c r="R19" s="3530"/>
      <c r="S19" s="3530"/>
      <c r="T19" s="1745"/>
      <c r="U19" s="3538">
        <v>0</v>
      </c>
      <c r="V19" s="3536"/>
      <c r="W19" s="3533">
        <v>0</v>
      </c>
      <c r="X19" s="3534"/>
      <c r="Y19" s="3533">
        <v>0</v>
      </c>
      <c r="Z19" s="3534"/>
      <c r="AA19" s="3533">
        <v>0</v>
      </c>
      <c r="AB19" s="3534"/>
      <c r="AC19" s="3533">
        <v>0</v>
      </c>
      <c r="AD19" s="3534"/>
      <c r="AE19" s="3533">
        <v>0</v>
      </c>
      <c r="AF19" s="3534"/>
      <c r="AG19" s="3533">
        <v>0</v>
      </c>
      <c r="AH19" s="3535"/>
      <c r="AI19" s="3536">
        <v>0</v>
      </c>
      <c r="AJ19" s="3534"/>
      <c r="AK19" s="3533">
        <v>0</v>
      </c>
      <c r="AL19" s="3534"/>
      <c r="AM19" s="3533">
        <v>0</v>
      </c>
      <c r="AN19" s="3534"/>
      <c r="AO19" s="3533">
        <v>0</v>
      </c>
      <c r="AP19" s="3534"/>
      <c r="AQ19" s="3533">
        <v>0</v>
      </c>
      <c r="AR19" s="3537"/>
      <c r="AS19" s="593"/>
      <c r="AT19" s="593"/>
      <c r="AU19" s="593"/>
      <c r="AV19" s="593"/>
      <c r="AW19" s="593"/>
      <c r="AX19" s="593"/>
      <c r="AY19" s="593"/>
      <c r="AZ19" s="593"/>
      <c r="BA19" s="593"/>
      <c r="BB19" s="593"/>
      <c r="BC19" s="593"/>
      <c r="BD19" s="593"/>
      <c r="BE19" s="593"/>
      <c r="BF19" s="593"/>
      <c r="BG19" s="593"/>
    </row>
    <row r="20" spans="1:59" s="41" customFormat="1" ht="24.75" customHeight="1">
      <c r="A20" s="593"/>
      <c r="B20" s="1744"/>
      <c r="C20" s="3530" t="s">
        <v>850</v>
      </c>
      <c r="D20" s="3530"/>
      <c r="E20" s="3530"/>
      <c r="F20" s="3530"/>
      <c r="G20" s="3530"/>
      <c r="H20" s="3530"/>
      <c r="I20" s="3530"/>
      <c r="J20" s="3530"/>
      <c r="K20" s="3530"/>
      <c r="L20" s="3530"/>
      <c r="M20" s="3530"/>
      <c r="N20" s="3530"/>
      <c r="O20" s="3530"/>
      <c r="P20" s="3530"/>
      <c r="Q20" s="3530"/>
      <c r="R20" s="3530"/>
      <c r="S20" s="3530"/>
      <c r="T20" s="1745"/>
      <c r="U20" s="3538">
        <v>0</v>
      </c>
      <c r="V20" s="3536"/>
      <c r="W20" s="3533">
        <v>0</v>
      </c>
      <c r="X20" s="3534"/>
      <c r="Y20" s="3533">
        <v>0</v>
      </c>
      <c r="Z20" s="3534"/>
      <c r="AA20" s="3533">
        <v>0</v>
      </c>
      <c r="AB20" s="3534"/>
      <c r="AC20" s="3533">
        <v>0</v>
      </c>
      <c r="AD20" s="3534"/>
      <c r="AE20" s="3533">
        <v>0</v>
      </c>
      <c r="AF20" s="3534"/>
      <c r="AG20" s="3533">
        <v>0</v>
      </c>
      <c r="AH20" s="3535"/>
      <c r="AI20" s="3536">
        <v>0</v>
      </c>
      <c r="AJ20" s="3534"/>
      <c r="AK20" s="3533">
        <v>0</v>
      </c>
      <c r="AL20" s="3534"/>
      <c r="AM20" s="3533">
        <v>0</v>
      </c>
      <c r="AN20" s="3534"/>
      <c r="AO20" s="3533">
        <v>0</v>
      </c>
      <c r="AP20" s="3534"/>
      <c r="AQ20" s="3533">
        <v>0</v>
      </c>
      <c r="AR20" s="3537"/>
      <c r="AS20" s="593"/>
      <c r="AT20" s="593"/>
      <c r="AU20" s="593"/>
      <c r="AV20" s="593"/>
      <c r="AW20" s="593"/>
      <c r="AX20" s="593"/>
      <c r="AY20" s="593"/>
      <c r="AZ20" s="593"/>
      <c r="BA20" s="593"/>
      <c r="BB20" s="593"/>
      <c r="BC20" s="593"/>
      <c r="BD20" s="593"/>
      <c r="BE20" s="593"/>
      <c r="BF20" s="593"/>
      <c r="BG20" s="593"/>
    </row>
    <row r="21" spans="1:59" s="41" customFormat="1" ht="24.75" customHeight="1">
      <c r="A21" s="593"/>
      <c r="B21" s="1744"/>
      <c r="C21" s="3530" t="s">
        <v>851</v>
      </c>
      <c r="D21" s="3530"/>
      <c r="E21" s="3530"/>
      <c r="F21" s="3530"/>
      <c r="G21" s="3530"/>
      <c r="H21" s="3530"/>
      <c r="I21" s="3530"/>
      <c r="J21" s="3530"/>
      <c r="K21" s="3530"/>
      <c r="L21" s="3530"/>
      <c r="M21" s="3530"/>
      <c r="N21" s="3530"/>
      <c r="O21" s="3530"/>
      <c r="P21" s="3530"/>
      <c r="Q21" s="3530"/>
      <c r="R21" s="3530"/>
      <c r="S21" s="3530"/>
      <c r="T21" s="1745"/>
      <c r="U21" s="3538">
        <v>0</v>
      </c>
      <c r="V21" s="3536"/>
      <c r="W21" s="3533">
        <v>0</v>
      </c>
      <c r="X21" s="3534"/>
      <c r="Y21" s="3533">
        <v>0</v>
      </c>
      <c r="Z21" s="3534"/>
      <c r="AA21" s="3533">
        <v>0</v>
      </c>
      <c r="AB21" s="3534"/>
      <c r="AC21" s="3533">
        <v>0</v>
      </c>
      <c r="AD21" s="3534"/>
      <c r="AE21" s="3533">
        <v>0</v>
      </c>
      <c r="AF21" s="3534"/>
      <c r="AG21" s="3533">
        <v>0</v>
      </c>
      <c r="AH21" s="3535"/>
      <c r="AI21" s="3536">
        <v>0</v>
      </c>
      <c r="AJ21" s="3534"/>
      <c r="AK21" s="3533">
        <v>0</v>
      </c>
      <c r="AL21" s="3534"/>
      <c r="AM21" s="3533">
        <v>0</v>
      </c>
      <c r="AN21" s="3534"/>
      <c r="AO21" s="3533">
        <v>0</v>
      </c>
      <c r="AP21" s="3534"/>
      <c r="AQ21" s="3533">
        <v>0</v>
      </c>
      <c r="AR21" s="3537"/>
      <c r="AS21" s="593"/>
      <c r="AT21" s="593"/>
      <c r="AU21" s="593"/>
      <c r="AV21" s="593"/>
      <c r="AW21" s="593"/>
      <c r="AX21" s="593"/>
      <c r="AY21" s="593"/>
      <c r="AZ21" s="593"/>
      <c r="BA21" s="593"/>
      <c r="BB21" s="593"/>
      <c r="BC21" s="593"/>
      <c r="BD21" s="593"/>
      <c r="BE21" s="593"/>
      <c r="BF21" s="593"/>
      <c r="BG21" s="593"/>
    </row>
    <row r="22" spans="1:59" s="41" customFormat="1" ht="24.75" customHeight="1">
      <c r="A22" s="593"/>
      <c r="B22" s="1744"/>
      <c r="C22" s="3530" t="s">
        <v>852</v>
      </c>
      <c r="D22" s="3530"/>
      <c r="E22" s="3530"/>
      <c r="F22" s="3530"/>
      <c r="G22" s="3530"/>
      <c r="H22" s="3530"/>
      <c r="I22" s="3530"/>
      <c r="J22" s="3530"/>
      <c r="K22" s="3530"/>
      <c r="L22" s="3530"/>
      <c r="M22" s="3530"/>
      <c r="N22" s="3530"/>
      <c r="O22" s="3530"/>
      <c r="P22" s="3530"/>
      <c r="Q22" s="3530"/>
      <c r="R22" s="3530"/>
      <c r="S22" s="3530"/>
      <c r="T22" s="1745"/>
      <c r="U22" s="3538">
        <v>0</v>
      </c>
      <c r="V22" s="3536"/>
      <c r="W22" s="3533">
        <v>0</v>
      </c>
      <c r="X22" s="3534"/>
      <c r="Y22" s="3533">
        <v>0</v>
      </c>
      <c r="Z22" s="3534"/>
      <c r="AA22" s="3533">
        <v>0</v>
      </c>
      <c r="AB22" s="3534"/>
      <c r="AC22" s="3533">
        <v>0</v>
      </c>
      <c r="AD22" s="3534"/>
      <c r="AE22" s="3533">
        <v>0</v>
      </c>
      <c r="AF22" s="3534"/>
      <c r="AG22" s="3533">
        <v>0</v>
      </c>
      <c r="AH22" s="3535"/>
      <c r="AI22" s="3536">
        <v>0</v>
      </c>
      <c r="AJ22" s="3534"/>
      <c r="AK22" s="3533">
        <v>0</v>
      </c>
      <c r="AL22" s="3534"/>
      <c r="AM22" s="3533">
        <v>0</v>
      </c>
      <c r="AN22" s="3534"/>
      <c r="AO22" s="3533">
        <v>0</v>
      </c>
      <c r="AP22" s="3534"/>
      <c r="AQ22" s="3533">
        <v>0</v>
      </c>
      <c r="AR22" s="3537"/>
      <c r="AS22" s="593"/>
      <c r="AT22" s="593"/>
      <c r="AU22" s="593"/>
      <c r="AV22" s="593"/>
      <c r="AW22" s="593"/>
      <c r="AX22" s="593"/>
      <c r="AY22" s="593"/>
      <c r="AZ22" s="593"/>
      <c r="BA22" s="593"/>
      <c r="BB22" s="593"/>
      <c r="BC22" s="593"/>
      <c r="BD22" s="593"/>
      <c r="BE22" s="593"/>
      <c r="BF22" s="593"/>
      <c r="BG22" s="593"/>
    </row>
    <row r="23" spans="1:59" s="41" customFormat="1" ht="24.75" customHeight="1">
      <c r="A23" s="593"/>
      <c r="B23" s="1747"/>
      <c r="C23" s="3530" t="s">
        <v>853</v>
      </c>
      <c r="D23" s="3530"/>
      <c r="E23" s="3530"/>
      <c r="F23" s="3530"/>
      <c r="G23" s="3530"/>
      <c r="H23" s="3530"/>
      <c r="I23" s="3530"/>
      <c r="J23" s="3530"/>
      <c r="K23" s="3530"/>
      <c r="L23" s="3530"/>
      <c r="M23" s="3530"/>
      <c r="N23" s="3530"/>
      <c r="O23" s="3530"/>
      <c r="P23" s="3530"/>
      <c r="Q23" s="3530"/>
      <c r="R23" s="3530"/>
      <c r="S23" s="3530"/>
      <c r="T23" s="1745"/>
      <c r="U23" s="3538">
        <v>0</v>
      </c>
      <c r="V23" s="3536"/>
      <c r="W23" s="3533">
        <v>0</v>
      </c>
      <c r="X23" s="3534"/>
      <c r="Y23" s="3533">
        <v>0</v>
      </c>
      <c r="Z23" s="3534"/>
      <c r="AA23" s="3533">
        <v>0</v>
      </c>
      <c r="AB23" s="3534"/>
      <c r="AC23" s="3533">
        <v>0</v>
      </c>
      <c r="AD23" s="3534"/>
      <c r="AE23" s="3533">
        <v>0</v>
      </c>
      <c r="AF23" s="3534"/>
      <c r="AG23" s="3533">
        <v>0</v>
      </c>
      <c r="AH23" s="3535"/>
      <c r="AI23" s="3536">
        <v>0</v>
      </c>
      <c r="AJ23" s="3534"/>
      <c r="AK23" s="3533">
        <v>0</v>
      </c>
      <c r="AL23" s="3534"/>
      <c r="AM23" s="3533">
        <v>0</v>
      </c>
      <c r="AN23" s="3534"/>
      <c r="AO23" s="3533">
        <v>0</v>
      </c>
      <c r="AP23" s="3534"/>
      <c r="AQ23" s="3533">
        <v>0</v>
      </c>
      <c r="AR23" s="3537"/>
      <c r="AS23" s="593"/>
      <c r="AT23" s="593"/>
      <c r="AU23" s="593"/>
      <c r="AV23" s="593"/>
      <c r="AW23" s="593"/>
      <c r="AX23" s="593"/>
      <c r="AY23" s="593"/>
      <c r="AZ23" s="593"/>
      <c r="BA23" s="593"/>
      <c r="BB23" s="593"/>
      <c r="BC23" s="593"/>
      <c r="BD23" s="593"/>
      <c r="BE23" s="593"/>
      <c r="BF23" s="593"/>
      <c r="BG23" s="593"/>
    </row>
    <row r="24" spans="1:59" s="41" customFormat="1" ht="24.75" customHeight="1">
      <c r="A24" s="593"/>
      <c r="B24" s="1747"/>
      <c r="C24" s="3530" t="s">
        <v>1675</v>
      </c>
      <c r="D24" s="3530"/>
      <c r="E24" s="3530"/>
      <c r="F24" s="3530"/>
      <c r="G24" s="3530"/>
      <c r="H24" s="3530"/>
      <c r="I24" s="3530"/>
      <c r="J24" s="3530"/>
      <c r="K24" s="3530"/>
      <c r="L24" s="3530"/>
      <c r="M24" s="3530"/>
      <c r="N24" s="3530"/>
      <c r="O24" s="3530"/>
      <c r="P24" s="3530"/>
      <c r="Q24" s="3530"/>
      <c r="R24" s="3530"/>
      <c r="S24" s="3530"/>
      <c r="T24" s="1748"/>
      <c r="U24" s="3538">
        <v>0</v>
      </c>
      <c r="V24" s="3536"/>
      <c r="W24" s="3533">
        <v>0</v>
      </c>
      <c r="X24" s="3534"/>
      <c r="Y24" s="3533">
        <v>0</v>
      </c>
      <c r="Z24" s="3534"/>
      <c r="AA24" s="3533">
        <v>0</v>
      </c>
      <c r="AB24" s="3534"/>
      <c r="AC24" s="3533">
        <v>0</v>
      </c>
      <c r="AD24" s="3534"/>
      <c r="AE24" s="3533">
        <v>0</v>
      </c>
      <c r="AF24" s="3534"/>
      <c r="AG24" s="3533">
        <v>0</v>
      </c>
      <c r="AH24" s="3535"/>
      <c r="AI24" s="3536">
        <v>0</v>
      </c>
      <c r="AJ24" s="3534"/>
      <c r="AK24" s="3533">
        <v>0</v>
      </c>
      <c r="AL24" s="3534"/>
      <c r="AM24" s="3533">
        <v>0</v>
      </c>
      <c r="AN24" s="3534"/>
      <c r="AO24" s="3533">
        <v>0</v>
      </c>
      <c r="AP24" s="3534"/>
      <c r="AQ24" s="3533">
        <v>0</v>
      </c>
      <c r="AR24" s="3537"/>
      <c r="AS24" s="593"/>
      <c r="AT24" s="593"/>
      <c r="AU24" s="593"/>
      <c r="AV24" s="593"/>
      <c r="AW24" s="593"/>
      <c r="AX24" s="593"/>
      <c r="AY24" s="593"/>
      <c r="AZ24" s="593"/>
      <c r="BA24" s="593"/>
      <c r="BB24" s="593"/>
      <c r="BC24" s="593"/>
      <c r="BD24" s="593"/>
      <c r="BE24" s="593"/>
      <c r="BF24" s="593"/>
      <c r="BG24" s="593"/>
    </row>
    <row r="25" spans="1:59" s="41" customFormat="1" ht="51" customHeight="1">
      <c r="A25" s="593"/>
      <c r="B25" s="1747"/>
      <c r="C25" s="3530" t="s">
        <v>1959</v>
      </c>
      <c r="D25" s="3530"/>
      <c r="E25" s="3530"/>
      <c r="F25" s="3530"/>
      <c r="G25" s="3530"/>
      <c r="H25" s="3530"/>
      <c r="I25" s="3530"/>
      <c r="J25" s="3530"/>
      <c r="K25" s="3530"/>
      <c r="L25" s="3530"/>
      <c r="M25" s="3530"/>
      <c r="N25" s="3530"/>
      <c r="O25" s="3530"/>
      <c r="P25" s="3530"/>
      <c r="Q25" s="3530"/>
      <c r="R25" s="3530"/>
      <c r="S25" s="3530"/>
      <c r="T25" s="1745"/>
      <c r="U25" s="3538">
        <v>0</v>
      </c>
      <c r="V25" s="3536"/>
      <c r="W25" s="3533">
        <v>0</v>
      </c>
      <c r="X25" s="3534"/>
      <c r="Y25" s="3533">
        <v>0</v>
      </c>
      <c r="Z25" s="3534"/>
      <c r="AA25" s="3533">
        <v>0</v>
      </c>
      <c r="AB25" s="3534"/>
      <c r="AC25" s="3533">
        <v>0</v>
      </c>
      <c r="AD25" s="3534"/>
      <c r="AE25" s="3533">
        <v>0</v>
      </c>
      <c r="AF25" s="3534"/>
      <c r="AG25" s="3533">
        <v>0</v>
      </c>
      <c r="AH25" s="3535"/>
      <c r="AI25" s="3536">
        <v>0</v>
      </c>
      <c r="AJ25" s="3534"/>
      <c r="AK25" s="3533">
        <v>0</v>
      </c>
      <c r="AL25" s="3534"/>
      <c r="AM25" s="3533">
        <v>0</v>
      </c>
      <c r="AN25" s="3534"/>
      <c r="AO25" s="3533">
        <v>0</v>
      </c>
      <c r="AP25" s="3534"/>
      <c r="AQ25" s="3533">
        <v>0</v>
      </c>
      <c r="AR25" s="3537"/>
      <c r="AS25" s="593"/>
      <c r="AT25" s="593"/>
      <c r="AU25" s="593"/>
      <c r="AV25" s="593"/>
      <c r="AW25" s="593"/>
      <c r="AX25" s="593"/>
      <c r="AY25" s="593"/>
      <c r="AZ25" s="593"/>
      <c r="BA25" s="593"/>
      <c r="BB25" s="593"/>
      <c r="BC25" s="593"/>
      <c r="BD25" s="593"/>
      <c r="BE25" s="593"/>
      <c r="BF25" s="593"/>
      <c r="BG25" s="593"/>
    </row>
    <row r="26" spans="1:59" s="41" customFormat="1" ht="36.75" customHeight="1">
      <c r="A26" s="593"/>
      <c r="B26" s="1744"/>
      <c r="C26" s="3530" t="s">
        <v>1676</v>
      </c>
      <c r="D26" s="3530"/>
      <c r="E26" s="3530"/>
      <c r="F26" s="3530"/>
      <c r="G26" s="3530"/>
      <c r="H26" s="3530"/>
      <c r="I26" s="3530"/>
      <c r="J26" s="3530"/>
      <c r="K26" s="3530"/>
      <c r="L26" s="3530"/>
      <c r="M26" s="3530"/>
      <c r="N26" s="3530"/>
      <c r="O26" s="3530"/>
      <c r="P26" s="3530"/>
      <c r="Q26" s="3530"/>
      <c r="R26" s="3530"/>
      <c r="S26" s="3530"/>
      <c r="T26" s="1745"/>
      <c r="U26" s="3538">
        <v>0</v>
      </c>
      <c r="V26" s="3536"/>
      <c r="W26" s="3533">
        <v>0</v>
      </c>
      <c r="X26" s="3534"/>
      <c r="Y26" s="3533">
        <v>0</v>
      </c>
      <c r="Z26" s="3534"/>
      <c r="AA26" s="3533">
        <v>0</v>
      </c>
      <c r="AB26" s="3534"/>
      <c r="AC26" s="3533">
        <v>0</v>
      </c>
      <c r="AD26" s="3534"/>
      <c r="AE26" s="3533">
        <v>0</v>
      </c>
      <c r="AF26" s="3534"/>
      <c r="AG26" s="3533">
        <v>0</v>
      </c>
      <c r="AH26" s="3535"/>
      <c r="AI26" s="3536">
        <v>0</v>
      </c>
      <c r="AJ26" s="3534"/>
      <c r="AK26" s="3533">
        <v>0</v>
      </c>
      <c r="AL26" s="3534"/>
      <c r="AM26" s="3533">
        <v>0</v>
      </c>
      <c r="AN26" s="3534"/>
      <c r="AO26" s="3533">
        <v>0</v>
      </c>
      <c r="AP26" s="3534"/>
      <c r="AQ26" s="3533">
        <v>0</v>
      </c>
      <c r="AR26" s="3537"/>
      <c r="AS26" s="593"/>
      <c r="AT26" s="593"/>
      <c r="AU26" s="593"/>
      <c r="AV26" s="593"/>
      <c r="AW26" s="593"/>
      <c r="AX26" s="593"/>
      <c r="AY26" s="593"/>
      <c r="AZ26" s="593"/>
      <c r="BA26" s="593"/>
      <c r="BB26" s="593"/>
      <c r="BC26" s="593"/>
      <c r="BD26" s="593"/>
      <c r="BE26" s="593"/>
      <c r="BF26" s="593"/>
      <c r="BG26" s="593"/>
    </row>
    <row r="27" spans="1:59" s="41" customFormat="1" ht="24.75" customHeight="1">
      <c r="A27" s="593"/>
      <c r="B27" s="1744"/>
      <c r="C27" s="3530" t="s">
        <v>854</v>
      </c>
      <c r="D27" s="3530"/>
      <c r="E27" s="3530"/>
      <c r="F27" s="3530"/>
      <c r="G27" s="3530"/>
      <c r="H27" s="3530"/>
      <c r="I27" s="3530"/>
      <c r="J27" s="3530"/>
      <c r="K27" s="3530"/>
      <c r="L27" s="3530"/>
      <c r="M27" s="3530"/>
      <c r="N27" s="3530"/>
      <c r="O27" s="3530"/>
      <c r="P27" s="3530"/>
      <c r="Q27" s="3530"/>
      <c r="R27" s="3530"/>
      <c r="S27" s="3530"/>
      <c r="T27" s="1746"/>
      <c r="U27" s="3538">
        <v>0</v>
      </c>
      <c r="V27" s="3536"/>
      <c r="W27" s="3533">
        <v>0</v>
      </c>
      <c r="X27" s="3534"/>
      <c r="Y27" s="3533">
        <v>0</v>
      </c>
      <c r="Z27" s="3534"/>
      <c r="AA27" s="3533">
        <v>0</v>
      </c>
      <c r="AB27" s="3534"/>
      <c r="AC27" s="3533">
        <v>0</v>
      </c>
      <c r="AD27" s="3534"/>
      <c r="AE27" s="3533">
        <v>0</v>
      </c>
      <c r="AF27" s="3534"/>
      <c r="AG27" s="3533">
        <v>0</v>
      </c>
      <c r="AH27" s="3535"/>
      <c r="AI27" s="3536">
        <v>0</v>
      </c>
      <c r="AJ27" s="3534"/>
      <c r="AK27" s="3533">
        <v>0</v>
      </c>
      <c r="AL27" s="3534"/>
      <c r="AM27" s="3533">
        <v>0</v>
      </c>
      <c r="AN27" s="3534"/>
      <c r="AO27" s="3533">
        <v>0</v>
      </c>
      <c r="AP27" s="3534"/>
      <c r="AQ27" s="3533">
        <v>0</v>
      </c>
      <c r="AR27" s="3537"/>
      <c r="AS27" s="593"/>
      <c r="AT27" s="593"/>
      <c r="AU27" s="593"/>
      <c r="AV27" s="593"/>
      <c r="AW27" s="593"/>
      <c r="AX27" s="593"/>
      <c r="AY27" s="593"/>
      <c r="AZ27" s="593"/>
      <c r="BA27" s="593"/>
      <c r="BB27" s="593"/>
      <c r="BC27" s="593"/>
      <c r="BD27" s="593"/>
      <c r="BE27" s="593"/>
      <c r="BF27" s="593"/>
      <c r="BG27" s="593"/>
    </row>
    <row r="28" spans="1:59" s="41" customFormat="1" ht="24.75" customHeight="1">
      <c r="A28" s="593"/>
      <c r="B28" s="1747"/>
      <c r="C28" s="3530" t="s">
        <v>855</v>
      </c>
      <c r="D28" s="3530"/>
      <c r="E28" s="3530"/>
      <c r="F28" s="3530"/>
      <c r="G28" s="3530"/>
      <c r="H28" s="3530"/>
      <c r="I28" s="3530"/>
      <c r="J28" s="3530"/>
      <c r="K28" s="3530"/>
      <c r="L28" s="3530"/>
      <c r="M28" s="3530"/>
      <c r="N28" s="3530"/>
      <c r="O28" s="3530"/>
      <c r="P28" s="3530"/>
      <c r="Q28" s="3530"/>
      <c r="R28" s="3530"/>
      <c r="S28" s="3530"/>
      <c r="T28" s="1745"/>
      <c r="U28" s="3538">
        <v>0</v>
      </c>
      <c r="V28" s="3536"/>
      <c r="W28" s="3533">
        <v>0</v>
      </c>
      <c r="X28" s="3534"/>
      <c r="Y28" s="3533">
        <v>0</v>
      </c>
      <c r="Z28" s="3534"/>
      <c r="AA28" s="3533">
        <v>0</v>
      </c>
      <c r="AB28" s="3534"/>
      <c r="AC28" s="3533">
        <v>0</v>
      </c>
      <c r="AD28" s="3534"/>
      <c r="AE28" s="3533">
        <v>0</v>
      </c>
      <c r="AF28" s="3534"/>
      <c r="AG28" s="3533">
        <v>0</v>
      </c>
      <c r="AH28" s="3535"/>
      <c r="AI28" s="3536">
        <v>0</v>
      </c>
      <c r="AJ28" s="3534"/>
      <c r="AK28" s="3533">
        <v>0</v>
      </c>
      <c r="AL28" s="3534"/>
      <c r="AM28" s="3533">
        <v>0</v>
      </c>
      <c r="AN28" s="3534"/>
      <c r="AO28" s="3533">
        <v>0</v>
      </c>
      <c r="AP28" s="3534"/>
      <c r="AQ28" s="3533">
        <v>0</v>
      </c>
      <c r="AR28" s="3537"/>
      <c r="AS28" s="593"/>
      <c r="AT28" s="593"/>
      <c r="AU28" s="593"/>
      <c r="AV28" s="593"/>
      <c r="AW28" s="593"/>
      <c r="AX28" s="593"/>
      <c r="AY28" s="593"/>
      <c r="AZ28" s="593"/>
      <c r="BA28" s="593"/>
      <c r="BB28" s="593"/>
      <c r="BC28" s="593"/>
      <c r="BD28" s="593"/>
      <c r="BE28" s="593"/>
      <c r="BF28" s="593"/>
      <c r="BG28" s="593"/>
    </row>
    <row r="29" spans="1:59" s="41" customFormat="1" ht="24.75" customHeight="1">
      <c r="A29" s="593"/>
      <c r="B29" s="1744"/>
      <c r="C29" s="3530" t="s">
        <v>1960</v>
      </c>
      <c r="D29" s="3530"/>
      <c r="E29" s="3530"/>
      <c r="F29" s="3530"/>
      <c r="G29" s="3530"/>
      <c r="H29" s="3530"/>
      <c r="I29" s="3530"/>
      <c r="J29" s="3530"/>
      <c r="K29" s="3530"/>
      <c r="L29" s="3530"/>
      <c r="M29" s="3530"/>
      <c r="N29" s="3530"/>
      <c r="O29" s="3530"/>
      <c r="P29" s="3530"/>
      <c r="Q29" s="3530"/>
      <c r="R29" s="3530"/>
      <c r="S29" s="3530"/>
      <c r="T29" s="1745"/>
      <c r="U29" s="3531">
        <v>0</v>
      </c>
      <c r="V29" s="3521"/>
      <c r="W29" s="3523">
        <v>0</v>
      </c>
      <c r="X29" s="3522"/>
      <c r="Y29" s="3523">
        <v>0</v>
      </c>
      <c r="Z29" s="3522"/>
      <c r="AA29" s="3523">
        <v>0</v>
      </c>
      <c r="AB29" s="3522"/>
      <c r="AC29" s="3523">
        <v>0</v>
      </c>
      <c r="AD29" s="3522"/>
      <c r="AE29" s="3523">
        <v>0</v>
      </c>
      <c r="AF29" s="3522"/>
      <c r="AG29" s="3523">
        <v>0</v>
      </c>
      <c r="AH29" s="3532"/>
      <c r="AI29" s="3521">
        <v>0</v>
      </c>
      <c r="AJ29" s="3522"/>
      <c r="AK29" s="3523">
        <v>0</v>
      </c>
      <c r="AL29" s="3522"/>
      <c r="AM29" s="3523">
        <v>0</v>
      </c>
      <c r="AN29" s="3522"/>
      <c r="AO29" s="3523">
        <v>0</v>
      </c>
      <c r="AP29" s="3522"/>
      <c r="AQ29" s="3523">
        <v>0</v>
      </c>
      <c r="AR29" s="3524"/>
      <c r="AS29" s="593"/>
      <c r="AT29" s="593"/>
      <c r="AU29" s="593"/>
      <c r="AV29" s="593"/>
      <c r="AW29" s="593"/>
      <c r="AX29" s="593"/>
      <c r="AY29" s="593"/>
      <c r="AZ29" s="593"/>
      <c r="BA29" s="593"/>
      <c r="BB29" s="593"/>
      <c r="BC29" s="593"/>
      <c r="BD29" s="593"/>
      <c r="BE29" s="593"/>
      <c r="BF29" s="593"/>
      <c r="BG29" s="593"/>
    </row>
    <row r="30" spans="1:59" s="41" customFormat="1" ht="20.100000000000001" customHeight="1">
      <c r="A30" s="593"/>
      <c r="B30" s="1231"/>
      <c r="C30" s="3525" t="s">
        <v>1021</v>
      </c>
      <c r="D30" s="3525"/>
      <c r="E30" s="3525"/>
      <c r="F30" s="3525"/>
      <c r="G30" s="3525"/>
      <c r="H30" s="3525"/>
      <c r="I30" s="3525"/>
      <c r="J30" s="3525"/>
      <c r="K30" s="3525"/>
      <c r="L30" s="3525"/>
      <c r="M30" s="3525"/>
      <c r="N30" s="3525"/>
      <c r="O30" s="3525"/>
      <c r="P30" s="3525"/>
      <c r="Q30" s="3525"/>
      <c r="R30" s="3525"/>
      <c r="S30" s="3525"/>
      <c r="T30" s="1232"/>
      <c r="U30" s="3526">
        <v>0</v>
      </c>
      <c r="V30" s="3520"/>
      <c r="W30" s="3519">
        <v>0</v>
      </c>
      <c r="X30" s="3520"/>
      <c r="Y30" s="3519">
        <v>0</v>
      </c>
      <c r="Z30" s="3520"/>
      <c r="AA30" s="3519">
        <v>0</v>
      </c>
      <c r="AB30" s="3520"/>
      <c r="AC30" s="3519">
        <v>0</v>
      </c>
      <c r="AD30" s="3520"/>
      <c r="AE30" s="3519">
        <v>0</v>
      </c>
      <c r="AF30" s="3520"/>
      <c r="AG30" s="3519">
        <v>0</v>
      </c>
      <c r="AH30" s="3529"/>
      <c r="AI30" s="3526">
        <v>0</v>
      </c>
      <c r="AJ30" s="3520"/>
      <c r="AK30" s="3519">
        <v>0</v>
      </c>
      <c r="AL30" s="3520"/>
      <c r="AM30" s="3519">
        <v>0</v>
      </c>
      <c r="AN30" s="3520"/>
      <c r="AO30" s="3519">
        <v>0</v>
      </c>
      <c r="AP30" s="3520"/>
      <c r="AQ30" s="3519">
        <v>0</v>
      </c>
      <c r="AR30" s="3527"/>
      <c r="AS30" s="593"/>
      <c r="AT30" s="593"/>
      <c r="AU30" s="593"/>
      <c r="AV30" s="593"/>
      <c r="AW30" s="593"/>
      <c r="AX30" s="593"/>
      <c r="AY30" s="593"/>
      <c r="AZ30" s="593"/>
      <c r="BA30" s="593"/>
      <c r="BB30" s="593"/>
      <c r="BC30" s="593"/>
      <c r="BD30" s="593"/>
      <c r="BE30" s="593"/>
      <c r="BF30" s="593"/>
      <c r="BG30" s="593"/>
    </row>
    <row r="31" spans="1:59" s="41" customFormat="1" ht="20.100000000000001" customHeight="1">
      <c r="A31" s="593"/>
      <c r="B31" s="1231"/>
      <c r="C31" s="3528"/>
      <c r="D31" s="3528"/>
      <c r="E31" s="3528"/>
      <c r="F31" s="3528"/>
      <c r="G31" s="3528"/>
      <c r="H31" s="3528"/>
      <c r="I31" s="3528"/>
      <c r="J31" s="3528"/>
      <c r="K31" s="3528"/>
      <c r="L31" s="3528"/>
      <c r="M31" s="3528"/>
      <c r="N31" s="3528"/>
      <c r="O31" s="3528"/>
      <c r="P31" s="3528"/>
      <c r="Q31" s="3528"/>
      <c r="R31" s="3528"/>
      <c r="S31" s="3528"/>
      <c r="T31" s="1232"/>
      <c r="U31" s="3526"/>
      <c r="V31" s="3520"/>
      <c r="W31" s="3519"/>
      <c r="X31" s="3520"/>
      <c r="Y31" s="3519"/>
      <c r="Z31" s="3520"/>
      <c r="AA31" s="3519"/>
      <c r="AB31" s="3520"/>
      <c r="AC31" s="3519"/>
      <c r="AD31" s="3520"/>
      <c r="AE31" s="3519"/>
      <c r="AF31" s="3520"/>
      <c r="AG31" s="3519"/>
      <c r="AH31" s="3529"/>
      <c r="AI31" s="3526"/>
      <c r="AJ31" s="3520"/>
      <c r="AK31" s="3519"/>
      <c r="AL31" s="3520"/>
      <c r="AM31" s="3519"/>
      <c r="AN31" s="3520"/>
      <c r="AO31" s="3519"/>
      <c r="AP31" s="3520"/>
      <c r="AQ31" s="3519"/>
      <c r="AR31" s="3527"/>
      <c r="AS31" s="593"/>
      <c r="AT31" s="593"/>
      <c r="AU31" s="593"/>
      <c r="AV31" s="593"/>
      <c r="AW31" s="593"/>
      <c r="AX31" s="593"/>
      <c r="AY31" s="593"/>
      <c r="AZ31" s="593"/>
      <c r="BA31" s="593"/>
      <c r="BB31" s="593"/>
      <c r="BC31" s="593"/>
      <c r="BD31" s="593"/>
      <c r="BE31" s="593"/>
      <c r="BF31" s="593"/>
      <c r="BG31" s="593"/>
    </row>
    <row r="32" spans="1:59" s="41" customFormat="1" ht="5.0999999999999996" customHeight="1" thickBot="1">
      <c r="A32" s="593"/>
      <c r="B32" s="1233"/>
      <c r="C32" s="3516"/>
      <c r="D32" s="3516"/>
      <c r="E32" s="3516"/>
      <c r="F32" s="3516"/>
      <c r="G32" s="3516"/>
      <c r="H32" s="3516"/>
      <c r="I32" s="3516"/>
      <c r="J32" s="3516"/>
      <c r="K32" s="3516"/>
      <c r="L32" s="3516"/>
      <c r="M32" s="3516"/>
      <c r="N32" s="3516"/>
      <c r="O32" s="3516"/>
      <c r="P32" s="3516"/>
      <c r="Q32" s="3516"/>
      <c r="R32" s="3516"/>
      <c r="S32" s="3516"/>
      <c r="T32" s="1234"/>
      <c r="U32" s="3517"/>
      <c r="V32" s="3513"/>
      <c r="W32" s="3511"/>
      <c r="X32" s="3514"/>
      <c r="Y32" s="3511"/>
      <c r="Z32" s="3514"/>
      <c r="AA32" s="3511"/>
      <c r="AB32" s="3514"/>
      <c r="AC32" s="3511"/>
      <c r="AD32" s="3514"/>
      <c r="AE32" s="3511"/>
      <c r="AF32" s="3514"/>
      <c r="AG32" s="3511"/>
      <c r="AH32" s="3512"/>
      <c r="AI32" s="3513"/>
      <c r="AJ32" s="3514"/>
      <c r="AK32" s="3511"/>
      <c r="AL32" s="3514"/>
      <c r="AM32" s="3511"/>
      <c r="AN32" s="3514"/>
      <c r="AO32" s="3511"/>
      <c r="AP32" s="3514"/>
      <c r="AQ32" s="3511"/>
      <c r="AR32" s="3515"/>
      <c r="AS32" s="593"/>
      <c r="AT32" s="593"/>
      <c r="AU32" s="593"/>
      <c r="AV32" s="593"/>
      <c r="AW32" s="593"/>
      <c r="AX32" s="593"/>
      <c r="AY32" s="593"/>
      <c r="AZ32" s="593"/>
      <c r="BA32" s="593"/>
      <c r="BB32" s="593"/>
      <c r="BC32" s="593"/>
      <c r="BD32" s="593"/>
      <c r="BE32" s="593"/>
      <c r="BF32" s="593"/>
      <c r="BG32" s="593"/>
    </row>
    <row r="33" spans="1:59" s="41" customFormat="1" ht="20.100000000000001" customHeight="1" thickTop="1">
      <c r="A33" s="593"/>
      <c r="B33" s="1235"/>
      <c r="C33" s="3518" t="str">
        <f>IF(AND(ISBLANK(disascal_hih_others_specify),SUM(U30:AR31)&gt;0),"Please specify.",IF(AND(disascal_hih_others_specify&gt;0,SUM(U30:AR31)=0),"Please provide details.",""))</f>
        <v/>
      </c>
      <c r="D33" s="3518"/>
      <c r="E33" s="3518"/>
      <c r="F33" s="3518"/>
      <c r="G33" s="3518"/>
      <c r="H33" s="3518"/>
      <c r="I33" s="3518"/>
      <c r="J33" s="3518"/>
      <c r="K33" s="3518"/>
      <c r="L33" s="3518"/>
      <c r="M33" s="3518"/>
      <c r="N33" s="3518"/>
      <c r="O33" s="3518"/>
      <c r="P33" s="3518"/>
      <c r="Q33" s="3518"/>
      <c r="R33" s="3518"/>
      <c r="S33" s="3518"/>
      <c r="T33" s="3518"/>
      <c r="U33" s="1237"/>
      <c r="V33" s="1237"/>
      <c r="W33" s="1237"/>
      <c r="X33" s="1237"/>
      <c r="Y33" s="1237"/>
      <c r="Z33" s="1237"/>
      <c r="AA33" s="1237"/>
      <c r="AB33" s="1237"/>
      <c r="AC33" s="1237"/>
      <c r="AD33" s="1237"/>
      <c r="AE33" s="1237"/>
      <c r="AF33" s="1237"/>
      <c r="AG33" s="1237"/>
      <c r="AH33" s="1237"/>
      <c r="AI33" s="1237"/>
      <c r="AJ33" s="1237"/>
      <c r="AK33" s="1237"/>
      <c r="AL33" s="1237"/>
      <c r="AM33" s="1237"/>
      <c r="AN33" s="1237"/>
      <c r="AO33" s="1237"/>
      <c r="AP33" s="1237"/>
      <c r="AQ33" s="1237"/>
      <c r="AR33" s="1237"/>
      <c r="AS33" s="593"/>
      <c r="AT33" s="593"/>
      <c r="AU33" s="593"/>
      <c r="AV33" s="593"/>
      <c r="AW33" s="593"/>
      <c r="AX33" s="593"/>
      <c r="AY33" s="593"/>
      <c r="AZ33" s="593"/>
      <c r="BA33" s="593"/>
      <c r="BB33" s="593"/>
      <c r="BC33" s="593"/>
      <c r="BD33" s="593"/>
      <c r="BE33" s="593"/>
      <c r="BF33" s="593"/>
      <c r="BG33" s="593"/>
    </row>
    <row r="34" spans="1:59" s="102" customFormat="1" ht="17.25">
      <c r="A34" s="599"/>
      <c r="B34" s="227" t="s">
        <v>1195</v>
      </c>
      <c r="C34" s="1227"/>
      <c r="D34" s="1235"/>
      <c r="E34" s="1235"/>
      <c r="F34" s="1235"/>
      <c r="G34" s="1235"/>
      <c r="H34" s="1235"/>
      <c r="I34" s="1235"/>
      <c r="J34" s="1235"/>
      <c r="K34" s="1235"/>
      <c r="L34" s="1235"/>
      <c r="M34" s="1235"/>
      <c r="N34" s="1235"/>
      <c r="O34" s="1235"/>
      <c r="P34" s="1235"/>
      <c r="Q34" s="1235"/>
      <c r="R34" s="1235"/>
      <c r="S34" s="1235"/>
      <c r="T34" s="1235"/>
      <c r="U34" s="599"/>
      <c r="V34" s="599"/>
      <c r="W34" s="599"/>
      <c r="X34" s="599"/>
      <c r="Y34" s="599"/>
      <c r="Z34" s="599"/>
      <c r="AA34" s="599"/>
      <c r="AB34" s="599"/>
      <c r="AC34" s="599"/>
      <c r="AD34" s="599"/>
      <c r="AE34" s="599"/>
      <c r="AF34" s="599"/>
      <c r="AG34" s="599"/>
      <c r="AH34" s="599"/>
      <c r="AI34" s="599"/>
      <c r="AJ34" s="599"/>
      <c r="AK34" s="599"/>
      <c r="AL34" s="599"/>
      <c r="AM34" s="599"/>
      <c r="AN34" s="599"/>
      <c r="AO34" s="599"/>
      <c r="AP34" s="599"/>
      <c r="AQ34" s="599"/>
      <c r="AR34" s="599"/>
      <c r="AS34" s="599"/>
      <c r="AT34" s="599"/>
      <c r="AU34" s="599"/>
      <c r="AV34" s="599"/>
      <c r="AW34" s="599"/>
      <c r="AX34" s="599"/>
      <c r="AY34" s="599"/>
      <c r="AZ34" s="599"/>
      <c r="BA34" s="599"/>
      <c r="BB34" s="599"/>
      <c r="BC34" s="599"/>
      <c r="BD34" s="599"/>
      <c r="BE34" s="599"/>
      <c r="BF34" s="599"/>
      <c r="BG34" s="599"/>
    </row>
    <row r="35" spans="1:59" s="3" customFormat="1" ht="33.75" customHeight="1">
      <c r="A35" s="240"/>
      <c r="B35" s="240"/>
      <c r="C35" s="239"/>
      <c r="D35" s="240"/>
      <c r="E35" s="239"/>
      <c r="F35" s="240"/>
      <c r="G35" s="239"/>
      <c r="H35" s="240"/>
      <c r="I35" s="239"/>
      <c r="J35" s="240"/>
      <c r="K35" s="239"/>
      <c r="L35" s="240"/>
      <c r="M35" s="239"/>
      <c r="N35" s="240"/>
      <c r="O35" s="240"/>
      <c r="P35" s="240"/>
      <c r="Q35" s="240"/>
      <c r="R35" s="239"/>
      <c r="S35" s="240"/>
      <c r="T35" s="239"/>
      <c r="U35" s="240"/>
      <c r="V35" s="239"/>
      <c r="W35" s="240"/>
      <c r="X35" s="239"/>
      <c r="Y35" s="240"/>
      <c r="Z35" s="239"/>
      <c r="AA35" s="240"/>
      <c r="AB35" s="239"/>
      <c r="AC35" s="240"/>
      <c r="AD35" s="240"/>
      <c r="AE35" s="239"/>
      <c r="AF35" s="240"/>
      <c r="AG35" s="239"/>
      <c r="AH35" s="240"/>
      <c r="AI35" s="239"/>
      <c r="AJ35" s="240"/>
      <c r="AK35" s="239"/>
      <c r="AL35" s="240"/>
      <c r="AM35" s="239"/>
      <c r="AN35" s="240"/>
      <c r="AO35" s="239"/>
      <c r="AP35" s="240"/>
      <c r="AQ35" s="239"/>
      <c r="AR35" s="240"/>
      <c r="AS35" s="240"/>
      <c r="AT35" s="240"/>
      <c r="AU35" s="240"/>
      <c r="AV35" s="240"/>
      <c r="AW35" s="240"/>
      <c r="AX35" s="240"/>
      <c r="AY35" s="240"/>
      <c r="AZ35" s="240"/>
      <c r="BA35" s="240"/>
      <c r="BB35" s="240"/>
      <c r="BC35" s="240"/>
      <c r="BD35" s="240"/>
      <c r="BE35" s="240"/>
      <c r="BF35" s="240"/>
      <c r="BG35" s="240"/>
    </row>
    <row r="36" spans="1:59" s="37" customFormat="1" ht="15">
      <c r="A36" s="263"/>
      <c r="B36" s="332" t="s">
        <v>32</v>
      </c>
      <c r="C36" s="263"/>
      <c r="D36" s="263"/>
      <c r="E36" s="263"/>
      <c r="F36" s="263"/>
      <c r="G36" s="263"/>
      <c r="H36" s="263"/>
      <c r="I36" s="263"/>
      <c r="J36" s="263"/>
      <c r="K36" s="263"/>
      <c r="L36" s="263"/>
      <c r="M36" s="263"/>
      <c r="N36" s="263"/>
      <c r="O36" s="263"/>
      <c r="P36" s="263"/>
      <c r="Q36" s="332" t="s">
        <v>856</v>
      </c>
      <c r="R36" s="263"/>
      <c r="S36" s="263"/>
      <c r="T36" s="263"/>
      <c r="U36" s="263"/>
      <c r="V36" s="263"/>
      <c r="W36" s="263"/>
      <c r="X36" s="263"/>
      <c r="Y36" s="263"/>
      <c r="Z36" s="263"/>
      <c r="AA36" s="263"/>
      <c r="AB36" s="263"/>
      <c r="AC36" s="263"/>
      <c r="AD36" s="263"/>
      <c r="AE36" s="263"/>
      <c r="AF36" s="332" t="s">
        <v>33</v>
      </c>
      <c r="AG36" s="263"/>
      <c r="AH36" s="263"/>
      <c r="AI36" s="263"/>
      <c r="AJ36" s="263"/>
      <c r="AK36" s="263"/>
      <c r="AL36" s="263"/>
      <c r="AM36" s="263"/>
      <c r="AN36" s="263"/>
      <c r="AO36" s="263"/>
      <c r="AP36" s="263"/>
      <c r="AQ36" s="263"/>
      <c r="AR36" s="263"/>
      <c r="AS36" s="263"/>
      <c r="AT36" s="263"/>
      <c r="AU36" s="263"/>
      <c r="AV36" s="263"/>
      <c r="AW36" s="263"/>
      <c r="AX36" s="263"/>
      <c r="AY36" s="263"/>
      <c r="AZ36" s="263"/>
      <c r="BA36" s="263"/>
      <c r="BB36" s="263"/>
      <c r="BC36" s="263"/>
      <c r="BD36" s="263"/>
      <c r="BE36" s="263"/>
      <c r="BF36" s="263"/>
      <c r="BG36" s="263"/>
    </row>
    <row r="37" spans="1:59" s="37" customFormat="1" ht="21.75" customHeight="1">
      <c r="A37" s="263"/>
      <c r="B37" s="332" t="s">
        <v>73</v>
      </c>
      <c r="C37" s="263"/>
      <c r="D37" s="263"/>
      <c r="E37" s="263"/>
      <c r="F37" s="2790" t="str">
        <f>activesheet!E21</f>
        <v>MELCHESIEDICK Q. BOLANIO / March 17, 2023</v>
      </c>
      <c r="G37" s="2790"/>
      <c r="H37" s="2790"/>
      <c r="I37" s="2790"/>
      <c r="J37" s="2790"/>
      <c r="K37" s="2790"/>
      <c r="L37" s="2790"/>
      <c r="M37" s="2790"/>
      <c r="N37" s="2790"/>
      <c r="O37" s="263"/>
      <c r="P37" s="263"/>
      <c r="Q37" s="3060" t="s">
        <v>11922</v>
      </c>
      <c r="R37" s="3060"/>
      <c r="S37" s="3060"/>
      <c r="T37" s="3060"/>
      <c r="U37" s="3060"/>
      <c r="V37" s="3060"/>
      <c r="W37" s="3060"/>
      <c r="X37" s="3060"/>
      <c r="Y37" s="3060"/>
      <c r="Z37" s="3060"/>
      <c r="AA37" s="3060"/>
      <c r="AB37" s="3060"/>
      <c r="AC37" s="3060"/>
      <c r="AD37" s="263"/>
      <c r="AE37" s="263"/>
      <c r="AF37" s="3440" t="str">
        <f>activesheet!E25</f>
        <v>MICHAEL T. JAMIS / March 17, 2023</v>
      </c>
      <c r="AG37" s="3440"/>
      <c r="AH37" s="3440"/>
      <c r="AI37" s="3440"/>
      <c r="AJ37" s="3440"/>
      <c r="AK37" s="3440"/>
      <c r="AL37" s="3440"/>
      <c r="AM37" s="3440"/>
      <c r="AN37" s="3440"/>
      <c r="AO37" s="3440"/>
      <c r="AP37" s="3440"/>
      <c r="AQ37" s="3440"/>
      <c r="AR37" s="3440"/>
      <c r="AS37" s="263"/>
      <c r="AT37" s="263"/>
      <c r="AU37" s="263"/>
      <c r="AV37" s="263"/>
      <c r="AW37" s="263"/>
      <c r="AX37" s="263"/>
      <c r="AY37" s="263"/>
      <c r="AZ37" s="263"/>
      <c r="BA37" s="263"/>
      <c r="BB37" s="263"/>
      <c r="BC37" s="263"/>
      <c r="BD37" s="263"/>
      <c r="BE37" s="263"/>
      <c r="BF37" s="263"/>
      <c r="BG37" s="263"/>
    </row>
    <row r="38" spans="1:59" s="39" customFormat="1" ht="15" customHeight="1">
      <c r="A38" s="280"/>
      <c r="B38" s="228"/>
      <c r="C38" s="280"/>
      <c r="D38" s="280"/>
      <c r="E38" s="280"/>
      <c r="F38" s="1811" t="s">
        <v>37</v>
      </c>
      <c r="G38" s="1811"/>
      <c r="H38" s="1811"/>
      <c r="I38" s="1811"/>
      <c r="J38" s="1811"/>
      <c r="K38" s="1811"/>
      <c r="L38" s="1811"/>
      <c r="M38" s="1811"/>
      <c r="N38" s="1811"/>
      <c r="O38" s="228"/>
      <c r="P38" s="228"/>
      <c r="Q38" s="1811" t="s">
        <v>37</v>
      </c>
      <c r="R38" s="1811"/>
      <c r="S38" s="1811"/>
      <c r="T38" s="1811"/>
      <c r="U38" s="1811"/>
      <c r="V38" s="1811"/>
      <c r="W38" s="1811"/>
      <c r="X38" s="1811"/>
      <c r="Y38" s="1811"/>
      <c r="Z38" s="1811"/>
      <c r="AA38" s="1811"/>
      <c r="AB38" s="1811"/>
      <c r="AC38" s="1811"/>
      <c r="AD38" s="281"/>
      <c r="AE38" s="281"/>
      <c r="AF38" s="3441"/>
      <c r="AG38" s="3441"/>
      <c r="AH38" s="3441"/>
      <c r="AI38" s="3441"/>
      <c r="AJ38" s="3441"/>
      <c r="AK38" s="3441"/>
      <c r="AL38" s="3441"/>
      <c r="AM38" s="3441"/>
      <c r="AN38" s="3441"/>
      <c r="AO38" s="3441"/>
      <c r="AP38" s="3441"/>
      <c r="AQ38" s="3441"/>
      <c r="AR38" s="3441"/>
      <c r="AS38" s="280"/>
      <c r="AT38" s="280"/>
      <c r="AU38" s="280"/>
      <c r="AV38" s="280"/>
      <c r="AW38" s="280"/>
      <c r="AX38" s="280"/>
      <c r="AY38" s="280"/>
      <c r="AZ38" s="280"/>
      <c r="BA38" s="280"/>
      <c r="BB38" s="280"/>
      <c r="BC38" s="280"/>
      <c r="BD38" s="280"/>
      <c r="BE38" s="280"/>
      <c r="BF38" s="280"/>
      <c r="BG38" s="280"/>
    </row>
    <row r="39" spans="1:59" s="37" customFormat="1" ht="21.75" customHeight="1">
      <c r="A39" s="263"/>
      <c r="B39" s="332" t="s">
        <v>58</v>
      </c>
      <c r="C39" s="263"/>
      <c r="D39" s="263"/>
      <c r="E39" s="263"/>
      <c r="F39" s="2790" t="str">
        <f>activesheet!E22</f>
        <v>SECONDARY SCHOOL PRINCIPAL IV</v>
      </c>
      <c r="G39" s="2790"/>
      <c r="H39" s="2790"/>
      <c r="I39" s="2790"/>
      <c r="J39" s="2790"/>
      <c r="K39" s="2790"/>
      <c r="L39" s="2790"/>
      <c r="M39" s="2790"/>
      <c r="N39" s="2790"/>
      <c r="O39" s="263"/>
      <c r="P39" s="260"/>
      <c r="Q39" s="332" t="s">
        <v>58</v>
      </c>
      <c r="R39" s="263"/>
      <c r="S39" s="263"/>
      <c r="T39" s="263"/>
      <c r="U39" s="3060" t="s">
        <v>11910</v>
      </c>
      <c r="V39" s="3060"/>
      <c r="W39" s="3060"/>
      <c r="X39" s="3060"/>
      <c r="Y39" s="3060"/>
      <c r="Z39" s="3060"/>
      <c r="AA39" s="3060"/>
      <c r="AB39" s="3060"/>
      <c r="AC39" s="3060"/>
      <c r="AD39" s="263"/>
      <c r="AE39" s="263"/>
      <c r="AF39" s="1811" t="s">
        <v>37</v>
      </c>
      <c r="AG39" s="1811"/>
      <c r="AH39" s="1811"/>
      <c r="AI39" s="1811"/>
      <c r="AJ39" s="1811"/>
      <c r="AK39" s="1811"/>
      <c r="AL39" s="1811"/>
      <c r="AM39" s="1811"/>
      <c r="AN39" s="1811"/>
      <c r="AO39" s="1811"/>
      <c r="AP39" s="1811"/>
      <c r="AQ39" s="1811"/>
      <c r="AR39" s="1811"/>
      <c r="AS39" s="263"/>
      <c r="AT39" s="263"/>
      <c r="AU39" s="263"/>
      <c r="AV39" s="263"/>
      <c r="AW39" s="263"/>
      <c r="AX39" s="263"/>
      <c r="AY39" s="263"/>
      <c r="AZ39" s="263"/>
      <c r="BA39" s="263"/>
      <c r="BB39" s="263"/>
      <c r="BC39" s="263"/>
      <c r="BD39" s="263"/>
      <c r="BE39" s="263"/>
      <c r="BF39" s="263"/>
      <c r="BG39" s="263"/>
    </row>
    <row r="40" spans="1:59">
      <c r="A40" s="941"/>
      <c r="B40" s="941"/>
      <c r="C40" s="941"/>
      <c r="D40" s="941"/>
      <c r="E40" s="941"/>
      <c r="F40" s="941"/>
      <c r="G40" s="941"/>
      <c r="H40" s="941"/>
      <c r="I40" s="941"/>
      <c r="J40" s="941"/>
      <c r="K40" s="941"/>
      <c r="L40" s="941"/>
      <c r="M40" s="941"/>
      <c r="N40" s="941"/>
      <c r="O40" s="941"/>
      <c r="P40" s="273"/>
      <c r="Q40" s="273"/>
      <c r="R40" s="273"/>
      <c r="S40" s="273"/>
      <c r="T40" s="273"/>
      <c r="U40" s="273"/>
      <c r="V40" s="273"/>
      <c r="W40" s="273"/>
      <c r="X40" s="273"/>
      <c r="Y40" s="941"/>
      <c r="Z40" s="941"/>
      <c r="AA40" s="941"/>
      <c r="AB40" s="941"/>
      <c r="AC40" s="941"/>
      <c r="AD40" s="941"/>
      <c r="AE40" s="941"/>
      <c r="AF40" s="263"/>
      <c r="AG40" s="263"/>
      <c r="AH40" s="263"/>
      <c r="AI40" s="263"/>
      <c r="AJ40" s="263"/>
      <c r="AK40" s="263"/>
      <c r="AL40" s="263"/>
      <c r="AM40" s="263"/>
      <c r="AN40" s="263"/>
      <c r="AO40" s="263"/>
      <c r="AP40" s="263"/>
      <c r="AQ40" s="263"/>
      <c r="AR40" s="263"/>
      <c r="AS40" s="941"/>
      <c r="AT40" s="941"/>
      <c r="AU40" s="941"/>
      <c r="AV40" s="941"/>
      <c r="AW40" s="941"/>
      <c r="AX40" s="941"/>
      <c r="AY40" s="941"/>
      <c r="AZ40" s="941"/>
      <c r="BA40" s="941"/>
      <c r="BB40" s="941"/>
      <c r="BC40" s="941"/>
      <c r="BD40" s="941"/>
      <c r="BE40" s="941"/>
      <c r="BF40" s="941"/>
      <c r="BG40" s="941"/>
    </row>
    <row r="41" spans="1:59" s="4" customFormat="1">
      <c r="A41" s="976"/>
      <c r="B41" s="976"/>
      <c r="C41" s="976"/>
      <c r="D41" s="976"/>
      <c r="E41" s="976"/>
      <c r="F41" s="976"/>
      <c r="G41" s="976"/>
      <c r="H41" s="976"/>
      <c r="I41" s="976"/>
      <c r="J41" s="976"/>
      <c r="K41" s="976"/>
      <c r="L41" s="976"/>
      <c r="M41" s="976"/>
      <c r="N41" s="976"/>
      <c r="O41" s="976"/>
      <c r="P41" s="976"/>
      <c r="Q41" s="976"/>
      <c r="R41" s="976"/>
      <c r="S41" s="976"/>
      <c r="T41" s="976"/>
      <c r="U41" s="976"/>
      <c r="V41" s="976"/>
      <c r="W41" s="976"/>
      <c r="X41" s="976"/>
      <c r="Y41" s="976"/>
      <c r="Z41" s="976"/>
      <c r="AA41" s="976"/>
      <c r="AB41" s="976"/>
      <c r="AC41" s="976"/>
      <c r="AD41" s="976"/>
      <c r="AE41" s="941"/>
      <c r="AF41" s="941"/>
      <c r="AG41" s="941"/>
      <c r="AH41" s="273"/>
      <c r="AI41" s="273"/>
      <c r="AJ41" s="273"/>
      <c r="AK41" s="273"/>
      <c r="AL41" s="273"/>
      <c r="AM41" s="941"/>
      <c r="AN41" s="941"/>
      <c r="AO41" s="941"/>
      <c r="AP41" s="941"/>
      <c r="AQ41" s="941"/>
      <c r="AR41" s="941"/>
      <c r="AS41" s="976"/>
      <c r="AT41" s="976"/>
      <c r="AU41" s="976"/>
      <c r="AV41" s="976"/>
      <c r="AW41" s="976"/>
      <c r="AX41" s="976"/>
      <c r="AY41" s="976"/>
      <c r="AZ41" s="976"/>
      <c r="BA41" s="976"/>
      <c r="BB41" s="976"/>
      <c r="BC41" s="976"/>
      <c r="BD41" s="976"/>
      <c r="BE41" s="976"/>
      <c r="BF41" s="976"/>
      <c r="BG41" s="976"/>
    </row>
    <row r="42" spans="1:59" s="4" customFormat="1" ht="19.5" customHeight="1">
      <c r="A42" s="976"/>
      <c r="B42" s="976"/>
      <c r="C42" s="976"/>
      <c r="D42" s="976"/>
      <c r="E42" s="976"/>
      <c r="F42" s="976"/>
      <c r="G42" s="976"/>
      <c r="H42" s="976"/>
      <c r="I42" s="976"/>
      <c r="J42" s="976"/>
      <c r="K42" s="976"/>
      <c r="L42" s="976"/>
      <c r="M42" s="976"/>
      <c r="N42" s="976"/>
      <c r="O42" s="976"/>
      <c r="P42" s="976"/>
      <c r="Q42" s="976"/>
      <c r="R42" s="976"/>
      <c r="S42" s="976"/>
      <c r="T42" s="976"/>
      <c r="U42" s="976"/>
      <c r="V42" s="976"/>
      <c r="W42" s="976"/>
      <c r="X42" s="976"/>
      <c r="Y42" s="976"/>
      <c r="Z42" s="976"/>
      <c r="AA42" s="976"/>
      <c r="AB42" s="976"/>
      <c r="AC42" s="976"/>
      <c r="AD42" s="976"/>
      <c r="AE42" s="976"/>
      <c r="AF42" s="976"/>
      <c r="AG42" s="976"/>
      <c r="AH42" s="976"/>
      <c r="AI42" s="976"/>
      <c r="AJ42" s="976"/>
      <c r="AK42" s="976"/>
      <c r="AL42" s="976"/>
      <c r="AM42" s="976"/>
      <c r="AN42" s="976"/>
      <c r="AO42" s="976"/>
      <c r="AP42" s="976"/>
      <c r="AQ42" s="976"/>
      <c r="AR42" s="976"/>
      <c r="AS42" s="976"/>
      <c r="AT42" s="976"/>
      <c r="AU42" s="976"/>
      <c r="AV42" s="976"/>
      <c r="AW42" s="976"/>
      <c r="AX42" s="976"/>
      <c r="AY42" s="976"/>
      <c r="AZ42" s="976"/>
      <c r="BA42" s="976"/>
      <c r="BB42" s="976"/>
      <c r="BC42" s="976"/>
      <c r="BD42" s="976"/>
      <c r="BE42" s="976"/>
      <c r="BF42" s="976"/>
      <c r="BG42" s="976"/>
    </row>
    <row r="43" spans="1:59" s="4" customFormat="1">
      <c r="A43" s="976"/>
      <c r="B43" s="976"/>
      <c r="C43" s="976"/>
      <c r="D43" s="976"/>
      <c r="E43" s="976"/>
      <c r="F43" s="976"/>
      <c r="G43" s="976"/>
      <c r="H43" s="976"/>
      <c r="I43" s="976"/>
      <c r="J43" s="976"/>
      <c r="K43" s="976"/>
      <c r="L43" s="976"/>
      <c r="M43" s="976"/>
      <c r="N43" s="976"/>
      <c r="O43" s="976"/>
      <c r="P43" s="976"/>
      <c r="Q43" s="976"/>
      <c r="R43" s="976"/>
      <c r="S43" s="976"/>
      <c r="T43" s="976"/>
      <c r="U43" s="976"/>
      <c r="V43" s="976"/>
      <c r="W43" s="976"/>
      <c r="X43" s="976"/>
      <c r="Y43" s="976"/>
      <c r="Z43" s="976"/>
      <c r="AA43" s="976"/>
      <c r="AB43" s="976"/>
      <c r="AC43" s="976"/>
      <c r="AD43" s="976"/>
      <c r="AE43" s="976"/>
      <c r="AF43" s="976"/>
      <c r="AG43" s="976"/>
      <c r="AH43" s="976"/>
      <c r="AI43" s="976"/>
      <c r="AJ43" s="976"/>
      <c r="AK43" s="976"/>
      <c r="AL43" s="976"/>
      <c r="AM43" s="976"/>
      <c r="AN43" s="976"/>
      <c r="AO43" s="976"/>
      <c r="AP43" s="976"/>
      <c r="AQ43" s="976"/>
      <c r="AR43" s="976"/>
      <c r="AS43" s="976"/>
      <c r="AT43" s="976"/>
      <c r="AU43" s="976"/>
      <c r="AV43" s="976"/>
      <c r="AW43" s="976"/>
      <c r="AX43" s="976"/>
      <c r="AY43" s="976"/>
      <c r="AZ43" s="976"/>
      <c r="BA43" s="976"/>
      <c r="BB43" s="976"/>
      <c r="BC43" s="976"/>
      <c r="BD43" s="976"/>
      <c r="BE43" s="976"/>
      <c r="BF43" s="976"/>
      <c r="BG43" s="976"/>
    </row>
    <row r="44" spans="1:59" s="4" customFormat="1">
      <c r="A44" s="976"/>
      <c r="B44" s="976"/>
      <c r="C44" s="976"/>
      <c r="D44" s="976"/>
      <c r="E44" s="976"/>
      <c r="F44" s="976"/>
      <c r="G44" s="976"/>
      <c r="H44" s="976"/>
      <c r="I44" s="976"/>
      <c r="J44" s="976"/>
      <c r="K44" s="976"/>
      <c r="L44" s="976"/>
      <c r="M44" s="976"/>
      <c r="N44" s="976"/>
      <c r="O44" s="976"/>
      <c r="P44" s="976"/>
      <c r="Q44" s="976"/>
      <c r="R44" s="976"/>
      <c r="S44" s="976"/>
      <c r="T44" s="976"/>
      <c r="U44" s="976"/>
      <c r="V44" s="976"/>
      <c r="W44" s="976"/>
      <c r="X44" s="976"/>
      <c r="Y44" s="976"/>
      <c r="Z44" s="976"/>
      <c r="AA44" s="976"/>
      <c r="AB44" s="976"/>
      <c r="AC44" s="976"/>
      <c r="AD44" s="976"/>
      <c r="AE44" s="976"/>
      <c r="AF44" s="976"/>
      <c r="AG44" s="976"/>
      <c r="AH44" s="976"/>
      <c r="AI44" s="976"/>
      <c r="AJ44" s="976"/>
      <c r="AK44" s="976"/>
      <c r="AL44" s="976"/>
      <c r="AM44" s="976"/>
      <c r="AN44" s="976"/>
      <c r="AO44" s="976"/>
      <c r="AP44" s="976"/>
      <c r="AQ44" s="976"/>
      <c r="AR44" s="976"/>
      <c r="AS44" s="976"/>
      <c r="AT44" s="976"/>
      <c r="AU44" s="976"/>
      <c r="AV44" s="976"/>
      <c r="AW44" s="976"/>
      <c r="AX44" s="976"/>
      <c r="AY44" s="976"/>
      <c r="AZ44" s="976"/>
      <c r="BA44" s="976"/>
      <c r="BB44" s="976"/>
      <c r="BC44" s="976"/>
      <c r="BD44" s="976"/>
      <c r="BE44" s="976"/>
      <c r="BF44" s="976"/>
      <c r="BG44" s="976"/>
    </row>
    <row r="45" spans="1:59" ht="18" customHeight="1">
      <c r="A45" s="941"/>
      <c r="B45" s="941"/>
      <c r="C45" s="941"/>
      <c r="D45" s="941"/>
      <c r="E45" s="941"/>
      <c r="F45" s="941"/>
      <c r="G45" s="941"/>
      <c r="H45" s="941"/>
      <c r="I45" s="941"/>
      <c r="J45" s="941"/>
      <c r="K45" s="941"/>
      <c r="L45" s="941"/>
      <c r="M45" s="941"/>
      <c r="N45" s="941"/>
      <c r="O45" s="941"/>
      <c r="P45" s="941"/>
      <c r="Q45" s="941"/>
      <c r="R45" s="941"/>
      <c r="S45" s="941"/>
      <c r="T45" s="941"/>
      <c r="U45" s="941"/>
      <c r="V45" s="941"/>
      <c r="W45" s="941"/>
      <c r="X45" s="941"/>
      <c r="Y45" s="941"/>
      <c r="Z45" s="941"/>
      <c r="AA45" s="941"/>
      <c r="AB45" s="941"/>
      <c r="AC45" s="941"/>
      <c r="AD45" s="941"/>
      <c r="AE45" s="976"/>
      <c r="AF45" s="976"/>
      <c r="AG45" s="976"/>
      <c r="AH45" s="976"/>
      <c r="AI45" s="976"/>
      <c r="AJ45" s="976"/>
      <c r="AK45" s="976"/>
      <c r="AL45" s="976"/>
      <c r="AM45" s="976"/>
      <c r="AN45" s="976"/>
      <c r="AO45" s="976"/>
      <c r="AP45" s="976"/>
      <c r="AQ45" s="976"/>
      <c r="AR45" s="976"/>
      <c r="AS45" s="941"/>
      <c r="AT45" s="941"/>
      <c r="AU45" s="941"/>
      <c r="AV45" s="941"/>
      <c r="AW45" s="941"/>
      <c r="AX45" s="941"/>
      <c r="AY45" s="941"/>
      <c r="AZ45" s="941"/>
      <c r="BA45" s="941"/>
      <c r="BB45" s="941"/>
      <c r="BC45" s="941"/>
      <c r="BD45" s="941"/>
      <c r="BE45" s="941"/>
      <c r="BF45" s="941"/>
      <c r="BG45" s="941"/>
    </row>
    <row r="46" spans="1:59">
      <c r="A46" s="941"/>
      <c r="B46" s="941"/>
      <c r="C46" s="941"/>
      <c r="D46" s="941"/>
      <c r="E46" s="941"/>
      <c r="F46" s="941"/>
      <c r="G46" s="941"/>
      <c r="H46" s="941"/>
      <c r="I46" s="941"/>
      <c r="J46" s="941"/>
      <c r="K46" s="941"/>
      <c r="L46" s="941"/>
      <c r="M46" s="941"/>
      <c r="N46" s="941"/>
      <c r="O46" s="941"/>
      <c r="P46" s="941"/>
      <c r="Q46" s="941"/>
      <c r="R46" s="941"/>
      <c r="S46" s="941"/>
      <c r="T46" s="941"/>
      <c r="U46" s="941"/>
      <c r="V46" s="941"/>
      <c r="W46" s="941"/>
      <c r="X46" s="941"/>
      <c r="Y46" s="941"/>
      <c r="Z46" s="941"/>
      <c r="AA46" s="941"/>
      <c r="AB46" s="941"/>
      <c r="AC46" s="941"/>
      <c r="AD46" s="941"/>
      <c r="AE46" s="941"/>
      <c r="AF46" s="941"/>
      <c r="AG46" s="941"/>
      <c r="AH46" s="941"/>
      <c r="AI46" s="941"/>
      <c r="AJ46" s="941"/>
      <c r="AK46" s="941"/>
      <c r="AL46" s="941"/>
      <c r="AM46" s="941"/>
      <c r="AN46" s="941"/>
      <c r="AO46" s="941"/>
      <c r="AP46" s="941"/>
      <c r="AQ46" s="941"/>
      <c r="AR46" s="941"/>
      <c r="AS46" s="941"/>
      <c r="AT46" s="941"/>
      <c r="AU46" s="941"/>
      <c r="AV46" s="941"/>
      <c r="AW46" s="941"/>
      <c r="AX46" s="941"/>
      <c r="AY46" s="941"/>
      <c r="AZ46" s="941"/>
      <c r="BA46" s="941"/>
      <c r="BB46" s="941"/>
      <c r="BC46" s="941"/>
      <c r="BD46" s="941"/>
      <c r="BE46" s="941"/>
      <c r="BF46" s="941"/>
      <c r="BG46" s="941"/>
    </row>
    <row r="47" spans="1:59">
      <c r="A47" s="941"/>
      <c r="B47" s="941"/>
      <c r="C47" s="941"/>
      <c r="D47" s="941"/>
      <c r="E47" s="941"/>
      <c r="F47" s="941"/>
      <c r="G47" s="941"/>
      <c r="H47" s="941"/>
      <c r="I47" s="941"/>
      <c r="J47" s="941"/>
      <c r="K47" s="941"/>
      <c r="L47" s="941"/>
      <c r="M47" s="941"/>
      <c r="N47" s="941"/>
      <c r="O47" s="941"/>
      <c r="P47" s="941"/>
      <c r="Q47" s="941"/>
      <c r="R47" s="941"/>
      <c r="S47" s="941"/>
      <c r="T47" s="941"/>
      <c r="U47" s="941"/>
      <c r="V47" s="941"/>
      <c r="W47" s="941"/>
      <c r="X47" s="941"/>
      <c r="Y47" s="941"/>
      <c r="Z47" s="941"/>
      <c r="AA47" s="941"/>
      <c r="AB47" s="941"/>
      <c r="AC47" s="941"/>
      <c r="AD47" s="941"/>
      <c r="AE47" s="941"/>
      <c r="AF47" s="941"/>
      <c r="AG47" s="941"/>
      <c r="AH47" s="941"/>
      <c r="AI47" s="941"/>
      <c r="AJ47" s="941"/>
      <c r="AK47" s="941"/>
      <c r="AL47" s="941"/>
      <c r="AM47" s="941"/>
      <c r="AN47" s="941"/>
      <c r="AO47" s="941"/>
      <c r="AP47" s="941"/>
      <c r="AQ47" s="941"/>
      <c r="AR47" s="941"/>
      <c r="AS47" s="941"/>
      <c r="AT47" s="228"/>
      <c r="AU47" s="941"/>
      <c r="AV47" s="941"/>
      <c r="AW47" s="941"/>
      <c r="AX47" s="941"/>
      <c r="AY47" s="941"/>
      <c r="AZ47" s="941"/>
      <c r="BA47" s="941"/>
      <c r="BB47" s="941"/>
      <c r="BC47" s="941"/>
      <c r="BD47" s="941"/>
      <c r="BE47" s="941"/>
      <c r="BF47" s="941"/>
      <c r="BG47" s="941"/>
    </row>
    <row r="48" spans="1:59">
      <c r="A48" s="941"/>
      <c r="B48" s="941"/>
      <c r="C48" s="941"/>
      <c r="D48" s="941"/>
      <c r="E48" s="941"/>
      <c r="F48" s="941"/>
      <c r="G48" s="941"/>
      <c r="H48" s="941"/>
      <c r="I48" s="941"/>
      <c r="J48" s="941"/>
      <c r="K48" s="941"/>
      <c r="L48" s="941"/>
      <c r="M48" s="941"/>
      <c r="N48" s="941"/>
      <c r="O48" s="941"/>
      <c r="P48" s="941"/>
      <c r="Q48" s="941"/>
      <c r="R48" s="941"/>
      <c r="S48" s="941"/>
      <c r="T48" s="941"/>
      <c r="U48" s="941"/>
      <c r="V48" s="941"/>
      <c r="W48" s="941"/>
      <c r="X48" s="941"/>
      <c r="Y48" s="941"/>
      <c r="Z48" s="941"/>
      <c r="AA48" s="941"/>
      <c r="AB48" s="941"/>
      <c r="AC48" s="941"/>
      <c r="AD48" s="941"/>
      <c r="AE48" s="941"/>
      <c r="AF48" s="941"/>
      <c r="AG48" s="941"/>
      <c r="AH48" s="941"/>
      <c r="AI48" s="941"/>
      <c r="AJ48" s="941"/>
      <c r="AK48" s="941"/>
      <c r="AL48" s="941"/>
      <c r="AM48" s="941"/>
      <c r="AN48" s="941"/>
      <c r="AO48" s="941"/>
      <c r="AP48" s="941"/>
      <c r="AQ48" s="941"/>
      <c r="AR48" s="941"/>
      <c r="AS48" s="941"/>
      <c r="AT48" s="941"/>
      <c r="AU48" s="941"/>
      <c r="AV48" s="941"/>
      <c r="AW48" s="941"/>
      <c r="AX48" s="941"/>
      <c r="AY48" s="941"/>
      <c r="AZ48" s="941"/>
      <c r="BA48" s="941"/>
      <c r="BB48" s="941"/>
      <c r="BC48" s="941"/>
      <c r="BD48" s="941"/>
      <c r="BE48" s="941"/>
      <c r="BF48" s="941"/>
      <c r="BG48" s="941"/>
    </row>
    <row r="49" spans="1:59">
      <c r="A49" s="941"/>
      <c r="B49" s="941"/>
      <c r="C49" s="941"/>
      <c r="D49" s="941"/>
      <c r="E49" s="941"/>
      <c r="F49" s="941"/>
      <c r="G49" s="941"/>
      <c r="H49" s="941"/>
      <c r="I49" s="941"/>
      <c r="J49" s="941"/>
      <c r="K49" s="941"/>
      <c r="L49" s="941"/>
      <c r="M49" s="941"/>
      <c r="N49" s="941"/>
      <c r="O49" s="941"/>
      <c r="P49" s="941"/>
      <c r="Q49" s="941"/>
      <c r="R49" s="941"/>
      <c r="S49" s="941"/>
      <c r="T49" s="941"/>
      <c r="U49" s="941"/>
      <c r="V49" s="941"/>
      <c r="W49" s="941"/>
      <c r="X49" s="941"/>
      <c r="Y49" s="941"/>
      <c r="Z49" s="941"/>
      <c r="AA49" s="941"/>
      <c r="AB49" s="941"/>
      <c r="AC49" s="941"/>
      <c r="AD49" s="941"/>
      <c r="AE49" s="941"/>
      <c r="AF49" s="941"/>
      <c r="AG49" s="941"/>
      <c r="AH49" s="941"/>
      <c r="AI49" s="941"/>
      <c r="AJ49" s="941"/>
      <c r="AK49" s="941"/>
      <c r="AL49" s="941"/>
      <c r="AM49" s="941"/>
      <c r="AN49" s="941"/>
      <c r="AO49" s="941"/>
      <c r="AP49" s="941"/>
      <c r="AQ49" s="941"/>
      <c r="AR49" s="941"/>
      <c r="AS49" s="941"/>
      <c r="AT49" s="941"/>
      <c r="AU49" s="941"/>
      <c r="AV49" s="941"/>
      <c r="AW49" s="941"/>
      <c r="AX49" s="941"/>
      <c r="AY49" s="941"/>
      <c r="AZ49" s="941"/>
      <c r="BA49" s="941"/>
      <c r="BB49" s="941"/>
      <c r="BC49" s="941"/>
      <c r="BD49" s="941"/>
      <c r="BE49" s="941"/>
      <c r="BF49" s="941"/>
      <c r="BG49" s="941"/>
    </row>
    <row r="50" spans="1:59">
      <c r="A50" s="941"/>
      <c r="B50" s="941"/>
      <c r="C50" s="941"/>
      <c r="D50" s="941"/>
      <c r="E50" s="941"/>
      <c r="F50" s="941"/>
      <c r="G50" s="941"/>
      <c r="H50" s="941"/>
      <c r="I50" s="941"/>
      <c r="J50" s="941"/>
      <c r="K50" s="941"/>
      <c r="L50" s="941"/>
      <c r="M50" s="941"/>
      <c r="N50" s="941"/>
      <c r="O50" s="941"/>
      <c r="P50" s="941"/>
      <c r="Q50" s="941"/>
      <c r="R50" s="941"/>
      <c r="S50" s="941"/>
      <c r="T50" s="941"/>
      <c r="U50" s="941"/>
      <c r="V50" s="941"/>
      <c r="W50" s="941"/>
      <c r="X50" s="941"/>
      <c r="Y50" s="941"/>
      <c r="Z50" s="941"/>
      <c r="AA50" s="941"/>
      <c r="AB50" s="941"/>
      <c r="AC50" s="941"/>
      <c r="AD50" s="941"/>
      <c r="AE50" s="941"/>
      <c r="AF50" s="941"/>
      <c r="AG50" s="941"/>
      <c r="AH50" s="941"/>
      <c r="AI50" s="941"/>
      <c r="AJ50" s="941"/>
      <c r="AK50" s="941"/>
      <c r="AL50" s="941"/>
      <c r="AM50" s="941"/>
      <c r="AN50" s="941"/>
      <c r="AO50" s="941"/>
      <c r="AP50" s="941"/>
      <c r="AQ50" s="941"/>
      <c r="AR50" s="941"/>
      <c r="AS50" s="941"/>
      <c r="AT50" s="941"/>
      <c r="AU50" s="941"/>
      <c r="AV50" s="941"/>
      <c r="AW50" s="941"/>
      <c r="AX50" s="941"/>
      <c r="AY50" s="941"/>
      <c r="AZ50" s="941"/>
      <c r="BA50" s="941"/>
      <c r="BB50" s="941"/>
      <c r="BC50" s="941"/>
      <c r="BD50" s="941"/>
      <c r="BE50" s="941"/>
      <c r="BF50" s="941"/>
      <c r="BG50" s="941"/>
    </row>
    <row r="51" spans="1:59">
      <c r="A51" s="941"/>
      <c r="B51" s="941"/>
      <c r="C51" s="941"/>
      <c r="D51" s="941"/>
      <c r="E51" s="941"/>
      <c r="F51" s="941"/>
      <c r="G51" s="941"/>
      <c r="H51" s="941"/>
      <c r="I51" s="941"/>
      <c r="J51" s="941"/>
      <c r="K51" s="941"/>
      <c r="L51" s="941"/>
      <c r="M51" s="941"/>
      <c r="N51" s="941"/>
      <c r="O51" s="941"/>
      <c r="P51" s="941"/>
      <c r="Q51" s="941"/>
      <c r="R51" s="941"/>
      <c r="S51" s="941"/>
      <c r="T51" s="941"/>
      <c r="U51" s="941"/>
      <c r="V51" s="941"/>
      <c r="W51" s="941"/>
      <c r="X51" s="941"/>
      <c r="Y51" s="941"/>
      <c r="Z51" s="941"/>
      <c r="AA51" s="941"/>
      <c r="AB51" s="941"/>
      <c r="AC51" s="941"/>
      <c r="AD51" s="941"/>
      <c r="AE51" s="941"/>
      <c r="AF51" s="941"/>
      <c r="AG51" s="941"/>
      <c r="AH51" s="941"/>
      <c r="AI51" s="941"/>
      <c r="AJ51" s="941"/>
      <c r="AK51" s="941"/>
      <c r="AL51" s="941"/>
      <c r="AM51" s="941"/>
      <c r="AN51" s="941"/>
      <c r="AO51" s="941"/>
      <c r="AP51" s="941"/>
      <c r="AQ51" s="941"/>
      <c r="AR51" s="941"/>
      <c r="AS51" s="941"/>
      <c r="AT51" s="941"/>
      <c r="AU51" s="941"/>
      <c r="AV51" s="941"/>
      <c r="AW51" s="941"/>
      <c r="AX51" s="941"/>
      <c r="AY51" s="941"/>
      <c r="AZ51" s="941"/>
      <c r="BA51" s="941"/>
      <c r="BB51" s="941"/>
      <c r="BC51" s="941"/>
      <c r="BD51" s="941"/>
      <c r="BE51" s="941"/>
      <c r="BF51" s="941"/>
      <c r="BG51" s="941"/>
    </row>
    <row r="52" spans="1:59">
      <c r="A52" s="941"/>
      <c r="B52" s="941"/>
      <c r="C52" s="941"/>
      <c r="D52" s="941"/>
      <c r="E52" s="941"/>
      <c r="F52" s="941"/>
      <c r="G52" s="941"/>
      <c r="H52" s="941"/>
      <c r="I52" s="941"/>
      <c r="J52" s="941"/>
      <c r="K52" s="941"/>
      <c r="L52" s="941"/>
      <c r="M52" s="941"/>
      <c r="N52" s="941"/>
      <c r="O52" s="941"/>
      <c r="P52" s="941"/>
      <c r="Q52" s="941"/>
      <c r="R52" s="941"/>
      <c r="S52" s="941"/>
      <c r="T52" s="941"/>
      <c r="U52" s="941"/>
      <c r="V52" s="941"/>
      <c r="W52" s="941"/>
      <c r="X52" s="941"/>
      <c r="Y52" s="941"/>
      <c r="Z52" s="941"/>
      <c r="AA52" s="941"/>
      <c r="AB52" s="941"/>
      <c r="AC52" s="941"/>
      <c r="AD52" s="941"/>
      <c r="AE52" s="941"/>
      <c r="AF52" s="941"/>
      <c r="AG52" s="941"/>
      <c r="AH52" s="941"/>
      <c r="AI52" s="941"/>
      <c r="AJ52" s="941"/>
      <c r="AK52" s="941"/>
      <c r="AL52" s="941"/>
      <c r="AM52" s="941"/>
      <c r="AN52" s="941"/>
      <c r="AO52" s="941"/>
      <c r="AP52" s="941"/>
      <c r="AQ52" s="941"/>
      <c r="AR52" s="941"/>
      <c r="AS52" s="941"/>
      <c r="AT52" s="941"/>
      <c r="AU52" s="941"/>
      <c r="AV52" s="941"/>
      <c r="AW52" s="941"/>
      <c r="AX52" s="941"/>
      <c r="AY52" s="941"/>
      <c r="AZ52" s="941"/>
      <c r="BA52" s="941"/>
      <c r="BB52" s="941"/>
      <c r="BC52" s="941"/>
      <c r="BD52" s="941"/>
      <c r="BE52" s="941"/>
      <c r="BF52" s="941"/>
      <c r="BG52" s="941"/>
    </row>
    <row r="53" spans="1:59">
      <c r="A53" s="941"/>
      <c r="B53" s="941"/>
      <c r="C53" s="941"/>
      <c r="D53" s="941"/>
      <c r="E53" s="941"/>
      <c r="F53" s="941"/>
      <c r="G53" s="941"/>
      <c r="H53" s="941"/>
      <c r="I53" s="941"/>
      <c r="J53" s="941"/>
      <c r="K53" s="941"/>
      <c r="L53" s="941"/>
      <c r="M53" s="941"/>
      <c r="N53" s="941"/>
      <c r="O53" s="941"/>
      <c r="P53" s="941"/>
      <c r="Q53" s="941"/>
      <c r="R53" s="941"/>
      <c r="S53" s="941"/>
      <c r="T53" s="941"/>
      <c r="U53" s="941"/>
      <c r="V53" s="941"/>
      <c r="W53" s="941"/>
      <c r="X53" s="941"/>
      <c r="Y53" s="941"/>
      <c r="Z53" s="941"/>
      <c r="AA53" s="941"/>
      <c r="AB53" s="941"/>
      <c r="AC53" s="941"/>
      <c r="AD53" s="941"/>
      <c r="AE53" s="941"/>
      <c r="AF53" s="941"/>
      <c r="AG53" s="941"/>
      <c r="AH53" s="941"/>
      <c r="AI53" s="941"/>
      <c r="AJ53" s="941"/>
      <c r="AK53" s="941"/>
      <c r="AL53" s="941"/>
      <c r="AM53" s="941"/>
      <c r="AN53" s="941"/>
      <c r="AO53" s="941"/>
      <c r="AP53" s="941"/>
      <c r="AQ53" s="941"/>
      <c r="AR53" s="941"/>
      <c r="AS53" s="941"/>
      <c r="AT53" s="941"/>
      <c r="AU53" s="941"/>
      <c r="AV53" s="941"/>
      <c r="AW53" s="941"/>
      <c r="AX53" s="941"/>
      <c r="AY53" s="941"/>
      <c r="AZ53" s="941"/>
      <c r="BA53" s="941"/>
      <c r="BB53" s="941"/>
      <c r="BC53" s="941"/>
      <c r="BD53" s="941"/>
      <c r="BE53" s="941"/>
      <c r="BF53" s="941"/>
      <c r="BG53" s="941"/>
    </row>
    <row r="54" spans="1:59">
      <c r="A54" s="941"/>
      <c r="B54" s="941"/>
      <c r="C54" s="941"/>
      <c r="D54" s="941"/>
      <c r="E54" s="941"/>
      <c r="F54" s="941"/>
      <c r="G54" s="941"/>
      <c r="H54" s="941"/>
      <c r="I54" s="941"/>
      <c r="J54" s="941"/>
      <c r="K54" s="941"/>
      <c r="L54" s="941"/>
      <c r="M54" s="941"/>
      <c r="N54" s="941"/>
      <c r="O54" s="941"/>
      <c r="P54" s="941"/>
      <c r="Q54" s="941"/>
      <c r="R54" s="941"/>
      <c r="S54" s="941"/>
      <c r="T54" s="941"/>
      <c r="U54" s="941"/>
      <c r="V54" s="941"/>
      <c r="W54" s="941"/>
      <c r="X54" s="941"/>
      <c r="Y54" s="941"/>
      <c r="Z54" s="941"/>
      <c r="AA54" s="941"/>
      <c r="AB54" s="941"/>
      <c r="AC54" s="941"/>
      <c r="AD54" s="941"/>
      <c r="AE54" s="941"/>
      <c r="AF54" s="941"/>
      <c r="AG54" s="941"/>
      <c r="AH54" s="941"/>
      <c r="AI54" s="941"/>
      <c r="AJ54" s="941"/>
      <c r="AK54" s="941"/>
      <c r="AL54" s="941"/>
      <c r="AM54" s="941"/>
      <c r="AN54" s="941"/>
      <c r="AO54" s="941"/>
      <c r="AP54" s="941"/>
      <c r="AQ54" s="941"/>
      <c r="AR54" s="941"/>
      <c r="AS54" s="941"/>
      <c r="AT54" s="941"/>
      <c r="AU54" s="941"/>
      <c r="AV54" s="941"/>
      <c r="AW54" s="941"/>
      <c r="AX54" s="941"/>
      <c r="AY54" s="941"/>
      <c r="AZ54" s="941"/>
      <c r="BA54" s="941"/>
      <c r="BB54" s="941"/>
      <c r="BC54" s="941"/>
      <c r="BD54" s="941"/>
      <c r="BE54" s="941"/>
      <c r="BF54" s="941"/>
      <c r="BG54" s="941"/>
    </row>
    <row r="55" spans="1:59">
      <c r="A55" s="941"/>
      <c r="B55" s="941"/>
      <c r="C55" s="941"/>
      <c r="D55" s="941"/>
      <c r="E55" s="941"/>
      <c r="F55" s="941"/>
      <c r="G55" s="941"/>
      <c r="H55" s="941"/>
      <c r="I55" s="941"/>
      <c r="J55" s="941"/>
      <c r="K55" s="941"/>
      <c r="L55" s="941"/>
      <c r="M55" s="941"/>
      <c r="N55" s="941"/>
      <c r="O55" s="941"/>
      <c r="P55" s="941"/>
      <c r="Q55" s="941"/>
      <c r="R55" s="941"/>
      <c r="S55" s="941"/>
      <c r="T55" s="941"/>
      <c r="U55" s="941"/>
      <c r="V55" s="941"/>
      <c r="W55" s="941"/>
      <c r="X55" s="941"/>
      <c r="Y55" s="941"/>
      <c r="Z55" s="941"/>
      <c r="AA55" s="941"/>
      <c r="AB55" s="941"/>
      <c r="AC55" s="941"/>
      <c r="AD55" s="941"/>
      <c r="AE55" s="941"/>
      <c r="AF55" s="941"/>
      <c r="AG55" s="941"/>
      <c r="AH55" s="941"/>
      <c r="AI55" s="941"/>
      <c r="AJ55" s="941"/>
      <c r="AK55" s="941"/>
      <c r="AL55" s="941"/>
      <c r="AM55" s="941"/>
      <c r="AN55" s="941"/>
      <c r="AO55" s="941"/>
      <c r="AP55" s="941"/>
      <c r="AQ55" s="941"/>
      <c r="AR55" s="941"/>
      <c r="AS55" s="941"/>
      <c r="AT55" s="941"/>
      <c r="AU55" s="941"/>
      <c r="AV55" s="941"/>
      <c r="AW55" s="941"/>
      <c r="AX55" s="941"/>
      <c r="AY55" s="941"/>
      <c r="AZ55" s="941"/>
      <c r="BA55" s="941"/>
      <c r="BB55" s="941"/>
      <c r="BC55" s="941"/>
      <c r="BD55" s="941"/>
      <c r="BE55" s="941"/>
      <c r="BF55" s="941"/>
      <c r="BG55" s="941"/>
    </row>
    <row r="56" spans="1:59">
      <c r="A56" s="941"/>
      <c r="B56" s="941"/>
      <c r="C56" s="941"/>
      <c r="D56" s="941"/>
      <c r="E56" s="941"/>
      <c r="F56" s="941"/>
      <c r="G56" s="941"/>
      <c r="H56" s="941"/>
      <c r="I56" s="941"/>
      <c r="J56" s="941"/>
      <c r="K56" s="941"/>
      <c r="L56" s="941"/>
      <c r="M56" s="941"/>
      <c r="N56" s="941"/>
      <c r="O56" s="941"/>
      <c r="P56" s="941"/>
      <c r="Q56" s="941"/>
      <c r="R56" s="941"/>
      <c r="S56" s="941"/>
      <c r="T56" s="941"/>
      <c r="U56" s="941"/>
      <c r="V56" s="941"/>
      <c r="W56" s="941"/>
      <c r="X56" s="941"/>
      <c r="Y56" s="941"/>
      <c r="Z56" s="941"/>
      <c r="AA56" s="941"/>
      <c r="AB56" s="941"/>
      <c r="AC56" s="941"/>
      <c r="AD56" s="941"/>
      <c r="AE56" s="941"/>
      <c r="AF56" s="941"/>
      <c r="AG56" s="941"/>
      <c r="AH56" s="941"/>
      <c r="AI56" s="941"/>
      <c r="AJ56" s="941"/>
      <c r="AK56" s="941"/>
      <c r="AL56" s="941"/>
      <c r="AM56" s="941"/>
      <c r="AN56" s="941"/>
      <c r="AO56" s="941"/>
      <c r="AP56" s="941"/>
      <c r="AQ56" s="941"/>
      <c r="AR56" s="941"/>
      <c r="AS56" s="941"/>
      <c r="AT56" s="941"/>
      <c r="AU56" s="941"/>
      <c r="AV56" s="941"/>
      <c r="AW56" s="941"/>
      <c r="AX56" s="941"/>
      <c r="AY56" s="941"/>
      <c r="AZ56" s="941"/>
      <c r="BA56" s="941"/>
      <c r="BB56" s="941"/>
      <c r="BC56" s="941"/>
      <c r="BD56" s="941"/>
      <c r="BE56" s="941"/>
      <c r="BF56" s="941"/>
      <c r="BG56" s="941"/>
    </row>
    <row r="57" spans="1:59">
      <c r="A57" s="941"/>
      <c r="B57" s="941"/>
      <c r="C57" s="941"/>
      <c r="D57" s="941"/>
      <c r="E57" s="941"/>
      <c r="F57" s="941"/>
      <c r="G57" s="941"/>
      <c r="H57" s="941"/>
      <c r="I57" s="941"/>
      <c r="J57" s="941"/>
      <c r="K57" s="941"/>
      <c r="L57" s="941"/>
      <c r="M57" s="941"/>
      <c r="N57" s="941"/>
      <c r="O57" s="941"/>
      <c r="P57" s="941"/>
      <c r="Q57" s="941"/>
      <c r="R57" s="941"/>
      <c r="S57" s="941"/>
      <c r="T57" s="941"/>
      <c r="U57" s="941"/>
      <c r="V57" s="941"/>
      <c r="W57" s="941"/>
      <c r="X57" s="941"/>
      <c r="Y57" s="941"/>
      <c r="Z57" s="941"/>
      <c r="AA57" s="941"/>
      <c r="AB57" s="941"/>
      <c r="AC57" s="941"/>
      <c r="AD57" s="941"/>
      <c r="AE57" s="941"/>
      <c r="AF57" s="941"/>
      <c r="AG57" s="941"/>
      <c r="AH57" s="941"/>
      <c r="AI57" s="941"/>
      <c r="AJ57" s="941"/>
      <c r="AK57" s="941"/>
      <c r="AL57" s="941"/>
      <c r="AM57" s="941"/>
      <c r="AN57" s="941"/>
      <c r="AO57" s="941"/>
      <c r="AP57" s="941"/>
      <c r="AQ57" s="941"/>
      <c r="AR57" s="941"/>
      <c r="AS57" s="941"/>
      <c r="AT57" s="941"/>
      <c r="AU57" s="941"/>
      <c r="AV57" s="941"/>
      <c r="AW57" s="941"/>
      <c r="AX57" s="941"/>
      <c r="AY57" s="941"/>
      <c r="AZ57" s="941"/>
      <c r="BA57" s="941"/>
      <c r="BB57" s="941"/>
      <c r="BC57" s="941"/>
      <c r="BD57" s="941"/>
      <c r="BE57" s="941"/>
      <c r="BF57" s="941"/>
      <c r="BG57" s="941"/>
    </row>
    <row r="58" spans="1:59">
      <c r="A58" s="941"/>
      <c r="B58" s="941"/>
      <c r="C58" s="941"/>
      <c r="D58" s="941"/>
      <c r="E58" s="941"/>
      <c r="F58" s="941"/>
      <c r="G58" s="941"/>
      <c r="H58" s="941"/>
      <c r="I58" s="941"/>
      <c r="J58" s="941"/>
      <c r="K58" s="941"/>
      <c r="L58" s="941"/>
      <c r="M58" s="941"/>
      <c r="N58" s="941"/>
      <c r="O58" s="941"/>
      <c r="P58" s="941"/>
      <c r="Q58" s="941"/>
      <c r="R58" s="941"/>
      <c r="S58" s="941"/>
      <c r="T58" s="941"/>
      <c r="U58" s="941"/>
      <c r="V58" s="941"/>
      <c r="W58" s="941"/>
      <c r="X58" s="941"/>
      <c r="Y58" s="941"/>
      <c r="Z58" s="941"/>
      <c r="AA58" s="941"/>
      <c r="AB58" s="941"/>
      <c r="AC58" s="941"/>
      <c r="AD58" s="941"/>
      <c r="AE58" s="941"/>
      <c r="AF58" s="941"/>
      <c r="AG58" s="941"/>
      <c r="AH58" s="941"/>
      <c r="AI58" s="941"/>
      <c r="AJ58" s="941"/>
      <c r="AK58" s="941"/>
      <c r="AL58" s="941"/>
      <c r="AM58" s="941"/>
      <c r="AN58" s="941"/>
      <c r="AO58" s="941"/>
      <c r="AP58" s="941"/>
      <c r="AQ58" s="941"/>
      <c r="AR58" s="941"/>
      <c r="AS58" s="941"/>
      <c r="AT58" s="941"/>
      <c r="AU58" s="941"/>
      <c r="AV58" s="941"/>
      <c r="AW58" s="941"/>
      <c r="AX58" s="941"/>
      <c r="AY58" s="941"/>
      <c r="AZ58" s="941"/>
      <c r="BA58" s="941"/>
      <c r="BB58" s="941"/>
      <c r="BC58" s="941"/>
      <c r="BD58" s="941"/>
      <c r="BE58" s="941"/>
      <c r="BF58" s="941"/>
      <c r="BG58" s="941"/>
    </row>
    <row r="59" spans="1:59">
      <c r="A59" s="941"/>
      <c r="B59" s="941"/>
      <c r="C59" s="941"/>
      <c r="D59" s="941"/>
      <c r="E59" s="941"/>
      <c r="F59" s="941"/>
      <c r="G59" s="941"/>
      <c r="H59" s="941"/>
      <c r="I59" s="941"/>
      <c r="J59" s="941"/>
      <c r="K59" s="941"/>
      <c r="L59" s="941"/>
      <c r="M59" s="941"/>
      <c r="N59" s="941"/>
      <c r="O59" s="941"/>
      <c r="P59" s="941"/>
      <c r="Q59" s="941"/>
      <c r="R59" s="941"/>
      <c r="S59" s="941"/>
      <c r="T59" s="941"/>
      <c r="U59" s="941"/>
      <c r="V59" s="941"/>
      <c r="W59" s="941"/>
      <c r="X59" s="941"/>
      <c r="Y59" s="941"/>
      <c r="Z59" s="941"/>
      <c r="AA59" s="941"/>
      <c r="AB59" s="941"/>
      <c r="AC59" s="941"/>
      <c r="AD59" s="941"/>
      <c r="AE59" s="941"/>
      <c r="AF59" s="941"/>
      <c r="AG59" s="941"/>
      <c r="AH59" s="941"/>
      <c r="AI59" s="941"/>
      <c r="AJ59" s="941"/>
      <c r="AK59" s="941"/>
      <c r="AL59" s="941"/>
      <c r="AM59" s="941"/>
      <c r="AN59" s="941"/>
      <c r="AO59" s="941"/>
      <c r="AP59" s="941"/>
      <c r="AQ59" s="941"/>
      <c r="AR59" s="941"/>
      <c r="AS59" s="941"/>
      <c r="AT59" s="941"/>
      <c r="AU59" s="941"/>
      <c r="AV59" s="941"/>
      <c r="AW59" s="941"/>
      <c r="AX59" s="941"/>
      <c r="AY59" s="941"/>
      <c r="AZ59" s="941"/>
      <c r="BA59" s="941"/>
      <c r="BB59" s="941"/>
      <c r="BC59" s="941"/>
      <c r="BD59" s="941"/>
      <c r="BE59" s="941"/>
      <c r="BF59" s="941"/>
      <c r="BG59" s="941"/>
    </row>
    <row r="60" spans="1:59">
      <c r="A60" s="941"/>
      <c r="B60" s="941"/>
      <c r="C60" s="941"/>
      <c r="D60" s="941"/>
      <c r="E60" s="941"/>
      <c r="F60" s="941"/>
      <c r="G60" s="941"/>
      <c r="H60" s="941"/>
      <c r="I60" s="941"/>
      <c r="J60" s="941"/>
      <c r="K60" s="941"/>
      <c r="L60" s="941"/>
      <c r="M60" s="941"/>
      <c r="N60" s="941"/>
      <c r="O60" s="941"/>
      <c r="P60" s="941"/>
      <c r="Q60" s="941"/>
      <c r="R60" s="941"/>
      <c r="S60" s="941"/>
      <c r="T60" s="941"/>
      <c r="U60" s="941"/>
      <c r="V60" s="941"/>
      <c r="W60" s="941"/>
      <c r="X60" s="941"/>
      <c r="Y60" s="941"/>
      <c r="Z60" s="941"/>
      <c r="AA60" s="941"/>
      <c r="AB60" s="941"/>
      <c r="AC60" s="941"/>
      <c r="AD60" s="941"/>
      <c r="AE60" s="941"/>
      <c r="AF60" s="941"/>
      <c r="AG60" s="941"/>
      <c r="AH60" s="941"/>
      <c r="AI60" s="941"/>
      <c r="AJ60" s="941"/>
      <c r="AK60" s="941"/>
      <c r="AL60" s="941"/>
      <c r="AM60" s="941"/>
      <c r="AN60" s="941"/>
      <c r="AO60" s="941"/>
      <c r="AP60" s="941"/>
      <c r="AQ60" s="941"/>
      <c r="AR60" s="941"/>
      <c r="AS60" s="941"/>
      <c r="AT60" s="941"/>
      <c r="AU60" s="941"/>
      <c r="AV60" s="941"/>
      <c r="AW60" s="941"/>
      <c r="AX60" s="941"/>
      <c r="AY60" s="941"/>
      <c r="AZ60" s="941"/>
      <c r="BA60" s="941"/>
      <c r="BB60" s="941"/>
      <c r="BC60" s="941"/>
      <c r="BD60" s="941"/>
      <c r="BE60" s="941"/>
      <c r="BF60" s="941"/>
      <c r="BG60" s="941"/>
    </row>
  </sheetData>
  <sheetProtection algorithmName="SHA-512" hashValue="qSAzOp+Olt9rj4ZiOL+XdIaoOUOSWBpKxi/Kvn/Z/Q2bLamRYqR+Nkp3GABWJhhFm04ZzLUC5CpdHDkXP1hQYQ==" saltValue="Wzhf1sybi2/sGOw5+o03TQ==" spinCount="100000" sheet="1" objects="1" scenarios="1"/>
  <customSheetViews>
    <customSheetView guid="{6EFEFCA0-BF14-457A-85A3-29CBF2A862A5}" showGridLines="0" fitToPage="1">
      <selection sqref="A1:AY41"/>
      <pageMargins left="0.23622047244094491" right="0.23622047244094491" top="0.19685039370078741" bottom="0.19685039370078741" header="0" footer="0.11811023622047245"/>
      <printOptions horizontalCentered="1" verticalCentered="1"/>
      <pageSetup paperSize="9" scale="63" orientation="landscape" r:id="rId1"/>
      <headerFooter alignWithMargins="0">
        <oddFooter>&amp;L&amp;10&amp;F &amp;A&amp;R&amp;10Page 42 of 61</oddFooter>
      </headerFooter>
    </customSheetView>
  </customSheetViews>
  <mergeCells count="339">
    <mergeCell ref="AI5:AJ5"/>
    <mergeCell ref="AK5:AL5"/>
    <mergeCell ref="AM5:AN5"/>
    <mergeCell ref="AO5:AP5"/>
    <mergeCell ref="AQ5:AR5"/>
    <mergeCell ref="U6:AR6"/>
    <mergeCell ref="B4:T5"/>
    <mergeCell ref="U4:AH4"/>
    <mergeCell ref="AI4:AR4"/>
    <mergeCell ref="U5:V5"/>
    <mergeCell ref="W5:X5"/>
    <mergeCell ref="Y5:Z5"/>
    <mergeCell ref="AA5:AB5"/>
    <mergeCell ref="AC5:AD5"/>
    <mergeCell ref="AE5:AF5"/>
    <mergeCell ref="AG5:AH5"/>
    <mergeCell ref="AQ7:AR7"/>
    <mergeCell ref="C8:S8"/>
    <mergeCell ref="U8:V8"/>
    <mergeCell ref="W8:X8"/>
    <mergeCell ref="Y8:Z8"/>
    <mergeCell ref="AA8:AB8"/>
    <mergeCell ref="AC8:AD8"/>
    <mergeCell ref="AE8:AF8"/>
    <mergeCell ref="AG8:AH8"/>
    <mergeCell ref="AI8:AJ8"/>
    <mergeCell ref="AE7:AF7"/>
    <mergeCell ref="AG7:AH7"/>
    <mergeCell ref="AI7:AJ7"/>
    <mergeCell ref="AK7:AL7"/>
    <mergeCell ref="AM7:AN7"/>
    <mergeCell ref="AO7:AP7"/>
    <mergeCell ref="C7:S7"/>
    <mergeCell ref="U7:V7"/>
    <mergeCell ref="W7:X7"/>
    <mergeCell ref="Y7:Z7"/>
    <mergeCell ref="AA7:AB7"/>
    <mergeCell ref="AC7:AD7"/>
    <mergeCell ref="AK8:AL8"/>
    <mergeCell ref="AM8:AN8"/>
    <mergeCell ref="Y10:Z10"/>
    <mergeCell ref="AA10:AB10"/>
    <mergeCell ref="AC10:AD10"/>
    <mergeCell ref="AE10:AF10"/>
    <mergeCell ref="AG10:AH10"/>
    <mergeCell ref="AI10:AJ10"/>
    <mergeCell ref="AO8:AP8"/>
    <mergeCell ref="AQ8:AR8"/>
    <mergeCell ref="C9:S9"/>
    <mergeCell ref="U9:V9"/>
    <mergeCell ref="W9:X9"/>
    <mergeCell ref="Y9:Z9"/>
    <mergeCell ref="AA9:AB9"/>
    <mergeCell ref="AC9:AD9"/>
    <mergeCell ref="AQ9:AR9"/>
    <mergeCell ref="AE9:AF9"/>
    <mergeCell ref="AG9:AH9"/>
    <mergeCell ref="AI9:AJ9"/>
    <mergeCell ref="AK9:AL9"/>
    <mergeCell ref="AM9:AN9"/>
    <mergeCell ref="AO9:AP9"/>
    <mergeCell ref="AC12:AD12"/>
    <mergeCell ref="AE12:AF12"/>
    <mergeCell ref="AG12:AH12"/>
    <mergeCell ref="AI12:AJ12"/>
    <mergeCell ref="AK10:AL10"/>
    <mergeCell ref="AM10:AN10"/>
    <mergeCell ref="AO10:AP10"/>
    <mergeCell ref="AQ10:AR10"/>
    <mergeCell ref="C11:S11"/>
    <mergeCell ref="U11:V11"/>
    <mergeCell ref="W11:X11"/>
    <mergeCell ref="Y11:Z11"/>
    <mergeCell ref="AA11:AB11"/>
    <mergeCell ref="AC11:AD11"/>
    <mergeCell ref="AQ11:AR11"/>
    <mergeCell ref="AE11:AF11"/>
    <mergeCell ref="AG11:AH11"/>
    <mergeCell ref="AI11:AJ11"/>
    <mergeCell ref="AK11:AL11"/>
    <mergeCell ref="AM11:AN11"/>
    <mergeCell ref="AO11:AP11"/>
    <mergeCell ref="C10:S10"/>
    <mergeCell ref="U10:V10"/>
    <mergeCell ref="W10:X10"/>
    <mergeCell ref="AG14:AH14"/>
    <mergeCell ref="AI14:AJ14"/>
    <mergeCell ref="AK12:AL12"/>
    <mergeCell ref="AM12:AN12"/>
    <mergeCell ref="AO12:AP12"/>
    <mergeCell ref="AQ12:AR12"/>
    <mergeCell ref="C13:S13"/>
    <mergeCell ref="U13:V13"/>
    <mergeCell ref="W13:X13"/>
    <mergeCell ref="Y13:Z13"/>
    <mergeCell ref="AA13:AB13"/>
    <mergeCell ref="AC13:AD13"/>
    <mergeCell ref="AQ13:AR13"/>
    <mergeCell ref="AE13:AF13"/>
    <mergeCell ref="AG13:AH13"/>
    <mergeCell ref="AI13:AJ13"/>
    <mergeCell ref="AK13:AL13"/>
    <mergeCell ref="AM13:AN13"/>
    <mergeCell ref="AO13:AP13"/>
    <mergeCell ref="C12:S12"/>
    <mergeCell ref="U12:V12"/>
    <mergeCell ref="W12:X12"/>
    <mergeCell ref="Y12:Z12"/>
    <mergeCell ref="AA12:AB12"/>
    <mergeCell ref="AK14:AL14"/>
    <mergeCell ref="AM14:AN14"/>
    <mergeCell ref="AO14:AP14"/>
    <mergeCell ref="AQ14:AR14"/>
    <mergeCell ref="C15:S15"/>
    <mergeCell ref="U15:V15"/>
    <mergeCell ref="W15:X15"/>
    <mergeCell ref="Y15:Z15"/>
    <mergeCell ref="AA15:AB15"/>
    <mergeCell ref="AC15:AD15"/>
    <mergeCell ref="AQ15:AR15"/>
    <mergeCell ref="AE15:AF15"/>
    <mergeCell ref="AG15:AH15"/>
    <mergeCell ref="AI15:AJ15"/>
    <mergeCell ref="AK15:AL15"/>
    <mergeCell ref="AM15:AN15"/>
    <mergeCell ref="AO15:AP15"/>
    <mergeCell ref="C14:S14"/>
    <mergeCell ref="U14:V14"/>
    <mergeCell ref="W14:X14"/>
    <mergeCell ref="Y14:Z14"/>
    <mergeCell ref="AA14:AB14"/>
    <mergeCell ref="AC14:AD14"/>
    <mergeCell ref="AE14:AF14"/>
    <mergeCell ref="U16:AR16"/>
    <mergeCell ref="C17:S17"/>
    <mergeCell ref="U17:V17"/>
    <mergeCell ref="W17:X17"/>
    <mergeCell ref="Y17:Z17"/>
    <mergeCell ref="AA17:AB17"/>
    <mergeCell ref="AC17:AD17"/>
    <mergeCell ref="AE17:AF17"/>
    <mergeCell ref="AG17:AH17"/>
    <mergeCell ref="AI17:AJ17"/>
    <mergeCell ref="AK17:AL17"/>
    <mergeCell ref="AM17:AN17"/>
    <mergeCell ref="AO17:AP17"/>
    <mergeCell ref="AQ17:AR17"/>
    <mergeCell ref="C18:S18"/>
    <mergeCell ref="U18:V18"/>
    <mergeCell ref="W18:X18"/>
    <mergeCell ref="Y18:Z18"/>
    <mergeCell ref="AA18:AB18"/>
    <mergeCell ref="AO18:AP18"/>
    <mergeCell ref="AQ18:AR18"/>
    <mergeCell ref="C19:S19"/>
    <mergeCell ref="U19:V19"/>
    <mergeCell ref="W19:X19"/>
    <mergeCell ref="Y19:Z19"/>
    <mergeCell ref="AA19:AB19"/>
    <mergeCell ref="AC19:AD19"/>
    <mergeCell ref="AE19:AF19"/>
    <mergeCell ref="AG19:AH19"/>
    <mergeCell ref="AC18:AD18"/>
    <mergeCell ref="AE18:AF18"/>
    <mergeCell ref="AG18:AH18"/>
    <mergeCell ref="AI18:AJ18"/>
    <mergeCell ref="AK18:AL18"/>
    <mergeCell ref="AM18:AN18"/>
    <mergeCell ref="AI19:AJ19"/>
    <mergeCell ref="AK19:AL19"/>
    <mergeCell ref="AM19:AN19"/>
    <mergeCell ref="AE21:AF21"/>
    <mergeCell ref="AG21:AH21"/>
    <mergeCell ref="AC20:AD20"/>
    <mergeCell ref="AE20:AF20"/>
    <mergeCell ref="AG20:AH20"/>
    <mergeCell ref="AO19:AP19"/>
    <mergeCell ref="AQ19:AR19"/>
    <mergeCell ref="C20:S20"/>
    <mergeCell ref="U20:V20"/>
    <mergeCell ref="W20:X20"/>
    <mergeCell ref="Y20:Z20"/>
    <mergeCell ref="AA20:AB20"/>
    <mergeCell ref="AO20:AP20"/>
    <mergeCell ref="AQ20:AR20"/>
    <mergeCell ref="AI20:AJ20"/>
    <mergeCell ref="AK20:AL20"/>
    <mergeCell ref="AM20:AN20"/>
    <mergeCell ref="AC22:AD22"/>
    <mergeCell ref="AE22:AF22"/>
    <mergeCell ref="AG22:AH22"/>
    <mergeCell ref="AI21:AJ21"/>
    <mergeCell ref="AK21:AL21"/>
    <mergeCell ref="AM21:AN21"/>
    <mergeCell ref="AO21:AP21"/>
    <mergeCell ref="AQ21:AR21"/>
    <mergeCell ref="C22:S22"/>
    <mergeCell ref="U22:V22"/>
    <mergeCell ref="W22:X22"/>
    <mergeCell ref="Y22:Z22"/>
    <mergeCell ref="AA22:AB22"/>
    <mergeCell ref="AO22:AP22"/>
    <mergeCell ref="AQ22:AR22"/>
    <mergeCell ref="AI22:AJ22"/>
    <mergeCell ref="AK22:AL22"/>
    <mergeCell ref="AM22:AN22"/>
    <mergeCell ref="C21:S21"/>
    <mergeCell ref="U21:V21"/>
    <mergeCell ref="W21:X21"/>
    <mergeCell ref="Y21:Z21"/>
    <mergeCell ref="AA21:AB21"/>
    <mergeCell ref="AC21:AD21"/>
    <mergeCell ref="AQ23:AR23"/>
    <mergeCell ref="C24:S24"/>
    <mergeCell ref="U24:V24"/>
    <mergeCell ref="W24:X24"/>
    <mergeCell ref="Y24:Z24"/>
    <mergeCell ref="AA24:AB24"/>
    <mergeCell ref="AO24:AP24"/>
    <mergeCell ref="AQ24:AR24"/>
    <mergeCell ref="AI24:AJ24"/>
    <mergeCell ref="AK24:AL24"/>
    <mergeCell ref="AM24:AN24"/>
    <mergeCell ref="C23:S23"/>
    <mergeCell ref="U23:V23"/>
    <mergeCell ref="W23:X23"/>
    <mergeCell ref="Y23:Z23"/>
    <mergeCell ref="AA23:AB23"/>
    <mergeCell ref="AC23:AD23"/>
    <mergeCell ref="AE23:AF23"/>
    <mergeCell ref="AG23:AH23"/>
    <mergeCell ref="AE25:AF25"/>
    <mergeCell ref="AG25:AH25"/>
    <mergeCell ref="AC24:AD24"/>
    <mergeCell ref="AE24:AF24"/>
    <mergeCell ref="AG24:AH24"/>
    <mergeCell ref="AI23:AJ23"/>
    <mergeCell ref="AK23:AL23"/>
    <mergeCell ref="AM23:AN23"/>
    <mergeCell ref="AO23:AP23"/>
    <mergeCell ref="AC26:AD26"/>
    <mergeCell ref="AE26:AF26"/>
    <mergeCell ref="AG26:AH26"/>
    <mergeCell ref="AI25:AJ25"/>
    <mergeCell ref="AK25:AL25"/>
    <mergeCell ref="AM25:AN25"/>
    <mergeCell ref="AO25:AP25"/>
    <mergeCell ref="AQ25:AR25"/>
    <mergeCell ref="C26:S26"/>
    <mergeCell ref="U26:V26"/>
    <mergeCell ref="W26:X26"/>
    <mergeCell ref="Y26:Z26"/>
    <mergeCell ref="AA26:AB26"/>
    <mergeCell ref="AO26:AP26"/>
    <mergeCell ref="AQ26:AR26"/>
    <mergeCell ref="AI26:AJ26"/>
    <mergeCell ref="AK26:AL26"/>
    <mergeCell ref="AM26:AN26"/>
    <mergeCell ref="C25:S25"/>
    <mergeCell ref="U25:V25"/>
    <mergeCell ref="W25:X25"/>
    <mergeCell ref="Y25:Z25"/>
    <mergeCell ref="AA25:AB25"/>
    <mergeCell ref="AC25:AD25"/>
    <mergeCell ref="AO27:AP27"/>
    <mergeCell ref="AQ27:AR27"/>
    <mergeCell ref="C28:S28"/>
    <mergeCell ref="U28:V28"/>
    <mergeCell ref="W28:X28"/>
    <mergeCell ref="Y28:Z28"/>
    <mergeCell ref="AA28:AB28"/>
    <mergeCell ref="AO28:AP28"/>
    <mergeCell ref="AQ28:AR28"/>
    <mergeCell ref="AI28:AJ28"/>
    <mergeCell ref="AK28:AL28"/>
    <mergeCell ref="AM28:AN28"/>
    <mergeCell ref="C27:S27"/>
    <mergeCell ref="U27:V27"/>
    <mergeCell ref="W27:X27"/>
    <mergeCell ref="Y27:Z27"/>
    <mergeCell ref="AA27:AB27"/>
    <mergeCell ref="AC27:AD27"/>
    <mergeCell ref="AE27:AF27"/>
    <mergeCell ref="AG27:AH27"/>
    <mergeCell ref="AC29:AD29"/>
    <mergeCell ref="AE29:AF29"/>
    <mergeCell ref="AG29:AH29"/>
    <mergeCell ref="AC28:AD28"/>
    <mergeCell ref="AE28:AF28"/>
    <mergeCell ref="AG28:AH28"/>
    <mergeCell ref="AI27:AJ27"/>
    <mergeCell ref="AK27:AL27"/>
    <mergeCell ref="AM27:AN27"/>
    <mergeCell ref="AC30:AD31"/>
    <mergeCell ref="AE30:AF31"/>
    <mergeCell ref="AI29:AJ29"/>
    <mergeCell ref="AK29:AL29"/>
    <mergeCell ref="AM29:AN29"/>
    <mergeCell ref="AO29:AP29"/>
    <mergeCell ref="AQ29:AR29"/>
    <mergeCell ref="C30:S30"/>
    <mergeCell ref="U30:V31"/>
    <mergeCell ref="W30:X31"/>
    <mergeCell ref="Y30:Z31"/>
    <mergeCell ref="AA30:AB31"/>
    <mergeCell ref="AO30:AP31"/>
    <mergeCell ref="AQ30:AR31"/>
    <mergeCell ref="C31:S31"/>
    <mergeCell ref="AG30:AH31"/>
    <mergeCell ref="AI30:AJ31"/>
    <mergeCell ref="AK30:AL31"/>
    <mergeCell ref="AM30:AN31"/>
    <mergeCell ref="C29:S29"/>
    <mergeCell ref="U29:V29"/>
    <mergeCell ref="W29:X29"/>
    <mergeCell ref="Y29:Z29"/>
    <mergeCell ref="AA29:AB29"/>
    <mergeCell ref="F37:N37"/>
    <mergeCell ref="Q37:AC37"/>
    <mergeCell ref="AF37:AR38"/>
    <mergeCell ref="F38:N38"/>
    <mergeCell ref="Q38:AC38"/>
    <mergeCell ref="F39:N39"/>
    <mergeCell ref="U39:AC39"/>
    <mergeCell ref="AF39:AR39"/>
    <mergeCell ref="AG32:AH32"/>
    <mergeCell ref="AI32:AJ32"/>
    <mergeCell ref="AK32:AL32"/>
    <mergeCell ref="AM32:AN32"/>
    <mergeCell ref="AO32:AP32"/>
    <mergeCell ref="AQ32:AR32"/>
    <mergeCell ref="C32:S32"/>
    <mergeCell ref="U32:V32"/>
    <mergeCell ref="W32:X32"/>
    <mergeCell ref="Y32:Z32"/>
    <mergeCell ref="AA32:AB32"/>
    <mergeCell ref="AC32:AD32"/>
    <mergeCell ref="AE32:AF32"/>
    <mergeCell ref="C33:T33"/>
  </mergeCells>
  <dataValidations count="1">
    <dataValidation type="whole" allowBlank="1" showInputMessage="1" showErrorMessage="1" errorTitle="GSHSP SY 2022-2023" error="Please enter valid number between 0-999." sqref="U7:AR15 U17:AR31" xr:uid="{ECCE2A21-E527-4D9F-8390-26B5E6C5845C}">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3" orientation="landscape" r:id="rId2"/>
  <headerFooter alignWithMargins="0">
    <oddFooter>&amp;L&amp;10&amp;F &amp;A&amp;R&amp;10Page 42 of 61</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70378-FE21-4036-9FF1-BA22B49DC5A4}">
  <sheetPr codeName="Sheet45">
    <tabColor rgb="FF92D050"/>
    <pageSetUpPr fitToPage="1"/>
  </sheetPr>
  <dimension ref="A1:BX296"/>
  <sheetViews>
    <sheetView showGridLines="0" zoomScaleNormal="100" zoomScaleSheetLayoutView="100" workbookViewId="0">
      <selection sqref="A1:AW22"/>
    </sheetView>
  </sheetViews>
  <sheetFormatPr defaultColWidth="8.125" defaultRowHeight="15.75"/>
  <cols>
    <col min="1" max="1" width="2.125" style="137" customWidth="1"/>
    <col min="2" max="17" width="3.625" style="137" customWidth="1"/>
    <col min="18" max="49" width="3.625" style="138" customWidth="1"/>
    <col min="50" max="50" width="2.125" style="138" customWidth="1"/>
    <col min="51" max="78" width="3.625" style="138" customWidth="1"/>
    <col min="79" max="16384" width="8.125" style="138"/>
  </cols>
  <sheetData>
    <row r="1" spans="1:76" ht="7.35" customHeight="1">
      <c r="A1" s="804"/>
      <c r="B1" s="804"/>
      <c r="C1" s="804"/>
      <c r="D1" s="804"/>
      <c r="E1" s="804"/>
      <c r="F1" s="804"/>
      <c r="G1" s="804"/>
      <c r="H1" s="804"/>
      <c r="I1" s="804"/>
      <c r="J1" s="804"/>
      <c r="K1" s="804"/>
      <c r="L1" s="804"/>
      <c r="M1" s="804"/>
      <c r="N1" s="804"/>
      <c r="O1" s="804"/>
      <c r="P1" s="804"/>
      <c r="Q1" s="804"/>
      <c r="R1" s="805"/>
      <c r="S1" s="805"/>
      <c r="T1" s="805"/>
      <c r="U1" s="805"/>
      <c r="V1" s="805"/>
      <c r="W1" s="805"/>
      <c r="X1" s="805"/>
      <c r="Y1" s="805"/>
      <c r="Z1" s="805"/>
      <c r="AA1" s="805"/>
      <c r="AB1" s="805"/>
      <c r="AC1" s="805"/>
      <c r="AD1" s="805"/>
      <c r="AE1" s="805"/>
      <c r="AF1" s="805"/>
      <c r="AG1" s="805"/>
      <c r="AH1" s="805"/>
      <c r="AI1" s="805"/>
      <c r="AJ1" s="805"/>
      <c r="AK1" s="805"/>
      <c r="AL1" s="805"/>
      <c r="AM1" s="805"/>
      <c r="AN1" s="805"/>
      <c r="AO1" s="805"/>
      <c r="AP1" s="805"/>
      <c r="AQ1" s="805"/>
      <c r="AR1" s="805"/>
      <c r="AS1" s="805"/>
      <c r="AT1" s="805"/>
      <c r="AU1" s="805"/>
      <c r="AV1" s="805"/>
      <c r="AW1" s="805"/>
      <c r="AX1" s="805"/>
      <c r="AY1" s="805"/>
    </row>
    <row r="2" spans="1:76" s="55" customFormat="1" ht="15.75" customHeight="1">
      <c r="A2" s="267"/>
      <c r="B2" s="806" t="s">
        <v>1466</v>
      </c>
      <c r="C2" s="377"/>
      <c r="D2" s="377"/>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c r="AL2" s="377"/>
      <c r="AM2" s="377"/>
      <c r="AN2" s="377"/>
      <c r="AO2" s="377"/>
      <c r="AP2" s="377"/>
      <c r="AQ2" s="377"/>
      <c r="AR2" s="377"/>
      <c r="AS2" s="377"/>
      <c r="AT2" s="377"/>
      <c r="AU2" s="377"/>
      <c r="AV2" s="377"/>
      <c r="AW2" s="377"/>
      <c r="AX2" s="807"/>
      <c r="AY2" s="807"/>
      <c r="AZ2" s="119"/>
      <c r="BA2" s="119"/>
      <c r="BB2" s="119"/>
      <c r="BC2" s="119"/>
      <c r="BD2" s="119"/>
      <c r="BE2" s="119"/>
      <c r="BF2" s="119"/>
      <c r="BG2" s="119"/>
      <c r="BH2" s="119"/>
      <c r="BX2" s="31"/>
    </row>
    <row r="3" spans="1:76" s="55" customFormat="1" ht="12" customHeight="1">
      <c r="A3" s="267"/>
      <c r="B3" s="806"/>
      <c r="C3" s="377"/>
      <c r="D3" s="377"/>
      <c r="E3" s="377"/>
      <c r="F3" s="377"/>
      <c r="G3" s="377"/>
      <c r="H3" s="377"/>
      <c r="I3" s="377"/>
      <c r="J3" s="377"/>
      <c r="K3" s="377"/>
      <c r="L3" s="377"/>
      <c r="M3" s="377"/>
      <c r="N3" s="377"/>
      <c r="O3" s="377"/>
      <c r="P3" s="377"/>
      <c r="Q3" s="377"/>
      <c r="R3" s="377"/>
      <c r="S3" s="377"/>
      <c r="T3" s="377"/>
      <c r="U3" s="377"/>
      <c r="V3" s="377"/>
      <c r="W3" s="377"/>
      <c r="X3" s="377"/>
      <c r="Y3" s="377"/>
      <c r="Z3" s="377"/>
      <c r="AA3" s="377"/>
      <c r="AB3" s="377"/>
      <c r="AC3" s="377"/>
      <c r="AD3" s="377"/>
      <c r="AE3" s="377"/>
      <c r="AF3" s="377"/>
      <c r="AG3" s="377"/>
      <c r="AH3" s="377"/>
      <c r="AI3" s="377"/>
      <c r="AJ3" s="377"/>
      <c r="AK3" s="377"/>
      <c r="AL3" s="377"/>
      <c r="AM3" s="377"/>
      <c r="AN3" s="377"/>
      <c r="AO3" s="377"/>
      <c r="AP3" s="377"/>
      <c r="AQ3" s="377"/>
      <c r="AR3" s="377"/>
      <c r="AS3" s="377"/>
      <c r="AT3" s="377"/>
      <c r="AU3" s="377"/>
      <c r="AV3" s="377"/>
      <c r="AW3" s="377"/>
      <c r="AX3" s="807"/>
      <c r="AY3" s="807"/>
      <c r="AZ3" s="119"/>
      <c r="BA3" s="119"/>
      <c r="BB3" s="119"/>
      <c r="BC3" s="119"/>
      <c r="BD3" s="119"/>
      <c r="BE3" s="119"/>
      <c r="BF3" s="119"/>
      <c r="BG3" s="119"/>
      <c r="BH3" s="119"/>
      <c r="BX3" s="31"/>
    </row>
    <row r="4" spans="1:76" s="140" customFormat="1" ht="20.45" customHeight="1">
      <c r="A4" s="808"/>
      <c r="B4" s="806"/>
      <c r="C4" s="809" t="s">
        <v>1406</v>
      </c>
      <c r="D4" s="377"/>
      <c r="E4" s="377"/>
      <c r="F4" s="377"/>
      <c r="G4" s="377"/>
      <c r="H4" s="377"/>
      <c r="I4" s="377"/>
      <c r="J4" s="377"/>
      <c r="K4" s="377"/>
      <c r="L4" s="377"/>
      <c r="M4" s="377"/>
      <c r="N4" s="377"/>
      <c r="O4" s="377"/>
      <c r="P4" s="377"/>
      <c r="Q4" s="377"/>
      <c r="R4" s="377"/>
      <c r="S4" s="377"/>
      <c r="T4" s="377"/>
      <c r="U4" s="377"/>
      <c r="V4" s="377"/>
      <c r="W4" s="377"/>
      <c r="X4" s="377"/>
      <c r="Y4" s="377"/>
      <c r="Z4" s="377"/>
      <c r="AA4" s="377"/>
      <c r="AB4" s="377"/>
      <c r="AC4" s="377"/>
      <c r="AD4" s="377"/>
      <c r="AE4" s="377"/>
      <c r="AF4" s="377"/>
      <c r="AG4" s="377"/>
      <c r="AH4" s="377"/>
      <c r="AI4" s="377"/>
      <c r="AJ4" s="377"/>
      <c r="AK4" s="377"/>
      <c r="AL4" s="377"/>
      <c r="AM4" s="377"/>
      <c r="AN4" s="377"/>
      <c r="AO4" s="377"/>
      <c r="AP4" s="377"/>
      <c r="AQ4" s="377"/>
      <c r="AR4" s="377"/>
      <c r="AS4" s="377"/>
      <c r="AT4" s="377"/>
      <c r="AU4" s="377"/>
      <c r="AV4" s="377"/>
      <c r="AW4" s="377"/>
      <c r="AX4" s="810"/>
      <c r="AY4" s="810"/>
      <c r="AZ4" s="139"/>
      <c r="BA4" s="139"/>
      <c r="BB4" s="139"/>
      <c r="BC4" s="139"/>
      <c r="BD4" s="139"/>
      <c r="BE4" s="139"/>
      <c r="BF4" s="139"/>
      <c r="BG4" s="139"/>
      <c r="BH4" s="139"/>
      <c r="BX4" s="141"/>
    </row>
    <row r="5" spans="1:76" ht="37.700000000000003" customHeight="1">
      <c r="A5" s="804"/>
      <c r="B5" s="811" t="s">
        <v>47</v>
      </c>
      <c r="C5" s="3566" t="s">
        <v>1198</v>
      </c>
      <c r="D5" s="3566"/>
      <c r="E5" s="3566"/>
      <c r="F5" s="3566"/>
      <c r="G5" s="3566"/>
      <c r="H5" s="3566"/>
      <c r="I5" s="3566"/>
      <c r="J5" s="3566"/>
      <c r="K5" s="3566"/>
      <c r="L5" s="3566"/>
      <c r="M5" s="3566"/>
      <c r="N5" s="3566"/>
      <c r="O5" s="3566"/>
      <c r="P5" s="3566"/>
      <c r="Q5" s="3566"/>
      <c r="R5" s="3566"/>
      <c r="S5" s="3566"/>
      <c r="T5" s="3566"/>
      <c r="U5" s="3566"/>
      <c r="V5" s="3566"/>
      <c r="W5" s="3566"/>
      <c r="X5" s="3566"/>
      <c r="Y5" s="3566"/>
      <c r="Z5" s="3566"/>
      <c r="AA5" s="3566"/>
      <c r="AB5" s="3566"/>
      <c r="AC5" s="3566"/>
      <c r="AD5" s="3566"/>
      <c r="AE5" s="3566"/>
      <c r="AF5" s="3566"/>
      <c r="AG5" s="3566"/>
      <c r="AH5" s="3566"/>
      <c r="AI5" s="3566"/>
      <c r="AJ5" s="3566"/>
      <c r="AK5" s="3566"/>
      <c r="AL5" s="3566"/>
      <c r="AM5" s="3566"/>
      <c r="AN5" s="3566"/>
      <c r="AO5" s="3566"/>
      <c r="AP5" s="3566"/>
      <c r="AQ5" s="3566"/>
      <c r="AR5" s="3566"/>
      <c r="AS5" s="3566"/>
      <c r="AT5" s="3566"/>
      <c r="AU5" s="3566"/>
      <c r="AV5" s="3566"/>
      <c r="AW5" s="3566"/>
      <c r="AX5" s="805"/>
      <c r="AY5" s="805"/>
    </row>
    <row r="6" spans="1:76" ht="39" customHeight="1">
      <c r="A6" s="804"/>
      <c r="B6" s="811" t="s">
        <v>48</v>
      </c>
      <c r="C6" s="3566" t="s">
        <v>1199</v>
      </c>
      <c r="D6" s="3566"/>
      <c r="E6" s="3566"/>
      <c r="F6" s="3566"/>
      <c r="G6" s="3566"/>
      <c r="H6" s="3566"/>
      <c r="I6" s="3566"/>
      <c r="J6" s="3566"/>
      <c r="K6" s="3566"/>
      <c r="L6" s="3566"/>
      <c r="M6" s="3566"/>
      <c r="N6" s="3566"/>
      <c r="O6" s="3566"/>
      <c r="P6" s="3566"/>
      <c r="Q6" s="3566"/>
      <c r="R6" s="3566"/>
      <c r="S6" s="3566"/>
      <c r="T6" s="3566"/>
      <c r="U6" s="3566"/>
      <c r="V6" s="3566"/>
      <c r="W6" s="3566"/>
      <c r="X6" s="3566"/>
      <c r="Y6" s="3566"/>
      <c r="Z6" s="3566"/>
      <c r="AA6" s="3566"/>
      <c r="AB6" s="3566"/>
      <c r="AC6" s="3566"/>
      <c r="AD6" s="3566"/>
      <c r="AE6" s="3566"/>
      <c r="AF6" s="3566"/>
      <c r="AG6" s="3566"/>
      <c r="AH6" s="3566"/>
      <c r="AI6" s="3566"/>
      <c r="AJ6" s="3566"/>
      <c r="AK6" s="3566"/>
      <c r="AL6" s="3566"/>
      <c r="AM6" s="3566"/>
      <c r="AN6" s="3566"/>
      <c r="AO6" s="3566"/>
      <c r="AP6" s="3566"/>
      <c r="AQ6" s="3566"/>
      <c r="AR6" s="3566"/>
      <c r="AS6" s="3566"/>
      <c r="AT6" s="3566"/>
      <c r="AU6" s="3566"/>
      <c r="AV6" s="805"/>
      <c r="AW6" s="805"/>
      <c r="AX6" s="805"/>
      <c r="AY6" s="805"/>
    </row>
    <row r="7" spans="1:76" ht="51.6" customHeight="1">
      <c r="A7" s="804"/>
      <c r="B7" s="811" t="s">
        <v>49</v>
      </c>
      <c r="C7" s="3566" t="s">
        <v>1197</v>
      </c>
      <c r="D7" s="3566"/>
      <c r="E7" s="3566"/>
      <c r="F7" s="3566"/>
      <c r="G7" s="3566"/>
      <c r="H7" s="3566"/>
      <c r="I7" s="3566"/>
      <c r="J7" s="3566"/>
      <c r="K7" s="3566"/>
      <c r="L7" s="3566"/>
      <c r="M7" s="3566"/>
      <c r="N7" s="3566"/>
      <c r="O7" s="3566"/>
      <c r="P7" s="3566"/>
      <c r="Q7" s="3566"/>
      <c r="R7" s="3566"/>
      <c r="S7" s="3566"/>
      <c r="T7" s="3566"/>
      <c r="U7" s="3566"/>
      <c r="V7" s="3566"/>
      <c r="W7" s="3566"/>
      <c r="X7" s="3566"/>
      <c r="Y7" s="3566"/>
      <c r="Z7" s="3566"/>
      <c r="AA7" s="3566"/>
      <c r="AB7" s="3566"/>
      <c r="AC7" s="3566"/>
      <c r="AD7" s="3566"/>
      <c r="AE7" s="3566"/>
      <c r="AF7" s="3566"/>
      <c r="AG7" s="3566"/>
      <c r="AH7" s="3566"/>
      <c r="AI7" s="3566"/>
      <c r="AJ7" s="3566"/>
      <c r="AK7" s="3566"/>
      <c r="AL7" s="3566"/>
      <c r="AM7" s="3566"/>
      <c r="AN7" s="3566"/>
      <c r="AO7" s="3566"/>
      <c r="AP7" s="3566"/>
      <c r="AQ7" s="3566"/>
      <c r="AR7" s="3566"/>
      <c r="AS7" s="3566"/>
      <c r="AT7" s="3566"/>
      <c r="AU7" s="3566"/>
      <c r="AV7" s="805"/>
      <c r="AW7" s="805"/>
      <c r="AX7" s="805"/>
      <c r="AY7" s="805"/>
    </row>
    <row r="8" spans="1:76" ht="65.45" customHeight="1">
      <c r="A8" s="804"/>
      <c r="B8" s="811" t="s">
        <v>50</v>
      </c>
      <c r="C8" s="3566" t="s">
        <v>1407</v>
      </c>
      <c r="D8" s="3566"/>
      <c r="E8" s="3566"/>
      <c r="F8" s="3566"/>
      <c r="G8" s="3566"/>
      <c r="H8" s="3566"/>
      <c r="I8" s="3566"/>
      <c r="J8" s="3566"/>
      <c r="K8" s="3566"/>
      <c r="L8" s="3566"/>
      <c r="M8" s="3566"/>
      <c r="N8" s="3566"/>
      <c r="O8" s="3566"/>
      <c r="P8" s="3566"/>
      <c r="Q8" s="3566"/>
      <c r="R8" s="3566"/>
      <c r="S8" s="3566"/>
      <c r="T8" s="3566"/>
      <c r="U8" s="3566"/>
      <c r="V8" s="3566"/>
      <c r="W8" s="3566"/>
      <c r="X8" s="3566"/>
      <c r="Y8" s="3566"/>
      <c r="Z8" s="3566"/>
      <c r="AA8" s="3566"/>
      <c r="AB8" s="3566"/>
      <c r="AC8" s="3566"/>
      <c r="AD8" s="3566"/>
      <c r="AE8" s="3566"/>
      <c r="AF8" s="3566"/>
      <c r="AG8" s="3566"/>
      <c r="AH8" s="3566"/>
      <c r="AI8" s="3566"/>
      <c r="AJ8" s="3566"/>
      <c r="AK8" s="3566"/>
      <c r="AL8" s="3566"/>
      <c r="AM8" s="3566"/>
      <c r="AN8" s="3566"/>
      <c r="AO8" s="3566"/>
      <c r="AP8" s="3566"/>
      <c r="AQ8" s="3566"/>
      <c r="AR8" s="3566"/>
      <c r="AS8" s="3566"/>
      <c r="AT8" s="3566"/>
      <c r="AU8" s="805"/>
      <c r="AV8" s="805"/>
      <c r="AW8" s="805"/>
      <c r="AX8" s="805"/>
      <c r="AY8" s="805"/>
    </row>
    <row r="9" spans="1:76" ht="51.6" customHeight="1">
      <c r="A9" s="804"/>
      <c r="B9" s="811" t="s">
        <v>51</v>
      </c>
      <c r="C9" s="3566" t="s">
        <v>1200</v>
      </c>
      <c r="D9" s="3566"/>
      <c r="E9" s="3566"/>
      <c r="F9" s="3566"/>
      <c r="G9" s="3566"/>
      <c r="H9" s="3566"/>
      <c r="I9" s="3566"/>
      <c r="J9" s="3566"/>
      <c r="K9" s="3566"/>
      <c r="L9" s="3566"/>
      <c r="M9" s="3566"/>
      <c r="N9" s="3566"/>
      <c r="O9" s="3566"/>
      <c r="P9" s="3566"/>
      <c r="Q9" s="3566"/>
      <c r="R9" s="3566"/>
      <c r="S9" s="3566"/>
      <c r="T9" s="3566"/>
      <c r="U9" s="3566"/>
      <c r="V9" s="3566"/>
      <c r="W9" s="3566"/>
      <c r="X9" s="3566"/>
      <c r="Y9" s="3566"/>
      <c r="Z9" s="3566"/>
      <c r="AA9" s="3566"/>
      <c r="AB9" s="3566"/>
      <c r="AC9" s="3566"/>
      <c r="AD9" s="3566"/>
      <c r="AE9" s="3566"/>
      <c r="AF9" s="3566"/>
      <c r="AG9" s="3566"/>
      <c r="AH9" s="3566"/>
      <c r="AI9" s="3566"/>
      <c r="AJ9" s="3566"/>
      <c r="AK9" s="3566"/>
      <c r="AL9" s="3566"/>
      <c r="AM9" s="3566"/>
      <c r="AN9" s="3566"/>
      <c r="AO9" s="3566"/>
      <c r="AP9" s="3566"/>
      <c r="AQ9" s="3566"/>
      <c r="AR9" s="3566"/>
      <c r="AS9" s="3566"/>
      <c r="AT9" s="3566"/>
      <c r="AU9" s="805"/>
      <c r="AV9" s="805"/>
      <c r="AW9" s="805"/>
      <c r="AX9" s="805"/>
      <c r="AY9" s="805"/>
    </row>
    <row r="10" spans="1:76" ht="84" customHeight="1">
      <c r="A10" s="804"/>
      <c r="B10" s="811" t="s">
        <v>52</v>
      </c>
      <c r="C10" s="3566" t="s">
        <v>1408</v>
      </c>
      <c r="D10" s="3566"/>
      <c r="E10" s="3566"/>
      <c r="F10" s="3566"/>
      <c r="G10" s="3566"/>
      <c r="H10" s="3566"/>
      <c r="I10" s="3566"/>
      <c r="J10" s="3566"/>
      <c r="K10" s="3566"/>
      <c r="L10" s="3566"/>
      <c r="M10" s="3566"/>
      <c r="N10" s="3566"/>
      <c r="O10" s="3566"/>
      <c r="P10" s="3566"/>
      <c r="Q10" s="3566"/>
      <c r="R10" s="3566"/>
      <c r="S10" s="3566"/>
      <c r="T10" s="3566"/>
      <c r="U10" s="3566"/>
      <c r="V10" s="3566"/>
      <c r="W10" s="3566"/>
      <c r="X10" s="3566"/>
      <c r="Y10" s="3566"/>
      <c r="Z10" s="3566"/>
      <c r="AA10" s="3566"/>
      <c r="AB10" s="3566"/>
      <c r="AC10" s="3566"/>
      <c r="AD10" s="3566"/>
      <c r="AE10" s="3566"/>
      <c r="AF10" s="3566"/>
      <c r="AG10" s="3566"/>
      <c r="AH10" s="3566"/>
      <c r="AI10" s="3566"/>
      <c r="AJ10" s="3566"/>
      <c r="AK10" s="3566"/>
      <c r="AL10" s="3566"/>
      <c r="AM10" s="3566"/>
      <c r="AN10" s="3566"/>
      <c r="AO10" s="3566"/>
      <c r="AP10" s="3566"/>
      <c r="AQ10" s="3566"/>
      <c r="AR10" s="3566"/>
      <c r="AS10" s="3566"/>
      <c r="AT10" s="3566"/>
      <c r="AU10" s="3566"/>
      <c r="AV10" s="805"/>
      <c r="AW10" s="805"/>
      <c r="AX10" s="805"/>
      <c r="AY10" s="805"/>
    </row>
    <row r="11" spans="1:76" ht="52.7" customHeight="1">
      <c r="A11" s="804"/>
      <c r="B11" s="811" t="s">
        <v>53</v>
      </c>
      <c r="C11" s="3566" t="s">
        <v>1201</v>
      </c>
      <c r="D11" s="3566"/>
      <c r="E11" s="3566"/>
      <c r="F11" s="3566"/>
      <c r="G11" s="3566"/>
      <c r="H11" s="3566"/>
      <c r="I11" s="3566"/>
      <c r="J11" s="3566"/>
      <c r="K11" s="3566"/>
      <c r="L11" s="3566"/>
      <c r="M11" s="3566"/>
      <c r="N11" s="3566"/>
      <c r="O11" s="3566"/>
      <c r="P11" s="3566"/>
      <c r="Q11" s="3566"/>
      <c r="R11" s="3566"/>
      <c r="S11" s="3566"/>
      <c r="T11" s="3566"/>
      <c r="U11" s="3566"/>
      <c r="V11" s="3566"/>
      <c r="W11" s="3566"/>
      <c r="X11" s="3566"/>
      <c r="Y11" s="3566"/>
      <c r="Z11" s="3566"/>
      <c r="AA11" s="3566"/>
      <c r="AB11" s="3566"/>
      <c r="AC11" s="3566"/>
      <c r="AD11" s="3566"/>
      <c r="AE11" s="3566"/>
      <c r="AF11" s="3566"/>
      <c r="AG11" s="3566"/>
      <c r="AH11" s="3566"/>
      <c r="AI11" s="3566"/>
      <c r="AJ11" s="3566"/>
      <c r="AK11" s="3566"/>
      <c r="AL11" s="3566"/>
      <c r="AM11" s="3566"/>
      <c r="AN11" s="3566"/>
      <c r="AO11" s="3566"/>
      <c r="AP11" s="3566"/>
      <c r="AQ11" s="3566"/>
      <c r="AR11" s="3566"/>
      <c r="AS11" s="3566"/>
      <c r="AT11" s="3566"/>
      <c r="AU11" s="805"/>
      <c r="AV11" s="805"/>
      <c r="AW11" s="805"/>
      <c r="AX11" s="805"/>
      <c r="AY11" s="805"/>
    </row>
    <row r="12" spans="1:76" ht="116.45" customHeight="1">
      <c r="A12" s="804"/>
      <c r="B12" s="812" t="s">
        <v>54</v>
      </c>
      <c r="C12" s="3566" t="s">
        <v>1409</v>
      </c>
      <c r="D12" s="3566"/>
      <c r="E12" s="3566"/>
      <c r="F12" s="3566"/>
      <c r="G12" s="3566"/>
      <c r="H12" s="3566"/>
      <c r="I12" s="3566"/>
      <c r="J12" s="3566"/>
      <c r="K12" s="3566"/>
      <c r="L12" s="3566"/>
      <c r="M12" s="3566"/>
      <c r="N12" s="3566"/>
      <c r="O12" s="3566"/>
      <c r="P12" s="3566"/>
      <c r="Q12" s="3566"/>
      <c r="R12" s="3566"/>
      <c r="S12" s="3566"/>
      <c r="T12" s="3566"/>
      <c r="U12" s="3566"/>
      <c r="V12" s="3566"/>
      <c r="W12" s="3566"/>
      <c r="X12" s="3566"/>
      <c r="Y12" s="3566"/>
      <c r="Z12" s="3566"/>
      <c r="AA12" s="3566"/>
      <c r="AB12" s="3566"/>
      <c r="AC12" s="3566"/>
      <c r="AD12" s="3566"/>
      <c r="AE12" s="3566"/>
      <c r="AF12" s="3566"/>
      <c r="AG12" s="3566"/>
      <c r="AH12" s="3566"/>
      <c r="AI12" s="3566"/>
      <c r="AJ12" s="3566"/>
      <c r="AK12" s="3566"/>
      <c r="AL12" s="3566"/>
      <c r="AM12" s="3566"/>
      <c r="AN12" s="3566"/>
      <c r="AO12" s="3566"/>
      <c r="AP12" s="3566"/>
      <c r="AQ12" s="3566"/>
      <c r="AR12" s="3566"/>
      <c r="AS12" s="3566"/>
      <c r="AT12" s="3566"/>
      <c r="AU12" s="805"/>
      <c r="AV12" s="805"/>
      <c r="AW12" s="805"/>
      <c r="AX12" s="805"/>
      <c r="AY12" s="805"/>
    </row>
    <row r="13" spans="1:76" ht="55.35" customHeight="1">
      <c r="A13" s="804"/>
      <c r="B13" s="812" t="s">
        <v>55</v>
      </c>
      <c r="C13" s="3566" t="s">
        <v>1202</v>
      </c>
      <c r="D13" s="3566"/>
      <c r="E13" s="3566"/>
      <c r="F13" s="3566"/>
      <c r="G13" s="3566"/>
      <c r="H13" s="3566"/>
      <c r="I13" s="3566"/>
      <c r="J13" s="3566"/>
      <c r="K13" s="3566"/>
      <c r="L13" s="3566"/>
      <c r="M13" s="3566"/>
      <c r="N13" s="3566"/>
      <c r="O13" s="3566"/>
      <c r="P13" s="3566"/>
      <c r="Q13" s="3566"/>
      <c r="R13" s="3566"/>
      <c r="S13" s="3566"/>
      <c r="T13" s="3566"/>
      <c r="U13" s="3566"/>
      <c r="V13" s="3566"/>
      <c r="W13" s="3566"/>
      <c r="X13" s="3566"/>
      <c r="Y13" s="3566"/>
      <c r="Z13" s="3566"/>
      <c r="AA13" s="3566"/>
      <c r="AB13" s="3566"/>
      <c r="AC13" s="3566"/>
      <c r="AD13" s="3566"/>
      <c r="AE13" s="3566"/>
      <c r="AF13" s="3566"/>
      <c r="AG13" s="3566"/>
      <c r="AH13" s="3566"/>
      <c r="AI13" s="3566"/>
      <c r="AJ13" s="3566"/>
      <c r="AK13" s="3566"/>
      <c r="AL13" s="3566"/>
      <c r="AM13" s="3566"/>
      <c r="AN13" s="3566"/>
      <c r="AO13" s="3566"/>
      <c r="AP13" s="3566"/>
      <c r="AQ13" s="3566"/>
      <c r="AR13" s="3566"/>
      <c r="AS13" s="3566"/>
      <c r="AT13" s="3566"/>
      <c r="AU13" s="805"/>
      <c r="AV13" s="805"/>
      <c r="AW13" s="805"/>
      <c r="AX13" s="805"/>
      <c r="AY13" s="805"/>
    </row>
    <row r="14" spans="1:76" ht="37.700000000000003" customHeight="1">
      <c r="A14" s="804"/>
      <c r="B14" s="812" t="s">
        <v>56</v>
      </c>
      <c r="C14" s="3566" t="s">
        <v>1203</v>
      </c>
      <c r="D14" s="3566"/>
      <c r="E14" s="3566"/>
      <c r="F14" s="3566"/>
      <c r="G14" s="3566"/>
      <c r="H14" s="3566"/>
      <c r="I14" s="3566"/>
      <c r="J14" s="3566"/>
      <c r="K14" s="3566"/>
      <c r="L14" s="3566"/>
      <c r="M14" s="3566"/>
      <c r="N14" s="3566"/>
      <c r="O14" s="3566"/>
      <c r="P14" s="3566"/>
      <c r="Q14" s="3566"/>
      <c r="R14" s="3566"/>
      <c r="S14" s="3566"/>
      <c r="T14" s="3566"/>
      <c r="U14" s="3566"/>
      <c r="V14" s="3566"/>
      <c r="W14" s="3566"/>
      <c r="X14" s="3566"/>
      <c r="Y14" s="3566"/>
      <c r="Z14" s="3566"/>
      <c r="AA14" s="3566"/>
      <c r="AB14" s="3566"/>
      <c r="AC14" s="3566"/>
      <c r="AD14" s="3566"/>
      <c r="AE14" s="3566"/>
      <c r="AF14" s="3566"/>
      <c r="AG14" s="3566"/>
      <c r="AH14" s="3566"/>
      <c r="AI14" s="3566"/>
      <c r="AJ14" s="3566"/>
      <c r="AK14" s="3566"/>
      <c r="AL14" s="3566"/>
      <c r="AM14" s="3566"/>
      <c r="AN14" s="3566"/>
      <c r="AO14" s="3566"/>
      <c r="AP14" s="3566"/>
      <c r="AQ14" s="3566"/>
      <c r="AR14" s="3566"/>
      <c r="AS14" s="3566"/>
      <c r="AT14" s="3566"/>
      <c r="AU14" s="805"/>
      <c r="AV14" s="805"/>
      <c r="AW14" s="805"/>
      <c r="AX14" s="805"/>
      <c r="AY14" s="805"/>
    </row>
    <row r="15" spans="1:76" ht="51.6" customHeight="1">
      <c r="A15" s="804"/>
      <c r="B15" s="812" t="s">
        <v>57</v>
      </c>
      <c r="C15" s="3566" t="s">
        <v>1410</v>
      </c>
      <c r="D15" s="3566"/>
      <c r="E15" s="3566"/>
      <c r="F15" s="3566"/>
      <c r="G15" s="3566"/>
      <c r="H15" s="3566"/>
      <c r="I15" s="3566"/>
      <c r="J15" s="3566"/>
      <c r="K15" s="3566"/>
      <c r="L15" s="3566"/>
      <c r="M15" s="3566"/>
      <c r="N15" s="3566"/>
      <c r="O15" s="3566"/>
      <c r="P15" s="3566"/>
      <c r="Q15" s="3566"/>
      <c r="R15" s="3566"/>
      <c r="S15" s="3566"/>
      <c r="T15" s="3566"/>
      <c r="U15" s="3566"/>
      <c r="V15" s="3566"/>
      <c r="W15" s="3566"/>
      <c r="X15" s="3566"/>
      <c r="Y15" s="3566"/>
      <c r="Z15" s="3566"/>
      <c r="AA15" s="3566"/>
      <c r="AB15" s="3566"/>
      <c r="AC15" s="3566"/>
      <c r="AD15" s="3566"/>
      <c r="AE15" s="3566"/>
      <c r="AF15" s="3566"/>
      <c r="AG15" s="3566"/>
      <c r="AH15" s="3566"/>
      <c r="AI15" s="3566"/>
      <c r="AJ15" s="3566"/>
      <c r="AK15" s="3566"/>
      <c r="AL15" s="3566"/>
      <c r="AM15" s="3566"/>
      <c r="AN15" s="3566"/>
      <c r="AO15" s="3566"/>
      <c r="AP15" s="3566"/>
      <c r="AQ15" s="3566"/>
      <c r="AR15" s="3566"/>
      <c r="AS15" s="3566"/>
      <c r="AT15" s="3566"/>
      <c r="AU15" s="805"/>
      <c r="AV15" s="805"/>
      <c r="AW15" s="805"/>
      <c r="AX15" s="805"/>
      <c r="AY15" s="805"/>
    </row>
    <row r="16" spans="1:76" ht="41.45" customHeight="1">
      <c r="A16" s="804"/>
      <c r="B16" s="812" t="s">
        <v>752</v>
      </c>
      <c r="C16" s="3566" t="s">
        <v>1204</v>
      </c>
      <c r="D16" s="3566"/>
      <c r="E16" s="3566"/>
      <c r="F16" s="3566"/>
      <c r="G16" s="3566"/>
      <c r="H16" s="3566"/>
      <c r="I16" s="3566"/>
      <c r="J16" s="3566"/>
      <c r="K16" s="3566"/>
      <c r="L16" s="3566"/>
      <c r="M16" s="3566"/>
      <c r="N16" s="3566"/>
      <c r="O16" s="3566"/>
      <c r="P16" s="3566"/>
      <c r="Q16" s="3566"/>
      <c r="R16" s="3566"/>
      <c r="S16" s="3566"/>
      <c r="T16" s="3566"/>
      <c r="U16" s="3566"/>
      <c r="V16" s="3566"/>
      <c r="W16" s="3566"/>
      <c r="X16" s="3566"/>
      <c r="Y16" s="3566"/>
      <c r="Z16" s="3566"/>
      <c r="AA16" s="3566"/>
      <c r="AB16" s="3566"/>
      <c r="AC16" s="3566"/>
      <c r="AD16" s="3566"/>
      <c r="AE16" s="3566"/>
      <c r="AF16" s="3566"/>
      <c r="AG16" s="3566"/>
      <c r="AH16" s="3566"/>
      <c r="AI16" s="3566"/>
      <c r="AJ16" s="3566"/>
      <c r="AK16" s="3566"/>
      <c r="AL16" s="3566"/>
      <c r="AM16" s="3566"/>
      <c r="AN16" s="3566"/>
      <c r="AO16" s="3566"/>
      <c r="AP16" s="3566"/>
      <c r="AQ16" s="3566"/>
      <c r="AR16" s="3566"/>
      <c r="AS16" s="3566"/>
      <c r="AT16" s="3566"/>
      <c r="AU16" s="805"/>
      <c r="AV16" s="805"/>
      <c r="AW16" s="805"/>
      <c r="AX16" s="805"/>
      <c r="AY16" s="805"/>
    </row>
    <row r="17" spans="1:76" ht="54" customHeight="1">
      <c r="A17" s="804"/>
      <c r="B17" s="812" t="s">
        <v>811</v>
      </c>
      <c r="C17" s="3566" t="s">
        <v>1205</v>
      </c>
      <c r="D17" s="3566"/>
      <c r="E17" s="3566"/>
      <c r="F17" s="3566"/>
      <c r="G17" s="3566"/>
      <c r="H17" s="3566"/>
      <c r="I17" s="3566"/>
      <c r="J17" s="3566"/>
      <c r="K17" s="3566"/>
      <c r="L17" s="3566"/>
      <c r="M17" s="3566"/>
      <c r="N17" s="3566"/>
      <c r="O17" s="3566"/>
      <c r="P17" s="3566"/>
      <c r="Q17" s="3566"/>
      <c r="R17" s="3566"/>
      <c r="S17" s="3566"/>
      <c r="T17" s="3566"/>
      <c r="U17" s="3566"/>
      <c r="V17" s="3566"/>
      <c r="W17" s="3566"/>
      <c r="X17" s="3566"/>
      <c r="Y17" s="3566"/>
      <c r="Z17" s="3566"/>
      <c r="AA17" s="3566"/>
      <c r="AB17" s="3566"/>
      <c r="AC17" s="3566"/>
      <c r="AD17" s="3566"/>
      <c r="AE17" s="3566"/>
      <c r="AF17" s="3566"/>
      <c r="AG17" s="3566"/>
      <c r="AH17" s="3566"/>
      <c r="AI17" s="3566"/>
      <c r="AJ17" s="3566"/>
      <c r="AK17" s="3566"/>
      <c r="AL17" s="3566"/>
      <c r="AM17" s="3566"/>
      <c r="AN17" s="3566"/>
      <c r="AO17" s="3566"/>
      <c r="AP17" s="3566"/>
      <c r="AQ17" s="3566"/>
      <c r="AR17" s="3566"/>
      <c r="AS17" s="3566"/>
      <c r="AT17" s="3566"/>
      <c r="AU17" s="805"/>
      <c r="AV17" s="805"/>
      <c r="AW17" s="805"/>
      <c r="AX17" s="805"/>
      <c r="AY17" s="805"/>
    </row>
    <row r="18" spans="1:76" s="137" customFormat="1">
      <c r="A18" s="804"/>
      <c r="B18" s="223"/>
      <c r="C18" s="223"/>
      <c r="D18" s="223"/>
      <c r="E18" s="223"/>
      <c r="F18" s="223"/>
      <c r="G18" s="223"/>
      <c r="H18" s="223"/>
      <c r="I18" s="223"/>
      <c r="J18" s="223"/>
      <c r="K18" s="223"/>
      <c r="L18" s="223"/>
      <c r="M18" s="223"/>
      <c r="N18" s="223"/>
      <c r="O18" s="223"/>
      <c r="P18" s="223"/>
      <c r="Q18" s="804"/>
      <c r="R18" s="805"/>
      <c r="S18" s="805"/>
      <c r="T18" s="805"/>
      <c r="U18" s="805"/>
      <c r="V18" s="805"/>
      <c r="W18" s="805"/>
      <c r="X18" s="805"/>
      <c r="Y18" s="805"/>
      <c r="Z18" s="805"/>
      <c r="AA18" s="805"/>
      <c r="AB18" s="805"/>
      <c r="AC18" s="805"/>
      <c r="AD18" s="805"/>
      <c r="AE18" s="805"/>
      <c r="AF18" s="805"/>
      <c r="AG18" s="805"/>
      <c r="AH18" s="805"/>
      <c r="AI18" s="805"/>
      <c r="AJ18" s="805"/>
      <c r="AK18" s="805"/>
      <c r="AL18" s="805"/>
      <c r="AM18" s="805"/>
      <c r="AN18" s="805"/>
      <c r="AO18" s="805"/>
      <c r="AP18" s="805"/>
      <c r="AQ18" s="805"/>
      <c r="AR18" s="805"/>
      <c r="AS18" s="805"/>
      <c r="AT18" s="805"/>
      <c r="AU18" s="805"/>
      <c r="AV18" s="805"/>
      <c r="AW18" s="805"/>
      <c r="AX18" s="805"/>
      <c r="AY18" s="805"/>
      <c r="AZ18" s="138"/>
      <c r="BA18" s="138"/>
      <c r="BB18" s="138"/>
      <c r="BC18" s="138"/>
      <c r="BD18" s="138"/>
      <c r="BE18" s="138"/>
      <c r="BF18" s="138"/>
      <c r="BG18" s="138"/>
      <c r="BH18" s="138"/>
      <c r="BI18" s="138"/>
      <c r="BJ18" s="138"/>
      <c r="BK18" s="138"/>
      <c r="BL18" s="138"/>
      <c r="BM18" s="138"/>
      <c r="BN18" s="138"/>
      <c r="BO18" s="138"/>
      <c r="BP18" s="138"/>
      <c r="BQ18" s="138"/>
      <c r="BR18" s="138"/>
      <c r="BS18" s="138"/>
      <c r="BT18" s="138"/>
      <c r="BU18" s="138"/>
      <c r="BV18" s="138"/>
      <c r="BW18" s="138"/>
      <c r="BX18" s="138"/>
    </row>
    <row r="19" spans="1:76" s="137" customFormat="1">
      <c r="A19" s="804"/>
      <c r="B19" s="223"/>
      <c r="C19" s="223"/>
      <c r="D19" s="223"/>
      <c r="E19" s="223"/>
      <c r="F19" s="223"/>
      <c r="G19" s="223"/>
      <c r="H19" s="223"/>
      <c r="I19" s="223"/>
      <c r="J19" s="223"/>
      <c r="K19" s="223"/>
      <c r="L19" s="223"/>
      <c r="M19" s="223"/>
      <c r="N19" s="223"/>
      <c r="O19" s="223"/>
      <c r="P19" s="223"/>
      <c r="Q19" s="804"/>
      <c r="R19" s="805"/>
      <c r="S19" s="805"/>
      <c r="T19" s="805"/>
      <c r="U19" s="805"/>
      <c r="V19" s="805"/>
      <c r="W19" s="805"/>
      <c r="X19" s="805"/>
      <c r="Y19" s="805"/>
      <c r="Z19" s="805"/>
      <c r="AA19" s="805"/>
      <c r="AB19" s="805"/>
      <c r="AC19" s="805"/>
      <c r="AD19" s="805"/>
      <c r="AE19" s="805"/>
      <c r="AF19" s="805"/>
      <c r="AG19" s="805"/>
      <c r="AH19" s="805"/>
      <c r="AI19" s="805"/>
      <c r="AJ19" s="805"/>
      <c r="AK19" s="805"/>
      <c r="AL19" s="805"/>
      <c r="AM19" s="805"/>
      <c r="AN19" s="805"/>
      <c r="AO19" s="805"/>
      <c r="AP19" s="805"/>
      <c r="AQ19" s="805"/>
      <c r="AR19" s="805"/>
      <c r="AS19" s="805"/>
      <c r="AT19" s="805"/>
      <c r="AU19" s="805"/>
      <c r="AV19" s="805"/>
      <c r="AW19" s="805"/>
      <c r="AX19" s="805"/>
      <c r="AY19" s="805"/>
      <c r="AZ19" s="138"/>
      <c r="BA19" s="138"/>
      <c r="BB19" s="138"/>
      <c r="BC19" s="138"/>
      <c r="BD19" s="138"/>
      <c r="BE19" s="138"/>
      <c r="BF19" s="138"/>
      <c r="BG19" s="138"/>
      <c r="BH19" s="138"/>
      <c r="BI19" s="138"/>
      <c r="BJ19" s="138"/>
      <c r="BK19" s="138"/>
      <c r="BL19" s="138"/>
      <c r="BM19" s="138"/>
      <c r="BN19" s="138"/>
      <c r="BO19" s="138"/>
      <c r="BP19" s="138"/>
      <c r="BQ19" s="138"/>
      <c r="BR19" s="138"/>
      <c r="BS19" s="138"/>
      <c r="BT19" s="138"/>
      <c r="BU19" s="138"/>
      <c r="BV19" s="138"/>
      <c r="BW19" s="138"/>
      <c r="BX19" s="138"/>
    </row>
    <row r="20" spans="1:76" s="137" customFormat="1">
      <c r="A20" s="804"/>
      <c r="B20" s="223"/>
      <c r="C20" s="223"/>
      <c r="D20" s="223"/>
      <c r="E20" s="223"/>
      <c r="F20" s="223"/>
      <c r="G20" s="223"/>
      <c r="H20" s="223"/>
      <c r="I20" s="223"/>
      <c r="J20" s="223"/>
      <c r="K20" s="223"/>
      <c r="L20" s="223"/>
      <c r="M20" s="223"/>
      <c r="N20" s="223"/>
      <c r="O20" s="223"/>
      <c r="P20" s="223"/>
      <c r="Q20" s="804"/>
      <c r="R20" s="805"/>
      <c r="S20" s="805"/>
      <c r="T20" s="805"/>
      <c r="U20" s="805"/>
      <c r="V20" s="805"/>
      <c r="W20" s="805"/>
      <c r="X20" s="805"/>
      <c r="Y20" s="805"/>
      <c r="Z20" s="805"/>
      <c r="AA20" s="805"/>
      <c r="AB20" s="805"/>
      <c r="AC20" s="805"/>
      <c r="AD20" s="805"/>
      <c r="AE20" s="805"/>
      <c r="AF20" s="805"/>
      <c r="AG20" s="805"/>
      <c r="AH20" s="805"/>
      <c r="AI20" s="805"/>
      <c r="AJ20" s="805"/>
      <c r="AK20" s="805"/>
      <c r="AL20" s="805"/>
      <c r="AM20" s="805"/>
      <c r="AN20" s="805"/>
      <c r="AO20" s="805"/>
      <c r="AP20" s="805"/>
      <c r="AQ20" s="805"/>
      <c r="AR20" s="805"/>
      <c r="AS20" s="805"/>
      <c r="AT20" s="805"/>
      <c r="AU20" s="805"/>
      <c r="AV20" s="805"/>
      <c r="AW20" s="805"/>
      <c r="AX20" s="805"/>
      <c r="AY20" s="805"/>
      <c r="AZ20" s="138"/>
      <c r="BA20" s="138"/>
      <c r="BB20" s="138"/>
      <c r="BC20" s="138"/>
      <c r="BD20" s="138"/>
      <c r="BE20" s="138"/>
      <c r="BF20" s="138"/>
      <c r="BG20" s="138"/>
      <c r="BH20" s="138"/>
      <c r="BI20" s="138"/>
      <c r="BJ20" s="138"/>
      <c r="BK20" s="138"/>
      <c r="BL20" s="138"/>
      <c r="BM20" s="138"/>
      <c r="BN20" s="138"/>
      <c r="BO20" s="138"/>
      <c r="BP20" s="138"/>
      <c r="BQ20" s="138"/>
      <c r="BR20" s="138"/>
      <c r="BS20" s="138"/>
      <c r="BT20" s="138"/>
      <c r="BU20" s="138"/>
      <c r="BV20" s="138"/>
      <c r="BW20" s="138"/>
      <c r="BX20" s="138"/>
    </row>
    <row r="21" spans="1:76" s="137" customFormat="1">
      <c r="A21" s="804"/>
      <c r="B21" s="223"/>
      <c r="C21" s="223"/>
      <c r="D21" s="223"/>
      <c r="E21" s="223"/>
      <c r="F21" s="223"/>
      <c r="G21" s="223"/>
      <c r="H21" s="223"/>
      <c r="I21" s="223"/>
      <c r="J21" s="223"/>
      <c r="K21" s="223"/>
      <c r="L21" s="223"/>
      <c r="M21" s="223"/>
      <c r="N21" s="223"/>
      <c r="O21" s="223"/>
      <c r="P21" s="223"/>
      <c r="Q21" s="804"/>
      <c r="R21" s="805"/>
      <c r="S21" s="805"/>
      <c r="T21" s="805"/>
      <c r="U21" s="805"/>
      <c r="V21" s="805"/>
      <c r="W21" s="805"/>
      <c r="X21" s="805"/>
      <c r="Y21" s="805"/>
      <c r="Z21" s="805"/>
      <c r="AA21" s="805"/>
      <c r="AB21" s="805"/>
      <c r="AC21" s="805"/>
      <c r="AD21" s="805"/>
      <c r="AE21" s="805"/>
      <c r="AF21" s="805"/>
      <c r="AG21" s="805"/>
      <c r="AH21" s="805"/>
      <c r="AI21" s="805"/>
      <c r="AJ21" s="805"/>
      <c r="AK21" s="805"/>
      <c r="AL21" s="805"/>
      <c r="AM21" s="805"/>
      <c r="AN21" s="805"/>
      <c r="AO21" s="805"/>
      <c r="AP21" s="805"/>
      <c r="AQ21" s="805"/>
      <c r="AR21" s="805"/>
      <c r="AS21" s="805"/>
      <c r="AT21" s="805"/>
      <c r="AU21" s="805"/>
      <c r="AV21" s="805"/>
      <c r="AW21" s="805"/>
      <c r="AX21" s="805"/>
      <c r="AY21" s="805"/>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row>
    <row r="22" spans="1:76" s="137" customFormat="1">
      <c r="A22" s="804"/>
      <c r="B22" s="223"/>
      <c r="C22" s="223"/>
      <c r="D22" s="223"/>
      <c r="E22" s="223"/>
      <c r="F22" s="223"/>
      <c r="G22" s="223"/>
      <c r="H22" s="223"/>
      <c r="I22" s="223"/>
      <c r="J22" s="223"/>
      <c r="K22" s="223"/>
      <c r="L22" s="223"/>
      <c r="M22" s="223"/>
      <c r="N22" s="223"/>
      <c r="O22" s="223"/>
      <c r="P22" s="223"/>
      <c r="Q22" s="804"/>
      <c r="R22" s="805"/>
      <c r="S22" s="805"/>
      <c r="T22" s="805"/>
      <c r="U22" s="805"/>
      <c r="V22" s="805"/>
      <c r="W22" s="805"/>
      <c r="X22" s="805"/>
      <c r="Y22" s="805"/>
      <c r="Z22" s="805"/>
      <c r="AA22" s="805"/>
      <c r="AB22" s="805"/>
      <c r="AC22" s="805"/>
      <c r="AD22" s="805"/>
      <c r="AE22" s="805"/>
      <c r="AF22" s="805"/>
      <c r="AG22" s="805"/>
      <c r="AH22" s="805"/>
      <c r="AI22" s="805"/>
      <c r="AJ22" s="805"/>
      <c r="AK22" s="805"/>
      <c r="AL22" s="805"/>
      <c r="AM22" s="805"/>
      <c r="AN22" s="805"/>
      <c r="AO22" s="805"/>
      <c r="AP22" s="805"/>
      <c r="AQ22" s="805"/>
      <c r="AR22" s="805"/>
      <c r="AS22" s="805"/>
      <c r="AT22" s="805"/>
      <c r="AU22" s="805"/>
      <c r="AV22" s="805"/>
      <c r="AW22" s="805"/>
      <c r="AX22" s="805"/>
      <c r="AY22" s="805"/>
      <c r="AZ22" s="138"/>
      <c r="BA22" s="138"/>
      <c r="BB22" s="138"/>
      <c r="BC22" s="138"/>
      <c r="BD22" s="138"/>
      <c r="BE22" s="138"/>
      <c r="BF22" s="138"/>
      <c r="BG22" s="138"/>
      <c r="BH22" s="138"/>
      <c r="BI22" s="138"/>
      <c r="BJ22" s="138"/>
      <c r="BK22" s="138"/>
      <c r="BL22" s="138"/>
      <c r="BM22" s="138"/>
      <c r="BN22" s="138"/>
      <c r="BO22" s="138"/>
      <c r="BP22" s="138"/>
      <c r="BQ22" s="138"/>
      <c r="BR22" s="138"/>
      <c r="BS22" s="138"/>
      <c r="BT22" s="138"/>
      <c r="BU22" s="138"/>
      <c r="BV22" s="138"/>
      <c r="BW22" s="138"/>
      <c r="BX22" s="138"/>
    </row>
    <row r="23" spans="1:76" s="137" customFormat="1">
      <c r="A23" s="804"/>
      <c r="B23" s="223"/>
      <c r="C23" s="223"/>
      <c r="D23" s="223"/>
      <c r="E23" s="223"/>
      <c r="F23" s="223"/>
      <c r="G23" s="223"/>
      <c r="H23" s="223"/>
      <c r="I23" s="223"/>
      <c r="J23" s="223"/>
      <c r="K23" s="223"/>
      <c r="L23" s="223"/>
      <c r="M23" s="223"/>
      <c r="N23" s="223"/>
      <c r="O23" s="223"/>
      <c r="P23" s="223"/>
      <c r="Q23" s="804"/>
      <c r="R23" s="805"/>
      <c r="S23" s="805"/>
      <c r="T23" s="805"/>
      <c r="U23" s="805"/>
      <c r="V23" s="805"/>
      <c r="W23" s="805"/>
      <c r="X23" s="805"/>
      <c r="Y23" s="805"/>
      <c r="Z23" s="805"/>
      <c r="AA23" s="805"/>
      <c r="AB23" s="805"/>
      <c r="AC23" s="805"/>
      <c r="AD23" s="805"/>
      <c r="AE23" s="805"/>
      <c r="AF23" s="805"/>
      <c r="AG23" s="805"/>
      <c r="AH23" s="805"/>
      <c r="AI23" s="805"/>
      <c r="AJ23" s="805"/>
      <c r="AK23" s="805"/>
      <c r="AL23" s="805"/>
      <c r="AM23" s="805"/>
      <c r="AN23" s="805"/>
      <c r="AO23" s="805"/>
      <c r="AP23" s="805"/>
      <c r="AQ23" s="805"/>
      <c r="AR23" s="805"/>
      <c r="AS23" s="805"/>
      <c r="AT23" s="805"/>
      <c r="AU23" s="805"/>
      <c r="AV23" s="805"/>
      <c r="AW23" s="805"/>
      <c r="AX23" s="805"/>
      <c r="AY23" s="805"/>
      <c r="AZ23" s="138"/>
      <c r="BA23" s="138"/>
      <c r="BB23" s="138"/>
      <c r="BC23" s="138"/>
      <c r="BD23" s="138"/>
      <c r="BE23" s="138"/>
      <c r="BF23" s="138"/>
      <c r="BG23" s="138"/>
      <c r="BH23" s="138"/>
      <c r="BI23" s="138"/>
      <c r="BJ23" s="138"/>
      <c r="BK23" s="138"/>
      <c r="BL23" s="138"/>
      <c r="BM23" s="138"/>
      <c r="BN23" s="138"/>
      <c r="BO23" s="138"/>
      <c r="BP23" s="138"/>
      <c r="BQ23" s="138"/>
      <c r="BR23" s="138"/>
      <c r="BS23" s="138"/>
      <c r="BT23" s="138"/>
      <c r="BU23" s="138"/>
      <c r="BV23" s="138"/>
      <c r="BW23" s="138"/>
      <c r="BX23" s="138"/>
    </row>
    <row r="24" spans="1:76" s="137" customFormat="1">
      <c r="A24" s="804"/>
      <c r="B24" s="223"/>
      <c r="C24" s="223"/>
      <c r="D24" s="223"/>
      <c r="E24" s="223"/>
      <c r="F24" s="223"/>
      <c r="G24" s="223"/>
      <c r="H24" s="223"/>
      <c r="I24" s="223"/>
      <c r="J24" s="223"/>
      <c r="K24" s="223"/>
      <c r="L24" s="223"/>
      <c r="M24" s="223"/>
      <c r="N24" s="223"/>
      <c r="O24" s="223"/>
      <c r="P24" s="223"/>
      <c r="Q24" s="804"/>
      <c r="R24" s="805"/>
      <c r="S24" s="805"/>
      <c r="T24" s="805"/>
      <c r="U24" s="805"/>
      <c r="V24" s="805"/>
      <c r="W24" s="805"/>
      <c r="X24" s="805"/>
      <c r="Y24" s="805"/>
      <c r="Z24" s="805"/>
      <c r="AA24" s="805"/>
      <c r="AB24" s="805"/>
      <c r="AC24" s="805"/>
      <c r="AD24" s="805"/>
      <c r="AE24" s="805"/>
      <c r="AF24" s="805"/>
      <c r="AG24" s="805"/>
      <c r="AH24" s="805"/>
      <c r="AI24" s="805"/>
      <c r="AJ24" s="805"/>
      <c r="AK24" s="805"/>
      <c r="AL24" s="805"/>
      <c r="AM24" s="805"/>
      <c r="AN24" s="805"/>
      <c r="AO24" s="805"/>
      <c r="AP24" s="805"/>
      <c r="AQ24" s="805"/>
      <c r="AR24" s="805"/>
      <c r="AS24" s="805"/>
      <c r="AT24" s="805"/>
      <c r="AU24" s="805"/>
      <c r="AV24" s="805"/>
      <c r="AW24" s="805"/>
      <c r="AX24" s="805"/>
      <c r="AY24" s="805"/>
      <c r="AZ24" s="138"/>
      <c r="BA24" s="138"/>
      <c r="BB24" s="138"/>
      <c r="BC24" s="138"/>
      <c r="BD24" s="138"/>
      <c r="BE24" s="138"/>
      <c r="BF24" s="138"/>
      <c r="BG24" s="138"/>
      <c r="BH24" s="138"/>
      <c r="BI24" s="138"/>
      <c r="BJ24" s="138"/>
      <c r="BK24" s="138"/>
      <c r="BL24" s="138"/>
      <c r="BM24" s="138"/>
      <c r="BN24" s="138"/>
      <c r="BO24" s="138"/>
      <c r="BP24" s="138"/>
      <c r="BQ24" s="138"/>
      <c r="BR24" s="138"/>
      <c r="BS24" s="138"/>
      <c r="BT24" s="138"/>
      <c r="BU24" s="138"/>
      <c r="BV24" s="138"/>
      <c r="BW24" s="138"/>
      <c r="BX24" s="138"/>
    </row>
    <row r="25" spans="1:76" s="137" customFormat="1">
      <c r="A25" s="804"/>
      <c r="B25" s="223"/>
      <c r="C25" s="223"/>
      <c r="D25" s="223"/>
      <c r="E25" s="223"/>
      <c r="F25" s="223"/>
      <c r="G25" s="223"/>
      <c r="H25" s="223"/>
      <c r="I25" s="223"/>
      <c r="J25" s="223"/>
      <c r="K25" s="223"/>
      <c r="L25" s="223"/>
      <c r="M25" s="223"/>
      <c r="N25" s="223"/>
      <c r="O25" s="223"/>
      <c r="P25" s="223"/>
      <c r="Q25" s="804"/>
      <c r="R25" s="805"/>
      <c r="S25" s="805"/>
      <c r="T25" s="805"/>
      <c r="U25" s="805"/>
      <c r="V25" s="805"/>
      <c r="W25" s="805"/>
      <c r="X25" s="805"/>
      <c r="Y25" s="805"/>
      <c r="Z25" s="805"/>
      <c r="AA25" s="805"/>
      <c r="AB25" s="805"/>
      <c r="AC25" s="805"/>
      <c r="AD25" s="805"/>
      <c r="AE25" s="805"/>
      <c r="AF25" s="805"/>
      <c r="AG25" s="805"/>
      <c r="AH25" s="805"/>
      <c r="AI25" s="805"/>
      <c r="AJ25" s="805"/>
      <c r="AK25" s="805"/>
      <c r="AL25" s="805"/>
      <c r="AM25" s="805"/>
      <c r="AN25" s="805"/>
      <c r="AO25" s="805"/>
      <c r="AP25" s="805"/>
      <c r="AQ25" s="805"/>
      <c r="AR25" s="805"/>
      <c r="AS25" s="805"/>
      <c r="AT25" s="805"/>
      <c r="AU25" s="805"/>
      <c r="AV25" s="805"/>
      <c r="AW25" s="805"/>
      <c r="AX25" s="805"/>
      <c r="AY25" s="805"/>
      <c r="AZ25" s="138"/>
      <c r="BA25" s="138"/>
      <c r="BB25" s="138"/>
      <c r="BC25" s="138"/>
      <c r="BD25" s="138"/>
      <c r="BE25" s="138"/>
      <c r="BF25" s="138"/>
      <c r="BG25" s="138"/>
      <c r="BH25" s="138"/>
      <c r="BI25" s="138"/>
      <c r="BJ25" s="138"/>
      <c r="BK25" s="138"/>
      <c r="BL25" s="138"/>
      <c r="BM25" s="138"/>
      <c r="BN25" s="138"/>
      <c r="BO25" s="138"/>
      <c r="BP25" s="138"/>
      <c r="BQ25" s="138"/>
      <c r="BR25" s="138"/>
      <c r="BS25" s="138"/>
      <c r="BT25" s="138"/>
      <c r="BU25" s="138"/>
      <c r="BV25" s="138"/>
      <c r="BW25" s="138"/>
      <c r="BX25" s="138"/>
    </row>
    <row r="26" spans="1:76" s="137" customFormat="1">
      <c r="B26" s="9"/>
      <c r="C26" s="9"/>
      <c r="D26" s="9"/>
      <c r="E26" s="9"/>
      <c r="F26" s="9"/>
      <c r="G26" s="9"/>
      <c r="H26" s="9"/>
      <c r="I26" s="9"/>
      <c r="J26" s="9"/>
      <c r="K26" s="9"/>
      <c r="L26" s="9"/>
      <c r="M26" s="9"/>
      <c r="N26" s="9"/>
      <c r="O26" s="9"/>
      <c r="P26" s="9"/>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c r="BS26" s="138"/>
      <c r="BT26" s="138"/>
      <c r="BU26" s="138"/>
      <c r="BV26" s="138"/>
      <c r="BW26" s="138"/>
      <c r="BX26" s="138"/>
    </row>
    <row r="27" spans="1:76" s="137" customFormat="1">
      <c r="B27" s="9"/>
      <c r="C27" s="9"/>
      <c r="D27" s="9"/>
      <c r="E27" s="9"/>
      <c r="F27" s="9"/>
      <c r="G27" s="9"/>
      <c r="H27" s="9"/>
      <c r="I27" s="9"/>
      <c r="J27" s="9"/>
      <c r="K27" s="9"/>
      <c r="L27" s="9"/>
      <c r="M27" s="9"/>
      <c r="N27" s="9"/>
      <c r="O27" s="9"/>
      <c r="P27" s="9"/>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c r="BK27" s="138"/>
      <c r="BL27" s="138"/>
      <c r="BM27" s="138"/>
      <c r="BN27" s="138"/>
      <c r="BO27" s="138"/>
      <c r="BP27" s="138"/>
      <c r="BQ27" s="138"/>
      <c r="BR27" s="138"/>
      <c r="BS27" s="138"/>
      <c r="BT27" s="138"/>
      <c r="BU27" s="138"/>
      <c r="BV27" s="138"/>
      <c r="BW27" s="138"/>
      <c r="BX27" s="138"/>
    </row>
    <row r="28" spans="1:76" s="137" customFormat="1">
      <c r="B28" s="9"/>
      <c r="C28" s="9"/>
      <c r="D28" s="9"/>
      <c r="E28" s="9"/>
      <c r="F28" s="9"/>
      <c r="G28" s="9"/>
      <c r="H28" s="9"/>
      <c r="I28" s="9"/>
      <c r="J28" s="9"/>
      <c r="K28" s="9"/>
      <c r="L28" s="9"/>
      <c r="M28" s="9"/>
      <c r="N28" s="9"/>
      <c r="O28" s="9"/>
      <c r="P28" s="9"/>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row>
    <row r="29" spans="1:76" s="137" customFormat="1">
      <c r="B29" s="9"/>
      <c r="C29" s="9"/>
      <c r="D29" s="9"/>
      <c r="E29" s="9"/>
      <c r="F29" s="9"/>
      <c r="G29" s="9"/>
      <c r="H29" s="9"/>
      <c r="I29" s="9"/>
      <c r="J29" s="9"/>
      <c r="K29" s="9"/>
      <c r="L29" s="9"/>
      <c r="M29" s="9"/>
      <c r="N29" s="9"/>
      <c r="O29" s="9"/>
      <c r="P29" s="9"/>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c r="BK29" s="138"/>
      <c r="BL29" s="138"/>
      <c r="BM29" s="138"/>
      <c r="BN29" s="138"/>
      <c r="BO29" s="138"/>
      <c r="BP29" s="138"/>
      <c r="BQ29" s="138"/>
      <c r="BR29" s="138"/>
      <c r="BS29" s="138"/>
      <c r="BT29" s="138"/>
      <c r="BU29" s="138"/>
      <c r="BV29" s="138"/>
      <c r="BW29" s="138"/>
      <c r="BX29" s="138"/>
    </row>
    <row r="30" spans="1:76" s="137" customFormat="1">
      <c r="B30" s="9"/>
      <c r="C30" s="9"/>
      <c r="D30" s="9"/>
      <c r="E30" s="9"/>
      <c r="F30" s="9"/>
      <c r="G30" s="9"/>
      <c r="H30" s="9"/>
      <c r="I30" s="9"/>
      <c r="J30" s="9"/>
      <c r="K30" s="9"/>
      <c r="L30" s="9"/>
      <c r="M30" s="9"/>
      <c r="N30" s="9"/>
      <c r="O30" s="9"/>
      <c r="P30" s="9"/>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c r="BK30" s="138"/>
      <c r="BL30" s="138"/>
      <c r="BM30" s="138"/>
      <c r="BN30" s="138"/>
      <c r="BO30" s="138"/>
      <c r="BP30" s="138"/>
      <c r="BQ30" s="138"/>
      <c r="BR30" s="138"/>
      <c r="BS30" s="138"/>
      <c r="BT30" s="138"/>
      <c r="BU30" s="138"/>
      <c r="BV30" s="138"/>
      <c r="BW30" s="138"/>
      <c r="BX30" s="138"/>
    </row>
    <row r="31" spans="1:76" s="137" customFormat="1">
      <c r="B31" s="9"/>
      <c r="C31" s="9"/>
      <c r="D31" s="9"/>
      <c r="E31" s="9"/>
      <c r="F31" s="9"/>
      <c r="G31" s="9"/>
      <c r="H31" s="9"/>
      <c r="I31" s="9"/>
      <c r="J31" s="9"/>
      <c r="K31" s="9"/>
      <c r="L31" s="9"/>
      <c r="M31" s="9"/>
      <c r="N31" s="9"/>
      <c r="O31" s="9"/>
      <c r="P31" s="9"/>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c r="BK31" s="138"/>
      <c r="BL31" s="138"/>
      <c r="BM31" s="138"/>
      <c r="BN31" s="138"/>
      <c r="BO31" s="138"/>
      <c r="BP31" s="138"/>
      <c r="BQ31" s="138"/>
      <c r="BR31" s="138"/>
      <c r="BS31" s="138"/>
      <c r="BT31" s="138"/>
      <c r="BU31" s="138"/>
      <c r="BV31" s="138"/>
      <c r="BW31" s="138"/>
      <c r="BX31" s="138"/>
    </row>
    <row r="32" spans="1:76" s="137" customFormat="1">
      <c r="B32" s="9"/>
      <c r="C32" s="9"/>
      <c r="D32" s="9"/>
      <c r="E32" s="9"/>
      <c r="F32" s="9"/>
      <c r="G32" s="9"/>
      <c r="H32" s="9"/>
      <c r="I32" s="9"/>
      <c r="J32" s="9"/>
      <c r="K32" s="9"/>
      <c r="L32" s="9"/>
      <c r="M32" s="9"/>
      <c r="N32" s="9"/>
      <c r="O32" s="9"/>
      <c r="P32" s="9"/>
      <c r="R32" s="138"/>
      <c r="S32" s="138"/>
      <c r="T32" s="138"/>
      <c r="U32" s="138"/>
      <c r="V32" s="138"/>
      <c r="W32" s="138"/>
      <c r="X32" s="138"/>
      <c r="Y32" s="138"/>
      <c r="Z32" s="138"/>
      <c r="AA32" s="138"/>
      <c r="AB32" s="138"/>
      <c r="AC32" s="138"/>
      <c r="AD32" s="138"/>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c r="BK32" s="138"/>
      <c r="BL32" s="138"/>
      <c r="BM32" s="138"/>
      <c r="BN32" s="138"/>
      <c r="BO32" s="138"/>
      <c r="BP32" s="138"/>
      <c r="BQ32" s="138"/>
      <c r="BR32" s="138"/>
      <c r="BS32" s="138"/>
      <c r="BT32" s="138"/>
      <c r="BU32" s="138"/>
      <c r="BV32" s="138"/>
      <c r="BW32" s="138"/>
      <c r="BX32" s="138"/>
    </row>
    <row r="33" spans="2:76" s="137" customFormat="1">
      <c r="B33" s="9"/>
      <c r="C33" s="9"/>
      <c r="D33" s="9"/>
      <c r="E33" s="9"/>
      <c r="F33" s="9"/>
      <c r="G33" s="9"/>
      <c r="H33" s="9"/>
      <c r="I33" s="9"/>
      <c r="J33" s="9"/>
      <c r="K33" s="9"/>
      <c r="L33" s="9"/>
      <c r="M33" s="9"/>
      <c r="N33" s="9"/>
      <c r="O33" s="9"/>
      <c r="P33" s="9"/>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c r="BK33" s="138"/>
      <c r="BL33" s="138"/>
      <c r="BM33" s="138"/>
      <c r="BN33" s="138"/>
      <c r="BO33" s="138"/>
      <c r="BP33" s="138"/>
      <c r="BQ33" s="138"/>
      <c r="BR33" s="138"/>
      <c r="BS33" s="138"/>
      <c r="BT33" s="138"/>
      <c r="BU33" s="138"/>
      <c r="BV33" s="138"/>
      <c r="BW33" s="138"/>
      <c r="BX33" s="138"/>
    </row>
    <row r="34" spans="2:76" s="137" customFormat="1">
      <c r="B34" s="9"/>
      <c r="C34" s="9"/>
      <c r="D34" s="9"/>
      <c r="E34" s="9"/>
      <c r="F34" s="9"/>
      <c r="G34" s="9"/>
      <c r="H34" s="9"/>
      <c r="I34" s="9"/>
      <c r="J34" s="9"/>
      <c r="K34" s="9"/>
      <c r="L34" s="9"/>
      <c r="M34" s="9"/>
      <c r="N34" s="9"/>
      <c r="O34" s="9"/>
      <c r="P34" s="9"/>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c r="BT34" s="138"/>
      <c r="BU34" s="138"/>
      <c r="BV34" s="138"/>
      <c r="BW34" s="138"/>
      <c r="BX34" s="138"/>
    </row>
    <row r="35" spans="2:76" s="137" customFormat="1">
      <c r="B35" s="9"/>
      <c r="C35" s="9"/>
      <c r="D35" s="9"/>
      <c r="E35" s="9"/>
      <c r="F35" s="9"/>
      <c r="G35" s="9"/>
      <c r="H35" s="9"/>
      <c r="I35" s="9"/>
      <c r="J35" s="9"/>
      <c r="K35" s="9"/>
      <c r="L35" s="9"/>
      <c r="M35" s="9"/>
      <c r="N35" s="9"/>
      <c r="O35" s="9"/>
      <c r="P35" s="9"/>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c r="BS35" s="138"/>
      <c r="BT35" s="138"/>
      <c r="BU35" s="138"/>
      <c r="BV35" s="138"/>
      <c r="BW35" s="138"/>
      <c r="BX35" s="138"/>
    </row>
    <row r="36" spans="2:76" s="137" customFormat="1">
      <c r="B36" s="9"/>
      <c r="C36" s="9"/>
      <c r="D36" s="9"/>
      <c r="E36" s="9"/>
      <c r="F36" s="9"/>
      <c r="G36" s="9"/>
      <c r="H36" s="9"/>
      <c r="I36" s="9"/>
      <c r="J36" s="9"/>
      <c r="K36" s="9"/>
      <c r="L36" s="9"/>
      <c r="M36" s="9"/>
      <c r="N36" s="9"/>
      <c r="O36" s="9"/>
      <c r="P36" s="9"/>
      <c r="R36" s="138"/>
      <c r="S36" s="138"/>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c r="BR36" s="138"/>
      <c r="BS36" s="138"/>
      <c r="BT36" s="138"/>
      <c r="BU36" s="138"/>
      <c r="BV36" s="138"/>
      <c r="BW36" s="138"/>
      <c r="BX36" s="138"/>
    </row>
    <row r="37" spans="2:76" s="137" customFormat="1">
      <c r="B37" s="9"/>
      <c r="C37" s="9"/>
      <c r="D37" s="9"/>
      <c r="E37" s="9"/>
      <c r="F37" s="9"/>
      <c r="G37" s="9"/>
      <c r="H37" s="9"/>
      <c r="I37" s="9"/>
      <c r="J37" s="9"/>
      <c r="K37" s="9"/>
      <c r="L37" s="9"/>
      <c r="M37" s="9"/>
      <c r="N37" s="9"/>
      <c r="O37" s="9"/>
      <c r="P37" s="9"/>
      <c r="R37" s="138"/>
      <c r="S37" s="138"/>
      <c r="T37" s="138"/>
      <c r="U37" s="138"/>
      <c r="V37" s="138"/>
      <c r="W37" s="138"/>
      <c r="X37" s="138"/>
      <c r="Y37" s="138"/>
      <c r="Z37" s="138"/>
      <c r="AA37" s="138"/>
      <c r="AB37" s="138"/>
      <c r="AC37" s="138"/>
      <c r="AD37" s="138"/>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c r="BK37" s="138"/>
      <c r="BL37" s="138"/>
      <c r="BM37" s="138"/>
      <c r="BN37" s="138"/>
      <c r="BO37" s="138"/>
      <c r="BP37" s="138"/>
      <c r="BQ37" s="138"/>
      <c r="BR37" s="138"/>
      <c r="BS37" s="138"/>
      <c r="BT37" s="138"/>
      <c r="BU37" s="138"/>
      <c r="BV37" s="138"/>
      <c r="BW37" s="138"/>
      <c r="BX37" s="138"/>
    </row>
    <row r="38" spans="2:76" s="137" customFormat="1">
      <c r="B38" s="9"/>
      <c r="C38" s="9"/>
      <c r="D38" s="9"/>
      <c r="E38" s="9"/>
      <c r="F38" s="9"/>
      <c r="G38" s="9"/>
      <c r="H38" s="9"/>
      <c r="I38" s="9"/>
      <c r="J38" s="9"/>
      <c r="K38" s="9"/>
      <c r="L38" s="9"/>
      <c r="M38" s="9"/>
      <c r="N38" s="9"/>
      <c r="O38" s="9"/>
      <c r="P38" s="9"/>
      <c r="R38" s="138"/>
      <c r="S38" s="138"/>
      <c r="T38" s="138"/>
      <c r="U38" s="138"/>
      <c r="V38" s="138"/>
      <c r="W38" s="138"/>
      <c r="X38" s="138"/>
      <c r="Y38" s="138"/>
      <c r="Z38" s="138"/>
      <c r="AA38" s="138"/>
      <c r="AB38" s="138"/>
      <c r="AC38" s="138"/>
      <c r="AD38" s="138"/>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c r="BK38" s="138"/>
      <c r="BL38" s="138"/>
      <c r="BM38" s="138"/>
      <c r="BN38" s="138"/>
      <c r="BO38" s="138"/>
      <c r="BP38" s="138"/>
      <c r="BQ38" s="138"/>
      <c r="BR38" s="138"/>
      <c r="BS38" s="138"/>
      <c r="BT38" s="138"/>
      <c r="BU38" s="138"/>
      <c r="BV38" s="138"/>
      <c r="BW38" s="138"/>
      <c r="BX38" s="138"/>
    </row>
    <row r="39" spans="2:76" s="137" customFormat="1">
      <c r="B39" s="9"/>
      <c r="C39" s="9"/>
      <c r="D39" s="9"/>
      <c r="E39" s="9"/>
      <c r="F39" s="9"/>
      <c r="G39" s="9"/>
      <c r="H39" s="9"/>
      <c r="I39" s="9"/>
      <c r="J39" s="9"/>
      <c r="K39" s="9"/>
      <c r="L39" s="9"/>
      <c r="M39" s="9"/>
      <c r="N39" s="9"/>
      <c r="O39" s="9"/>
      <c r="P39" s="9"/>
      <c r="R39" s="138"/>
      <c r="S39" s="138"/>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c r="BK39" s="138"/>
      <c r="BL39" s="138"/>
      <c r="BM39" s="138"/>
      <c r="BN39" s="138"/>
      <c r="BO39" s="138"/>
      <c r="BP39" s="138"/>
      <c r="BQ39" s="138"/>
      <c r="BR39" s="138"/>
      <c r="BS39" s="138"/>
      <c r="BT39" s="138"/>
      <c r="BU39" s="138"/>
      <c r="BV39" s="138"/>
      <c r="BW39" s="138"/>
      <c r="BX39" s="138"/>
    </row>
    <row r="40" spans="2:76" s="137" customFormat="1">
      <c r="B40" s="9"/>
      <c r="C40" s="9"/>
      <c r="D40" s="9"/>
      <c r="E40" s="9"/>
      <c r="F40" s="9"/>
      <c r="G40" s="9"/>
      <c r="H40" s="9"/>
      <c r="I40" s="9"/>
      <c r="J40" s="9"/>
      <c r="K40" s="9"/>
      <c r="L40" s="9"/>
      <c r="M40" s="9"/>
      <c r="N40" s="9"/>
      <c r="O40" s="9"/>
      <c r="P40" s="9"/>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c r="BK40" s="138"/>
      <c r="BL40" s="138"/>
      <c r="BM40" s="138"/>
      <c r="BN40" s="138"/>
      <c r="BO40" s="138"/>
      <c r="BP40" s="138"/>
      <c r="BQ40" s="138"/>
      <c r="BR40" s="138"/>
      <c r="BS40" s="138"/>
      <c r="BT40" s="138"/>
      <c r="BU40" s="138"/>
      <c r="BV40" s="138"/>
      <c r="BW40" s="138"/>
      <c r="BX40" s="138"/>
    </row>
    <row r="41" spans="2:76" s="137" customFormat="1">
      <c r="B41" s="9"/>
      <c r="C41" s="9"/>
      <c r="D41" s="9"/>
      <c r="E41" s="9"/>
      <c r="F41" s="9"/>
      <c r="G41" s="9"/>
      <c r="H41" s="9"/>
      <c r="I41" s="9"/>
      <c r="J41" s="9"/>
      <c r="K41" s="9"/>
      <c r="L41" s="9"/>
      <c r="M41" s="9"/>
      <c r="N41" s="9"/>
      <c r="O41" s="9"/>
      <c r="P41" s="9"/>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c r="BT41" s="138"/>
      <c r="BU41" s="138"/>
      <c r="BV41" s="138"/>
      <c r="BW41" s="138"/>
      <c r="BX41" s="138"/>
    </row>
    <row r="42" spans="2:76" s="137" customFormat="1">
      <c r="B42" s="9"/>
      <c r="C42" s="9"/>
      <c r="D42" s="9"/>
      <c r="E42" s="9"/>
      <c r="F42" s="9"/>
      <c r="G42" s="9"/>
      <c r="H42" s="9"/>
      <c r="I42" s="9"/>
      <c r="J42" s="9"/>
      <c r="K42" s="9"/>
      <c r="L42" s="9"/>
      <c r="M42" s="9"/>
      <c r="N42" s="9"/>
      <c r="O42" s="9"/>
      <c r="P42" s="9"/>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c r="BR42" s="138"/>
      <c r="BS42" s="138"/>
      <c r="BT42" s="138"/>
      <c r="BU42" s="138"/>
      <c r="BV42" s="138"/>
      <c r="BW42" s="138"/>
      <c r="BX42" s="138"/>
    </row>
    <row r="43" spans="2:76" s="137" customFormat="1">
      <c r="B43" s="9"/>
      <c r="C43" s="9"/>
      <c r="D43" s="9"/>
      <c r="E43" s="9"/>
      <c r="F43" s="9"/>
      <c r="G43" s="9"/>
      <c r="H43" s="9"/>
      <c r="I43" s="9"/>
      <c r="J43" s="9"/>
      <c r="K43" s="9"/>
      <c r="L43" s="9"/>
      <c r="M43" s="9"/>
      <c r="N43" s="9"/>
      <c r="O43" s="9"/>
      <c r="P43" s="9"/>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c r="BR43" s="138"/>
      <c r="BS43" s="138"/>
      <c r="BT43" s="138"/>
      <c r="BU43" s="138"/>
      <c r="BV43" s="138"/>
      <c r="BW43" s="138"/>
      <c r="BX43" s="138"/>
    </row>
    <row r="44" spans="2:76" s="137" customFormat="1">
      <c r="B44" s="9"/>
      <c r="C44" s="9"/>
      <c r="D44" s="9"/>
      <c r="E44" s="9"/>
      <c r="F44" s="9"/>
      <c r="G44" s="9"/>
      <c r="H44" s="9"/>
      <c r="I44" s="9"/>
      <c r="J44" s="9"/>
      <c r="K44" s="9"/>
      <c r="L44" s="9"/>
      <c r="M44" s="9"/>
      <c r="N44" s="9"/>
      <c r="O44" s="9"/>
      <c r="P44" s="9"/>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c r="BK44" s="138"/>
      <c r="BL44" s="138"/>
      <c r="BM44" s="138"/>
      <c r="BN44" s="138"/>
      <c r="BO44" s="138"/>
      <c r="BP44" s="138"/>
      <c r="BQ44" s="138"/>
      <c r="BR44" s="138"/>
      <c r="BS44" s="138"/>
      <c r="BT44" s="138"/>
      <c r="BU44" s="138"/>
      <c r="BV44" s="138"/>
      <c r="BW44" s="138"/>
      <c r="BX44" s="138"/>
    </row>
    <row r="45" spans="2:76" s="137" customFormat="1">
      <c r="B45" s="9"/>
      <c r="C45" s="9"/>
      <c r="D45" s="9"/>
      <c r="E45" s="9"/>
      <c r="F45" s="9"/>
      <c r="G45" s="9"/>
      <c r="H45" s="9"/>
      <c r="I45" s="9"/>
      <c r="J45" s="9"/>
      <c r="K45" s="9"/>
      <c r="L45" s="9"/>
      <c r="M45" s="9"/>
      <c r="N45" s="9"/>
      <c r="O45" s="9"/>
      <c r="P45" s="9"/>
      <c r="R45" s="138"/>
      <c r="S45" s="138"/>
      <c r="T45" s="138"/>
      <c r="U45" s="138"/>
      <c r="V45" s="138"/>
      <c r="W45" s="138"/>
      <c r="X45" s="138"/>
      <c r="Y45" s="138"/>
      <c r="Z45" s="138"/>
      <c r="AA45" s="138"/>
      <c r="AB45" s="138"/>
      <c r="AC45" s="138"/>
      <c r="AD45" s="138"/>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c r="BK45" s="138"/>
      <c r="BL45" s="138"/>
      <c r="BM45" s="138"/>
      <c r="BN45" s="138"/>
      <c r="BO45" s="138"/>
      <c r="BP45" s="138"/>
      <c r="BQ45" s="138"/>
      <c r="BR45" s="138"/>
      <c r="BS45" s="138"/>
      <c r="BT45" s="138"/>
      <c r="BU45" s="138"/>
      <c r="BV45" s="138"/>
      <c r="BW45" s="138"/>
      <c r="BX45" s="138"/>
    </row>
    <row r="46" spans="2:76" s="137" customFormat="1">
      <c r="B46" s="9"/>
      <c r="C46" s="9"/>
      <c r="D46" s="9"/>
      <c r="E46" s="9"/>
      <c r="F46" s="9"/>
      <c r="G46" s="9"/>
      <c r="H46" s="9"/>
      <c r="I46" s="9"/>
      <c r="J46" s="9"/>
      <c r="K46" s="9"/>
      <c r="L46" s="9"/>
      <c r="M46" s="9"/>
      <c r="N46" s="9"/>
      <c r="O46" s="9"/>
      <c r="P46" s="9"/>
      <c r="R46" s="138"/>
      <c r="S46" s="138"/>
      <c r="T46" s="138"/>
      <c r="U46" s="138"/>
      <c r="V46" s="138"/>
      <c r="W46" s="138"/>
      <c r="X46" s="138"/>
      <c r="Y46" s="138"/>
      <c r="Z46" s="138"/>
      <c r="AA46" s="138"/>
      <c r="AB46" s="138"/>
      <c r="AC46" s="138"/>
      <c r="AD46" s="138"/>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c r="BK46" s="138"/>
      <c r="BL46" s="138"/>
      <c r="BM46" s="138"/>
      <c r="BN46" s="138"/>
      <c r="BO46" s="138"/>
      <c r="BP46" s="138"/>
      <c r="BQ46" s="138"/>
      <c r="BR46" s="138"/>
      <c r="BS46" s="138"/>
      <c r="BT46" s="138"/>
      <c r="BU46" s="138"/>
      <c r="BV46" s="138"/>
      <c r="BW46" s="138"/>
      <c r="BX46" s="138"/>
    </row>
    <row r="47" spans="2:76" s="137" customFormat="1">
      <c r="B47" s="9"/>
      <c r="C47" s="9"/>
      <c r="D47" s="9"/>
      <c r="E47" s="9"/>
      <c r="F47" s="9"/>
      <c r="G47" s="9"/>
      <c r="H47" s="9"/>
      <c r="I47" s="9"/>
      <c r="J47" s="9"/>
      <c r="K47" s="9"/>
      <c r="L47" s="9"/>
      <c r="M47" s="9"/>
      <c r="N47" s="9"/>
      <c r="O47" s="9"/>
      <c r="P47" s="9"/>
      <c r="R47" s="138"/>
      <c r="S47" s="138"/>
      <c r="T47" s="138"/>
      <c r="U47" s="138"/>
      <c r="V47" s="138"/>
      <c r="W47" s="138"/>
      <c r="X47" s="138"/>
      <c r="Y47" s="138"/>
      <c r="Z47" s="138"/>
      <c r="AA47" s="138"/>
      <c r="AB47" s="138"/>
      <c r="AC47" s="138"/>
      <c r="AD47" s="138"/>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c r="BK47" s="138"/>
      <c r="BL47" s="138"/>
      <c r="BM47" s="138"/>
      <c r="BN47" s="138"/>
      <c r="BO47" s="138"/>
      <c r="BP47" s="138"/>
      <c r="BQ47" s="138"/>
      <c r="BR47" s="138"/>
      <c r="BS47" s="138"/>
      <c r="BT47" s="138"/>
      <c r="BU47" s="138"/>
      <c r="BV47" s="138"/>
      <c r="BW47" s="138"/>
      <c r="BX47" s="138"/>
    </row>
    <row r="48" spans="2:76" s="137" customFormat="1">
      <c r="B48" s="9"/>
      <c r="C48" s="9"/>
      <c r="D48" s="9"/>
      <c r="E48" s="9"/>
      <c r="F48" s="9"/>
      <c r="G48" s="9"/>
      <c r="H48" s="9"/>
      <c r="I48" s="9"/>
      <c r="J48" s="9"/>
      <c r="K48" s="9"/>
      <c r="L48" s="9"/>
      <c r="M48" s="9"/>
      <c r="N48" s="9"/>
      <c r="O48" s="9"/>
      <c r="P48" s="9"/>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c r="BR48" s="138"/>
      <c r="BS48" s="138"/>
      <c r="BT48" s="138"/>
      <c r="BU48" s="138"/>
      <c r="BV48" s="138"/>
      <c r="BW48" s="138"/>
      <c r="BX48" s="138"/>
    </row>
    <row r="49" spans="2:76" s="137" customFormat="1">
      <c r="B49" s="9"/>
      <c r="C49" s="9"/>
      <c r="D49" s="9"/>
      <c r="E49" s="9"/>
      <c r="F49" s="9"/>
      <c r="G49" s="9"/>
      <c r="H49" s="9"/>
      <c r="I49" s="9"/>
      <c r="J49" s="9"/>
      <c r="K49" s="9"/>
      <c r="L49" s="9"/>
      <c r="M49" s="9"/>
      <c r="N49" s="9"/>
      <c r="O49" s="9"/>
      <c r="P49" s="9"/>
      <c r="R49" s="138"/>
      <c r="S49" s="138"/>
      <c r="T49" s="138"/>
      <c r="U49" s="138"/>
      <c r="V49" s="138"/>
      <c r="W49" s="138"/>
      <c r="X49" s="138"/>
      <c r="Y49" s="138"/>
      <c r="Z49" s="138"/>
      <c r="AA49" s="138"/>
      <c r="AB49" s="138"/>
      <c r="AC49" s="138"/>
      <c r="AD49" s="138"/>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c r="BK49" s="138"/>
      <c r="BL49" s="138"/>
      <c r="BM49" s="138"/>
      <c r="BN49" s="138"/>
      <c r="BO49" s="138"/>
      <c r="BP49" s="138"/>
      <c r="BQ49" s="138"/>
      <c r="BR49" s="138"/>
      <c r="BS49" s="138"/>
      <c r="BT49" s="138"/>
      <c r="BU49" s="138"/>
      <c r="BV49" s="138"/>
      <c r="BW49" s="138"/>
      <c r="BX49" s="138"/>
    </row>
    <row r="50" spans="2:76" s="137" customFormat="1">
      <c r="B50" s="9"/>
      <c r="C50" s="9"/>
      <c r="D50" s="9"/>
      <c r="E50" s="9"/>
      <c r="F50" s="9"/>
      <c r="G50" s="9"/>
      <c r="H50" s="9"/>
      <c r="I50" s="9"/>
      <c r="J50" s="9"/>
      <c r="K50" s="9"/>
      <c r="L50" s="9"/>
      <c r="M50" s="9"/>
      <c r="N50" s="9"/>
      <c r="O50" s="9"/>
      <c r="P50" s="9"/>
      <c r="R50" s="138"/>
      <c r="S50" s="138"/>
      <c r="T50" s="138"/>
      <c r="U50" s="138"/>
      <c r="V50" s="138"/>
      <c r="W50" s="138"/>
      <c r="X50" s="138"/>
      <c r="Y50" s="138"/>
      <c r="Z50" s="138"/>
      <c r="AA50" s="138"/>
      <c r="AB50" s="138"/>
      <c r="AC50" s="138"/>
      <c r="AD50" s="138"/>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c r="BK50" s="138"/>
      <c r="BL50" s="138"/>
      <c r="BM50" s="138"/>
      <c r="BN50" s="138"/>
      <c r="BO50" s="138"/>
      <c r="BP50" s="138"/>
      <c r="BQ50" s="138"/>
      <c r="BR50" s="138"/>
      <c r="BS50" s="138"/>
      <c r="BT50" s="138"/>
      <c r="BU50" s="138"/>
      <c r="BV50" s="138"/>
      <c r="BW50" s="138"/>
      <c r="BX50" s="138"/>
    </row>
    <row r="51" spans="2:76" s="137" customFormat="1">
      <c r="B51" s="9"/>
      <c r="C51" s="9"/>
      <c r="D51" s="9"/>
      <c r="E51" s="9"/>
      <c r="F51" s="9"/>
      <c r="G51" s="9"/>
      <c r="H51" s="9"/>
      <c r="I51" s="9"/>
      <c r="J51" s="9"/>
      <c r="K51" s="9"/>
      <c r="L51" s="9"/>
      <c r="M51" s="9"/>
      <c r="N51" s="9"/>
      <c r="O51" s="9"/>
      <c r="P51" s="9"/>
      <c r="R51" s="138"/>
      <c r="S51" s="138"/>
      <c r="T51" s="138"/>
      <c r="U51" s="138"/>
      <c r="V51" s="138"/>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c r="BK51" s="138"/>
      <c r="BL51" s="138"/>
      <c r="BM51" s="138"/>
      <c r="BN51" s="138"/>
      <c r="BO51" s="138"/>
      <c r="BP51" s="138"/>
      <c r="BQ51" s="138"/>
      <c r="BR51" s="138"/>
      <c r="BS51" s="138"/>
      <c r="BT51" s="138"/>
      <c r="BU51" s="138"/>
      <c r="BV51" s="138"/>
      <c r="BW51" s="138"/>
      <c r="BX51" s="138"/>
    </row>
    <row r="52" spans="2:76" s="137" customFormat="1">
      <c r="B52" s="9"/>
      <c r="C52" s="9"/>
      <c r="D52" s="9"/>
      <c r="E52" s="9"/>
      <c r="F52" s="9"/>
      <c r="G52" s="9"/>
      <c r="H52" s="9"/>
      <c r="I52" s="9"/>
      <c r="J52" s="9"/>
      <c r="K52" s="9"/>
      <c r="L52" s="9"/>
      <c r="M52" s="9"/>
      <c r="N52" s="9"/>
      <c r="O52" s="9"/>
      <c r="P52" s="9"/>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c r="BK52" s="138"/>
      <c r="BL52" s="138"/>
      <c r="BM52" s="138"/>
      <c r="BN52" s="138"/>
      <c r="BO52" s="138"/>
      <c r="BP52" s="138"/>
      <c r="BQ52" s="138"/>
      <c r="BR52" s="138"/>
      <c r="BS52" s="138"/>
      <c r="BT52" s="138"/>
      <c r="BU52" s="138"/>
      <c r="BV52" s="138"/>
      <c r="BW52" s="138"/>
      <c r="BX52" s="138"/>
    </row>
    <row r="53" spans="2:76" s="137" customFormat="1">
      <c r="B53" s="9"/>
      <c r="C53" s="9"/>
      <c r="D53" s="9"/>
      <c r="E53" s="9"/>
      <c r="F53" s="9"/>
      <c r="G53" s="9"/>
      <c r="H53" s="9"/>
      <c r="I53" s="9"/>
      <c r="J53" s="9"/>
      <c r="K53" s="9"/>
      <c r="L53" s="9"/>
      <c r="M53" s="9"/>
      <c r="N53" s="9"/>
      <c r="O53" s="9"/>
      <c r="P53" s="9"/>
      <c r="R53" s="138"/>
      <c r="S53" s="138"/>
      <c r="T53" s="138"/>
      <c r="U53" s="138"/>
      <c r="V53" s="138"/>
      <c r="W53" s="138"/>
      <c r="X53" s="138"/>
      <c r="Y53" s="138"/>
      <c r="Z53" s="138"/>
      <c r="AA53" s="138"/>
      <c r="AB53" s="138"/>
      <c r="AC53" s="138"/>
      <c r="AD53" s="138"/>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c r="BK53" s="138"/>
      <c r="BL53" s="138"/>
      <c r="BM53" s="138"/>
      <c r="BN53" s="138"/>
      <c r="BO53" s="138"/>
      <c r="BP53" s="138"/>
      <c r="BQ53" s="138"/>
      <c r="BR53" s="138"/>
      <c r="BS53" s="138"/>
      <c r="BT53" s="138"/>
      <c r="BU53" s="138"/>
      <c r="BV53" s="138"/>
      <c r="BW53" s="138"/>
      <c r="BX53" s="138"/>
    </row>
    <row r="54" spans="2:76" s="137" customFormat="1">
      <c r="B54" s="9"/>
      <c r="C54" s="9"/>
      <c r="D54" s="9"/>
      <c r="E54" s="9"/>
      <c r="F54" s="9"/>
      <c r="G54" s="9"/>
      <c r="H54" s="9"/>
      <c r="I54" s="9"/>
      <c r="J54" s="9"/>
      <c r="K54" s="9"/>
      <c r="L54" s="9"/>
      <c r="M54" s="9"/>
      <c r="N54" s="9"/>
      <c r="O54" s="9"/>
      <c r="P54" s="9"/>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c r="BR54" s="138"/>
      <c r="BS54" s="138"/>
      <c r="BT54" s="138"/>
      <c r="BU54" s="138"/>
      <c r="BV54" s="138"/>
      <c r="BW54" s="138"/>
      <c r="BX54" s="138"/>
    </row>
    <row r="55" spans="2:76" s="137" customFormat="1">
      <c r="B55" s="9"/>
      <c r="C55" s="9"/>
      <c r="D55" s="9"/>
      <c r="E55" s="9"/>
      <c r="F55" s="9"/>
      <c r="G55" s="9"/>
      <c r="H55" s="9"/>
      <c r="I55" s="9"/>
      <c r="J55" s="9"/>
      <c r="K55" s="9"/>
      <c r="L55" s="9"/>
      <c r="M55" s="9"/>
      <c r="N55" s="9"/>
      <c r="O55" s="9"/>
      <c r="P55" s="9"/>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c r="BK55" s="138"/>
      <c r="BL55" s="138"/>
      <c r="BM55" s="138"/>
      <c r="BN55" s="138"/>
      <c r="BO55" s="138"/>
      <c r="BP55" s="138"/>
      <c r="BQ55" s="138"/>
      <c r="BR55" s="138"/>
      <c r="BS55" s="138"/>
      <c r="BT55" s="138"/>
      <c r="BU55" s="138"/>
      <c r="BV55" s="138"/>
      <c r="BW55" s="138"/>
      <c r="BX55" s="138"/>
    </row>
    <row r="56" spans="2:76" s="137" customFormat="1">
      <c r="B56" s="9"/>
      <c r="C56" s="9"/>
      <c r="D56" s="9"/>
      <c r="E56" s="9"/>
      <c r="F56" s="9"/>
      <c r="G56" s="9"/>
      <c r="H56" s="9"/>
      <c r="I56" s="9"/>
      <c r="J56" s="9"/>
      <c r="K56" s="9"/>
      <c r="L56" s="9"/>
      <c r="M56" s="9"/>
      <c r="N56" s="9"/>
      <c r="O56" s="9"/>
      <c r="P56" s="9"/>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c r="BK56" s="138"/>
      <c r="BL56" s="138"/>
      <c r="BM56" s="138"/>
      <c r="BN56" s="138"/>
      <c r="BO56" s="138"/>
      <c r="BP56" s="138"/>
      <c r="BQ56" s="138"/>
      <c r="BR56" s="138"/>
      <c r="BS56" s="138"/>
      <c r="BT56" s="138"/>
      <c r="BU56" s="138"/>
      <c r="BV56" s="138"/>
      <c r="BW56" s="138"/>
      <c r="BX56" s="138"/>
    </row>
    <row r="57" spans="2:76" s="137" customFormat="1">
      <c r="B57" s="9"/>
      <c r="C57" s="9"/>
      <c r="D57" s="9"/>
      <c r="E57" s="9"/>
      <c r="F57" s="9"/>
      <c r="G57" s="9"/>
      <c r="H57" s="9"/>
      <c r="I57" s="9"/>
      <c r="J57" s="9"/>
      <c r="K57" s="9"/>
      <c r="L57" s="9"/>
      <c r="M57" s="9"/>
      <c r="N57" s="9"/>
      <c r="O57" s="9"/>
      <c r="P57" s="9"/>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c r="BK57" s="138"/>
      <c r="BL57" s="138"/>
      <c r="BM57" s="138"/>
      <c r="BN57" s="138"/>
      <c r="BO57" s="138"/>
      <c r="BP57" s="138"/>
      <c r="BQ57" s="138"/>
      <c r="BR57" s="138"/>
      <c r="BS57" s="138"/>
      <c r="BT57" s="138"/>
      <c r="BU57" s="138"/>
      <c r="BV57" s="138"/>
      <c r="BW57" s="138"/>
      <c r="BX57" s="138"/>
    </row>
    <row r="58" spans="2:76" s="137" customFormat="1">
      <c r="B58" s="9"/>
      <c r="C58" s="9"/>
      <c r="D58" s="9"/>
      <c r="E58" s="9"/>
      <c r="F58" s="9"/>
      <c r="G58" s="9"/>
      <c r="H58" s="9"/>
      <c r="I58" s="9"/>
      <c r="J58" s="9"/>
      <c r="K58" s="9"/>
      <c r="L58" s="9"/>
      <c r="M58" s="9"/>
      <c r="N58" s="9"/>
      <c r="O58" s="9"/>
      <c r="P58" s="9"/>
      <c r="R58" s="138"/>
      <c r="S58" s="138"/>
      <c r="T58" s="138"/>
      <c r="U58" s="138"/>
      <c r="V58" s="138"/>
      <c r="W58" s="138"/>
      <c r="X58" s="138"/>
      <c r="Y58" s="138"/>
      <c r="Z58" s="138"/>
      <c r="AA58" s="138"/>
      <c r="AB58" s="138"/>
      <c r="AC58" s="138"/>
      <c r="AD58" s="138"/>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c r="BK58" s="138"/>
      <c r="BL58" s="138"/>
      <c r="BM58" s="138"/>
      <c r="BN58" s="138"/>
      <c r="BO58" s="138"/>
      <c r="BP58" s="138"/>
      <c r="BQ58" s="138"/>
      <c r="BR58" s="138"/>
      <c r="BS58" s="138"/>
      <c r="BT58" s="138"/>
      <c r="BU58" s="138"/>
      <c r="BV58" s="138"/>
      <c r="BW58" s="138"/>
      <c r="BX58" s="138"/>
    </row>
    <row r="59" spans="2:76" s="137" customFormat="1">
      <c r="B59" s="9"/>
      <c r="C59" s="9"/>
      <c r="D59" s="9"/>
      <c r="E59" s="9"/>
      <c r="F59" s="9"/>
      <c r="G59" s="9"/>
      <c r="H59" s="9"/>
      <c r="I59" s="9"/>
      <c r="J59" s="9"/>
      <c r="K59" s="9"/>
      <c r="L59" s="9"/>
      <c r="M59" s="9"/>
      <c r="N59" s="9"/>
      <c r="O59" s="9"/>
      <c r="P59" s="9"/>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c r="BK59" s="138"/>
      <c r="BL59" s="138"/>
      <c r="BM59" s="138"/>
      <c r="BN59" s="138"/>
      <c r="BO59" s="138"/>
      <c r="BP59" s="138"/>
      <c r="BQ59" s="138"/>
      <c r="BR59" s="138"/>
      <c r="BS59" s="138"/>
      <c r="BT59" s="138"/>
      <c r="BU59" s="138"/>
      <c r="BV59" s="138"/>
      <c r="BW59" s="138"/>
      <c r="BX59" s="138"/>
    </row>
    <row r="60" spans="2:76" s="137" customFormat="1">
      <c r="B60" s="9"/>
      <c r="C60" s="9"/>
      <c r="D60" s="9"/>
      <c r="E60" s="9"/>
      <c r="F60" s="9"/>
      <c r="G60" s="9"/>
      <c r="H60" s="9"/>
      <c r="I60" s="9"/>
      <c r="J60" s="9"/>
      <c r="K60" s="9"/>
      <c r="L60" s="9"/>
      <c r="M60" s="9"/>
      <c r="N60" s="9"/>
      <c r="O60" s="9"/>
      <c r="P60" s="9"/>
      <c r="R60" s="138"/>
      <c r="S60" s="138"/>
      <c r="T60" s="138"/>
      <c r="U60" s="138"/>
      <c r="V60" s="138"/>
      <c r="W60" s="138"/>
      <c r="X60" s="138"/>
      <c r="Y60" s="138"/>
      <c r="Z60" s="138"/>
      <c r="AA60" s="138"/>
      <c r="AB60" s="138"/>
      <c r="AC60" s="138"/>
      <c r="AD60" s="138"/>
      <c r="AE60" s="138"/>
      <c r="AF60" s="138"/>
      <c r="AG60" s="138"/>
      <c r="AH60" s="138"/>
      <c r="AI60" s="138"/>
      <c r="AJ60" s="138"/>
      <c r="AK60" s="138"/>
      <c r="AL60" s="138"/>
      <c r="AM60" s="138"/>
      <c r="AN60" s="138"/>
      <c r="AO60" s="138"/>
      <c r="AP60" s="138"/>
      <c r="AQ60" s="138"/>
      <c r="AR60" s="138"/>
      <c r="AS60" s="138"/>
      <c r="AT60" s="138"/>
      <c r="AU60" s="138"/>
      <c r="AV60" s="138"/>
      <c r="AW60" s="138"/>
      <c r="AX60" s="138"/>
      <c r="AY60" s="138"/>
      <c r="AZ60" s="138"/>
      <c r="BA60" s="138"/>
      <c r="BB60" s="138"/>
      <c r="BC60" s="138"/>
      <c r="BD60" s="138"/>
      <c r="BE60" s="138"/>
      <c r="BF60" s="138"/>
      <c r="BG60" s="138"/>
      <c r="BH60" s="138"/>
      <c r="BI60" s="138"/>
      <c r="BJ60" s="138"/>
      <c r="BK60" s="138"/>
      <c r="BL60" s="138"/>
      <c r="BM60" s="138"/>
      <c r="BN60" s="138"/>
      <c r="BO60" s="138"/>
      <c r="BP60" s="138"/>
      <c r="BQ60" s="138"/>
      <c r="BR60" s="138"/>
      <c r="BS60" s="138"/>
      <c r="BT60" s="138"/>
      <c r="BU60" s="138"/>
      <c r="BV60" s="138"/>
      <c r="BW60" s="138"/>
      <c r="BX60" s="138"/>
    </row>
    <row r="61" spans="2:76" s="137" customFormat="1">
      <c r="B61" s="9"/>
      <c r="C61" s="9"/>
      <c r="D61" s="9"/>
      <c r="E61" s="9"/>
      <c r="F61" s="9"/>
      <c r="G61" s="9"/>
      <c r="H61" s="9"/>
      <c r="I61" s="9"/>
      <c r="J61" s="9"/>
      <c r="K61" s="9"/>
      <c r="L61" s="9"/>
      <c r="M61" s="9"/>
      <c r="N61" s="9"/>
      <c r="O61" s="9"/>
      <c r="P61" s="9"/>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38"/>
      <c r="BK61" s="138"/>
      <c r="BL61" s="138"/>
      <c r="BM61" s="138"/>
      <c r="BN61" s="138"/>
      <c r="BO61" s="138"/>
      <c r="BP61" s="138"/>
      <c r="BQ61" s="138"/>
      <c r="BR61" s="138"/>
      <c r="BS61" s="138"/>
      <c r="BT61" s="138"/>
      <c r="BU61" s="138"/>
      <c r="BV61" s="138"/>
      <c r="BW61" s="138"/>
      <c r="BX61" s="138"/>
    </row>
    <row r="62" spans="2:76" s="137" customFormat="1">
      <c r="B62" s="9"/>
      <c r="C62" s="9"/>
      <c r="D62" s="9"/>
      <c r="E62" s="9"/>
      <c r="F62" s="9"/>
      <c r="G62" s="9"/>
      <c r="H62" s="9"/>
      <c r="I62" s="9"/>
      <c r="J62" s="9"/>
      <c r="K62" s="9"/>
      <c r="L62" s="9"/>
      <c r="M62" s="9"/>
      <c r="N62" s="9"/>
      <c r="O62" s="9"/>
      <c r="P62" s="9"/>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c r="AW62" s="138"/>
      <c r="AX62" s="138"/>
      <c r="AY62" s="138"/>
      <c r="AZ62" s="138"/>
      <c r="BA62" s="138"/>
      <c r="BB62" s="138"/>
      <c r="BC62" s="138"/>
      <c r="BD62" s="138"/>
      <c r="BE62" s="138"/>
      <c r="BF62" s="138"/>
      <c r="BG62" s="138"/>
      <c r="BH62" s="138"/>
      <c r="BI62" s="138"/>
      <c r="BJ62" s="138"/>
      <c r="BK62" s="138"/>
      <c r="BL62" s="138"/>
      <c r="BM62" s="138"/>
      <c r="BN62" s="138"/>
      <c r="BO62" s="138"/>
      <c r="BP62" s="138"/>
      <c r="BQ62" s="138"/>
      <c r="BR62" s="138"/>
      <c r="BS62" s="138"/>
      <c r="BT62" s="138"/>
      <c r="BU62" s="138"/>
      <c r="BV62" s="138"/>
      <c r="BW62" s="138"/>
      <c r="BX62" s="138"/>
    </row>
    <row r="63" spans="2:76" s="137" customFormat="1">
      <c r="B63" s="9"/>
      <c r="C63" s="9"/>
      <c r="D63" s="9"/>
      <c r="E63" s="9"/>
      <c r="F63" s="9"/>
      <c r="G63" s="9"/>
      <c r="H63" s="9"/>
      <c r="I63" s="9"/>
      <c r="J63" s="9"/>
      <c r="K63" s="9"/>
      <c r="L63" s="9"/>
      <c r="M63" s="9"/>
      <c r="N63" s="9"/>
      <c r="O63" s="9"/>
      <c r="P63" s="9"/>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c r="AW63" s="138"/>
      <c r="AX63" s="138"/>
      <c r="AY63" s="138"/>
      <c r="AZ63" s="138"/>
      <c r="BA63" s="138"/>
      <c r="BB63" s="138"/>
      <c r="BC63" s="138"/>
      <c r="BD63" s="138"/>
      <c r="BE63" s="138"/>
      <c r="BF63" s="138"/>
      <c r="BG63" s="138"/>
      <c r="BH63" s="138"/>
      <c r="BI63" s="138"/>
      <c r="BJ63" s="138"/>
      <c r="BK63" s="138"/>
      <c r="BL63" s="138"/>
      <c r="BM63" s="138"/>
      <c r="BN63" s="138"/>
      <c r="BO63" s="138"/>
      <c r="BP63" s="138"/>
      <c r="BQ63" s="138"/>
      <c r="BR63" s="138"/>
      <c r="BS63" s="138"/>
      <c r="BT63" s="138"/>
      <c r="BU63" s="138"/>
      <c r="BV63" s="138"/>
      <c r="BW63" s="138"/>
      <c r="BX63" s="138"/>
    </row>
    <row r="64" spans="2:76" s="137" customFormat="1">
      <c r="B64" s="9"/>
      <c r="C64" s="9"/>
      <c r="D64" s="9"/>
      <c r="E64" s="9"/>
      <c r="F64" s="9"/>
      <c r="G64" s="9"/>
      <c r="H64" s="9"/>
      <c r="I64" s="9"/>
      <c r="J64" s="9"/>
      <c r="K64" s="9"/>
      <c r="L64" s="9"/>
      <c r="M64" s="9"/>
      <c r="N64" s="9"/>
      <c r="O64" s="9"/>
      <c r="P64" s="9"/>
      <c r="R64" s="138"/>
      <c r="S64" s="138"/>
      <c r="T64" s="138"/>
      <c r="U64" s="138"/>
      <c r="V64" s="138"/>
      <c r="W64" s="138"/>
      <c r="X64" s="138"/>
      <c r="Y64" s="138"/>
      <c r="Z64" s="138"/>
      <c r="AA64" s="138"/>
      <c r="AB64" s="138"/>
      <c r="AC64" s="138"/>
      <c r="AD64" s="138"/>
      <c r="AE64" s="138"/>
      <c r="AF64" s="138"/>
      <c r="AG64" s="138"/>
      <c r="AH64" s="138"/>
      <c r="AI64" s="138"/>
      <c r="AJ64" s="138"/>
      <c r="AK64" s="138"/>
      <c r="AL64" s="138"/>
      <c r="AM64" s="138"/>
      <c r="AN64" s="138"/>
      <c r="AO64" s="138"/>
      <c r="AP64" s="138"/>
      <c r="AQ64" s="138"/>
      <c r="AR64" s="138"/>
      <c r="AS64" s="138"/>
      <c r="AT64" s="138"/>
      <c r="AU64" s="138"/>
      <c r="AV64" s="138"/>
      <c r="AW64" s="138"/>
      <c r="AX64" s="138"/>
      <c r="AY64" s="138"/>
      <c r="AZ64" s="138"/>
      <c r="BA64" s="138"/>
      <c r="BB64" s="138"/>
      <c r="BC64" s="138"/>
      <c r="BD64" s="138"/>
      <c r="BE64" s="138"/>
      <c r="BF64" s="138"/>
      <c r="BG64" s="138"/>
      <c r="BH64" s="138"/>
      <c r="BI64" s="138"/>
      <c r="BJ64" s="138"/>
      <c r="BK64" s="138"/>
      <c r="BL64" s="138"/>
      <c r="BM64" s="138"/>
      <c r="BN64" s="138"/>
      <c r="BO64" s="138"/>
      <c r="BP64" s="138"/>
      <c r="BQ64" s="138"/>
      <c r="BR64" s="138"/>
      <c r="BS64" s="138"/>
      <c r="BT64" s="138"/>
      <c r="BU64" s="138"/>
      <c r="BV64" s="138"/>
      <c r="BW64" s="138"/>
      <c r="BX64" s="138"/>
    </row>
    <row r="65" spans="2:76" s="137" customFormat="1">
      <c r="B65" s="9"/>
      <c r="C65" s="9"/>
      <c r="D65" s="9"/>
      <c r="E65" s="9"/>
      <c r="F65" s="9"/>
      <c r="G65" s="9"/>
      <c r="H65" s="9"/>
      <c r="I65" s="9"/>
      <c r="J65" s="9"/>
      <c r="K65" s="9"/>
      <c r="L65" s="9"/>
      <c r="M65" s="9"/>
      <c r="N65" s="9"/>
      <c r="O65" s="9"/>
      <c r="P65" s="9"/>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c r="AW65" s="138"/>
      <c r="AX65" s="138"/>
      <c r="AY65" s="138"/>
      <c r="AZ65" s="138"/>
      <c r="BA65" s="138"/>
      <c r="BB65" s="138"/>
      <c r="BC65" s="138"/>
      <c r="BD65" s="138"/>
      <c r="BE65" s="138"/>
      <c r="BF65" s="138"/>
      <c r="BG65" s="138"/>
      <c r="BH65" s="138"/>
      <c r="BI65" s="138"/>
      <c r="BJ65" s="138"/>
      <c r="BK65" s="138"/>
      <c r="BL65" s="138"/>
      <c r="BM65" s="138"/>
      <c r="BN65" s="138"/>
      <c r="BO65" s="138"/>
      <c r="BP65" s="138"/>
      <c r="BQ65" s="138"/>
      <c r="BR65" s="138"/>
      <c r="BS65" s="138"/>
      <c r="BT65" s="138"/>
      <c r="BU65" s="138"/>
      <c r="BV65" s="138"/>
      <c r="BW65" s="138"/>
      <c r="BX65" s="138"/>
    </row>
    <row r="66" spans="2:76" s="137" customFormat="1">
      <c r="B66" s="9"/>
      <c r="C66" s="9"/>
      <c r="D66" s="9"/>
      <c r="E66" s="9"/>
      <c r="F66" s="9"/>
      <c r="G66" s="9"/>
      <c r="H66" s="9"/>
      <c r="I66" s="9"/>
      <c r="J66" s="9"/>
      <c r="K66" s="9"/>
      <c r="L66" s="9"/>
      <c r="M66" s="9"/>
      <c r="N66" s="9"/>
      <c r="O66" s="9"/>
      <c r="P66" s="9"/>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c r="AW66" s="138"/>
      <c r="AX66" s="138"/>
      <c r="AY66" s="138"/>
      <c r="AZ66" s="138"/>
      <c r="BA66" s="138"/>
      <c r="BB66" s="138"/>
      <c r="BC66" s="138"/>
      <c r="BD66" s="138"/>
      <c r="BE66" s="138"/>
      <c r="BF66" s="138"/>
      <c r="BG66" s="138"/>
      <c r="BH66" s="138"/>
      <c r="BI66" s="138"/>
      <c r="BJ66" s="138"/>
      <c r="BK66" s="138"/>
      <c r="BL66" s="138"/>
      <c r="BM66" s="138"/>
      <c r="BN66" s="138"/>
      <c r="BO66" s="138"/>
      <c r="BP66" s="138"/>
      <c r="BQ66" s="138"/>
      <c r="BR66" s="138"/>
      <c r="BS66" s="138"/>
      <c r="BT66" s="138"/>
      <c r="BU66" s="138"/>
      <c r="BV66" s="138"/>
      <c r="BW66" s="138"/>
      <c r="BX66" s="138"/>
    </row>
    <row r="67" spans="2:76" s="137" customFormat="1">
      <c r="B67" s="9"/>
      <c r="C67" s="9"/>
      <c r="D67" s="9"/>
      <c r="E67" s="9"/>
      <c r="F67" s="9"/>
      <c r="G67" s="9"/>
      <c r="H67" s="9"/>
      <c r="I67" s="9"/>
      <c r="J67" s="9"/>
      <c r="K67" s="9"/>
      <c r="L67" s="9"/>
      <c r="M67" s="9"/>
      <c r="N67" s="9"/>
      <c r="O67" s="9"/>
      <c r="P67" s="9"/>
      <c r="R67" s="138"/>
      <c r="S67" s="138"/>
      <c r="T67" s="138"/>
      <c r="U67" s="138"/>
      <c r="V67" s="138"/>
      <c r="W67" s="138"/>
      <c r="X67" s="138"/>
      <c r="Y67" s="138"/>
      <c r="Z67" s="138"/>
      <c r="AA67" s="138"/>
      <c r="AB67" s="138"/>
      <c r="AC67" s="138"/>
      <c r="AD67" s="138"/>
      <c r="AE67" s="138"/>
      <c r="AF67" s="138"/>
      <c r="AG67" s="138"/>
      <c r="AH67" s="138"/>
      <c r="AI67" s="138"/>
      <c r="AJ67" s="138"/>
      <c r="AK67" s="138"/>
      <c r="AL67" s="138"/>
      <c r="AM67" s="138"/>
      <c r="AN67" s="138"/>
      <c r="AO67" s="138"/>
      <c r="AP67" s="138"/>
      <c r="AQ67" s="138"/>
      <c r="AR67" s="138"/>
      <c r="AS67" s="138"/>
      <c r="AT67" s="138"/>
      <c r="AU67" s="138"/>
      <c r="AV67" s="138"/>
      <c r="AW67" s="138"/>
      <c r="AX67" s="138"/>
      <c r="AY67" s="138"/>
      <c r="AZ67" s="138"/>
      <c r="BA67" s="138"/>
      <c r="BB67" s="138"/>
      <c r="BC67" s="138"/>
      <c r="BD67" s="138"/>
      <c r="BE67" s="138"/>
      <c r="BF67" s="138"/>
      <c r="BG67" s="138"/>
      <c r="BH67" s="138"/>
      <c r="BI67" s="138"/>
      <c r="BJ67" s="138"/>
      <c r="BK67" s="138"/>
      <c r="BL67" s="138"/>
      <c r="BM67" s="138"/>
      <c r="BN67" s="138"/>
      <c r="BO67" s="138"/>
      <c r="BP67" s="138"/>
      <c r="BQ67" s="138"/>
      <c r="BR67" s="138"/>
      <c r="BS67" s="138"/>
      <c r="BT67" s="138"/>
      <c r="BU67" s="138"/>
      <c r="BV67" s="138"/>
      <c r="BW67" s="138"/>
      <c r="BX67" s="138"/>
    </row>
    <row r="68" spans="2:76" s="137" customFormat="1">
      <c r="B68" s="9"/>
      <c r="C68" s="9"/>
      <c r="D68" s="9"/>
      <c r="E68" s="9"/>
      <c r="F68" s="9"/>
      <c r="G68" s="9"/>
      <c r="H68" s="9"/>
      <c r="I68" s="9"/>
      <c r="J68" s="9"/>
      <c r="K68" s="9"/>
      <c r="L68" s="9"/>
      <c r="M68" s="9"/>
      <c r="N68" s="9"/>
      <c r="O68" s="9"/>
      <c r="P68" s="9"/>
      <c r="R68" s="138"/>
      <c r="S68" s="138"/>
      <c r="T68" s="138"/>
      <c r="U68" s="138"/>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c r="AW68" s="138"/>
      <c r="AX68" s="138"/>
      <c r="AY68" s="138"/>
      <c r="AZ68" s="138"/>
      <c r="BA68" s="138"/>
      <c r="BB68" s="138"/>
      <c r="BC68" s="138"/>
      <c r="BD68" s="138"/>
      <c r="BE68" s="138"/>
      <c r="BF68" s="138"/>
      <c r="BG68" s="138"/>
      <c r="BH68" s="138"/>
      <c r="BI68" s="138"/>
      <c r="BJ68" s="138"/>
      <c r="BK68" s="138"/>
      <c r="BL68" s="138"/>
      <c r="BM68" s="138"/>
      <c r="BN68" s="138"/>
      <c r="BO68" s="138"/>
      <c r="BP68" s="138"/>
      <c r="BQ68" s="138"/>
      <c r="BR68" s="138"/>
      <c r="BS68" s="138"/>
      <c r="BT68" s="138"/>
      <c r="BU68" s="138"/>
      <c r="BV68" s="138"/>
      <c r="BW68" s="138"/>
      <c r="BX68" s="138"/>
    </row>
    <row r="69" spans="2:76" s="137" customFormat="1">
      <c r="B69" s="9"/>
      <c r="C69" s="9"/>
      <c r="D69" s="9"/>
      <c r="E69" s="9"/>
      <c r="F69" s="9"/>
      <c r="G69" s="9"/>
      <c r="H69" s="9"/>
      <c r="I69" s="9"/>
      <c r="J69" s="9"/>
      <c r="K69" s="9"/>
      <c r="L69" s="9"/>
      <c r="M69" s="9"/>
      <c r="N69" s="9"/>
      <c r="O69" s="9"/>
      <c r="P69" s="9"/>
      <c r="R69" s="138"/>
      <c r="S69" s="138"/>
      <c r="T69" s="138"/>
      <c r="U69" s="138"/>
      <c r="V69" s="138"/>
      <c r="W69" s="138"/>
      <c r="X69" s="138"/>
      <c r="Y69" s="138"/>
      <c r="Z69" s="138"/>
      <c r="AA69" s="138"/>
      <c r="AB69" s="138"/>
      <c r="AC69" s="138"/>
      <c r="AD69" s="138"/>
      <c r="AE69" s="138"/>
      <c r="AF69" s="138"/>
      <c r="AG69" s="138"/>
      <c r="AH69" s="138"/>
      <c r="AI69" s="138"/>
      <c r="AJ69" s="138"/>
      <c r="AK69" s="138"/>
      <c r="AL69" s="138"/>
      <c r="AM69" s="138"/>
      <c r="AN69" s="138"/>
      <c r="AO69" s="138"/>
      <c r="AP69" s="138"/>
      <c r="AQ69" s="138"/>
      <c r="AR69" s="138"/>
      <c r="AS69" s="138"/>
      <c r="AT69" s="138"/>
      <c r="AU69" s="138"/>
      <c r="AV69" s="138"/>
      <c r="AW69" s="138"/>
      <c r="AX69" s="138"/>
      <c r="AY69" s="138"/>
      <c r="AZ69" s="138"/>
      <c r="BA69" s="138"/>
      <c r="BB69" s="138"/>
      <c r="BC69" s="138"/>
      <c r="BD69" s="138"/>
      <c r="BE69" s="138"/>
      <c r="BF69" s="138"/>
      <c r="BG69" s="138"/>
      <c r="BH69" s="138"/>
      <c r="BI69" s="138"/>
      <c r="BJ69" s="138"/>
      <c r="BK69" s="138"/>
      <c r="BL69" s="138"/>
      <c r="BM69" s="138"/>
      <c r="BN69" s="138"/>
      <c r="BO69" s="138"/>
      <c r="BP69" s="138"/>
      <c r="BQ69" s="138"/>
      <c r="BR69" s="138"/>
      <c r="BS69" s="138"/>
      <c r="BT69" s="138"/>
      <c r="BU69" s="138"/>
      <c r="BV69" s="138"/>
      <c r="BW69" s="138"/>
      <c r="BX69" s="138"/>
    </row>
    <row r="70" spans="2:76" s="137" customFormat="1">
      <c r="B70" s="9"/>
      <c r="C70" s="9"/>
      <c r="D70" s="9"/>
      <c r="E70" s="9"/>
      <c r="F70" s="9"/>
      <c r="G70" s="9"/>
      <c r="H70" s="9"/>
      <c r="I70" s="9"/>
      <c r="J70" s="9"/>
      <c r="K70" s="9"/>
      <c r="L70" s="9"/>
      <c r="M70" s="9"/>
      <c r="N70" s="9"/>
      <c r="O70" s="9"/>
      <c r="P70" s="9"/>
      <c r="R70" s="138"/>
      <c r="S70" s="138"/>
      <c r="T70" s="138"/>
      <c r="U70" s="138"/>
      <c r="V70" s="138"/>
      <c r="W70" s="138"/>
      <c r="X70" s="138"/>
      <c r="Y70" s="138"/>
      <c r="Z70" s="138"/>
      <c r="AA70" s="138"/>
      <c r="AB70" s="138"/>
      <c r="AC70" s="138"/>
      <c r="AD70" s="138"/>
      <c r="AE70" s="138"/>
      <c r="AF70" s="138"/>
      <c r="AG70" s="138"/>
      <c r="AH70" s="138"/>
      <c r="AI70" s="138"/>
      <c r="AJ70" s="138"/>
      <c r="AK70" s="138"/>
      <c r="AL70" s="138"/>
      <c r="AM70" s="138"/>
      <c r="AN70" s="138"/>
      <c r="AO70" s="138"/>
      <c r="AP70" s="138"/>
      <c r="AQ70" s="138"/>
      <c r="AR70" s="138"/>
      <c r="AS70" s="138"/>
      <c r="AT70" s="138"/>
      <c r="AU70" s="138"/>
      <c r="AV70" s="138"/>
      <c r="AW70" s="138"/>
      <c r="AX70" s="138"/>
      <c r="AY70" s="138"/>
      <c r="AZ70" s="138"/>
      <c r="BA70" s="138"/>
      <c r="BB70" s="138"/>
      <c r="BC70" s="138"/>
      <c r="BD70" s="138"/>
      <c r="BE70" s="138"/>
      <c r="BF70" s="138"/>
      <c r="BG70" s="138"/>
      <c r="BH70" s="138"/>
      <c r="BI70" s="138"/>
      <c r="BJ70" s="138"/>
      <c r="BK70" s="138"/>
      <c r="BL70" s="138"/>
      <c r="BM70" s="138"/>
      <c r="BN70" s="138"/>
      <c r="BO70" s="138"/>
      <c r="BP70" s="138"/>
      <c r="BQ70" s="138"/>
      <c r="BR70" s="138"/>
      <c r="BS70" s="138"/>
      <c r="BT70" s="138"/>
      <c r="BU70" s="138"/>
      <c r="BV70" s="138"/>
      <c r="BW70" s="138"/>
      <c r="BX70" s="138"/>
    </row>
    <row r="71" spans="2:76" s="137" customFormat="1">
      <c r="B71" s="9"/>
      <c r="C71" s="9"/>
      <c r="D71" s="9"/>
      <c r="E71" s="9"/>
      <c r="F71" s="9"/>
      <c r="G71" s="9"/>
      <c r="H71" s="9"/>
      <c r="I71" s="9"/>
      <c r="J71" s="9"/>
      <c r="K71" s="9"/>
      <c r="L71" s="9"/>
      <c r="M71" s="9"/>
      <c r="N71" s="9"/>
      <c r="O71" s="9"/>
      <c r="P71" s="9"/>
      <c r="R71" s="138"/>
      <c r="S71" s="138"/>
      <c r="T71" s="138"/>
      <c r="U71" s="138"/>
      <c r="V71" s="138"/>
      <c r="W71" s="138"/>
      <c r="X71" s="138"/>
      <c r="Y71" s="138"/>
      <c r="Z71" s="138"/>
      <c r="AA71" s="138"/>
      <c r="AB71" s="138"/>
      <c r="AC71" s="138"/>
      <c r="AD71" s="138"/>
      <c r="AE71" s="138"/>
      <c r="AF71" s="138"/>
      <c r="AG71" s="138"/>
      <c r="AH71" s="138"/>
      <c r="AI71" s="138"/>
      <c r="AJ71" s="138"/>
      <c r="AK71" s="138"/>
      <c r="AL71" s="138"/>
      <c r="AM71" s="138"/>
      <c r="AN71" s="138"/>
      <c r="AO71" s="138"/>
      <c r="AP71" s="138"/>
      <c r="AQ71" s="138"/>
      <c r="AR71" s="138"/>
      <c r="AS71" s="138"/>
      <c r="AT71" s="138"/>
      <c r="AU71" s="138"/>
      <c r="AV71" s="138"/>
      <c r="AW71" s="138"/>
      <c r="AX71" s="138"/>
      <c r="AY71" s="138"/>
      <c r="AZ71" s="138"/>
      <c r="BA71" s="138"/>
      <c r="BB71" s="138"/>
      <c r="BC71" s="138"/>
      <c r="BD71" s="138"/>
      <c r="BE71" s="138"/>
      <c r="BF71" s="138"/>
      <c r="BG71" s="138"/>
      <c r="BH71" s="138"/>
      <c r="BI71" s="138"/>
      <c r="BJ71" s="138"/>
      <c r="BK71" s="138"/>
      <c r="BL71" s="138"/>
      <c r="BM71" s="138"/>
      <c r="BN71" s="138"/>
      <c r="BO71" s="138"/>
      <c r="BP71" s="138"/>
      <c r="BQ71" s="138"/>
      <c r="BR71" s="138"/>
      <c r="BS71" s="138"/>
      <c r="BT71" s="138"/>
      <c r="BU71" s="138"/>
      <c r="BV71" s="138"/>
      <c r="BW71" s="138"/>
      <c r="BX71" s="138"/>
    </row>
    <row r="72" spans="2:76" s="137" customFormat="1">
      <c r="B72" s="9"/>
      <c r="C72" s="9"/>
      <c r="D72" s="9"/>
      <c r="E72" s="9"/>
      <c r="F72" s="9"/>
      <c r="G72" s="9"/>
      <c r="H72" s="9"/>
      <c r="I72" s="9"/>
      <c r="J72" s="9"/>
      <c r="K72" s="9"/>
      <c r="L72" s="9"/>
      <c r="M72" s="9"/>
      <c r="N72" s="9"/>
      <c r="O72" s="9"/>
      <c r="P72" s="9"/>
      <c r="R72" s="138"/>
      <c r="S72" s="138"/>
      <c r="T72" s="138"/>
      <c r="U72" s="138"/>
      <c r="V72" s="138"/>
      <c r="W72" s="138"/>
      <c r="X72" s="138"/>
      <c r="Y72" s="138"/>
      <c r="Z72" s="138"/>
      <c r="AA72" s="138"/>
      <c r="AB72" s="138"/>
      <c r="AC72" s="138"/>
      <c r="AD72" s="138"/>
      <c r="AE72" s="138"/>
      <c r="AF72" s="138"/>
      <c r="AG72" s="138"/>
      <c r="AH72" s="138"/>
      <c r="AI72" s="138"/>
      <c r="AJ72" s="138"/>
      <c r="AK72" s="138"/>
      <c r="AL72" s="138"/>
      <c r="AM72" s="138"/>
      <c r="AN72" s="138"/>
      <c r="AO72" s="138"/>
      <c r="AP72" s="138"/>
      <c r="AQ72" s="138"/>
      <c r="AR72" s="138"/>
      <c r="AS72" s="138"/>
      <c r="AT72" s="138"/>
      <c r="AU72" s="138"/>
      <c r="AV72" s="138"/>
      <c r="AW72" s="138"/>
      <c r="AX72" s="138"/>
      <c r="AY72" s="138"/>
      <c r="AZ72" s="138"/>
      <c r="BA72" s="138"/>
      <c r="BB72" s="138"/>
      <c r="BC72" s="138"/>
      <c r="BD72" s="138"/>
      <c r="BE72" s="138"/>
      <c r="BF72" s="138"/>
      <c r="BG72" s="138"/>
      <c r="BH72" s="138"/>
      <c r="BI72" s="138"/>
      <c r="BJ72" s="138"/>
      <c r="BK72" s="138"/>
      <c r="BL72" s="138"/>
      <c r="BM72" s="138"/>
      <c r="BN72" s="138"/>
      <c r="BO72" s="138"/>
      <c r="BP72" s="138"/>
      <c r="BQ72" s="138"/>
      <c r="BR72" s="138"/>
      <c r="BS72" s="138"/>
      <c r="BT72" s="138"/>
      <c r="BU72" s="138"/>
      <c r="BV72" s="138"/>
      <c r="BW72" s="138"/>
      <c r="BX72" s="138"/>
    </row>
    <row r="73" spans="2:76" s="137" customFormat="1">
      <c r="B73" s="9"/>
      <c r="C73" s="9"/>
      <c r="D73" s="9"/>
      <c r="E73" s="9"/>
      <c r="F73" s="9"/>
      <c r="G73" s="9"/>
      <c r="H73" s="9"/>
      <c r="I73" s="9"/>
      <c r="J73" s="9"/>
      <c r="K73" s="9"/>
      <c r="L73" s="9"/>
      <c r="M73" s="9"/>
      <c r="N73" s="9"/>
      <c r="O73" s="9"/>
      <c r="P73" s="9"/>
      <c r="R73" s="138"/>
      <c r="S73" s="138"/>
      <c r="T73" s="138"/>
      <c r="U73" s="138"/>
      <c r="V73" s="138"/>
      <c r="W73" s="138"/>
      <c r="X73" s="138"/>
      <c r="Y73" s="138"/>
      <c r="Z73" s="138"/>
      <c r="AA73" s="138"/>
      <c r="AB73" s="138"/>
      <c r="AC73" s="138"/>
      <c r="AD73" s="138"/>
      <c r="AE73" s="138"/>
      <c r="AF73" s="138"/>
      <c r="AG73" s="138"/>
      <c r="AH73" s="138"/>
      <c r="AI73" s="138"/>
      <c r="AJ73" s="138"/>
      <c r="AK73" s="138"/>
      <c r="AL73" s="138"/>
      <c r="AM73" s="138"/>
      <c r="AN73" s="138"/>
      <c r="AO73" s="138"/>
      <c r="AP73" s="138"/>
      <c r="AQ73" s="138"/>
      <c r="AR73" s="138"/>
      <c r="AS73" s="138"/>
      <c r="AT73" s="138"/>
      <c r="AU73" s="138"/>
      <c r="AV73" s="138"/>
      <c r="AW73" s="138"/>
      <c r="AX73" s="138"/>
      <c r="AY73" s="138"/>
      <c r="AZ73" s="138"/>
      <c r="BA73" s="138"/>
      <c r="BB73" s="138"/>
      <c r="BC73" s="138"/>
      <c r="BD73" s="138"/>
      <c r="BE73" s="138"/>
      <c r="BF73" s="138"/>
      <c r="BG73" s="138"/>
      <c r="BH73" s="138"/>
      <c r="BI73" s="138"/>
      <c r="BJ73" s="138"/>
      <c r="BK73" s="138"/>
      <c r="BL73" s="138"/>
      <c r="BM73" s="138"/>
      <c r="BN73" s="138"/>
      <c r="BO73" s="138"/>
      <c r="BP73" s="138"/>
      <c r="BQ73" s="138"/>
      <c r="BR73" s="138"/>
      <c r="BS73" s="138"/>
      <c r="BT73" s="138"/>
      <c r="BU73" s="138"/>
      <c r="BV73" s="138"/>
      <c r="BW73" s="138"/>
      <c r="BX73" s="138"/>
    </row>
    <row r="74" spans="2:76" s="137" customFormat="1">
      <c r="B74" s="9"/>
      <c r="C74" s="9"/>
      <c r="D74" s="9"/>
      <c r="E74" s="9"/>
      <c r="F74" s="9"/>
      <c r="G74" s="9"/>
      <c r="H74" s="9"/>
      <c r="I74" s="9"/>
      <c r="J74" s="9"/>
      <c r="K74" s="9"/>
      <c r="L74" s="9"/>
      <c r="M74" s="9"/>
      <c r="N74" s="9"/>
      <c r="O74" s="9"/>
      <c r="P74" s="9"/>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c r="AW74" s="138"/>
      <c r="AX74" s="138"/>
      <c r="AY74" s="138"/>
      <c r="AZ74" s="138"/>
      <c r="BA74" s="138"/>
      <c r="BB74" s="138"/>
      <c r="BC74" s="138"/>
      <c r="BD74" s="138"/>
      <c r="BE74" s="138"/>
      <c r="BF74" s="138"/>
      <c r="BG74" s="138"/>
      <c r="BH74" s="138"/>
      <c r="BI74" s="138"/>
      <c r="BJ74" s="138"/>
      <c r="BK74" s="138"/>
      <c r="BL74" s="138"/>
      <c r="BM74" s="138"/>
      <c r="BN74" s="138"/>
      <c r="BO74" s="138"/>
      <c r="BP74" s="138"/>
      <c r="BQ74" s="138"/>
      <c r="BR74" s="138"/>
      <c r="BS74" s="138"/>
      <c r="BT74" s="138"/>
      <c r="BU74" s="138"/>
      <c r="BV74" s="138"/>
      <c r="BW74" s="138"/>
      <c r="BX74" s="138"/>
    </row>
    <row r="75" spans="2:76" s="137" customFormat="1">
      <c r="B75" s="9"/>
      <c r="C75" s="9"/>
      <c r="D75" s="9"/>
      <c r="E75" s="9"/>
      <c r="F75" s="9"/>
      <c r="G75" s="9"/>
      <c r="H75" s="9"/>
      <c r="I75" s="9"/>
      <c r="J75" s="9"/>
      <c r="K75" s="9"/>
      <c r="L75" s="9"/>
      <c r="M75" s="9"/>
      <c r="N75" s="9"/>
      <c r="O75" s="9"/>
      <c r="P75" s="9"/>
      <c r="R75" s="138"/>
      <c r="S75" s="138"/>
      <c r="T75" s="138"/>
      <c r="U75" s="138"/>
      <c r="V75" s="138"/>
      <c r="W75" s="138"/>
      <c r="X75" s="138"/>
      <c r="Y75" s="138"/>
      <c r="Z75" s="138"/>
      <c r="AA75" s="138"/>
      <c r="AB75" s="138"/>
      <c r="AC75" s="138"/>
      <c r="AD75" s="138"/>
      <c r="AE75" s="138"/>
      <c r="AF75" s="138"/>
      <c r="AG75" s="138"/>
      <c r="AH75" s="138"/>
      <c r="AI75" s="138"/>
      <c r="AJ75" s="138"/>
      <c r="AK75" s="138"/>
      <c r="AL75" s="138"/>
      <c r="AM75" s="138"/>
      <c r="AN75" s="138"/>
      <c r="AO75" s="138"/>
      <c r="AP75" s="138"/>
      <c r="AQ75" s="138"/>
      <c r="AR75" s="138"/>
      <c r="AS75" s="138"/>
      <c r="AT75" s="138"/>
      <c r="AU75" s="138"/>
      <c r="AV75" s="138"/>
      <c r="AW75" s="138"/>
      <c r="AX75" s="138"/>
      <c r="AY75" s="138"/>
      <c r="AZ75" s="138"/>
      <c r="BA75" s="138"/>
      <c r="BB75" s="138"/>
      <c r="BC75" s="138"/>
      <c r="BD75" s="138"/>
      <c r="BE75" s="138"/>
      <c r="BF75" s="138"/>
      <c r="BG75" s="138"/>
      <c r="BH75" s="138"/>
      <c r="BI75" s="138"/>
      <c r="BJ75" s="138"/>
      <c r="BK75" s="138"/>
      <c r="BL75" s="138"/>
      <c r="BM75" s="138"/>
      <c r="BN75" s="138"/>
      <c r="BO75" s="138"/>
      <c r="BP75" s="138"/>
      <c r="BQ75" s="138"/>
      <c r="BR75" s="138"/>
      <c r="BS75" s="138"/>
      <c r="BT75" s="138"/>
      <c r="BU75" s="138"/>
      <c r="BV75" s="138"/>
      <c r="BW75" s="138"/>
      <c r="BX75" s="138"/>
    </row>
    <row r="76" spans="2:76" s="137" customFormat="1">
      <c r="B76" s="9"/>
      <c r="C76" s="9"/>
      <c r="D76" s="9"/>
      <c r="E76" s="9"/>
      <c r="F76" s="9"/>
      <c r="G76" s="9"/>
      <c r="H76" s="9"/>
      <c r="I76" s="9"/>
      <c r="J76" s="9"/>
      <c r="K76" s="9"/>
      <c r="L76" s="9"/>
      <c r="M76" s="9"/>
      <c r="N76" s="9"/>
      <c r="O76" s="9"/>
      <c r="P76" s="9"/>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c r="BT76" s="138"/>
      <c r="BU76" s="138"/>
      <c r="BV76" s="138"/>
      <c r="BW76" s="138"/>
      <c r="BX76" s="138"/>
    </row>
    <row r="77" spans="2:76" s="137" customFormat="1">
      <c r="B77" s="9"/>
      <c r="C77" s="9"/>
      <c r="D77" s="9"/>
      <c r="E77" s="9"/>
      <c r="F77" s="9"/>
      <c r="G77" s="9"/>
      <c r="H77" s="9"/>
      <c r="I77" s="9"/>
      <c r="J77" s="9"/>
      <c r="K77" s="9"/>
      <c r="L77" s="9"/>
      <c r="M77" s="9"/>
      <c r="N77" s="9"/>
      <c r="O77" s="9"/>
      <c r="P77" s="9"/>
      <c r="R77" s="138"/>
      <c r="S77" s="138"/>
      <c r="T77" s="138"/>
      <c r="U77" s="138"/>
      <c r="V77" s="138"/>
      <c r="W77" s="138"/>
      <c r="X77" s="138"/>
      <c r="Y77" s="138"/>
      <c r="Z77" s="138"/>
      <c r="AA77" s="138"/>
      <c r="AB77" s="138"/>
      <c r="AC77" s="138"/>
      <c r="AD77" s="138"/>
      <c r="AE77" s="138"/>
      <c r="AF77" s="138"/>
      <c r="AG77" s="138"/>
      <c r="AH77" s="138"/>
      <c r="AI77" s="138"/>
      <c r="AJ77" s="138"/>
      <c r="AK77" s="138"/>
      <c r="AL77" s="138"/>
      <c r="AM77" s="138"/>
      <c r="AN77" s="138"/>
      <c r="AO77" s="138"/>
      <c r="AP77" s="138"/>
      <c r="AQ77" s="138"/>
      <c r="AR77" s="138"/>
      <c r="AS77" s="138"/>
      <c r="AT77" s="138"/>
      <c r="AU77" s="138"/>
      <c r="AV77" s="138"/>
      <c r="AW77" s="138"/>
      <c r="AX77" s="138"/>
      <c r="AY77" s="138"/>
      <c r="AZ77" s="138"/>
      <c r="BA77" s="138"/>
      <c r="BB77" s="138"/>
      <c r="BC77" s="138"/>
      <c r="BD77" s="138"/>
      <c r="BE77" s="138"/>
      <c r="BF77" s="138"/>
      <c r="BG77" s="138"/>
      <c r="BH77" s="138"/>
      <c r="BI77" s="138"/>
      <c r="BJ77" s="138"/>
      <c r="BK77" s="138"/>
      <c r="BL77" s="138"/>
      <c r="BM77" s="138"/>
      <c r="BN77" s="138"/>
      <c r="BO77" s="138"/>
      <c r="BP77" s="138"/>
      <c r="BQ77" s="138"/>
      <c r="BR77" s="138"/>
      <c r="BS77" s="138"/>
      <c r="BT77" s="138"/>
      <c r="BU77" s="138"/>
      <c r="BV77" s="138"/>
      <c r="BW77" s="138"/>
      <c r="BX77" s="138"/>
    </row>
    <row r="78" spans="2:76" s="137" customFormat="1">
      <c r="B78" s="9"/>
      <c r="C78" s="9"/>
      <c r="D78" s="9"/>
      <c r="E78" s="9"/>
      <c r="F78" s="9"/>
      <c r="G78" s="9"/>
      <c r="H78" s="9"/>
      <c r="I78" s="9"/>
      <c r="J78" s="9"/>
      <c r="K78" s="9"/>
      <c r="L78" s="9"/>
      <c r="M78" s="9"/>
      <c r="N78" s="9"/>
      <c r="O78" s="9"/>
      <c r="P78" s="9"/>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c r="AW78" s="138"/>
      <c r="AX78" s="138"/>
      <c r="AY78" s="138"/>
      <c r="AZ78" s="138"/>
      <c r="BA78" s="138"/>
      <c r="BB78" s="138"/>
      <c r="BC78" s="138"/>
      <c r="BD78" s="138"/>
      <c r="BE78" s="138"/>
      <c r="BF78" s="138"/>
      <c r="BG78" s="138"/>
      <c r="BH78" s="138"/>
      <c r="BI78" s="138"/>
      <c r="BJ78" s="138"/>
      <c r="BK78" s="138"/>
      <c r="BL78" s="138"/>
      <c r="BM78" s="138"/>
      <c r="BN78" s="138"/>
      <c r="BO78" s="138"/>
      <c r="BP78" s="138"/>
      <c r="BQ78" s="138"/>
      <c r="BR78" s="138"/>
      <c r="BS78" s="138"/>
      <c r="BT78" s="138"/>
      <c r="BU78" s="138"/>
      <c r="BV78" s="138"/>
      <c r="BW78" s="138"/>
      <c r="BX78" s="138"/>
    </row>
    <row r="79" spans="2:76" s="137" customFormat="1">
      <c r="B79" s="9"/>
      <c r="C79" s="9"/>
      <c r="D79" s="9"/>
      <c r="E79" s="9"/>
      <c r="F79" s="9"/>
      <c r="G79" s="9"/>
      <c r="H79" s="9"/>
      <c r="I79" s="9"/>
      <c r="J79" s="9"/>
      <c r="K79" s="9"/>
      <c r="L79" s="9"/>
      <c r="M79" s="9"/>
      <c r="N79" s="9"/>
      <c r="O79" s="9"/>
      <c r="P79" s="9"/>
      <c r="R79" s="138"/>
      <c r="S79" s="138"/>
      <c r="T79" s="138"/>
      <c r="U79" s="138"/>
      <c r="V79" s="138"/>
      <c r="W79" s="138"/>
      <c r="X79" s="138"/>
      <c r="Y79" s="138"/>
      <c r="Z79" s="138"/>
      <c r="AA79" s="138"/>
      <c r="AB79" s="138"/>
      <c r="AC79" s="138"/>
      <c r="AD79" s="138"/>
      <c r="AE79" s="138"/>
      <c r="AF79" s="138"/>
      <c r="AG79" s="138"/>
      <c r="AH79" s="138"/>
      <c r="AI79" s="138"/>
      <c r="AJ79" s="138"/>
      <c r="AK79" s="138"/>
      <c r="AL79" s="138"/>
      <c r="AM79" s="138"/>
      <c r="AN79" s="138"/>
      <c r="AO79" s="138"/>
      <c r="AP79" s="138"/>
      <c r="AQ79" s="138"/>
      <c r="AR79" s="138"/>
      <c r="AS79" s="138"/>
      <c r="AT79" s="138"/>
      <c r="AU79" s="138"/>
      <c r="AV79" s="138"/>
      <c r="AW79" s="138"/>
      <c r="AX79" s="138"/>
      <c r="AY79" s="138"/>
      <c r="AZ79" s="138"/>
      <c r="BA79" s="138"/>
      <c r="BB79" s="138"/>
      <c r="BC79" s="138"/>
      <c r="BD79" s="138"/>
      <c r="BE79" s="138"/>
      <c r="BF79" s="138"/>
      <c r="BG79" s="138"/>
      <c r="BH79" s="138"/>
      <c r="BI79" s="138"/>
      <c r="BJ79" s="138"/>
      <c r="BK79" s="138"/>
      <c r="BL79" s="138"/>
      <c r="BM79" s="138"/>
      <c r="BN79" s="138"/>
      <c r="BO79" s="138"/>
      <c r="BP79" s="138"/>
      <c r="BQ79" s="138"/>
      <c r="BR79" s="138"/>
      <c r="BS79" s="138"/>
      <c r="BT79" s="138"/>
      <c r="BU79" s="138"/>
      <c r="BV79" s="138"/>
      <c r="BW79" s="138"/>
      <c r="BX79" s="138"/>
    </row>
    <row r="80" spans="2:76" s="137" customFormat="1">
      <c r="B80" s="9"/>
      <c r="C80" s="9"/>
      <c r="D80" s="9"/>
      <c r="E80" s="9"/>
      <c r="F80" s="9"/>
      <c r="G80" s="9"/>
      <c r="H80" s="9"/>
      <c r="I80" s="9"/>
      <c r="J80" s="9"/>
      <c r="K80" s="9"/>
      <c r="L80" s="9"/>
      <c r="M80" s="9"/>
      <c r="N80" s="9"/>
      <c r="O80" s="9"/>
      <c r="P80" s="9"/>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c r="BN80" s="138"/>
      <c r="BO80" s="138"/>
      <c r="BP80" s="138"/>
      <c r="BQ80" s="138"/>
      <c r="BR80" s="138"/>
      <c r="BS80" s="138"/>
      <c r="BT80" s="138"/>
      <c r="BU80" s="138"/>
      <c r="BV80" s="138"/>
      <c r="BW80" s="138"/>
      <c r="BX80" s="138"/>
    </row>
    <row r="81" spans="2:76" s="137" customFormat="1">
      <c r="B81" s="9"/>
      <c r="C81" s="9"/>
      <c r="D81" s="9"/>
      <c r="E81" s="9"/>
      <c r="F81" s="9"/>
      <c r="G81" s="9"/>
      <c r="H81" s="9"/>
      <c r="I81" s="9"/>
      <c r="J81" s="9"/>
      <c r="K81" s="9"/>
      <c r="L81" s="9"/>
      <c r="M81" s="9"/>
      <c r="N81" s="9"/>
      <c r="O81" s="9"/>
      <c r="P81" s="9"/>
      <c r="R81" s="138"/>
      <c r="S81" s="138"/>
      <c r="T81" s="138"/>
      <c r="U81" s="138"/>
      <c r="V81" s="138"/>
      <c r="W81" s="138"/>
      <c r="X81" s="138"/>
      <c r="Y81" s="138"/>
      <c r="Z81" s="138"/>
      <c r="AA81" s="138"/>
      <c r="AB81" s="138"/>
      <c r="AC81" s="138"/>
      <c r="AD81" s="138"/>
      <c r="AE81" s="138"/>
      <c r="AF81" s="138"/>
      <c r="AG81" s="138"/>
      <c r="AH81" s="138"/>
      <c r="AI81" s="138"/>
      <c r="AJ81" s="138"/>
      <c r="AK81" s="138"/>
      <c r="AL81" s="138"/>
      <c r="AM81" s="138"/>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38"/>
      <c r="BK81" s="138"/>
      <c r="BL81" s="138"/>
      <c r="BM81" s="138"/>
      <c r="BN81" s="138"/>
      <c r="BO81" s="138"/>
      <c r="BP81" s="138"/>
      <c r="BQ81" s="138"/>
      <c r="BR81" s="138"/>
      <c r="BS81" s="138"/>
      <c r="BT81" s="138"/>
      <c r="BU81" s="138"/>
      <c r="BV81" s="138"/>
      <c r="BW81" s="138"/>
      <c r="BX81" s="138"/>
    </row>
    <row r="82" spans="2:76" s="137" customFormat="1">
      <c r="B82" s="9"/>
      <c r="C82" s="9"/>
      <c r="D82" s="9"/>
      <c r="E82" s="9"/>
      <c r="F82" s="9"/>
      <c r="G82" s="9"/>
      <c r="H82" s="9"/>
      <c r="I82" s="9"/>
      <c r="J82" s="9"/>
      <c r="K82" s="9"/>
      <c r="L82" s="9"/>
      <c r="M82" s="9"/>
      <c r="N82" s="9"/>
      <c r="O82" s="9"/>
      <c r="P82" s="9"/>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c r="AW82" s="138"/>
      <c r="AX82" s="138"/>
      <c r="AY82" s="138"/>
      <c r="AZ82" s="138"/>
      <c r="BA82" s="138"/>
      <c r="BB82" s="138"/>
      <c r="BC82" s="138"/>
      <c r="BD82" s="138"/>
      <c r="BE82" s="138"/>
      <c r="BF82" s="138"/>
      <c r="BG82" s="138"/>
      <c r="BH82" s="138"/>
      <c r="BI82" s="138"/>
      <c r="BJ82" s="138"/>
      <c r="BK82" s="138"/>
      <c r="BL82" s="138"/>
      <c r="BM82" s="138"/>
      <c r="BN82" s="138"/>
      <c r="BO82" s="138"/>
      <c r="BP82" s="138"/>
      <c r="BQ82" s="138"/>
      <c r="BR82" s="138"/>
      <c r="BS82" s="138"/>
      <c r="BT82" s="138"/>
      <c r="BU82" s="138"/>
      <c r="BV82" s="138"/>
      <c r="BW82" s="138"/>
      <c r="BX82" s="138"/>
    </row>
    <row r="83" spans="2:76" s="137" customFormat="1">
      <c r="B83" s="9"/>
      <c r="C83" s="9"/>
      <c r="D83" s="9"/>
      <c r="E83" s="9"/>
      <c r="F83" s="9"/>
      <c r="G83" s="9"/>
      <c r="H83" s="9"/>
      <c r="I83" s="9"/>
      <c r="J83" s="9"/>
      <c r="K83" s="9"/>
      <c r="L83" s="9"/>
      <c r="M83" s="9"/>
      <c r="N83" s="9"/>
      <c r="O83" s="9"/>
      <c r="P83" s="9"/>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c r="AW83" s="138"/>
      <c r="AX83" s="138"/>
      <c r="AY83" s="138"/>
      <c r="AZ83" s="138"/>
      <c r="BA83" s="138"/>
      <c r="BB83" s="138"/>
      <c r="BC83" s="138"/>
      <c r="BD83" s="138"/>
      <c r="BE83" s="138"/>
      <c r="BF83" s="138"/>
      <c r="BG83" s="138"/>
      <c r="BH83" s="138"/>
      <c r="BI83" s="138"/>
      <c r="BJ83" s="138"/>
      <c r="BK83" s="138"/>
      <c r="BL83" s="138"/>
      <c r="BM83" s="138"/>
      <c r="BN83" s="138"/>
      <c r="BO83" s="138"/>
      <c r="BP83" s="138"/>
      <c r="BQ83" s="138"/>
      <c r="BR83" s="138"/>
      <c r="BS83" s="138"/>
      <c r="BT83" s="138"/>
      <c r="BU83" s="138"/>
      <c r="BV83" s="138"/>
      <c r="BW83" s="138"/>
      <c r="BX83" s="138"/>
    </row>
    <row r="84" spans="2:76" s="137" customFormat="1">
      <c r="B84" s="9"/>
      <c r="C84" s="9"/>
      <c r="D84" s="9"/>
      <c r="E84" s="9"/>
      <c r="F84" s="9"/>
      <c r="G84" s="9"/>
      <c r="H84" s="9"/>
      <c r="I84" s="9"/>
      <c r="J84" s="9"/>
      <c r="K84" s="9"/>
      <c r="L84" s="9"/>
      <c r="M84" s="9"/>
      <c r="N84" s="9"/>
      <c r="O84" s="9"/>
      <c r="P84" s="9"/>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c r="AW84" s="138"/>
      <c r="AX84" s="138"/>
      <c r="AY84" s="138"/>
      <c r="AZ84" s="138"/>
      <c r="BA84" s="138"/>
      <c r="BB84" s="138"/>
      <c r="BC84" s="138"/>
      <c r="BD84" s="138"/>
      <c r="BE84" s="138"/>
      <c r="BF84" s="138"/>
      <c r="BG84" s="138"/>
      <c r="BH84" s="138"/>
      <c r="BI84" s="138"/>
      <c r="BJ84" s="138"/>
      <c r="BK84" s="138"/>
      <c r="BL84" s="138"/>
      <c r="BM84" s="138"/>
      <c r="BN84" s="138"/>
      <c r="BO84" s="138"/>
      <c r="BP84" s="138"/>
      <c r="BQ84" s="138"/>
      <c r="BR84" s="138"/>
      <c r="BS84" s="138"/>
      <c r="BT84" s="138"/>
      <c r="BU84" s="138"/>
      <c r="BV84" s="138"/>
      <c r="BW84" s="138"/>
      <c r="BX84" s="138"/>
    </row>
    <row r="85" spans="2:76" s="137" customFormat="1">
      <c r="B85" s="9"/>
      <c r="C85" s="9"/>
      <c r="D85" s="9"/>
      <c r="E85" s="9"/>
      <c r="F85" s="9"/>
      <c r="G85" s="9"/>
      <c r="H85" s="9"/>
      <c r="I85" s="9"/>
      <c r="J85" s="9"/>
      <c r="K85" s="9"/>
      <c r="L85" s="9"/>
      <c r="M85" s="9"/>
      <c r="N85" s="9"/>
      <c r="O85" s="9"/>
      <c r="P85" s="9"/>
      <c r="R85" s="138"/>
      <c r="S85" s="138"/>
      <c r="T85" s="138"/>
      <c r="U85" s="138"/>
      <c r="V85" s="138"/>
      <c r="W85" s="138"/>
      <c r="X85" s="138"/>
      <c r="Y85" s="138"/>
      <c r="Z85" s="138"/>
      <c r="AA85" s="138"/>
      <c r="AB85" s="138"/>
      <c r="AC85" s="138"/>
      <c r="AD85" s="138"/>
      <c r="AE85" s="138"/>
      <c r="AF85" s="138"/>
      <c r="AG85" s="138"/>
      <c r="AH85" s="138"/>
      <c r="AI85" s="138"/>
      <c r="AJ85" s="138"/>
      <c r="AK85" s="138"/>
      <c r="AL85" s="138"/>
      <c r="AM85" s="138"/>
      <c r="AN85" s="138"/>
      <c r="AO85" s="138"/>
      <c r="AP85" s="138"/>
      <c r="AQ85" s="138"/>
      <c r="AR85" s="138"/>
      <c r="AS85" s="138"/>
      <c r="AT85" s="138"/>
      <c r="AU85" s="138"/>
      <c r="AV85" s="138"/>
      <c r="AW85" s="138"/>
      <c r="AX85" s="138"/>
      <c r="AY85" s="138"/>
      <c r="AZ85" s="138"/>
      <c r="BA85" s="138"/>
      <c r="BB85" s="138"/>
      <c r="BC85" s="138"/>
      <c r="BD85" s="138"/>
      <c r="BE85" s="138"/>
      <c r="BF85" s="138"/>
      <c r="BG85" s="138"/>
      <c r="BH85" s="138"/>
      <c r="BI85" s="138"/>
      <c r="BJ85" s="138"/>
      <c r="BK85" s="138"/>
      <c r="BL85" s="138"/>
      <c r="BM85" s="138"/>
      <c r="BN85" s="138"/>
      <c r="BO85" s="138"/>
      <c r="BP85" s="138"/>
      <c r="BQ85" s="138"/>
      <c r="BR85" s="138"/>
      <c r="BS85" s="138"/>
      <c r="BT85" s="138"/>
      <c r="BU85" s="138"/>
      <c r="BV85" s="138"/>
      <c r="BW85" s="138"/>
      <c r="BX85" s="138"/>
    </row>
    <row r="86" spans="2:76" s="137" customFormat="1">
      <c r="B86" s="9"/>
      <c r="C86" s="9"/>
      <c r="D86" s="9"/>
      <c r="E86" s="9"/>
      <c r="F86" s="9"/>
      <c r="G86" s="9"/>
      <c r="H86" s="9"/>
      <c r="I86" s="9"/>
      <c r="J86" s="9"/>
      <c r="K86" s="9"/>
      <c r="L86" s="9"/>
      <c r="M86" s="9"/>
      <c r="N86" s="9"/>
      <c r="O86" s="9"/>
      <c r="P86" s="9"/>
      <c r="R86" s="138"/>
      <c r="S86" s="138"/>
      <c r="T86" s="138"/>
      <c r="U86" s="138"/>
      <c r="V86" s="138"/>
      <c r="W86" s="138"/>
      <c r="X86" s="138"/>
      <c r="Y86" s="138"/>
      <c r="Z86" s="138"/>
      <c r="AA86" s="138"/>
      <c r="AB86" s="138"/>
      <c r="AC86" s="138"/>
      <c r="AD86" s="138"/>
      <c r="AE86" s="138"/>
      <c r="AF86" s="138"/>
      <c r="AG86" s="138"/>
      <c r="AH86" s="138"/>
      <c r="AI86" s="138"/>
      <c r="AJ86" s="138"/>
      <c r="AK86" s="138"/>
      <c r="AL86" s="138"/>
      <c r="AM86" s="138"/>
      <c r="AN86" s="138"/>
      <c r="AO86" s="138"/>
      <c r="AP86" s="138"/>
      <c r="AQ86" s="138"/>
      <c r="AR86" s="138"/>
      <c r="AS86" s="138"/>
      <c r="AT86" s="138"/>
      <c r="AU86" s="138"/>
      <c r="AV86" s="138"/>
      <c r="AW86" s="138"/>
      <c r="AX86" s="138"/>
      <c r="AY86" s="138"/>
      <c r="AZ86" s="138"/>
      <c r="BA86" s="138"/>
      <c r="BB86" s="138"/>
      <c r="BC86" s="138"/>
      <c r="BD86" s="138"/>
      <c r="BE86" s="138"/>
      <c r="BF86" s="138"/>
      <c r="BG86" s="138"/>
      <c r="BH86" s="138"/>
      <c r="BI86" s="138"/>
      <c r="BJ86" s="138"/>
      <c r="BK86" s="138"/>
      <c r="BL86" s="138"/>
      <c r="BM86" s="138"/>
      <c r="BN86" s="138"/>
      <c r="BO86" s="138"/>
      <c r="BP86" s="138"/>
      <c r="BQ86" s="138"/>
      <c r="BR86" s="138"/>
      <c r="BS86" s="138"/>
      <c r="BT86" s="138"/>
      <c r="BU86" s="138"/>
      <c r="BV86" s="138"/>
      <c r="BW86" s="138"/>
      <c r="BX86" s="138"/>
    </row>
    <row r="87" spans="2:76" s="137" customFormat="1">
      <c r="B87" s="9"/>
      <c r="C87" s="9"/>
      <c r="D87" s="9"/>
      <c r="E87" s="9"/>
      <c r="F87" s="9"/>
      <c r="G87" s="9"/>
      <c r="H87" s="9"/>
      <c r="I87" s="9"/>
      <c r="J87" s="9"/>
      <c r="K87" s="9"/>
      <c r="L87" s="9"/>
      <c r="M87" s="9"/>
      <c r="N87" s="9"/>
      <c r="O87" s="9"/>
      <c r="P87" s="9"/>
      <c r="R87" s="138"/>
      <c r="S87" s="138"/>
      <c r="T87" s="138"/>
      <c r="U87" s="138"/>
      <c r="V87" s="138"/>
      <c r="W87" s="138"/>
      <c r="X87" s="138"/>
      <c r="Y87" s="138"/>
      <c r="Z87" s="138"/>
      <c r="AA87" s="138"/>
      <c r="AB87" s="138"/>
      <c r="AC87" s="138"/>
      <c r="AD87" s="138"/>
      <c r="AE87" s="138"/>
      <c r="AF87" s="138"/>
      <c r="AG87" s="138"/>
      <c r="AH87" s="138"/>
      <c r="AI87" s="138"/>
      <c r="AJ87" s="138"/>
      <c r="AK87" s="138"/>
      <c r="AL87" s="138"/>
      <c r="AM87" s="138"/>
      <c r="AN87" s="138"/>
      <c r="AO87" s="138"/>
      <c r="AP87" s="138"/>
      <c r="AQ87" s="138"/>
      <c r="AR87" s="138"/>
      <c r="AS87" s="138"/>
      <c r="AT87" s="138"/>
      <c r="AU87" s="138"/>
      <c r="AV87" s="138"/>
      <c r="AW87" s="138"/>
      <c r="AX87" s="138"/>
      <c r="AY87" s="138"/>
      <c r="AZ87" s="138"/>
      <c r="BA87" s="138"/>
      <c r="BB87" s="138"/>
      <c r="BC87" s="138"/>
      <c r="BD87" s="138"/>
      <c r="BE87" s="138"/>
      <c r="BF87" s="138"/>
      <c r="BG87" s="138"/>
      <c r="BH87" s="138"/>
      <c r="BI87" s="138"/>
      <c r="BJ87" s="138"/>
      <c r="BK87" s="138"/>
      <c r="BL87" s="138"/>
      <c r="BM87" s="138"/>
      <c r="BN87" s="138"/>
      <c r="BO87" s="138"/>
      <c r="BP87" s="138"/>
      <c r="BQ87" s="138"/>
      <c r="BR87" s="138"/>
      <c r="BS87" s="138"/>
      <c r="BT87" s="138"/>
      <c r="BU87" s="138"/>
      <c r="BV87" s="138"/>
      <c r="BW87" s="138"/>
      <c r="BX87" s="138"/>
    </row>
    <row r="88" spans="2:76" s="137" customFormat="1">
      <c r="B88" s="9"/>
      <c r="C88" s="9"/>
      <c r="D88" s="9"/>
      <c r="E88" s="9"/>
      <c r="F88" s="9"/>
      <c r="G88" s="9"/>
      <c r="H88" s="9"/>
      <c r="I88" s="9"/>
      <c r="J88" s="9"/>
      <c r="K88" s="9"/>
      <c r="L88" s="9"/>
      <c r="M88" s="9"/>
      <c r="N88" s="9"/>
      <c r="O88" s="9"/>
      <c r="P88" s="9"/>
      <c r="R88" s="138"/>
      <c r="S88" s="138"/>
      <c r="T88" s="138"/>
      <c r="U88" s="138"/>
      <c r="V88" s="138"/>
      <c r="W88" s="138"/>
      <c r="X88" s="138"/>
      <c r="Y88" s="138"/>
      <c r="Z88" s="138"/>
      <c r="AA88" s="138"/>
      <c r="AB88" s="138"/>
      <c r="AC88" s="138"/>
      <c r="AD88" s="138"/>
      <c r="AE88" s="138"/>
      <c r="AF88" s="138"/>
      <c r="AG88" s="138"/>
      <c r="AH88" s="138"/>
      <c r="AI88" s="138"/>
      <c r="AJ88" s="138"/>
      <c r="AK88" s="138"/>
      <c r="AL88" s="138"/>
      <c r="AM88" s="138"/>
      <c r="AN88" s="138"/>
      <c r="AO88" s="138"/>
      <c r="AP88" s="138"/>
      <c r="AQ88" s="138"/>
      <c r="AR88" s="138"/>
      <c r="AS88" s="138"/>
      <c r="AT88" s="138"/>
      <c r="AU88" s="138"/>
      <c r="AV88" s="138"/>
      <c r="AW88" s="138"/>
      <c r="AX88" s="138"/>
      <c r="AY88" s="138"/>
      <c r="AZ88" s="138"/>
      <c r="BA88" s="138"/>
      <c r="BB88" s="138"/>
      <c r="BC88" s="138"/>
      <c r="BD88" s="138"/>
      <c r="BE88" s="138"/>
      <c r="BF88" s="138"/>
      <c r="BG88" s="138"/>
      <c r="BH88" s="138"/>
      <c r="BI88" s="138"/>
      <c r="BJ88" s="138"/>
      <c r="BK88" s="138"/>
      <c r="BL88" s="138"/>
      <c r="BM88" s="138"/>
      <c r="BN88" s="138"/>
      <c r="BO88" s="138"/>
      <c r="BP88" s="138"/>
      <c r="BQ88" s="138"/>
      <c r="BR88" s="138"/>
      <c r="BS88" s="138"/>
      <c r="BT88" s="138"/>
      <c r="BU88" s="138"/>
      <c r="BV88" s="138"/>
      <c r="BW88" s="138"/>
      <c r="BX88" s="138"/>
    </row>
    <row r="89" spans="2:76" s="137" customFormat="1">
      <c r="B89" s="9"/>
      <c r="C89" s="9"/>
      <c r="D89" s="9"/>
      <c r="E89" s="9"/>
      <c r="F89" s="9"/>
      <c r="G89" s="9"/>
      <c r="H89" s="9"/>
      <c r="I89" s="9"/>
      <c r="J89" s="9"/>
      <c r="K89" s="9"/>
      <c r="L89" s="9"/>
      <c r="M89" s="9"/>
      <c r="N89" s="9"/>
      <c r="O89" s="9"/>
      <c r="P89" s="9"/>
      <c r="R89" s="138"/>
      <c r="S89" s="138"/>
      <c r="T89" s="138"/>
      <c r="U89" s="138"/>
      <c r="V89" s="138"/>
      <c r="W89" s="138"/>
      <c r="X89" s="138"/>
      <c r="Y89" s="138"/>
      <c r="Z89" s="138"/>
      <c r="AA89" s="138"/>
      <c r="AB89" s="138"/>
      <c r="AC89" s="138"/>
      <c r="AD89" s="138"/>
      <c r="AE89" s="138"/>
      <c r="AF89" s="138"/>
      <c r="AG89" s="138"/>
      <c r="AH89" s="138"/>
      <c r="AI89" s="138"/>
      <c r="AJ89" s="138"/>
      <c r="AK89" s="138"/>
      <c r="AL89" s="138"/>
      <c r="AM89" s="138"/>
      <c r="AN89" s="138"/>
      <c r="AO89" s="138"/>
      <c r="AP89" s="138"/>
      <c r="AQ89" s="138"/>
      <c r="AR89" s="138"/>
      <c r="AS89" s="138"/>
      <c r="AT89" s="138"/>
      <c r="AU89" s="138"/>
      <c r="AV89" s="138"/>
      <c r="AW89" s="138"/>
      <c r="AX89" s="138"/>
      <c r="AY89" s="138"/>
      <c r="AZ89" s="138"/>
      <c r="BA89" s="138"/>
      <c r="BB89" s="138"/>
      <c r="BC89" s="138"/>
      <c r="BD89" s="138"/>
      <c r="BE89" s="138"/>
      <c r="BF89" s="138"/>
      <c r="BG89" s="138"/>
      <c r="BH89" s="138"/>
      <c r="BI89" s="138"/>
      <c r="BJ89" s="138"/>
      <c r="BK89" s="138"/>
      <c r="BL89" s="138"/>
      <c r="BM89" s="138"/>
      <c r="BN89" s="138"/>
      <c r="BO89" s="138"/>
      <c r="BP89" s="138"/>
      <c r="BQ89" s="138"/>
      <c r="BR89" s="138"/>
      <c r="BS89" s="138"/>
      <c r="BT89" s="138"/>
      <c r="BU89" s="138"/>
      <c r="BV89" s="138"/>
      <c r="BW89" s="138"/>
      <c r="BX89" s="138"/>
    </row>
    <row r="90" spans="2:76" s="137" customFormat="1">
      <c r="B90" s="9"/>
      <c r="C90" s="9"/>
      <c r="D90" s="9"/>
      <c r="E90" s="9"/>
      <c r="F90" s="9"/>
      <c r="G90" s="9"/>
      <c r="H90" s="9"/>
      <c r="I90" s="9"/>
      <c r="J90" s="9"/>
      <c r="K90" s="9"/>
      <c r="L90" s="9"/>
      <c r="M90" s="9"/>
      <c r="N90" s="9"/>
      <c r="O90" s="9"/>
      <c r="P90" s="9"/>
      <c r="R90" s="138"/>
      <c r="S90" s="138"/>
      <c r="T90" s="138"/>
      <c r="U90" s="138"/>
      <c r="V90" s="138"/>
      <c r="W90" s="138"/>
      <c r="X90" s="138"/>
      <c r="Y90" s="138"/>
      <c r="Z90" s="138"/>
      <c r="AA90" s="138"/>
      <c r="AB90" s="138"/>
      <c r="AC90" s="138"/>
      <c r="AD90" s="138"/>
      <c r="AE90" s="138"/>
      <c r="AF90" s="138"/>
      <c r="AG90" s="138"/>
      <c r="AH90" s="138"/>
      <c r="AI90" s="138"/>
      <c r="AJ90" s="138"/>
      <c r="AK90" s="138"/>
      <c r="AL90" s="138"/>
      <c r="AM90" s="138"/>
      <c r="AN90" s="138"/>
      <c r="AO90" s="138"/>
      <c r="AP90" s="138"/>
      <c r="AQ90" s="138"/>
      <c r="AR90" s="138"/>
      <c r="AS90" s="138"/>
      <c r="AT90" s="138"/>
      <c r="AU90" s="138"/>
      <c r="AV90" s="138"/>
      <c r="AW90" s="138"/>
      <c r="AX90" s="138"/>
      <c r="AY90" s="138"/>
      <c r="AZ90" s="138"/>
      <c r="BA90" s="138"/>
      <c r="BB90" s="138"/>
      <c r="BC90" s="138"/>
      <c r="BD90" s="138"/>
      <c r="BE90" s="138"/>
      <c r="BF90" s="138"/>
      <c r="BG90" s="138"/>
      <c r="BH90" s="138"/>
      <c r="BI90" s="138"/>
      <c r="BJ90" s="138"/>
      <c r="BK90" s="138"/>
      <c r="BL90" s="138"/>
      <c r="BM90" s="138"/>
      <c r="BN90" s="138"/>
      <c r="BO90" s="138"/>
      <c r="BP90" s="138"/>
      <c r="BQ90" s="138"/>
      <c r="BR90" s="138"/>
      <c r="BS90" s="138"/>
      <c r="BT90" s="138"/>
      <c r="BU90" s="138"/>
      <c r="BV90" s="138"/>
      <c r="BW90" s="138"/>
      <c r="BX90" s="138"/>
    </row>
    <row r="91" spans="2:76" s="137" customFormat="1">
      <c r="B91" s="9"/>
      <c r="C91" s="9"/>
      <c r="D91" s="9"/>
      <c r="E91" s="9"/>
      <c r="F91" s="9"/>
      <c r="G91" s="9"/>
      <c r="H91" s="9"/>
      <c r="I91" s="9"/>
      <c r="J91" s="9"/>
      <c r="K91" s="9"/>
      <c r="L91" s="9"/>
      <c r="M91" s="9"/>
      <c r="N91" s="9"/>
      <c r="O91" s="9"/>
      <c r="P91" s="9"/>
      <c r="R91" s="138"/>
      <c r="S91" s="138"/>
      <c r="T91" s="138"/>
      <c r="U91" s="138"/>
      <c r="V91" s="138"/>
      <c r="W91" s="138"/>
      <c r="X91" s="138"/>
      <c r="Y91" s="138"/>
      <c r="Z91" s="138"/>
      <c r="AA91" s="138"/>
      <c r="AB91" s="138"/>
      <c r="AC91" s="138"/>
      <c r="AD91" s="138"/>
      <c r="AE91" s="138"/>
      <c r="AF91" s="138"/>
      <c r="AG91" s="138"/>
      <c r="AH91" s="138"/>
      <c r="AI91" s="138"/>
      <c r="AJ91" s="138"/>
      <c r="AK91" s="138"/>
      <c r="AL91" s="138"/>
      <c r="AM91" s="138"/>
      <c r="AN91" s="138"/>
      <c r="AO91" s="138"/>
      <c r="AP91" s="138"/>
      <c r="AQ91" s="138"/>
      <c r="AR91" s="138"/>
      <c r="AS91" s="138"/>
      <c r="AT91" s="138"/>
      <c r="AU91" s="138"/>
      <c r="AV91" s="138"/>
      <c r="AW91" s="138"/>
      <c r="AX91" s="138"/>
      <c r="AY91" s="138"/>
      <c r="AZ91" s="138"/>
      <c r="BA91" s="138"/>
      <c r="BB91" s="138"/>
      <c r="BC91" s="138"/>
      <c r="BD91" s="138"/>
      <c r="BE91" s="138"/>
      <c r="BF91" s="138"/>
      <c r="BG91" s="138"/>
      <c r="BH91" s="138"/>
      <c r="BI91" s="138"/>
      <c r="BJ91" s="138"/>
      <c r="BK91" s="138"/>
      <c r="BL91" s="138"/>
      <c r="BM91" s="138"/>
      <c r="BN91" s="138"/>
      <c r="BO91" s="138"/>
      <c r="BP91" s="138"/>
      <c r="BQ91" s="138"/>
      <c r="BR91" s="138"/>
      <c r="BS91" s="138"/>
      <c r="BT91" s="138"/>
      <c r="BU91" s="138"/>
      <c r="BV91" s="138"/>
      <c r="BW91" s="138"/>
      <c r="BX91" s="138"/>
    </row>
    <row r="92" spans="2:76" s="137" customFormat="1">
      <c r="B92" s="9"/>
      <c r="C92" s="9"/>
      <c r="D92" s="9"/>
      <c r="E92" s="9"/>
      <c r="F92" s="9"/>
      <c r="G92" s="9"/>
      <c r="H92" s="9"/>
      <c r="I92" s="9"/>
      <c r="J92" s="9"/>
      <c r="K92" s="9"/>
      <c r="L92" s="9"/>
      <c r="M92" s="9"/>
      <c r="N92" s="9"/>
      <c r="O92" s="9"/>
      <c r="P92" s="9"/>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8"/>
      <c r="AO92" s="138"/>
      <c r="AP92" s="138"/>
      <c r="AQ92" s="138"/>
      <c r="AR92" s="138"/>
      <c r="AS92" s="138"/>
      <c r="AT92" s="138"/>
      <c r="AU92" s="138"/>
      <c r="AV92" s="138"/>
      <c r="AW92" s="138"/>
      <c r="AX92" s="138"/>
      <c r="AY92" s="138"/>
      <c r="AZ92" s="138"/>
      <c r="BA92" s="138"/>
      <c r="BB92" s="138"/>
      <c r="BC92" s="138"/>
      <c r="BD92" s="138"/>
      <c r="BE92" s="138"/>
      <c r="BF92" s="138"/>
      <c r="BG92" s="138"/>
      <c r="BH92" s="138"/>
      <c r="BI92" s="138"/>
      <c r="BJ92" s="138"/>
      <c r="BK92" s="138"/>
      <c r="BL92" s="138"/>
      <c r="BM92" s="138"/>
      <c r="BN92" s="138"/>
      <c r="BO92" s="138"/>
      <c r="BP92" s="138"/>
      <c r="BQ92" s="138"/>
      <c r="BR92" s="138"/>
      <c r="BS92" s="138"/>
      <c r="BT92" s="138"/>
      <c r="BU92" s="138"/>
      <c r="BV92" s="138"/>
      <c r="BW92" s="138"/>
      <c r="BX92" s="138"/>
    </row>
    <row r="93" spans="2:76" s="137" customFormat="1">
      <c r="B93" s="9"/>
      <c r="C93" s="9"/>
      <c r="D93" s="9"/>
      <c r="E93" s="9"/>
      <c r="F93" s="9"/>
      <c r="G93" s="9"/>
      <c r="H93" s="9"/>
      <c r="I93" s="9"/>
      <c r="J93" s="9"/>
      <c r="K93" s="9"/>
      <c r="L93" s="9"/>
      <c r="M93" s="9"/>
      <c r="N93" s="9"/>
      <c r="O93" s="9"/>
      <c r="P93" s="9"/>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c r="AW93" s="138"/>
      <c r="AX93" s="138"/>
      <c r="AY93" s="138"/>
      <c r="AZ93" s="138"/>
      <c r="BA93" s="138"/>
      <c r="BB93" s="138"/>
      <c r="BC93" s="138"/>
      <c r="BD93" s="138"/>
      <c r="BE93" s="138"/>
      <c r="BF93" s="138"/>
      <c r="BG93" s="138"/>
      <c r="BH93" s="138"/>
      <c r="BI93" s="138"/>
      <c r="BJ93" s="138"/>
      <c r="BK93" s="138"/>
      <c r="BL93" s="138"/>
      <c r="BM93" s="138"/>
      <c r="BN93" s="138"/>
      <c r="BO93" s="138"/>
      <c r="BP93" s="138"/>
      <c r="BQ93" s="138"/>
      <c r="BR93" s="138"/>
      <c r="BS93" s="138"/>
      <c r="BT93" s="138"/>
      <c r="BU93" s="138"/>
      <c r="BV93" s="138"/>
      <c r="BW93" s="138"/>
      <c r="BX93" s="138"/>
    </row>
    <row r="94" spans="2:76" s="137" customFormat="1">
      <c r="B94" s="9"/>
      <c r="C94" s="9"/>
      <c r="D94" s="9"/>
      <c r="E94" s="9"/>
      <c r="F94" s="9"/>
      <c r="G94" s="9"/>
      <c r="H94" s="9"/>
      <c r="I94" s="9"/>
      <c r="J94" s="9"/>
      <c r="K94" s="9"/>
      <c r="L94" s="9"/>
      <c r="M94" s="9"/>
      <c r="N94" s="9"/>
      <c r="O94" s="9"/>
      <c r="P94" s="9"/>
      <c r="R94" s="138"/>
      <c r="S94" s="138"/>
      <c r="T94" s="138"/>
      <c r="U94" s="138"/>
      <c r="V94" s="138"/>
      <c r="W94" s="138"/>
      <c r="X94" s="138"/>
      <c r="Y94" s="138"/>
      <c r="Z94" s="138"/>
      <c r="AA94" s="138"/>
      <c r="AB94" s="138"/>
      <c r="AC94" s="138"/>
      <c r="AD94" s="138"/>
      <c r="AE94" s="138"/>
      <c r="AF94" s="138"/>
      <c r="AG94" s="138"/>
      <c r="AH94" s="138"/>
      <c r="AI94" s="138"/>
      <c r="AJ94" s="138"/>
      <c r="AK94" s="138"/>
      <c r="AL94" s="138"/>
      <c r="AM94" s="138"/>
      <c r="AN94" s="138"/>
      <c r="AO94" s="138"/>
      <c r="AP94" s="138"/>
      <c r="AQ94" s="138"/>
      <c r="AR94" s="138"/>
      <c r="AS94" s="138"/>
      <c r="AT94" s="138"/>
      <c r="AU94" s="138"/>
      <c r="AV94" s="138"/>
      <c r="AW94" s="138"/>
      <c r="AX94" s="138"/>
      <c r="AY94" s="138"/>
      <c r="AZ94" s="138"/>
      <c r="BA94" s="138"/>
      <c r="BB94" s="138"/>
      <c r="BC94" s="138"/>
      <c r="BD94" s="138"/>
      <c r="BE94" s="138"/>
      <c r="BF94" s="138"/>
      <c r="BG94" s="138"/>
      <c r="BH94" s="138"/>
      <c r="BI94" s="138"/>
      <c r="BJ94" s="138"/>
      <c r="BK94" s="138"/>
      <c r="BL94" s="138"/>
      <c r="BM94" s="138"/>
      <c r="BN94" s="138"/>
      <c r="BO94" s="138"/>
      <c r="BP94" s="138"/>
      <c r="BQ94" s="138"/>
      <c r="BR94" s="138"/>
      <c r="BS94" s="138"/>
      <c r="BT94" s="138"/>
      <c r="BU94" s="138"/>
      <c r="BV94" s="138"/>
      <c r="BW94" s="138"/>
      <c r="BX94" s="138"/>
    </row>
    <row r="95" spans="2:76" s="137" customFormat="1">
      <c r="B95" s="9"/>
      <c r="C95" s="9"/>
      <c r="D95" s="9"/>
      <c r="E95" s="9"/>
      <c r="F95" s="9"/>
      <c r="G95" s="9"/>
      <c r="H95" s="9"/>
      <c r="I95" s="9"/>
      <c r="J95" s="9"/>
      <c r="K95" s="9"/>
      <c r="L95" s="9"/>
      <c r="M95" s="9"/>
      <c r="N95" s="9"/>
      <c r="O95" s="9"/>
      <c r="P95" s="9"/>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138"/>
      <c r="BD95" s="138"/>
      <c r="BE95" s="138"/>
      <c r="BF95" s="138"/>
      <c r="BG95" s="138"/>
      <c r="BH95" s="138"/>
      <c r="BI95" s="138"/>
      <c r="BJ95" s="138"/>
      <c r="BK95" s="138"/>
      <c r="BL95" s="138"/>
      <c r="BM95" s="138"/>
      <c r="BN95" s="138"/>
      <c r="BO95" s="138"/>
      <c r="BP95" s="138"/>
      <c r="BQ95" s="138"/>
      <c r="BR95" s="138"/>
      <c r="BS95" s="138"/>
      <c r="BT95" s="138"/>
      <c r="BU95" s="138"/>
      <c r="BV95" s="138"/>
      <c r="BW95" s="138"/>
      <c r="BX95" s="138"/>
    </row>
    <row r="96" spans="2:76" s="137" customFormat="1">
      <c r="B96" s="9"/>
      <c r="C96" s="9"/>
      <c r="D96" s="9"/>
      <c r="E96" s="9"/>
      <c r="F96" s="9"/>
      <c r="G96" s="9"/>
      <c r="H96" s="9"/>
      <c r="I96" s="9"/>
      <c r="J96" s="9"/>
      <c r="K96" s="9"/>
      <c r="L96" s="9"/>
      <c r="M96" s="9"/>
      <c r="N96" s="9"/>
      <c r="O96" s="9"/>
      <c r="P96" s="9"/>
      <c r="R96" s="138"/>
      <c r="S96" s="138"/>
      <c r="T96" s="138"/>
      <c r="U96" s="138"/>
      <c r="V96" s="138"/>
      <c r="W96" s="138"/>
      <c r="X96" s="138"/>
      <c r="Y96" s="138"/>
      <c r="Z96" s="138"/>
      <c r="AA96" s="138"/>
      <c r="AB96" s="138"/>
      <c r="AC96" s="138"/>
      <c r="AD96" s="138"/>
      <c r="AE96" s="138"/>
      <c r="AF96" s="138"/>
      <c r="AG96" s="138"/>
      <c r="AH96" s="138"/>
      <c r="AI96" s="138"/>
      <c r="AJ96" s="138"/>
      <c r="AK96" s="138"/>
      <c r="AL96" s="138"/>
      <c r="AM96" s="138"/>
      <c r="AN96" s="138"/>
      <c r="AO96" s="138"/>
      <c r="AP96" s="138"/>
      <c r="AQ96" s="138"/>
      <c r="AR96" s="138"/>
      <c r="AS96" s="138"/>
      <c r="AT96" s="138"/>
      <c r="AU96" s="138"/>
      <c r="AV96" s="138"/>
      <c r="AW96" s="138"/>
      <c r="AX96" s="138"/>
      <c r="AY96" s="138"/>
      <c r="AZ96" s="138"/>
      <c r="BA96" s="138"/>
      <c r="BB96" s="138"/>
      <c r="BC96" s="138"/>
      <c r="BD96" s="138"/>
      <c r="BE96" s="138"/>
      <c r="BF96" s="138"/>
      <c r="BG96" s="138"/>
      <c r="BH96" s="138"/>
      <c r="BI96" s="138"/>
      <c r="BJ96" s="138"/>
      <c r="BK96" s="138"/>
      <c r="BL96" s="138"/>
      <c r="BM96" s="138"/>
      <c r="BN96" s="138"/>
      <c r="BO96" s="138"/>
      <c r="BP96" s="138"/>
      <c r="BQ96" s="138"/>
      <c r="BR96" s="138"/>
      <c r="BS96" s="138"/>
      <c r="BT96" s="138"/>
      <c r="BU96" s="138"/>
      <c r="BV96" s="138"/>
      <c r="BW96" s="138"/>
      <c r="BX96" s="138"/>
    </row>
    <row r="97" spans="2:76" s="137" customFormat="1">
      <c r="B97" s="9"/>
      <c r="C97" s="9"/>
      <c r="D97" s="9"/>
      <c r="E97" s="9"/>
      <c r="F97" s="9"/>
      <c r="G97" s="9"/>
      <c r="H97" s="9"/>
      <c r="I97" s="9"/>
      <c r="J97" s="9"/>
      <c r="K97" s="9"/>
      <c r="L97" s="9"/>
      <c r="M97" s="9"/>
      <c r="N97" s="9"/>
      <c r="O97" s="9"/>
      <c r="P97" s="9"/>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c r="BD97" s="138"/>
      <c r="BE97" s="138"/>
      <c r="BF97" s="138"/>
      <c r="BG97" s="138"/>
      <c r="BH97" s="138"/>
      <c r="BI97" s="138"/>
      <c r="BJ97" s="138"/>
      <c r="BK97" s="138"/>
      <c r="BL97" s="138"/>
      <c r="BM97" s="138"/>
      <c r="BN97" s="138"/>
      <c r="BO97" s="138"/>
      <c r="BP97" s="138"/>
      <c r="BQ97" s="138"/>
      <c r="BR97" s="138"/>
      <c r="BS97" s="138"/>
      <c r="BT97" s="138"/>
      <c r="BU97" s="138"/>
      <c r="BV97" s="138"/>
      <c r="BW97" s="138"/>
      <c r="BX97" s="138"/>
    </row>
    <row r="98" spans="2:76" s="137" customFormat="1">
      <c r="B98" s="9"/>
      <c r="C98" s="9"/>
      <c r="D98" s="9"/>
      <c r="E98" s="9"/>
      <c r="F98" s="9"/>
      <c r="G98" s="9"/>
      <c r="H98" s="9"/>
      <c r="I98" s="9"/>
      <c r="J98" s="9"/>
      <c r="K98" s="9"/>
      <c r="L98" s="9"/>
      <c r="M98" s="9"/>
      <c r="N98" s="9"/>
      <c r="O98" s="9"/>
      <c r="P98" s="9"/>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c r="AW98" s="138"/>
      <c r="AX98" s="138"/>
      <c r="AY98" s="138"/>
      <c r="AZ98" s="138"/>
      <c r="BA98" s="138"/>
      <c r="BB98" s="138"/>
      <c r="BC98" s="138"/>
      <c r="BD98" s="138"/>
      <c r="BE98" s="138"/>
      <c r="BF98" s="138"/>
      <c r="BG98" s="138"/>
      <c r="BH98" s="138"/>
      <c r="BI98" s="138"/>
      <c r="BJ98" s="138"/>
      <c r="BK98" s="138"/>
      <c r="BL98" s="138"/>
      <c r="BM98" s="138"/>
      <c r="BN98" s="138"/>
      <c r="BO98" s="138"/>
      <c r="BP98" s="138"/>
      <c r="BQ98" s="138"/>
      <c r="BR98" s="138"/>
      <c r="BS98" s="138"/>
      <c r="BT98" s="138"/>
      <c r="BU98" s="138"/>
      <c r="BV98" s="138"/>
      <c r="BW98" s="138"/>
      <c r="BX98" s="138"/>
    </row>
    <row r="99" spans="2:76" s="137" customFormat="1">
      <c r="B99" s="9"/>
      <c r="C99" s="9"/>
      <c r="D99" s="9"/>
      <c r="E99" s="9"/>
      <c r="F99" s="9"/>
      <c r="G99" s="9"/>
      <c r="H99" s="9"/>
      <c r="I99" s="9"/>
      <c r="J99" s="9"/>
      <c r="K99" s="9"/>
      <c r="L99" s="9"/>
      <c r="M99" s="9"/>
      <c r="N99" s="9"/>
      <c r="O99" s="9"/>
      <c r="P99" s="9"/>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8"/>
      <c r="BO99" s="138"/>
      <c r="BP99" s="138"/>
      <c r="BQ99" s="138"/>
      <c r="BR99" s="138"/>
      <c r="BS99" s="138"/>
      <c r="BT99" s="138"/>
      <c r="BU99" s="138"/>
      <c r="BV99" s="138"/>
      <c r="BW99" s="138"/>
      <c r="BX99" s="138"/>
    </row>
    <row r="100" spans="2:76" s="137" customFormat="1">
      <c r="B100" s="9"/>
      <c r="C100" s="9"/>
      <c r="D100" s="9"/>
      <c r="E100" s="9"/>
      <c r="F100" s="9"/>
      <c r="G100" s="9"/>
      <c r="H100" s="9"/>
      <c r="I100" s="9"/>
      <c r="J100" s="9"/>
      <c r="K100" s="9"/>
      <c r="L100" s="9"/>
      <c r="M100" s="9"/>
      <c r="N100" s="9"/>
      <c r="O100" s="9"/>
      <c r="P100" s="9"/>
      <c r="R100" s="138"/>
      <c r="S100" s="138"/>
      <c r="T100" s="138"/>
      <c r="U100" s="138"/>
      <c r="V100" s="138"/>
      <c r="W100" s="138"/>
      <c r="X100" s="138"/>
      <c r="Y100" s="138"/>
      <c r="Z100" s="138"/>
      <c r="AA100" s="138"/>
      <c r="AB100" s="138"/>
      <c r="AC100" s="138"/>
      <c r="AD100" s="138"/>
      <c r="AE100" s="138"/>
      <c r="AF100" s="138"/>
      <c r="AG100" s="138"/>
      <c r="AH100" s="138"/>
      <c r="AI100" s="138"/>
      <c r="AJ100" s="138"/>
      <c r="AK100" s="138"/>
      <c r="AL100" s="138"/>
      <c r="AM100" s="138"/>
      <c r="AN100" s="138"/>
      <c r="AO100" s="138"/>
      <c r="AP100" s="138"/>
      <c r="AQ100" s="138"/>
      <c r="AR100" s="138"/>
      <c r="AS100" s="138"/>
      <c r="AT100" s="138"/>
      <c r="AU100" s="138"/>
      <c r="AV100" s="138"/>
      <c r="AW100" s="138"/>
      <c r="AX100" s="138"/>
      <c r="AY100" s="138"/>
      <c r="AZ100" s="138"/>
      <c r="BA100" s="138"/>
      <c r="BB100" s="138"/>
      <c r="BC100" s="138"/>
      <c r="BD100" s="138"/>
      <c r="BE100" s="138"/>
      <c r="BF100" s="138"/>
      <c r="BG100" s="138"/>
      <c r="BH100" s="138"/>
      <c r="BI100" s="138"/>
      <c r="BJ100" s="138"/>
      <c r="BK100" s="138"/>
      <c r="BL100" s="138"/>
      <c r="BM100" s="138"/>
      <c r="BN100" s="138"/>
      <c r="BO100" s="138"/>
      <c r="BP100" s="138"/>
      <c r="BQ100" s="138"/>
      <c r="BR100" s="138"/>
      <c r="BS100" s="138"/>
      <c r="BT100" s="138"/>
      <c r="BU100" s="138"/>
      <c r="BV100" s="138"/>
      <c r="BW100" s="138"/>
      <c r="BX100" s="138"/>
    </row>
    <row r="101" spans="2:76" s="137" customFormat="1">
      <c r="B101" s="9"/>
      <c r="C101" s="9"/>
      <c r="D101" s="9"/>
      <c r="E101" s="9"/>
      <c r="F101" s="9"/>
      <c r="G101" s="9"/>
      <c r="H101" s="9"/>
      <c r="I101" s="9"/>
      <c r="J101" s="9"/>
      <c r="K101" s="9"/>
      <c r="L101" s="9"/>
      <c r="M101" s="9"/>
      <c r="N101" s="9"/>
      <c r="O101" s="9"/>
      <c r="P101" s="9"/>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c r="BD101" s="138"/>
      <c r="BE101" s="138"/>
      <c r="BF101" s="138"/>
      <c r="BG101" s="138"/>
      <c r="BH101" s="138"/>
      <c r="BI101" s="138"/>
      <c r="BJ101" s="138"/>
      <c r="BK101" s="138"/>
      <c r="BL101" s="138"/>
      <c r="BM101" s="138"/>
      <c r="BN101" s="138"/>
      <c r="BO101" s="138"/>
      <c r="BP101" s="138"/>
      <c r="BQ101" s="138"/>
      <c r="BR101" s="138"/>
      <c r="BS101" s="138"/>
      <c r="BT101" s="138"/>
      <c r="BU101" s="138"/>
      <c r="BV101" s="138"/>
      <c r="BW101" s="138"/>
      <c r="BX101" s="138"/>
    </row>
    <row r="102" spans="2:76" s="137" customFormat="1">
      <c r="B102" s="9"/>
      <c r="C102" s="9"/>
      <c r="D102" s="9"/>
      <c r="E102" s="9"/>
      <c r="F102" s="9"/>
      <c r="G102" s="9"/>
      <c r="H102" s="9"/>
      <c r="I102" s="9"/>
      <c r="J102" s="9"/>
      <c r="K102" s="9"/>
      <c r="L102" s="9"/>
      <c r="M102" s="9"/>
      <c r="N102" s="9"/>
      <c r="O102" s="9"/>
      <c r="P102" s="9"/>
      <c r="R102" s="138"/>
      <c r="S102" s="138"/>
      <c r="T102" s="138"/>
      <c r="U102" s="138"/>
      <c r="V102" s="138"/>
      <c r="W102" s="138"/>
      <c r="X102" s="138"/>
      <c r="Y102" s="138"/>
      <c r="Z102" s="138"/>
      <c r="AA102" s="138"/>
      <c r="AB102" s="138"/>
      <c r="AC102" s="138"/>
      <c r="AD102" s="138"/>
      <c r="AE102" s="138"/>
      <c r="AF102" s="138"/>
      <c r="AG102" s="138"/>
      <c r="AH102" s="138"/>
      <c r="AI102" s="138"/>
      <c r="AJ102" s="138"/>
      <c r="AK102" s="138"/>
      <c r="AL102" s="138"/>
      <c r="AM102" s="138"/>
      <c r="AN102" s="138"/>
      <c r="AO102" s="138"/>
      <c r="AP102" s="138"/>
      <c r="AQ102" s="138"/>
      <c r="AR102" s="138"/>
      <c r="AS102" s="138"/>
      <c r="AT102" s="138"/>
      <c r="AU102" s="138"/>
      <c r="AV102" s="138"/>
      <c r="AW102" s="138"/>
      <c r="AX102" s="138"/>
      <c r="AY102" s="138"/>
      <c r="AZ102" s="138"/>
      <c r="BA102" s="138"/>
      <c r="BB102" s="138"/>
      <c r="BC102" s="138"/>
      <c r="BD102" s="138"/>
      <c r="BE102" s="138"/>
      <c r="BF102" s="138"/>
      <c r="BG102" s="138"/>
      <c r="BH102" s="138"/>
      <c r="BI102" s="138"/>
      <c r="BJ102" s="138"/>
      <c r="BK102" s="138"/>
      <c r="BL102" s="138"/>
      <c r="BM102" s="138"/>
      <c r="BN102" s="138"/>
      <c r="BO102" s="138"/>
      <c r="BP102" s="138"/>
      <c r="BQ102" s="138"/>
      <c r="BR102" s="138"/>
      <c r="BS102" s="138"/>
      <c r="BT102" s="138"/>
      <c r="BU102" s="138"/>
      <c r="BV102" s="138"/>
      <c r="BW102" s="138"/>
      <c r="BX102" s="138"/>
    </row>
    <row r="103" spans="2:76" s="137" customFormat="1">
      <c r="B103" s="9"/>
      <c r="C103" s="9"/>
      <c r="D103" s="9"/>
      <c r="E103" s="9"/>
      <c r="F103" s="9"/>
      <c r="G103" s="9"/>
      <c r="H103" s="9"/>
      <c r="I103" s="9"/>
      <c r="J103" s="9"/>
      <c r="K103" s="9"/>
      <c r="L103" s="9"/>
      <c r="M103" s="9"/>
      <c r="N103" s="9"/>
      <c r="O103" s="9"/>
      <c r="P103" s="9"/>
      <c r="R103" s="138"/>
      <c r="S103" s="138"/>
      <c r="T103" s="138"/>
      <c r="U103" s="138"/>
      <c r="V103" s="138"/>
      <c r="W103" s="138"/>
      <c r="X103" s="138"/>
      <c r="Y103" s="138"/>
      <c r="Z103" s="138"/>
      <c r="AA103" s="138"/>
      <c r="AB103" s="138"/>
      <c r="AC103" s="138"/>
      <c r="AD103" s="138"/>
      <c r="AE103" s="138"/>
      <c r="AF103" s="138"/>
      <c r="AG103" s="138"/>
      <c r="AH103" s="138"/>
      <c r="AI103" s="138"/>
      <c r="AJ103" s="138"/>
      <c r="AK103" s="138"/>
      <c r="AL103" s="138"/>
      <c r="AM103" s="138"/>
      <c r="AN103" s="138"/>
      <c r="AO103" s="138"/>
      <c r="AP103" s="138"/>
      <c r="AQ103" s="138"/>
      <c r="AR103" s="138"/>
      <c r="AS103" s="138"/>
      <c r="AT103" s="138"/>
      <c r="AU103" s="138"/>
      <c r="AV103" s="138"/>
      <c r="AW103" s="138"/>
      <c r="AX103" s="138"/>
      <c r="AY103" s="138"/>
      <c r="AZ103" s="138"/>
      <c r="BA103" s="138"/>
      <c r="BB103" s="138"/>
      <c r="BC103" s="138"/>
      <c r="BD103" s="138"/>
      <c r="BE103" s="138"/>
      <c r="BF103" s="138"/>
      <c r="BG103" s="138"/>
      <c r="BH103" s="138"/>
      <c r="BI103" s="138"/>
      <c r="BJ103" s="138"/>
      <c r="BK103" s="138"/>
      <c r="BL103" s="138"/>
      <c r="BM103" s="138"/>
      <c r="BN103" s="138"/>
      <c r="BO103" s="138"/>
      <c r="BP103" s="138"/>
      <c r="BQ103" s="138"/>
      <c r="BR103" s="138"/>
      <c r="BS103" s="138"/>
      <c r="BT103" s="138"/>
      <c r="BU103" s="138"/>
      <c r="BV103" s="138"/>
      <c r="BW103" s="138"/>
      <c r="BX103" s="138"/>
    </row>
    <row r="104" spans="2:76" s="137" customFormat="1">
      <c r="B104" s="9"/>
      <c r="C104" s="9"/>
      <c r="D104" s="9"/>
      <c r="E104" s="9"/>
      <c r="F104" s="9"/>
      <c r="G104" s="9"/>
      <c r="H104" s="9"/>
      <c r="I104" s="9"/>
      <c r="J104" s="9"/>
      <c r="K104" s="9"/>
      <c r="L104" s="9"/>
      <c r="M104" s="9"/>
      <c r="N104" s="9"/>
      <c r="O104" s="9"/>
      <c r="P104" s="9"/>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c r="AW104" s="138"/>
      <c r="AX104" s="138"/>
      <c r="AY104" s="138"/>
      <c r="AZ104" s="138"/>
      <c r="BA104" s="138"/>
      <c r="BB104" s="138"/>
      <c r="BC104" s="138"/>
      <c r="BD104" s="138"/>
      <c r="BE104" s="138"/>
      <c r="BF104" s="138"/>
      <c r="BG104" s="138"/>
      <c r="BH104" s="138"/>
      <c r="BI104" s="138"/>
      <c r="BJ104" s="138"/>
      <c r="BK104" s="138"/>
      <c r="BL104" s="138"/>
      <c r="BM104" s="138"/>
      <c r="BN104" s="138"/>
      <c r="BO104" s="138"/>
      <c r="BP104" s="138"/>
      <c r="BQ104" s="138"/>
      <c r="BR104" s="138"/>
      <c r="BS104" s="138"/>
      <c r="BT104" s="138"/>
      <c r="BU104" s="138"/>
      <c r="BV104" s="138"/>
      <c r="BW104" s="138"/>
      <c r="BX104" s="138"/>
    </row>
    <row r="105" spans="2:76" s="137" customFormat="1">
      <c r="B105" s="9"/>
      <c r="C105" s="9"/>
      <c r="D105" s="9"/>
      <c r="E105" s="9"/>
      <c r="F105" s="9"/>
      <c r="G105" s="9"/>
      <c r="H105" s="9"/>
      <c r="I105" s="9"/>
      <c r="J105" s="9"/>
      <c r="K105" s="9"/>
      <c r="L105" s="9"/>
      <c r="M105" s="9"/>
      <c r="N105" s="9"/>
      <c r="O105" s="9"/>
      <c r="P105" s="9"/>
      <c r="R105" s="138"/>
      <c r="S105" s="138"/>
      <c r="T105" s="138"/>
      <c r="U105" s="138"/>
      <c r="V105" s="138"/>
      <c r="W105" s="138"/>
      <c r="X105" s="138"/>
      <c r="Y105" s="138"/>
      <c r="Z105" s="138"/>
      <c r="AA105" s="138"/>
      <c r="AB105" s="138"/>
      <c r="AC105" s="138"/>
      <c r="AD105" s="138"/>
      <c r="AE105" s="138"/>
      <c r="AF105" s="138"/>
      <c r="AG105" s="138"/>
      <c r="AH105" s="138"/>
      <c r="AI105" s="138"/>
      <c r="AJ105" s="138"/>
      <c r="AK105" s="138"/>
      <c r="AL105" s="138"/>
      <c r="AM105" s="138"/>
      <c r="AN105" s="138"/>
      <c r="AO105" s="138"/>
      <c r="AP105" s="138"/>
      <c r="AQ105" s="138"/>
      <c r="AR105" s="138"/>
      <c r="AS105" s="138"/>
      <c r="AT105" s="138"/>
      <c r="AU105" s="138"/>
      <c r="AV105" s="138"/>
      <c r="AW105" s="138"/>
      <c r="AX105" s="138"/>
      <c r="AY105" s="138"/>
      <c r="AZ105" s="138"/>
      <c r="BA105" s="138"/>
      <c r="BB105" s="138"/>
      <c r="BC105" s="138"/>
      <c r="BD105" s="138"/>
      <c r="BE105" s="138"/>
      <c r="BF105" s="138"/>
      <c r="BG105" s="138"/>
      <c r="BH105" s="138"/>
      <c r="BI105" s="138"/>
      <c r="BJ105" s="138"/>
      <c r="BK105" s="138"/>
      <c r="BL105" s="138"/>
      <c r="BM105" s="138"/>
      <c r="BN105" s="138"/>
      <c r="BO105" s="138"/>
      <c r="BP105" s="138"/>
      <c r="BQ105" s="138"/>
      <c r="BR105" s="138"/>
      <c r="BS105" s="138"/>
      <c r="BT105" s="138"/>
      <c r="BU105" s="138"/>
      <c r="BV105" s="138"/>
      <c r="BW105" s="138"/>
      <c r="BX105" s="138"/>
    </row>
    <row r="106" spans="2:76" s="137" customFormat="1">
      <c r="B106" s="9"/>
      <c r="C106" s="9"/>
      <c r="D106" s="9"/>
      <c r="E106" s="9"/>
      <c r="F106" s="9"/>
      <c r="G106" s="9"/>
      <c r="H106" s="9"/>
      <c r="I106" s="9"/>
      <c r="J106" s="9"/>
      <c r="K106" s="9"/>
      <c r="L106" s="9"/>
      <c r="M106" s="9"/>
      <c r="N106" s="9"/>
      <c r="O106" s="9"/>
      <c r="P106" s="9"/>
      <c r="R106" s="138"/>
      <c r="S106" s="138"/>
      <c r="T106" s="138"/>
      <c r="U106" s="138"/>
      <c r="V106" s="138"/>
      <c r="W106" s="138"/>
      <c r="X106" s="138"/>
      <c r="Y106" s="138"/>
      <c r="Z106" s="138"/>
      <c r="AA106" s="138"/>
      <c r="AB106" s="138"/>
      <c r="AC106" s="138"/>
      <c r="AD106" s="138"/>
      <c r="AE106" s="138"/>
      <c r="AF106" s="138"/>
      <c r="AG106" s="138"/>
      <c r="AH106" s="138"/>
      <c r="AI106" s="138"/>
      <c r="AJ106" s="138"/>
      <c r="AK106" s="138"/>
      <c r="AL106" s="138"/>
      <c r="AM106" s="138"/>
      <c r="AN106" s="138"/>
      <c r="AO106" s="138"/>
      <c r="AP106" s="138"/>
      <c r="AQ106" s="138"/>
      <c r="AR106" s="138"/>
      <c r="AS106" s="138"/>
      <c r="AT106" s="138"/>
      <c r="AU106" s="138"/>
      <c r="AV106" s="138"/>
      <c r="AW106" s="138"/>
      <c r="AX106" s="138"/>
      <c r="AY106" s="138"/>
      <c r="AZ106" s="138"/>
      <c r="BA106" s="138"/>
      <c r="BB106" s="138"/>
      <c r="BC106" s="138"/>
      <c r="BD106" s="138"/>
      <c r="BE106" s="138"/>
      <c r="BF106" s="138"/>
      <c r="BG106" s="138"/>
      <c r="BH106" s="138"/>
      <c r="BI106" s="138"/>
      <c r="BJ106" s="138"/>
      <c r="BK106" s="138"/>
      <c r="BL106" s="138"/>
      <c r="BM106" s="138"/>
      <c r="BN106" s="138"/>
      <c r="BO106" s="138"/>
      <c r="BP106" s="138"/>
      <c r="BQ106" s="138"/>
      <c r="BR106" s="138"/>
      <c r="BS106" s="138"/>
      <c r="BT106" s="138"/>
      <c r="BU106" s="138"/>
      <c r="BV106" s="138"/>
      <c r="BW106" s="138"/>
      <c r="BX106" s="138"/>
    </row>
    <row r="107" spans="2:76" s="137" customFormat="1">
      <c r="B107" s="9"/>
      <c r="C107" s="9"/>
      <c r="D107" s="9"/>
      <c r="E107" s="9"/>
      <c r="F107" s="9"/>
      <c r="G107" s="9"/>
      <c r="H107" s="9"/>
      <c r="I107" s="9"/>
      <c r="J107" s="9"/>
      <c r="K107" s="9"/>
      <c r="L107" s="9"/>
      <c r="M107" s="9"/>
      <c r="N107" s="9"/>
      <c r="O107" s="9"/>
      <c r="P107" s="9"/>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c r="AW107" s="138"/>
      <c r="AX107" s="138"/>
      <c r="AY107" s="138"/>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c r="BT107" s="138"/>
      <c r="BU107" s="138"/>
      <c r="BV107" s="138"/>
      <c r="BW107" s="138"/>
      <c r="BX107" s="138"/>
    </row>
    <row r="108" spans="2:76" s="137" customFormat="1">
      <c r="B108" s="9"/>
      <c r="C108" s="9"/>
      <c r="D108" s="9"/>
      <c r="E108" s="9"/>
      <c r="F108" s="9"/>
      <c r="G108" s="9"/>
      <c r="H108" s="9"/>
      <c r="I108" s="9"/>
      <c r="J108" s="9"/>
      <c r="K108" s="9"/>
      <c r="L108" s="9"/>
      <c r="M108" s="9"/>
      <c r="N108" s="9"/>
      <c r="O108" s="9"/>
      <c r="P108" s="9"/>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row>
    <row r="109" spans="2:76" s="137" customFormat="1">
      <c r="B109" s="9"/>
      <c r="C109" s="9"/>
      <c r="D109" s="9"/>
      <c r="E109" s="9"/>
      <c r="F109" s="9"/>
      <c r="G109" s="9"/>
      <c r="H109" s="9"/>
      <c r="I109" s="9"/>
      <c r="J109" s="9"/>
      <c r="K109" s="9"/>
      <c r="L109" s="9"/>
      <c r="M109" s="9"/>
      <c r="N109" s="9"/>
      <c r="O109" s="9"/>
      <c r="P109" s="9"/>
      <c r="R109" s="138"/>
      <c r="S109" s="138"/>
      <c r="T109" s="138"/>
      <c r="U109" s="138"/>
      <c r="V109" s="138"/>
      <c r="W109" s="138"/>
      <c r="X109" s="138"/>
      <c r="Y109" s="138"/>
      <c r="Z109" s="138"/>
      <c r="AA109" s="138"/>
      <c r="AB109" s="138"/>
      <c r="AC109" s="138"/>
      <c r="AD109" s="138"/>
      <c r="AE109" s="138"/>
      <c r="AF109" s="138"/>
      <c r="AG109" s="138"/>
      <c r="AH109" s="138"/>
      <c r="AI109" s="138"/>
      <c r="AJ109" s="138"/>
      <c r="AK109" s="138"/>
      <c r="AL109" s="138"/>
      <c r="AM109" s="138"/>
      <c r="AN109" s="138"/>
      <c r="AO109" s="138"/>
      <c r="AP109" s="138"/>
      <c r="AQ109" s="138"/>
      <c r="AR109" s="138"/>
      <c r="AS109" s="138"/>
      <c r="AT109" s="138"/>
      <c r="AU109" s="138"/>
      <c r="AV109" s="138"/>
      <c r="AW109" s="138"/>
      <c r="AX109" s="138"/>
      <c r="AY109" s="138"/>
      <c r="AZ109" s="138"/>
      <c r="BA109" s="138"/>
      <c r="BB109" s="138"/>
      <c r="BC109" s="138"/>
      <c r="BD109" s="138"/>
      <c r="BE109" s="138"/>
      <c r="BF109" s="138"/>
      <c r="BG109" s="138"/>
      <c r="BH109" s="138"/>
      <c r="BI109" s="138"/>
      <c r="BJ109" s="138"/>
      <c r="BK109" s="138"/>
      <c r="BL109" s="138"/>
      <c r="BM109" s="138"/>
      <c r="BN109" s="138"/>
      <c r="BO109" s="138"/>
      <c r="BP109" s="138"/>
      <c r="BQ109" s="138"/>
      <c r="BR109" s="138"/>
      <c r="BS109" s="138"/>
      <c r="BT109" s="138"/>
      <c r="BU109" s="138"/>
      <c r="BV109" s="138"/>
      <c r="BW109" s="138"/>
      <c r="BX109" s="138"/>
    </row>
    <row r="110" spans="2:76" s="137" customFormat="1">
      <c r="B110" s="9"/>
      <c r="C110" s="9"/>
      <c r="D110" s="9"/>
      <c r="E110" s="9"/>
      <c r="F110" s="9"/>
      <c r="G110" s="9"/>
      <c r="H110" s="9"/>
      <c r="I110" s="9"/>
      <c r="J110" s="9"/>
      <c r="K110" s="9"/>
      <c r="L110" s="9"/>
      <c r="M110" s="9"/>
      <c r="N110" s="9"/>
      <c r="O110" s="9"/>
      <c r="P110" s="9"/>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38"/>
      <c r="BK110" s="138"/>
      <c r="BL110" s="138"/>
      <c r="BM110" s="138"/>
      <c r="BN110" s="138"/>
      <c r="BO110" s="138"/>
      <c r="BP110" s="138"/>
      <c r="BQ110" s="138"/>
      <c r="BR110" s="138"/>
      <c r="BS110" s="138"/>
      <c r="BT110" s="138"/>
      <c r="BU110" s="138"/>
      <c r="BV110" s="138"/>
      <c r="BW110" s="138"/>
      <c r="BX110" s="138"/>
    </row>
    <row r="111" spans="2:76" s="137" customFormat="1">
      <c r="B111" s="9"/>
      <c r="C111" s="9"/>
      <c r="D111" s="9"/>
      <c r="E111" s="9"/>
      <c r="F111" s="9"/>
      <c r="G111" s="9"/>
      <c r="H111" s="9"/>
      <c r="I111" s="9"/>
      <c r="J111" s="9"/>
      <c r="K111" s="9"/>
      <c r="L111" s="9"/>
      <c r="M111" s="9"/>
      <c r="N111" s="9"/>
      <c r="O111" s="9"/>
      <c r="P111" s="9"/>
      <c r="R111" s="138"/>
      <c r="S111" s="138"/>
      <c r="T111" s="138"/>
      <c r="U111" s="138"/>
      <c r="V111" s="138"/>
      <c r="W111" s="138"/>
      <c r="X111" s="138"/>
      <c r="Y111" s="138"/>
      <c r="Z111" s="138"/>
      <c r="AA111" s="138"/>
      <c r="AB111" s="138"/>
      <c r="AC111" s="138"/>
      <c r="AD111" s="138"/>
      <c r="AE111" s="138"/>
      <c r="AF111" s="138"/>
      <c r="AG111" s="138"/>
      <c r="AH111" s="138"/>
      <c r="AI111" s="138"/>
      <c r="AJ111" s="138"/>
      <c r="AK111" s="138"/>
      <c r="AL111" s="138"/>
      <c r="AM111" s="138"/>
      <c r="AN111" s="138"/>
      <c r="AO111" s="138"/>
      <c r="AP111" s="138"/>
      <c r="AQ111" s="138"/>
      <c r="AR111" s="138"/>
      <c r="AS111" s="138"/>
      <c r="AT111" s="138"/>
      <c r="AU111" s="138"/>
      <c r="AV111" s="138"/>
      <c r="AW111" s="138"/>
      <c r="AX111" s="138"/>
      <c r="AY111" s="138"/>
      <c r="AZ111" s="138"/>
      <c r="BA111" s="138"/>
      <c r="BB111" s="138"/>
      <c r="BC111" s="138"/>
      <c r="BD111" s="138"/>
      <c r="BE111" s="138"/>
      <c r="BF111" s="138"/>
      <c r="BG111" s="138"/>
      <c r="BH111" s="138"/>
      <c r="BI111" s="138"/>
      <c r="BJ111" s="138"/>
      <c r="BK111" s="138"/>
      <c r="BL111" s="138"/>
      <c r="BM111" s="138"/>
      <c r="BN111" s="138"/>
      <c r="BO111" s="138"/>
      <c r="BP111" s="138"/>
      <c r="BQ111" s="138"/>
      <c r="BR111" s="138"/>
      <c r="BS111" s="138"/>
      <c r="BT111" s="138"/>
      <c r="BU111" s="138"/>
      <c r="BV111" s="138"/>
      <c r="BW111" s="138"/>
      <c r="BX111" s="138"/>
    </row>
    <row r="112" spans="2:76" s="137" customFormat="1">
      <c r="B112" s="9"/>
      <c r="C112" s="9"/>
      <c r="D112" s="9"/>
      <c r="E112" s="9"/>
      <c r="F112" s="9"/>
      <c r="G112" s="9"/>
      <c r="H112" s="9"/>
      <c r="I112" s="9"/>
      <c r="J112" s="9"/>
      <c r="K112" s="9"/>
      <c r="L112" s="9"/>
      <c r="M112" s="9"/>
      <c r="N112" s="9"/>
      <c r="O112" s="9"/>
      <c r="P112" s="9"/>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c r="AW112" s="138"/>
      <c r="AX112" s="138"/>
      <c r="AY112" s="138"/>
      <c r="AZ112" s="138"/>
      <c r="BA112" s="138"/>
      <c r="BB112" s="138"/>
      <c r="BC112" s="138"/>
      <c r="BD112" s="138"/>
      <c r="BE112" s="138"/>
      <c r="BF112" s="138"/>
      <c r="BG112" s="138"/>
      <c r="BH112" s="138"/>
      <c r="BI112" s="138"/>
      <c r="BJ112" s="138"/>
      <c r="BK112" s="138"/>
      <c r="BL112" s="138"/>
      <c r="BM112" s="138"/>
      <c r="BN112" s="138"/>
      <c r="BO112" s="138"/>
      <c r="BP112" s="138"/>
      <c r="BQ112" s="138"/>
      <c r="BR112" s="138"/>
      <c r="BS112" s="138"/>
      <c r="BT112" s="138"/>
      <c r="BU112" s="138"/>
      <c r="BV112" s="138"/>
      <c r="BW112" s="138"/>
      <c r="BX112" s="138"/>
    </row>
    <row r="113" spans="2:76" s="137" customFormat="1">
      <c r="B113" s="9"/>
      <c r="C113" s="9"/>
      <c r="D113" s="9"/>
      <c r="E113" s="9"/>
      <c r="F113" s="9"/>
      <c r="G113" s="9"/>
      <c r="H113" s="9"/>
      <c r="I113" s="9"/>
      <c r="J113" s="9"/>
      <c r="K113" s="9"/>
      <c r="L113" s="9"/>
      <c r="M113" s="9"/>
      <c r="N113" s="9"/>
      <c r="O113" s="9"/>
      <c r="P113" s="9"/>
      <c r="R113" s="138"/>
      <c r="S113" s="138"/>
      <c r="T113" s="138"/>
      <c r="U113" s="138"/>
      <c r="V113" s="138"/>
      <c r="W113" s="138"/>
      <c r="X113" s="138"/>
      <c r="Y113" s="138"/>
      <c r="Z113" s="138"/>
      <c r="AA113" s="138"/>
      <c r="AB113" s="138"/>
      <c r="AC113" s="138"/>
      <c r="AD113" s="138"/>
      <c r="AE113" s="138"/>
      <c r="AF113" s="138"/>
      <c r="AG113" s="138"/>
      <c r="AH113" s="138"/>
      <c r="AI113" s="138"/>
      <c r="AJ113" s="138"/>
      <c r="AK113" s="138"/>
      <c r="AL113" s="138"/>
      <c r="AM113" s="138"/>
      <c r="AN113" s="138"/>
      <c r="AO113" s="138"/>
      <c r="AP113" s="138"/>
      <c r="AQ113" s="138"/>
      <c r="AR113" s="138"/>
      <c r="AS113" s="138"/>
      <c r="AT113" s="138"/>
      <c r="AU113" s="138"/>
      <c r="AV113" s="138"/>
      <c r="AW113" s="138"/>
      <c r="AX113" s="138"/>
      <c r="AY113" s="138"/>
      <c r="AZ113" s="138"/>
      <c r="BA113" s="138"/>
      <c r="BB113" s="138"/>
      <c r="BC113" s="138"/>
      <c r="BD113" s="138"/>
      <c r="BE113" s="138"/>
      <c r="BF113" s="138"/>
      <c r="BG113" s="138"/>
      <c r="BH113" s="138"/>
      <c r="BI113" s="138"/>
      <c r="BJ113" s="138"/>
      <c r="BK113" s="138"/>
      <c r="BL113" s="138"/>
      <c r="BM113" s="138"/>
      <c r="BN113" s="138"/>
      <c r="BO113" s="138"/>
      <c r="BP113" s="138"/>
      <c r="BQ113" s="138"/>
      <c r="BR113" s="138"/>
      <c r="BS113" s="138"/>
      <c r="BT113" s="138"/>
      <c r="BU113" s="138"/>
      <c r="BV113" s="138"/>
      <c r="BW113" s="138"/>
      <c r="BX113" s="138"/>
    </row>
    <row r="114" spans="2:76" s="137" customFormat="1">
      <c r="B114" s="9"/>
      <c r="C114" s="9"/>
      <c r="D114" s="9"/>
      <c r="E114" s="9"/>
      <c r="F114" s="9"/>
      <c r="G114" s="9"/>
      <c r="H114" s="9"/>
      <c r="I114" s="9"/>
      <c r="J114" s="9"/>
      <c r="K114" s="9"/>
      <c r="L114" s="9"/>
      <c r="M114" s="9"/>
      <c r="N114" s="9"/>
      <c r="O114" s="9"/>
      <c r="P114" s="9"/>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c r="AW114" s="138"/>
      <c r="AX114" s="138"/>
      <c r="AY114" s="138"/>
      <c r="AZ114" s="138"/>
      <c r="BA114" s="138"/>
      <c r="BB114" s="138"/>
      <c r="BC114" s="138"/>
      <c r="BD114" s="138"/>
      <c r="BE114" s="138"/>
      <c r="BF114" s="138"/>
      <c r="BG114" s="138"/>
      <c r="BH114" s="138"/>
      <c r="BI114" s="138"/>
      <c r="BJ114" s="138"/>
      <c r="BK114" s="138"/>
      <c r="BL114" s="138"/>
      <c r="BM114" s="138"/>
      <c r="BN114" s="138"/>
      <c r="BO114" s="138"/>
      <c r="BP114" s="138"/>
      <c r="BQ114" s="138"/>
      <c r="BR114" s="138"/>
      <c r="BS114" s="138"/>
      <c r="BT114" s="138"/>
      <c r="BU114" s="138"/>
      <c r="BV114" s="138"/>
      <c r="BW114" s="138"/>
      <c r="BX114" s="138"/>
    </row>
    <row r="115" spans="2:76" s="137" customFormat="1">
      <c r="B115" s="9"/>
      <c r="C115" s="9"/>
      <c r="D115" s="9"/>
      <c r="E115" s="9"/>
      <c r="F115" s="9"/>
      <c r="G115" s="9"/>
      <c r="H115" s="9"/>
      <c r="I115" s="9"/>
      <c r="J115" s="9"/>
      <c r="K115" s="9"/>
      <c r="L115" s="9"/>
      <c r="M115" s="9"/>
      <c r="N115" s="9"/>
      <c r="O115" s="9"/>
      <c r="P115" s="9"/>
      <c r="R115" s="138"/>
      <c r="S115" s="138"/>
      <c r="T115" s="138"/>
      <c r="U115" s="138"/>
      <c r="V115" s="138"/>
      <c r="W115" s="138"/>
      <c r="X115" s="138"/>
      <c r="Y115" s="138"/>
      <c r="Z115" s="138"/>
      <c r="AA115" s="138"/>
      <c r="AB115" s="138"/>
      <c r="AC115" s="138"/>
      <c r="AD115" s="138"/>
      <c r="AE115" s="138"/>
      <c r="AF115" s="138"/>
      <c r="AG115" s="138"/>
      <c r="AH115" s="138"/>
      <c r="AI115" s="138"/>
      <c r="AJ115" s="138"/>
      <c r="AK115" s="138"/>
      <c r="AL115" s="138"/>
      <c r="AM115" s="138"/>
      <c r="AN115" s="138"/>
      <c r="AO115" s="138"/>
      <c r="AP115" s="138"/>
      <c r="AQ115" s="138"/>
      <c r="AR115" s="138"/>
      <c r="AS115" s="138"/>
      <c r="AT115" s="138"/>
      <c r="AU115" s="138"/>
      <c r="AV115" s="138"/>
      <c r="AW115" s="138"/>
      <c r="AX115" s="138"/>
      <c r="AY115" s="138"/>
      <c r="AZ115" s="138"/>
      <c r="BA115" s="138"/>
      <c r="BB115" s="138"/>
      <c r="BC115" s="138"/>
      <c r="BD115" s="138"/>
      <c r="BE115" s="138"/>
      <c r="BF115" s="138"/>
      <c r="BG115" s="138"/>
      <c r="BH115" s="138"/>
      <c r="BI115" s="138"/>
      <c r="BJ115" s="138"/>
      <c r="BK115" s="138"/>
      <c r="BL115" s="138"/>
      <c r="BM115" s="138"/>
      <c r="BN115" s="138"/>
      <c r="BO115" s="138"/>
      <c r="BP115" s="138"/>
      <c r="BQ115" s="138"/>
      <c r="BR115" s="138"/>
      <c r="BS115" s="138"/>
      <c r="BT115" s="138"/>
      <c r="BU115" s="138"/>
      <c r="BV115" s="138"/>
      <c r="BW115" s="138"/>
      <c r="BX115" s="138"/>
    </row>
    <row r="116" spans="2:76" s="137" customFormat="1">
      <c r="B116" s="9"/>
      <c r="C116" s="9"/>
      <c r="D116" s="9"/>
      <c r="E116" s="9"/>
      <c r="F116" s="9"/>
      <c r="G116" s="9"/>
      <c r="H116" s="9"/>
      <c r="I116" s="9"/>
      <c r="J116" s="9"/>
      <c r="K116" s="9"/>
      <c r="L116" s="9"/>
      <c r="M116" s="9"/>
      <c r="N116" s="9"/>
      <c r="O116" s="9"/>
      <c r="P116" s="9"/>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c r="BD116" s="138"/>
      <c r="BE116" s="138"/>
      <c r="BF116" s="138"/>
      <c r="BG116" s="138"/>
      <c r="BH116" s="138"/>
      <c r="BI116" s="138"/>
      <c r="BJ116" s="138"/>
      <c r="BK116" s="138"/>
      <c r="BL116" s="138"/>
      <c r="BM116" s="138"/>
      <c r="BN116" s="138"/>
      <c r="BO116" s="138"/>
      <c r="BP116" s="138"/>
      <c r="BQ116" s="138"/>
      <c r="BR116" s="138"/>
      <c r="BS116" s="138"/>
      <c r="BT116" s="138"/>
      <c r="BU116" s="138"/>
      <c r="BV116" s="138"/>
      <c r="BW116" s="138"/>
      <c r="BX116" s="138"/>
    </row>
    <row r="117" spans="2:76" s="137" customFormat="1">
      <c r="B117" s="9"/>
      <c r="C117" s="9"/>
      <c r="D117" s="9"/>
      <c r="E117" s="9"/>
      <c r="F117" s="9"/>
      <c r="G117" s="9"/>
      <c r="H117" s="9"/>
      <c r="I117" s="9"/>
      <c r="J117" s="9"/>
      <c r="K117" s="9"/>
      <c r="L117" s="9"/>
      <c r="M117" s="9"/>
      <c r="N117" s="9"/>
      <c r="O117" s="9"/>
      <c r="P117" s="9"/>
      <c r="R117" s="138"/>
      <c r="S117" s="138"/>
      <c r="T117" s="138"/>
      <c r="U117" s="138"/>
      <c r="V117" s="138"/>
      <c r="W117" s="138"/>
      <c r="X117" s="138"/>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138"/>
      <c r="AU117" s="138"/>
      <c r="AV117" s="138"/>
      <c r="AW117" s="138"/>
      <c r="AX117" s="138"/>
      <c r="AY117" s="138"/>
      <c r="AZ117" s="138"/>
      <c r="BA117" s="138"/>
      <c r="BB117" s="138"/>
      <c r="BC117" s="138"/>
      <c r="BD117" s="138"/>
      <c r="BE117" s="138"/>
      <c r="BF117" s="138"/>
      <c r="BG117" s="138"/>
      <c r="BH117" s="138"/>
      <c r="BI117" s="138"/>
      <c r="BJ117" s="138"/>
      <c r="BK117" s="138"/>
      <c r="BL117" s="138"/>
      <c r="BM117" s="138"/>
      <c r="BN117" s="138"/>
      <c r="BO117" s="138"/>
      <c r="BP117" s="138"/>
      <c r="BQ117" s="138"/>
      <c r="BR117" s="138"/>
      <c r="BS117" s="138"/>
      <c r="BT117" s="138"/>
      <c r="BU117" s="138"/>
      <c r="BV117" s="138"/>
      <c r="BW117" s="138"/>
      <c r="BX117" s="138"/>
    </row>
    <row r="118" spans="2:76" s="137" customFormat="1">
      <c r="B118" s="9"/>
      <c r="C118" s="9"/>
      <c r="D118" s="9"/>
      <c r="E118" s="9"/>
      <c r="F118" s="9"/>
      <c r="G118" s="9"/>
      <c r="H118" s="9"/>
      <c r="I118" s="9"/>
      <c r="J118" s="9"/>
      <c r="K118" s="9"/>
      <c r="L118" s="9"/>
      <c r="M118" s="9"/>
      <c r="N118" s="9"/>
      <c r="O118" s="9"/>
      <c r="P118" s="9"/>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c r="AW118" s="138"/>
      <c r="AX118" s="138"/>
      <c r="AY118" s="138"/>
      <c r="AZ118" s="138"/>
      <c r="BA118" s="138"/>
      <c r="BB118" s="138"/>
      <c r="BC118" s="138"/>
      <c r="BD118" s="138"/>
      <c r="BE118" s="138"/>
      <c r="BF118" s="138"/>
      <c r="BG118" s="138"/>
      <c r="BH118" s="138"/>
      <c r="BI118" s="138"/>
      <c r="BJ118" s="138"/>
      <c r="BK118" s="138"/>
      <c r="BL118" s="138"/>
      <c r="BM118" s="138"/>
      <c r="BN118" s="138"/>
      <c r="BO118" s="138"/>
      <c r="BP118" s="138"/>
      <c r="BQ118" s="138"/>
      <c r="BR118" s="138"/>
      <c r="BS118" s="138"/>
      <c r="BT118" s="138"/>
      <c r="BU118" s="138"/>
      <c r="BV118" s="138"/>
      <c r="BW118" s="138"/>
      <c r="BX118" s="138"/>
    </row>
    <row r="119" spans="2:76" s="137" customFormat="1">
      <c r="B119" s="9"/>
      <c r="C119" s="9"/>
      <c r="D119" s="9"/>
      <c r="E119" s="9"/>
      <c r="F119" s="9"/>
      <c r="G119" s="9"/>
      <c r="H119" s="9"/>
      <c r="I119" s="9"/>
      <c r="J119" s="9"/>
      <c r="K119" s="9"/>
      <c r="L119" s="9"/>
      <c r="M119" s="9"/>
      <c r="N119" s="9"/>
      <c r="O119" s="9"/>
      <c r="P119" s="9"/>
      <c r="R119" s="138"/>
      <c r="S119" s="138"/>
      <c r="T119" s="138"/>
      <c r="U119" s="138"/>
      <c r="V119" s="138"/>
      <c r="W119" s="138"/>
      <c r="X119" s="138"/>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138"/>
      <c r="AU119" s="138"/>
      <c r="AV119" s="138"/>
      <c r="AW119" s="138"/>
      <c r="AX119" s="138"/>
      <c r="AY119" s="138"/>
      <c r="AZ119" s="138"/>
      <c r="BA119" s="138"/>
      <c r="BB119" s="138"/>
      <c r="BC119" s="138"/>
      <c r="BD119" s="138"/>
      <c r="BE119" s="138"/>
      <c r="BF119" s="138"/>
      <c r="BG119" s="138"/>
      <c r="BH119" s="138"/>
      <c r="BI119" s="138"/>
      <c r="BJ119" s="138"/>
      <c r="BK119" s="138"/>
      <c r="BL119" s="138"/>
      <c r="BM119" s="138"/>
      <c r="BN119" s="138"/>
      <c r="BO119" s="138"/>
      <c r="BP119" s="138"/>
      <c r="BQ119" s="138"/>
      <c r="BR119" s="138"/>
      <c r="BS119" s="138"/>
      <c r="BT119" s="138"/>
      <c r="BU119" s="138"/>
      <c r="BV119" s="138"/>
      <c r="BW119" s="138"/>
      <c r="BX119" s="138"/>
    </row>
    <row r="120" spans="2:76" s="137" customFormat="1">
      <c r="B120" s="9"/>
      <c r="C120" s="9"/>
      <c r="D120" s="9"/>
      <c r="E120" s="9"/>
      <c r="F120" s="9"/>
      <c r="G120" s="9"/>
      <c r="H120" s="9"/>
      <c r="I120" s="9"/>
      <c r="J120" s="9"/>
      <c r="K120" s="9"/>
      <c r="L120" s="9"/>
      <c r="M120" s="9"/>
      <c r="N120" s="9"/>
      <c r="O120" s="9"/>
      <c r="P120" s="9"/>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38"/>
      <c r="BK120" s="138"/>
      <c r="BL120" s="138"/>
      <c r="BM120" s="138"/>
      <c r="BN120" s="138"/>
      <c r="BO120" s="138"/>
      <c r="BP120" s="138"/>
      <c r="BQ120" s="138"/>
      <c r="BR120" s="138"/>
      <c r="BS120" s="138"/>
      <c r="BT120" s="138"/>
      <c r="BU120" s="138"/>
      <c r="BV120" s="138"/>
      <c r="BW120" s="138"/>
      <c r="BX120" s="138"/>
    </row>
    <row r="121" spans="2:76" s="137" customFormat="1">
      <c r="B121" s="9"/>
      <c r="C121" s="9"/>
      <c r="D121" s="9"/>
      <c r="E121" s="9"/>
      <c r="F121" s="9"/>
      <c r="G121" s="9"/>
      <c r="H121" s="9"/>
      <c r="I121" s="9"/>
      <c r="J121" s="9"/>
      <c r="K121" s="9"/>
      <c r="L121" s="9"/>
      <c r="M121" s="9"/>
      <c r="N121" s="9"/>
      <c r="O121" s="9"/>
      <c r="P121" s="9"/>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c r="AW121" s="138"/>
      <c r="AX121" s="138"/>
      <c r="AY121" s="138"/>
      <c r="AZ121" s="138"/>
      <c r="BA121" s="138"/>
      <c r="BB121" s="138"/>
      <c r="BC121" s="138"/>
      <c r="BD121" s="138"/>
      <c r="BE121" s="138"/>
      <c r="BF121" s="138"/>
      <c r="BG121" s="138"/>
      <c r="BH121" s="138"/>
      <c r="BI121" s="138"/>
      <c r="BJ121" s="138"/>
      <c r="BK121" s="138"/>
      <c r="BL121" s="138"/>
      <c r="BM121" s="138"/>
      <c r="BN121" s="138"/>
      <c r="BO121" s="138"/>
      <c r="BP121" s="138"/>
      <c r="BQ121" s="138"/>
      <c r="BR121" s="138"/>
      <c r="BS121" s="138"/>
      <c r="BT121" s="138"/>
      <c r="BU121" s="138"/>
      <c r="BV121" s="138"/>
      <c r="BW121" s="138"/>
      <c r="BX121" s="138"/>
    </row>
    <row r="122" spans="2:76" s="137" customFormat="1">
      <c r="B122" s="9"/>
      <c r="C122" s="9"/>
      <c r="D122" s="9"/>
      <c r="E122" s="9"/>
      <c r="F122" s="9"/>
      <c r="G122" s="9"/>
      <c r="H122" s="9"/>
      <c r="I122" s="9"/>
      <c r="J122" s="9"/>
      <c r="K122" s="9"/>
      <c r="L122" s="9"/>
      <c r="M122" s="9"/>
      <c r="N122" s="9"/>
      <c r="O122" s="9"/>
      <c r="P122" s="9"/>
      <c r="R122" s="138"/>
      <c r="S122" s="138"/>
      <c r="T122" s="138"/>
      <c r="U122" s="138"/>
      <c r="V122" s="138"/>
      <c r="W122" s="138"/>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138"/>
      <c r="AU122" s="138"/>
      <c r="AV122" s="138"/>
      <c r="AW122" s="138"/>
      <c r="AX122" s="138"/>
      <c r="AY122" s="138"/>
      <c r="AZ122" s="138"/>
      <c r="BA122" s="138"/>
      <c r="BB122" s="138"/>
      <c r="BC122" s="138"/>
      <c r="BD122" s="138"/>
      <c r="BE122" s="138"/>
      <c r="BF122" s="138"/>
      <c r="BG122" s="138"/>
      <c r="BH122" s="138"/>
      <c r="BI122" s="138"/>
      <c r="BJ122" s="138"/>
      <c r="BK122" s="138"/>
      <c r="BL122" s="138"/>
      <c r="BM122" s="138"/>
      <c r="BN122" s="138"/>
      <c r="BO122" s="138"/>
      <c r="BP122" s="138"/>
      <c r="BQ122" s="138"/>
      <c r="BR122" s="138"/>
      <c r="BS122" s="138"/>
      <c r="BT122" s="138"/>
      <c r="BU122" s="138"/>
      <c r="BV122" s="138"/>
      <c r="BW122" s="138"/>
      <c r="BX122" s="138"/>
    </row>
    <row r="123" spans="2:76" s="137" customFormat="1">
      <c r="B123" s="9"/>
      <c r="C123" s="9"/>
      <c r="D123" s="9"/>
      <c r="E123" s="9"/>
      <c r="F123" s="9"/>
      <c r="G123" s="9"/>
      <c r="H123" s="9"/>
      <c r="I123" s="9"/>
      <c r="J123" s="9"/>
      <c r="K123" s="9"/>
      <c r="L123" s="9"/>
      <c r="M123" s="9"/>
      <c r="N123" s="9"/>
      <c r="O123" s="9"/>
      <c r="P123" s="9"/>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38"/>
      <c r="AV123" s="138"/>
      <c r="AW123" s="138"/>
      <c r="AX123" s="138"/>
      <c r="AY123" s="138"/>
      <c r="AZ123" s="138"/>
      <c r="BA123" s="138"/>
      <c r="BB123" s="138"/>
      <c r="BC123" s="138"/>
      <c r="BD123" s="138"/>
      <c r="BE123" s="138"/>
      <c r="BF123" s="138"/>
      <c r="BG123" s="138"/>
      <c r="BH123" s="138"/>
      <c r="BI123" s="138"/>
      <c r="BJ123" s="138"/>
      <c r="BK123" s="138"/>
      <c r="BL123" s="138"/>
      <c r="BM123" s="138"/>
      <c r="BN123" s="138"/>
      <c r="BO123" s="138"/>
      <c r="BP123" s="138"/>
      <c r="BQ123" s="138"/>
      <c r="BR123" s="138"/>
      <c r="BS123" s="138"/>
      <c r="BT123" s="138"/>
      <c r="BU123" s="138"/>
      <c r="BV123" s="138"/>
      <c r="BW123" s="138"/>
      <c r="BX123" s="138"/>
    </row>
    <row r="124" spans="2:76" s="137" customFormat="1">
      <c r="B124" s="9"/>
      <c r="C124" s="9"/>
      <c r="D124" s="9"/>
      <c r="E124" s="9"/>
      <c r="F124" s="9"/>
      <c r="G124" s="9"/>
      <c r="H124" s="9"/>
      <c r="I124" s="9"/>
      <c r="J124" s="9"/>
      <c r="K124" s="9"/>
      <c r="L124" s="9"/>
      <c r="M124" s="9"/>
      <c r="N124" s="9"/>
      <c r="O124" s="9"/>
      <c r="P124" s="9"/>
      <c r="R124" s="138"/>
      <c r="S124" s="138"/>
      <c r="T124" s="138"/>
      <c r="U124" s="138"/>
      <c r="V124" s="138"/>
      <c r="W124" s="138"/>
      <c r="X124" s="138"/>
      <c r="Y124" s="138"/>
      <c r="Z124" s="138"/>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38"/>
      <c r="BD124" s="138"/>
      <c r="BE124" s="138"/>
      <c r="BF124" s="138"/>
      <c r="BG124" s="138"/>
      <c r="BH124" s="138"/>
      <c r="BI124" s="138"/>
      <c r="BJ124" s="138"/>
      <c r="BK124" s="138"/>
      <c r="BL124" s="138"/>
      <c r="BM124" s="138"/>
      <c r="BN124" s="138"/>
      <c r="BO124" s="138"/>
      <c r="BP124" s="138"/>
      <c r="BQ124" s="138"/>
      <c r="BR124" s="138"/>
      <c r="BS124" s="138"/>
      <c r="BT124" s="138"/>
      <c r="BU124" s="138"/>
      <c r="BV124" s="138"/>
      <c r="BW124" s="138"/>
      <c r="BX124" s="138"/>
    </row>
    <row r="125" spans="2:76" s="137" customFormat="1">
      <c r="B125" s="9"/>
      <c r="C125" s="9"/>
      <c r="D125" s="9"/>
      <c r="E125" s="9"/>
      <c r="F125" s="9"/>
      <c r="G125" s="9"/>
      <c r="H125" s="9"/>
      <c r="I125" s="9"/>
      <c r="J125" s="9"/>
      <c r="K125" s="9"/>
      <c r="L125" s="9"/>
      <c r="M125" s="9"/>
      <c r="N125" s="9"/>
      <c r="O125" s="9"/>
      <c r="P125" s="9"/>
      <c r="R125" s="138"/>
      <c r="S125" s="138"/>
      <c r="T125" s="138"/>
      <c r="U125" s="138"/>
      <c r="V125" s="138"/>
      <c r="W125" s="138"/>
      <c r="X125" s="138"/>
      <c r="Y125" s="138"/>
      <c r="Z125" s="138"/>
      <c r="AA125" s="138"/>
      <c r="AB125" s="138"/>
      <c r="AC125" s="138"/>
      <c r="AD125" s="138"/>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38"/>
      <c r="BK125" s="138"/>
      <c r="BL125" s="138"/>
      <c r="BM125" s="138"/>
      <c r="BN125" s="138"/>
      <c r="BO125" s="138"/>
      <c r="BP125" s="138"/>
      <c r="BQ125" s="138"/>
      <c r="BR125" s="138"/>
      <c r="BS125" s="138"/>
      <c r="BT125" s="138"/>
      <c r="BU125" s="138"/>
      <c r="BV125" s="138"/>
      <c r="BW125" s="138"/>
      <c r="BX125" s="138"/>
    </row>
    <row r="126" spans="2:76" s="137" customFormat="1">
      <c r="B126" s="9"/>
      <c r="C126" s="9"/>
      <c r="D126" s="9"/>
      <c r="E126" s="9"/>
      <c r="F126" s="9"/>
      <c r="G126" s="9"/>
      <c r="H126" s="9"/>
      <c r="I126" s="9"/>
      <c r="J126" s="9"/>
      <c r="K126" s="9"/>
      <c r="L126" s="9"/>
      <c r="M126" s="9"/>
      <c r="N126" s="9"/>
      <c r="O126" s="9"/>
      <c r="P126" s="9"/>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c r="BT126" s="138"/>
      <c r="BU126" s="138"/>
      <c r="BV126" s="138"/>
      <c r="BW126" s="138"/>
      <c r="BX126" s="138"/>
    </row>
    <row r="127" spans="2:76" s="137" customFormat="1">
      <c r="B127" s="9"/>
      <c r="C127" s="9"/>
      <c r="D127" s="9"/>
      <c r="E127" s="9"/>
      <c r="F127" s="9"/>
      <c r="G127" s="9"/>
      <c r="H127" s="9"/>
      <c r="I127" s="9"/>
      <c r="J127" s="9"/>
      <c r="K127" s="9"/>
      <c r="L127" s="9"/>
      <c r="M127" s="9"/>
      <c r="N127" s="9"/>
      <c r="O127" s="9"/>
      <c r="P127" s="9"/>
      <c r="R127" s="138"/>
      <c r="S127" s="138"/>
      <c r="T127" s="138"/>
      <c r="U127" s="138"/>
      <c r="V127" s="138"/>
      <c r="W127" s="138"/>
      <c r="X127" s="138"/>
      <c r="Y127" s="138"/>
      <c r="Z127" s="138"/>
      <c r="AA127" s="138"/>
      <c r="AB127" s="138"/>
      <c r="AC127" s="138"/>
      <c r="AD127" s="138"/>
      <c r="AE127" s="138"/>
      <c r="AF127" s="138"/>
      <c r="AG127" s="138"/>
      <c r="AH127" s="138"/>
      <c r="AI127" s="138"/>
      <c r="AJ127" s="138"/>
      <c r="AK127" s="138"/>
      <c r="AL127" s="138"/>
      <c r="AM127" s="138"/>
      <c r="AN127" s="138"/>
      <c r="AO127" s="138"/>
      <c r="AP127" s="138"/>
      <c r="AQ127" s="138"/>
      <c r="AR127" s="138"/>
      <c r="AS127" s="138"/>
      <c r="AT127" s="138"/>
      <c r="AU127" s="138"/>
      <c r="AV127" s="138"/>
      <c r="AW127" s="138"/>
      <c r="AX127" s="138"/>
      <c r="AY127" s="138"/>
      <c r="AZ127" s="138"/>
      <c r="BA127" s="138"/>
      <c r="BB127" s="138"/>
      <c r="BC127" s="138"/>
      <c r="BD127" s="138"/>
      <c r="BE127" s="138"/>
      <c r="BF127" s="138"/>
      <c r="BG127" s="138"/>
      <c r="BH127" s="138"/>
      <c r="BI127" s="138"/>
      <c r="BJ127" s="138"/>
      <c r="BK127" s="138"/>
      <c r="BL127" s="138"/>
      <c r="BM127" s="138"/>
      <c r="BN127" s="138"/>
      <c r="BO127" s="138"/>
      <c r="BP127" s="138"/>
      <c r="BQ127" s="138"/>
      <c r="BR127" s="138"/>
      <c r="BS127" s="138"/>
      <c r="BT127" s="138"/>
      <c r="BU127" s="138"/>
      <c r="BV127" s="138"/>
      <c r="BW127" s="138"/>
      <c r="BX127" s="138"/>
    </row>
    <row r="128" spans="2:76" s="137" customFormat="1">
      <c r="B128" s="9"/>
      <c r="C128" s="9"/>
      <c r="D128" s="9"/>
      <c r="E128" s="9"/>
      <c r="F128" s="9"/>
      <c r="G128" s="9"/>
      <c r="H128" s="9"/>
      <c r="I128" s="9"/>
      <c r="J128" s="9"/>
      <c r="K128" s="9"/>
      <c r="L128" s="9"/>
      <c r="M128" s="9"/>
      <c r="N128" s="9"/>
      <c r="O128" s="9"/>
      <c r="P128" s="9"/>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c r="BT128" s="138"/>
      <c r="BU128" s="138"/>
      <c r="BV128" s="138"/>
      <c r="BW128" s="138"/>
      <c r="BX128" s="138"/>
    </row>
    <row r="129" spans="2:76" s="137" customFormat="1">
      <c r="B129" s="9"/>
      <c r="C129" s="9"/>
      <c r="D129" s="9"/>
      <c r="E129" s="9"/>
      <c r="F129" s="9"/>
      <c r="G129" s="9"/>
      <c r="H129" s="9"/>
      <c r="I129" s="9"/>
      <c r="J129" s="9"/>
      <c r="K129" s="9"/>
      <c r="L129" s="9"/>
      <c r="M129" s="9"/>
      <c r="N129" s="9"/>
      <c r="O129" s="9"/>
      <c r="P129" s="9"/>
      <c r="R129" s="138"/>
      <c r="S129" s="138"/>
      <c r="T129" s="138"/>
      <c r="U129" s="138"/>
      <c r="V129" s="138"/>
      <c r="W129" s="138"/>
      <c r="X129" s="138"/>
      <c r="Y129" s="138"/>
      <c r="Z129" s="138"/>
      <c r="AA129" s="138"/>
      <c r="AB129" s="138"/>
      <c r="AC129" s="138"/>
      <c r="AD129" s="138"/>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138"/>
      <c r="BB129" s="138"/>
      <c r="BC129" s="138"/>
      <c r="BD129" s="138"/>
      <c r="BE129" s="138"/>
      <c r="BF129" s="138"/>
      <c r="BG129" s="138"/>
      <c r="BH129" s="138"/>
      <c r="BI129" s="138"/>
      <c r="BJ129" s="138"/>
      <c r="BK129" s="138"/>
      <c r="BL129" s="138"/>
      <c r="BM129" s="138"/>
      <c r="BN129" s="138"/>
      <c r="BO129" s="138"/>
      <c r="BP129" s="138"/>
      <c r="BQ129" s="138"/>
      <c r="BR129" s="138"/>
      <c r="BS129" s="138"/>
      <c r="BT129" s="138"/>
      <c r="BU129" s="138"/>
      <c r="BV129" s="138"/>
      <c r="BW129" s="138"/>
      <c r="BX129" s="138"/>
    </row>
    <row r="130" spans="2:76" s="137" customFormat="1">
      <c r="B130" s="9"/>
      <c r="C130" s="9"/>
      <c r="D130" s="9"/>
      <c r="E130" s="9"/>
      <c r="F130" s="9"/>
      <c r="G130" s="9"/>
      <c r="H130" s="9"/>
      <c r="I130" s="9"/>
      <c r="J130" s="9"/>
      <c r="K130" s="9"/>
      <c r="L130" s="9"/>
      <c r="M130" s="9"/>
      <c r="N130" s="9"/>
      <c r="O130" s="9"/>
      <c r="P130" s="9"/>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c r="AW130" s="138"/>
      <c r="AX130" s="138"/>
      <c r="AY130" s="138"/>
      <c r="AZ130" s="138"/>
      <c r="BA130" s="138"/>
      <c r="BB130" s="138"/>
      <c r="BC130" s="138"/>
      <c r="BD130" s="138"/>
      <c r="BE130" s="138"/>
      <c r="BF130" s="138"/>
      <c r="BG130" s="138"/>
      <c r="BH130" s="138"/>
      <c r="BI130" s="138"/>
      <c r="BJ130" s="138"/>
      <c r="BK130" s="138"/>
      <c r="BL130" s="138"/>
      <c r="BM130" s="138"/>
      <c r="BN130" s="138"/>
      <c r="BO130" s="138"/>
      <c r="BP130" s="138"/>
      <c r="BQ130" s="138"/>
      <c r="BR130" s="138"/>
      <c r="BS130" s="138"/>
      <c r="BT130" s="138"/>
      <c r="BU130" s="138"/>
      <c r="BV130" s="138"/>
      <c r="BW130" s="138"/>
      <c r="BX130" s="138"/>
    </row>
    <row r="131" spans="2:76" s="137" customFormat="1">
      <c r="B131" s="9"/>
      <c r="C131" s="9"/>
      <c r="D131" s="9"/>
      <c r="E131" s="9"/>
      <c r="F131" s="9"/>
      <c r="G131" s="9"/>
      <c r="H131" s="9"/>
      <c r="I131" s="9"/>
      <c r="J131" s="9"/>
      <c r="K131" s="9"/>
      <c r="L131" s="9"/>
      <c r="M131" s="9"/>
      <c r="N131" s="9"/>
      <c r="O131" s="9"/>
      <c r="P131" s="9"/>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c r="AW131" s="138"/>
      <c r="AX131" s="138"/>
      <c r="AY131" s="138"/>
      <c r="AZ131" s="138"/>
      <c r="BA131" s="138"/>
      <c r="BB131" s="138"/>
      <c r="BC131" s="138"/>
      <c r="BD131" s="138"/>
      <c r="BE131" s="138"/>
      <c r="BF131" s="138"/>
      <c r="BG131" s="138"/>
      <c r="BH131" s="138"/>
      <c r="BI131" s="138"/>
      <c r="BJ131" s="138"/>
      <c r="BK131" s="138"/>
      <c r="BL131" s="138"/>
      <c r="BM131" s="138"/>
      <c r="BN131" s="138"/>
      <c r="BO131" s="138"/>
      <c r="BP131" s="138"/>
      <c r="BQ131" s="138"/>
      <c r="BR131" s="138"/>
      <c r="BS131" s="138"/>
      <c r="BT131" s="138"/>
      <c r="BU131" s="138"/>
      <c r="BV131" s="138"/>
      <c r="BW131" s="138"/>
      <c r="BX131" s="138"/>
    </row>
    <row r="132" spans="2:76" s="137" customFormat="1">
      <c r="B132" s="9"/>
      <c r="C132" s="9"/>
      <c r="D132" s="9"/>
      <c r="E132" s="9"/>
      <c r="F132" s="9"/>
      <c r="G132" s="9"/>
      <c r="H132" s="9"/>
      <c r="I132" s="9"/>
      <c r="J132" s="9"/>
      <c r="K132" s="9"/>
      <c r="L132" s="9"/>
      <c r="M132" s="9"/>
      <c r="N132" s="9"/>
      <c r="O132" s="9"/>
      <c r="P132" s="9"/>
      <c r="R132" s="138"/>
      <c r="S132" s="138"/>
      <c r="T132" s="138"/>
      <c r="U132" s="138"/>
      <c r="V132" s="138"/>
      <c r="W132" s="138"/>
      <c r="X132" s="138"/>
      <c r="Y132" s="138"/>
      <c r="Z132" s="138"/>
      <c r="AA132" s="138"/>
      <c r="AB132" s="138"/>
      <c r="AC132" s="138"/>
      <c r="AD132" s="138"/>
      <c r="AE132" s="138"/>
      <c r="AF132" s="138"/>
      <c r="AG132" s="138"/>
      <c r="AH132" s="138"/>
      <c r="AI132" s="138"/>
      <c r="AJ132" s="138"/>
      <c r="AK132" s="138"/>
      <c r="AL132" s="138"/>
      <c r="AM132" s="138"/>
      <c r="AN132" s="138"/>
      <c r="AO132" s="138"/>
      <c r="AP132" s="138"/>
      <c r="AQ132" s="138"/>
      <c r="AR132" s="138"/>
      <c r="AS132" s="138"/>
      <c r="AT132" s="138"/>
      <c r="AU132" s="138"/>
      <c r="AV132" s="138"/>
      <c r="AW132" s="138"/>
      <c r="AX132" s="138"/>
      <c r="AY132" s="138"/>
      <c r="AZ132" s="138"/>
      <c r="BA132" s="138"/>
      <c r="BB132" s="138"/>
      <c r="BC132" s="138"/>
      <c r="BD132" s="138"/>
      <c r="BE132" s="138"/>
      <c r="BF132" s="138"/>
      <c r="BG132" s="138"/>
      <c r="BH132" s="138"/>
      <c r="BI132" s="138"/>
      <c r="BJ132" s="138"/>
      <c r="BK132" s="138"/>
      <c r="BL132" s="138"/>
      <c r="BM132" s="138"/>
      <c r="BN132" s="138"/>
      <c r="BO132" s="138"/>
      <c r="BP132" s="138"/>
      <c r="BQ132" s="138"/>
      <c r="BR132" s="138"/>
      <c r="BS132" s="138"/>
      <c r="BT132" s="138"/>
      <c r="BU132" s="138"/>
      <c r="BV132" s="138"/>
      <c r="BW132" s="138"/>
      <c r="BX132" s="138"/>
    </row>
    <row r="133" spans="2:76" s="137" customFormat="1">
      <c r="B133" s="9"/>
      <c r="C133" s="9"/>
      <c r="D133" s="9"/>
      <c r="E133" s="9"/>
      <c r="F133" s="9"/>
      <c r="G133" s="9"/>
      <c r="H133" s="9"/>
      <c r="I133" s="9"/>
      <c r="J133" s="9"/>
      <c r="K133" s="9"/>
      <c r="L133" s="9"/>
      <c r="M133" s="9"/>
      <c r="N133" s="9"/>
      <c r="O133" s="9"/>
      <c r="P133" s="9"/>
      <c r="R133" s="138"/>
      <c r="S133" s="138"/>
      <c r="T133" s="138"/>
      <c r="U133" s="138"/>
      <c r="V133" s="138"/>
      <c r="W133" s="138"/>
      <c r="X133" s="138"/>
      <c r="Y133" s="138"/>
      <c r="Z133" s="138"/>
      <c r="AA133" s="138"/>
      <c r="AB133" s="138"/>
      <c r="AC133" s="138"/>
      <c r="AD133" s="138"/>
      <c r="AE133" s="138"/>
      <c r="AF133" s="138"/>
      <c r="AG133" s="138"/>
      <c r="AH133" s="138"/>
      <c r="AI133" s="138"/>
      <c r="AJ133" s="138"/>
      <c r="AK133" s="138"/>
      <c r="AL133" s="138"/>
      <c r="AM133" s="138"/>
      <c r="AN133" s="138"/>
      <c r="AO133" s="138"/>
      <c r="AP133" s="138"/>
      <c r="AQ133" s="138"/>
      <c r="AR133" s="138"/>
      <c r="AS133" s="138"/>
      <c r="AT133" s="138"/>
      <c r="AU133" s="138"/>
      <c r="AV133" s="138"/>
      <c r="AW133" s="138"/>
      <c r="AX133" s="138"/>
      <c r="AY133" s="138"/>
      <c r="AZ133" s="138"/>
      <c r="BA133" s="138"/>
      <c r="BB133" s="138"/>
      <c r="BC133" s="138"/>
      <c r="BD133" s="138"/>
      <c r="BE133" s="138"/>
      <c r="BF133" s="138"/>
      <c r="BG133" s="138"/>
      <c r="BH133" s="138"/>
      <c r="BI133" s="138"/>
      <c r="BJ133" s="138"/>
      <c r="BK133" s="138"/>
      <c r="BL133" s="138"/>
      <c r="BM133" s="138"/>
      <c r="BN133" s="138"/>
      <c r="BO133" s="138"/>
      <c r="BP133" s="138"/>
      <c r="BQ133" s="138"/>
      <c r="BR133" s="138"/>
      <c r="BS133" s="138"/>
      <c r="BT133" s="138"/>
      <c r="BU133" s="138"/>
      <c r="BV133" s="138"/>
      <c r="BW133" s="138"/>
      <c r="BX133" s="138"/>
    </row>
    <row r="134" spans="2:76" s="137" customFormat="1">
      <c r="B134" s="9"/>
      <c r="C134" s="9"/>
      <c r="D134" s="9"/>
      <c r="E134" s="9"/>
      <c r="F134" s="9"/>
      <c r="G134" s="9"/>
      <c r="H134" s="9"/>
      <c r="I134" s="9"/>
      <c r="J134" s="9"/>
      <c r="K134" s="9"/>
      <c r="L134" s="9"/>
      <c r="M134" s="9"/>
      <c r="N134" s="9"/>
      <c r="O134" s="9"/>
      <c r="P134" s="9"/>
      <c r="R134" s="138"/>
      <c r="S134" s="138"/>
      <c r="T134" s="138"/>
      <c r="U134" s="138"/>
      <c r="V134" s="138"/>
      <c r="W134" s="138"/>
      <c r="X134" s="138"/>
      <c r="Y134" s="138"/>
      <c r="Z134" s="138"/>
      <c r="AA134" s="138"/>
      <c r="AB134" s="138"/>
      <c r="AC134" s="138"/>
      <c r="AD134" s="138"/>
      <c r="AE134" s="138"/>
      <c r="AF134" s="138"/>
      <c r="AG134" s="138"/>
      <c r="AH134" s="138"/>
      <c r="AI134" s="138"/>
      <c r="AJ134" s="138"/>
      <c r="AK134" s="138"/>
      <c r="AL134" s="138"/>
      <c r="AM134" s="138"/>
      <c r="AN134" s="138"/>
      <c r="AO134" s="138"/>
      <c r="AP134" s="138"/>
      <c r="AQ134" s="138"/>
      <c r="AR134" s="138"/>
      <c r="AS134" s="138"/>
      <c r="AT134" s="138"/>
      <c r="AU134" s="138"/>
      <c r="AV134" s="138"/>
      <c r="AW134" s="138"/>
      <c r="AX134" s="138"/>
      <c r="AY134" s="138"/>
      <c r="AZ134" s="138"/>
      <c r="BA134" s="138"/>
      <c r="BB134" s="138"/>
      <c r="BC134" s="138"/>
      <c r="BD134" s="138"/>
      <c r="BE134" s="138"/>
      <c r="BF134" s="138"/>
      <c r="BG134" s="138"/>
      <c r="BH134" s="138"/>
      <c r="BI134" s="138"/>
      <c r="BJ134" s="138"/>
      <c r="BK134" s="138"/>
      <c r="BL134" s="138"/>
      <c r="BM134" s="138"/>
      <c r="BN134" s="138"/>
      <c r="BO134" s="138"/>
      <c r="BP134" s="138"/>
      <c r="BQ134" s="138"/>
      <c r="BR134" s="138"/>
      <c r="BS134" s="138"/>
      <c r="BT134" s="138"/>
      <c r="BU134" s="138"/>
      <c r="BV134" s="138"/>
      <c r="BW134" s="138"/>
      <c r="BX134" s="138"/>
    </row>
    <row r="135" spans="2:76" s="137" customFormat="1">
      <c r="B135" s="9"/>
      <c r="C135" s="9"/>
      <c r="D135" s="9"/>
      <c r="E135" s="9"/>
      <c r="F135" s="9"/>
      <c r="G135" s="9"/>
      <c r="H135" s="9"/>
      <c r="I135" s="9"/>
      <c r="J135" s="9"/>
      <c r="K135" s="9"/>
      <c r="L135" s="9"/>
      <c r="M135" s="9"/>
      <c r="N135" s="9"/>
      <c r="O135" s="9"/>
      <c r="P135" s="9"/>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c r="AW135" s="138"/>
      <c r="AX135" s="138"/>
      <c r="AY135" s="138"/>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c r="BT135" s="138"/>
      <c r="BU135" s="138"/>
      <c r="BV135" s="138"/>
      <c r="BW135" s="138"/>
      <c r="BX135" s="138"/>
    </row>
    <row r="136" spans="2:76" s="137" customFormat="1">
      <c r="B136" s="9"/>
      <c r="C136" s="9"/>
      <c r="D136" s="9"/>
      <c r="E136" s="9"/>
      <c r="F136" s="9"/>
      <c r="G136" s="9"/>
      <c r="H136" s="9"/>
      <c r="I136" s="9"/>
      <c r="J136" s="9"/>
      <c r="K136" s="9"/>
      <c r="L136" s="9"/>
      <c r="M136" s="9"/>
      <c r="N136" s="9"/>
      <c r="O136" s="9"/>
      <c r="P136" s="9"/>
      <c r="R136" s="138"/>
      <c r="S136" s="138"/>
      <c r="T136" s="138"/>
      <c r="U136" s="138"/>
      <c r="V136" s="138"/>
      <c r="W136" s="138"/>
      <c r="X136" s="138"/>
      <c r="Y136" s="138"/>
      <c r="Z136" s="138"/>
      <c r="AA136" s="138"/>
      <c r="AB136" s="138"/>
      <c r="AC136" s="138"/>
      <c r="AD136" s="138"/>
      <c r="AE136" s="138"/>
      <c r="AF136" s="138"/>
      <c r="AG136" s="138"/>
      <c r="AH136" s="138"/>
      <c r="AI136" s="138"/>
      <c r="AJ136" s="138"/>
      <c r="AK136" s="138"/>
      <c r="AL136" s="138"/>
      <c r="AM136" s="138"/>
      <c r="AN136" s="138"/>
      <c r="AO136" s="138"/>
      <c r="AP136" s="138"/>
      <c r="AQ136" s="138"/>
      <c r="AR136" s="138"/>
      <c r="AS136" s="138"/>
      <c r="AT136" s="138"/>
      <c r="AU136" s="138"/>
      <c r="AV136" s="138"/>
      <c r="AW136" s="138"/>
      <c r="AX136" s="138"/>
      <c r="AY136" s="138"/>
      <c r="AZ136" s="138"/>
      <c r="BA136" s="138"/>
      <c r="BB136" s="138"/>
      <c r="BC136" s="138"/>
      <c r="BD136" s="138"/>
      <c r="BE136" s="138"/>
      <c r="BF136" s="138"/>
      <c r="BG136" s="138"/>
      <c r="BH136" s="138"/>
      <c r="BI136" s="138"/>
      <c r="BJ136" s="138"/>
      <c r="BK136" s="138"/>
      <c r="BL136" s="138"/>
      <c r="BM136" s="138"/>
      <c r="BN136" s="138"/>
      <c r="BO136" s="138"/>
      <c r="BP136" s="138"/>
      <c r="BQ136" s="138"/>
      <c r="BR136" s="138"/>
      <c r="BS136" s="138"/>
      <c r="BT136" s="138"/>
      <c r="BU136" s="138"/>
      <c r="BV136" s="138"/>
      <c r="BW136" s="138"/>
      <c r="BX136" s="138"/>
    </row>
    <row r="137" spans="2:76" s="137" customFormat="1">
      <c r="B137" s="9"/>
      <c r="C137" s="9"/>
      <c r="D137" s="9"/>
      <c r="E137" s="9"/>
      <c r="F137" s="9"/>
      <c r="G137" s="9"/>
      <c r="H137" s="9"/>
      <c r="I137" s="9"/>
      <c r="J137" s="9"/>
      <c r="K137" s="9"/>
      <c r="L137" s="9"/>
      <c r="M137" s="9"/>
      <c r="N137" s="9"/>
      <c r="O137" s="9"/>
      <c r="P137" s="9"/>
      <c r="R137" s="138"/>
      <c r="S137" s="138"/>
      <c r="T137" s="138"/>
      <c r="U137" s="138"/>
      <c r="V137" s="138"/>
      <c r="W137" s="138"/>
      <c r="X137" s="138"/>
      <c r="Y137" s="138"/>
      <c r="Z137" s="138"/>
      <c r="AA137" s="138"/>
      <c r="AB137" s="138"/>
      <c r="AC137" s="138"/>
      <c r="AD137" s="138"/>
      <c r="AE137" s="138"/>
      <c r="AF137" s="138"/>
      <c r="AG137" s="138"/>
      <c r="AH137" s="138"/>
      <c r="AI137" s="138"/>
      <c r="AJ137" s="138"/>
      <c r="AK137" s="138"/>
      <c r="AL137" s="138"/>
      <c r="AM137" s="138"/>
      <c r="AN137" s="138"/>
      <c r="AO137" s="138"/>
      <c r="AP137" s="138"/>
      <c r="AQ137" s="138"/>
      <c r="AR137" s="138"/>
      <c r="AS137" s="138"/>
      <c r="AT137" s="138"/>
      <c r="AU137" s="138"/>
      <c r="AV137" s="138"/>
      <c r="AW137" s="138"/>
      <c r="AX137" s="138"/>
      <c r="AY137" s="138"/>
      <c r="AZ137" s="138"/>
      <c r="BA137" s="138"/>
      <c r="BB137" s="138"/>
      <c r="BC137" s="138"/>
      <c r="BD137" s="138"/>
      <c r="BE137" s="138"/>
      <c r="BF137" s="138"/>
      <c r="BG137" s="138"/>
      <c r="BH137" s="138"/>
      <c r="BI137" s="138"/>
      <c r="BJ137" s="138"/>
      <c r="BK137" s="138"/>
      <c r="BL137" s="138"/>
      <c r="BM137" s="138"/>
      <c r="BN137" s="138"/>
      <c r="BO137" s="138"/>
      <c r="BP137" s="138"/>
      <c r="BQ137" s="138"/>
      <c r="BR137" s="138"/>
      <c r="BS137" s="138"/>
      <c r="BT137" s="138"/>
      <c r="BU137" s="138"/>
      <c r="BV137" s="138"/>
      <c r="BW137" s="138"/>
      <c r="BX137" s="138"/>
    </row>
    <row r="138" spans="2:76" s="137" customFormat="1">
      <c r="B138" s="9"/>
      <c r="C138" s="9"/>
      <c r="D138" s="9"/>
      <c r="E138" s="9"/>
      <c r="F138" s="9"/>
      <c r="G138" s="9"/>
      <c r="H138" s="9"/>
      <c r="I138" s="9"/>
      <c r="J138" s="9"/>
      <c r="K138" s="9"/>
      <c r="L138" s="9"/>
      <c r="M138" s="9"/>
      <c r="N138" s="9"/>
      <c r="O138" s="9"/>
      <c r="P138" s="9"/>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138"/>
      <c r="AV138" s="138"/>
      <c r="AW138" s="138"/>
      <c r="AX138" s="138"/>
      <c r="AY138" s="138"/>
      <c r="AZ138" s="138"/>
      <c r="BA138" s="138"/>
      <c r="BB138" s="138"/>
      <c r="BC138" s="138"/>
      <c r="BD138" s="138"/>
      <c r="BE138" s="138"/>
      <c r="BF138" s="138"/>
      <c r="BG138" s="138"/>
      <c r="BH138" s="138"/>
      <c r="BI138" s="138"/>
      <c r="BJ138" s="138"/>
      <c r="BK138" s="138"/>
      <c r="BL138" s="138"/>
      <c r="BM138" s="138"/>
      <c r="BN138" s="138"/>
      <c r="BO138" s="138"/>
      <c r="BP138" s="138"/>
      <c r="BQ138" s="138"/>
      <c r="BR138" s="138"/>
      <c r="BS138" s="138"/>
      <c r="BT138" s="138"/>
      <c r="BU138" s="138"/>
      <c r="BV138" s="138"/>
      <c r="BW138" s="138"/>
      <c r="BX138" s="138"/>
    </row>
    <row r="139" spans="2:76" s="137" customFormat="1">
      <c r="B139" s="9"/>
      <c r="C139" s="9"/>
      <c r="D139" s="9"/>
      <c r="E139" s="9"/>
      <c r="F139" s="9"/>
      <c r="G139" s="9"/>
      <c r="H139" s="9"/>
      <c r="I139" s="9"/>
      <c r="J139" s="9"/>
      <c r="K139" s="9"/>
      <c r="L139" s="9"/>
      <c r="M139" s="9"/>
      <c r="N139" s="9"/>
      <c r="O139" s="9"/>
      <c r="P139" s="9"/>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c r="AW139" s="138"/>
      <c r="AX139" s="138"/>
      <c r="AY139" s="138"/>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c r="BT139" s="138"/>
      <c r="BU139" s="138"/>
      <c r="BV139" s="138"/>
      <c r="BW139" s="138"/>
      <c r="BX139" s="138"/>
    </row>
    <row r="140" spans="2:76" s="137" customFormat="1">
      <c r="B140" s="9"/>
      <c r="C140" s="9"/>
      <c r="D140" s="9"/>
      <c r="E140" s="9"/>
      <c r="F140" s="9"/>
      <c r="G140" s="9"/>
      <c r="H140" s="9"/>
      <c r="I140" s="9"/>
      <c r="J140" s="9"/>
      <c r="K140" s="9"/>
      <c r="L140" s="9"/>
      <c r="M140" s="9"/>
      <c r="N140" s="9"/>
      <c r="O140" s="9"/>
      <c r="P140" s="9"/>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c r="AW140" s="138"/>
      <c r="AX140" s="138"/>
      <c r="AY140" s="138"/>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c r="BT140" s="138"/>
      <c r="BU140" s="138"/>
      <c r="BV140" s="138"/>
      <c r="BW140" s="138"/>
      <c r="BX140" s="138"/>
    </row>
    <row r="141" spans="2:76" s="137" customFormat="1">
      <c r="B141" s="9"/>
      <c r="C141" s="9"/>
      <c r="D141" s="9"/>
      <c r="E141" s="9"/>
      <c r="F141" s="9"/>
      <c r="G141" s="9"/>
      <c r="H141" s="9"/>
      <c r="I141" s="9"/>
      <c r="J141" s="9"/>
      <c r="K141" s="9"/>
      <c r="L141" s="9"/>
      <c r="M141" s="9"/>
      <c r="N141" s="9"/>
      <c r="O141" s="9"/>
      <c r="P141" s="9"/>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138"/>
      <c r="AV141" s="138"/>
      <c r="AW141" s="138"/>
      <c r="AX141" s="138"/>
      <c r="AY141" s="138"/>
      <c r="AZ141" s="138"/>
      <c r="BA141" s="138"/>
      <c r="BB141" s="138"/>
      <c r="BC141" s="138"/>
      <c r="BD141" s="138"/>
      <c r="BE141" s="138"/>
      <c r="BF141" s="138"/>
      <c r="BG141" s="138"/>
      <c r="BH141" s="138"/>
      <c r="BI141" s="138"/>
      <c r="BJ141" s="138"/>
      <c r="BK141" s="138"/>
      <c r="BL141" s="138"/>
      <c r="BM141" s="138"/>
      <c r="BN141" s="138"/>
      <c r="BO141" s="138"/>
      <c r="BP141" s="138"/>
      <c r="BQ141" s="138"/>
      <c r="BR141" s="138"/>
      <c r="BS141" s="138"/>
      <c r="BT141" s="138"/>
      <c r="BU141" s="138"/>
      <c r="BV141" s="138"/>
      <c r="BW141" s="138"/>
      <c r="BX141" s="138"/>
    </row>
    <row r="142" spans="2:76" s="137" customFormat="1">
      <c r="B142" s="9"/>
      <c r="C142" s="9"/>
      <c r="D142" s="9"/>
      <c r="E142" s="9"/>
      <c r="F142" s="9"/>
      <c r="G142" s="9"/>
      <c r="H142" s="9"/>
      <c r="I142" s="9"/>
      <c r="J142" s="9"/>
      <c r="K142" s="9"/>
      <c r="L142" s="9"/>
      <c r="M142" s="9"/>
      <c r="N142" s="9"/>
      <c r="O142" s="9"/>
      <c r="P142" s="9"/>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c r="BD142" s="138"/>
      <c r="BE142" s="138"/>
      <c r="BF142" s="138"/>
      <c r="BG142" s="138"/>
      <c r="BH142" s="138"/>
      <c r="BI142" s="138"/>
      <c r="BJ142" s="138"/>
      <c r="BK142" s="138"/>
      <c r="BL142" s="138"/>
      <c r="BM142" s="138"/>
      <c r="BN142" s="138"/>
      <c r="BO142" s="138"/>
      <c r="BP142" s="138"/>
      <c r="BQ142" s="138"/>
      <c r="BR142" s="138"/>
      <c r="BS142" s="138"/>
      <c r="BT142" s="138"/>
      <c r="BU142" s="138"/>
      <c r="BV142" s="138"/>
      <c r="BW142" s="138"/>
      <c r="BX142" s="138"/>
    </row>
    <row r="143" spans="2:76" s="137" customFormat="1">
      <c r="B143" s="9"/>
      <c r="C143" s="9"/>
      <c r="D143" s="9"/>
      <c r="E143" s="9"/>
      <c r="F143" s="9"/>
      <c r="G143" s="9"/>
      <c r="H143" s="9"/>
      <c r="I143" s="9"/>
      <c r="J143" s="9"/>
      <c r="K143" s="9"/>
      <c r="L143" s="9"/>
      <c r="M143" s="9"/>
      <c r="N143" s="9"/>
      <c r="O143" s="9"/>
      <c r="P143" s="9"/>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c r="AW143" s="138"/>
      <c r="AX143" s="138"/>
      <c r="AY143" s="138"/>
      <c r="AZ143" s="138"/>
      <c r="BA143" s="138"/>
      <c r="BB143" s="138"/>
      <c r="BC143" s="138"/>
      <c r="BD143" s="138"/>
      <c r="BE143" s="138"/>
      <c r="BF143" s="138"/>
      <c r="BG143" s="138"/>
      <c r="BH143" s="138"/>
      <c r="BI143" s="138"/>
      <c r="BJ143" s="138"/>
      <c r="BK143" s="138"/>
      <c r="BL143" s="138"/>
      <c r="BM143" s="138"/>
      <c r="BN143" s="138"/>
      <c r="BO143" s="138"/>
      <c r="BP143" s="138"/>
      <c r="BQ143" s="138"/>
      <c r="BR143" s="138"/>
      <c r="BS143" s="138"/>
      <c r="BT143" s="138"/>
      <c r="BU143" s="138"/>
      <c r="BV143" s="138"/>
      <c r="BW143" s="138"/>
      <c r="BX143" s="138"/>
    </row>
    <row r="144" spans="2:76" s="137" customFormat="1">
      <c r="B144" s="9"/>
      <c r="C144" s="9"/>
      <c r="D144" s="9"/>
      <c r="E144" s="9"/>
      <c r="F144" s="9"/>
      <c r="G144" s="9"/>
      <c r="H144" s="9"/>
      <c r="I144" s="9"/>
      <c r="J144" s="9"/>
      <c r="K144" s="9"/>
      <c r="L144" s="9"/>
      <c r="M144" s="9"/>
      <c r="N144" s="9"/>
      <c r="O144" s="9"/>
      <c r="P144" s="9"/>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38"/>
      <c r="BK144" s="138"/>
      <c r="BL144" s="138"/>
      <c r="BM144" s="138"/>
      <c r="BN144" s="138"/>
      <c r="BO144" s="138"/>
      <c r="BP144" s="138"/>
      <c r="BQ144" s="138"/>
      <c r="BR144" s="138"/>
      <c r="BS144" s="138"/>
      <c r="BT144" s="138"/>
      <c r="BU144" s="138"/>
      <c r="BV144" s="138"/>
      <c r="BW144" s="138"/>
      <c r="BX144" s="138"/>
    </row>
    <row r="145" spans="2:76" s="137" customFormat="1">
      <c r="B145" s="9"/>
      <c r="C145" s="9"/>
      <c r="D145" s="9"/>
      <c r="E145" s="9"/>
      <c r="F145" s="9"/>
      <c r="G145" s="9"/>
      <c r="H145" s="9"/>
      <c r="I145" s="9"/>
      <c r="J145" s="9"/>
      <c r="K145" s="9"/>
      <c r="L145" s="9"/>
      <c r="M145" s="9"/>
      <c r="N145" s="9"/>
      <c r="O145" s="9"/>
      <c r="P145" s="9"/>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38"/>
      <c r="BK145" s="138"/>
      <c r="BL145" s="138"/>
      <c r="BM145" s="138"/>
      <c r="BN145" s="138"/>
      <c r="BO145" s="138"/>
      <c r="BP145" s="138"/>
      <c r="BQ145" s="138"/>
      <c r="BR145" s="138"/>
      <c r="BS145" s="138"/>
      <c r="BT145" s="138"/>
      <c r="BU145" s="138"/>
      <c r="BV145" s="138"/>
      <c r="BW145" s="138"/>
      <c r="BX145" s="138"/>
    </row>
    <row r="146" spans="2:76" s="137" customFormat="1">
      <c r="B146" s="9"/>
      <c r="C146" s="9"/>
      <c r="D146" s="9"/>
      <c r="E146" s="9"/>
      <c r="F146" s="9"/>
      <c r="G146" s="9"/>
      <c r="H146" s="9"/>
      <c r="I146" s="9"/>
      <c r="J146" s="9"/>
      <c r="K146" s="9"/>
      <c r="L146" s="9"/>
      <c r="M146" s="9"/>
      <c r="N146" s="9"/>
      <c r="O146" s="9"/>
      <c r="P146" s="9"/>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c r="BT146" s="138"/>
      <c r="BU146" s="138"/>
      <c r="BV146" s="138"/>
      <c r="BW146" s="138"/>
      <c r="BX146" s="138"/>
    </row>
    <row r="147" spans="2:76" s="137" customFormat="1">
      <c r="B147" s="9"/>
      <c r="C147" s="9"/>
      <c r="D147" s="9"/>
      <c r="E147" s="9"/>
      <c r="F147" s="9"/>
      <c r="G147" s="9"/>
      <c r="H147" s="9"/>
      <c r="I147" s="9"/>
      <c r="J147" s="9"/>
      <c r="K147" s="9"/>
      <c r="L147" s="9"/>
      <c r="M147" s="9"/>
      <c r="N147" s="9"/>
      <c r="O147" s="9"/>
      <c r="P147" s="9"/>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8"/>
      <c r="AY147" s="138"/>
      <c r="AZ147" s="138"/>
      <c r="BA147" s="138"/>
      <c r="BB147" s="138"/>
      <c r="BC147" s="138"/>
      <c r="BD147" s="138"/>
      <c r="BE147" s="138"/>
      <c r="BF147" s="138"/>
      <c r="BG147" s="138"/>
      <c r="BH147" s="138"/>
      <c r="BI147" s="138"/>
      <c r="BJ147" s="138"/>
      <c r="BK147" s="138"/>
      <c r="BL147" s="138"/>
      <c r="BM147" s="138"/>
      <c r="BN147" s="138"/>
      <c r="BO147" s="138"/>
      <c r="BP147" s="138"/>
      <c r="BQ147" s="138"/>
      <c r="BR147" s="138"/>
      <c r="BS147" s="138"/>
      <c r="BT147" s="138"/>
      <c r="BU147" s="138"/>
      <c r="BV147" s="138"/>
      <c r="BW147" s="138"/>
      <c r="BX147" s="138"/>
    </row>
    <row r="148" spans="2:76" s="137" customFormat="1">
      <c r="B148" s="9"/>
      <c r="C148" s="9"/>
      <c r="D148" s="9"/>
      <c r="E148" s="9"/>
      <c r="F148" s="9"/>
      <c r="G148" s="9"/>
      <c r="H148" s="9"/>
      <c r="I148" s="9"/>
      <c r="J148" s="9"/>
      <c r="K148" s="9"/>
      <c r="L148" s="9"/>
      <c r="M148" s="9"/>
      <c r="N148" s="9"/>
      <c r="O148" s="9"/>
      <c r="P148" s="9"/>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38"/>
      <c r="AW148" s="138"/>
      <c r="AX148" s="138"/>
      <c r="AY148" s="138"/>
      <c r="AZ148" s="138"/>
      <c r="BA148" s="138"/>
      <c r="BB148" s="138"/>
      <c r="BC148" s="138"/>
      <c r="BD148" s="138"/>
      <c r="BE148" s="138"/>
      <c r="BF148" s="138"/>
      <c r="BG148" s="138"/>
      <c r="BH148" s="138"/>
      <c r="BI148" s="138"/>
      <c r="BJ148" s="138"/>
      <c r="BK148" s="138"/>
      <c r="BL148" s="138"/>
      <c r="BM148" s="138"/>
      <c r="BN148" s="138"/>
      <c r="BO148" s="138"/>
      <c r="BP148" s="138"/>
      <c r="BQ148" s="138"/>
      <c r="BR148" s="138"/>
      <c r="BS148" s="138"/>
      <c r="BT148" s="138"/>
      <c r="BU148" s="138"/>
      <c r="BV148" s="138"/>
      <c r="BW148" s="138"/>
      <c r="BX148" s="138"/>
    </row>
    <row r="149" spans="2:76" s="137" customFormat="1">
      <c r="B149" s="9"/>
      <c r="C149" s="9"/>
      <c r="D149" s="9"/>
      <c r="E149" s="9"/>
      <c r="F149" s="9"/>
      <c r="G149" s="9"/>
      <c r="H149" s="9"/>
      <c r="I149" s="9"/>
      <c r="J149" s="9"/>
      <c r="K149" s="9"/>
      <c r="L149" s="9"/>
      <c r="M149" s="9"/>
      <c r="N149" s="9"/>
      <c r="O149" s="9"/>
      <c r="P149" s="9"/>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c r="BD149" s="138"/>
      <c r="BE149" s="138"/>
      <c r="BF149" s="138"/>
      <c r="BG149" s="138"/>
      <c r="BH149" s="138"/>
      <c r="BI149" s="138"/>
      <c r="BJ149" s="138"/>
      <c r="BK149" s="138"/>
      <c r="BL149" s="138"/>
      <c r="BM149" s="138"/>
      <c r="BN149" s="138"/>
      <c r="BO149" s="138"/>
      <c r="BP149" s="138"/>
      <c r="BQ149" s="138"/>
      <c r="BR149" s="138"/>
      <c r="BS149" s="138"/>
      <c r="BT149" s="138"/>
      <c r="BU149" s="138"/>
      <c r="BV149" s="138"/>
      <c r="BW149" s="138"/>
      <c r="BX149" s="138"/>
    </row>
    <row r="150" spans="2:76" s="137" customFormat="1">
      <c r="B150" s="9"/>
      <c r="C150" s="9"/>
      <c r="D150" s="9"/>
      <c r="E150" s="9"/>
      <c r="F150" s="9"/>
      <c r="G150" s="9"/>
      <c r="H150" s="9"/>
      <c r="I150" s="9"/>
      <c r="J150" s="9"/>
      <c r="K150" s="9"/>
      <c r="L150" s="9"/>
      <c r="M150" s="9"/>
      <c r="N150" s="9"/>
      <c r="O150" s="9"/>
      <c r="P150" s="9"/>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38"/>
      <c r="AT150" s="138"/>
      <c r="AU150" s="138"/>
      <c r="AV150" s="138"/>
      <c r="AW150" s="138"/>
      <c r="AX150" s="138"/>
      <c r="AY150" s="138"/>
      <c r="AZ150" s="138"/>
      <c r="BA150" s="138"/>
      <c r="BB150" s="138"/>
      <c r="BC150" s="138"/>
      <c r="BD150" s="138"/>
      <c r="BE150" s="138"/>
      <c r="BF150" s="138"/>
      <c r="BG150" s="138"/>
      <c r="BH150" s="138"/>
      <c r="BI150" s="138"/>
      <c r="BJ150" s="138"/>
      <c r="BK150" s="138"/>
      <c r="BL150" s="138"/>
      <c r="BM150" s="138"/>
      <c r="BN150" s="138"/>
      <c r="BO150" s="138"/>
      <c r="BP150" s="138"/>
      <c r="BQ150" s="138"/>
      <c r="BR150" s="138"/>
      <c r="BS150" s="138"/>
      <c r="BT150" s="138"/>
      <c r="BU150" s="138"/>
      <c r="BV150" s="138"/>
      <c r="BW150" s="138"/>
      <c r="BX150" s="138"/>
    </row>
    <row r="151" spans="2:76" s="137" customFormat="1">
      <c r="B151" s="9"/>
      <c r="C151" s="9"/>
      <c r="D151" s="9"/>
      <c r="E151" s="9"/>
      <c r="F151" s="9"/>
      <c r="G151" s="9"/>
      <c r="H151" s="9"/>
      <c r="I151" s="9"/>
      <c r="J151" s="9"/>
      <c r="K151" s="9"/>
      <c r="L151" s="9"/>
      <c r="M151" s="9"/>
      <c r="N151" s="9"/>
      <c r="O151" s="9"/>
      <c r="P151" s="9"/>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c r="AW151" s="138"/>
      <c r="AX151" s="138"/>
      <c r="AY151" s="138"/>
      <c r="AZ151" s="138"/>
      <c r="BA151" s="138"/>
      <c r="BB151" s="138"/>
      <c r="BC151" s="138"/>
      <c r="BD151" s="138"/>
      <c r="BE151" s="138"/>
      <c r="BF151" s="138"/>
      <c r="BG151" s="138"/>
      <c r="BH151" s="138"/>
      <c r="BI151" s="138"/>
      <c r="BJ151" s="138"/>
      <c r="BK151" s="138"/>
      <c r="BL151" s="138"/>
      <c r="BM151" s="138"/>
      <c r="BN151" s="138"/>
      <c r="BO151" s="138"/>
      <c r="BP151" s="138"/>
      <c r="BQ151" s="138"/>
      <c r="BR151" s="138"/>
      <c r="BS151" s="138"/>
      <c r="BT151" s="138"/>
      <c r="BU151" s="138"/>
      <c r="BV151" s="138"/>
      <c r="BW151" s="138"/>
      <c r="BX151" s="138"/>
    </row>
    <row r="152" spans="2:76" s="137" customFormat="1">
      <c r="B152" s="9"/>
      <c r="C152" s="9"/>
      <c r="D152" s="9"/>
      <c r="E152" s="9"/>
      <c r="F152" s="9"/>
      <c r="G152" s="9"/>
      <c r="H152" s="9"/>
      <c r="I152" s="9"/>
      <c r="J152" s="9"/>
      <c r="K152" s="9"/>
      <c r="L152" s="9"/>
      <c r="M152" s="9"/>
      <c r="N152" s="9"/>
      <c r="O152" s="9"/>
      <c r="P152" s="9"/>
      <c r="R152" s="138"/>
      <c r="S152" s="138"/>
      <c r="T152" s="138"/>
      <c r="U152" s="138"/>
      <c r="V152" s="138"/>
      <c r="W152" s="138"/>
      <c r="X152" s="138"/>
      <c r="Y152" s="138"/>
      <c r="Z152" s="138"/>
      <c r="AA152" s="138"/>
      <c r="AB152" s="138"/>
      <c r="AC152" s="138"/>
      <c r="AD152" s="138"/>
      <c r="AE152" s="138"/>
      <c r="AF152" s="138"/>
      <c r="AG152" s="138"/>
      <c r="AH152" s="138"/>
      <c r="AI152" s="138"/>
      <c r="AJ152" s="138"/>
      <c r="AK152" s="138"/>
      <c r="AL152" s="138"/>
      <c r="AM152" s="138"/>
      <c r="AN152" s="138"/>
      <c r="AO152" s="138"/>
      <c r="AP152" s="138"/>
      <c r="AQ152" s="138"/>
      <c r="AR152" s="138"/>
      <c r="AS152" s="138"/>
      <c r="AT152" s="138"/>
      <c r="AU152" s="138"/>
      <c r="AV152" s="138"/>
      <c r="AW152" s="138"/>
      <c r="AX152" s="138"/>
      <c r="AY152" s="138"/>
      <c r="AZ152" s="138"/>
      <c r="BA152" s="138"/>
      <c r="BB152" s="138"/>
      <c r="BC152" s="138"/>
      <c r="BD152" s="138"/>
      <c r="BE152" s="138"/>
      <c r="BF152" s="138"/>
      <c r="BG152" s="138"/>
      <c r="BH152" s="138"/>
      <c r="BI152" s="138"/>
      <c r="BJ152" s="138"/>
      <c r="BK152" s="138"/>
      <c r="BL152" s="138"/>
      <c r="BM152" s="138"/>
      <c r="BN152" s="138"/>
      <c r="BO152" s="138"/>
      <c r="BP152" s="138"/>
      <c r="BQ152" s="138"/>
      <c r="BR152" s="138"/>
      <c r="BS152" s="138"/>
      <c r="BT152" s="138"/>
      <c r="BU152" s="138"/>
      <c r="BV152" s="138"/>
      <c r="BW152" s="138"/>
      <c r="BX152" s="138"/>
    </row>
    <row r="153" spans="2:76" s="137" customFormat="1">
      <c r="B153" s="9"/>
      <c r="C153" s="9"/>
      <c r="D153" s="9"/>
      <c r="E153" s="9"/>
      <c r="F153" s="9"/>
      <c r="G153" s="9"/>
      <c r="H153" s="9"/>
      <c r="I153" s="9"/>
      <c r="J153" s="9"/>
      <c r="K153" s="9"/>
      <c r="L153" s="9"/>
      <c r="M153" s="9"/>
      <c r="N153" s="9"/>
      <c r="O153" s="9"/>
      <c r="P153" s="9"/>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38"/>
      <c r="BK153" s="138"/>
      <c r="BL153" s="138"/>
      <c r="BM153" s="138"/>
      <c r="BN153" s="138"/>
      <c r="BO153" s="138"/>
      <c r="BP153" s="138"/>
      <c r="BQ153" s="138"/>
      <c r="BR153" s="138"/>
      <c r="BS153" s="138"/>
      <c r="BT153" s="138"/>
      <c r="BU153" s="138"/>
      <c r="BV153" s="138"/>
      <c r="BW153" s="138"/>
      <c r="BX153" s="138"/>
    </row>
    <row r="154" spans="2:76" s="137" customFormat="1">
      <c r="B154" s="9"/>
      <c r="C154" s="9"/>
      <c r="D154" s="9"/>
      <c r="E154" s="9"/>
      <c r="F154" s="9"/>
      <c r="G154" s="9"/>
      <c r="H154" s="9"/>
      <c r="I154" s="9"/>
      <c r="J154" s="9"/>
      <c r="K154" s="9"/>
      <c r="L154" s="9"/>
      <c r="M154" s="9"/>
      <c r="N154" s="9"/>
      <c r="O154" s="9"/>
      <c r="P154" s="9"/>
      <c r="R154" s="138"/>
      <c r="S154" s="138"/>
      <c r="T154" s="138"/>
      <c r="U154" s="138"/>
      <c r="V154" s="138"/>
      <c r="W154" s="138"/>
      <c r="X154" s="138"/>
      <c r="Y154" s="138"/>
      <c r="Z154" s="138"/>
      <c r="AA154" s="138"/>
      <c r="AB154" s="138"/>
      <c r="AC154" s="138"/>
      <c r="AD154" s="138"/>
      <c r="AE154" s="138"/>
      <c r="AF154" s="138"/>
      <c r="AG154" s="138"/>
      <c r="AH154" s="138"/>
      <c r="AI154" s="138"/>
      <c r="AJ154" s="138"/>
      <c r="AK154" s="138"/>
      <c r="AL154" s="138"/>
      <c r="AM154" s="138"/>
      <c r="AN154" s="138"/>
      <c r="AO154" s="138"/>
      <c r="AP154" s="138"/>
      <c r="AQ154" s="138"/>
      <c r="AR154" s="138"/>
      <c r="AS154" s="138"/>
      <c r="AT154" s="138"/>
      <c r="AU154" s="138"/>
      <c r="AV154" s="138"/>
      <c r="AW154" s="138"/>
      <c r="AX154" s="138"/>
      <c r="AY154" s="138"/>
      <c r="AZ154" s="138"/>
      <c r="BA154" s="138"/>
      <c r="BB154" s="138"/>
      <c r="BC154" s="138"/>
      <c r="BD154" s="138"/>
      <c r="BE154" s="138"/>
      <c r="BF154" s="138"/>
      <c r="BG154" s="138"/>
      <c r="BH154" s="138"/>
      <c r="BI154" s="138"/>
      <c r="BJ154" s="138"/>
      <c r="BK154" s="138"/>
      <c r="BL154" s="138"/>
      <c r="BM154" s="138"/>
      <c r="BN154" s="138"/>
      <c r="BO154" s="138"/>
      <c r="BP154" s="138"/>
      <c r="BQ154" s="138"/>
      <c r="BR154" s="138"/>
      <c r="BS154" s="138"/>
      <c r="BT154" s="138"/>
      <c r="BU154" s="138"/>
      <c r="BV154" s="138"/>
      <c r="BW154" s="138"/>
      <c r="BX154" s="138"/>
    </row>
    <row r="155" spans="2:76" s="137" customFormat="1">
      <c r="B155" s="9"/>
      <c r="C155" s="9"/>
      <c r="D155" s="9"/>
      <c r="E155" s="9"/>
      <c r="F155" s="9"/>
      <c r="G155" s="9"/>
      <c r="H155" s="9"/>
      <c r="I155" s="9"/>
      <c r="J155" s="9"/>
      <c r="K155" s="9"/>
      <c r="L155" s="9"/>
      <c r="M155" s="9"/>
      <c r="N155" s="9"/>
      <c r="O155" s="9"/>
      <c r="P155" s="9"/>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38"/>
      <c r="BK155" s="138"/>
      <c r="BL155" s="138"/>
      <c r="BM155" s="138"/>
      <c r="BN155" s="138"/>
      <c r="BO155" s="138"/>
      <c r="BP155" s="138"/>
      <c r="BQ155" s="138"/>
      <c r="BR155" s="138"/>
      <c r="BS155" s="138"/>
      <c r="BT155" s="138"/>
      <c r="BU155" s="138"/>
      <c r="BV155" s="138"/>
      <c r="BW155" s="138"/>
      <c r="BX155" s="138"/>
    </row>
    <row r="156" spans="2:76" s="137" customFormat="1">
      <c r="B156" s="9"/>
      <c r="C156" s="9"/>
      <c r="D156" s="9"/>
      <c r="E156" s="9"/>
      <c r="F156" s="9"/>
      <c r="G156" s="9"/>
      <c r="H156" s="9"/>
      <c r="I156" s="9"/>
      <c r="J156" s="9"/>
      <c r="K156" s="9"/>
      <c r="L156" s="9"/>
      <c r="M156" s="9"/>
      <c r="N156" s="9"/>
      <c r="O156" s="9"/>
      <c r="P156" s="9"/>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38"/>
      <c r="BK156" s="138"/>
      <c r="BL156" s="138"/>
      <c r="BM156" s="138"/>
      <c r="BN156" s="138"/>
      <c r="BO156" s="138"/>
      <c r="BP156" s="138"/>
      <c r="BQ156" s="138"/>
      <c r="BR156" s="138"/>
      <c r="BS156" s="138"/>
      <c r="BT156" s="138"/>
      <c r="BU156" s="138"/>
      <c r="BV156" s="138"/>
      <c r="BW156" s="138"/>
      <c r="BX156" s="138"/>
    </row>
    <row r="157" spans="2:76" s="137" customFormat="1">
      <c r="B157" s="9"/>
      <c r="C157" s="9"/>
      <c r="D157" s="9"/>
      <c r="E157" s="9"/>
      <c r="F157" s="9"/>
      <c r="G157" s="9"/>
      <c r="H157" s="9"/>
      <c r="I157" s="9"/>
      <c r="J157" s="9"/>
      <c r="K157" s="9"/>
      <c r="L157" s="9"/>
      <c r="M157" s="9"/>
      <c r="N157" s="9"/>
      <c r="O157" s="9"/>
      <c r="P157" s="9"/>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c r="BN157" s="138"/>
      <c r="BO157" s="138"/>
      <c r="BP157" s="138"/>
      <c r="BQ157" s="138"/>
      <c r="BR157" s="138"/>
      <c r="BS157" s="138"/>
      <c r="BT157" s="138"/>
      <c r="BU157" s="138"/>
      <c r="BV157" s="138"/>
      <c r="BW157" s="138"/>
      <c r="BX157" s="138"/>
    </row>
    <row r="158" spans="2:76" s="137" customFormat="1">
      <c r="B158" s="9"/>
      <c r="C158" s="9"/>
      <c r="D158" s="9"/>
      <c r="E158" s="9"/>
      <c r="F158" s="9"/>
      <c r="G158" s="9"/>
      <c r="H158" s="9"/>
      <c r="I158" s="9"/>
      <c r="J158" s="9"/>
      <c r="K158" s="9"/>
      <c r="L158" s="9"/>
      <c r="M158" s="9"/>
      <c r="N158" s="9"/>
      <c r="O158" s="9"/>
      <c r="P158" s="9"/>
      <c r="R158" s="138"/>
      <c r="S158" s="138"/>
      <c r="T158" s="138"/>
      <c r="U158" s="138"/>
      <c r="V158" s="138"/>
      <c r="W158" s="138"/>
      <c r="X158" s="138"/>
      <c r="Y158" s="138"/>
      <c r="Z158" s="138"/>
      <c r="AA158" s="138"/>
      <c r="AB158" s="138"/>
      <c r="AC158" s="138"/>
      <c r="AD158" s="138"/>
      <c r="AE158" s="138"/>
      <c r="AF158" s="138"/>
      <c r="AG158" s="138"/>
      <c r="AH158" s="138"/>
      <c r="AI158" s="138"/>
      <c r="AJ158" s="138"/>
      <c r="AK158" s="138"/>
      <c r="AL158" s="138"/>
      <c r="AM158" s="138"/>
      <c r="AN158" s="138"/>
      <c r="AO158" s="138"/>
      <c r="AP158" s="138"/>
      <c r="AQ158" s="138"/>
      <c r="AR158" s="138"/>
      <c r="AS158" s="138"/>
      <c r="AT158" s="138"/>
      <c r="AU158" s="138"/>
      <c r="AV158" s="138"/>
      <c r="AW158" s="138"/>
      <c r="AX158" s="138"/>
      <c r="AY158" s="138"/>
      <c r="AZ158" s="138"/>
      <c r="BA158" s="138"/>
      <c r="BB158" s="138"/>
      <c r="BC158" s="138"/>
      <c r="BD158" s="138"/>
      <c r="BE158" s="138"/>
      <c r="BF158" s="138"/>
      <c r="BG158" s="138"/>
      <c r="BH158" s="138"/>
      <c r="BI158" s="138"/>
      <c r="BJ158" s="138"/>
      <c r="BK158" s="138"/>
      <c r="BL158" s="138"/>
      <c r="BM158" s="138"/>
      <c r="BN158" s="138"/>
      <c r="BO158" s="138"/>
      <c r="BP158" s="138"/>
      <c r="BQ158" s="138"/>
      <c r="BR158" s="138"/>
      <c r="BS158" s="138"/>
      <c r="BT158" s="138"/>
      <c r="BU158" s="138"/>
      <c r="BV158" s="138"/>
      <c r="BW158" s="138"/>
      <c r="BX158" s="138"/>
    </row>
    <row r="159" spans="2:76" s="137" customFormat="1">
      <c r="B159" s="9"/>
      <c r="C159" s="9"/>
      <c r="D159" s="9"/>
      <c r="E159" s="9"/>
      <c r="F159" s="9"/>
      <c r="G159" s="9"/>
      <c r="H159" s="9"/>
      <c r="I159" s="9"/>
      <c r="J159" s="9"/>
      <c r="K159" s="9"/>
      <c r="L159" s="9"/>
      <c r="M159" s="9"/>
      <c r="N159" s="9"/>
      <c r="O159" s="9"/>
      <c r="P159" s="9"/>
      <c r="R159" s="138"/>
      <c r="S159" s="138"/>
      <c r="T159" s="138"/>
      <c r="U159" s="138"/>
      <c r="V159" s="138"/>
      <c r="W159" s="138"/>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c r="AW159" s="138"/>
      <c r="AX159" s="138"/>
      <c r="AY159" s="138"/>
      <c r="AZ159" s="138"/>
      <c r="BA159" s="138"/>
      <c r="BB159" s="138"/>
      <c r="BC159" s="138"/>
      <c r="BD159" s="138"/>
      <c r="BE159" s="138"/>
      <c r="BF159" s="138"/>
      <c r="BG159" s="138"/>
      <c r="BH159" s="138"/>
      <c r="BI159" s="138"/>
      <c r="BJ159" s="138"/>
      <c r="BK159" s="138"/>
      <c r="BL159" s="138"/>
      <c r="BM159" s="138"/>
      <c r="BN159" s="138"/>
      <c r="BO159" s="138"/>
      <c r="BP159" s="138"/>
      <c r="BQ159" s="138"/>
      <c r="BR159" s="138"/>
      <c r="BS159" s="138"/>
      <c r="BT159" s="138"/>
      <c r="BU159" s="138"/>
      <c r="BV159" s="138"/>
      <c r="BW159" s="138"/>
      <c r="BX159" s="138"/>
    </row>
    <row r="160" spans="2:76" s="137" customFormat="1">
      <c r="B160" s="9"/>
      <c r="C160" s="9"/>
      <c r="D160" s="9"/>
      <c r="E160" s="9"/>
      <c r="F160" s="9"/>
      <c r="G160" s="9"/>
      <c r="H160" s="9"/>
      <c r="I160" s="9"/>
      <c r="J160" s="9"/>
      <c r="K160" s="9"/>
      <c r="L160" s="9"/>
      <c r="M160" s="9"/>
      <c r="N160" s="9"/>
      <c r="O160" s="9"/>
      <c r="P160" s="9"/>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38"/>
      <c r="BK160" s="138"/>
      <c r="BL160" s="138"/>
      <c r="BM160" s="138"/>
      <c r="BN160" s="138"/>
      <c r="BO160" s="138"/>
      <c r="BP160" s="138"/>
      <c r="BQ160" s="138"/>
      <c r="BR160" s="138"/>
      <c r="BS160" s="138"/>
      <c r="BT160" s="138"/>
      <c r="BU160" s="138"/>
      <c r="BV160" s="138"/>
      <c r="BW160" s="138"/>
      <c r="BX160" s="138"/>
    </row>
    <row r="161" spans="2:76" s="137" customFormat="1">
      <c r="B161" s="9"/>
      <c r="C161" s="9"/>
      <c r="D161" s="9"/>
      <c r="E161" s="9"/>
      <c r="F161" s="9"/>
      <c r="G161" s="9"/>
      <c r="H161" s="9"/>
      <c r="I161" s="9"/>
      <c r="J161" s="9"/>
      <c r="K161" s="9"/>
      <c r="L161" s="9"/>
      <c r="M161" s="9"/>
      <c r="N161" s="9"/>
      <c r="O161" s="9"/>
      <c r="P161" s="9"/>
      <c r="R161" s="138"/>
      <c r="S161" s="138"/>
      <c r="T161" s="138"/>
      <c r="U161" s="138"/>
      <c r="V161" s="138"/>
      <c r="W161" s="138"/>
      <c r="X161" s="138"/>
      <c r="Y161" s="138"/>
      <c r="Z161" s="138"/>
      <c r="AA161" s="138"/>
      <c r="AB161" s="138"/>
      <c r="AC161" s="138"/>
      <c r="AD161" s="138"/>
      <c r="AE161" s="138"/>
      <c r="AF161" s="138"/>
      <c r="AG161" s="138"/>
      <c r="AH161" s="138"/>
      <c r="AI161" s="138"/>
      <c r="AJ161" s="138"/>
      <c r="AK161" s="138"/>
      <c r="AL161" s="138"/>
      <c r="AM161" s="138"/>
      <c r="AN161" s="138"/>
      <c r="AO161" s="138"/>
      <c r="AP161" s="138"/>
      <c r="AQ161" s="138"/>
      <c r="AR161" s="138"/>
      <c r="AS161" s="138"/>
      <c r="AT161" s="138"/>
      <c r="AU161" s="138"/>
      <c r="AV161" s="138"/>
      <c r="AW161" s="138"/>
      <c r="AX161" s="138"/>
      <c r="AY161" s="138"/>
      <c r="AZ161" s="138"/>
      <c r="BA161" s="138"/>
      <c r="BB161" s="138"/>
      <c r="BC161" s="138"/>
      <c r="BD161" s="138"/>
      <c r="BE161" s="138"/>
      <c r="BF161" s="138"/>
      <c r="BG161" s="138"/>
      <c r="BH161" s="138"/>
      <c r="BI161" s="138"/>
      <c r="BJ161" s="138"/>
      <c r="BK161" s="138"/>
      <c r="BL161" s="138"/>
      <c r="BM161" s="138"/>
      <c r="BN161" s="138"/>
      <c r="BO161" s="138"/>
      <c r="BP161" s="138"/>
      <c r="BQ161" s="138"/>
      <c r="BR161" s="138"/>
      <c r="BS161" s="138"/>
      <c r="BT161" s="138"/>
      <c r="BU161" s="138"/>
      <c r="BV161" s="138"/>
      <c r="BW161" s="138"/>
      <c r="BX161" s="138"/>
    </row>
    <row r="162" spans="2:76" s="137" customFormat="1">
      <c r="B162" s="9"/>
      <c r="C162" s="9"/>
      <c r="D162" s="9"/>
      <c r="E162" s="9"/>
      <c r="F162" s="9"/>
      <c r="G162" s="9"/>
      <c r="H162" s="9"/>
      <c r="I162" s="9"/>
      <c r="J162" s="9"/>
      <c r="K162" s="9"/>
      <c r="L162" s="9"/>
      <c r="M162" s="9"/>
      <c r="N162" s="9"/>
      <c r="O162" s="9"/>
      <c r="P162" s="9"/>
      <c r="R162" s="138"/>
      <c r="S162" s="138"/>
      <c r="T162" s="138"/>
      <c r="U162" s="138"/>
      <c r="V162" s="138"/>
      <c r="W162" s="138"/>
      <c r="X162" s="138"/>
      <c r="Y162" s="138"/>
      <c r="Z162" s="138"/>
      <c r="AA162" s="138"/>
      <c r="AB162" s="138"/>
      <c r="AC162" s="138"/>
      <c r="AD162" s="138"/>
      <c r="AE162" s="138"/>
      <c r="AF162" s="138"/>
      <c r="AG162" s="138"/>
      <c r="AH162" s="138"/>
      <c r="AI162" s="138"/>
      <c r="AJ162" s="138"/>
      <c r="AK162" s="138"/>
      <c r="AL162" s="138"/>
      <c r="AM162" s="138"/>
      <c r="AN162" s="138"/>
      <c r="AO162" s="138"/>
      <c r="AP162" s="138"/>
      <c r="AQ162" s="138"/>
      <c r="AR162" s="138"/>
      <c r="AS162" s="138"/>
      <c r="AT162" s="138"/>
      <c r="AU162" s="138"/>
      <c r="AV162" s="138"/>
      <c r="AW162" s="138"/>
      <c r="AX162" s="138"/>
      <c r="AY162" s="138"/>
      <c r="AZ162" s="138"/>
      <c r="BA162" s="138"/>
      <c r="BB162" s="138"/>
      <c r="BC162" s="138"/>
      <c r="BD162" s="138"/>
      <c r="BE162" s="138"/>
      <c r="BF162" s="138"/>
      <c r="BG162" s="138"/>
      <c r="BH162" s="138"/>
      <c r="BI162" s="138"/>
      <c r="BJ162" s="138"/>
      <c r="BK162" s="138"/>
      <c r="BL162" s="138"/>
      <c r="BM162" s="138"/>
      <c r="BN162" s="138"/>
      <c r="BO162" s="138"/>
      <c r="BP162" s="138"/>
      <c r="BQ162" s="138"/>
      <c r="BR162" s="138"/>
      <c r="BS162" s="138"/>
      <c r="BT162" s="138"/>
      <c r="BU162" s="138"/>
      <c r="BV162" s="138"/>
      <c r="BW162" s="138"/>
      <c r="BX162" s="138"/>
    </row>
    <row r="163" spans="2:76" s="137" customFormat="1">
      <c r="B163" s="9"/>
      <c r="C163" s="9"/>
      <c r="D163" s="9"/>
      <c r="E163" s="9"/>
      <c r="F163" s="9"/>
      <c r="G163" s="9"/>
      <c r="H163" s="9"/>
      <c r="I163" s="9"/>
      <c r="J163" s="9"/>
      <c r="K163" s="9"/>
      <c r="L163" s="9"/>
      <c r="M163" s="9"/>
      <c r="N163" s="9"/>
      <c r="O163" s="9"/>
      <c r="P163" s="9"/>
      <c r="R163" s="138"/>
      <c r="S163" s="138"/>
      <c r="T163" s="138"/>
      <c r="U163" s="138"/>
      <c r="V163" s="138"/>
      <c r="W163" s="138"/>
      <c r="X163" s="138"/>
      <c r="Y163" s="138"/>
      <c r="Z163" s="138"/>
      <c r="AA163" s="138"/>
      <c r="AB163" s="138"/>
      <c r="AC163" s="138"/>
      <c r="AD163" s="138"/>
      <c r="AE163" s="138"/>
      <c r="AF163" s="138"/>
      <c r="AG163" s="138"/>
      <c r="AH163" s="138"/>
      <c r="AI163" s="138"/>
      <c r="AJ163" s="138"/>
      <c r="AK163" s="138"/>
      <c r="AL163" s="138"/>
      <c r="AM163" s="138"/>
      <c r="AN163" s="138"/>
      <c r="AO163" s="138"/>
      <c r="AP163" s="138"/>
      <c r="AQ163" s="138"/>
      <c r="AR163" s="138"/>
      <c r="AS163" s="138"/>
      <c r="AT163" s="138"/>
      <c r="AU163" s="138"/>
      <c r="AV163" s="138"/>
      <c r="AW163" s="138"/>
      <c r="AX163" s="138"/>
      <c r="AY163" s="138"/>
      <c r="AZ163" s="138"/>
      <c r="BA163" s="138"/>
      <c r="BB163" s="138"/>
      <c r="BC163" s="138"/>
      <c r="BD163" s="138"/>
      <c r="BE163" s="138"/>
      <c r="BF163" s="138"/>
      <c r="BG163" s="138"/>
      <c r="BH163" s="138"/>
      <c r="BI163" s="138"/>
      <c r="BJ163" s="138"/>
      <c r="BK163" s="138"/>
      <c r="BL163" s="138"/>
      <c r="BM163" s="138"/>
      <c r="BN163" s="138"/>
      <c r="BO163" s="138"/>
      <c r="BP163" s="138"/>
      <c r="BQ163" s="138"/>
      <c r="BR163" s="138"/>
      <c r="BS163" s="138"/>
      <c r="BT163" s="138"/>
      <c r="BU163" s="138"/>
      <c r="BV163" s="138"/>
      <c r="BW163" s="138"/>
      <c r="BX163" s="138"/>
    </row>
    <row r="164" spans="2:76" s="137" customFormat="1">
      <c r="B164" s="9"/>
      <c r="C164" s="9"/>
      <c r="D164" s="9"/>
      <c r="E164" s="9"/>
      <c r="F164" s="9"/>
      <c r="G164" s="9"/>
      <c r="H164" s="9"/>
      <c r="I164" s="9"/>
      <c r="J164" s="9"/>
      <c r="K164" s="9"/>
      <c r="L164" s="9"/>
      <c r="M164" s="9"/>
      <c r="N164" s="9"/>
      <c r="O164" s="9"/>
      <c r="P164" s="9"/>
      <c r="R164" s="138"/>
      <c r="S164" s="138"/>
      <c r="T164" s="138"/>
      <c r="U164" s="138"/>
      <c r="V164" s="138"/>
      <c r="W164" s="138"/>
      <c r="X164" s="138"/>
      <c r="Y164" s="138"/>
      <c r="Z164" s="138"/>
      <c r="AA164" s="138"/>
      <c r="AB164" s="138"/>
      <c r="AC164" s="138"/>
      <c r="AD164" s="138"/>
      <c r="AE164" s="138"/>
      <c r="AF164" s="138"/>
      <c r="AG164" s="138"/>
      <c r="AH164" s="138"/>
      <c r="AI164" s="138"/>
      <c r="AJ164" s="138"/>
      <c r="AK164" s="138"/>
      <c r="AL164" s="138"/>
      <c r="AM164" s="138"/>
      <c r="AN164" s="138"/>
      <c r="AO164" s="138"/>
      <c r="AP164" s="138"/>
      <c r="AQ164" s="138"/>
      <c r="AR164" s="138"/>
      <c r="AS164" s="138"/>
      <c r="AT164" s="138"/>
      <c r="AU164" s="138"/>
      <c r="AV164" s="138"/>
      <c r="AW164" s="138"/>
      <c r="AX164" s="138"/>
      <c r="AY164" s="138"/>
      <c r="AZ164" s="138"/>
      <c r="BA164" s="138"/>
      <c r="BB164" s="138"/>
      <c r="BC164" s="138"/>
      <c r="BD164" s="138"/>
      <c r="BE164" s="138"/>
      <c r="BF164" s="138"/>
      <c r="BG164" s="138"/>
      <c r="BH164" s="138"/>
      <c r="BI164" s="138"/>
      <c r="BJ164" s="138"/>
      <c r="BK164" s="138"/>
      <c r="BL164" s="138"/>
      <c r="BM164" s="138"/>
      <c r="BN164" s="138"/>
      <c r="BO164" s="138"/>
      <c r="BP164" s="138"/>
      <c r="BQ164" s="138"/>
      <c r="BR164" s="138"/>
      <c r="BS164" s="138"/>
      <c r="BT164" s="138"/>
      <c r="BU164" s="138"/>
      <c r="BV164" s="138"/>
      <c r="BW164" s="138"/>
      <c r="BX164" s="138"/>
    </row>
    <row r="165" spans="2:76" s="137" customFormat="1">
      <c r="B165" s="9"/>
      <c r="C165" s="9"/>
      <c r="D165" s="9"/>
      <c r="E165" s="9"/>
      <c r="F165" s="9"/>
      <c r="G165" s="9"/>
      <c r="H165" s="9"/>
      <c r="I165" s="9"/>
      <c r="J165" s="9"/>
      <c r="K165" s="9"/>
      <c r="L165" s="9"/>
      <c r="M165" s="9"/>
      <c r="N165" s="9"/>
      <c r="O165" s="9"/>
      <c r="P165" s="9"/>
      <c r="R165" s="138"/>
      <c r="S165" s="138"/>
      <c r="T165" s="138"/>
      <c r="U165" s="138"/>
      <c r="V165" s="138"/>
      <c r="W165" s="138"/>
      <c r="X165" s="138"/>
      <c r="Y165" s="138"/>
      <c r="Z165" s="138"/>
      <c r="AA165" s="138"/>
      <c r="AB165" s="138"/>
      <c r="AC165" s="138"/>
      <c r="AD165" s="138"/>
      <c r="AE165" s="138"/>
      <c r="AF165" s="138"/>
      <c r="AG165" s="138"/>
      <c r="AH165" s="138"/>
      <c r="AI165" s="138"/>
      <c r="AJ165" s="138"/>
      <c r="AK165" s="138"/>
      <c r="AL165" s="138"/>
      <c r="AM165" s="138"/>
      <c r="AN165" s="138"/>
      <c r="AO165" s="138"/>
      <c r="AP165" s="138"/>
      <c r="AQ165" s="138"/>
      <c r="AR165" s="138"/>
      <c r="AS165" s="138"/>
      <c r="AT165" s="138"/>
      <c r="AU165" s="138"/>
      <c r="AV165" s="138"/>
      <c r="AW165" s="138"/>
      <c r="AX165" s="138"/>
      <c r="AY165" s="138"/>
      <c r="AZ165" s="138"/>
      <c r="BA165" s="138"/>
      <c r="BB165" s="138"/>
      <c r="BC165" s="138"/>
      <c r="BD165" s="138"/>
      <c r="BE165" s="138"/>
      <c r="BF165" s="138"/>
      <c r="BG165" s="138"/>
      <c r="BH165" s="138"/>
      <c r="BI165" s="138"/>
      <c r="BJ165" s="138"/>
      <c r="BK165" s="138"/>
      <c r="BL165" s="138"/>
      <c r="BM165" s="138"/>
      <c r="BN165" s="138"/>
      <c r="BO165" s="138"/>
      <c r="BP165" s="138"/>
      <c r="BQ165" s="138"/>
      <c r="BR165" s="138"/>
      <c r="BS165" s="138"/>
      <c r="BT165" s="138"/>
      <c r="BU165" s="138"/>
      <c r="BV165" s="138"/>
      <c r="BW165" s="138"/>
      <c r="BX165" s="138"/>
    </row>
    <row r="166" spans="2:76" s="137" customFormat="1">
      <c r="B166" s="9"/>
      <c r="C166" s="9"/>
      <c r="D166" s="9"/>
      <c r="E166" s="9"/>
      <c r="F166" s="9"/>
      <c r="G166" s="9"/>
      <c r="H166" s="9"/>
      <c r="I166" s="9"/>
      <c r="J166" s="9"/>
      <c r="K166" s="9"/>
      <c r="L166" s="9"/>
      <c r="M166" s="9"/>
      <c r="N166" s="9"/>
      <c r="O166" s="9"/>
      <c r="P166" s="9"/>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38"/>
      <c r="BK166" s="138"/>
      <c r="BL166" s="138"/>
      <c r="BM166" s="138"/>
      <c r="BN166" s="138"/>
      <c r="BO166" s="138"/>
      <c r="BP166" s="138"/>
      <c r="BQ166" s="138"/>
      <c r="BR166" s="138"/>
      <c r="BS166" s="138"/>
      <c r="BT166" s="138"/>
      <c r="BU166" s="138"/>
      <c r="BV166" s="138"/>
      <c r="BW166" s="138"/>
      <c r="BX166" s="138"/>
    </row>
    <row r="167" spans="2:76" s="137" customFormat="1">
      <c r="B167" s="9"/>
      <c r="C167" s="9"/>
      <c r="D167" s="9"/>
      <c r="E167" s="9"/>
      <c r="F167" s="9"/>
      <c r="G167" s="9"/>
      <c r="H167" s="9"/>
      <c r="I167" s="9"/>
      <c r="J167" s="9"/>
      <c r="K167" s="9"/>
      <c r="L167" s="9"/>
      <c r="M167" s="9"/>
      <c r="N167" s="9"/>
      <c r="O167" s="9"/>
      <c r="P167" s="9"/>
      <c r="R167" s="138"/>
      <c r="S167" s="138"/>
      <c r="T167" s="138"/>
      <c r="U167" s="138"/>
      <c r="V167" s="138"/>
      <c r="W167" s="138"/>
      <c r="X167" s="138"/>
      <c r="Y167" s="138"/>
      <c r="Z167" s="138"/>
      <c r="AA167" s="138"/>
      <c r="AB167" s="138"/>
      <c r="AC167" s="138"/>
      <c r="AD167" s="138"/>
      <c r="AE167" s="138"/>
      <c r="AF167" s="138"/>
      <c r="AG167" s="138"/>
      <c r="AH167" s="138"/>
      <c r="AI167" s="138"/>
      <c r="AJ167" s="138"/>
      <c r="AK167" s="138"/>
      <c r="AL167" s="138"/>
      <c r="AM167" s="138"/>
      <c r="AN167" s="138"/>
      <c r="AO167" s="138"/>
      <c r="AP167" s="138"/>
      <c r="AQ167" s="138"/>
      <c r="AR167" s="138"/>
      <c r="AS167" s="138"/>
      <c r="AT167" s="138"/>
      <c r="AU167" s="138"/>
      <c r="AV167" s="138"/>
      <c r="AW167" s="138"/>
      <c r="AX167" s="138"/>
      <c r="AY167" s="138"/>
      <c r="AZ167" s="138"/>
      <c r="BA167" s="138"/>
      <c r="BB167" s="138"/>
      <c r="BC167" s="138"/>
      <c r="BD167" s="138"/>
      <c r="BE167" s="138"/>
      <c r="BF167" s="138"/>
      <c r="BG167" s="138"/>
      <c r="BH167" s="138"/>
      <c r="BI167" s="138"/>
      <c r="BJ167" s="138"/>
      <c r="BK167" s="138"/>
      <c r="BL167" s="138"/>
      <c r="BM167" s="138"/>
      <c r="BN167" s="138"/>
      <c r="BO167" s="138"/>
      <c r="BP167" s="138"/>
      <c r="BQ167" s="138"/>
      <c r="BR167" s="138"/>
      <c r="BS167" s="138"/>
      <c r="BT167" s="138"/>
      <c r="BU167" s="138"/>
      <c r="BV167" s="138"/>
      <c r="BW167" s="138"/>
      <c r="BX167" s="138"/>
    </row>
    <row r="168" spans="2:76" s="137" customFormat="1">
      <c r="B168" s="9"/>
      <c r="C168" s="9"/>
      <c r="D168" s="9"/>
      <c r="E168" s="9"/>
      <c r="F168" s="9"/>
      <c r="G168" s="9"/>
      <c r="H168" s="9"/>
      <c r="I168" s="9"/>
      <c r="J168" s="9"/>
      <c r="K168" s="9"/>
      <c r="L168" s="9"/>
      <c r="M168" s="9"/>
      <c r="N168" s="9"/>
      <c r="O168" s="9"/>
      <c r="P168" s="9"/>
      <c r="R168" s="138"/>
      <c r="S168" s="138"/>
      <c r="T168" s="138"/>
      <c r="U168" s="138"/>
      <c r="V168" s="138"/>
      <c r="W168" s="138"/>
      <c r="X168" s="138"/>
      <c r="Y168" s="138"/>
      <c r="Z168" s="138"/>
      <c r="AA168" s="138"/>
      <c r="AB168" s="138"/>
      <c r="AC168" s="138"/>
      <c r="AD168" s="138"/>
      <c r="AE168" s="138"/>
      <c r="AF168" s="138"/>
      <c r="AG168" s="138"/>
      <c r="AH168" s="138"/>
      <c r="AI168" s="138"/>
      <c r="AJ168" s="138"/>
      <c r="AK168" s="138"/>
      <c r="AL168" s="138"/>
      <c r="AM168" s="138"/>
      <c r="AN168" s="138"/>
      <c r="AO168" s="138"/>
      <c r="AP168" s="138"/>
      <c r="AQ168" s="138"/>
      <c r="AR168" s="138"/>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c r="BT168" s="138"/>
      <c r="BU168" s="138"/>
      <c r="BV168" s="138"/>
      <c r="BW168" s="138"/>
      <c r="BX168" s="138"/>
    </row>
    <row r="169" spans="2:76" s="137" customFormat="1">
      <c r="B169" s="9"/>
      <c r="C169" s="9"/>
      <c r="D169" s="9"/>
      <c r="E169" s="9"/>
      <c r="F169" s="9"/>
      <c r="G169" s="9"/>
      <c r="H169" s="9"/>
      <c r="I169" s="9"/>
      <c r="J169" s="9"/>
      <c r="K169" s="9"/>
      <c r="L169" s="9"/>
      <c r="M169" s="9"/>
      <c r="N169" s="9"/>
      <c r="O169" s="9"/>
      <c r="P169" s="9"/>
      <c r="R169" s="138"/>
      <c r="S169" s="138"/>
      <c r="T169" s="138"/>
      <c r="U169" s="138"/>
      <c r="V169" s="138"/>
      <c r="W169" s="138"/>
      <c r="X169" s="138"/>
      <c r="Y169" s="138"/>
      <c r="Z169" s="138"/>
      <c r="AA169" s="138"/>
      <c r="AB169" s="138"/>
      <c r="AC169" s="138"/>
      <c r="AD169" s="138"/>
      <c r="AE169" s="138"/>
      <c r="AF169" s="138"/>
      <c r="AG169" s="138"/>
      <c r="AH169" s="138"/>
      <c r="AI169" s="138"/>
      <c r="AJ169" s="138"/>
      <c r="AK169" s="138"/>
      <c r="AL169" s="138"/>
      <c r="AM169" s="138"/>
      <c r="AN169" s="138"/>
      <c r="AO169" s="138"/>
      <c r="AP169" s="138"/>
      <c r="AQ169" s="138"/>
      <c r="AR169" s="138"/>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c r="BT169" s="138"/>
      <c r="BU169" s="138"/>
      <c r="BV169" s="138"/>
      <c r="BW169" s="138"/>
      <c r="BX169" s="138"/>
    </row>
    <row r="170" spans="2:76" s="137" customFormat="1">
      <c r="B170" s="9"/>
      <c r="C170" s="9"/>
      <c r="D170" s="9"/>
      <c r="E170" s="9"/>
      <c r="F170" s="9"/>
      <c r="G170" s="9"/>
      <c r="H170" s="9"/>
      <c r="I170" s="9"/>
      <c r="J170" s="9"/>
      <c r="K170" s="9"/>
      <c r="L170" s="9"/>
      <c r="M170" s="9"/>
      <c r="N170" s="9"/>
      <c r="O170" s="9"/>
      <c r="P170" s="9"/>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row>
    <row r="171" spans="2:76" s="137" customFormat="1">
      <c r="B171" s="9"/>
      <c r="C171" s="9"/>
      <c r="D171" s="9"/>
      <c r="E171" s="9"/>
      <c r="F171" s="9"/>
      <c r="G171" s="9"/>
      <c r="H171" s="9"/>
      <c r="I171" s="9"/>
      <c r="J171" s="9"/>
      <c r="K171" s="9"/>
      <c r="L171" s="9"/>
      <c r="M171" s="9"/>
      <c r="N171" s="9"/>
      <c r="O171" s="9"/>
      <c r="P171" s="9"/>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c r="AM171" s="138"/>
      <c r="AN171" s="138"/>
      <c r="AO171" s="138"/>
      <c r="AP171" s="138"/>
      <c r="AQ171" s="138"/>
      <c r="AR171" s="138"/>
      <c r="AS171" s="138"/>
      <c r="AT171" s="138"/>
      <c r="AU171" s="138"/>
      <c r="AV171" s="138"/>
      <c r="AW171" s="138"/>
      <c r="AX171" s="138"/>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c r="BT171" s="138"/>
      <c r="BU171" s="138"/>
      <c r="BV171" s="138"/>
      <c r="BW171" s="138"/>
      <c r="BX171" s="138"/>
    </row>
    <row r="172" spans="2:76" s="137" customFormat="1">
      <c r="B172" s="9"/>
      <c r="C172" s="9"/>
      <c r="D172" s="9"/>
      <c r="E172" s="9"/>
      <c r="F172" s="9"/>
      <c r="G172" s="9"/>
      <c r="H172" s="9"/>
      <c r="I172" s="9"/>
      <c r="J172" s="9"/>
      <c r="K172" s="9"/>
      <c r="L172" s="9"/>
      <c r="M172" s="9"/>
      <c r="N172" s="9"/>
      <c r="O172" s="9"/>
      <c r="P172" s="9"/>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row>
    <row r="173" spans="2:76" s="137" customFormat="1">
      <c r="B173" s="9"/>
      <c r="C173" s="9"/>
      <c r="D173" s="9"/>
      <c r="E173" s="9"/>
      <c r="F173" s="9"/>
      <c r="G173" s="9"/>
      <c r="H173" s="9"/>
      <c r="I173" s="9"/>
      <c r="J173" s="9"/>
      <c r="K173" s="9"/>
      <c r="L173" s="9"/>
      <c r="M173" s="9"/>
      <c r="N173" s="9"/>
      <c r="O173" s="9"/>
      <c r="P173" s="9"/>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row>
    <row r="174" spans="2:76" s="137" customFormat="1">
      <c r="B174" s="9"/>
      <c r="C174" s="9"/>
      <c r="D174" s="9"/>
      <c r="E174" s="9"/>
      <c r="F174" s="9"/>
      <c r="G174" s="9"/>
      <c r="H174" s="9"/>
      <c r="I174" s="9"/>
      <c r="J174" s="9"/>
      <c r="K174" s="9"/>
      <c r="L174" s="9"/>
      <c r="M174" s="9"/>
      <c r="N174" s="9"/>
      <c r="O174" s="9"/>
      <c r="P174" s="9"/>
      <c r="R174" s="138"/>
      <c r="S174" s="138"/>
      <c r="T174" s="138"/>
      <c r="U174" s="138"/>
      <c r="V174" s="138"/>
      <c r="W174" s="138"/>
      <c r="X174" s="138"/>
      <c r="Y174" s="138"/>
      <c r="Z174" s="138"/>
      <c r="AA174" s="138"/>
      <c r="AB174" s="138"/>
      <c r="AC174" s="138"/>
      <c r="AD174" s="138"/>
      <c r="AE174" s="138"/>
      <c r="AF174" s="138"/>
      <c r="AG174" s="138"/>
      <c r="AH174" s="138"/>
      <c r="AI174" s="138"/>
      <c r="AJ174" s="138"/>
      <c r="AK174" s="138"/>
      <c r="AL174" s="138"/>
      <c r="AM174" s="138"/>
      <c r="AN174" s="138"/>
      <c r="AO174" s="138"/>
      <c r="AP174" s="138"/>
      <c r="AQ174" s="138"/>
      <c r="AR174" s="138"/>
      <c r="AS174" s="138"/>
      <c r="AT174" s="138"/>
      <c r="AU174" s="138"/>
      <c r="AV174" s="138"/>
      <c r="AW174" s="138"/>
      <c r="AX174" s="138"/>
      <c r="AY174" s="138"/>
      <c r="AZ174" s="138"/>
      <c r="BA174" s="138"/>
      <c r="BB174" s="138"/>
      <c r="BC174" s="138"/>
      <c r="BD174" s="138"/>
      <c r="BE174" s="138"/>
      <c r="BF174" s="138"/>
      <c r="BG174" s="138"/>
      <c r="BH174" s="138"/>
      <c r="BI174" s="138"/>
      <c r="BJ174" s="138"/>
      <c r="BK174" s="138"/>
      <c r="BL174" s="138"/>
      <c r="BM174" s="138"/>
      <c r="BN174" s="138"/>
      <c r="BO174" s="138"/>
      <c r="BP174" s="138"/>
      <c r="BQ174" s="138"/>
      <c r="BR174" s="138"/>
      <c r="BS174" s="138"/>
      <c r="BT174" s="138"/>
      <c r="BU174" s="138"/>
      <c r="BV174" s="138"/>
      <c r="BW174" s="138"/>
      <c r="BX174" s="138"/>
    </row>
    <row r="175" spans="2:76" s="137" customFormat="1">
      <c r="B175" s="9"/>
      <c r="C175" s="9"/>
      <c r="D175" s="9"/>
      <c r="E175" s="9"/>
      <c r="F175" s="9"/>
      <c r="G175" s="9"/>
      <c r="H175" s="9"/>
      <c r="I175" s="9"/>
      <c r="J175" s="9"/>
      <c r="K175" s="9"/>
      <c r="L175" s="9"/>
      <c r="M175" s="9"/>
      <c r="N175" s="9"/>
      <c r="O175" s="9"/>
      <c r="P175" s="9"/>
      <c r="R175" s="138"/>
      <c r="S175" s="138"/>
      <c r="T175" s="138"/>
      <c r="U175" s="138"/>
      <c r="V175" s="138"/>
      <c r="W175" s="138"/>
      <c r="X175" s="138"/>
      <c r="Y175" s="138"/>
      <c r="Z175" s="138"/>
      <c r="AA175" s="138"/>
      <c r="AB175" s="138"/>
      <c r="AC175" s="138"/>
      <c r="AD175" s="138"/>
      <c r="AE175" s="138"/>
      <c r="AF175" s="138"/>
      <c r="AG175" s="138"/>
      <c r="AH175" s="138"/>
      <c r="AI175" s="138"/>
      <c r="AJ175" s="138"/>
      <c r="AK175" s="138"/>
      <c r="AL175" s="138"/>
      <c r="AM175" s="138"/>
      <c r="AN175" s="138"/>
      <c r="AO175" s="138"/>
      <c r="AP175" s="138"/>
      <c r="AQ175" s="138"/>
      <c r="AR175" s="138"/>
      <c r="AS175" s="138"/>
      <c r="AT175" s="138"/>
      <c r="AU175" s="138"/>
      <c r="AV175" s="138"/>
      <c r="AW175" s="138"/>
      <c r="AX175" s="138"/>
      <c r="AY175" s="138"/>
      <c r="AZ175" s="138"/>
      <c r="BA175" s="138"/>
      <c r="BB175" s="138"/>
      <c r="BC175" s="138"/>
      <c r="BD175" s="138"/>
      <c r="BE175" s="138"/>
      <c r="BF175" s="138"/>
      <c r="BG175" s="138"/>
      <c r="BH175" s="138"/>
      <c r="BI175" s="138"/>
      <c r="BJ175" s="138"/>
      <c r="BK175" s="138"/>
      <c r="BL175" s="138"/>
      <c r="BM175" s="138"/>
      <c r="BN175" s="138"/>
      <c r="BO175" s="138"/>
      <c r="BP175" s="138"/>
      <c r="BQ175" s="138"/>
      <c r="BR175" s="138"/>
      <c r="BS175" s="138"/>
      <c r="BT175" s="138"/>
      <c r="BU175" s="138"/>
      <c r="BV175" s="138"/>
      <c r="BW175" s="138"/>
      <c r="BX175" s="138"/>
    </row>
    <row r="176" spans="2:76" s="137" customFormat="1">
      <c r="B176" s="9"/>
      <c r="C176" s="9"/>
      <c r="D176" s="9"/>
      <c r="E176" s="9"/>
      <c r="F176" s="9"/>
      <c r="G176" s="9"/>
      <c r="H176" s="9"/>
      <c r="I176" s="9"/>
      <c r="J176" s="9"/>
      <c r="K176" s="9"/>
      <c r="L176" s="9"/>
      <c r="M176" s="9"/>
      <c r="N176" s="9"/>
      <c r="O176" s="9"/>
      <c r="P176" s="9"/>
      <c r="R176" s="138"/>
      <c r="S176" s="138"/>
      <c r="T176" s="138"/>
      <c r="U176" s="138"/>
      <c r="V176" s="138"/>
      <c r="W176" s="138"/>
      <c r="X176" s="138"/>
      <c r="Y176" s="138"/>
      <c r="Z176" s="138"/>
      <c r="AA176" s="138"/>
      <c r="AB176" s="138"/>
      <c r="AC176" s="138"/>
      <c r="AD176" s="138"/>
      <c r="AE176" s="138"/>
      <c r="AF176" s="138"/>
      <c r="AG176" s="138"/>
      <c r="AH176" s="138"/>
      <c r="AI176" s="138"/>
      <c r="AJ176" s="138"/>
      <c r="AK176" s="138"/>
      <c r="AL176" s="138"/>
      <c r="AM176" s="138"/>
      <c r="AN176" s="138"/>
      <c r="AO176" s="138"/>
      <c r="AP176" s="138"/>
      <c r="AQ176" s="138"/>
      <c r="AR176" s="138"/>
      <c r="AS176" s="138"/>
      <c r="AT176" s="138"/>
      <c r="AU176" s="138"/>
      <c r="AV176" s="138"/>
      <c r="AW176" s="138"/>
      <c r="AX176" s="138"/>
      <c r="AY176" s="138"/>
      <c r="AZ176" s="138"/>
      <c r="BA176" s="138"/>
      <c r="BB176" s="138"/>
      <c r="BC176" s="138"/>
      <c r="BD176" s="138"/>
      <c r="BE176" s="138"/>
      <c r="BF176" s="138"/>
      <c r="BG176" s="138"/>
      <c r="BH176" s="138"/>
      <c r="BI176" s="138"/>
      <c r="BJ176" s="138"/>
      <c r="BK176" s="138"/>
      <c r="BL176" s="138"/>
      <c r="BM176" s="138"/>
      <c r="BN176" s="138"/>
      <c r="BO176" s="138"/>
      <c r="BP176" s="138"/>
      <c r="BQ176" s="138"/>
      <c r="BR176" s="138"/>
      <c r="BS176" s="138"/>
      <c r="BT176" s="138"/>
      <c r="BU176" s="138"/>
      <c r="BV176" s="138"/>
      <c r="BW176" s="138"/>
      <c r="BX176" s="138"/>
    </row>
    <row r="177" spans="2:76" s="137" customFormat="1">
      <c r="B177" s="9"/>
      <c r="C177" s="9"/>
      <c r="D177" s="9"/>
      <c r="E177" s="9"/>
      <c r="F177" s="9"/>
      <c r="G177" s="9"/>
      <c r="H177" s="9"/>
      <c r="I177" s="9"/>
      <c r="J177" s="9"/>
      <c r="K177" s="9"/>
      <c r="L177" s="9"/>
      <c r="M177" s="9"/>
      <c r="N177" s="9"/>
      <c r="O177" s="9"/>
      <c r="P177" s="9"/>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38"/>
      <c r="BK177" s="138"/>
      <c r="BL177" s="138"/>
      <c r="BM177" s="138"/>
      <c r="BN177" s="138"/>
      <c r="BO177" s="138"/>
      <c r="BP177" s="138"/>
      <c r="BQ177" s="138"/>
      <c r="BR177" s="138"/>
      <c r="BS177" s="138"/>
      <c r="BT177" s="138"/>
      <c r="BU177" s="138"/>
      <c r="BV177" s="138"/>
      <c r="BW177" s="138"/>
      <c r="BX177" s="138"/>
    </row>
    <row r="178" spans="2:76" s="137" customFormat="1">
      <c r="B178" s="9"/>
      <c r="C178" s="9"/>
      <c r="D178" s="9"/>
      <c r="E178" s="9"/>
      <c r="F178" s="9"/>
      <c r="G178" s="9"/>
      <c r="H178" s="9"/>
      <c r="I178" s="9"/>
      <c r="J178" s="9"/>
      <c r="K178" s="9"/>
      <c r="L178" s="9"/>
      <c r="M178" s="9"/>
      <c r="N178" s="9"/>
      <c r="O178" s="9"/>
      <c r="P178" s="9"/>
      <c r="R178" s="138"/>
      <c r="S178" s="138"/>
      <c r="T178" s="138"/>
      <c r="U178" s="138"/>
      <c r="V178" s="138"/>
      <c r="W178" s="138"/>
      <c r="X178" s="138"/>
      <c r="Y178" s="138"/>
      <c r="Z178" s="138"/>
      <c r="AA178" s="138"/>
      <c r="AB178" s="138"/>
      <c r="AC178" s="138"/>
      <c r="AD178" s="138"/>
      <c r="AE178" s="138"/>
      <c r="AF178" s="138"/>
      <c r="AG178" s="138"/>
      <c r="AH178" s="138"/>
      <c r="AI178" s="138"/>
      <c r="AJ178" s="138"/>
      <c r="AK178" s="138"/>
      <c r="AL178" s="138"/>
      <c r="AM178" s="138"/>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8"/>
      <c r="BI178" s="138"/>
      <c r="BJ178" s="138"/>
      <c r="BK178" s="138"/>
      <c r="BL178" s="138"/>
      <c r="BM178" s="138"/>
      <c r="BN178" s="138"/>
      <c r="BO178" s="138"/>
      <c r="BP178" s="138"/>
      <c r="BQ178" s="138"/>
      <c r="BR178" s="138"/>
      <c r="BS178" s="138"/>
      <c r="BT178" s="138"/>
      <c r="BU178" s="138"/>
      <c r="BV178" s="138"/>
      <c r="BW178" s="138"/>
      <c r="BX178" s="138"/>
    </row>
    <row r="179" spans="2:76" s="137" customFormat="1">
      <c r="B179" s="9"/>
      <c r="C179" s="9"/>
      <c r="D179" s="9"/>
      <c r="E179" s="9"/>
      <c r="F179" s="9"/>
      <c r="G179" s="9"/>
      <c r="H179" s="9"/>
      <c r="I179" s="9"/>
      <c r="J179" s="9"/>
      <c r="K179" s="9"/>
      <c r="L179" s="9"/>
      <c r="M179" s="9"/>
      <c r="N179" s="9"/>
      <c r="O179" s="9"/>
      <c r="P179" s="9"/>
      <c r="R179" s="138"/>
      <c r="S179" s="138"/>
      <c r="T179" s="138"/>
      <c r="U179" s="138"/>
      <c r="V179" s="138"/>
      <c r="W179" s="138"/>
      <c r="X179" s="138"/>
      <c r="Y179" s="138"/>
      <c r="Z179" s="138"/>
      <c r="AA179" s="138"/>
      <c r="AB179" s="138"/>
      <c r="AC179" s="138"/>
      <c r="AD179" s="138"/>
      <c r="AE179" s="138"/>
      <c r="AF179" s="138"/>
      <c r="AG179" s="138"/>
      <c r="AH179" s="138"/>
      <c r="AI179" s="138"/>
      <c r="AJ179" s="138"/>
      <c r="AK179" s="138"/>
      <c r="AL179" s="138"/>
      <c r="AM179" s="138"/>
      <c r="AN179" s="138"/>
      <c r="AO179" s="138"/>
      <c r="AP179" s="138"/>
      <c r="AQ179" s="138"/>
      <c r="AR179" s="138"/>
      <c r="AS179" s="138"/>
      <c r="AT179" s="138"/>
      <c r="AU179" s="138"/>
      <c r="AV179" s="138"/>
      <c r="AW179" s="138"/>
      <c r="AX179" s="138"/>
      <c r="AY179" s="138"/>
      <c r="AZ179" s="138"/>
      <c r="BA179" s="138"/>
      <c r="BB179" s="138"/>
      <c r="BC179" s="138"/>
      <c r="BD179" s="138"/>
      <c r="BE179" s="138"/>
      <c r="BF179" s="138"/>
      <c r="BG179" s="138"/>
      <c r="BH179" s="138"/>
      <c r="BI179" s="138"/>
      <c r="BJ179" s="138"/>
      <c r="BK179" s="138"/>
      <c r="BL179" s="138"/>
      <c r="BM179" s="138"/>
      <c r="BN179" s="138"/>
      <c r="BO179" s="138"/>
      <c r="BP179" s="138"/>
      <c r="BQ179" s="138"/>
      <c r="BR179" s="138"/>
      <c r="BS179" s="138"/>
      <c r="BT179" s="138"/>
      <c r="BU179" s="138"/>
      <c r="BV179" s="138"/>
      <c r="BW179" s="138"/>
      <c r="BX179" s="138"/>
    </row>
    <row r="180" spans="2:76" s="137" customFormat="1">
      <c r="B180" s="9"/>
      <c r="C180" s="9"/>
      <c r="D180" s="9"/>
      <c r="E180" s="9"/>
      <c r="F180" s="9"/>
      <c r="G180" s="9"/>
      <c r="H180" s="9"/>
      <c r="I180" s="9"/>
      <c r="J180" s="9"/>
      <c r="K180" s="9"/>
      <c r="L180" s="9"/>
      <c r="M180" s="9"/>
      <c r="N180" s="9"/>
      <c r="O180" s="9"/>
      <c r="P180" s="9"/>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38"/>
      <c r="BK180" s="138"/>
      <c r="BL180" s="138"/>
      <c r="BM180" s="138"/>
      <c r="BN180" s="138"/>
      <c r="BO180" s="138"/>
      <c r="BP180" s="138"/>
      <c r="BQ180" s="138"/>
      <c r="BR180" s="138"/>
      <c r="BS180" s="138"/>
      <c r="BT180" s="138"/>
      <c r="BU180" s="138"/>
      <c r="BV180" s="138"/>
      <c r="BW180" s="138"/>
      <c r="BX180" s="138"/>
    </row>
    <row r="181" spans="2:76" s="137" customFormat="1">
      <c r="B181" s="9"/>
      <c r="C181" s="9"/>
      <c r="D181" s="9"/>
      <c r="E181" s="9"/>
      <c r="F181" s="9"/>
      <c r="G181" s="9"/>
      <c r="H181" s="9"/>
      <c r="I181" s="9"/>
      <c r="J181" s="9"/>
      <c r="K181" s="9"/>
      <c r="L181" s="9"/>
      <c r="M181" s="9"/>
      <c r="N181" s="9"/>
      <c r="O181" s="9"/>
      <c r="P181" s="9"/>
      <c r="R181" s="138"/>
      <c r="S181" s="138"/>
      <c r="T181" s="138"/>
      <c r="U181" s="138"/>
      <c r="V181" s="138"/>
      <c r="W181" s="138"/>
      <c r="X181" s="138"/>
      <c r="Y181" s="138"/>
      <c r="Z181" s="138"/>
      <c r="AA181" s="138"/>
      <c r="AB181" s="138"/>
      <c r="AC181" s="138"/>
      <c r="AD181" s="138"/>
      <c r="AE181" s="138"/>
      <c r="AF181" s="138"/>
      <c r="AG181" s="138"/>
      <c r="AH181" s="138"/>
      <c r="AI181" s="138"/>
      <c r="AJ181" s="138"/>
      <c r="AK181" s="138"/>
      <c r="AL181" s="138"/>
      <c r="AM181" s="138"/>
      <c r="AN181" s="138"/>
      <c r="AO181" s="138"/>
      <c r="AP181" s="138"/>
      <c r="AQ181" s="138"/>
      <c r="AR181" s="138"/>
      <c r="AS181" s="138"/>
      <c r="AT181" s="138"/>
      <c r="AU181" s="138"/>
      <c r="AV181" s="138"/>
      <c r="AW181" s="138"/>
      <c r="AX181" s="138"/>
      <c r="AY181" s="138"/>
      <c r="AZ181" s="138"/>
      <c r="BA181" s="138"/>
      <c r="BB181" s="138"/>
      <c r="BC181" s="138"/>
      <c r="BD181" s="138"/>
      <c r="BE181" s="138"/>
      <c r="BF181" s="138"/>
      <c r="BG181" s="138"/>
      <c r="BH181" s="138"/>
      <c r="BI181" s="138"/>
      <c r="BJ181" s="138"/>
      <c r="BK181" s="138"/>
      <c r="BL181" s="138"/>
      <c r="BM181" s="138"/>
      <c r="BN181" s="138"/>
      <c r="BO181" s="138"/>
      <c r="BP181" s="138"/>
      <c r="BQ181" s="138"/>
      <c r="BR181" s="138"/>
      <c r="BS181" s="138"/>
      <c r="BT181" s="138"/>
      <c r="BU181" s="138"/>
      <c r="BV181" s="138"/>
      <c r="BW181" s="138"/>
      <c r="BX181" s="138"/>
    </row>
    <row r="182" spans="2:76" s="137" customFormat="1">
      <c r="B182" s="9"/>
      <c r="C182" s="9"/>
      <c r="D182" s="9"/>
      <c r="E182" s="9"/>
      <c r="F182" s="9"/>
      <c r="G182" s="9"/>
      <c r="H182" s="9"/>
      <c r="I182" s="9"/>
      <c r="J182" s="9"/>
      <c r="K182" s="9"/>
      <c r="L182" s="9"/>
      <c r="M182" s="9"/>
      <c r="N182" s="9"/>
      <c r="O182" s="9"/>
      <c r="P182" s="9"/>
      <c r="R182" s="138"/>
      <c r="S182" s="138"/>
      <c r="T182" s="13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38"/>
      <c r="BK182" s="138"/>
      <c r="BL182" s="138"/>
      <c r="BM182" s="138"/>
      <c r="BN182" s="138"/>
      <c r="BO182" s="138"/>
      <c r="BP182" s="138"/>
      <c r="BQ182" s="138"/>
      <c r="BR182" s="138"/>
      <c r="BS182" s="138"/>
      <c r="BT182" s="138"/>
      <c r="BU182" s="138"/>
      <c r="BV182" s="138"/>
      <c r="BW182" s="138"/>
      <c r="BX182" s="138"/>
    </row>
    <row r="183" spans="2:76" s="137" customFormat="1">
      <c r="B183" s="9"/>
      <c r="C183" s="9"/>
      <c r="D183" s="9"/>
      <c r="E183" s="9"/>
      <c r="F183" s="9"/>
      <c r="G183" s="9"/>
      <c r="H183" s="9"/>
      <c r="I183" s="9"/>
      <c r="J183" s="9"/>
      <c r="K183" s="9"/>
      <c r="L183" s="9"/>
      <c r="M183" s="9"/>
      <c r="N183" s="9"/>
      <c r="O183" s="9"/>
      <c r="P183" s="9"/>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c r="BS183" s="138"/>
      <c r="BT183" s="138"/>
      <c r="BU183" s="138"/>
      <c r="BV183" s="138"/>
      <c r="BW183" s="138"/>
      <c r="BX183" s="138"/>
    </row>
    <row r="184" spans="2:76" s="137" customFormat="1">
      <c r="B184" s="9"/>
      <c r="C184" s="9"/>
      <c r="D184" s="9"/>
      <c r="E184" s="9"/>
      <c r="F184" s="9"/>
      <c r="G184" s="9"/>
      <c r="H184" s="9"/>
      <c r="I184" s="9"/>
      <c r="J184" s="9"/>
      <c r="K184" s="9"/>
      <c r="L184" s="9"/>
      <c r="M184" s="9"/>
      <c r="N184" s="9"/>
      <c r="O184" s="9"/>
      <c r="P184" s="9"/>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c r="BS184" s="138"/>
      <c r="BT184" s="138"/>
      <c r="BU184" s="138"/>
      <c r="BV184" s="138"/>
      <c r="BW184" s="138"/>
      <c r="BX184" s="138"/>
    </row>
    <row r="185" spans="2:76" s="137" customFormat="1">
      <c r="B185" s="9"/>
      <c r="C185" s="9"/>
      <c r="D185" s="9"/>
      <c r="E185" s="9"/>
      <c r="F185" s="9"/>
      <c r="G185" s="9"/>
      <c r="H185" s="9"/>
      <c r="I185" s="9"/>
      <c r="J185" s="9"/>
      <c r="K185" s="9"/>
      <c r="L185" s="9"/>
      <c r="M185" s="9"/>
      <c r="N185" s="9"/>
      <c r="O185" s="9"/>
      <c r="P185" s="9"/>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c r="BS185" s="138"/>
      <c r="BT185" s="138"/>
      <c r="BU185" s="138"/>
      <c r="BV185" s="138"/>
      <c r="BW185" s="138"/>
      <c r="BX185" s="138"/>
    </row>
    <row r="186" spans="2:76" s="137" customFormat="1">
      <c r="B186" s="9"/>
      <c r="C186" s="9"/>
      <c r="D186" s="9"/>
      <c r="E186" s="9"/>
      <c r="F186" s="9"/>
      <c r="G186" s="9"/>
      <c r="H186" s="9"/>
      <c r="I186" s="9"/>
      <c r="J186" s="9"/>
      <c r="K186" s="9"/>
      <c r="L186" s="9"/>
      <c r="M186" s="9"/>
      <c r="N186" s="9"/>
      <c r="O186" s="9"/>
      <c r="P186" s="9"/>
      <c r="R186" s="138"/>
      <c r="S186" s="138"/>
      <c r="T186" s="138"/>
      <c r="U186" s="138"/>
      <c r="V186" s="138"/>
      <c r="W186" s="138"/>
      <c r="X186" s="138"/>
      <c r="Y186" s="138"/>
      <c r="Z186" s="138"/>
      <c r="AA186" s="138"/>
      <c r="AB186" s="138"/>
      <c r="AC186" s="138"/>
      <c r="AD186" s="138"/>
      <c r="AE186" s="138"/>
      <c r="AF186" s="138"/>
      <c r="AG186" s="138"/>
      <c r="AH186" s="138"/>
      <c r="AI186" s="138"/>
      <c r="AJ186" s="138"/>
      <c r="AK186" s="138"/>
      <c r="AL186" s="138"/>
      <c r="AM186" s="138"/>
      <c r="AN186" s="138"/>
      <c r="AO186" s="138"/>
      <c r="AP186" s="138"/>
      <c r="AQ186" s="138"/>
      <c r="AR186" s="138"/>
      <c r="AS186" s="138"/>
      <c r="AT186" s="138"/>
      <c r="AU186" s="138"/>
      <c r="AV186" s="138"/>
      <c r="AW186" s="138"/>
      <c r="AX186" s="138"/>
      <c r="AY186" s="138"/>
      <c r="AZ186" s="138"/>
      <c r="BA186" s="138"/>
      <c r="BB186" s="138"/>
      <c r="BC186" s="138"/>
      <c r="BD186" s="138"/>
      <c r="BE186" s="138"/>
      <c r="BF186" s="138"/>
      <c r="BG186" s="138"/>
      <c r="BH186" s="138"/>
      <c r="BI186" s="138"/>
      <c r="BJ186" s="138"/>
      <c r="BK186" s="138"/>
      <c r="BL186" s="138"/>
      <c r="BM186" s="138"/>
      <c r="BN186" s="138"/>
      <c r="BO186" s="138"/>
      <c r="BP186" s="138"/>
      <c r="BQ186" s="138"/>
      <c r="BR186" s="138"/>
      <c r="BS186" s="138"/>
      <c r="BT186" s="138"/>
      <c r="BU186" s="138"/>
      <c r="BV186" s="138"/>
      <c r="BW186" s="138"/>
      <c r="BX186" s="138"/>
    </row>
    <row r="187" spans="2:76" s="137" customFormat="1">
      <c r="B187" s="9"/>
      <c r="C187" s="9"/>
      <c r="D187" s="9"/>
      <c r="E187" s="9"/>
      <c r="F187" s="9"/>
      <c r="G187" s="9"/>
      <c r="H187" s="9"/>
      <c r="I187" s="9"/>
      <c r="J187" s="9"/>
      <c r="K187" s="9"/>
      <c r="L187" s="9"/>
      <c r="M187" s="9"/>
      <c r="N187" s="9"/>
      <c r="O187" s="9"/>
      <c r="P187" s="9"/>
      <c r="R187" s="138"/>
      <c r="S187" s="138"/>
      <c r="T187" s="138"/>
      <c r="U187" s="138"/>
      <c r="V187" s="138"/>
      <c r="W187" s="138"/>
      <c r="X187" s="138"/>
      <c r="Y187" s="138"/>
      <c r="Z187" s="138"/>
      <c r="AA187" s="138"/>
      <c r="AB187" s="138"/>
      <c r="AC187" s="138"/>
      <c r="AD187" s="138"/>
      <c r="AE187" s="138"/>
      <c r="AF187" s="138"/>
      <c r="AG187" s="138"/>
      <c r="AH187" s="138"/>
      <c r="AI187" s="138"/>
      <c r="AJ187" s="138"/>
      <c r="AK187" s="138"/>
      <c r="AL187" s="138"/>
      <c r="AM187" s="138"/>
      <c r="AN187" s="138"/>
      <c r="AO187" s="138"/>
      <c r="AP187" s="138"/>
      <c r="AQ187" s="138"/>
      <c r="AR187" s="138"/>
      <c r="AS187" s="138"/>
      <c r="AT187" s="138"/>
      <c r="AU187" s="138"/>
      <c r="AV187" s="138"/>
      <c r="AW187" s="138"/>
      <c r="AX187" s="138"/>
      <c r="AY187" s="138"/>
      <c r="AZ187" s="138"/>
      <c r="BA187" s="138"/>
      <c r="BB187" s="138"/>
      <c r="BC187" s="138"/>
      <c r="BD187" s="138"/>
      <c r="BE187" s="138"/>
      <c r="BF187" s="138"/>
      <c r="BG187" s="138"/>
      <c r="BH187" s="138"/>
      <c r="BI187" s="138"/>
      <c r="BJ187" s="138"/>
      <c r="BK187" s="138"/>
      <c r="BL187" s="138"/>
      <c r="BM187" s="138"/>
      <c r="BN187" s="138"/>
      <c r="BO187" s="138"/>
      <c r="BP187" s="138"/>
      <c r="BQ187" s="138"/>
      <c r="BR187" s="138"/>
      <c r="BS187" s="138"/>
      <c r="BT187" s="138"/>
      <c r="BU187" s="138"/>
      <c r="BV187" s="138"/>
      <c r="BW187" s="138"/>
      <c r="BX187" s="138"/>
    </row>
    <row r="188" spans="2:76" s="137" customFormat="1">
      <c r="B188" s="9"/>
      <c r="C188" s="9"/>
      <c r="D188" s="9"/>
      <c r="E188" s="9"/>
      <c r="F188" s="9"/>
      <c r="G188" s="9"/>
      <c r="H188" s="9"/>
      <c r="I188" s="9"/>
      <c r="J188" s="9"/>
      <c r="K188" s="9"/>
      <c r="L188" s="9"/>
      <c r="M188" s="9"/>
      <c r="N188" s="9"/>
      <c r="O188" s="9"/>
      <c r="P188" s="9"/>
      <c r="R188" s="138"/>
      <c r="S188" s="138"/>
      <c r="T188" s="138"/>
      <c r="U188" s="138"/>
      <c r="V188" s="138"/>
      <c r="W188" s="138"/>
      <c r="X188" s="138"/>
      <c r="Y188" s="138"/>
      <c r="Z188" s="138"/>
      <c r="AA188" s="138"/>
      <c r="AB188" s="138"/>
      <c r="AC188" s="138"/>
      <c r="AD188" s="138"/>
      <c r="AE188" s="138"/>
      <c r="AF188" s="138"/>
      <c r="AG188" s="138"/>
      <c r="AH188" s="138"/>
      <c r="AI188" s="138"/>
      <c r="AJ188" s="138"/>
      <c r="AK188" s="138"/>
      <c r="AL188" s="138"/>
      <c r="AM188" s="138"/>
      <c r="AN188" s="138"/>
      <c r="AO188" s="138"/>
      <c r="AP188" s="138"/>
      <c r="AQ188" s="138"/>
      <c r="AR188" s="138"/>
      <c r="AS188" s="138"/>
      <c r="AT188" s="138"/>
      <c r="AU188" s="138"/>
      <c r="AV188" s="138"/>
      <c r="AW188" s="138"/>
      <c r="AX188" s="138"/>
      <c r="AY188" s="138"/>
      <c r="AZ188" s="138"/>
      <c r="BA188" s="138"/>
      <c r="BB188" s="138"/>
      <c r="BC188" s="138"/>
      <c r="BD188" s="138"/>
      <c r="BE188" s="138"/>
      <c r="BF188" s="138"/>
      <c r="BG188" s="138"/>
      <c r="BH188" s="138"/>
      <c r="BI188" s="138"/>
      <c r="BJ188" s="138"/>
      <c r="BK188" s="138"/>
      <c r="BL188" s="138"/>
      <c r="BM188" s="138"/>
      <c r="BN188" s="138"/>
      <c r="BO188" s="138"/>
      <c r="BP188" s="138"/>
      <c r="BQ188" s="138"/>
      <c r="BR188" s="138"/>
      <c r="BS188" s="138"/>
      <c r="BT188" s="138"/>
      <c r="BU188" s="138"/>
      <c r="BV188" s="138"/>
      <c r="BW188" s="138"/>
      <c r="BX188" s="138"/>
    </row>
    <row r="189" spans="2:76" s="137" customFormat="1">
      <c r="B189" s="9"/>
      <c r="C189" s="9"/>
      <c r="D189" s="9"/>
      <c r="E189" s="9"/>
      <c r="F189" s="9"/>
      <c r="G189" s="9"/>
      <c r="H189" s="9"/>
      <c r="I189" s="9"/>
      <c r="J189" s="9"/>
      <c r="K189" s="9"/>
      <c r="L189" s="9"/>
      <c r="M189" s="9"/>
      <c r="N189" s="9"/>
      <c r="O189" s="9"/>
      <c r="P189" s="9"/>
      <c r="R189" s="138"/>
      <c r="S189" s="138"/>
      <c r="T189" s="138"/>
      <c r="U189" s="138"/>
      <c r="V189" s="138"/>
      <c r="W189" s="138"/>
      <c r="X189" s="138"/>
      <c r="Y189" s="138"/>
      <c r="Z189" s="138"/>
      <c r="AA189" s="138"/>
      <c r="AB189" s="138"/>
      <c r="AC189" s="138"/>
      <c r="AD189" s="138"/>
      <c r="AE189" s="138"/>
      <c r="AF189" s="138"/>
      <c r="AG189" s="138"/>
      <c r="AH189" s="138"/>
      <c r="AI189" s="138"/>
      <c r="AJ189" s="138"/>
      <c r="AK189" s="138"/>
      <c r="AL189" s="138"/>
      <c r="AM189" s="138"/>
      <c r="AN189" s="138"/>
      <c r="AO189" s="138"/>
      <c r="AP189" s="138"/>
      <c r="AQ189" s="138"/>
      <c r="AR189" s="138"/>
      <c r="AS189" s="138"/>
      <c r="AT189" s="138"/>
      <c r="AU189" s="138"/>
      <c r="AV189" s="138"/>
      <c r="AW189" s="138"/>
      <c r="AX189" s="138"/>
      <c r="AY189" s="138"/>
      <c r="AZ189" s="138"/>
      <c r="BA189" s="138"/>
      <c r="BB189" s="138"/>
      <c r="BC189" s="138"/>
      <c r="BD189" s="138"/>
      <c r="BE189" s="138"/>
      <c r="BF189" s="138"/>
      <c r="BG189" s="138"/>
      <c r="BH189" s="138"/>
      <c r="BI189" s="138"/>
      <c r="BJ189" s="138"/>
      <c r="BK189" s="138"/>
      <c r="BL189" s="138"/>
      <c r="BM189" s="138"/>
      <c r="BN189" s="138"/>
      <c r="BO189" s="138"/>
      <c r="BP189" s="138"/>
      <c r="BQ189" s="138"/>
      <c r="BR189" s="138"/>
      <c r="BS189" s="138"/>
      <c r="BT189" s="138"/>
      <c r="BU189" s="138"/>
      <c r="BV189" s="138"/>
      <c r="BW189" s="138"/>
      <c r="BX189" s="138"/>
    </row>
    <row r="190" spans="2:76" s="137" customFormat="1">
      <c r="B190" s="9"/>
      <c r="C190" s="9"/>
      <c r="D190" s="9"/>
      <c r="E190" s="9"/>
      <c r="F190" s="9"/>
      <c r="G190" s="9"/>
      <c r="H190" s="9"/>
      <c r="I190" s="9"/>
      <c r="J190" s="9"/>
      <c r="K190" s="9"/>
      <c r="L190" s="9"/>
      <c r="M190" s="9"/>
      <c r="N190" s="9"/>
      <c r="O190" s="9"/>
      <c r="P190" s="9"/>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c r="AP190" s="138"/>
      <c r="AQ190" s="138"/>
      <c r="AR190" s="138"/>
      <c r="AS190" s="138"/>
      <c r="AT190" s="138"/>
      <c r="AU190" s="138"/>
      <c r="AV190" s="138"/>
      <c r="AW190" s="138"/>
      <c r="AX190" s="138"/>
      <c r="AY190" s="138"/>
      <c r="AZ190" s="138"/>
      <c r="BA190" s="138"/>
      <c r="BB190" s="138"/>
      <c r="BC190" s="138"/>
      <c r="BD190" s="138"/>
      <c r="BE190" s="138"/>
      <c r="BF190" s="138"/>
      <c r="BG190" s="138"/>
      <c r="BH190" s="138"/>
      <c r="BI190" s="138"/>
      <c r="BJ190" s="138"/>
      <c r="BK190" s="138"/>
      <c r="BL190" s="138"/>
      <c r="BM190" s="138"/>
      <c r="BN190" s="138"/>
      <c r="BO190" s="138"/>
      <c r="BP190" s="138"/>
      <c r="BQ190" s="138"/>
      <c r="BR190" s="138"/>
      <c r="BS190" s="138"/>
      <c r="BT190" s="138"/>
      <c r="BU190" s="138"/>
      <c r="BV190" s="138"/>
      <c r="BW190" s="138"/>
      <c r="BX190" s="138"/>
    </row>
    <row r="191" spans="2:76" s="137" customFormat="1">
      <c r="B191" s="9"/>
      <c r="C191" s="9"/>
      <c r="D191" s="9"/>
      <c r="E191" s="9"/>
      <c r="F191" s="9"/>
      <c r="G191" s="9"/>
      <c r="H191" s="9"/>
      <c r="I191" s="9"/>
      <c r="J191" s="9"/>
      <c r="K191" s="9"/>
      <c r="L191" s="9"/>
      <c r="M191" s="9"/>
      <c r="N191" s="9"/>
      <c r="O191" s="9"/>
      <c r="P191" s="9"/>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8"/>
      <c r="AQ191" s="138"/>
      <c r="AR191" s="138"/>
      <c r="AS191" s="138"/>
      <c r="AT191" s="138"/>
      <c r="AU191" s="138"/>
      <c r="AV191" s="138"/>
      <c r="AW191" s="138"/>
      <c r="AX191" s="138"/>
      <c r="AY191" s="138"/>
      <c r="AZ191" s="138"/>
      <c r="BA191" s="138"/>
      <c r="BB191" s="138"/>
      <c r="BC191" s="138"/>
      <c r="BD191" s="138"/>
      <c r="BE191" s="138"/>
      <c r="BF191" s="138"/>
      <c r="BG191" s="138"/>
      <c r="BH191" s="138"/>
      <c r="BI191" s="138"/>
      <c r="BJ191" s="138"/>
      <c r="BK191" s="138"/>
      <c r="BL191" s="138"/>
      <c r="BM191" s="138"/>
      <c r="BN191" s="138"/>
      <c r="BO191" s="138"/>
      <c r="BP191" s="138"/>
      <c r="BQ191" s="138"/>
      <c r="BR191" s="138"/>
      <c r="BS191" s="138"/>
      <c r="BT191" s="138"/>
      <c r="BU191" s="138"/>
      <c r="BV191" s="138"/>
      <c r="BW191" s="138"/>
      <c r="BX191" s="138"/>
    </row>
    <row r="192" spans="2:76" s="137" customFormat="1">
      <c r="B192" s="9"/>
      <c r="C192" s="9"/>
      <c r="D192" s="9"/>
      <c r="E192" s="9"/>
      <c r="F192" s="9"/>
      <c r="G192" s="9"/>
      <c r="H192" s="9"/>
      <c r="I192" s="9"/>
      <c r="J192" s="9"/>
      <c r="K192" s="9"/>
      <c r="L192" s="9"/>
      <c r="M192" s="9"/>
      <c r="N192" s="9"/>
      <c r="O192" s="9"/>
      <c r="P192" s="9"/>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c r="BT192" s="138"/>
      <c r="BU192" s="138"/>
      <c r="BV192" s="138"/>
      <c r="BW192" s="138"/>
      <c r="BX192" s="138"/>
    </row>
    <row r="193" spans="2:76" s="137" customFormat="1">
      <c r="B193" s="9"/>
      <c r="C193" s="9"/>
      <c r="D193" s="9"/>
      <c r="E193" s="9"/>
      <c r="F193" s="9"/>
      <c r="G193" s="9"/>
      <c r="H193" s="9"/>
      <c r="I193" s="9"/>
      <c r="J193" s="9"/>
      <c r="K193" s="9"/>
      <c r="L193" s="9"/>
      <c r="M193" s="9"/>
      <c r="N193" s="9"/>
      <c r="O193" s="9"/>
      <c r="P193" s="9"/>
      <c r="R193" s="138"/>
      <c r="S193" s="138"/>
      <c r="T193" s="138"/>
      <c r="U193" s="138"/>
      <c r="V193" s="138"/>
      <c r="W193" s="138"/>
      <c r="X193" s="138"/>
      <c r="Y193" s="138"/>
      <c r="Z193" s="138"/>
      <c r="AA193" s="138"/>
      <c r="AB193" s="138"/>
      <c r="AC193" s="138"/>
      <c r="AD193" s="138"/>
      <c r="AE193" s="138"/>
      <c r="AF193" s="138"/>
      <c r="AG193" s="138"/>
      <c r="AH193" s="138"/>
      <c r="AI193" s="138"/>
      <c r="AJ193" s="138"/>
      <c r="AK193" s="138"/>
      <c r="AL193" s="138"/>
      <c r="AM193" s="138"/>
      <c r="AN193" s="138"/>
      <c r="AO193" s="138"/>
      <c r="AP193" s="138"/>
      <c r="AQ193" s="138"/>
      <c r="AR193" s="138"/>
      <c r="AS193" s="138"/>
      <c r="AT193" s="138"/>
      <c r="AU193" s="138"/>
      <c r="AV193" s="138"/>
      <c r="AW193" s="138"/>
      <c r="AX193" s="138"/>
      <c r="AY193" s="138"/>
      <c r="AZ193" s="138"/>
      <c r="BA193" s="138"/>
      <c r="BB193" s="138"/>
      <c r="BC193" s="138"/>
      <c r="BD193" s="138"/>
      <c r="BE193" s="138"/>
      <c r="BF193" s="138"/>
      <c r="BG193" s="138"/>
      <c r="BH193" s="138"/>
      <c r="BI193" s="138"/>
      <c r="BJ193" s="138"/>
      <c r="BK193" s="138"/>
      <c r="BL193" s="138"/>
      <c r="BM193" s="138"/>
      <c r="BN193" s="138"/>
      <c r="BO193" s="138"/>
      <c r="BP193" s="138"/>
      <c r="BQ193" s="138"/>
      <c r="BR193" s="138"/>
      <c r="BS193" s="138"/>
      <c r="BT193" s="138"/>
      <c r="BU193" s="138"/>
      <c r="BV193" s="138"/>
      <c r="BW193" s="138"/>
      <c r="BX193" s="138"/>
    </row>
    <row r="194" spans="2:76" s="137" customFormat="1">
      <c r="B194" s="9"/>
      <c r="C194" s="9"/>
      <c r="D194" s="9"/>
      <c r="E194" s="9"/>
      <c r="F194" s="9"/>
      <c r="G194" s="9"/>
      <c r="H194" s="9"/>
      <c r="I194" s="9"/>
      <c r="J194" s="9"/>
      <c r="K194" s="9"/>
      <c r="L194" s="9"/>
      <c r="M194" s="9"/>
      <c r="N194" s="9"/>
      <c r="O194" s="9"/>
      <c r="P194" s="9"/>
      <c r="R194" s="138"/>
      <c r="S194" s="138"/>
      <c r="T194" s="138"/>
      <c r="U194" s="138"/>
      <c r="V194" s="138"/>
      <c r="W194" s="138"/>
      <c r="X194" s="138"/>
      <c r="Y194" s="138"/>
      <c r="Z194" s="138"/>
      <c r="AA194" s="138"/>
      <c r="AB194" s="138"/>
      <c r="AC194" s="138"/>
      <c r="AD194" s="138"/>
      <c r="AE194" s="138"/>
      <c r="AF194" s="138"/>
      <c r="AG194" s="138"/>
      <c r="AH194" s="138"/>
      <c r="AI194" s="138"/>
      <c r="AJ194" s="138"/>
      <c r="AK194" s="138"/>
      <c r="AL194" s="138"/>
      <c r="AM194" s="138"/>
      <c r="AN194" s="138"/>
      <c r="AO194" s="138"/>
      <c r="AP194" s="138"/>
      <c r="AQ194" s="138"/>
      <c r="AR194" s="138"/>
      <c r="AS194" s="138"/>
      <c r="AT194" s="138"/>
      <c r="AU194" s="138"/>
      <c r="AV194" s="138"/>
      <c r="AW194" s="138"/>
      <c r="AX194" s="138"/>
      <c r="AY194" s="138"/>
      <c r="AZ194" s="138"/>
      <c r="BA194" s="138"/>
      <c r="BB194" s="138"/>
      <c r="BC194" s="138"/>
      <c r="BD194" s="138"/>
      <c r="BE194" s="138"/>
      <c r="BF194" s="138"/>
      <c r="BG194" s="138"/>
      <c r="BH194" s="138"/>
      <c r="BI194" s="138"/>
      <c r="BJ194" s="138"/>
      <c r="BK194" s="138"/>
      <c r="BL194" s="138"/>
      <c r="BM194" s="138"/>
      <c r="BN194" s="138"/>
      <c r="BO194" s="138"/>
      <c r="BP194" s="138"/>
      <c r="BQ194" s="138"/>
      <c r="BR194" s="138"/>
      <c r="BS194" s="138"/>
      <c r="BT194" s="138"/>
      <c r="BU194" s="138"/>
      <c r="BV194" s="138"/>
      <c r="BW194" s="138"/>
      <c r="BX194" s="138"/>
    </row>
    <row r="195" spans="2:76" s="137" customFormat="1">
      <c r="B195" s="9"/>
      <c r="C195" s="9"/>
      <c r="D195" s="9"/>
      <c r="E195" s="9"/>
      <c r="F195" s="9"/>
      <c r="G195" s="9"/>
      <c r="H195" s="9"/>
      <c r="I195" s="9"/>
      <c r="J195" s="9"/>
      <c r="K195" s="9"/>
      <c r="L195" s="9"/>
      <c r="M195" s="9"/>
      <c r="N195" s="9"/>
      <c r="O195" s="9"/>
      <c r="P195" s="9"/>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c r="BS195" s="138"/>
      <c r="BT195" s="138"/>
      <c r="BU195" s="138"/>
      <c r="BV195" s="138"/>
      <c r="BW195" s="138"/>
      <c r="BX195" s="138"/>
    </row>
    <row r="196" spans="2:76" s="137" customFormat="1">
      <c r="B196" s="9"/>
      <c r="C196" s="9"/>
      <c r="D196" s="9"/>
      <c r="E196" s="9"/>
      <c r="F196" s="9"/>
      <c r="G196" s="9"/>
      <c r="H196" s="9"/>
      <c r="I196" s="9"/>
      <c r="J196" s="9"/>
      <c r="K196" s="9"/>
      <c r="L196" s="9"/>
      <c r="M196" s="9"/>
      <c r="N196" s="9"/>
      <c r="O196" s="9"/>
      <c r="P196" s="9"/>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c r="BS196" s="138"/>
      <c r="BT196" s="138"/>
      <c r="BU196" s="138"/>
      <c r="BV196" s="138"/>
      <c r="BW196" s="138"/>
      <c r="BX196" s="138"/>
    </row>
    <row r="197" spans="2:76" s="137" customFormat="1">
      <c r="B197" s="9"/>
      <c r="C197" s="9"/>
      <c r="D197" s="9"/>
      <c r="E197" s="9"/>
      <c r="F197" s="9"/>
      <c r="G197" s="9"/>
      <c r="H197" s="9"/>
      <c r="I197" s="9"/>
      <c r="J197" s="9"/>
      <c r="K197" s="9"/>
      <c r="L197" s="9"/>
      <c r="M197" s="9"/>
      <c r="N197" s="9"/>
      <c r="O197" s="9"/>
      <c r="P197" s="9"/>
      <c r="R197" s="138"/>
      <c r="S197" s="138"/>
      <c r="T197" s="138"/>
      <c r="U197" s="138"/>
      <c r="V197" s="138"/>
      <c r="W197" s="138"/>
      <c r="X197" s="138"/>
      <c r="Y197" s="138"/>
      <c r="Z197" s="138"/>
      <c r="AA197" s="138"/>
      <c r="AB197" s="138"/>
      <c r="AC197" s="138"/>
      <c r="AD197" s="138"/>
      <c r="AE197" s="138"/>
      <c r="AF197" s="138"/>
      <c r="AG197" s="138"/>
      <c r="AH197" s="138"/>
      <c r="AI197" s="138"/>
      <c r="AJ197" s="138"/>
      <c r="AK197" s="138"/>
      <c r="AL197" s="138"/>
      <c r="AM197" s="138"/>
      <c r="AN197" s="138"/>
      <c r="AO197" s="138"/>
      <c r="AP197" s="138"/>
      <c r="AQ197" s="138"/>
      <c r="AR197" s="138"/>
      <c r="AS197" s="138"/>
      <c r="AT197" s="138"/>
      <c r="AU197" s="138"/>
      <c r="AV197" s="138"/>
      <c r="AW197" s="138"/>
      <c r="AX197" s="138"/>
      <c r="AY197" s="138"/>
      <c r="AZ197" s="138"/>
      <c r="BA197" s="138"/>
      <c r="BB197" s="138"/>
      <c r="BC197" s="138"/>
      <c r="BD197" s="138"/>
      <c r="BE197" s="138"/>
      <c r="BF197" s="138"/>
      <c r="BG197" s="138"/>
      <c r="BH197" s="138"/>
      <c r="BI197" s="138"/>
      <c r="BJ197" s="138"/>
      <c r="BK197" s="138"/>
      <c r="BL197" s="138"/>
      <c r="BM197" s="138"/>
      <c r="BN197" s="138"/>
      <c r="BO197" s="138"/>
      <c r="BP197" s="138"/>
      <c r="BQ197" s="138"/>
      <c r="BR197" s="138"/>
      <c r="BS197" s="138"/>
      <c r="BT197" s="138"/>
      <c r="BU197" s="138"/>
      <c r="BV197" s="138"/>
      <c r="BW197" s="138"/>
      <c r="BX197" s="138"/>
    </row>
    <row r="198" spans="2:76" s="137" customFormat="1">
      <c r="B198" s="9"/>
      <c r="C198" s="9"/>
      <c r="D198" s="9"/>
      <c r="E198" s="9"/>
      <c r="F198" s="9"/>
      <c r="G198" s="9"/>
      <c r="H198" s="9"/>
      <c r="I198" s="9"/>
      <c r="J198" s="9"/>
      <c r="K198" s="9"/>
      <c r="L198" s="9"/>
      <c r="M198" s="9"/>
      <c r="N198" s="9"/>
      <c r="O198" s="9"/>
      <c r="P198" s="9"/>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8"/>
      <c r="AQ198" s="138"/>
      <c r="AR198" s="138"/>
      <c r="AS198" s="138"/>
      <c r="AT198" s="138"/>
      <c r="AU198" s="138"/>
      <c r="AV198" s="138"/>
      <c r="AW198" s="138"/>
      <c r="AX198" s="138"/>
      <c r="AY198" s="138"/>
      <c r="AZ198" s="138"/>
      <c r="BA198" s="138"/>
      <c r="BB198" s="138"/>
      <c r="BC198" s="138"/>
      <c r="BD198" s="138"/>
      <c r="BE198" s="138"/>
      <c r="BF198" s="138"/>
      <c r="BG198" s="138"/>
      <c r="BH198" s="138"/>
      <c r="BI198" s="138"/>
      <c r="BJ198" s="138"/>
      <c r="BK198" s="138"/>
      <c r="BL198" s="138"/>
      <c r="BM198" s="138"/>
      <c r="BN198" s="138"/>
      <c r="BO198" s="138"/>
      <c r="BP198" s="138"/>
      <c r="BQ198" s="138"/>
      <c r="BR198" s="138"/>
      <c r="BS198" s="138"/>
      <c r="BT198" s="138"/>
      <c r="BU198" s="138"/>
      <c r="BV198" s="138"/>
      <c r="BW198" s="138"/>
      <c r="BX198" s="138"/>
    </row>
    <row r="199" spans="2:76" s="137" customFormat="1">
      <c r="B199" s="9"/>
      <c r="C199" s="9"/>
      <c r="D199" s="9"/>
      <c r="E199" s="9"/>
      <c r="F199" s="9"/>
      <c r="G199" s="9"/>
      <c r="H199" s="9"/>
      <c r="I199" s="9"/>
      <c r="J199" s="9"/>
      <c r="K199" s="9"/>
      <c r="L199" s="9"/>
      <c r="M199" s="9"/>
      <c r="N199" s="9"/>
      <c r="O199" s="9"/>
      <c r="P199" s="9"/>
      <c r="R199" s="138"/>
      <c r="S199" s="138"/>
      <c r="T199" s="138"/>
      <c r="U199" s="138"/>
      <c r="V199" s="138"/>
      <c r="W199" s="138"/>
      <c r="X199" s="138"/>
      <c r="Y199" s="138"/>
      <c r="Z199" s="138"/>
      <c r="AA199" s="138"/>
      <c r="AB199" s="138"/>
      <c r="AC199" s="138"/>
      <c r="AD199" s="138"/>
      <c r="AE199" s="138"/>
      <c r="AF199" s="138"/>
      <c r="AG199" s="138"/>
      <c r="AH199" s="138"/>
      <c r="AI199" s="138"/>
      <c r="AJ199" s="138"/>
      <c r="AK199" s="138"/>
      <c r="AL199" s="138"/>
      <c r="AM199" s="138"/>
      <c r="AN199" s="138"/>
      <c r="AO199" s="138"/>
      <c r="AP199" s="138"/>
      <c r="AQ199" s="138"/>
      <c r="AR199" s="138"/>
      <c r="AS199" s="138"/>
      <c r="AT199" s="138"/>
      <c r="AU199" s="138"/>
      <c r="AV199" s="138"/>
      <c r="AW199" s="138"/>
      <c r="AX199" s="138"/>
      <c r="AY199" s="138"/>
      <c r="AZ199" s="138"/>
      <c r="BA199" s="138"/>
      <c r="BB199" s="138"/>
      <c r="BC199" s="138"/>
      <c r="BD199" s="138"/>
      <c r="BE199" s="138"/>
      <c r="BF199" s="138"/>
      <c r="BG199" s="138"/>
      <c r="BH199" s="138"/>
      <c r="BI199" s="138"/>
      <c r="BJ199" s="138"/>
      <c r="BK199" s="138"/>
      <c r="BL199" s="138"/>
      <c r="BM199" s="138"/>
      <c r="BN199" s="138"/>
      <c r="BO199" s="138"/>
      <c r="BP199" s="138"/>
      <c r="BQ199" s="138"/>
      <c r="BR199" s="138"/>
      <c r="BS199" s="138"/>
      <c r="BT199" s="138"/>
      <c r="BU199" s="138"/>
      <c r="BV199" s="138"/>
      <c r="BW199" s="138"/>
      <c r="BX199" s="138"/>
    </row>
    <row r="200" spans="2:76" s="137" customFormat="1">
      <c r="B200" s="9"/>
      <c r="C200" s="9"/>
      <c r="D200" s="9"/>
      <c r="E200" s="9"/>
      <c r="F200" s="9"/>
      <c r="G200" s="9"/>
      <c r="H200" s="9"/>
      <c r="I200" s="9"/>
      <c r="J200" s="9"/>
      <c r="K200" s="9"/>
      <c r="L200" s="9"/>
      <c r="M200" s="9"/>
      <c r="N200" s="9"/>
      <c r="O200" s="9"/>
      <c r="P200" s="9"/>
      <c r="R200" s="138"/>
      <c r="S200" s="138"/>
      <c r="T200" s="138"/>
      <c r="U200" s="138"/>
      <c r="V200" s="138"/>
      <c r="W200" s="138"/>
      <c r="X200" s="138"/>
      <c r="Y200" s="138"/>
      <c r="Z200" s="138"/>
      <c r="AA200" s="138"/>
      <c r="AB200" s="138"/>
      <c r="AC200" s="138"/>
      <c r="AD200" s="138"/>
      <c r="AE200" s="138"/>
      <c r="AF200" s="138"/>
      <c r="AG200" s="138"/>
      <c r="AH200" s="138"/>
      <c r="AI200" s="138"/>
      <c r="AJ200" s="138"/>
      <c r="AK200" s="138"/>
      <c r="AL200" s="138"/>
      <c r="AM200" s="138"/>
      <c r="AN200" s="138"/>
      <c r="AO200" s="138"/>
      <c r="AP200" s="138"/>
      <c r="AQ200" s="138"/>
      <c r="AR200" s="138"/>
      <c r="AS200" s="138"/>
      <c r="AT200" s="138"/>
      <c r="AU200" s="138"/>
      <c r="AV200" s="138"/>
      <c r="AW200" s="138"/>
      <c r="AX200" s="138"/>
      <c r="AY200" s="138"/>
      <c r="AZ200" s="138"/>
      <c r="BA200" s="138"/>
      <c r="BB200" s="138"/>
      <c r="BC200" s="138"/>
      <c r="BD200" s="138"/>
      <c r="BE200" s="138"/>
      <c r="BF200" s="138"/>
      <c r="BG200" s="138"/>
      <c r="BH200" s="138"/>
      <c r="BI200" s="138"/>
      <c r="BJ200" s="138"/>
      <c r="BK200" s="138"/>
      <c r="BL200" s="138"/>
      <c r="BM200" s="138"/>
      <c r="BN200" s="138"/>
      <c r="BO200" s="138"/>
      <c r="BP200" s="138"/>
      <c r="BQ200" s="138"/>
      <c r="BR200" s="138"/>
      <c r="BS200" s="138"/>
      <c r="BT200" s="138"/>
      <c r="BU200" s="138"/>
      <c r="BV200" s="138"/>
      <c r="BW200" s="138"/>
      <c r="BX200" s="138"/>
    </row>
    <row r="201" spans="2:76" s="137" customFormat="1">
      <c r="B201" s="9"/>
      <c r="C201" s="9"/>
      <c r="D201" s="9"/>
      <c r="E201" s="9"/>
      <c r="F201" s="9"/>
      <c r="G201" s="9"/>
      <c r="H201" s="9"/>
      <c r="I201" s="9"/>
      <c r="J201" s="9"/>
      <c r="K201" s="9"/>
      <c r="L201" s="9"/>
      <c r="M201" s="9"/>
      <c r="N201" s="9"/>
      <c r="O201" s="9"/>
      <c r="P201" s="9"/>
      <c r="R201" s="138"/>
      <c r="S201" s="138"/>
      <c r="T201" s="138"/>
      <c r="U201" s="138"/>
      <c r="V201" s="138"/>
      <c r="W201" s="138"/>
      <c r="X201" s="138"/>
      <c r="Y201" s="138"/>
      <c r="Z201" s="138"/>
      <c r="AA201" s="138"/>
      <c r="AB201" s="138"/>
      <c r="AC201" s="138"/>
      <c r="AD201" s="138"/>
      <c r="AE201" s="138"/>
      <c r="AF201" s="138"/>
      <c r="AG201" s="138"/>
      <c r="AH201" s="138"/>
      <c r="AI201" s="138"/>
      <c r="AJ201" s="138"/>
      <c r="AK201" s="138"/>
      <c r="AL201" s="138"/>
      <c r="AM201" s="138"/>
      <c r="AN201" s="138"/>
      <c r="AO201" s="138"/>
      <c r="AP201" s="138"/>
      <c r="AQ201" s="138"/>
      <c r="AR201" s="138"/>
      <c r="AS201" s="138"/>
      <c r="AT201" s="138"/>
      <c r="AU201" s="138"/>
      <c r="AV201" s="138"/>
      <c r="AW201" s="138"/>
      <c r="AX201" s="138"/>
      <c r="AY201" s="138"/>
      <c r="AZ201" s="138"/>
      <c r="BA201" s="138"/>
      <c r="BB201" s="138"/>
      <c r="BC201" s="138"/>
      <c r="BD201" s="138"/>
      <c r="BE201" s="138"/>
      <c r="BF201" s="138"/>
      <c r="BG201" s="138"/>
      <c r="BH201" s="138"/>
      <c r="BI201" s="138"/>
      <c r="BJ201" s="138"/>
      <c r="BK201" s="138"/>
      <c r="BL201" s="138"/>
      <c r="BM201" s="138"/>
      <c r="BN201" s="138"/>
      <c r="BO201" s="138"/>
      <c r="BP201" s="138"/>
      <c r="BQ201" s="138"/>
      <c r="BR201" s="138"/>
      <c r="BS201" s="138"/>
      <c r="BT201" s="138"/>
      <c r="BU201" s="138"/>
      <c r="BV201" s="138"/>
      <c r="BW201" s="138"/>
      <c r="BX201" s="138"/>
    </row>
    <row r="202" spans="2:76" s="137" customFormat="1">
      <c r="B202" s="9"/>
      <c r="C202" s="9"/>
      <c r="D202" s="9"/>
      <c r="E202" s="9"/>
      <c r="F202" s="9"/>
      <c r="G202" s="9"/>
      <c r="H202" s="9"/>
      <c r="I202" s="9"/>
      <c r="J202" s="9"/>
      <c r="K202" s="9"/>
      <c r="L202" s="9"/>
      <c r="M202" s="9"/>
      <c r="N202" s="9"/>
      <c r="O202" s="9"/>
      <c r="P202" s="9"/>
      <c r="R202" s="138"/>
      <c r="S202" s="138"/>
      <c r="T202" s="138"/>
      <c r="U202" s="138"/>
      <c r="V202" s="138"/>
      <c r="W202" s="138"/>
      <c r="X202" s="138"/>
      <c r="Y202" s="138"/>
      <c r="Z202" s="138"/>
      <c r="AA202" s="138"/>
      <c r="AB202" s="138"/>
      <c r="AC202" s="138"/>
      <c r="AD202" s="138"/>
      <c r="AE202" s="138"/>
      <c r="AF202" s="138"/>
      <c r="AG202" s="138"/>
      <c r="AH202" s="138"/>
      <c r="AI202" s="138"/>
      <c r="AJ202" s="138"/>
      <c r="AK202" s="138"/>
      <c r="AL202" s="138"/>
      <c r="AM202" s="138"/>
      <c r="AN202" s="138"/>
      <c r="AO202" s="138"/>
      <c r="AP202" s="138"/>
      <c r="AQ202" s="138"/>
      <c r="AR202" s="138"/>
      <c r="AS202" s="138"/>
      <c r="AT202" s="138"/>
      <c r="AU202" s="138"/>
      <c r="AV202" s="138"/>
      <c r="AW202" s="138"/>
      <c r="AX202" s="138"/>
      <c r="AY202" s="138"/>
      <c r="AZ202" s="138"/>
      <c r="BA202" s="138"/>
      <c r="BB202" s="138"/>
      <c r="BC202" s="138"/>
      <c r="BD202" s="138"/>
      <c r="BE202" s="138"/>
      <c r="BF202" s="138"/>
      <c r="BG202" s="138"/>
      <c r="BH202" s="138"/>
      <c r="BI202" s="138"/>
      <c r="BJ202" s="138"/>
      <c r="BK202" s="138"/>
      <c r="BL202" s="138"/>
      <c r="BM202" s="138"/>
      <c r="BN202" s="138"/>
      <c r="BO202" s="138"/>
      <c r="BP202" s="138"/>
      <c r="BQ202" s="138"/>
      <c r="BR202" s="138"/>
      <c r="BS202" s="138"/>
      <c r="BT202" s="138"/>
      <c r="BU202" s="138"/>
      <c r="BV202" s="138"/>
      <c r="BW202" s="138"/>
      <c r="BX202" s="138"/>
    </row>
    <row r="203" spans="2:76" s="137" customFormat="1">
      <c r="B203" s="9"/>
      <c r="C203" s="9"/>
      <c r="D203" s="9"/>
      <c r="E203" s="9"/>
      <c r="F203" s="9"/>
      <c r="G203" s="9"/>
      <c r="H203" s="9"/>
      <c r="I203" s="9"/>
      <c r="J203" s="9"/>
      <c r="K203" s="9"/>
      <c r="L203" s="9"/>
      <c r="M203" s="9"/>
      <c r="N203" s="9"/>
      <c r="O203" s="9"/>
      <c r="P203" s="9"/>
      <c r="R203" s="138"/>
      <c r="S203" s="138"/>
      <c r="T203" s="138"/>
      <c r="U203" s="138"/>
      <c r="V203" s="138"/>
      <c r="W203" s="138"/>
      <c r="X203" s="138"/>
      <c r="Y203" s="138"/>
      <c r="Z203" s="138"/>
      <c r="AA203" s="138"/>
      <c r="AB203" s="138"/>
      <c r="AC203" s="138"/>
      <c r="AD203" s="138"/>
      <c r="AE203" s="138"/>
      <c r="AF203" s="138"/>
      <c r="AG203" s="138"/>
      <c r="AH203" s="138"/>
      <c r="AI203" s="138"/>
      <c r="AJ203" s="138"/>
      <c r="AK203" s="138"/>
      <c r="AL203" s="138"/>
      <c r="AM203" s="138"/>
      <c r="AN203" s="138"/>
      <c r="AO203" s="138"/>
      <c r="AP203" s="138"/>
      <c r="AQ203" s="138"/>
      <c r="AR203" s="138"/>
      <c r="AS203" s="138"/>
      <c r="AT203" s="138"/>
      <c r="AU203" s="138"/>
      <c r="AV203" s="138"/>
      <c r="AW203" s="138"/>
      <c r="AX203" s="138"/>
      <c r="AY203" s="138"/>
      <c r="AZ203" s="138"/>
      <c r="BA203" s="138"/>
      <c r="BB203" s="138"/>
      <c r="BC203" s="138"/>
      <c r="BD203" s="138"/>
      <c r="BE203" s="138"/>
      <c r="BF203" s="138"/>
      <c r="BG203" s="138"/>
      <c r="BH203" s="138"/>
      <c r="BI203" s="138"/>
      <c r="BJ203" s="138"/>
      <c r="BK203" s="138"/>
      <c r="BL203" s="138"/>
      <c r="BM203" s="138"/>
      <c r="BN203" s="138"/>
      <c r="BO203" s="138"/>
      <c r="BP203" s="138"/>
      <c r="BQ203" s="138"/>
      <c r="BR203" s="138"/>
      <c r="BS203" s="138"/>
      <c r="BT203" s="138"/>
      <c r="BU203" s="138"/>
      <c r="BV203" s="138"/>
      <c r="BW203" s="138"/>
      <c r="BX203" s="138"/>
    </row>
    <row r="204" spans="2:76" s="137" customFormat="1">
      <c r="B204" s="9"/>
      <c r="C204" s="9"/>
      <c r="D204" s="9"/>
      <c r="E204" s="9"/>
      <c r="F204" s="9"/>
      <c r="G204" s="9"/>
      <c r="H204" s="9"/>
      <c r="I204" s="9"/>
      <c r="J204" s="9"/>
      <c r="K204" s="9"/>
      <c r="L204" s="9"/>
      <c r="M204" s="9"/>
      <c r="N204" s="9"/>
      <c r="O204" s="9"/>
      <c r="P204" s="9"/>
      <c r="R204" s="138"/>
      <c r="S204" s="138"/>
      <c r="T204" s="138"/>
      <c r="U204" s="138"/>
      <c r="V204" s="138"/>
      <c r="W204" s="138"/>
      <c r="X204" s="138"/>
      <c r="Y204" s="138"/>
      <c r="Z204" s="138"/>
      <c r="AA204" s="138"/>
      <c r="AB204" s="138"/>
      <c r="AC204" s="138"/>
      <c r="AD204" s="138"/>
      <c r="AE204" s="138"/>
      <c r="AF204" s="138"/>
      <c r="AG204" s="138"/>
      <c r="AH204" s="138"/>
      <c r="AI204" s="138"/>
      <c r="AJ204" s="138"/>
      <c r="AK204" s="138"/>
      <c r="AL204" s="138"/>
      <c r="AM204" s="138"/>
      <c r="AN204" s="138"/>
      <c r="AO204" s="138"/>
      <c r="AP204" s="138"/>
      <c r="AQ204" s="138"/>
      <c r="AR204" s="138"/>
      <c r="AS204" s="138"/>
      <c r="AT204" s="138"/>
      <c r="AU204" s="138"/>
      <c r="AV204" s="138"/>
      <c r="AW204" s="138"/>
      <c r="AX204" s="138"/>
      <c r="AY204" s="138"/>
      <c r="AZ204" s="138"/>
      <c r="BA204" s="138"/>
      <c r="BB204" s="138"/>
      <c r="BC204" s="138"/>
      <c r="BD204" s="138"/>
      <c r="BE204" s="138"/>
      <c r="BF204" s="138"/>
      <c r="BG204" s="138"/>
      <c r="BH204" s="138"/>
      <c r="BI204" s="138"/>
      <c r="BJ204" s="138"/>
      <c r="BK204" s="138"/>
      <c r="BL204" s="138"/>
      <c r="BM204" s="138"/>
      <c r="BN204" s="138"/>
      <c r="BO204" s="138"/>
      <c r="BP204" s="138"/>
      <c r="BQ204" s="138"/>
      <c r="BR204" s="138"/>
      <c r="BS204" s="138"/>
      <c r="BT204" s="138"/>
      <c r="BU204" s="138"/>
      <c r="BV204" s="138"/>
      <c r="BW204" s="138"/>
      <c r="BX204" s="138"/>
    </row>
    <row r="205" spans="2:76" s="137" customFormat="1">
      <c r="B205" s="9"/>
      <c r="C205" s="9"/>
      <c r="D205" s="9"/>
      <c r="E205" s="9"/>
      <c r="F205" s="9"/>
      <c r="G205" s="9"/>
      <c r="H205" s="9"/>
      <c r="I205" s="9"/>
      <c r="J205" s="9"/>
      <c r="K205" s="9"/>
      <c r="L205" s="9"/>
      <c r="M205" s="9"/>
      <c r="N205" s="9"/>
      <c r="O205" s="9"/>
      <c r="P205" s="9"/>
      <c r="R205" s="138"/>
      <c r="S205" s="138"/>
      <c r="T205" s="138"/>
      <c r="U205" s="138"/>
      <c r="V205" s="138"/>
      <c r="W205" s="138"/>
      <c r="X205" s="138"/>
      <c r="Y205" s="138"/>
      <c r="Z205" s="138"/>
      <c r="AA205" s="138"/>
      <c r="AB205" s="138"/>
      <c r="AC205" s="138"/>
      <c r="AD205" s="138"/>
      <c r="AE205" s="138"/>
      <c r="AF205" s="138"/>
      <c r="AG205" s="138"/>
      <c r="AH205" s="138"/>
      <c r="AI205" s="138"/>
      <c r="AJ205" s="138"/>
      <c r="AK205" s="138"/>
      <c r="AL205" s="138"/>
      <c r="AM205" s="138"/>
      <c r="AN205" s="138"/>
      <c r="AO205" s="138"/>
      <c r="AP205" s="138"/>
      <c r="AQ205" s="138"/>
      <c r="AR205" s="138"/>
      <c r="AS205" s="138"/>
      <c r="AT205" s="138"/>
      <c r="AU205" s="138"/>
      <c r="AV205" s="138"/>
      <c r="AW205" s="138"/>
      <c r="AX205" s="138"/>
      <c r="AY205" s="138"/>
      <c r="AZ205" s="138"/>
      <c r="BA205" s="138"/>
      <c r="BB205" s="138"/>
      <c r="BC205" s="138"/>
      <c r="BD205" s="138"/>
      <c r="BE205" s="138"/>
      <c r="BF205" s="138"/>
      <c r="BG205" s="138"/>
      <c r="BH205" s="138"/>
      <c r="BI205" s="138"/>
      <c r="BJ205" s="138"/>
      <c r="BK205" s="138"/>
      <c r="BL205" s="138"/>
      <c r="BM205" s="138"/>
      <c r="BN205" s="138"/>
      <c r="BO205" s="138"/>
      <c r="BP205" s="138"/>
      <c r="BQ205" s="138"/>
      <c r="BR205" s="138"/>
      <c r="BS205" s="138"/>
      <c r="BT205" s="138"/>
      <c r="BU205" s="138"/>
      <c r="BV205" s="138"/>
      <c r="BW205" s="138"/>
      <c r="BX205" s="138"/>
    </row>
    <row r="206" spans="2:76" s="137" customFormat="1">
      <c r="B206" s="9"/>
      <c r="C206" s="9"/>
      <c r="D206" s="9"/>
      <c r="E206" s="9"/>
      <c r="F206" s="9"/>
      <c r="G206" s="9"/>
      <c r="H206" s="9"/>
      <c r="I206" s="9"/>
      <c r="J206" s="9"/>
      <c r="K206" s="9"/>
      <c r="L206" s="9"/>
      <c r="M206" s="9"/>
      <c r="N206" s="9"/>
      <c r="O206" s="9"/>
      <c r="P206" s="9"/>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c r="BS206" s="138"/>
      <c r="BT206" s="138"/>
      <c r="BU206" s="138"/>
      <c r="BV206" s="138"/>
      <c r="BW206" s="138"/>
      <c r="BX206" s="138"/>
    </row>
    <row r="207" spans="2:76" s="137" customFormat="1">
      <c r="B207" s="9"/>
      <c r="C207" s="9"/>
      <c r="D207" s="9"/>
      <c r="E207" s="9"/>
      <c r="F207" s="9"/>
      <c r="G207" s="9"/>
      <c r="H207" s="9"/>
      <c r="I207" s="9"/>
      <c r="J207" s="9"/>
      <c r="K207" s="9"/>
      <c r="L207" s="9"/>
      <c r="M207" s="9"/>
      <c r="N207" s="9"/>
      <c r="O207" s="9"/>
      <c r="P207" s="9"/>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c r="BS207" s="138"/>
      <c r="BT207" s="138"/>
      <c r="BU207" s="138"/>
      <c r="BV207" s="138"/>
      <c r="BW207" s="138"/>
      <c r="BX207" s="138"/>
    </row>
    <row r="208" spans="2:76" s="137" customFormat="1">
      <c r="B208" s="9"/>
      <c r="C208" s="9"/>
      <c r="D208" s="9"/>
      <c r="E208" s="9"/>
      <c r="F208" s="9"/>
      <c r="G208" s="9"/>
      <c r="H208" s="9"/>
      <c r="I208" s="9"/>
      <c r="J208" s="9"/>
      <c r="K208" s="9"/>
      <c r="L208" s="9"/>
      <c r="M208" s="9"/>
      <c r="N208" s="9"/>
      <c r="O208" s="9"/>
      <c r="P208" s="9"/>
      <c r="R208" s="138"/>
      <c r="S208" s="138"/>
      <c r="T208" s="138"/>
      <c r="U208" s="138"/>
      <c r="V208" s="138"/>
      <c r="W208" s="138"/>
      <c r="X208" s="138"/>
      <c r="Y208" s="138"/>
      <c r="Z208" s="138"/>
      <c r="AA208" s="138"/>
      <c r="AB208" s="138"/>
      <c r="AC208" s="138"/>
      <c r="AD208" s="138"/>
      <c r="AE208" s="138"/>
      <c r="AF208" s="138"/>
      <c r="AG208" s="138"/>
      <c r="AH208" s="138"/>
      <c r="AI208" s="138"/>
      <c r="AJ208" s="138"/>
      <c r="AK208" s="138"/>
      <c r="AL208" s="138"/>
      <c r="AM208" s="138"/>
      <c r="AN208" s="138"/>
      <c r="AO208" s="138"/>
      <c r="AP208" s="138"/>
      <c r="AQ208" s="138"/>
      <c r="AR208" s="138"/>
      <c r="AS208" s="138"/>
      <c r="AT208" s="138"/>
      <c r="AU208" s="138"/>
      <c r="AV208" s="138"/>
      <c r="AW208" s="138"/>
      <c r="AX208" s="138"/>
      <c r="AY208" s="138"/>
      <c r="AZ208" s="138"/>
      <c r="BA208" s="138"/>
      <c r="BB208" s="138"/>
      <c r="BC208" s="138"/>
      <c r="BD208" s="138"/>
      <c r="BE208" s="138"/>
      <c r="BF208" s="138"/>
      <c r="BG208" s="138"/>
      <c r="BH208" s="138"/>
      <c r="BI208" s="138"/>
      <c r="BJ208" s="138"/>
      <c r="BK208" s="138"/>
      <c r="BL208" s="138"/>
      <c r="BM208" s="138"/>
      <c r="BN208" s="138"/>
      <c r="BO208" s="138"/>
      <c r="BP208" s="138"/>
      <c r="BQ208" s="138"/>
      <c r="BR208" s="138"/>
      <c r="BS208" s="138"/>
      <c r="BT208" s="138"/>
      <c r="BU208" s="138"/>
      <c r="BV208" s="138"/>
      <c r="BW208" s="138"/>
      <c r="BX208" s="138"/>
    </row>
    <row r="209" spans="2:76" s="137" customFormat="1">
      <c r="B209" s="9"/>
      <c r="C209" s="9"/>
      <c r="D209" s="9"/>
      <c r="E209" s="9"/>
      <c r="F209" s="9"/>
      <c r="G209" s="9"/>
      <c r="H209" s="9"/>
      <c r="I209" s="9"/>
      <c r="J209" s="9"/>
      <c r="K209" s="9"/>
      <c r="L209" s="9"/>
      <c r="M209" s="9"/>
      <c r="N209" s="9"/>
      <c r="O209" s="9"/>
      <c r="P209" s="9"/>
      <c r="R209" s="138"/>
      <c r="S209" s="138"/>
      <c r="T209" s="138"/>
      <c r="U209" s="138"/>
      <c r="V209" s="138"/>
      <c r="W209" s="138"/>
      <c r="X209" s="138"/>
      <c r="Y209" s="138"/>
      <c r="Z209" s="138"/>
      <c r="AA209" s="138"/>
      <c r="AB209" s="138"/>
      <c r="AC209" s="138"/>
      <c r="AD209" s="138"/>
      <c r="AE209" s="138"/>
      <c r="AF209" s="138"/>
      <c r="AG209" s="138"/>
      <c r="AH209" s="138"/>
      <c r="AI209" s="138"/>
      <c r="AJ209" s="138"/>
      <c r="AK209" s="138"/>
      <c r="AL209" s="138"/>
      <c r="AM209" s="138"/>
      <c r="AN209" s="138"/>
      <c r="AO209" s="138"/>
      <c r="AP209" s="138"/>
      <c r="AQ209" s="138"/>
      <c r="AR209" s="138"/>
      <c r="AS209" s="138"/>
      <c r="AT209" s="138"/>
      <c r="AU209" s="138"/>
      <c r="AV209" s="138"/>
      <c r="AW209" s="138"/>
      <c r="AX209" s="138"/>
      <c r="AY209" s="138"/>
      <c r="AZ209" s="138"/>
      <c r="BA209" s="138"/>
      <c r="BB209" s="138"/>
      <c r="BC209" s="138"/>
      <c r="BD209" s="138"/>
      <c r="BE209" s="138"/>
      <c r="BF209" s="138"/>
      <c r="BG209" s="138"/>
      <c r="BH209" s="138"/>
      <c r="BI209" s="138"/>
      <c r="BJ209" s="138"/>
      <c r="BK209" s="138"/>
      <c r="BL209" s="138"/>
      <c r="BM209" s="138"/>
      <c r="BN209" s="138"/>
      <c r="BO209" s="138"/>
      <c r="BP209" s="138"/>
      <c r="BQ209" s="138"/>
      <c r="BR209" s="138"/>
      <c r="BS209" s="138"/>
      <c r="BT209" s="138"/>
      <c r="BU209" s="138"/>
      <c r="BV209" s="138"/>
      <c r="BW209" s="138"/>
      <c r="BX209" s="138"/>
    </row>
    <row r="210" spans="2:76" s="137" customFormat="1">
      <c r="B210" s="9"/>
      <c r="C210" s="9"/>
      <c r="D210" s="9"/>
      <c r="E210" s="9"/>
      <c r="F210" s="9"/>
      <c r="G210" s="9"/>
      <c r="H210" s="9"/>
      <c r="I210" s="9"/>
      <c r="J210" s="9"/>
      <c r="K210" s="9"/>
      <c r="L210" s="9"/>
      <c r="M210" s="9"/>
      <c r="N210" s="9"/>
      <c r="O210" s="9"/>
      <c r="P210" s="9"/>
      <c r="R210" s="138"/>
      <c r="S210" s="138"/>
      <c r="T210" s="138"/>
      <c r="U210" s="138"/>
      <c r="V210" s="138"/>
      <c r="W210" s="138"/>
      <c r="X210" s="138"/>
      <c r="Y210" s="138"/>
      <c r="Z210" s="138"/>
      <c r="AA210" s="138"/>
      <c r="AB210" s="138"/>
      <c r="AC210" s="138"/>
      <c r="AD210" s="138"/>
      <c r="AE210" s="138"/>
      <c r="AF210" s="138"/>
      <c r="AG210" s="138"/>
      <c r="AH210" s="138"/>
      <c r="AI210" s="138"/>
      <c r="AJ210" s="138"/>
      <c r="AK210" s="138"/>
      <c r="AL210" s="138"/>
      <c r="AM210" s="138"/>
      <c r="AN210" s="138"/>
      <c r="AO210" s="138"/>
      <c r="AP210" s="138"/>
      <c r="AQ210" s="138"/>
      <c r="AR210" s="138"/>
      <c r="AS210" s="138"/>
      <c r="AT210" s="138"/>
      <c r="AU210" s="138"/>
      <c r="AV210" s="138"/>
      <c r="AW210" s="138"/>
      <c r="AX210" s="138"/>
      <c r="AY210" s="138"/>
      <c r="AZ210" s="138"/>
      <c r="BA210" s="138"/>
      <c r="BB210" s="138"/>
      <c r="BC210" s="138"/>
      <c r="BD210" s="138"/>
      <c r="BE210" s="138"/>
      <c r="BF210" s="138"/>
      <c r="BG210" s="138"/>
      <c r="BH210" s="138"/>
      <c r="BI210" s="138"/>
      <c r="BJ210" s="138"/>
      <c r="BK210" s="138"/>
      <c r="BL210" s="138"/>
      <c r="BM210" s="138"/>
      <c r="BN210" s="138"/>
      <c r="BO210" s="138"/>
      <c r="BP210" s="138"/>
      <c r="BQ210" s="138"/>
      <c r="BR210" s="138"/>
      <c r="BS210" s="138"/>
      <c r="BT210" s="138"/>
      <c r="BU210" s="138"/>
      <c r="BV210" s="138"/>
      <c r="BW210" s="138"/>
      <c r="BX210" s="138"/>
    </row>
    <row r="211" spans="2:76" s="137" customFormat="1">
      <c r="B211" s="9"/>
      <c r="C211" s="9"/>
      <c r="D211" s="9"/>
      <c r="E211" s="9"/>
      <c r="F211" s="9"/>
      <c r="G211" s="9"/>
      <c r="H211" s="9"/>
      <c r="I211" s="9"/>
      <c r="J211" s="9"/>
      <c r="K211" s="9"/>
      <c r="L211" s="9"/>
      <c r="M211" s="9"/>
      <c r="N211" s="9"/>
      <c r="O211" s="9"/>
      <c r="P211" s="9"/>
      <c r="R211" s="138"/>
      <c r="S211" s="138"/>
      <c r="T211" s="138"/>
      <c r="U211" s="138"/>
      <c r="V211" s="138"/>
      <c r="W211" s="138"/>
      <c r="X211" s="138"/>
      <c r="Y211" s="138"/>
      <c r="Z211" s="138"/>
      <c r="AA211" s="138"/>
      <c r="AB211" s="138"/>
      <c r="AC211" s="138"/>
      <c r="AD211" s="138"/>
      <c r="AE211" s="138"/>
      <c r="AF211" s="138"/>
      <c r="AG211" s="138"/>
      <c r="AH211" s="138"/>
      <c r="AI211" s="138"/>
      <c r="AJ211" s="138"/>
      <c r="AK211" s="138"/>
      <c r="AL211" s="138"/>
      <c r="AM211" s="138"/>
      <c r="AN211" s="138"/>
      <c r="AO211" s="138"/>
      <c r="AP211" s="138"/>
      <c r="AQ211" s="138"/>
      <c r="AR211" s="138"/>
      <c r="AS211" s="138"/>
      <c r="AT211" s="138"/>
      <c r="AU211" s="138"/>
      <c r="AV211" s="138"/>
      <c r="AW211" s="138"/>
      <c r="AX211" s="138"/>
      <c r="AY211" s="138"/>
      <c r="AZ211" s="138"/>
      <c r="BA211" s="138"/>
      <c r="BB211" s="138"/>
      <c r="BC211" s="138"/>
      <c r="BD211" s="138"/>
      <c r="BE211" s="138"/>
      <c r="BF211" s="138"/>
      <c r="BG211" s="138"/>
      <c r="BH211" s="138"/>
      <c r="BI211" s="138"/>
      <c r="BJ211" s="138"/>
      <c r="BK211" s="138"/>
      <c r="BL211" s="138"/>
      <c r="BM211" s="138"/>
      <c r="BN211" s="138"/>
      <c r="BO211" s="138"/>
      <c r="BP211" s="138"/>
      <c r="BQ211" s="138"/>
      <c r="BR211" s="138"/>
      <c r="BS211" s="138"/>
      <c r="BT211" s="138"/>
      <c r="BU211" s="138"/>
      <c r="BV211" s="138"/>
      <c r="BW211" s="138"/>
      <c r="BX211" s="138"/>
    </row>
    <row r="212" spans="2:76" s="137" customFormat="1">
      <c r="B212" s="9"/>
      <c r="C212" s="9"/>
      <c r="D212" s="9"/>
      <c r="E212" s="9"/>
      <c r="F212" s="9"/>
      <c r="G212" s="9"/>
      <c r="H212" s="9"/>
      <c r="I212" s="9"/>
      <c r="J212" s="9"/>
      <c r="K212" s="9"/>
      <c r="L212" s="9"/>
      <c r="M212" s="9"/>
      <c r="N212" s="9"/>
      <c r="O212" s="9"/>
      <c r="P212" s="9"/>
      <c r="R212" s="138"/>
      <c r="S212" s="138"/>
      <c r="T212" s="138"/>
      <c r="U212" s="138"/>
      <c r="V212" s="138"/>
      <c r="W212" s="138"/>
      <c r="X212" s="138"/>
      <c r="Y212" s="138"/>
      <c r="Z212" s="138"/>
      <c r="AA212" s="138"/>
      <c r="AB212" s="138"/>
      <c r="AC212" s="138"/>
      <c r="AD212" s="138"/>
      <c r="AE212" s="138"/>
      <c r="AF212" s="138"/>
      <c r="AG212" s="138"/>
      <c r="AH212" s="138"/>
      <c r="AI212" s="138"/>
      <c r="AJ212" s="138"/>
      <c r="AK212" s="138"/>
      <c r="AL212" s="138"/>
      <c r="AM212" s="138"/>
      <c r="AN212" s="138"/>
      <c r="AO212" s="138"/>
      <c r="AP212" s="138"/>
      <c r="AQ212" s="138"/>
      <c r="AR212" s="138"/>
      <c r="AS212" s="138"/>
      <c r="AT212" s="138"/>
      <c r="AU212" s="138"/>
      <c r="AV212" s="138"/>
      <c r="AW212" s="138"/>
      <c r="AX212" s="138"/>
      <c r="AY212" s="138"/>
      <c r="AZ212" s="138"/>
      <c r="BA212" s="138"/>
      <c r="BB212" s="138"/>
      <c r="BC212" s="138"/>
      <c r="BD212" s="138"/>
      <c r="BE212" s="138"/>
      <c r="BF212" s="138"/>
      <c r="BG212" s="138"/>
      <c r="BH212" s="138"/>
      <c r="BI212" s="138"/>
      <c r="BJ212" s="138"/>
      <c r="BK212" s="138"/>
      <c r="BL212" s="138"/>
      <c r="BM212" s="138"/>
      <c r="BN212" s="138"/>
      <c r="BO212" s="138"/>
      <c r="BP212" s="138"/>
      <c r="BQ212" s="138"/>
      <c r="BR212" s="138"/>
      <c r="BS212" s="138"/>
      <c r="BT212" s="138"/>
      <c r="BU212" s="138"/>
      <c r="BV212" s="138"/>
      <c r="BW212" s="138"/>
      <c r="BX212" s="138"/>
    </row>
    <row r="213" spans="2:76" s="137" customFormat="1">
      <c r="B213" s="9"/>
      <c r="C213" s="9"/>
      <c r="D213" s="9"/>
      <c r="E213" s="9"/>
      <c r="F213" s="9"/>
      <c r="G213" s="9"/>
      <c r="H213" s="9"/>
      <c r="I213" s="9"/>
      <c r="J213" s="9"/>
      <c r="K213" s="9"/>
      <c r="L213" s="9"/>
      <c r="M213" s="9"/>
      <c r="N213" s="9"/>
      <c r="O213" s="9"/>
      <c r="P213" s="9"/>
      <c r="R213" s="138"/>
      <c r="S213" s="138"/>
      <c r="T213" s="138"/>
      <c r="U213" s="138"/>
      <c r="V213" s="138"/>
      <c r="W213" s="138"/>
      <c r="X213" s="138"/>
      <c r="Y213" s="138"/>
      <c r="Z213" s="138"/>
      <c r="AA213" s="138"/>
      <c r="AB213" s="138"/>
      <c r="AC213" s="138"/>
      <c r="AD213" s="138"/>
      <c r="AE213" s="138"/>
      <c r="AF213" s="138"/>
      <c r="AG213" s="138"/>
      <c r="AH213" s="138"/>
      <c r="AI213" s="138"/>
      <c r="AJ213" s="138"/>
      <c r="AK213" s="138"/>
      <c r="AL213" s="138"/>
      <c r="AM213" s="138"/>
      <c r="AN213" s="138"/>
      <c r="AO213" s="138"/>
      <c r="AP213" s="138"/>
      <c r="AQ213" s="138"/>
      <c r="AR213" s="138"/>
      <c r="AS213" s="138"/>
      <c r="AT213" s="138"/>
      <c r="AU213" s="138"/>
      <c r="AV213" s="138"/>
      <c r="AW213" s="138"/>
      <c r="AX213" s="138"/>
      <c r="AY213" s="138"/>
      <c r="AZ213" s="138"/>
      <c r="BA213" s="138"/>
      <c r="BB213" s="138"/>
      <c r="BC213" s="138"/>
      <c r="BD213" s="138"/>
      <c r="BE213" s="138"/>
      <c r="BF213" s="138"/>
      <c r="BG213" s="138"/>
      <c r="BH213" s="138"/>
      <c r="BI213" s="138"/>
      <c r="BJ213" s="138"/>
      <c r="BK213" s="138"/>
      <c r="BL213" s="138"/>
      <c r="BM213" s="138"/>
      <c r="BN213" s="138"/>
      <c r="BO213" s="138"/>
      <c r="BP213" s="138"/>
      <c r="BQ213" s="138"/>
      <c r="BR213" s="138"/>
      <c r="BS213" s="138"/>
      <c r="BT213" s="138"/>
      <c r="BU213" s="138"/>
      <c r="BV213" s="138"/>
      <c r="BW213" s="138"/>
      <c r="BX213" s="138"/>
    </row>
    <row r="214" spans="2:76" s="137" customFormat="1">
      <c r="B214" s="9"/>
      <c r="C214" s="9"/>
      <c r="D214" s="9"/>
      <c r="E214" s="9"/>
      <c r="F214" s="9"/>
      <c r="G214" s="9"/>
      <c r="H214" s="9"/>
      <c r="I214" s="9"/>
      <c r="J214" s="9"/>
      <c r="K214" s="9"/>
      <c r="L214" s="9"/>
      <c r="M214" s="9"/>
      <c r="N214" s="9"/>
      <c r="O214" s="9"/>
      <c r="P214" s="9"/>
      <c r="R214" s="138"/>
      <c r="S214" s="138"/>
      <c r="T214" s="138"/>
      <c r="U214" s="138"/>
      <c r="V214" s="138"/>
      <c r="W214" s="138"/>
      <c r="X214" s="138"/>
      <c r="Y214" s="138"/>
      <c r="Z214" s="138"/>
      <c r="AA214" s="138"/>
      <c r="AB214" s="138"/>
      <c r="AC214" s="138"/>
      <c r="AD214" s="138"/>
      <c r="AE214" s="138"/>
      <c r="AF214" s="138"/>
      <c r="AG214" s="138"/>
      <c r="AH214" s="138"/>
      <c r="AI214" s="138"/>
      <c r="AJ214" s="138"/>
      <c r="AK214" s="138"/>
      <c r="AL214" s="138"/>
      <c r="AM214" s="138"/>
      <c r="AN214" s="138"/>
      <c r="AO214" s="138"/>
      <c r="AP214" s="138"/>
      <c r="AQ214" s="138"/>
      <c r="AR214" s="138"/>
      <c r="AS214" s="138"/>
      <c r="AT214" s="138"/>
      <c r="AU214" s="138"/>
      <c r="AV214" s="138"/>
      <c r="AW214" s="138"/>
      <c r="AX214" s="138"/>
      <c r="AY214" s="138"/>
      <c r="AZ214" s="138"/>
      <c r="BA214" s="138"/>
      <c r="BB214" s="138"/>
      <c r="BC214" s="138"/>
      <c r="BD214" s="138"/>
      <c r="BE214" s="138"/>
      <c r="BF214" s="138"/>
      <c r="BG214" s="138"/>
      <c r="BH214" s="138"/>
      <c r="BI214" s="138"/>
      <c r="BJ214" s="138"/>
      <c r="BK214" s="138"/>
      <c r="BL214" s="138"/>
      <c r="BM214" s="138"/>
      <c r="BN214" s="138"/>
      <c r="BO214" s="138"/>
      <c r="BP214" s="138"/>
      <c r="BQ214" s="138"/>
      <c r="BR214" s="138"/>
      <c r="BS214" s="138"/>
      <c r="BT214" s="138"/>
      <c r="BU214" s="138"/>
      <c r="BV214" s="138"/>
      <c r="BW214" s="138"/>
      <c r="BX214" s="138"/>
    </row>
    <row r="215" spans="2:76" s="137" customFormat="1">
      <c r="B215" s="9"/>
      <c r="C215" s="9"/>
      <c r="D215" s="9"/>
      <c r="E215" s="9"/>
      <c r="F215" s="9"/>
      <c r="G215" s="9"/>
      <c r="H215" s="9"/>
      <c r="I215" s="9"/>
      <c r="J215" s="9"/>
      <c r="K215" s="9"/>
      <c r="L215" s="9"/>
      <c r="M215" s="9"/>
      <c r="N215" s="9"/>
      <c r="O215" s="9"/>
      <c r="P215" s="9"/>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c r="AW215" s="138"/>
      <c r="AX215" s="138"/>
      <c r="AY215" s="138"/>
      <c r="AZ215" s="138"/>
      <c r="BA215" s="138"/>
      <c r="BB215" s="138"/>
      <c r="BC215" s="138"/>
      <c r="BD215" s="138"/>
      <c r="BE215" s="138"/>
      <c r="BF215" s="138"/>
      <c r="BG215" s="138"/>
      <c r="BH215" s="138"/>
      <c r="BI215" s="138"/>
      <c r="BJ215" s="138"/>
      <c r="BK215" s="138"/>
      <c r="BL215" s="138"/>
      <c r="BM215" s="138"/>
      <c r="BN215" s="138"/>
      <c r="BO215" s="138"/>
      <c r="BP215" s="138"/>
      <c r="BQ215" s="138"/>
      <c r="BR215" s="138"/>
      <c r="BS215" s="138"/>
      <c r="BT215" s="138"/>
      <c r="BU215" s="138"/>
      <c r="BV215" s="138"/>
      <c r="BW215" s="138"/>
      <c r="BX215" s="138"/>
    </row>
    <row r="216" spans="2:76" s="137" customFormat="1">
      <c r="B216" s="9"/>
      <c r="C216" s="9"/>
      <c r="D216" s="9"/>
      <c r="E216" s="9"/>
      <c r="F216" s="9"/>
      <c r="G216" s="9"/>
      <c r="H216" s="9"/>
      <c r="I216" s="9"/>
      <c r="J216" s="9"/>
      <c r="K216" s="9"/>
      <c r="L216" s="9"/>
      <c r="M216" s="9"/>
      <c r="N216" s="9"/>
      <c r="O216" s="9"/>
      <c r="P216" s="9"/>
      <c r="R216" s="138"/>
      <c r="S216" s="138"/>
      <c r="T216" s="138"/>
      <c r="U216" s="138"/>
      <c r="V216" s="138"/>
      <c r="W216" s="138"/>
      <c r="X216" s="138"/>
      <c r="Y216" s="138"/>
      <c r="Z216" s="138"/>
      <c r="AA216" s="138"/>
      <c r="AB216" s="138"/>
      <c r="AC216" s="138"/>
      <c r="AD216" s="138"/>
      <c r="AE216" s="138"/>
      <c r="AF216" s="138"/>
      <c r="AG216" s="138"/>
      <c r="AH216" s="138"/>
      <c r="AI216" s="138"/>
      <c r="AJ216" s="138"/>
      <c r="AK216" s="138"/>
      <c r="AL216" s="138"/>
      <c r="AM216" s="138"/>
      <c r="AN216" s="138"/>
      <c r="AO216" s="138"/>
      <c r="AP216" s="138"/>
      <c r="AQ216" s="138"/>
      <c r="AR216" s="138"/>
      <c r="AS216" s="138"/>
      <c r="AT216" s="138"/>
      <c r="AU216" s="138"/>
      <c r="AV216" s="138"/>
      <c r="AW216" s="138"/>
      <c r="AX216" s="138"/>
      <c r="AY216" s="138"/>
      <c r="AZ216" s="138"/>
      <c r="BA216" s="138"/>
      <c r="BB216" s="138"/>
      <c r="BC216" s="138"/>
      <c r="BD216" s="138"/>
      <c r="BE216" s="138"/>
      <c r="BF216" s="138"/>
      <c r="BG216" s="138"/>
      <c r="BH216" s="138"/>
      <c r="BI216" s="138"/>
      <c r="BJ216" s="138"/>
      <c r="BK216" s="138"/>
      <c r="BL216" s="138"/>
      <c r="BM216" s="138"/>
      <c r="BN216" s="138"/>
      <c r="BO216" s="138"/>
      <c r="BP216" s="138"/>
      <c r="BQ216" s="138"/>
      <c r="BR216" s="138"/>
      <c r="BS216" s="138"/>
      <c r="BT216" s="138"/>
      <c r="BU216" s="138"/>
      <c r="BV216" s="138"/>
      <c r="BW216" s="138"/>
      <c r="BX216" s="138"/>
    </row>
    <row r="217" spans="2:76" s="137" customFormat="1">
      <c r="B217" s="9"/>
      <c r="C217" s="9"/>
      <c r="D217" s="9"/>
      <c r="E217" s="9"/>
      <c r="F217" s="9"/>
      <c r="G217" s="9"/>
      <c r="H217" s="9"/>
      <c r="I217" s="9"/>
      <c r="J217" s="9"/>
      <c r="K217" s="9"/>
      <c r="L217" s="9"/>
      <c r="M217" s="9"/>
      <c r="N217" s="9"/>
      <c r="O217" s="9"/>
      <c r="P217" s="9"/>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c r="BS217" s="138"/>
      <c r="BT217" s="138"/>
      <c r="BU217" s="138"/>
      <c r="BV217" s="138"/>
      <c r="BW217" s="138"/>
      <c r="BX217" s="138"/>
    </row>
    <row r="218" spans="2:76" s="137" customFormat="1">
      <c r="B218" s="9"/>
      <c r="C218" s="9"/>
      <c r="D218" s="9"/>
      <c r="E218" s="9"/>
      <c r="F218" s="9"/>
      <c r="G218" s="9"/>
      <c r="H218" s="9"/>
      <c r="I218" s="9"/>
      <c r="J218" s="9"/>
      <c r="K218" s="9"/>
      <c r="L218" s="9"/>
      <c r="M218" s="9"/>
      <c r="N218" s="9"/>
      <c r="O218" s="9"/>
      <c r="P218" s="9"/>
      <c r="R218" s="138"/>
      <c r="S218" s="138"/>
      <c r="T218" s="138"/>
      <c r="U218" s="138"/>
      <c r="V218" s="138"/>
      <c r="W218" s="138"/>
      <c r="X218" s="138"/>
      <c r="Y218" s="138"/>
      <c r="Z218" s="138"/>
      <c r="AA218" s="138"/>
      <c r="AB218" s="138"/>
      <c r="AC218" s="138"/>
      <c r="AD218" s="138"/>
      <c r="AE218" s="138"/>
      <c r="AF218" s="138"/>
      <c r="AG218" s="138"/>
      <c r="AH218" s="138"/>
      <c r="AI218" s="138"/>
      <c r="AJ218" s="138"/>
      <c r="AK218" s="138"/>
      <c r="AL218" s="138"/>
      <c r="AM218" s="138"/>
      <c r="AN218" s="138"/>
      <c r="AO218" s="138"/>
      <c r="AP218" s="138"/>
      <c r="AQ218" s="138"/>
      <c r="AR218" s="138"/>
      <c r="AS218" s="138"/>
      <c r="AT218" s="138"/>
      <c r="AU218" s="138"/>
      <c r="AV218" s="138"/>
      <c r="AW218" s="138"/>
      <c r="AX218" s="138"/>
      <c r="AY218" s="138"/>
      <c r="AZ218" s="138"/>
      <c r="BA218" s="138"/>
      <c r="BB218" s="138"/>
      <c r="BC218" s="138"/>
      <c r="BD218" s="138"/>
      <c r="BE218" s="138"/>
      <c r="BF218" s="138"/>
      <c r="BG218" s="138"/>
      <c r="BH218" s="138"/>
      <c r="BI218" s="138"/>
      <c r="BJ218" s="138"/>
      <c r="BK218" s="138"/>
      <c r="BL218" s="138"/>
      <c r="BM218" s="138"/>
      <c r="BN218" s="138"/>
      <c r="BO218" s="138"/>
      <c r="BP218" s="138"/>
      <c r="BQ218" s="138"/>
      <c r="BR218" s="138"/>
      <c r="BS218" s="138"/>
      <c r="BT218" s="138"/>
      <c r="BU218" s="138"/>
      <c r="BV218" s="138"/>
      <c r="BW218" s="138"/>
      <c r="BX218" s="138"/>
    </row>
    <row r="219" spans="2:76" s="137" customFormat="1">
      <c r="B219" s="9"/>
      <c r="C219" s="9"/>
      <c r="D219" s="9"/>
      <c r="E219" s="9"/>
      <c r="F219" s="9"/>
      <c r="G219" s="9"/>
      <c r="H219" s="9"/>
      <c r="I219" s="9"/>
      <c r="J219" s="9"/>
      <c r="K219" s="9"/>
      <c r="L219" s="9"/>
      <c r="M219" s="9"/>
      <c r="N219" s="9"/>
      <c r="O219" s="9"/>
      <c r="P219" s="9"/>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c r="BS219" s="138"/>
      <c r="BT219" s="138"/>
      <c r="BU219" s="138"/>
      <c r="BV219" s="138"/>
      <c r="BW219" s="138"/>
      <c r="BX219" s="138"/>
    </row>
    <row r="220" spans="2:76" s="137" customFormat="1">
      <c r="B220" s="9"/>
      <c r="C220" s="9"/>
      <c r="D220" s="9"/>
      <c r="E220" s="9"/>
      <c r="F220" s="9"/>
      <c r="G220" s="9"/>
      <c r="H220" s="9"/>
      <c r="I220" s="9"/>
      <c r="J220" s="9"/>
      <c r="K220" s="9"/>
      <c r="L220" s="9"/>
      <c r="M220" s="9"/>
      <c r="N220" s="9"/>
      <c r="O220" s="9"/>
      <c r="P220" s="9"/>
      <c r="R220" s="138"/>
      <c r="S220" s="138"/>
      <c r="T220" s="138"/>
      <c r="U220" s="138"/>
      <c r="V220" s="138"/>
      <c r="W220" s="138"/>
      <c r="X220" s="138"/>
      <c r="Y220" s="138"/>
      <c r="Z220" s="138"/>
      <c r="AA220" s="138"/>
      <c r="AB220" s="138"/>
      <c r="AC220" s="138"/>
      <c r="AD220" s="138"/>
      <c r="AE220" s="138"/>
      <c r="AF220" s="138"/>
      <c r="AG220" s="138"/>
      <c r="AH220" s="138"/>
      <c r="AI220" s="138"/>
      <c r="AJ220" s="138"/>
      <c r="AK220" s="138"/>
      <c r="AL220" s="138"/>
      <c r="AM220" s="138"/>
      <c r="AN220" s="138"/>
      <c r="AO220" s="138"/>
      <c r="AP220" s="138"/>
      <c r="AQ220" s="138"/>
      <c r="AR220" s="138"/>
      <c r="AS220" s="138"/>
      <c r="AT220" s="138"/>
      <c r="AU220" s="138"/>
      <c r="AV220" s="138"/>
      <c r="AW220" s="138"/>
      <c r="AX220" s="138"/>
      <c r="AY220" s="138"/>
      <c r="AZ220" s="138"/>
      <c r="BA220" s="138"/>
      <c r="BB220" s="138"/>
      <c r="BC220" s="138"/>
      <c r="BD220" s="138"/>
      <c r="BE220" s="138"/>
      <c r="BF220" s="138"/>
      <c r="BG220" s="138"/>
      <c r="BH220" s="138"/>
      <c r="BI220" s="138"/>
      <c r="BJ220" s="138"/>
      <c r="BK220" s="138"/>
      <c r="BL220" s="138"/>
      <c r="BM220" s="138"/>
      <c r="BN220" s="138"/>
      <c r="BO220" s="138"/>
      <c r="BP220" s="138"/>
      <c r="BQ220" s="138"/>
      <c r="BR220" s="138"/>
      <c r="BS220" s="138"/>
      <c r="BT220" s="138"/>
      <c r="BU220" s="138"/>
      <c r="BV220" s="138"/>
      <c r="BW220" s="138"/>
      <c r="BX220" s="138"/>
    </row>
    <row r="221" spans="2:76" s="137" customFormat="1">
      <c r="B221" s="9"/>
      <c r="C221" s="9"/>
      <c r="D221" s="9"/>
      <c r="E221" s="9"/>
      <c r="F221" s="9"/>
      <c r="G221" s="9"/>
      <c r="H221" s="9"/>
      <c r="I221" s="9"/>
      <c r="J221" s="9"/>
      <c r="K221" s="9"/>
      <c r="L221" s="9"/>
      <c r="M221" s="9"/>
      <c r="N221" s="9"/>
      <c r="O221" s="9"/>
      <c r="P221" s="9"/>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c r="AW221" s="138"/>
      <c r="AX221" s="138"/>
      <c r="AY221" s="138"/>
      <c r="AZ221" s="138"/>
      <c r="BA221" s="138"/>
      <c r="BB221" s="138"/>
      <c r="BC221" s="138"/>
      <c r="BD221" s="138"/>
      <c r="BE221" s="138"/>
      <c r="BF221" s="138"/>
      <c r="BG221" s="138"/>
      <c r="BH221" s="138"/>
      <c r="BI221" s="138"/>
      <c r="BJ221" s="138"/>
      <c r="BK221" s="138"/>
      <c r="BL221" s="138"/>
      <c r="BM221" s="138"/>
      <c r="BN221" s="138"/>
      <c r="BO221" s="138"/>
      <c r="BP221" s="138"/>
      <c r="BQ221" s="138"/>
      <c r="BR221" s="138"/>
      <c r="BS221" s="138"/>
      <c r="BT221" s="138"/>
      <c r="BU221" s="138"/>
      <c r="BV221" s="138"/>
      <c r="BW221" s="138"/>
      <c r="BX221" s="138"/>
    </row>
    <row r="222" spans="2:76" s="137" customFormat="1">
      <c r="B222" s="9"/>
      <c r="C222" s="9"/>
      <c r="D222" s="9"/>
      <c r="E222" s="9"/>
      <c r="F222" s="9"/>
      <c r="G222" s="9"/>
      <c r="H222" s="9"/>
      <c r="I222" s="9"/>
      <c r="J222" s="9"/>
      <c r="K222" s="9"/>
      <c r="L222" s="9"/>
      <c r="M222" s="9"/>
      <c r="N222" s="9"/>
      <c r="O222" s="9"/>
      <c r="P222" s="9"/>
      <c r="R222" s="138"/>
      <c r="S222" s="138"/>
      <c r="T222" s="138"/>
      <c r="U222" s="138"/>
      <c r="V222" s="138"/>
      <c r="W222" s="138"/>
      <c r="X222" s="138"/>
      <c r="Y222" s="138"/>
      <c r="Z222" s="138"/>
      <c r="AA222" s="138"/>
      <c r="AB222" s="138"/>
      <c r="AC222" s="138"/>
      <c r="AD222" s="138"/>
      <c r="AE222" s="138"/>
      <c r="AF222" s="138"/>
      <c r="AG222" s="138"/>
      <c r="AH222" s="138"/>
      <c r="AI222" s="138"/>
      <c r="AJ222" s="138"/>
      <c r="AK222" s="138"/>
      <c r="AL222" s="138"/>
      <c r="AM222" s="138"/>
      <c r="AN222" s="138"/>
      <c r="AO222" s="138"/>
      <c r="AP222" s="138"/>
      <c r="AQ222" s="138"/>
      <c r="AR222" s="138"/>
      <c r="AS222" s="138"/>
      <c r="AT222" s="138"/>
      <c r="AU222" s="138"/>
      <c r="AV222" s="138"/>
      <c r="AW222" s="138"/>
      <c r="AX222" s="138"/>
      <c r="AY222" s="138"/>
      <c r="AZ222" s="138"/>
      <c r="BA222" s="138"/>
      <c r="BB222" s="138"/>
      <c r="BC222" s="138"/>
      <c r="BD222" s="138"/>
      <c r="BE222" s="138"/>
      <c r="BF222" s="138"/>
      <c r="BG222" s="138"/>
      <c r="BH222" s="138"/>
      <c r="BI222" s="138"/>
      <c r="BJ222" s="138"/>
      <c r="BK222" s="138"/>
      <c r="BL222" s="138"/>
      <c r="BM222" s="138"/>
      <c r="BN222" s="138"/>
      <c r="BO222" s="138"/>
      <c r="BP222" s="138"/>
      <c r="BQ222" s="138"/>
      <c r="BR222" s="138"/>
      <c r="BS222" s="138"/>
      <c r="BT222" s="138"/>
      <c r="BU222" s="138"/>
      <c r="BV222" s="138"/>
      <c r="BW222" s="138"/>
      <c r="BX222" s="138"/>
    </row>
    <row r="223" spans="2:76" s="137" customFormat="1">
      <c r="B223" s="9"/>
      <c r="C223" s="9"/>
      <c r="D223" s="9"/>
      <c r="E223" s="9"/>
      <c r="F223" s="9"/>
      <c r="G223" s="9"/>
      <c r="H223" s="9"/>
      <c r="I223" s="9"/>
      <c r="J223" s="9"/>
      <c r="K223" s="9"/>
      <c r="L223" s="9"/>
      <c r="M223" s="9"/>
      <c r="N223" s="9"/>
      <c r="O223" s="9"/>
      <c r="P223" s="9"/>
      <c r="R223" s="138"/>
      <c r="S223" s="138"/>
      <c r="T223" s="138"/>
      <c r="U223" s="138"/>
      <c r="V223" s="138"/>
      <c r="W223" s="138"/>
      <c r="X223" s="138"/>
      <c r="Y223" s="138"/>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c r="BT223" s="138"/>
      <c r="BU223" s="138"/>
      <c r="BV223" s="138"/>
      <c r="BW223" s="138"/>
      <c r="BX223" s="138"/>
    </row>
    <row r="224" spans="2:76" s="137" customFormat="1">
      <c r="B224" s="9"/>
      <c r="C224" s="9"/>
      <c r="D224" s="9"/>
      <c r="E224" s="9"/>
      <c r="F224" s="9"/>
      <c r="G224" s="9"/>
      <c r="H224" s="9"/>
      <c r="I224" s="9"/>
      <c r="J224" s="9"/>
      <c r="K224" s="9"/>
      <c r="L224" s="9"/>
      <c r="M224" s="9"/>
      <c r="N224" s="9"/>
      <c r="O224" s="9"/>
      <c r="P224" s="9"/>
      <c r="R224" s="138"/>
      <c r="S224" s="138"/>
      <c r="T224" s="138"/>
      <c r="U224" s="138"/>
      <c r="V224" s="138"/>
      <c r="W224" s="138"/>
      <c r="X224" s="138"/>
      <c r="Y224" s="138"/>
      <c r="Z224" s="138"/>
      <c r="AA224" s="138"/>
      <c r="AB224" s="138"/>
      <c r="AC224" s="138"/>
      <c r="AD224" s="138"/>
      <c r="AE224" s="138"/>
      <c r="AF224" s="138"/>
      <c r="AG224" s="138"/>
      <c r="AH224" s="138"/>
      <c r="AI224" s="138"/>
      <c r="AJ224" s="138"/>
      <c r="AK224" s="138"/>
      <c r="AL224" s="138"/>
      <c r="AM224" s="138"/>
      <c r="AN224" s="138"/>
      <c r="AO224" s="138"/>
      <c r="AP224" s="138"/>
      <c r="AQ224" s="138"/>
      <c r="AR224" s="138"/>
      <c r="AS224" s="138"/>
      <c r="AT224" s="138"/>
      <c r="AU224" s="138"/>
      <c r="AV224" s="138"/>
      <c r="AW224" s="138"/>
      <c r="AX224" s="138"/>
      <c r="AY224" s="138"/>
      <c r="AZ224" s="138"/>
      <c r="BA224" s="138"/>
      <c r="BB224" s="138"/>
      <c r="BC224" s="138"/>
      <c r="BD224" s="138"/>
      <c r="BE224" s="138"/>
      <c r="BF224" s="138"/>
      <c r="BG224" s="138"/>
      <c r="BH224" s="138"/>
      <c r="BI224" s="138"/>
      <c r="BJ224" s="138"/>
      <c r="BK224" s="138"/>
      <c r="BL224" s="138"/>
      <c r="BM224" s="138"/>
      <c r="BN224" s="138"/>
      <c r="BO224" s="138"/>
      <c r="BP224" s="138"/>
      <c r="BQ224" s="138"/>
      <c r="BR224" s="138"/>
      <c r="BS224" s="138"/>
      <c r="BT224" s="138"/>
      <c r="BU224" s="138"/>
      <c r="BV224" s="138"/>
      <c r="BW224" s="138"/>
      <c r="BX224" s="138"/>
    </row>
    <row r="225" spans="2:76" s="137" customFormat="1">
      <c r="B225" s="9"/>
      <c r="C225" s="9"/>
      <c r="D225" s="9"/>
      <c r="E225" s="9"/>
      <c r="F225" s="9"/>
      <c r="G225" s="9"/>
      <c r="H225" s="9"/>
      <c r="I225" s="9"/>
      <c r="J225" s="9"/>
      <c r="K225" s="9"/>
      <c r="L225" s="9"/>
      <c r="M225" s="9"/>
      <c r="N225" s="9"/>
      <c r="O225" s="9"/>
      <c r="P225" s="9"/>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c r="BT225" s="138"/>
      <c r="BU225" s="138"/>
      <c r="BV225" s="138"/>
      <c r="BW225" s="138"/>
      <c r="BX225" s="138"/>
    </row>
    <row r="226" spans="2:76" s="137" customFormat="1">
      <c r="B226" s="9"/>
      <c r="C226" s="9"/>
      <c r="D226" s="9"/>
      <c r="E226" s="9"/>
      <c r="F226" s="9"/>
      <c r="G226" s="9"/>
      <c r="H226" s="9"/>
      <c r="I226" s="9"/>
      <c r="J226" s="9"/>
      <c r="K226" s="9"/>
      <c r="L226" s="9"/>
      <c r="M226" s="9"/>
      <c r="N226" s="9"/>
      <c r="O226" s="9"/>
      <c r="P226" s="9"/>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c r="BT226" s="138"/>
      <c r="BU226" s="138"/>
      <c r="BV226" s="138"/>
      <c r="BW226" s="138"/>
      <c r="BX226" s="138"/>
    </row>
    <row r="227" spans="2:76" s="137" customFormat="1">
      <c r="B227" s="9"/>
      <c r="C227" s="9"/>
      <c r="D227" s="9"/>
      <c r="E227" s="9"/>
      <c r="F227" s="9"/>
      <c r="G227" s="9"/>
      <c r="H227" s="9"/>
      <c r="I227" s="9"/>
      <c r="J227" s="9"/>
      <c r="K227" s="9"/>
      <c r="L227" s="9"/>
      <c r="M227" s="9"/>
      <c r="N227" s="9"/>
      <c r="O227" s="9"/>
      <c r="P227" s="9"/>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c r="AW227" s="138"/>
      <c r="AX227" s="138"/>
      <c r="AY227" s="138"/>
      <c r="AZ227" s="138"/>
      <c r="BA227" s="138"/>
      <c r="BB227" s="138"/>
      <c r="BC227" s="138"/>
      <c r="BD227" s="138"/>
      <c r="BE227" s="138"/>
      <c r="BF227" s="138"/>
      <c r="BG227" s="138"/>
      <c r="BH227" s="138"/>
      <c r="BI227" s="138"/>
      <c r="BJ227" s="138"/>
      <c r="BK227" s="138"/>
      <c r="BL227" s="138"/>
      <c r="BM227" s="138"/>
      <c r="BN227" s="138"/>
      <c r="BO227" s="138"/>
      <c r="BP227" s="138"/>
      <c r="BQ227" s="138"/>
      <c r="BR227" s="138"/>
      <c r="BS227" s="138"/>
      <c r="BT227" s="138"/>
      <c r="BU227" s="138"/>
      <c r="BV227" s="138"/>
      <c r="BW227" s="138"/>
      <c r="BX227" s="138"/>
    </row>
    <row r="228" spans="2:76" s="137" customFormat="1">
      <c r="B228" s="9"/>
      <c r="C228" s="9"/>
      <c r="D228" s="9"/>
      <c r="E228" s="9"/>
      <c r="F228" s="9"/>
      <c r="G228" s="9"/>
      <c r="H228" s="9"/>
      <c r="I228" s="9"/>
      <c r="J228" s="9"/>
      <c r="K228" s="9"/>
      <c r="L228" s="9"/>
      <c r="M228" s="9"/>
      <c r="N228" s="9"/>
      <c r="O228" s="9"/>
      <c r="P228" s="9"/>
      <c r="R228" s="138"/>
      <c r="S228" s="138"/>
      <c r="T228" s="138"/>
      <c r="U228" s="138"/>
      <c r="V228" s="138"/>
      <c r="W228" s="138"/>
      <c r="X228" s="138"/>
      <c r="Y228" s="138"/>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row>
    <row r="229" spans="2:76" s="137" customFormat="1">
      <c r="B229" s="9"/>
      <c r="C229" s="9"/>
      <c r="D229" s="9"/>
      <c r="E229" s="9"/>
      <c r="F229" s="9"/>
      <c r="G229" s="9"/>
      <c r="H229" s="9"/>
      <c r="I229" s="9"/>
      <c r="J229" s="9"/>
      <c r="K229" s="9"/>
      <c r="L229" s="9"/>
      <c r="M229" s="9"/>
      <c r="N229" s="9"/>
      <c r="O229" s="9"/>
      <c r="P229" s="9"/>
      <c r="R229" s="138"/>
      <c r="S229" s="138"/>
      <c r="T229" s="138"/>
      <c r="U229" s="138"/>
      <c r="V229" s="138"/>
      <c r="W229" s="138"/>
      <c r="X229" s="138"/>
      <c r="Y229" s="138"/>
      <c r="Z229" s="138"/>
      <c r="AA229" s="138"/>
      <c r="AB229" s="138"/>
      <c r="AC229" s="138"/>
      <c r="AD229" s="138"/>
      <c r="AE229" s="138"/>
      <c r="AF229" s="138"/>
      <c r="AG229" s="138"/>
      <c r="AH229" s="138"/>
      <c r="AI229" s="138"/>
      <c r="AJ229" s="138"/>
      <c r="AK229" s="138"/>
      <c r="AL229" s="138"/>
      <c r="AM229" s="138"/>
      <c r="AN229" s="138"/>
      <c r="AO229" s="138"/>
      <c r="AP229" s="138"/>
      <c r="AQ229" s="138"/>
      <c r="AR229" s="138"/>
      <c r="AS229" s="138"/>
      <c r="AT229" s="138"/>
      <c r="AU229" s="138"/>
      <c r="AV229" s="138"/>
      <c r="AW229" s="138"/>
      <c r="AX229" s="138"/>
      <c r="AY229" s="138"/>
      <c r="AZ229" s="138"/>
      <c r="BA229" s="138"/>
      <c r="BB229" s="138"/>
      <c r="BC229" s="138"/>
      <c r="BD229" s="138"/>
      <c r="BE229" s="138"/>
      <c r="BF229" s="138"/>
      <c r="BG229" s="138"/>
      <c r="BH229" s="138"/>
      <c r="BI229" s="138"/>
      <c r="BJ229" s="138"/>
      <c r="BK229" s="138"/>
      <c r="BL229" s="138"/>
      <c r="BM229" s="138"/>
      <c r="BN229" s="138"/>
      <c r="BO229" s="138"/>
      <c r="BP229" s="138"/>
      <c r="BQ229" s="138"/>
      <c r="BR229" s="138"/>
      <c r="BS229" s="138"/>
      <c r="BT229" s="138"/>
      <c r="BU229" s="138"/>
      <c r="BV229" s="138"/>
      <c r="BW229" s="138"/>
      <c r="BX229" s="138"/>
    </row>
    <row r="230" spans="2:76" s="137" customFormat="1">
      <c r="B230" s="9"/>
      <c r="C230" s="9"/>
      <c r="D230" s="9"/>
      <c r="E230" s="9"/>
      <c r="F230" s="9"/>
      <c r="G230" s="9"/>
      <c r="H230" s="9"/>
      <c r="I230" s="9"/>
      <c r="J230" s="9"/>
      <c r="K230" s="9"/>
      <c r="L230" s="9"/>
      <c r="M230" s="9"/>
      <c r="N230" s="9"/>
      <c r="O230" s="9"/>
      <c r="P230" s="9"/>
      <c r="R230" s="138"/>
      <c r="S230" s="138"/>
      <c r="T230" s="138"/>
      <c r="U230" s="138"/>
      <c r="V230" s="138"/>
      <c r="W230" s="138"/>
      <c r="X230" s="138"/>
      <c r="Y230" s="138"/>
      <c r="Z230" s="138"/>
      <c r="AA230" s="138"/>
      <c r="AB230" s="138"/>
      <c r="AC230" s="138"/>
      <c r="AD230" s="138"/>
      <c r="AE230" s="138"/>
      <c r="AF230" s="138"/>
      <c r="AG230" s="138"/>
      <c r="AH230" s="138"/>
      <c r="AI230" s="138"/>
      <c r="AJ230" s="138"/>
      <c r="AK230" s="138"/>
      <c r="AL230" s="138"/>
      <c r="AM230" s="138"/>
      <c r="AN230" s="138"/>
      <c r="AO230" s="138"/>
      <c r="AP230" s="138"/>
      <c r="AQ230" s="138"/>
      <c r="AR230" s="138"/>
      <c r="AS230" s="138"/>
      <c r="AT230" s="138"/>
      <c r="AU230" s="138"/>
      <c r="AV230" s="138"/>
      <c r="AW230" s="138"/>
      <c r="AX230" s="138"/>
      <c r="AY230" s="138"/>
      <c r="AZ230" s="138"/>
      <c r="BA230" s="138"/>
      <c r="BB230" s="138"/>
      <c r="BC230" s="138"/>
      <c r="BD230" s="138"/>
      <c r="BE230" s="138"/>
      <c r="BF230" s="138"/>
      <c r="BG230" s="138"/>
      <c r="BH230" s="138"/>
      <c r="BI230" s="138"/>
      <c r="BJ230" s="138"/>
      <c r="BK230" s="138"/>
      <c r="BL230" s="138"/>
      <c r="BM230" s="138"/>
      <c r="BN230" s="138"/>
      <c r="BO230" s="138"/>
      <c r="BP230" s="138"/>
      <c r="BQ230" s="138"/>
      <c r="BR230" s="138"/>
      <c r="BS230" s="138"/>
      <c r="BT230" s="138"/>
      <c r="BU230" s="138"/>
      <c r="BV230" s="138"/>
      <c r="BW230" s="138"/>
      <c r="BX230" s="138"/>
    </row>
    <row r="231" spans="2:76" s="137" customFormat="1">
      <c r="B231" s="9"/>
      <c r="C231" s="9"/>
      <c r="D231" s="9"/>
      <c r="E231" s="9"/>
      <c r="F231" s="9"/>
      <c r="G231" s="9"/>
      <c r="H231" s="9"/>
      <c r="I231" s="9"/>
      <c r="J231" s="9"/>
      <c r="K231" s="9"/>
      <c r="L231" s="9"/>
      <c r="M231" s="9"/>
      <c r="N231" s="9"/>
      <c r="O231" s="9"/>
      <c r="P231" s="9"/>
      <c r="R231" s="138"/>
      <c r="S231" s="138"/>
      <c r="T231" s="138"/>
      <c r="U231" s="138"/>
      <c r="V231" s="138"/>
      <c r="W231" s="138"/>
      <c r="X231" s="138"/>
      <c r="Y231" s="138"/>
      <c r="Z231" s="138"/>
      <c r="AA231" s="138"/>
      <c r="AB231" s="138"/>
      <c r="AC231" s="138"/>
      <c r="AD231" s="138"/>
      <c r="AE231" s="138"/>
      <c r="AF231" s="138"/>
      <c r="AG231" s="138"/>
      <c r="AH231" s="138"/>
      <c r="AI231" s="138"/>
      <c r="AJ231" s="138"/>
      <c r="AK231" s="138"/>
      <c r="AL231" s="138"/>
      <c r="AM231" s="138"/>
      <c r="AN231" s="138"/>
      <c r="AO231" s="138"/>
      <c r="AP231" s="138"/>
      <c r="AQ231" s="138"/>
      <c r="AR231" s="138"/>
      <c r="AS231" s="138"/>
      <c r="AT231" s="138"/>
      <c r="AU231" s="138"/>
      <c r="AV231" s="138"/>
      <c r="AW231" s="138"/>
      <c r="AX231" s="138"/>
      <c r="AY231" s="138"/>
      <c r="AZ231" s="138"/>
      <c r="BA231" s="138"/>
      <c r="BB231" s="138"/>
      <c r="BC231" s="138"/>
      <c r="BD231" s="138"/>
      <c r="BE231" s="138"/>
      <c r="BF231" s="138"/>
      <c r="BG231" s="138"/>
      <c r="BH231" s="138"/>
      <c r="BI231" s="138"/>
      <c r="BJ231" s="138"/>
      <c r="BK231" s="138"/>
      <c r="BL231" s="138"/>
      <c r="BM231" s="138"/>
      <c r="BN231" s="138"/>
      <c r="BO231" s="138"/>
      <c r="BP231" s="138"/>
      <c r="BQ231" s="138"/>
      <c r="BR231" s="138"/>
      <c r="BS231" s="138"/>
      <c r="BT231" s="138"/>
      <c r="BU231" s="138"/>
      <c r="BV231" s="138"/>
      <c r="BW231" s="138"/>
      <c r="BX231" s="138"/>
    </row>
    <row r="232" spans="2:76" s="137" customFormat="1">
      <c r="B232" s="9"/>
      <c r="C232" s="9"/>
      <c r="D232" s="9"/>
      <c r="E232" s="9"/>
      <c r="F232" s="9"/>
      <c r="G232" s="9"/>
      <c r="H232" s="9"/>
      <c r="I232" s="9"/>
      <c r="J232" s="9"/>
      <c r="K232" s="9"/>
      <c r="L232" s="9"/>
      <c r="M232" s="9"/>
      <c r="N232" s="9"/>
      <c r="O232" s="9"/>
      <c r="P232" s="9"/>
      <c r="R232" s="138"/>
      <c r="S232" s="138"/>
      <c r="T232" s="138"/>
      <c r="U232" s="138"/>
      <c r="V232" s="138"/>
      <c r="W232" s="138"/>
      <c r="X232" s="138"/>
      <c r="Y232" s="138"/>
      <c r="Z232" s="138"/>
      <c r="AA232" s="138"/>
      <c r="AB232" s="138"/>
      <c r="AC232" s="138"/>
      <c r="AD232" s="138"/>
      <c r="AE232" s="138"/>
      <c r="AF232" s="138"/>
      <c r="AG232" s="138"/>
      <c r="AH232" s="138"/>
      <c r="AI232" s="138"/>
      <c r="AJ232" s="138"/>
      <c r="AK232" s="138"/>
      <c r="AL232" s="138"/>
      <c r="AM232" s="138"/>
      <c r="AN232" s="138"/>
      <c r="AO232" s="138"/>
      <c r="AP232" s="138"/>
      <c r="AQ232" s="138"/>
      <c r="AR232" s="138"/>
      <c r="AS232" s="138"/>
      <c r="AT232" s="138"/>
      <c r="AU232" s="138"/>
      <c r="AV232" s="138"/>
      <c r="AW232" s="138"/>
      <c r="AX232" s="138"/>
      <c r="AY232" s="138"/>
      <c r="AZ232" s="138"/>
      <c r="BA232" s="138"/>
      <c r="BB232" s="138"/>
      <c r="BC232" s="138"/>
      <c r="BD232" s="138"/>
      <c r="BE232" s="138"/>
      <c r="BF232" s="138"/>
      <c r="BG232" s="138"/>
      <c r="BH232" s="138"/>
      <c r="BI232" s="138"/>
      <c r="BJ232" s="138"/>
      <c r="BK232" s="138"/>
      <c r="BL232" s="138"/>
      <c r="BM232" s="138"/>
      <c r="BN232" s="138"/>
      <c r="BO232" s="138"/>
      <c r="BP232" s="138"/>
      <c r="BQ232" s="138"/>
      <c r="BR232" s="138"/>
      <c r="BS232" s="138"/>
      <c r="BT232" s="138"/>
      <c r="BU232" s="138"/>
      <c r="BV232" s="138"/>
      <c r="BW232" s="138"/>
      <c r="BX232" s="138"/>
    </row>
    <row r="233" spans="2:76" s="137" customFormat="1">
      <c r="B233" s="9"/>
      <c r="C233" s="9"/>
      <c r="D233" s="9"/>
      <c r="E233" s="9"/>
      <c r="F233" s="9"/>
      <c r="G233" s="9"/>
      <c r="H233" s="9"/>
      <c r="I233" s="9"/>
      <c r="J233" s="9"/>
      <c r="K233" s="9"/>
      <c r="L233" s="9"/>
      <c r="M233" s="9"/>
      <c r="N233" s="9"/>
      <c r="O233" s="9"/>
      <c r="P233" s="9"/>
      <c r="R233" s="138"/>
      <c r="S233" s="138"/>
      <c r="T233" s="138"/>
      <c r="U233" s="138"/>
      <c r="V233" s="138"/>
      <c r="W233" s="138"/>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row>
    <row r="234" spans="2:76" s="137" customFormat="1">
      <c r="B234" s="9"/>
      <c r="C234" s="9"/>
      <c r="D234" s="9"/>
      <c r="E234" s="9"/>
      <c r="F234" s="9"/>
      <c r="G234" s="9"/>
      <c r="H234" s="9"/>
      <c r="I234" s="9"/>
      <c r="J234" s="9"/>
      <c r="K234" s="9"/>
      <c r="L234" s="9"/>
      <c r="M234" s="9"/>
      <c r="N234" s="9"/>
      <c r="O234" s="9"/>
      <c r="P234" s="9"/>
      <c r="R234" s="138"/>
      <c r="S234" s="138"/>
      <c r="T234" s="138"/>
      <c r="U234" s="138"/>
      <c r="V234" s="138"/>
      <c r="W234" s="138"/>
      <c r="X234" s="138"/>
      <c r="Y234" s="138"/>
      <c r="Z234" s="138"/>
      <c r="AA234" s="138"/>
      <c r="AB234" s="138"/>
      <c r="AC234" s="138"/>
      <c r="AD234" s="138"/>
      <c r="AE234" s="138"/>
      <c r="AF234" s="138"/>
      <c r="AG234" s="138"/>
      <c r="AH234" s="138"/>
      <c r="AI234" s="138"/>
      <c r="AJ234" s="138"/>
      <c r="AK234" s="138"/>
      <c r="AL234" s="138"/>
      <c r="AM234" s="138"/>
      <c r="AN234" s="138"/>
      <c r="AO234" s="138"/>
      <c r="AP234" s="138"/>
      <c r="AQ234" s="138"/>
      <c r="AR234" s="138"/>
      <c r="AS234" s="138"/>
      <c r="AT234" s="138"/>
      <c r="AU234" s="138"/>
      <c r="AV234" s="138"/>
      <c r="AW234" s="138"/>
      <c r="AX234" s="138"/>
      <c r="AY234" s="138"/>
      <c r="AZ234" s="138"/>
      <c r="BA234" s="138"/>
      <c r="BB234" s="138"/>
      <c r="BC234" s="138"/>
      <c r="BD234" s="138"/>
      <c r="BE234" s="138"/>
      <c r="BF234" s="138"/>
      <c r="BG234" s="138"/>
      <c r="BH234" s="138"/>
      <c r="BI234" s="138"/>
      <c r="BJ234" s="138"/>
      <c r="BK234" s="138"/>
      <c r="BL234" s="138"/>
      <c r="BM234" s="138"/>
      <c r="BN234" s="138"/>
      <c r="BO234" s="138"/>
      <c r="BP234" s="138"/>
      <c r="BQ234" s="138"/>
      <c r="BR234" s="138"/>
      <c r="BS234" s="138"/>
      <c r="BT234" s="138"/>
      <c r="BU234" s="138"/>
      <c r="BV234" s="138"/>
      <c r="BW234" s="138"/>
      <c r="BX234" s="138"/>
    </row>
    <row r="235" spans="2:76" s="137" customFormat="1">
      <c r="B235" s="9"/>
      <c r="C235" s="9"/>
      <c r="D235" s="9"/>
      <c r="E235" s="9"/>
      <c r="F235" s="9"/>
      <c r="G235" s="9"/>
      <c r="H235" s="9"/>
      <c r="I235" s="9"/>
      <c r="J235" s="9"/>
      <c r="K235" s="9"/>
      <c r="L235" s="9"/>
      <c r="M235" s="9"/>
      <c r="N235" s="9"/>
      <c r="O235" s="9"/>
      <c r="P235" s="9"/>
      <c r="R235" s="138"/>
      <c r="S235" s="138"/>
      <c r="T235" s="138"/>
      <c r="U235" s="138"/>
      <c r="V235" s="138"/>
      <c r="W235" s="138"/>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c r="BT235" s="138"/>
      <c r="BU235" s="138"/>
      <c r="BV235" s="138"/>
      <c r="BW235" s="138"/>
      <c r="BX235" s="138"/>
    </row>
    <row r="236" spans="2:76" s="137" customFormat="1">
      <c r="B236" s="9"/>
      <c r="C236" s="9"/>
      <c r="D236" s="9"/>
      <c r="E236" s="9"/>
      <c r="F236" s="9"/>
      <c r="G236" s="9"/>
      <c r="H236" s="9"/>
      <c r="I236" s="9"/>
      <c r="J236" s="9"/>
      <c r="K236" s="9"/>
      <c r="L236" s="9"/>
      <c r="M236" s="9"/>
      <c r="N236" s="9"/>
      <c r="O236" s="9"/>
      <c r="P236" s="9"/>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c r="BT236" s="138"/>
      <c r="BU236" s="138"/>
      <c r="BV236" s="138"/>
      <c r="BW236" s="138"/>
      <c r="BX236" s="138"/>
    </row>
    <row r="237" spans="2:76" s="137" customFormat="1">
      <c r="B237" s="9"/>
      <c r="C237" s="9"/>
      <c r="D237" s="9"/>
      <c r="E237" s="9"/>
      <c r="F237" s="9"/>
      <c r="G237" s="9"/>
      <c r="H237" s="9"/>
      <c r="I237" s="9"/>
      <c r="J237" s="9"/>
      <c r="K237" s="9"/>
      <c r="L237" s="9"/>
      <c r="M237" s="9"/>
      <c r="N237" s="9"/>
      <c r="O237" s="9"/>
      <c r="P237" s="9"/>
      <c r="R237" s="138"/>
      <c r="S237" s="138"/>
      <c r="T237" s="138"/>
      <c r="U237" s="138"/>
      <c r="V237" s="138"/>
      <c r="W237" s="138"/>
      <c r="X237" s="138"/>
      <c r="Y237" s="138"/>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c r="BT237" s="138"/>
      <c r="BU237" s="138"/>
      <c r="BV237" s="138"/>
      <c r="BW237" s="138"/>
      <c r="BX237" s="138"/>
    </row>
    <row r="238" spans="2:76" s="137" customFormat="1">
      <c r="B238" s="9"/>
      <c r="C238" s="9"/>
      <c r="D238" s="9"/>
      <c r="E238" s="9"/>
      <c r="F238" s="9"/>
      <c r="G238" s="9"/>
      <c r="H238" s="9"/>
      <c r="I238" s="9"/>
      <c r="J238" s="9"/>
      <c r="K238" s="9"/>
      <c r="L238" s="9"/>
      <c r="M238" s="9"/>
      <c r="N238" s="9"/>
      <c r="O238" s="9"/>
      <c r="P238" s="9"/>
      <c r="R238" s="138"/>
      <c r="S238" s="138"/>
      <c r="T238" s="138"/>
      <c r="U238" s="138"/>
      <c r="V238" s="138"/>
      <c r="W238" s="138"/>
      <c r="X238" s="138"/>
      <c r="Y238" s="138"/>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c r="BT238" s="138"/>
      <c r="BU238" s="138"/>
      <c r="BV238" s="138"/>
      <c r="BW238" s="138"/>
      <c r="BX238" s="138"/>
    </row>
    <row r="239" spans="2:76" s="137" customFormat="1">
      <c r="B239" s="9"/>
      <c r="C239" s="9"/>
      <c r="D239" s="9"/>
      <c r="E239" s="9"/>
      <c r="F239" s="9"/>
      <c r="G239" s="9"/>
      <c r="H239" s="9"/>
      <c r="I239" s="9"/>
      <c r="J239" s="9"/>
      <c r="K239" s="9"/>
      <c r="L239" s="9"/>
      <c r="M239" s="9"/>
      <c r="N239" s="9"/>
      <c r="O239" s="9"/>
      <c r="P239" s="9"/>
      <c r="R239" s="138"/>
      <c r="S239" s="138"/>
      <c r="T239" s="138"/>
      <c r="U239" s="138"/>
      <c r="V239" s="138"/>
      <c r="W239" s="138"/>
      <c r="X239" s="138"/>
      <c r="Y239" s="138"/>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c r="BT239" s="138"/>
      <c r="BU239" s="138"/>
      <c r="BV239" s="138"/>
      <c r="BW239" s="138"/>
      <c r="BX239" s="138"/>
    </row>
    <row r="240" spans="2:76" s="137" customFormat="1">
      <c r="B240" s="9"/>
      <c r="C240" s="9"/>
      <c r="D240" s="9"/>
      <c r="E240" s="9"/>
      <c r="F240" s="9"/>
      <c r="G240" s="9"/>
      <c r="H240" s="9"/>
      <c r="I240" s="9"/>
      <c r="J240" s="9"/>
      <c r="K240" s="9"/>
      <c r="L240" s="9"/>
      <c r="M240" s="9"/>
      <c r="N240" s="9"/>
      <c r="O240" s="9"/>
      <c r="P240" s="9"/>
      <c r="R240" s="138"/>
      <c r="S240" s="138"/>
      <c r="T240" s="138"/>
      <c r="U240" s="138"/>
      <c r="V240" s="138"/>
      <c r="W240" s="138"/>
      <c r="X240" s="138"/>
      <c r="Y240" s="138"/>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c r="BT240" s="138"/>
      <c r="BU240" s="138"/>
      <c r="BV240" s="138"/>
      <c r="BW240" s="138"/>
      <c r="BX240" s="138"/>
    </row>
    <row r="241" spans="2:76" s="137" customFormat="1">
      <c r="B241" s="9"/>
      <c r="C241" s="9"/>
      <c r="D241" s="9"/>
      <c r="E241" s="9"/>
      <c r="F241" s="9"/>
      <c r="G241" s="9"/>
      <c r="H241" s="9"/>
      <c r="I241" s="9"/>
      <c r="J241" s="9"/>
      <c r="K241" s="9"/>
      <c r="L241" s="9"/>
      <c r="M241" s="9"/>
      <c r="N241" s="9"/>
      <c r="O241" s="9"/>
      <c r="P241" s="9"/>
      <c r="R241" s="138"/>
      <c r="S241" s="138"/>
      <c r="T241" s="138"/>
      <c r="U241" s="138"/>
      <c r="V241" s="138"/>
      <c r="W241" s="138"/>
      <c r="X241" s="138"/>
      <c r="Y241" s="138"/>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c r="BT241" s="138"/>
      <c r="BU241" s="138"/>
      <c r="BV241" s="138"/>
      <c r="BW241" s="138"/>
      <c r="BX241" s="138"/>
    </row>
    <row r="242" spans="2:76" s="137" customFormat="1">
      <c r="B242" s="9"/>
      <c r="C242" s="9"/>
      <c r="D242" s="9"/>
      <c r="E242" s="9"/>
      <c r="F242" s="9"/>
      <c r="G242" s="9"/>
      <c r="H242" s="9"/>
      <c r="I242" s="9"/>
      <c r="J242" s="9"/>
      <c r="K242" s="9"/>
      <c r="L242" s="9"/>
      <c r="M242" s="9"/>
      <c r="N242" s="9"/>
      <c r="O242" s="9"/>
      <c r="P242" s="9"/>
      <c r="R242" s="138"/>
      <c r="S242" s="138"/>
      <c r="T242" s="138"/>
      <c r="U242" s="138"/>
      <c r="V242" s="138"/>
      <c r="W242" s="138"/>
      <c r="X242" s="138"/>
      <c r="Y242" s="138"/>
      <c r="Z242" s="138"/>
      <c r="AA242" s="138"/>
      <c r="AB242" s="138"/>
      <c r="AC242" s="138"/>
      <c r="AD242" s="138"/>
      <c r="AE242" s="138"/>
      <c r="AF242" s="138"/>
      <c r="AG242" s="138"/>
      <c r="AH242" s="138"/>
      <c r="AI242" s="138"/>
      <c r="AJ242" s="138"/>
      <c r="AK242" s="138"/>
      <c r="AL242" s="138"/>
      <c r="AM242" s="138"/>
      <c r="AN242" s="138"/>
      <c r="AO242" s="138"/>
      <c r="AP242" s="138"/>
      <c r="AQ242" s="138"/>
      <c r="AR242" s="138"/>
      <c r="AS242" s="138"/>
      <c r="AT242" s="138"/>
      <c r="AU242" s="138"/>
      <c r="AV242" s="138"/>
      <c r="AW242" s="138"/>
      <c r="AX242" s="138"/>
      <c r="AY242" s="138"/>
      <c r="AZ242" s="138"/>
      <c r="BA242" s="138"/>
      <c r="BB242" s="138"/>
      <c r="BC242" s="138"/>
      <c r="BD242" s="138"/>
      <c r="BE242" s="138"/>
      <c r="BF242" s="138"/>
      <c r="BG242" s="138"/>
      <c r="BH242" s="138"/>
      <c r="BI242" s="138"/>
      <c r="BJ242" s="138"/>
      <c r="BK242" s="138"/>
      <c r="BL242" s="138"/>
      <c r="BM242" s="138"/>
      <c r="BN242" s="138"/>
      <c r="BO242" s="138"/>
      <c r="BP242" s="138"/>
      <c r="BQ242" s="138"/>
      <c r="BR242" s="138"/>
      <c r="BS242" s="138"/>
      <c r="BT242" s="138"/>
      <c r="BU242" s="138"/>
      <c r="BV242" s="138"/>
      <c r="BW242" s="138"/>
      <c r="BX242" s="138"/>
    </row>
    <row r="243" spans="2:76" s="137" customFormat="1">
      <c r="B243" s="9"/>
      <c r="C243" s="9"/>
      <c r="D243" s="9"/>
      <c r="E243" s="9"/>
      <c r="F243" s="9"/>
      <c r="G243" s="9"/>
      <c r="H243" s="9"/>
      <c r="I243" s="9"/>
      <c r="J243" s="9"/>
      <c r="K243" s="9"/>
      <c r="L243" s="9"/>
      <c r="M243" s="9"/>
      <c r="N243" s="9"/>
      <c r="O243" s="9"/>
      <c r="P243" s="9"/>
      <c r="R243" s="138"/>
      <c r="S243" s="138"/>
      <c r="T243" s="138"/>
      <c r="U243" s="138"/>
      <c r="V243" s="138"/>
      <c r="W243" s="138"/>
      <c r="X243" s="138"/>
      <c r="Y243" s="138"/>
      <c r="Z243" s="138"/>
      <c r="AA243" s="138"/>
      <c r="AB243" s="138"/>
      <c r="AC243" s="138"/>
      <c r="AD243" s="138"/>
      <c r="AE243" s="138"/>
      <c r="AF243" s="138"/>
      <c r="AG243" s="138"/>
      <c r="AH243" s="138"/>
      <c r="AI243" s="138"/>
      <c r="AJ243" s="138"/>
      <c r="AK243" s="138"/>
      <c r="AL243" s="138"/>
      <c r="AM243" s="138"/>
      <c r="AN243" s="138"/>
      <c r="AO243" s="138"/>
      <c r="AP243" s="138"/>
      <c r="AQ243" s="138"/>
      <c r="AR243" s="138"/>
      <c r="AS243" s="138"/>
      <c r="AT243" s="138"/>
      <c r="AU243" s="138"/>
      <c r="AV243" s="138"/>
      <c r="AW243" s="138"/>
      <c r="AX243" s="138"/>
      <c r="AY243" s="138"/>
      <c r="AZ243" s="138"/>
      <c r="BA243" s="138"/>
      <c r="BB243" s="138"/>
      <c r="BC243" s="138"/>
      <c r="BD243" s="138"/>
      <c r="BE243" s="138"/>
      <c r="BF243" s="138"/>
      <c r="BG243" s="138"/>
      <c r="BH243" s="138"/>
      <c r="BI243" s="138"/>
      <c r="BJ243" s="138"/>
      <c r="BK243" s="138"/>
      <c r="BL243" s="138"/>
      <c r="BM243" s="138"/>
      <c r="BN243" s="138"/>
      <c r="BO243" s="138"/>
      <c r="BP243" s="138"/>
      <c r="BQ243" s="138"/>
      <c r="BR243" s="138"/>
      <c r="BS243" s="138"/>
      <c r="BT243" s="138"/>
      <c r="BU243" s="138"/>
      <c r="BV243" s="138"/>
      <c r="BW243" s="138"/>
      <c r="BX243" s="138"/>
    </row>
    <row r="244" spans="2:76" s="137" customFormat="1">
      <c r="B244" s="9"/>
      <c r="C244" s="9"/>
      <c r="D244" s="9"/>
      <c r="E244" s="9"/>
      <c r="F244" s="9"/>
      <c r="G244" s="9"/>
      <c r="H244" s="9"/>
      <c r="I244" s="9"/>
      <c r="J244" s="9"/>
      <c r="K244" s="9"/>
      <c r="L244" s="9"/>
      <c r="M244" s="9"/>
      <c r="N244" s="9"/>
      <c r="O244" s="9"/>
      <c r="P244" s="9"/>
      <c r="R244" s="138"/>
      <c r="S244" s="138"/>
      <c r="T244" s="138"/>
      <c r="U244" s="138"/>
      <c r="V244" s="138"/>
      <c r="W244" s="138"/>
      <c r="X244" s="138"/>
      <c r="Y244" s="138"/>
      <c r="Z244" s="138"/>
      <c r="AA244" s="138"/>
      <c r="AB244" s="138"/>
      <c r="AC244" s="138"/>
      <c r="AD244" s="138"/>
      <c r="AE244" s="138"/>
      <c r="AF244" s="138"/>
      <c r="AG244" s="138"/>
      <c r="AH244" s="138"/>
      <c r="AI244" s="138"/>
      <c r="AJ244" s="138"/>
      <c r="AK244" s="138"/>
      <c r="AL244" s="138"/>
      <c r="AM244" s="138"/>
      <c r="AN244" s="138"/>
      <c r="AO244" s="138"/>
      <c r="AP244" s="138"/>
      <c r="AQ244" s="138"/>
      <c r="AR244" s="138"/>
      <c r="AS244" s="138"/>
      <c r="AT244" s="138"/>
      <c r="AU244" s="138"/>
      <c r="AV244" s="138"/>
      <c r="AW244" s="138"/>
      <c r="AX244" s="138"/>
      <c r="AY244" s="138"/>
      <c r="AZ244" s="138"/>
      <c r="BA244" s="138"/>
      <c r="BB244" s="138"/>
      <c r="BC244" s="138"/>
      <c r="BD244" s="138"/>
      <c r="BE244" s="138"/>
      <c r="BF244" s="138"/>
      <c r="BG244" s="138"/>
      <c r="BH244" s="138"/>
      <c r="BI244" s="138"/>
      <c r="BJ244" s="138"/>
      <c r="BK244" s="138"/>
      <c r="BL244" s="138"/>
      <c r="BM244" s="138"/>
      <c r="BN244" s="138"/>
      <c r="BO244" s="138"/>
      <c r="BP244" s="138"/>
      <c r="BQ244" s="138"/>
      <c r="BR244" s="138"/>
      <c r="BS244" s="138"/>
      <c r="BT244" s="138"/>
      <c r="BU244" s="138"/>
      <c r="BV244" s="138"/>
      <c r="BW244" s="138"/>
      <c r="BX244" s="138"/>
    </row>
    <row r="245" spans="2:76" s="137" customFormat="1">
      <c r="B245" s="9"/>
      <c r="C245" s="9"/>
      <c r="D245" s="9"/>
      <c r="E245" s="9"/>
      <c r="F245" s="9"/>
      <c r="G245" s="9"/>
      <c r="H245" s="9"/>
      <c r="I245" s="9"/>
      <c r="J245" s="9"/>
      <c r="K245" s="9"/>
      <c r="L245" s="9"/>
      <c r="M245" s="9"/>
      <c r="N245" s="9"/>
      <c r="O245" s="9"/>
      <c r="P245" s="9"/>
      <c r="R245" s="138"/>
      <c r="S245" s="138"/>
      <c r="T245" s="138"/>
      <c r="U245" s="138"/>
      <c r="V245" s="138"/>
      <c r="W245" s="138"/>
      <c r="X245" s="138"/>
      <c r="Y245" s="138"/>
      <c r="Z245" s="138"/>
      <c r="AA245" s="138"/>
      <c r="AB245" s="138"/>
      <c r="AC245" s="138"/>
      <c r="AD245" s="138"/>
      <c r="AE245" s="138"/>
      <c r="AF245" s="138"/>
      <c r="AG245" s="138"/>
      <c r="AH245" s="138"/>
      <c r="AI245" s="138"/>
      <c r="AJ245" s="138"/>
      <c r="AK245" s="138"/>
      <c r="AL245" s="138"/>
      <c r="AM245" s="138"/>
      <c r="AN245" s="138"/>
      <c r="AO245" s="138"/>
      <c r="AP245" s="138"/>
      <c r="AQ245" s="138"/>
      <c r="AR245" s="138"/>
      <c r="AS245" s="138"/>
      <c r="AT245" s="138"/>
      <c r="AU245" s="138"/>
      <c r="AV245" s="138"/>
      <c r="AW245" s="138"/>
      <c r="AX245" s="138"/>
      <c r="AY245" s="138"/>
      <c r="AZ245" s="138"/>
      <c r="BA245" s="138"/>
      <c r="BB245" s="138"/>
      <c r="BC245" s="138"/>
      <c r="BD245" s="138"/>
      <c r="BE245" s="138"/>
      <c r="BF245" s="138"/>
      <c r="BG245" s="138"/>
      <c r="BH245" s="138"/>
      <c r="BI245" s="138"/>
      <c r="BJ245" s="138"/>
      <c r="BK245" s="138"/>
      <c r="BL245" s="138"/>
      <c r="BM245" s="138"/>
      <c r="BN245" s="138"/>
      <c r="BO245" s="138"/>
      <c r="BP245" s="138"/>
      <c r="BQ245" s="138"/>
      <c r="BR245" s="138"/>
      <c r="BS245" s="138"/>
      <c r="BT245" s="138"/>
      <c r="BU245" s="138"/>
      <c r="BV245" s="138"/>
      <c r="BW245" s="138"/>
      <c r="BX245" s="138"/>
    </row>
    <row r="246" spans="2:76" s="137" customFormat="1">
      <c r="B246" s="9"/>
      <c r="C246" s="9"/>
      <c r="D246" s="9"/>
      <c r="E246" s="9"/>
      <c r="F246" s="9"/>
      <c r="G246" s="9"/>
      <c r="H246" s="9"/>
      <c r="I246" s="9"/>
      <c r="J246" s="9"/>
      <c r="K246" s="9"/>
      <c r="L246" s="9"/>
      <c r="M246" s="9"/>
      <c r="N246" s="9"/>
      <c r="O246" s="9"/>
      <c r="P246" s="9"/>
      <c r="R246" s="138"/>
      <c r="S246" s="138"/>
      <c r="T246" s="138"/>
      <c r="U246" s="138"/>
      <c r="V246" s="138"/>
      <c r="W246" s="138"/>
      <c r="X246" s="138"/>
      <c r="Y246" s="138"/>
      <c r="Z246" s="138"/>
      <c r="AA246" s="138"/>
      <c r="AB246" s="138"/>
      <c r="AC246" s="138"/>
      <c r="AD246" s="138"/>
      <c r="AE246" s="138"/>
      <c r="AF246" s="138"/>
      <c r="AG246" s="138"/>
      <c r="AH246" s="138"/>
      <c r="AI246" s="138"/>
      <c r="AJ246" s="138"/>
      <c r="AK246" s="138"/>
      <c r="AL246" s="138"/>
      <c r="AM246" s="138"/>
      <c r="AN246" s="138"/>
      <c r="AO246" s="138"/>
      <c r="AP246" s="138"/>
      <c r="AQ246" s="138"/>
      <c r="AR246" s="138"/>
      <c r="AS246" s="138"/>
      <c r="AT246" s="138"/>
      <c r="AU246" s="138"/>
      <c r="AV246" s="138"/>
      <c r="AW246" s="138"/>
      <c r="AX246" s="138"/>
      <c r="AY246" s="138"/>
      <c r="AZ246" s="138"/>
      <c r="BA246" s="138"/>
      <c r="BB246" s="138"/>
      <c r="BC246" s="138"/>
      <c r="BD246" s="138"/>
      <c r="BE246" s="138"/>
      <c r="BF246" s="138"/>
      <c r="BG246" s="138"/>
      <c r="BH246" s="138"/>
      <c r="BI246" s="138"/>
      <c r="BJ246" s="138"/>
      <c r="BK246" s="138"/>
      <c r="BL246" s="138"/>
      <c r="BM246" s="138"/>
      <c r="BN246" s="138"/>
      <c r="BO246" s="138"/>
      <c r="BP246" s="138"/>
      <c r="BQ246" s="138"/>
      <c r="BR246" s="138"/>
      <c r="BS246" s="138"/>
      <c r="BT246" s="138"/>
      <c r="BU246" s="138"/>
      <c r="BV246" s="138"/>
      <c r="BW246" s="138"/>
      <c r="BX246" s="138"/>
    </row>
    <row r="247" spans="2:76" s="137" customFormat="1">
      <c r="B247" s="9"/>
      <c r="C247" s="9"/>
      <c r="D247" s="9"/>
      <c r="E247" s="9"/>
      <c r="F247" s="9"/>
      <c r="G247" s="9"/>
      <c r="H247" s="9"/>
      <c r="I247" s="9"/>
      <c r="J247" s="9"/>
      <c r="K247" s="9"/>
      <c r="L247" s="9"/>
      <c r="M247" s="9"/>
      <c r="N247" s="9"/>
      <c r="O247" s="9"/>
      <c r="P247" s="9"/>
      <c r="R247" s="138"/>
      <c r="S247" s="138"/>
      <c r="T247" s="138"/>
      <c r="U247" s="138"/>
      <c r="V247" s="138"/>
      <c r="W247" s="138"/>
      <c r="X247" s="138"/>
      <c r="Y247" s="138"/>
      <c r="Z247" s="138"/>
      <c r="AA247" s="138"/>
      <c r="AB247" s="138"/>
      <c r="AC247" s="138"/>
      <c r="AD247" s="138"/>
      <c r="AE247" s="138"/>
      <c r="AF247" s="138"/>
      <c r="AG247" s="138"/>
      <c r="AH247" s="138"/>
      <c r="AI247" s="138"/>
      <c r="AJ247" s="138"/>
      <c r="AK247" s="138"/>
      <c r="AL247" s="138"/>
      <c r="AM247" s="138"/>
      <c r="AN247" s="138"/>
      <c r="AO247" s="138"/>
      <c r="AP247" s="138"/>
      <c r="AQ247" s="138"/>
      <c r="AR247" s="138"/>
      <c r="AS247" s="138"/>
      <c r="AT247" s="138"/>
      <c r="AU247" s="138"/>
      <c r="AV247" s="138"/>
      <c r="AW247" s="138"/>
      <c r="AX247" s="138"/>
      <c r="AY247" s="138"/>
      <c r="AZ247" s="138"/>
      <c r="BA247" s="138"/>
      <c r="BB247" s="138"/>
      <c r="BC247" s="138"/>
      <c r="BD247" s="138"/>
      <c r="BE247" s="138"/>
      <c r="BF247" s="138"/>
      <c r="BG247" s="138"/>
      <c r="BH247" s="138"/>
      <c r="BI247" s="138"/>
      <c r="BJ247" s="138"/>
      <c r="BK247" s="138"/>
      <c r="BL247" s="138"/>
      <c r="BM247" s="138"/>
      <c r="BN247" s="138"/>
      <c r="BO247" s="138"/>
      <c r="BP247" s="138"/>
      <c r="BQ247" s="138"/>
      <c r="BR247" s="138"/>
      <c r="BS247" s="138"/>
      <c r="BT247" s="138"/>
      <c r="BU247" s="138"/>
      <c r="BV247" s="138"/>
      <c r="BW247" s="138"/>
      <c r="BX247" s="138"/>
    </row>
    <row r="248" spans="2:76" s="137" customFormat="1">
      <c r="B248" s="9"/>
      <c r="C248" s="9"/>
      <c r="D248" s="9"/>
      <c r="E248" s="9"/>
      <c r="F248" s="9"/>
      <c r="G248" s="9"/>
      <c r="H248" s="9"/>
      <c r="I248" s="9"/>
      <c r="J248" s="9"/>
      <c r="K248" s="9"/>
      <c r="L248" s="9"/>
      <c r="M248" s="9"/>
      <c r="N248" s="9"/>
      <c r="O248" s="9"/>
      <c r="P248" s="9"/>
      <c r="R248" s="138"/>
      <c r="S248" s="138"/>
      <c r="T248" s="138"/>
      <c r="U248" s="138"/>
      <c r="V248" s="138"/>
      <c r="W248" s="138"/>
      <c r="X248" s="138"/>
      <c r="Y248" s="138"/>
      <c r="Z248" s="138"/>
      <c r="AA248" s="138"/>
      <c r="AB248" s="138"/>
      <c r="AC248" s="138"/>
      <c r="AD248" s="138"/>
      <c r="AE248" s="138"/>
      <c r="AF248" s="138"/>
      <c r="AG248" s="138"/>
      <c r="AH248" s="138"/>
      <c r="AI248" s="138"/>
      <c r="AJ248" s="138"/>
      <c r="AK248" s="138"/>
      <c r="AL248" s="138"/>
      <c r="AM248" s="138"/>
      <c r="AN248" s="138"/>
      <c r="AO248" s="138"/>
      <c r="AP248" s="138"/>
      <c r="AQ248" s="138"/>
      <c r="AR248" s="138"/>
      <c r="AS248" s="138"/>
      <c r="AT248" s="138"/>
      <c r="AU248" s="138"/>
      <c r="AV248" s="138"/>
      <c r="AW248" s="138"/>
      <c r="AX248" s="138"/>
      <c r="AY248" s="138"/>
      <c r="AZ248" s="138"/>
      <c r="BA248" s="138"/>
      <c r="BB248" s="138"/>
      <c r="BC248" s="138"/>
      <c r="BD248" s="138"/>
      <c r="BE248" s="138"/>
      <c r="BF248" s="138"/>
      <c r="BG248" s="138"/>
      <c r="BH248" s="138"/>
      <c r="BI248" s="138"/>
      <c r="BJ248" s="138"/>
      <c r="BK248" s="138"/>
      <c r="BL248" s="138"/>
      <c r="BM248" s="138"/>
      <c r="BN248" s="138"/>
      <c r="BO248" s="138"/>
      <c r="BP248" s="138"/>
      <c r="BQ248" s="138"/>
      <c r="BR248" s="138"/>
      <c r="BS248" s="138"/>
      <c r="BT248" s="138"/>
      <c r="BU248" s="138"/>
      <c r="BV248" s="138"/>
      <c r="BW248" s="138"/>
      <c r="BX248" s="138"/>
    </row>
    <row r="249" spans="2:76" s="137" customFormat="1">
      <c r="B249" s="9"/>
      <c r="C249" s="9"/>
      <c r="D249" s="9"/>
      <c r="E249" s="9"/>
      <c r="F249" s="9"/>
      <c r="G249" s="9"/>
      <c r="H249" s="9"/>
      <c r="I249" s="9"/>
      <c r="J249" s="9"/>
      <c r="K249" s="9"/>
      <c r="L249" s="9"/>
      <c r="M249" s="9"/>
      <c r="N249" s="9"/>
      <c r="O249" s="9"/>
      <c r="P249" s="9"/>
      <c r="R249" s="138"/>
      <c r="S249" s="138"/>
      <c r="T249" s="138"/>
      <c r="U249" s="138"/>
      <c r="V249" s="138"/>
      <c r="W249" s="138"/>
      <c r="X249" s="138"/>
      <c r="Y249" s="138"/>
      <c r="Z249" s="138"/>
      <c r="AA249" s="138"/>
      <c r="AB249" s="138"/>
      <c r="AC249" s="138"/>
      <c r="AD249" s="138"/>
      <c r="AE249" s="138"/>
      <c r="AF249" s="138"/>
      <c r="AG249" s="138"/>
      <c r="AH249" s="138"/>
      <c r="AI249" s="138"/>
      <c r="AJ249" s="138"/>
      <c r="AK249" s="138"/>
      <c r="AL249" s="138"/>
      <c r="AM249" s="138"/>
      <c r="AN249" s="138"/>
      <c r="AO249" s="138"/>
      <c r="AP249" s="138"/>
      <c r="AQ249" s="138"/>
      <c r="AR249" s="138"/>
      <c r="AS249" s="138"/>
      <c r="AT249" s="138"/>
      <c r="AU249" s="138"/>
      <c r="AV249" s="138"/>
      <c r="AW249" s="138"/>
      <c r="AX249" s="138"/>
      <c r="AY249" s="138"/>
      <c r="AZ249" s="138"/>
      <c r="BA249" s="138"/>
      <c r="BB249" s="138"/>
      <c r="BC249" s="138"/>
      <c r="BD249" s="138"/>
      <c r="BE249" s="138"/>
      <c r="BF249" s="138"/>
      <c r="BG249" s="138"/>
      <c r="BH249" s="138"/>
      <c r="BI249" s="138"/>
      <c r="BJ249" s="138"/>
      <c r="BK249" s="138"/>
      <c r="BL249" s="138"/>
      <c r="BM249" s="138"/>
      <c r="BN249" s="138"/>
      <c r="BO249" s="138"/>
      <c r="BP249" s="138"/>
      <c r="BQ249" s="138"/>
      <c r="BR249" s="138"/>
      <c r="BS249" s="138"/>
      <c r="BT249" s="138"/>
      <c r="BU249" s="138"/>
      <c r="BV249" s="138"/>
      <c r="BW249" s="138"/>
      <c r="BX249" s="138"/>
    </row>
    <row r="250" spans="2:76" s="137" customFormat="1">
      <c r="B250" s="9"/>
      <c r="C250" s="9"/>
      <c r="D250" s="9"/>
      <c r="E250" s="9"/>
      <c r="F250" s="9"/>
      <c r="G250" s="9"/>
      <c r="H250" s="9"/>
      <c r="I250" s="9"/>
      <c r="J250" s="9"/>
      <c r="K250" s="9"/>
      <c r="L250" s="9"/>
      <c r="M250" s="9"/>
      <c r="N250" s="9"/>
      <c r="O250" s="9"/>
      <c r="P250" s="9"/>
      <c r="R250" s="138"/>
      <c r="S250" s="138"/>
      <c r="T250" s="138"/>
      <c r="U250" s="138"/>
      <c r="V250" s="138"/>
      <c r="W250" s="138"/>
      <c r="X250" s="138"/>
      <c r="Y250" s="138"/>
      <c r="Z250" s="138"/>
      <c r="AA250" s="138"/>
      <c r="AB250" s="138"/>
      <c r="AC250" s="138"/>
      <c r="AD250" s="138"/>
      <c r="AE250" s="138"/>
      <c r="AF250" s="138"/>
      <c r="AG250" s="138"/>
      <c r="AH250" s="138"/>
      <c r="AI250" s="138"/>
      <c r="AJ250" s="138"/>
      <c r="AK250" s="138"/>
      <c r="AL250" s="138"/>
      <c r="AM250" s="138"/>
      <c r="AN250" s="138"/>
      <c r="AO250" s="138"/>
      <c r="AP250" s="138"/>
      <c r="AQ250" s="138"/>
      <c r="AR250" s="138"/>
      <c r="AS250" s="138"/>
      <c r="AT250" s="138"/>
      <c r="AU250" s="138"/>
      <c r="AV250" s="138"/>
      <c r="AW250" s="138"/>
      <c r="AX250" s="138"/>
      <c r="AY250" s="138"/>
      <c r="AZ250" s="138"/>
      <c r="BA250" s="138"/>
      <c r="BB250" s="138"/>
      <c r="BC250" s="138"/>
      <c r="BD250" s="138"/>
      <c r="BE250" s="138"/>
      <c r="BF250" s="138"/>
      <c r="BG250" s="138"/>
      <c r="BH250" s="138"/>
      <c r="BI250" s="138"/>
      <c r="BJ250" s="138"/>
      <c r="BK250" s="138"/>
      <c r="BL250" s="138"/>
      <c r="BM250" s="138"/>
      <c r="BN250" s="138"/>
      <c r="BO250" s="138"/>
      <c r="BP250" s="138"/>
      <c r="BQ250" s="138"/>
      <c r="BR250" s="138"/>
      <c r="BS250" s="138"/>
      <c r="BT250" s="138"/>
      <c r="BU250" s="138"/>
      <c r="BV250" s="138"/>
      <c r="BW250" s="138"/>
      <c r="BX250" s="138"/>
    </row>
    <row r="251" spans="2:76" s="137" customFormat="1">
      <c r="B251" s="9"/>
      <c r="C251" s="9"/>
      <c r="D251" s="9"/>
      <c r="E251" s="9"/>
      <c r="F251" s="9"/>
      <c r="G251" s="9"/>
      <c r="H251" s="9"/>
      <c r="I251" s="9"/>
      <c r="J251" s="9"/>
      <c r="K251" s="9"/>
      <c r="L251" s="9"/>
      <c r="M251" s="9"/>
      <c r="N251" s="9"/>
      <c r="O251" s="9"/>
      <c r="P251" s="9"/>
      <c r="R251" s="138"/>
      <c r="S251" s="138"/>
      <c r="T251" s="138"/>
      <c r="U251" s="138"/>
      <c r="V251" s="138"/>
      <c r="W251" s="138"/>
      <c r="X251" s="138"/>
      <c r="Y251" s="138"/>
      <c r="Z251" s="138"/>
      <c r="AA251" s="138"/>
      <c r="AB251" s="138"/>
      <c r="AC251" s="138"/>
      <c r="AD251" s="138"/>
      <c r="AE251" s="138"/>
      <c r="AF251" s="138"/>
      <c r="AG251" s="138"/>
      <c r="AH251" s="138"/>
      <c r="AI251" s="138"/>
      <c r="AJ251" s="138"/>
      <c r="AK251" s="138"/>
      <c r="AL251" s="138"/>
      <c r="AM251" s="138"/>
      <c r="AN251" s="138"/>
      <c r="AO251" s="138"/>
      <c r="AP251" s="138"/>
      <c r="AQ251" s="138"/>
      <c r="AR251" s="138"/>
      <c r="AS251" s="138"/>
      <c r="AT251" s="138"/>
      <c r="AU251" s="138"/>
      <c r="AV251" s="138"/>
      <c r="AW251" s="138"/>
      <c r="AX251" s="138"/>
      <c r="AY251" s="138"/>
      <c r="AZ251" s="138"/>
      <c r="BA251" s="138"/>
      <c r="BB251" s="138"/>
      <c r="BC251" s="138"/>
      <c r="BD251" s="138"/>
      <c r="BE251" s="138"/>
      <c r="BF251" s="138"/>
      <c r="BG251" s="138"/>
      <c r="BH251" s="138"/>
      <c r="BI251" s="138"/>
      <c r="BJ251" s="138"/>
      <c r="BK251" s="138"/>
      <c r="BL251" s="138"/>
      <c r="BM251" s="138"/>
      <c r="BN251" s="138"/>
      <c r="BO251" s="138"/>
      <c r="BP251" s="138"/>
      <c r="BQ251" s="138"/>
      <c r="BR251" s="138"/>
      <c r="BS251" s="138"/>
      <c r="BT251" s="138"/>
      <c r="BU251" s="138"/>
      <c r="BV251" s="138"/>
      <c r="BW251" s="138"/>
      <c r="BX251" s="138"/>
    </row>
    <row r="252" spans="2:76" s="137" customFormat="1">
      <c r="B252" s="9"/>
      <c r="C252" s="9"/>
      <c r="D252" s="9"/>
      <c r="E252" s="9"/>
      <c r="F252" s="9"/>
      <c r="G252" s="9"/>
      <c r="H252" s="9"/>
      <c r="I252" s="9"/>
      <c r="J252" s="9"/>
      <c r="K252" s="9"/>
      <c r="L252" s="9"/>
      <c r="M252" s="9"/>
      <c r="N252" s="9"/>
      <c r="O252" s="9"/>
      <c r="P252" s="9"/>
      <c r="R252" s="138"/>
      <c r="S252" s="138"/>
      <c r="T252" s="138"/>
      <c r="U252" s="138"/>
      <c r="V252" s="138"/>
      <c r="W252" s="138"/>
      <c r="X252" s="138"/>
      <c r="Y252" s="138"/>
      <c r="Z252" s="138"/>
      <c r="AA252" s="138"/>
      <c r="AB252" s="138"/>
      <c r="AC252" s="138"/>
      <c r="AD252" s="138"/>
      <c r="AE252" s="138"/>
      <c r="AF252" s="138"/>
      <c r="AG252" s="138"/>
      <c r="AH252" s="138"/>
      <c r="AI252" s="138"/>
      <c r="AJ252" s="138"/>
      <c r="AK252" s="138"/>
      <c r="AL252" s="138"/>
      <c r="AM252" s="138"/>
      <c r="AN252" s="138"/>
      <c r="AO252" s="138"/>
      <c r="AP252" s="138"/>
      <c r="AQ252" s="138"/>
      <c r="AR252" s="138"/>
      <c r="AS252" s="138"/>
      <c r="AT252" s="138"/>
      <c r="AU252" s="138"/>
      <c r="AV252" s="138"/>
      <c r="AW252" s="138"/>
      <c r="AX252" s="138"/>
      <c r="AY252" s="138"/>
      <c r="AZ252" s="138"/>
      <c r="BA252" s="138"/>
      <c r="BB252" s="138"/>
      <c r="BC252" s="138"/>
      <c r="BD252" s="138"/>
      <c r="BE252" s="138"/>
      <c r="BF252" s="138"/>
      <c r="BG252" s="138"/>
      <c r="BH252" s="138"/>
      <c r="BI252" s="138"/>
      <c r="BJ252" s="138"/>
      <c r="BK252" s="138"/>
      <c r="BL252" s="138"/>
      <c r="BM252" s="138"/>
      <c r="BN252" s="138"/>
      <c r="BO252" s="138"/>
      <c r="BP252" s="138"/>
      <c r="BQ252" s="138"/>
      <c r="BR252" s="138"/>
      <c r="BS252" s="138"/>
      <c r="BT252" s="138"/>
      <c r="BU252" s="138"/>
      <c r="BV252" s="138"/>
      <c r="BW252" s="138"/>
      <c r="BX252" s="138"/>
    </row>
    <row r="253" spans="2:76" s="137" customFormat="1">
      <c r="B253" s="9"/>
      <c r="C253" s="9"/>
      <c r="D253" s="9"/>
      <c r="E253" s="9"/>
      <c r="F253" s="9"/>
      <c r="G253" s="9"/>
      <c r="H253" s="9"/>
      <c r="I253" s="9"/>
      <c r="J253" s="9"/>
      <c r="K253" s="9"/>
      <c r="L253" s="9"/>
      <c r="M253" s="9"/>
      <c r="N253" s="9"/>
      <c r="O253" s="9"/>
      <c r="P253" s="9"/>
      <c r="R253" s="138"/>
      <c r="S253" s="138"/>
      <c r="T253" s="138"/>
      <c r="U253" s="138"/>
      <c r="V253" s="138"/>
      <c r="W253" s="138"/>
      <c r="X253" s="138"/>
      <c r="Y253" s="138"/>
      <c r="Z253" s="138"/>
      <c r="AA253" s="138"/>
      <c r="AB253" s="138"/>
      <c r="AC253" s="138"/>
      <c r="AD253" s="138"/>
      <c r="AE253" s="138"/>
      <c r="AF253" s="138"/>
      <c r="AG253" s="138"/>
      <c r="AH253" s="138"/>
      <c r="AI253" s="138"/>
      <c r="AJ253" s="138"/>
      <c r="AK253" s="138"/>
      <c r="AL253" s="138"/>
      <c r="AM253" s="138"/>
      <c r="AN253" s="138"/>
      <c r="AO253" s="138"/>
      <c r="AP253" s="138"/>
      <c r="AQ253" s="138"/>
      <c r="AR253" s="138"/>
      <c r="AS253" s="138"/>
      <c r="AT253" s="138"/>
      <c r="AU253" s="138"/>
      <c r="AV253" s="138"/>
      <c r="AW253" s="138"/>
      <c r="AX253" s="138"/>
      <c r="AY253" s="138"/>
      <c r="AZ253" s="138"/>
      <c r="BA253" s="138"/>
      <c r="BB253" s="138"/>
      <c r="BC253" s="138"/>
      <c r="BD253" s="138"/>
      <c r="BE253" s="138"/>
      <c r="BF253" s="138"/>
      <c r="BG253" s="138"/>
      <c r="BH253" s="138"/>
      <c r="BI253" s="138"/>
      <c r="BJ253" s="138"/>
      <c r="BK253" s="138"/>
      <c r="BL253" s="138"/>
      <c r="BM253" s="138"/>
      <c r="BN253" s="138"/>
      <c r="BO253" s="138"/>
      <c r="BP253" s="138"/>
      <c r="BQ253" s="138"/>
      <c r="BR253" s="138"/>
      <c r="BS253" s="138"/>
      <c r="BT253" s="138"/>
      <c r="BU253" s="138"/>
      <c r="BV253" s="138"/>
      <c r="BW253" s="138"/>
      <c r="BX253" s="138"/>
    </row>
    <row r="254" spans="2:76" s="137" customFormat="1">
      <c r="B254" s="9"/>
      <c r="C254" s="9"/>
      <c r="D254" s="9"/>
      <c r="E254" s="9"/>
      <c r="F254" s="9"/>
      <c r="G254" s="9"/>
      <c r="H254" s="9"/>
      <c r="I254" s="9"/>
      <c r="J254" s="9"/>
      <c r="K254" s="9"/>
      <c r="L254" s="9"/>
      <c r="M254" s="9"/>
      <c r="N254" s="9"/>
      <c r="O254" s="9"/>
      <c r="P254" s="9"/>
      <c r="R254" s="138"/>
      <c r="S254" s="138"/>
      <c r="T254" s="138"/>
      <c r="U254" s="138"/>
      <c r="V254" s="138"/>
      <c r="W254" s="138"/>
      <c r="X254" s="138"/>
      <c r="Y254" s="138"/>
      <c r="Z254" s="138"/>
      <c r="AA254" s="138"/>
      <c r="AB254" s="138"/>
      <c r="AC254" s="138"/>
      <c r="AD254" s="138"/>
      <c r="AE254" s="138"/>
      <c r="AF254" s="138"/>
      <c r="AG254" s="138"/>
      <c r="AH254" s="138"/>
      <c r="AI254" s="138"/>
      <c r="AJ254" s="138"/>
      <c r="AK254" s="138"/>
      <c r="AL254" s="138"/>
      <c r="AM254" s="138"/>
      <c r="AN254" s="138"/>
      <c r="AO254" s="138"/>
      <c r="AP254" s="138"/>
      <c r="AQ254" s="138"/>
      <c r="AR254" s="138"/>
      <c r="AS254" s="138"/>
      <c r="AT254" s="138"/>
      <c r="AU254" s="138"/>
      <c r="AV254" s="138"/>
      <c r="AW254" s="138"/>
      <c r="AX254" s="138"/>
      <c r="AY254" s="138"/>
      <c r="AZ254" s="138"/>
      <c r="BA254" s="138"/>
      <c r="BB254" s="138"/>
      <c r="BC254" s="138"/>
      <c r="BD254" s="138"/>
      <c r="BE254" s="138"/>
      <c r="BF254" s="138"/>
      <c r="BG254" s="138"/>
      <c r="BH254" s="138"/>
      <c r="BI254" s="138"/>
      <c r="BJ254" s="138"/>
      <c r="BK254" s="138"/>
      <c r="BL254" s="138"/>
      <c r="BM254" s="138"/>
      <c r="BN254" s="138"/>
      <c r="BO254" s="138"/>
      <c r="BP254" s="138"/>
      <c r="BQ254" s="138"/>
      <c r="BR254" s="138"/>
      <c r="BS254" s="138"/>
      <c r="BT254" s="138"/>
      <c r="BU254" s="138"/>
      <c r="BV254" s="138"/>
      <c r="BW254" s="138"/>
      <c r="BX254" s="138"/>
    </row>
    <row r="255" spans="2:76" s="137" customFormat="1">
      <c r="B255" s="9"/>
      <c r="C255" s="9"/>
      <c r="D255" s="9"/>
      <c r="E255" s="9"/>
      <c r="F255" s="9"/>
      <c r="G255" s="9"/>
      <c r="H255" s="9"/>
      <c r="I255" s="9"/>
      <c r="J255" s="9"/>
      <c r="K255" s="9"/>
      <c r="L255" s="9"/>
      <c r="M255" s="9"/>
      <c r="N255" s="9"/>
      <c r="O255" s="9"/>
      <c r="P255" s="9"/>
      <c r="R255" s="138"/>
      <c r="S255" s="138"/>
      <c r="T255" s="138"/>
      <c r="U255" s="138"/>
      <c r="V255" s="138"/>
      <c r="W255" s="138"/>
      <c r="X255" s="138"/>
      <c r="Y255" s="138"/>
      <c r="Z255" s="138"/>
      <c r="AA255" s="138"/>
      <c r="AB255" s="138"/>
      <c r="AC255" s="138"/>
      <c r="AD255" s="138"/>
      <c r="AE255" s="138"/>
      <c r="AF255" s="138"/>
      <c r="AG255" s="138"/>
      <c r="AH255" s="138"/>
      <c r="AI255" s="138"/>
      <c r="AJ255" s="138"/>
      <c r="AK255" s="138"/>
      <c r="AL255" s="138"/>
      <c r="AM255" s="138"/>
      <c r="AN255" s="138"/>
      <c r="AO255" s="138"/>
      <c r="AP255" s="138"/>
      <c r="AQ255" s="138"/>
      <c r="AR255" s="138"/>
      <c r="AS255" s="138"/>
      <c r="AT255" s="138"/>
      <c r="AU255" s="138"/>
      <c r="AV255" s="138"/>
      <c r="AW255" s="138"/>
      <c r="AX255" s="138"/>
      <c r="AY255" s="138"/>
      <c r="AZ255" s="138"/>
      <c r="BA255" s="138"/>
      <c r="BB255" s="138"/>
      <c r="BC255" s="138"/>
      <c r="BD255" s="138"/>
      <c r="BE255" s="138"/>
      <c r="BF255" s="138"/>
      <c r="BG255" s="138"/>
      <c r="BH255" s="138"/>
      <c r="BI255" s="138"/>
      <c r="BJ255" s="138"/>
      <c r="BK255" s="138"/>
      <c r="BL255" s="138"/>
      <c r="BM255" s="138"/>
      <c r="BN255" s="138"/>
      <c r="BO255" s="138"/>
      <c r="BP255" s="138"/>
      <c r="BQ255" s="138"/>
      <c r="BR255" s="138"/>
      <c r="BS255" s="138"/>
      <c r="BT255" s="138"/>
      <c r="BU255" s="138"/>
      <c r="BV255" s="138"/>
      <c r="BW255" s="138"/>
      <c r="BX255" s="138"/>
    </row>
    <row r="256" spans="2:76" s="137" customFormat="1">
      <c r="B256" s="9"/>
      <c r="C256" s="9"/>
      <c r="D256" s="9"/>
      <c r="E256" s="9"/>
      <c r="F256" s="9"/>
      <c r="G256" s="9"/>
      <c r="H256" s="9"/>
      <c r="I256" s="9"/>
      <c r="J256" s="9"/>
      <c r="K256" s="9"/>
      <c r="L256" s="9"/>
      <c r="M256" s="9"/>
      <c r="N256" s="9"/>
      <c r="O256" s="9"/>
      <c r="P256" s="9"/>
      <c r="R256" s="138"/>
      <c r="S256" s="138"/>
      <c r="T256" s="138"/>
      <c r="U256" s="138"/>
      <c r="V256" s="138"/>
      <c r="W256" s="138"/>
      <c r="X256" s="138"/>
      <c r="Y256" s="138"/>
      <c r="Z256" s="138"/>
      <c r="AA256" s="138"/>
      <c r="AB256" s="138"/>
      <c r="AC256" s="138"/>
      <c r="AD256" s="138"/>
      <c r="AE256" s="138"/>
      <c r="AF256" s="138"/>
      <c r="AG256" s="138"/>
      <c r="AH256" s="138"/>
      <c r="AI256" s="138"/>
      <c r="AJ256" s="138"/>
      <c r="AK256" s="138"/>
      <c r="AL256" s="138"/>
      <c r="AM256" s="138"/>
      <c r="AN256" s="138"/>
      <c r="AO256" s="138"/>
      <c r="AP256" s="138"/>
      <c r="AQ256" s="138"/>
      <c r="AR256" s="138"/>
      <c r="AS256" s="138"/>
      <c r="AT256" s="138"/>
      <c r="AU256" s="138"/>
      <c r="AV256" s="138"/>
      <c r="AW256" s="138"/>
      <c r="AX256" s="138"/>
      <c r="AY256" s="138"/>
      <c r="AZ256" s="138"/>
      <c r="BA256" s="138"/>
      <c r="BB256" s="138"/>
      <c r="BC256" s="138"/>
      <c r="BD256" s="138"/>
      <c r="BE256" s="138"/>
      <c r="BF256" s="138"/>
      <c r="BG256" s="138"/>
      <c r="BH256" s="138"/>
      <c r="BI256" s="138"/>
      <c r="BJ256" s="138"/>
      <c r="BK256" s="138"/>
      <c r="BL256" s="138"/>
      <c r="BM256" s="138"/>
      <c r="BN256" s="138"/>
      <c r="BO256" s="138"/>
      <c r="BP256" s="138"/>
      <c r="BQ256" s="138"/>
      <c r="BR256" s="138"/>
      <c r="BS256" s="138"/>
      <c r="BT256" s="138"/>
      <c r="BU256" s="138"/>
      <c r="BV256" s="138"/>
      <c r="BW256" s="138"/>
      <c r="BX256" s="138"/>
    </row>
    <row r="257" spans="2:76" s="137" customFormat="1">
      <c r="B257" s="9"/>
      <c r="C257" s="9"/>
      <c r="D257" s="9"/>
      <c r="E257" s="9"/>
      <c r="F257" s="9"/>
      <c r="G257" s="9"/>
      <c r="H257" s="9"/>
      <c r="I257" s="9"/>
      <c r="J257" s="9"/>
      <c r="K257" s="9"/>
      <c r="L257" s="9"/>
      <c r="M257" s="9"/>
      <c r="N257" s="9"/>
      <c r="O257" s="9"/>
      <c r="P257" s="9"/>
      <c r="R257" s="138"/>
      <c r="S257" s="138"/>
      <c r="T257" s="138"/>
      <c r="U257" s="138"/>
      <c r="V257" s="138"/>
      <c r="W257" s="138"/>
      <c r="X257" s="138"/>
      <c r="Y257" s="138"/>
      <c r="Z257" s="138"/>
      <c r="AA257" s="138"/>
      <c r="AB257" s="138"/>
      <c r="AC257" s="138"/>
      <c r="AD257" s="138"/>
      <c r="AE257" s="138"/>
      <c r="AF257" s="138"/>
      <c r="AG257" s="138"/>
      <c r="AH257" s="138"/>
      <c r="AI257" s="138"/>
      <c r="AJ257" s="138"/>
      <c r="AK257" s="138"/>
      <c r="AL257" s="138"/>
      <c r="AM257" s="138"/>
      <c r="AN257" s="138"/>
      <c r="AO257" s="138"/>
      <c r="AP257" s="138"/>
      <c r="AQ257" s="138"/>
      <c r="AR257" s="138"/>
      <c r="AS257" s="138"/>
      <c r="AT257" s="138"/>
      <c r="AU257" s="138"/>
      <c r="AV257" s="138"/>
      <c r="AW257" s="138"/>
      <c r="AX257" s="138"/>
      <c r="AY257" s="138"/>
      <c r="AZ257" s="138"/>
      <c r="BA257" s="138"/>
      <c r="BB257" s="138"/>
      <c r="BC257" s="138"/>
      <c r="BD257" s="138"/>
      <c r="BE257" s="138"/>
      <c r="BF257" s="138"/>
      <c r="BG257" s="138"/>
      <c r="BH257" s="138"/>
      <c r="BI257" s="138"/>
      <c r="BJ257" s="138"/>
      <c r="BK257" s="138"/>
      <c r="BL257" s="138"/>
      <c r="BM257" s="138"/>
      <c r="BN257" s="138"/>
      <c r="BO257" s="138"/>
      <c r="BP257" s="138"/>
      <c r="BQ257" s="138"/>
      <c r="BR257" s="138"/>
      <c r="BS257" s="138"/>
      <c r="BT257" s="138"/>
      <c r="BU257" s="138"/>
      <c r="BV257" s="138"/>
      <c r="BW257" s="138"/>
      <c r="BX257" s="138"/>
    </row>
    <row r="258" spans="2:76" s="137" customFormat="1">
      <c r="B258" s="9"/>
      <c r="C258" s="9"/>
      <c r="D258" s="9"/>
      <c r="E258" s="9"/>
      <c r="F258" s="9"/>
      <c r="G258" s="9"/>
      <c r="H258" s="9"/>
      <c r="I258" s="9"/>
      <c r="J258" s="9"/>
      <c r="K258" s="9"/>
      <c r="L258" s="9"/>
      <c r="M258" s="9"/>
      <c r="N258" s="9"/>
      <c r="O258" s="9"/>
      <c r="P258" s="9"/>
      <c r="R258" s="138"/>
      <c r="S258" s="138"/>
      <c r="T258" s="138"/>
      <c r="U258" s="138"/>
      <c r="V258" s="138"/>
      <c r="W258" s="138"/>
      <c r="X258" s="138"/>
      <c r="Y258" s="138"/>
      <c r="Z258" s="138"/>
      <c r="AA258" s="138"/>
      <c r="AB258" s="138"/>
      <c r="AC258" s="138"/>
      <c r="AD258" s="138"/>
      <c r="AE258" s="138"/>
      <c r="AF258" s="138"/>
      <c r="AG258" s="138"/>
      <c r="AH258" s="138"/>
      <c r="AI258" s="138"/>
      <c r="AJ258" s="138"/>
      <c r="AK258" s="138"/>
      <c r="AL258" s="138"/>
      <c r="AM258" s="138"/>
      <c r="AN258" s="138"/>
      <c r="AO258" s="138"/>
      <c r="AP258" s="138"/>
      <c r="AQ258" s="138"/>
      <c r="AR258" s="138"/>
      <c r="AS258" s="138"/>
      <c r="AT258" s="138"/>
      <c r="AU258" s="138"/>
      <c r="AV258" s="138"/>
      <c r="AW258" s="138"/>
      <c r="AX258" s="138"/>
      <c r="AY258" s="138"/>
      <c r="AZ258" s="138"/>
      <c r="BA258" s="138"/>
      <c r="BB258" s="138"/>
      <c r="BC258" s="138"/>
      <c r="BD258" s="138"/>
      <c r="BE258" s="138"/>
      <c r="BF258" s="138"/>
      <c r="BG258" s="138"/>
      <c r="BH258" s="138"/>
      <c r="BI258" s="138"/>
      <c r="BJ258" s="138"/>
      <c r="BK258" s="138"/>
      <c r="BL258" s="138"/>
      <c r="BM258" s="138"/>
      <c r="BN258" s="138"/>
      <c r="BO258" s="138"/>
      <c r="BP258" s="138"/>
      <c r="BQ258" s="138"/>
      <c r="BR258" s="138"/>
      <c r="BS258" s="138"/>
      <c r="BT258" s="138"/>
      <c r="BU258" s="138"/>
      <c r="BV258" s="138"/>
      <c r="BW258" s="138"/>
      <c r="BX258" s="138"/>
    </row>
    <row r="259" spans="2:76" s="137" customFormat="1">
      <c r="B259" s="9"/>
      <c r="C259" s="9"/>
      <c r="D259" s="9"/>
      <c r="E259" s="9"/>
      <c r="F259" s="9"/>
      <c r="G259" s="9"/>
      <c r="H259" s="9"/>
      <c r="I259" s="9"/>
      <c r="J259" s="9"/>
      <c r="K259" s="9"/>
      <c r="L259" s="9"/>
      <c r="M259" s="9"/>
      <c r="N259" s="9"/>
      <c r="O259" s="9"/>
      <c r="P259" s="9"/>
      <c r="R259" s="138"/>
      <c r="S259" s="138"/>
      <c r="T259" s="138"/>
      <c r="U259" s="138"/>
      <c r="V259" s="138"/>
      <c r="W259" s="138"/>
      <c r="X259" s="138"/>
      <c r="Y259" s="138"/>
      <c r="Z259" s="138"/>
      <c r="AA259" s="138"/>
      <c r="AB259" s="138"/>
      <c r="AC259" s="138"/>
      <c r="AD259" s="138"/>
      <c r="AE259" s="138"/>
      <c r="AF259" s="138"/>
      <c r="AG259" s="138"/>
      <c r="AH259" s="138"/>
      <c r="AI259" s="138"/>
      <c r="AJ259" s="138"/>
      <c r="AK259" s="138"/>
      <c r="AL259" s="138"/>
      <c r="AM259" s="138"/>
      <c r="AN259" s="138"/>
      <c r="AO259" s="138"/>
      <c r="AP259" s="138"/>
      <c r="AQ259" s="138"/>
      <c r="AR259" s="138"/>
      <c r="AS259" s="138"/>
      <c r="AT259" s="138"/>
      <c r="AU259" s="138"/>
      <c r="AV259" s="138"/>
      <c r="AW259" s="138"/>
      <c r="AX259" s="138"/>
      <c r="AY259" s="138"/>
      <c r="AZ259" s="138"/>
      <c r="BA259" s="138"/>
      <c r="BB259" s="138"/>
      <c r="BC259" s="138"/>
      <c r="BD259" s="138"/>
      <c r="BE259" s="138"/>
      <c r="BF259" s="138"/>
      <c r="BG259" s="138"/>
      <c r="BH259" s="138"/>
      <c r="BI259" s="138"/>
      <c r="BJ259" s="138"/>
      <c r="BK259" s="138"/>
      <c r="BL259" s="138"/>
      <c r="BM259" s="138"/>
      <c r="BN259" s="138"/>
      <c r="BO259" s="138"/>
      <c r="BP259" s="138"/>
      <c r="BQ259" s="138"/>
      <c r="BR259" s="138"/>
      <c r="BS259" s="138"/>
      <c r="BT259" s="138"/>
      <c r="BU259" s="138"/>
      <c r="BV259" s="138"/>
      <c r="BW259" s="138"/>
      <c r="BX259" s="138"/>
    </row>
    <row r="260" spans="2:76" s="137" customFormat="1">
      <c r="B260" s="9"/>
      <c r="C260" s="9"/>
      <c r="D260" s="9"/>
      <c r="E260" s="9"/>
      <c r="F260" s="9"/>
      <c r="G260" s="9"/>
      <c r="H260" s="9"/>
      <c r="I260" s="9"/>
      <c r="J260" s="9"/>
      <c r="K260" s="9"/>
      <c r="L260" s="9"/>
      <c r="M260" s="9"/>
      <c r="N260" s="9"/>
      <c r="O260" s="9"/>
      <c r="P260" s="9"/>
      <c r="R260" s="138"/>
      <c r="S260" s="138"/>
      <c r="T260" s="138"/>
      <c r="U260" s="138"/>
      <c r="V260" s="138"/>
      <c r="W260" s="138"/>
      <c r="X260" s="138"/>
      <c r="Y260" s="138"/>
      <c r="Z260" s="138"/>
      <c r="AA260" s="138"/>
      <c r="AB260" s="138"/>
      <c r="AC260" s="138"/>
      <c r="AD260" s="138"/>
      <c r="AE260" s="138"/>
      <c r="AF260" s="138"/>
      <c r="AG260" s="138"/>
      <c r="AH260" s="138"/>
      <c r="AI260" s="138"/>
      <c r="AJ260" s="138"/>
      <c r="AK260" s="138"/>
      <c r="AL260" s="138"/>
      <c r="AM260" s="138"/>
      <c r="AN260" s="138"/>
      <c r="AO260" s="138"/>
      <c r="AP260" s="138"/>
      <c r="AQ260" s="138"/>
      <c r="AR260" s="138"/>
      <c r="AS260" s="138"/>
      <c r="AT260" s="138"/>
      <c r="AU260" s="138"/>
      <c r="AV260" s="138"/>
      <c r="AW260" s="138"/>
      <c r="AX260" s="138"/>
      <c r="AY260" s="138"/>
      <c r="AZ260" s="138"/>
      <c r="BA260" s="138"/>
      <c r="BB260" s="138"/>
      <c r="BC260" s="138"/>
      <c r="BD260" s="138"/>
      <c r="BE260" s="138"/>
      <c r="BF260" s="138"/>
      <c r="BG260" s="138"/>
      <c r="BH260" s="138"/>
      <c r="BI260" s="138"/>
      <c r="BJ260" s="138"/>
      <c r="BK260" s="138"/>
      <c r="BL260" s="138"/>
      <c r="BM260" s="138"/>
      <c r="BN260" s="138"/>
      <c r="BO260" s="138"/>
      <c r="BP260" s="138"/>
      <c r="BQ260" s="138"/>
      <c r="BR260" s="138"/>
      <c r="BS260" s="138"/>
      <c r="BT260" s="138"/>
      <c r="BU260" s="138"/>
      <c r="BV260" s="138"/>
      <c r="BW260" s="138"/>
      <c r="BX260" s="138"/>
    </row>
    <row r="261" spans="2:76" s="137" customFormat="1">
      <c r="B261" s="9"/>
      <c r="C261" s="9"/>
      <c r="D261" s="9"/>
      <c r="E261" s="9"/>
      <c r="F261" s="9"/>
      <c r="G261" s="9"/>
      <c r="H261" s="9"/>
      <c r="I261" s="9"/>
      <c r="J261" s="9"/>
      <c r="K261" s="9"/>
      <c r="L261" s="9"/>
      <c r="M261" s="9"/>
      <c r="N261" s="9"/>
      <c r="O261" s="9"/>
      <c r="P261" s="9"/>
      <c r="R261" s="138"/>
      <c r="S261" s="138"/>
      <c r="T261" s="138"/>
      <c r="U261" s="138"/>
      <c r="V261" s="138"/>
      <c r="W261" s="138"/>
      <c r="X261" s="138"/>
      <c r="Y261" s="138"/>
      <c r="Z261" s="138"/>
      <c r="AA261" s="138"/>
      <c r="AB261" s="138"/>
      <c r="AC261" s="138"/>
      <c r="AD261" s="138"/>
      <c r="AE261" s="138"/>
      <c r="AF261" s="138"/>
      <c r="AG261" s="138"/>
      <c r="AH261" s="138"/>
      <c r="AI261" s="138"/>
      <c r="AJ261" s="138"/>
      <c r="AK261" s="138"/>
      <c r="AL261" s="138"/>
      <c r="AM261" s="138"/>
      <c r="AN261" s="138"/>
      <c r="AO261" s="138"/>
      <c r="AP261" s="138"/>
      <c r="AQ261" s="138"/>
      <c r="AR261" s="138"/>
      <c r="AS261" s="138"/>
      <c r="AT261" s="138"/>
      <c r="AU261" s="138"/>
      <c r="AV261" s="138"/>
      <c r="AW261" s="138"/>
      <c r="AX261" s="138"/>
      <c r="AY261" s="138"/>
      <c r="AZ261" s="138"/>
      <c r="BA261" s="138"/>
      <c r="BB261" s="138"/>
      <c r="BC261" s="138"/>
      <c r="BD261" s="138"/>
      <c r="BE261" s="138"/>
      <c r="BF261" s="138"/>
      <c r="BG261" s="138"/>
      <c r="BH261" s="138"/>
      <c r="BI261" s="138"/>
      <c r="BJ261" s="138"/>
      <c r="BK261" s="138"/>
      <c r="BL261" s="138"/>
      <c r="BM261" s="138"/>
      <c r="BN261" s="138"/>
      <c r="BO261" s="138"/>
      <c r="BP261" s="138"/>
      <c r="BQ261" s="138"/>
      <c r="BR261" s="138"/>
      <c r="BS261" s="138"/>
      <c r="BT261" s="138"/>
      <c r="BU261" s="138"/>
      <c r="BV261" s="138"/>
      <c r="BW261" s="138"/>
      <c r="BX261" s="138"/>
    </row>
    <row r="262" spans="2:76" s="137" customFormat="1">
      <c r="B262" s="9"/>
      <c r="C262" s="9"/>
      <c r="D262" s="9"/>
      <c r="E262" s="9"/>
      <c r="F262" s="9"/>
      <c r="G262" s="9"/>
      <c r="H262" s="9"/>
      <c r="I262" s="9"/>
      <c r="J262" s="9"/>
      <c r="K262" s="9"/>
      <c r="L262" s="9"/>
      <c r="M262" s="9"/>
      <c r="N262" s="9"/>
      <c r="O262" s="9"/>
      <c r="P262" s="9"/>
      <c r="R262" s="138"/>
      <c r="S262" s="138"/>
      <c r="T262" s="138"/>
      <c r="U262" s="138"/>
      <c r="V262" s="138"/>
      <c r="W262" s="138"/>
      <c r="X262" s="138"/>
      <c r="Y262" s="138"/>
      <c r="Z262" s="138"/>
      <c r="AA262" s="138"/>
      <c r="AB262" s="138"/>
      <c r="AC262" s="138"/>
      <c r="AD262" s="138"/>
      <c r="AE262" s="138"/>
      <c r="AF262" s="138"/>
      <c r="AG262" s="138"/>
      <c r="AH262" s="138"/>
      <c r="AI262" s="138"/>
      <c r="AJ262" s="138"/>
      <c r="AK262" s="138"/>
      <c r="AL262" s="138"/>
      <c r="AM262" s="138"/>
      <c r="AN262" s="138"/>
      <c r="AO262" s="138"/>
      <c r="AP262" s="138"/>
      <c r="AQ262" s="138"/>
      <c r="AR262" s="138"/>
      <c r="AS262" s="138"/>
      <c r="AT262" s="138"/>
      <c r="AU262" s="138"/>
      <c r="AV262" s="138"/>
      <c r="AW262" s="138"/>
      <c r="AX262" s="138"/>
      <c r="AY262" s="138"/>
      <c r="AZ262" s="138"/>
      <c r="BA262" s="138"/>
      <c r="BB262" s="138"/>
      <c r="BC262" s="138"/>
      <c r="BD262" s="138"/>
      <c r="BE262" s="138"/>
      <c r="BF262" s="138"/>
      <c r="BG262" s="138"/>
      <c r="BH262" s="138"/>
      <c r="BI262" s="138"/>
      <c r="BJ262" s="138"/>
      <c r="BK262" s="138"/>
      <c r="BL262" s="138"/>
      <c r="BM262" s="138"/>
      <c r="BN262" s="138"/>
      <c r="BO262" s="138"/>
      <c r="BP262" s="138"/>
      <c r="BQ262" s="138"/>
      <c r="BR262" s="138"/>
      <c r="BS262" s="138"/>
      <c r="BT262" s="138"/>
      <c r="BU262" s="138"/>
      <c r="BV262" s="138"/>
      <c r="BW262" s="138"/>
      <c r="BX262" s="138"/>
    </row>
    <row r="263" spans="2:76" s="137" customFormat="1">
      <c r="B263" s="9"/>
      <c r="C263" s="9"/>
      <c r="D263" s="9"/>
      <c r="E263" s="9"/>
      <c r="F263" s="9"/>
      <c r="G263" s="9"/>
      <c r="H263" s="9"/>
      <c r="I263" s="9"/>
      <c r="J263" s="9"/>
      <c r="K263" s="9"/>
      <c r="L263" s="9"/>
      <c r="M263" s="9"/>
      <c r="N263" s="9"/>
      <c r="O263" s="9"/>
      <c r="P263" s="9"/>
      <c r="R263" s="138"/>
      <c r="S263" s="138"/>
      <c r="T263" s="138"/>
      <c r="U263" s="138"/>
      <c r="V263" s="138"/>
      <c r="W263" s="138"/>
      <c r="X263" s="138"/>
      <c r="Y263" s="138"/>
      <c r="Z263" s="138"/>
      <c r="AA263" s="138"/>
      <c r="AB263" s="138"/>
      <c r="AC263" s="138"/>
      <c r="AD263" s="138"/>
      <c r="AE263" s="138"/>
      <c r="AF263" s="138"/>
      <c r="AG263" s="138"/>
      <c r="AH263" s="138"/>
      <c r="AI263" s="138"/>
      <c r="AJ263" s="138"/>
      <c r="AK263" s="138"/>
      <c r="AL263" s="138"/>
      <c r="AM263" s="138"/>
      <c r="AN263" s="138"/>
      <c r="AO263" s="138"/>
      <c r="AP263" s="138"/>
      <c r="AQ263" s="138"/>
      <c r="AR263" s="138"/>
      <c r="AS263" s="138"/>
      <c r="AT263" s="138"/>
      <c r="AU263" s="138"/>
      <c r="AV263" s="138"/>
      <c r="AW263" s="138"/>
      <c r="AX263" s="138"/>
      <c r="AY263" s="138"/>
      <c r="AZ263" s="138"/>
      <c r="BA263" s="138"/>
      <c r="BB263" s="138"/>
      <c r="BC263" s="138"/>
      <c r="BD263" s="138"/>
      <c r="BE263" s="138"/>
      <c r="BF263" s="138"/>
      <c r="BG263" s="138"/>
      <c r="BH263" s="138"/>
      <c r="BI263" s="138"/>
      <c r="BJ263" s="138"/>
      <c r="BK263" s="138"/>
      <c r="BL263" s="138"/>
      <c r="BM263" s="138"/>
      <c r="BN263" s="138"/>
      <c r="BO263" s="138"/>
      <c r="BP263" s="138"/>
      <c r="BQ263" s="138"/>
      <c r="BR263" s="138"/>
      <c r="BS263" s="138"/>
      <c r="BT263" s="138"/>
      <c r="BU263" s="138"/>
      <c r="BV263" s="138"/>
      <c r="BW263" s="138"/>
      <c r="BX263" s="138"/>
    </row>
    <row r="264" spans="2:76" s="137" customFormat="1">
      <c r="B264" s="9"/>
      <c r="C264" s="9"/>
      <c r="D264" s="9"/>
      <c r="E264" s="9"/>
      <c r="F264" s="9"/>
      <c r="G264" s="9"/>
      <c r="H264" s="9"/>
      <c r="I264" s="9"/>
      <c r="J264" s="9"/>
      <c r="K264" s="9"/>
      <c r="L264" s="9"/>
      <c r="M264" s="9"/>
      <c r="N264" s="9"/>
      <c r="O264" s="9"/>
      <c r="P264" s="9"/>
      <c r="R264" s="138"/>
      <c r="S264" s="138"/>
      <c r="T264" s="138"/>
      <c r="U264" s="138"/>
      <c r="V264" s="138"/>
      <c r="W264" s="138"/>
      <c r="X264" s="138"/>
      <c r="Y264" s="138"/>
      <c r="Z264" s="138"/>
      <c r="AA264" s="138"/>
      <c r="AB264" s="138"/>
      <c r="AC264" s="138"/>
      <c r="AD264" s="138"/>
      <c r="AE264" s="138"/>
      <c r="AF264" s="138"/>
      <c r="AG264" s="138"/>
      <c r="AH264" s="138"/>
      <c r="AI264" s="138"/>
      <c r="AJ264" s="138"/>
      <c r="AK264" s="138"/>
      <c r="AL264" s="138"/>
      <c r="AM264" s="138"/>
      <c r="AN264" s="138"/>
      <c r="AO264" s="138"/>
      <c r="AP264" s="138"/>
      <c r="AQ264" s="138"/>
      <c r="AR264" s="138"/>
      <c r="AS264" s="138"/>
      <c r="AT264" s="138"/>
      <c r="AU264" s="138"/>
      <c r="AV264" s="138"/>
      <c r="AW264" s="138"/>
      <c r="AX264" s="138"/>
      <c r="AY264" s="138"/>
      <c r="AZ264" s="138"/>
      <c r="BA264" s="138"/>
      <c r="BB264" s="138"/>
      <c r="BC264" s="138"/>
      <c r="BD264" s="138"/>
      <c r="BE264" s="138"/>
      <c r="BF264" s="138"/>
      <c r="BG264" s="138"/>
      <c r="BH264" s="138"/>
      <c r="BI264" s="138"/>
      <c r="BJ264" s="138"/>
      <c r="BK264" s="138"/>
      <c r="BL264" s="138"/>
      <c r="BM264" s="138"/>
      <c r="BN264" s="138"/>
      <c r="BO264" s="138"/>
      <c r="BP264" s="138"/>
      <c r="BQ264" s="138"/>
      <c r="BR264" s="138"/>
      <c r="BS264" s="138"/>
      <c r="BT264" s="138"/>
      <c r="BU264" s="138"/>
      <c r="BV264" s="138"/>
      <c r="BW264" s="138"/>
      <c r="BX264" s="138"/>
    </row>
    <row r="265" spans="2:76" s="137" customFormat="1">
      <c r="B265" s="9"/>
      <c r="C265" s="9"/>
      <c r="D265" s="9"/>
      <c r="E265" s="9"/>
      <c r="F265" s="9"/>
      <c r="G265" s="9"/>
      <c r="H265" s="9"/>
      <c r="I265" s="9"/>
      <c r="J265" s="9"/>
      <c r="K265" s="9"/>
      <c r="L265" s="9"/>
      <c r="M265" s="9"/>
      <c r="N265" s="9"/>
      <c r="O265" s="9"/>
      <c r="P265" s="9"/>
      <c r="R265" s="138"/>
      <c r="S265" s="138"/>
      <c r="T265" s="138"/>
      <c r="U265" s="138"/>
      <c r="V265" s="138"/>
      <c r="W265" s="138"/>
      <c r="X265" s="138"/>
      <c r="Y265" s="138"/>
      <c r="Z265" s="138"/>
      <c r="AA265" s="138"/>
      <c r="AB265" s="138"/>
      <c r="AC265" s="138"/>
      <c r="AD265" s="138"/>
      <c r="AE265" s="138"/>
      <c r="AF265" s="138"/>
      <c r="AG265" s="138"/>
      <c r="AH265" s="138"/>
      <c r="AI265" s="138"/>
      <c r="AJ265" s="138"/>
      <c r="AK265" s="138"/>
      <c r="AL265" s="138"/>
      <c r="AM265" s="138"/>
      <c r="AN265" s="138"/>
      <c r="AO265" s="138"/>
      <c r="AP265" s="138"/>
      <c r="AQ265" s="138"/>
      <c r="AR265" s="138"/>
      <c r="AS265" s="138"/>
      <c r="AT265" s="138"/>
      <c r="AU265" s="138"/>
      <c r="AV265" s="138"/>
      <c r="AW265" s="138"/>
      <c r="AX265" s="138"/>
      <c r="AY265" s="138"/>
      <c r="AZ265" s="138"/>
      <c r="BA265" s="138"/>
      <c r="BB265" s="138"/>
      <c r="BC265" s="138"/>
      <c r="BD265" s="138"/>
      <c r="BE265" s="138"/>
      <c r="BF265" s="138"/>
      <c r="BG265" s="138"/>
      <c r="BH265" s="138"/>
      <c r="BI265" s="138"/>
      <c r="BJ265" s="138"/>
      <c r="BK265" s="138"/>
      <c r="BL265" s="138"/>
      <c r="BM265" s="138"/>
      <c r="BN265" s="138"/>
      <c r="BO265" s="138"/>
      <c r="BP265" s="138"/>
      <c r="BQ265" s="138"/>
      <c r="BR265" s="138"/>
      <c r="BS265" s="138"/>
      <c r="BT265" s="138"/>
      <c r="BU265" s="138"/>
      <c r="BV265" s="138"/>
      <c r="BW265" s="138"/>
      <c r="BX265" s="138"/>
    </row>
    <row r="266" spans="2:76" s="137" customFormat="1">
      <c r="B266" s="9"/>
      <c r="C266" s="9"/>
      <c r="D266" s="9"/>
      <c r="E266" s="9"/>
      <c r="F266" s="9"/>
      <c r="G266" s="9"/>
      <c r="H266" s="9"/>
      <c r="I266" s="9"/>
      <c r="J266" s="9"/>
      <c r="K266" s="9"/>
      <c r="L266" s="9"/>
      <c r="M266" s="9"/>
      <c r="N266" s="9"/>
      <c r="O266" s="9"/>
      <c r="P266" s="9"/>
      <c r="R266" s="138"/>
      <c r="S266" s="138"/>
      <c r="T266" s="138"/>
      <c r="U266" s="138"/>
      <c r="V266" s="138"/>
      <c r="W266" s="138"/>
      <c r="X266" s="138"/>
      <c r="Y266" s="138"/>
      <c r="Z266" s="138"/>
      <c r="AA266" s="138"/>
      <c r="AB266" s="138"/>
      <c r="AC266" s="138"/>
      <c r="AD266" s="138"/>
      <c r="AE266" s="138"/>
      <c r="AF266" s="138"/>
      <c r="AG266" s="138"/>
      <c r="AH266" s="138"/>
      <c r="AI266" s="138"/>
      <c r="AJ266" s="138"/>
      <c r="AK266" s="138"/>
      <c r="AL266" s="138"/>
      <c r="AM266" s="138"/>
      <c r="AN266" s="138"/>
      <c r="AO266" s="138"/>
      <c r="AP266" s="138"/>
      <c r="AQ266" s="138"/>
      <c r="AR266" s="138"/>
      <c r="AS266" s="138"/>
      <c r="AT266" s="138"/>
      <c r="AU266" s="138"/>
      <c r="AV266" s="138"/>
      <c r="AW266" s="138"/>
      <c r="AX266" s="138"/>
      <c r="AY266" s="138"/>
      <c r="AZ266" s="138"/>
      <c r="BA266" s="138"/>
      <c r="BB266" s="138"/>
      <c r="BC266" s="138"/>
      <c r="BD266" s="138"/>
      <c r="BE266" s="138"/>
      <c r="BF266" s="138"/>
      <c r="BG266" s="138"/>
      <c r="BH266" s="138"/>
      <c r="BI266" s="138"/>
      <c r="BJ266" s="138"/>
      <c r="BK266" s="138"/>
      <c r="BL266" s="138"/>
      <c r="BM266" s="138"/>
      <c r="BN266" s="138"/>
      <c r="BO266" s="138"/>
      <c r="BP266" s="138"/>
      <c r="BQ266" s="138"/>
      <c r="BR266" s="138"/>
      <c r="BS266" s="138"/>
      <c r="BT266" s="138"/>
      <c r="BU266" s="138"/>
      <c r="BV266" s="138"/>
      <c r="BW266" s="138"/>
      <c r="BX266" s="138"/>
    </row>
    <row r="267" spans="2:76" s="137" customFormat="1">
      <c r="B267" s="9"/>
      <c r="C267" s="9"/>
      <c r="D267" s="9"/>
      <c r="E267" s="9"/>
      <c r="F267" s="9"/>
      <c r="G267" s="9"/>
      <c r="H267" s="9"/>
      <c r="I267" s="9"/>
      <c r="J267" s="9"/>
      <c r="K267" s="9"/>
      <c r="L267" s="9"/>
      <c r="M267" s="9"/>
      <c r="N267" s="9"/>
      <c r="O267" s="9"/>
      <c r="P267" s="9"/>
      <c r="R267" s="138"/>
      <c r="S267" s="138"/>
      <c r="T267" s="138"/>
      <c r="U267" s="138"/>
      <c r="V267" s="138"/>
      <c r="W267" s="138"/>
      <c r="X267" s="138"/>
      <c r="Y267" s="138"/>
      <c r="Z267" s="138"/>
      <c r="AA267" s="138"/>
      <c r="AB267" s="138"/>
      <c r="AC267" s="138"/>
      <c r="AD267" s="138"/>
      <c r="AE267" s="138"/>
      <c r="AF267" s="138"/>
      <c r="AG267" s="138"/>
      <c r="AH267" s="138"/>
      <c r="AI267" s="138"/>
      <c r="AJ267" s="138"/>
      <c r="AK267" s="138"/>
      <c r="AL267" s="138"/>
      <c r="AM267" s="138"/>
      <c r="AN267" s="138"/>
      <c r="AO267" s="138"/>
      <c r="AP267" s="138"/>
      <c r="AQ267" s="138"/>
      <c r="AR267" s="138"/>
      <c r="AS267" s="138"/>
      <c r="AT267" s="138"/>
      <c r="AU267" s="138"/>
      <c r="AV267" s="138"/>
      <c r="AW267" s="138"/>
      <c r="AX267" s="138"/>
      <c r="AY267" s="138"/>
      <c r="AZ267" s="138"/>
      <c r="BA267" s="138"/>
      <c r="BB267" s="138"/>
      <c r="BC267" s="138"/>
      <c r="BD267" s="138"/>
      <c r="BE267" s="138"/>
      <c r="BF267" s="138"/>
      <c r="BG267" s="138"/>
      <c r="BH267" s="138"/>
      <c r="BI267" s="138"/>
      <c r="BJ267" s="138"/>
      <c r="BK267" s="138"/>
      <c r="BL267" s="138"/>
      <c r="BM267" s="138"/>
      <c r="BN267" s="138"/>
      <c r="BO267" s="138"/>
      <c r="BP267" s="138"/>
      <c r="BQ267" s="138"/>
      <c r="BR267" s="138"/>
      <c r="BS267" s="138"/>
      <c r="BT267" s="138"/>
      <c r="BU267" s="138"/>
      <c r="BV267" s="138"/>
      <c r="BW267" s="138"/>
      <c r="BX267" s="138"/>
    </row>
    <row r="268" spans="2:76" s="137" customFormat="1">
      <c r="B268" s="9"/>
      <c r="C268" s="9"/>
      <c r="D268" s="9"/>
      <c r="E268" s="9"/>
      <c r="F268" s="9"/>
      <c r="G268" s="9"/>
      <c r="H268" s="9"/>
      <c r="I268" s="9"/>
      <c r="J268" s="9"/>
      <c r="K268" s="9"/>
      <c r="L268" s="9"/>
      <c r="M268" s="9"/>
      <c r="N268" s="9"/>
      <c r="O268" s="9"/>
      <c r="P268" s="9"/>
      <c r="R268" s="138"/>
      <c r="S268" s="138"/>
      <c r="T268" s="138"/>
      <c r="U268" s="138"/>
      <c r="V268" s="138"/>
      <c r="W268" s="138"/>
      <c r="X268" s="138"/>
      <c r="Y268" s="138"/>
      <c r="Z268" s="138"/>
      <c r="AA268" s="138"/>
      <c r="AB268" s="138"/>
      <c r="AC268" s="138"/>
      <c r="AD268" s="138"/>
      <c r="AE268" s="138"/>
      <c r="AF268" s="138"/>
      <c r="AG268" s="138"/>
      <c r="AH268" s="138"/>
      <c r="AI268" s="138"/>
      <c r="AJ268" s="138"/>
      <c r="AK268" s="138"/>
      <c r="AL268" s="138"/>
      <c r="AM268" s="138"/>
      <c r="AN268" s="138"/>
      <c r="AO268" s="138"/>
      <c r="AP268" s="138"/>
      <c r="AQ268" s="138"/>
      <c r="AR268" s="138"/>
      <c r="AS268" s="138"/>
      <c r="AT268" s="138"/>
      <c r="AU268" s="138"/>
      <c r="AV268" s="138"/>
      <c r="AW268" s="138"/>
      <c r="AX268" s="138"/>
      <c r="AY268" s="138"/>
      <c r="AZ268" s="138"/>
      <c r="BA268" s="138"/>
      <c r="BB268" s="138"/>
      <c r="BC268" s="138"/>
      <c r="BD268" s="138"/>
      <c r="BE268" s="138"/>
      <c r="BF268" s="138"/>
      <c r="BG268" s="138"/>
      <c r="BH268" s="138"/>
      <c r="BI268" s="138"/>
      <c r="BJ268" s="138"/>
      <c r="BK268" s="138"/>
      <c r="BL268" s="138"/>
      <c r="BM268" s="138"/>
      <c r="BN268" s="138"/>
      <c r="BO268" s="138"/>
      <c r="BP268" s="138"/>
      <c r="BQ268" s="138"/>
      <c r="BR268" s="138"/>
      <c r="BS268" s="138"/>
      <c r="BT268" s="138"/>
      <c r="BU268" s="138"/>
      <c r="BV268" s="138"/>
      <c r="BW268" s="138"/>
      <c r="BX268" s="138"/>
    </row>
    <row r="269" spans="2:76" s="137" customFormat="1">
      <c r="B269" s="9"/>
      <c r="C269" s="9"/>
      <c r="D269" s="9"/>
      <c r="E269" s="9"/>
      <c r="F269" s="9"/>
      <c r="G269" s="9"/>
      <c r="H269" s="9"/>
      <c r="I269" s="9"/>
      <c r="J269" s="9"/>
      <c r="K269" s="9"/>
      <c r="L269" s="9"/>
      <c r="M269" s="9"/>
      <c r="N269" s="9"/>
      <c r="O269" s="9"/>
      <c r="P269" s="9"/>
      <c r="R269" s="138"/>
      <c r="S269" s="138"/>
      <c r="T269" s="138"/>
      <c r="U269" s="138"/>
      <c r="V269" s="138"/>
      <c r="W269" s="138"/>
      <c r="X269" s="138"/>
      <c r="Y269" s="138"/>
      <c r="Z269" s="138"/>
      <c r="AA269" s="138"/>
      <c r="AB269" s="138"/>
      <c r="AC269" s="138"/>
      <c r="AD269" s="138"/>
      <c r="AE269" s="138"/>
      <c r="AF269" s="138"/>
      <c r="AG269" s="138"/>
      <c r="AH269" s="138"/>
      <c r="AI269" s="138"/>
      <c r="AJ269" s="138"/>
      <c r="AK269" s="138"/>
      <c r="AL269" s="138"/>
      <c r="AM269" s="138"/>
      <c r="AN269" s="138"/>
      <c r="AO269" s="138"/>
      <c r="AP269" s="138"/>
      <c r="AQ269" s="138"/>
      <c r="AR269" s="138"/>
      <c r="AS269" s="138"/>
      <c r="AT269" s="138"/>
      <c r="AU269" s="138"/>
      <c r="AV269" s="138"/>
      <c r="AW269" s="138"/>
      <c r="AX269" s="138"/>
      <c r="AY269" s="138"/>
      <c r="AZ269" s="138"/>
      <c r="BA269" s="138"/>
      <c r="BB269" s="138"/>
      <c r="BC269" s="138"/>
      <c r="BD269" s="138"/>
      <c r="BE269" s="138"/>
      <c r="BF269" s="138"/>
      <c r="BG269" s="138"/>
      <c r="BH269" s="138"/>
      <c r="BI269" s="138"/>
      <c r="BJ269" s="138"/>
      <c r="BK269" s="138"/>
      <c r="BL269" s="138"/>
      <c r="BM269" s="138"/>
      <c r="BN269" s="138"/>
      <c r="BO269" s="138"/>
      <c r="BP269" s="138"/>
      <c r="BQ269" s="138"/>
      <c r="BR269" s="138"/>
      <c r="BS269" s="138"/>
      <c r="BT269" s="138"/>
      <c r="BU269" s="138"/>
      <c r="BV269" s="138"/>
      <c r="BW269" s="138"/>
      <c r="BX269" s="138"/>
    </row>
    <row r="270" spans="2:76" s="137" customFormat="1">
      <c r="B270" s="9"/>
      <c r="C270" s="9"/>
      <c r="D270" s="9"/>
      <c r="E270" s="9"/>
      <c r="F270" s="9"/>
      <c r="G270" s="9"/>
      <c r="H270" s="9"/>
      <c r="I270" s="9"/>
      <c r="J270" s="9"/>
      <c r="K270" s="9"/>
      <c r="L270" s="9"/>
      <c r="M270" s="9"/>
      <c r="N270" s="9"/>
      <c r="O270" s="9"/>
      <c r="P270" s="9"/>
      <c r="R270" s="138"/>
      <c r="S270" s="138"/>
      <c r="T270" s="138"/>
      <c r="U270" s="138"/>
      <c r="V270" s="138"/>
      <c r="W270" s="138"/>
      <c r="X270" s="138"/>
      <c r="Y270" s="138"/>
      <c r="Z270" s="138"/>
      <c r="AA270" s="138"/>
      <c r="AB270" s="138"/>
      <c r="AC270" s="138"/>
      <c r="AD270" s="138"/>
      <c r="AE270" s="138"/>
      <c r="AF270" s="138"/>
      <c r="AG270" s="138"/>
      <c r="AH270" s="138"/>
      <c r="AI270" s="138"/>
      <c r="AJ270" s="138"/>
      <c r="AK270" s="138"/>
      <c r="AL270" s="138"/>
      <c r="AM270" s="138"/>
      <c r="AN270" s="138"/>
      <c r="AO270" s="138"/>
      <c r="AP270" s="138"/>
      <c r="AQ270" s="138"/>
      <c r="AR270" s="138"/>
      <c r="AS270" s="138"/>
      <c r="AT270" s="138"/>
      <c r="AU270" s="138"/>
      <c r="AV270" s="138"/>
      <c r="AW270" s="138"/>
      <c r="AX270" s="138"/>
      <c r="AY270" s="138"/>
      <c r="AZ270" s="138"/>
      <c r="BA270" s="138"/>
      <c r="BB270" s="138"/>
      <c r="BC270" s="138"/>
      <c r="BD270" s="138"/>
      <c r="BE270" s="138"/>
      <c r="BF270" s="138"/>
      <c r="BG270" s="138"/>
      <c r="BH270" s="138"/>
      <c r="BI270" s="138"/>
      <c r="BJ270" s="138"/>
      <c r="BK270" s="138"/>
      <c r="BL270" s="138"/>
      <c r="BM270" s="138"/>
      <c r="BN270" s="138"/>
      <c r="BO270" s="138"/>
      <c r="BP270" s="138"/>
      <c r="BQ270" s="138"/>
      <c r="BR270" s="138"/>
      <c r="BS270" s="138"/>
      <c r="BT270" s="138"/>
      <c r="BU270" s="138"/>
      <c r="BV270" s="138"/>
      <c r="BW270" s="138"/>
      <c r="BX270" s="138"/>
    </row>
    <row r="271" spans="2:76" s="137" customFormat="1">
      <c r="B271" s="9"/>
      <c r="C271" s="9"/>
      <c r="D271" s="9"/>
      <c r="E271" s="9"/>
      <c r="F271" s="9"/>
      <c r="G271" s="9"/>
      <c r="H271" s="9"/>
      <c r="I271" s="9"/>
      <c r="J271" s="9"/>
      <c r="K271" s="9"/>
      <c r="L271" s="9"/>
      <c r="M271" s="9"/>
      <c r="N271" s="9"/>
      <c r="O271" s="9"/>
      <c r="P271" s="9"/>
      <c r="R271" s="138"/>
      <c r="S271" s="138"/>
      <c r="T271" s="138"/>
      <c r="U271" s="138"/>
      <c r="V271" s="138"/>
      <c r="W271" s="138"/>
      <c r="X271" s="138"/>
      <c r="Y271" s="138"/>
      <c r="Z271" s="138"/>
      <c r="AA271" s="138"/>
      <c r="AB271" s="138"/>
      <c r="AC271" s="138"/>
      <c r="AD271" s="138"/>
      <c r="AE271" s="138"/>
      <c r="AF271" s="138"/>
      <c r="AG271" s="138"/>
      <c r="AH271" s="138"/>
      <c r="AI271" s="138"/>
      <c r="AJ271" s="138"/>
      <c r="AK271" s="138"/>
      <c r="AL271" s="138"/>
      <c r="AM271" s="138"/>
      <c r="AN271" s="138"/>
      <c r="AO271" s="138"/>
      <c r="AP271" s="138"/>
      <c r="AQ271" s="138"/>
      <c r="AR271" s="138"/>
      <c r="AS271" s="138"/>
      <c r="AT271" s="138"/>
      <c r="AU271" s="138"/>
      <c r="AV271" s="138"/>
      <c r="AW271" s="138"/>
      <c r="AX271" s="138"/>
      <c r="AY271" s="138"/>
      <c r="AZ271" s="138"/>
      <c r="BA271" s="138"/>
      <c r="BB271" s="138"/>
      <c r="BC271" s="138"/>
      <c r="BD271" s="138"/>
      <c r="BE271" s="138"/>
      <c r="BF271" s="138"/>
      <c r="BG271" s="138"/>
      <c r="BH271" s="138"/>
      <c r="BI271" s="138"/>
      <c r="BJ271" s="138"/>
      <c r="BK271" s="138"/>
      <c r="BL271" s="138"/>
      <c r="BM271" s="138"/>
      <c r="BN271" s="138"/>
      <c r="BO271" s="138"/>
      <c r="BP271" s="138"/>
      <c r="BQ271" s="138"/>
      <c r="BR271" s="138"/>
      <c r="BS271" s="138"/>
      <c r="BT271" s="138"/>
      <c r="BU271" s="138"/>
      <c r="BV271" s="138"/>
      <c r="BW271" s="138"/>
      <c r="BX271" s="138"/>
    </row>
    <row r="272" spans="2:76" s="137" customFormat="1">
      <c r="B272" s="9"/>
      <c r="C272" s="9"/>
      <c r="D272" s="9"/>
      <c r="E272" s="9"/>
      <c r="F272" s="9"/>
      <c r="G272" s="9"/>
      <c r="H272" s="9"/>
      <c r="I272" s="9"/>
      <c r="J272" s="9"/>
      <c r="K272" s="9"/>
      <c r="L272" s="9"/>
      <c r="M272" s="9"/>
      <c r="N272" s="9"/>
      <c r="O272" s="9"/>
      <c r="P272" s="9"/>
      <c r="R272" s="138"/>
      <c r="S272" s="138"/>
      <c r="T272" s="138"/>
      <c r="U272" s="138"/>
      <c r="V272" s="138"/>
      <c r="W272" s="138"/>
      <c r="X272" s="138"/>
      <c r="Y272" s="138"/>
      <c r="Z272" s="138"/>
      <c r="AA272" s="138"/>
      <c r="AB272" s="138"/>
      <c r="AC272" s="138"/>
      <c r="AD272" s="138"/>
      <c r="AE272" s="138"/>
      <c r="AF272" s="138"/>
      <c r="AG272" s="138"/>
      <c r="AH272" s="138"/>
      <c r="AI272" s="138"/>
      <c r="AJ272" s="138"/>
      <c r="AK272" s="138"/>
      <c r="AL272" s="138"/>
      <c r="AM272" s="138"/>
      <c r="AN272" s="138"/>
      <c r="AO272" s="138"/>
      <c r="AP272" s="138"/>
      <c r="AQ272" s="138"/>
      <c r="AR272" s="138"/>
      <c r="AS272" s="138"/>
      <c r="AT272" s="138"/>
      <c r="AU272" s="138"/>
      <c r="AV272" s="138"/>
      <c r="AW272" s="138"/>
      <c r="AX272" s="138"/>
      <c r="AY272" s="138"/>
      <c r="AZ272" s="138"/>
      <c r="BA272" s="138"/>
      <c r="BB272" s="138"/>
      <c r="BC272" s="138"/>
      <c r="BD272" s="138"/>
      <c r="BE272" s="138"/>
      <c r="BF272" s="138"/>
      <c r="BG272" s="138"/>
      <c r="BH272" s="138"/>
      <c r="BI272" s="138"/>
      <c r="BJ272" s="138"/>
      <c r="BK272" s="138"/>
      <c r="BL272" s="138"/>
      <c r="BM272" s="138"/>
      <c r="BN272" s="138"/>
      <c r="BO272" s="138"/>
      <c r="BP272" s="138"/>
      <c r="BQ272" s="138"/>
      <c r="BR272" s="138"/>
      <c r="BS272" s="138"/>
      <c r="BT272" s="138"/>
      <c r="BU272" s="138"/>
      <c r="BV272" s="138"/>
      <c r="BW272" s="138"/>
      <c r="BX272" s="138"/>
    </row>
    <row r="273" spans="2:76" s="137" customFormat="1">
      <c r="B273" s="9"/>
      <c r="C273" s="9"/>
      <c r="D273" s="9"/>
      <c r="E273" s="9"/>
      <c r="F273" s="9"/>
      <c r="G273" s="9"/>
      <c r="H273" s="9"/>
      <c r="I273" s="9"/>
      <c r="J273" s="9"/>
      <c r="K273" s="9"/>
      <c r="L273" s="9"/>
      <c r="M273" s="9"/>
      <c r="N273" s="9"/>
      <c r="O273" s="9"/>
      <c r="P273" s="9"/>
      <c r="R273" s="138"/>
      <c r="S273" s="138"/>
      <c r="T273" s="138"/>
      <c r="U273" s="138"/>
      <c r="V273" s="138"/>
      <c r="W273" s="138"/>
      <c r="X273" s="138"/>
      <c r="Y273" s="138"/>
      <c r="Z273" s="138"/>
      <c r="AA273" s="138"/>
      <c r="AB273" s="138"/>
      <c r="AC273" s="138"/>
      <c r="AD273" s="138"/>
      <c r="AE273" s="138"/>
      <c r="AF273" s="138"/>
      <c r="AG273" s="138"/>
      <c r="AH273" s="138"/>
      <c r="AI273" s="138"/>
      <c r="AJ273" s="138"/>
      <c r="AK273" s="138"/>
      <c r="AL273" s="138"/>
      <c r="AM273" s="138"/>
      <c r="AN273" s="138"/>
      <c r="AO273" s="138"/>
      <c r="AP273" s="138"/>
      <c r="AQ273" s="138"/>
      <c r="AR273" s="138"/>
      <c r="AS273" s="138"/>
      <c r="AT273" s="138"/>
      <c r="AU273" s="138"/>
      <c r="AV273" s="138"/>
      <c r="AW273" s="138"/>
      <c r="AX273" s="138"/>
      <c r="AY273" s="138"/>
      <c r="AZ273" s="138"/>
      <c r="BA273" s="138"/>
      <c r="BB273" s="138"/>
      <c r="BC273" s="138"/>
      <c r="BD273" s="138"/>
      <c r="BE273" s="138"/>
      <c r="BF273" s="138"/>
      <c r="BG273" s="138"/>
      <c r="BH273" s="138"/>
      <c r="BI273" s="138"/>
      <c r="BJ273" s="138"/>
      <c r="BK273" s="138"/>
      <c r="BL273" s="138"/>
      <c r="BM273" s="138"/>
      <c r="BN273" s="138"/>
      <c r="BO273" s="138"/>
      <c r="BP273" s="138"/>
      <c r="BQ273" s="138"/>
      <c r="BR273" s="138"/>
      <c r="BS273" s="138"/>
      <c r="BT273" s="138"/>
      <c r="BU273" s="138"/>
      <c r="BV273" s="138"/>
      <c r="BW273" s="138"/>
      <c r="BX273" s="138"/>
    </row>
    <row r="274" spans="2:76" s="137" customFormat="1">
      <c r="B274" s="9"/>
      <c r="C274" s="9"/>
      <c r="D274" s="9"/>
      <c r="E274" s="9"/>
      <c r="F274" s="9"/>
      <c r="G274" s="9"/>
      <c r="H274" s="9"/>
      <c r="I274" s="9"/>
      <c r="J274" s="9"/>
      <c r="K274" s="9"/>
      <c r="L274" s="9"/>
      <c r="M274" s="9"/>
      <c r="N274" s="9"/>
      <c r="O274" s="9"/>
      <c r="P274" s="9"/>
      <c r="R274" s="138"/>
      <c r="S274" s="138"/>
      <c r="T274" s="138"/>
      <c r="U274" s="138"/>
      <c r="V274" s="138"/>
      <c r="W274" s="138"/>
      <c r="X274" s="138"/>
      <c r="Y274" s="138"/>
      <c r="Z274" s="138"/>
      <c r="AA274" s="138"/>
      <c r="AB274" s="138"/>
      <c r="AC274" s="138"/>
      <c r="AD274" s="138"/>
      <c r="AE274" s="138"/>
      <c r="AF274" s="138"/>
      <c r="AG274" s="138"/>
      <c r="AH274" s="138"/>
      <c r="AI274" s="138"/>
      <c r="AJ274" s="138"/>
      <c r="AK274" s="138"/>
      <c r="AL274" s="138"/>
      <c r="AM274" s="138"/>
      <c r="AN274" s="138"/>
      <c r="AO274" s="138"/>
      <c r="AP274" s="138"/>
      <c r="AQ274" s="138"/>
      <c r="AR274" s="138"/>
      <c r="AS274" s="138"/>
      <c r="AT274" s="138"/>
      <c r="AU274" s="138"/>
      <c r="AV274" s="138"/>
      <c r="AW274" s="138"/>
      <c r="AX274" s="138"/>
      <c r="AY274" s="138"/>
      <c r="AZ274" s="138"/>
      <c r="BA274" s="138"/>
      <c r="BB274" s="138"/>
      <c r="BC274" s="138"/>
      <c r="BD274" s="138"/>
      <c r="BE274" s="138"/>
      <c r="BF274" s="138"/>
      <c r="BG274" s="138"/>
      <c r="BH274" s="138"/>
      <c r="BI274" s="138"/>
      <c r="BJ274" s="138"/>
      <c r="BK274" s="138"/>
      <c r="BL274" s="138"/>
      <c r="BM274" s="138"/>
      <c r="BN274" s="138"/>
      <c r="BO274" s="138"/>
      <c r="BP274" s="138"/>
      <c r="BQ274" s="138"/>
      <c r="BR274" s="138"/>
      <c r="BS274" s="138"/>
      <c r="BT274" s="138"/>
      <c r="BU274" s="138"/>
      <c r="BV274" s="138"/>
      <c r="BW274" s="138"/>
      <c r="BX274" s="138"/>
    </row>
    <row r="275" spans="2:76" s="137" customFormat="1">
      <c r="B275" s="9"/>
      <c r="C275" s="9"/>
      <c r="D275" s="9"/>
      <c r="E275" s="9"/>
      <c r="F275" s="9"/>
      <c r="G275" s="9"/>
      <c r="H275" s="9"/>
      <c r="I275" s="9"/>
      <c r="J275" s="9"/>
      <c r="K275" s="9"/>
      <c r="L275" s="9"/>
      <c r="M275" s="9"/>
      <c r="N275" s="9"/>
      <c r="O275" s="9"/>
      <c r="P275" s="9"/>
      <c r="R275" s="138"/>
      <c r="S275" s="138"/>
      <c r="T275" s="138"/>
      <c r="U275" s="138"/>
      <c r="V275" s="138"/>
      <c r="W275" s="138"/>
      <c r="X275" s="138"/>
      <c r="Y275" s="138"/>
      <c r="Z275" s="138"/>
      <c r="AA275" s="138"/>
      <c r="AB275" s="138"/>
      <c r="AC275" s="138"/>
      <c r="AD275" s="138"/>
      <c r="AE275" s="138"/>
      <c r="AF275" s="138"/>
      <c r="AG275" s="138"/>
      <c r="AH275" s="138"/>
      <c r="AI275" s="138"/>
      <c r="AJ275" s="138"/>
      <c r="AK275" s="138"/>
      <c r="AL275" s="138"/>
      <c r="AM275" s="138"/>
      <c r="AN275" s="138"/>
      <c r="AO275" s="138"/>
      <c r="AP275" s="138"/>
      <c r="AQ275" s="138"/>
      <c r="AR275" s="138"/>
      <c r="AS275" s="138"/>
      <c r="AT275" s="138"/>
      <c r="AU275" s="138"/>
      <c r="AV275" s="138"/>
      <c r="AW275" s="138"/>
      <c r="AX275" s="138"/>
      <c r="AY275" s="138"/>
      <c r="AZ275" s="138"/>
      <c r="BA275" s="138"/>
      <c r="BB275" s="138"/>
      <c r="BC275" s="138"/>
      <c r="BD275" s="138"/>
      <c r="BE275" s="138"/>
      <c r="BF275" s="138"/>
      <c r="BG275" s="138"/>
      <c r="BH275" s="138"/>
      <c r="BI275" s="138"/>
      <c r="BJ275" s="138"/>
      <c r="BK275" s="138"/>
      <c r="BL275" s="138"/>
      <c r="BM275" s="138"/>
      <c r="BN275" s="138"/>
      <c r="BO275" s="138"/>
      <c r="BP275" s="138"/>
      <c r="BQ275" s="138"/>
      <c r="BR275" s="138"/>
      <c r="BS275" s="138"/>
      <c r="BT275" s="138"/>
      <c r="BU275" s="138"/>
      <c r="BV275" s="138"/>
      <c r="BW275" s="138"/>
      <c r="BX275" s="138"/>
    </row>
    <row r="276" spans="2:76" s="137" customFormat="1">
      <c r="B276" s="9"/>
      <c r="C276" s="9"/>
      <c r="D276" s="9"/>
      <c r="E276" s="9"/>
      <c r="F276" s="9"/>
      <c r="G276" s="9"/>
      <c r="H276" s="9"/>
      <c r="I276" s="9"/>
      <c r="J276" s="9"/>
      <c r="K276" s="9"/>
      <c r="L276" s="9"/>
      <c r="M276" s="9"/>
      <c r="N276" s="9"/>
      <c r="O276" s="9"/>
      <c r="P276" s="9"/>
      <c r="R276" s="138"/>
      <c r="S276" s="138"/>
      <c r="T276" s="138"/>
      <c r="U276" s="138"/>
      <c r="V276" s="138"/>
      <c r="W276" s="138"/>
      <c r="X276" s="138"/>
      <c r="Y276" s="138"/>
      <c r="Z276" s="138"/>
      <c r="AA276" s="138"/>
      <c r="AB276" s="138"/>
      <c r="AC276" s="138"/>
      <c r="AD276" s="138"/>
      <c r="AE276" s="138"/>
      <c r="AF276" s="138"/>
      <c r="AG276" s="138"/>
      <c r="AH276" s="138"/>
      <c r="AI276" s="138"/>
      <c r="AJ276" s="138"/>
      <c r="AK276" s="138"/>
      <c r="AL276" s="138"/>
      <c r="AM276" s="138"/>
      <c r="AN276" s="138"/>
      <c r="AO276" s="138"/>
      <c r="AP276" s="138"/>
      <c r="AQ276" s="138"/>
      <c r="AR276" s="138"/>
      <c r="AS276" s="138"/>
      <c r="AT276" s="138"/>
      <c r="AU276" s="138"/>
      <c r="AV276" s="138"/>
      <c r="AW276" s="138"/>
      <c r="AX276" s="138"/>
      <c r="AY276" s="138"/>
      <c r="AZ276" s="138"/>
      <c r="BA276" s="138"/>
      <c r="BB276" s="138"/>
      <c r="BC276" s="138"/>
      <c r="BD276" s="138"/>
      <c r="BE276" s="138"/>
      <c r="BF276" s="138"/>
      <c r="BG276" s="138"/>
      <c r="BH276" s="138"/>
      <c r="BI276" s="138"/>
      <c r="BJ276" s="138"/>
      <c r="BK276" s="138"/>
      <c r="BL276" s="138"/>
      <c r="BM276" s="138"/>
      <c r="BN276" s="138"/>
      <c r="BO276" s="138"/>
      <c r="BP276" s="138"/>
      <c r="BQ276" s="138"/>
      <c r="BR276" s="138"/>
      <c r="BS276" s="138"/>
      <c r="BT276" s="138"/>
      <c r="BU276" s="138"/>
      <c r="BV276" s="138"/>
      <c r="BW276" s="138"/>
      <c r="BX276" s="138"/>
    </row>
    <row r="277" spans="2:76" s="137" customFormat="1">
      <c r="B277" s="9"/>
      <c r="C277" s="9"/>
      <c r="D277" s="9"/>
      <c r="E277" s="9"/>
      <c r="F277" s="9"/>
      <c r="G277" s="9"/>
      <c r="H277" s="9"/>
      <c r="I277" s="9"/>
      <c r="J277" s="9"/>
      <c r="K277" s="9"/>
      <c r="L277" s="9"/>
      <c r="M277" s="9"/>
      <c r="N277" s="9"/>
      <c r="O277" s="9"/>
      <c r="P277" s="9"/>
      <c r="R277" s="138"/>
      <c r="S277" s="138"/>
      <c r="T277" s="138"/>
      <c r="U277" s="138"/>
      <c r="V277" s="138"/>
      <c r="W277" s="138"/>
      <c r="X277" s="138"/>
      <c r="Y277" s="138"/>
      <c r="Z277" s="138"/>
      <c r="AA277" s="138"/>
      <c r="AB277" s="138"/>
      <c r="AC277" s="138"/>
      <c r="AD277" s="138"/>
      <c r="AE277" s="138"/>
      <c r="AF277" s="138"/>
      <c r="AG277" s="138"/>
      <c r="AH277" s="138"/>
      <c r="AI277" s="138"/>
      <c r="AJ277" s="138"/>
      <c r="AK277" s="138"/>
      <c r="AL277" s="138"/>
      <c r="AM277" s="138"/>
      <c r="AN277" s="138"/>
      <c r="AO277" s="138"/>
      <c r="AP277" s="138"/>
      <c r="AQ277" s="138"/>
      <c r="AR277" s="138"/>
      <c r="AS277" s="138"/>
      <c r="AT277" s="138"/>
      <c r="AU277" s="138"/>
      <c r="AV277" s="138"/>
      <c r="AW277" s="138"/>
      <c r="AX277" s="138"/>
      <c r="AY277" s="138"/>
      <c r="AZ277" s="138"/>
      <c r="BA277" s="138"/>
      <c r="BB277" s="138"/>
      <c r="BC277" s="138"/>
      <c r="BD277" s="138"/>
      <c r="BE277" s="138"/>
      <c r="BF277" s="138"/>
      <c r="BG277" s="138"/>
      <c r="BH277" s="138"/>
      <c r="BI277" s="138"/>
      <c r="BJ277" s="138"/>
      <c r="BK277" s="138"/>
      <c r="BL277" s="138"/>
      <c r="BM277" s="138"/>
      <c r="BN277" s="138"/>
      <c r="BO277" s="138"/>
      <c r="BP277" s="138"/>
      <c r="BQ277" s="138"/>
      <c r="BR277" s="138"/>
      <c r="BS277" s="138"/>
      <c r="BT277" s="138"/>
      <c r="BU277" s="138"/>
      <c r="BV277" s="138"/>
      <c r="BW277" s="138"/>
      <c r="BX277" s="138"/>
    </row>
    <row r="278" spans="2:76" s="137" customFormat="1">
      <c r="B278" s="9"/>
      <c r="C278" s="9"/>
      <c r="D278" s="9"/>
      <c r="E278" s="9"/>
      <c r="F278" s="9"/>
      <c r="G278" s="9"/>
      <c r="H278" s="9"/>
      <c r="I278" s="9"/>
      <c r="J278" s="9"/>
      <c r="K278" s="9"/>
      <c r="L278" s="9"/>
      <c r="M278" s="9"/>
      <c r="N278" s="9"/>
      <c r="O278" s="9"/>
      <c r="P278" s="9"/>
      <c r="R278" s="138"/>
      <c r="S278" s="138"/>
      <c r="T278" s="138"/>
      <c r="U278" s="138"/>
      <c r="V278" s="138"/>
      <c r="W278" s="138"/>
      <c r="X278" s="138"/>
      <c r="Y278" s="138"/>
      <c r="Z278" s="138"/>
      <c r="AA278" s="138"/>
      <c r="AB278" s="138"/>
      <c r="AC278" s="138"/>
      <c r="AD278" s="138"/>
      <c r="AE278" s="138"/>
      <c r="AF278" s="138"/>
      <c r="AG278" s="138"/>
      <c r="AH278" s="138"/>
      <c r="AI278" s="138"/>
      <c r="AJ278" s="138"/>
      <c r="AK278" s="138"/>
      <c r="AL278" s="138"/>
      <c r="AM278" s="138"/>
      <c r="AN278" s="138"/>
      <c r="AO278" s="138"/>
      <c r="AP278" s="138"/>
      <c r="AQ278" s="138"/>
      <c r="AR278" s="138"/>
      <c r="AS278" s="138"/>
      <c r="AT278" s="138"/>
      <c r="AU278" s="138"/>
      <c r="AV278" s="138"/>
      <c r="AW278" s="138"/>
      <c r="AX278" s="138"/>
      <c r="AY278" s="138"/>
      <c r="AZ278" s="138"/>
      <c r="BA278" s="138"/>
      <c r="BB278" s="138"/>
      <c r="BC278" s="138"/>
      <c r="BD278" s="138"/>
      <c r="BE278" s="138"/>
      <c r="BF278" s="138"/>
      <c r="BG278" s="138"/>
      <c r="BH278" s="138"/>
      <c r="BI278" s="138"/>
      <c r="BJ278" s="138"/>
      <c r="BK278" s="138"/>
      <c r="BL278" s="138"/>
      <c r="BM278" s="138"/>
      <c r="BN278" s="138"/>
      <c r="BO278" s="138"/>
      <c r="BP278" s="138"/>
      <c r="BQ278" s="138"/>
      <c r="BR278" s="138"/>
      <c r="BS278" s="138"/>
      <c r="BT278" s="138"/>
      <c r="BU278" s="138"/>
      <c r="BV278" s="138"/>
      <c r="BW278" s="138"/>
      <c r="BX278" s="138"/>
    </row>
    <row r="279" spans="2:76" s="137" customFormat="1">
      <c r="B279" s="9"/>
      <c r="C279" s="9"/>
      <c r="D279" s="9"/>
      <c r="E279" s="9"/>
      <c r="F279" s="9"/>
      <c r="G279" s="9"/>
      <c r="H279" s="9"/>
      <c r="I279" s="9"/>
      <c r="J279" s="9"/>
      <c r="K279" s="9"/>
      <c r="L279" s="9"/>
      <c r="M279" s="9"/>
      <c r="N279" s="9"/>
      <c r="O279" s="9"/>
      <c r="P279" s="9"/>
      <c r="R279" s="138"/>
      <c r="S279" s="138"/>
      <c r="T279" s="138"/>
      <c r="U279" s="138"/>
      <c r="V279" s="138"/>
      <c r="W279" s="138"/>
      <c r="X279" s="138"/>
      <c r="Y279" s="138"/>
      <c r="Z279" s="138"/>
      <c r="AA279" s="138"/>
      <c r="AB279" s="138"/>
      <c r="AC279" s="138"/>
      <c r="AD279" s="138"/>
      <c r="AE279" s="138"/>
      <c r="AF279" s="138"/>
      <c r="AG279" s="138"/>
      <c r="AH279" s="138"/>
      <c r="AI279" s="138"/>
      <c r="AJ279" s="138"/>
      <c r="AK279" s="138"/>
      <c r="AL279" s="138"/>
      <c r="AM279" s="138"/>
      <c r="AN279" s="138"/>
      <c r="AO279" s="138"/>
      <c r="AP279" s="138"/>
      <c r="AQ279" s="138"/>
      <c r="AR279" s="138"/>
      <c r="AS279" s="138"/>
      <c r="AT279" s="138"/>
      <c r="AU279" s="138"/>
      <c r="AV279" s="138"/>
      <c r="AW279" s="138"/>
      <c r="AX279" s="138"/>
      <c r="AY279" s="138"/>
      <c r="AZ279" s="138"/>
      <c r="BA279" s="138"/>
      <c r="BB279" s="138"/>
      <c r="BC279" s="138"/>
      <c r="BD279" s="138"/>
      <c r="BE279" s="138"/>
      <c r="BF279" s="138"/>
      <c r="BG279" s="138"/>
      <c r="BH279" s="138"/>
      <c r="BI279" s="138"/>
      <c r="BJ279" s="138"/>
      <c r="BK279" s="138"/>
      <c r="BL279" s="138"/>
      <c r="BM279" s="138"/>
      <c r="BN279" s="138"/>
      <c r="BO279" s="138"/>
      <c r="BP279" s="138"/>
      <c r="BQ279" s="138"/>
      <c r="BR279" s="138"/>
      <c r="BS279" s="138"/>
      <c r="BT279" s="138"/>
      <c r="BU279" s="138"/>
      <c r="BV279" s="138"/>
      <c r="BW279" s="138"/>
      <c r="BX279" s="138"/>
    </row>
    <row r="280" spans="2:76" s="137" customFormat="1">
      <c r="B280" s="9"/>
      <c r="C280" s="9"/>
      <c r="D280" s="9"/>
      <c r="E280" s="9"/>
      <c r="F280" s="9"/>
      <c r="G280" s="9"/>
      <c r="H280" s="9"/>
      <c r="I280" s="9"/>
      <c r="J280" s="9"/>
      <c r="K280" s="9"/>
      <c r="L280" s="9"/>
      <c r="M280" s="9"/>
      <c r="N280" s="9"/>
      <c r="O280" s="9"/>
      <c r="P280" s="9"/>
      <c r="R280" s="138"/>
      <c r="S280" s="138"/>
      <c r="T280" s="138"/>
      <c r="U280" s="138"/>
      <c r="V280" s="138"/>
      <c r="W280" s="138"/>
      <c r="X280" s="138"/>
      <c r="Y280" s="138"/>
      <c r="Z280" s="138"/>
      <c r="AA280" s="138"/>
      <c r="AB280" s="138"/>
      <c r="AC280" s="138"/>
      <c r="AD280" s="138"/>
      <c r="AE280" s="138"/>
      <c r="AF280" s="138"/>
      <c r="AG280" s="138"/>
      <c r="AH280" s="138"/>
      <c r="AI280" s="138"/>
      <c r="AJ280" s="138"/>
      <c r="AK280" s="138"/>
      <c r="AL280" s="138"/>
      <c r="AM280" s="138"/>
      <c r="AN280" s="138"/>
      <c r="AO280" s="138"/>
      <c r="AP280" s="138"/>
      <c r="AQ280" s="138"/>
      <c r="AR280" s="138"/>
      <c r="AS280" s="138"/>
      <c r="AT280" s="138"/>
      <c r="AU280" s="138"/>
      <c r="AV280" s="138"/>
      <c r="AW280" s="138"/>
      <c r="AX280" s="138"/>
      <c r="AY280" s="138"/>
      <c r="AZ280" s="138"/>
      <c r="BA280" s="138"/>
      <c r="BB280" s="138"/>
      <c r="BC280" s="138"/>
      <c r="BD280" s="138"/>
      <c r="BE280" s="138"/>
      <c r="BF280" s="138"/>
      <c r="BG280" s="138"/>
      <c r="BH280" s="138"/>
      <c r="BI280" s="138"/>
      <c r="BJ280" s="138"/>
      <c r="BK280" s="138"/>
      <c r="BL280" s="138"/>
      <c r="BM280" s="138"/>
      <c r="BN280" s="138"/>
      <c r="BO280" s="138"/>
      <c r="BP280" s="138"/>
      <c r="BQ280" s="138"/>
      <c r="BR280" s="138"/>
      <c r="BS280" s="138"/>
      <c r="BT280" s="138"/>
      <c r="BU280" s="138"/>
      <c r="BV280" s="138"/>
      <c r="BW280" s="138"/>
      <c r="BX280" s="138"/>
    </row>
    <row r="281" spans="2:76" s="137" customFormat="1">
      <c r="B281" s="9"/>
      <c r="C281" s="9"/>
      <c r="D281" s="9"/>
      <c r="E281" s="9"/>
      <c r="F281" s="9"/>
      <c r="G281" s="9"/>
      <c r="H281" s="9"/>
      <c r="I281" s="9"/>
      <c r="J281" s="9"/>
      <c r="K281" s="9"/>
      <c r="L281" s="9"/>
      <c r="M281" s="9"/>
      <c r="N281" s="9"/>
      <c r="O281" s="9"/>
      <c r="P281" s="9"/>
      <c r="R281" s="138"/>
      <c r="S281" s="138"/>
      <c r="T281" s="138"/>
      <c r="U281" s="138"/>
      <c r="V281" s="138"/>
      <c r="W281" s="138"/>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row>
    <row r="282" spans="2:76" s="137" customFormat="1">
      <c r="B282" s="9"/>
      <c r="C282" s="9"/>
      <c r="D282" s="9"/>
      <c r="E282" s="9"/>
      <c r="F282" s="9"/>
      <c r="G282" s="9"/>
      <c r="H282" s="9"/>
      <c r="I282" s="9"/>
      <c r="J282" s="9"/>
      <c r="K282" s="9"/>
      <c r="L282" s="9"/>
      <c r="M282" s="9"/>
      <c r="N282" s="9"/>
      <c r="O282" s="9"/>
      <c r="P282" s="9"/>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c r="AW282" s="138"/>
      <c r="AX282" s="138"/>
      <c r="AY282" s="138"/>
      <c r="AZ282" s="138"/>
      <c r="BA282" s="138"/>
      <c r="BB282" s="138"/>
      <c r="BC282" s="138"/>
      <c r="BD282" s="138"/>
      <c r="BE282" s="138"/>
      <c r="BF282" s="138"/>
      <c r="BG282" s="138"/>
      <c r="BH282" s="138"/>
      <c r="BI282" s="138"/>
      <c r="BJ282" s="138"/>
      <c r="BK282" s="138"/>
      <c r="BL282" s="138"/>
      <c r="BM282" s="138"/>
      <c r="BN282" s="138"/>
      <c r="BO282" s="138"/>
      <c r="BP282" s="138"/>
      <c r="BQ282" s="138"/>
      <c r="BR282" s="138"/>
      <c r="BS282" s="138"/>
      <c r="BT282" s="138"/>
      <c r="BU282" s="138"/>
      <c r="BV282" s="138"/>
      <c r="BW282" s="138"/>
      <c r="BX282" s="138"/>
    </row>
    <row r="283" spans="2:76" s="137" customFormat="1">
      <c r="B283" s="9"/>
      <c r="C283" s="9"/>
      <c r="D283" s="9"/>
      <c r="E283" s="9"/>
      <c r="F283" s="9"/>
      <c r="G283" s="9"/>
      <c r="H283" s="9"/>
      <c r="I283" s="9"/>
      <c r="J283" s="9"/>
      <c r="K283" s="9"/>
      <c r="L283" s="9"/>
      <c r="M283" s="9"/>
      <c r="N283" s="9"/>
      <c r="O283" s="9"/>
      <c r="P283" s="9"/>
      <c r="R283" s="138"/>
      <c r="S283" s="138"/>
      <c r="T283" s="138"/>
      <c r="U283" s="138"/>
      <c r="V283" s="138"/>
      <c r="W283" s="138"/>
      <c r="X283" s="138"/>
      <c r="Y283" s="138"/>
      <c r="Z283" s="138"/>
      <c r="AA283" s="138"/>
      <c r="AB283" s="138"/>
      <c r="AC283" s="138"/>
      <c r="AD283" s="138"/>
      <c r="AE283" s="138"/>
      <c r="AF283" s="138"/>
      <c r="AG283" s="138"/>
      <c r="AH283" s="138"/>
      <c r="AI283" s="138"/>
      <c r="AJ283" s="138"/>
      <c r="AK283" s="138"/>
      <c r="AL283" s="138"/>
      <c r="AM283" s="138"/>
      <c r="AN283" s="138"/>
      <c r="AO283" s="138"/>
      <c r="AP283" s="138"/>
      <c r="AQ283" s="138"/>
      <c r="AR283" s="138"/>
      <c r="AS283" s="138"/>
      <c r="AT283" s="138"/>
      <c r="AU283" s="138"/>
      <c r="AV283" s="138"/>
      <c r="AW283" s="138"/>
      <c r="AX283" s="138"/>
      <c r="AY283" s="138"/>
      <c r="AZ283" s="138"/>
      <c r="BA283" s="138"/>
      <c r="BB283" s="138"/>
      <c r="BC283" s="138"/>
      <c r="BD283" s="138"/>
      <c r="BE283" s="138"/>
      <c r="BF283" s="138"/>
      <c r="BG283" s="138"/>
      <c r="BH283" s="138"/>
      <c r="BI283" s="138"/>
      <c r="BJ283" s="138"/>
      <c r="BK283" s="138"/>
      <c r="BL283" s="138"/>
      <c r="BM283" s="138"/>
      <c r="BN283" s="138"/>
      <c r="BO283" s="138"/>
      <c r="BP283" s="138"/>
      <c r="BQ283" s="138"/>
      <c r="BR283" s="138"/>
      <c r="BS283" s="138"/>
      <c r="BT283" s="138"/>
      <c r="BU283" s="138"/>
      <c r="BV283" s="138"/>
      <c r="BW283" s="138"/>
      <c r="BX283" s="138"/>
    </row>
    <row r="284" spans="2:76" s="137" customFormat="1">
      <c r="B284" s="9"/>
      <c r="C284" s="9"/>
      <c r="D284" s="9"/>
      <c r="E284" s="9"/>
      <c r="F284" s="9"/>
      <c r="G284" s="9"/>
      <c r="H284" s="9"/>
      <c r="I284" s="9"/>
      <c r="J284" s="9"/>
      <c r="K284" s="9"/>
      <c r="L284" s="9"/>
      <c r="M284" s="9"/>
      <c r="N284" s="9"/>
      <c r="O284" s="9"/>
      <c r="P284" s="9"/>
      <c r="R284" s="138"/>
      <c r="S284" s="138"/>
      <c r="T284" s="138"/>
      <c r="U284" s="138"/>
      <c r="V284" s="138"/>
      <c r="W284" s="138"/>
      <c r="X284" s="138"/>
      <c r="Y284" s="138"/>
      <c r="Z284" s="138"/>
      <c r="AA284" s="138"/>
      <c r="AB284" s="138"/>
      <c r="AC284" s="138"/>
      <c r="AD284" s="138"/>
      <c r="AE284" s="138"/>
      <c r="AF284" s="138"/>
      <c r="AG284" s="138"/>
      <c r="AH284" s="138"/>
      <c r="AI284" s="138"/>
      <c r="AJ284" s="138"/>
      <c r="AK284" s="138"/>
      <c r="AL284" s="138"/>
      <c r="AM284" s="138"/>
      <c r="AN284" s="138"/>
      <c r="AO284" s="138"/>
      <c r="AP284" s="138"/>
      <c r="AQ284" s="138"/>
      <c r="AR284" s="138"/>
      <c r="AS284" s="138"/>
      <c r="AT284" s="138"/>
      <c r="AU284" s="138"/>
      <c r="AV284" s="138"/>
      <c r="AW284" s="138"/>
      <c r="AX284" s="138"/>
      <c r="AY284" s="138"/>
      <c r="AZ284" s="138"/>
      <c r="BA284" s="138"/>
      <c r="BB284" s="138"/>
      <c r="BC284" s="138"/>
      <c r="BD284" s="138"/>
      <c r="BE284" s="138"/>
      <c r="BF284" s="138"/>
      <c r="BG284" s="138"/>
      <c r="BH284" s="138"/>
      <c r="BI284" s="138"/>
      <c r="BJ284" s="138"/>
      <c r="BK284" s="138"/>
      <c r="BL284" s="138"/>
      <c r="BM284" s="138"/>
      <c r="BN284" s="138"/>
      <c r="BO284" s="138"/>
      <c r="BP284" s="138"/>
      <c r="BQ284" s="138"/>
      <c r="BR284" s="138"/>
      <c r="BS284" s="138"/>
      <c r="BT284" s="138"/>
      <c r="BU284" s="138"/>
      <c r="BV284" s="138"/>
      <c r="BW284" s="138"/>
      <c r="BX284" s="138"/>
    </row>
    <row r="285" spans="2:76" s="137" customFormat="1">
      <c r="B285" s="9"/>
      <c r="C285" s="9"/>
      <c r="D285" s="9"/>
      <c r="E285" s="9"/>
      <c r="F285" s="9"/>
      <c r="G285" s="9"/>
      <c r="H285" s="9"/>
      <c r="I285" s="9"/>
      <c r="J285" s="9"/>
      <c r="K285" s="9"/>
      <c r="L285" s="9"/>
      <c r="M285" s="9"/>
      <c r="N285" s="9"/>
      <c r="O285" s="9"/>
      <c r="P285" s="9"/>
      <c r="R285" s="138"/>
      <c r="S285" s="138"/>
      <c r="T285" s="138"/>
      <c r="U285" s="138"/>
      <c r="V285" s="138"/>
      <c r="W285" s="138"/>
      <c r="X285" s="138"/>
      <c r="Y285" s="138"/>
      <c r="Z285" s="138"/>
      <c r="AA285" s="138"/>
      <c r="AB285" s="138"/>
      <c r="AC285" s="138"/>
      <c r="AD285" s="138"/>
      <c r="AE285" s="138"/>
      <c r="AF285" s="138"/>
      <c r="AG285" s="138"/>
      <c r="AH285" s="138"/>
      <c r="AI285" s="138"/>
      <c r="AJ285" s="138"/>
      <c r="AK285" s="138"/>
      <c r="AL285" s="138"/>
      <c r="AM285" s="138"/>
      <c r="AN285" s="138"/>
      <c r="AO285" s="138"/>
      <c r="AP285" s="138"/>
      <c r="AQ285" s="138"/>
      <c r="AR285" s="138"/>
      <c r="AS285" s="138"/>
      <c r="AT285" s="138"/>
      <c r="AU285" s="138"/>
      <c r="AV285" s="138"/>
      <c r="AW285" s="138"/>
      <c r="AX285" s="138"/>
      <c r="AY285" s="138"/>
      <c r="AZ285" s="138"/>
      <c r="BA285" s="138"/>
      <c r="BB285" s="138"/>
      <c r="BC285" s="138"/>
      <c r="BD285" s="138"/>
      <c r="BE285" s="138"/>
      <c r="BF285" s="138"/>
      <c r="BG285" s="138"/>
      <c r="BH285" s="138"/>
      <c r="BI285" s="138"/>
      <c r="BJ285" s="138"/>
      <c r="BK285" s="138"/>
      <c r="BL285" s="138"/>
      <c r="BM285" s="138"/>
      <c r="BN285" s="138"/>
      <c r="BO285" s="138"/>
      <c r="BP285" s="138"/>
      <c r="BQ285" s="138"/>
      <c r="BR285" s="138"/>
      <c r="BS285" s="138"/>
      <c r="BT285" s="138"/>
      <c r="BU285" s="138"/>
      <c r="BV285" s="138"/>
      <c r="BW285" s="138"/>
      <c r="BX285" s="138"/>
    </row>
    <row r="286" spans="2:76" s="137" customFormat="1">
      <c r="B286" s="9"/>
      <c r="C286" s="9"/>
      <c r="D286" s="9"/>
      <c r="E286" s="9"/>
      <c r="F286" s="9"/>
      <c r="G286" s="9"/>
      <c r="H286" s="9"/>
      <c r="I286" s="9"/>
      <c r="J286" s="9"/>
      <c r="K286" s="9"/>
      <c r="L286" s="9"/>
      <c r="M286" s="9"/>
      <c r="N286" s="9"/>
      <c r="O286" s="9"/>
      <c r="P286" s="9"/>
      <c r="R286" s="138"/>
      <c r="S286" s="138"/>
      <c r="T286" s="138"/>
      <c r="U286" s="138"/>
      <c r="V286" s="138"/>
      <c r="W286" s="138"/>
      <c r="X286" s="138"/>
      <c r="Y286" s="138"/>
      <c r="Z286" s="138"/>
      <c r="AA286" s="138"/>
      <c r="AB286" s="138"/>
      <c r="AC286" s="138"/>
      <c r="AD286" s="138"/>
      <c r="AE286" s="138"/>
      <c r="AF286" s="138"/>
      <c r="AG286" s="138"/>
      <c r="AH286" s="138"/>
      <c r="AI286" s="138"/>
      <c r="AJ286" s="138"/>
      <c r="AK286" s="138"/>
      <c r="AL286" s="138"/>
      <c r="AM286" s="138"/>
      <c r="AN286" s="138"/>
      <c r="AO286" s="138"/>
      <c r="AP286" s="138"/>
      <c r="AQ286" s="138"/>
      <c r="AR286" s="138"/>
      <c r="AS286" s="138"/>
      <c r="AT286" s="138"/>
      <c r="AU286" s="138"/>
      <c r="AV286" s="138"/>
      <c r="AW286" s="138"/>
      <c r="AX286" s="138"/>
      <c r="AY286" s="138"/>
      <c r="AZ286" s="138"/>
      <c r="BA286" s="138"/>
      <c r="BB286" s="138"/>
      <c r="BC286" s="138"/>
      <c r="BD286" s="138"/>
      <c r="BE286" s="138"/>
      <c r="BF286" s="138"/>
      <c r="BG286" s="138"/>
      <c r="BH286" s="138"/>
      <c r="BI286" s="138"/>
      <c r="BJ286" s="138"/>
      <c r="BK286" s="138"/>
      <c r="BL286" s="138"/>
      <c r="BM286" s="138"/>
      <c r="BN286" s="138"/>
      <c r="BO286" s="138"/>
      <c r="BP286" s="138"/>
      <c r="BQ286" s="138"/>
      <c r="BR286" s="138"/>
      <c r="BS286" s="138"/>
      <c r="BT286" s="138"/>
      <c r="BU286" s="138"/>
      <c r="BV286" s="138"/>
      <c r="BW286" s="138"/>
      <c r="BX286" s="138"/>
    </row>
    <row r="287" spans="2:76" s="137" customFormat="1">
      <c r="B287" s="9"/>
      <c r="C287" s="9"/>
      <c r="D287" s="9"/>
      <c r="E287" s="9"/>
      <c r="F287" s="9"/>
      <c r="G287" s="9"/>
      <c r="H287" s="9"/>
      <c r="I287" s="9"/>
      <c r="J287" s="9"/>
      <c r="K287" s="9"/>
      <c r="L287" s="9"/>
      <c r="M287" s="9"/>
      <c r="N287" s="9"/>
      <c r="O287" s="9"/>
      <c r="P287" s="9"/>
      <c r="R287" s="138"/>
      <c r="S287" s="138"/>
      <c r="T287" s="138"/>
      <c r="U287" s="138"/>
      <c r="V287" s="138"/>
      <c r="W287" s="138"/>
      <c r="X287" s="138"/>
      <c r="Y287" s="138"/>
      <c r="Z287" s="138"/>
      <c r="AA287" s="138"/>
      <c r="AB287" s="138"/>
      <c r="AC287" s="138"/>
      <c r="AD287" s="138"/>
      <c r="AE287" s="138"/>
      <c r="AF287" s="138"/>
      <c r="AG287" s="138"/>
      <c r="AH287" s="138"/>
      <c r="AI287" s="138"/>
      <c r="AJ287" s="138"/>
      <c r="AK287" s="138"/>
      <c r="AL287" s="138"/>
      <c r="AM287" s="138"/>
      <c r="AN287" s="138"/>
      <c r="AO287" s="138"/>
      <c r="AP287" s="138"/>
      <c r="AQ287" s="138"/>
      <c r="AR287" s="138"/>
      <c r="AS287" s="138"/>
      <c r="AT287" s="138"/>
      <c r="AU287" s="138"/>
      <c r="AV287" s="138"/>
      <c r="AW287" s="138"/>
      <c r="AX287" s="138"/>
      <c r="AY287" s="138"/>
      <c r="AZ287" s="138"/>
      <c r="BA287" s="138"/>
      <c r="BB287" s="138"/>
      <c r="BC287" s="138"/>
      <c r="BD287" s="138"/>
      <c r="BE287" s="138"/>
      <c r="BF287" s="138"/>
      <c r="BG287" s="138"/>
      <c r="BH287" s="138"/>
      <c r="BI287" s="138"/>
      <c r="BJ287" s="138"/>
      <c r="BK287" s="138"/>
      <c r="BL287" s="138"/>
      <c r="BM287" s="138"/>
      <c r="BN287" s="138"/>
      <c r="BO287" s="138"/>
      <c r="BP287" s="138"/>
      <c r="BQ287" s="138"/>
      <c r="BR287" s="138"/>
      <c r="BS287" s="138"/>
      <c r="BT287" s="138"/>
      <c r="BU287" s="138"/>
      <c r="BV287" s="138"/>
      <c r="BW287" s="138"/>
      <c r="BX287" s="138"/>
    </row>
    <row r="288" spans="2:76" s="137" customFormat="1">
      <c r="B288" s="9"/>
      <c r="C288" s="9"/>
      <c r="D288" s="9"/>
      <c r="E288" s="9"/>
      <c r="F288" s="9"/>
      <c r="G288" s="9"/>
      <c r="H288" s="9"/>
      <c r="I288" s="9"/>
      <c r="J288" s="9"/>
      <c r="K288" s="9"/>
      <c r="L288" s="9"/>
      <c r="M288" s="9"/>
      <c r="N288" s="9"/>
      <c r="O288" s="9"/>
      <c r="P288" s="9"/>
      <c r="R288" s="138"/>
      <c r="S288" s="138"/>
      <c r="T288" s="138"/>
      <c r="U288" s="138"/>
      <c r="V288" s="138"/>
      <c r="W288" s="138"/>
      <c r="X288" s="138"/>
      <c r="Y288" s="138"/>
      <c r="Z288" s="138"/>
      <c r="AA288" s="138"/>
      <c r="AB288" s="138"/>
      <c r="AC288" s="138"/>
      <c r="AD288" s="138"/>
      <c r="AE288" s="138"/>
      <c r="AF288" s="138"/>
      <c r="AG288" s="138"/>
      <c r="AH288" s="138"/>
      <c r="AI288" s="138"/>
      <c r="AJ288" s="138"/>
      <c r="AK288" s="138"/>
      <c r="AL288" s="138"/>
      <c r="AM288" s="138"/>
      <c r="AN288" s="138"/>
      <c r="AO288" s="138"/>
      <c r="AP288" s="138"/>
      <c r="AQ288" s="138"/>
      <c r="AR288" s="138"/>
      <c r="AS288" s="138"/>
      <c r="AT288" s="138"/>
      <c r="AU288" s="138"/>
      <c r="AV288" s="138"/>
      <c r="AW288" s="138"/>
      <c r="AX288" s="138"/>
      <c r="AY288" s="138"/>
      <c r="AZ288" s="138"/>
      <c r="BA288" s="138"/>
      <c r="BB288" s="138"/>
      <c r="BC288" s="138"/>
      <c r="BD288" s="138"/>
      <c r="BE288" s="138"/>
      <c r="BF288" s="138"/>
      <c r="BG288" s="138"/>
      <c r="BH288" s="138"/>
      <c r="BI288" s="138"/>
      <c r="BJ288" s="138"/>
      <c r="BK288" s="138"/>
      <c r="BL288" s="138"/>
      <c r="BM288" s="138"/>
      <c r="BN288" s="138"/>
      <c r="BO288" s="138"/>
      <c r="BP288" s="138"/>
      <c r="BQ288" s="138"/>
      <c r="BR288" s="138"/>
      <c r="BS288" s="138"/>
      <c r="BT288" s="138"/>
      <c r="BU288" s="138"/>
      <c r="BV288" s="138"/>
      <c r="BW288" s="138"/>
      <c r="BX288" s="138"/>
    </row>
    <row r="289" spans="2:76" s="137" customFormat="1">
      <c r="B289" s="9"/>
      <c r="C289" s="9"/>
      <c r="D289" s="9"/>
      <c r="E289" s="9"/>
      <c r="F289" s="9"/>
      <c r="G289" s="9"/>
      <c r="H289" s="9"/>
      <c r="I289" s="9"/>
      <c r="J289" s="9"/>
      <c r="K289" s="9"/>
      <c r="L289" s="9"/>
      <c r="M289" s="9"/>
      <c r="N289" s="9"/>
      <c r="O289" s="9"/>
      <c r="P289" s="9"/>
      <c r="R289" s="138"/>
      <c r="S289" s="138"/>
      <c r="T289" s="138"/>
      <c r="U289" s="138"/>
      <c r="V289" s="138"/>
      <c r="W289" s="138"/>
      <c r="X289" s="138"/>
      <c r="Y289" s="138"/>
      <c r="Z289" s="138"/>
      <c r="AA289" s="138"/>
      <c r="AB289" s="138"/>
      <c r="AC289" s="138"/>
      <c r="AD289" s="138"/>
      <c r="AE289" s="138"/>
      <c r="AF289" s="138"/>
      <c r="AG289" s="138"/>
      <c r="AH289" s="138"/>
      <c r="AI289" s="138"/>
      <c r="AJ289" s="138"/>
      <c r="AK289" s="138"/>
      <c r="AL289" s="138"/>
      <c r="AM289" s="138"/>
      <c r="AN289" s="138"/>
      <c r="AO289" s="138"/>
      <c r="AP289" s="138"/>
      <c r="AQ289" s="138"/>
      <c r="AR289" s="138"/>
      <c r="AS289" s="138"/>
      <c r="AT289" s="138"/>
      <c r="AU289" s="138"/>
      <c r="AV289" s="138"/>
      <c r="AW289" s="138"/>
      <c r="AX289" s="138"/>
      <c r="AY289" s="138"/>
      <c r="AZ289" s="138"/>
      <c r="BA289" s="138"/>
      <c r="BB289" s="138"/>
      <c r="BC289" s="138"/>
      <c r="BD289" s="138"/>
      <c r="BE289" s="138"/>
      <c r="BF289" s="138"/>
      <c r="BG289" s="138"/>
      <c r="BH289" s="138"/>
      <c r="BI289" s="138"/>
      <c r="BJ289" s="138"/>
      <c r="BK289" s="138"/>
      <c r="BL289" s="138"/>
      <c r="BM289" s="138"/>
      <c r="BN289" s="138"/>
      <c r="BO289" s="138"/>
      <c r="BP289" s="138"/>
      <c r="BQ289" s="138"/>
      <c r="BR289" s="138"/>
      <c r="BS289" s="138"/>
      <c r="BT289" s="138"/>
      <c r="BU289" s="138"/>
      <c r="BV289" s="138"/>
      <c r="BW289" s="138"/>
      <c r="BX289" s="138"/>
    </row>
    <row r="290" spans="2:76" s="137" customFormat="1">
      <c r="B290" s="9"/>
      <c r="C290" s="9"/>
      <c r="D290" s="9"/>
      <c r="E290" s="9"/>
      <c r="F290" s="9"/>
      <c r="G290" s="9"/>
      <c r="H290" s="9"/>
      <c r="I290" s="9"/>
      <c r="J290" s="9"/>
      <c r="K290" s="9"/>
      <c r="L290" s="9"/>
      <c r="M290" s="9"/>
      <c r="N290" s="9"/>
      <c r="O290" s="9"/>
      <c r="P290" s="9"/>
      <c r="R290" s="138"/>
      <c r="S290" s="138"/>
      <c r="T290" s="138"/>
      <c r="U290" s="138"/>
      <c r="V290" s="138"/>
      <c r="W290" s="138"/>
      <c r="X290" s="138"/>
      <c r="Y290" s="138"/>
      <c r="Z290" s="138"/>
      <c r="AA290" s="138"/>
      <c r="AB290" s="138"/>
      <c r="AC290" s="138"/>
      <c r="AD290" s="138"/>
      <c r="AE290" s="138"/>
      <c r="AF290" s="138"/>
      <c r="AG290" s="138"/>
      <c r="AH290" s="138"/>
      <c r="AI290" s="138"/>
      <c r="AJ290" s="138"/>
      <c r="AK290" s="138"/>
      <c r="AL290" s="138"/>
      <c r="AM290" s="138"/>
      <c r="AN290" s="138"/>
      <c r="AO290" s="138"/>
      <c r="AP290" s="138"/>
      <c r="AQ290" s="138"/>
      <c r="AR290" s="138"/>
      <c r="AS290" s="138"/>
      <c r="AT290" s="138"/>
      <c r="AU290" s="138"/>
      <c r="AV290" s="138"/>
      <c r="AW290" s="138"/>
      <c r="AX290" s="138"/>
      <c r="AY290" s="138"/>
      <c r="AZ290" s="138"/>
      <c r="BA290" s="138"/>
      <c r="BB290" s="138"/>
      <c r="BC290" s="138"/>
      <c r="BD290" s="138"/>
      <c r="BE290" s="138"/>
      <c r="BF290" s="138"/>
      <c r="BG290" s="138"/>
      <c r="BH290" s="138"/>
      <c r="BI290" s="138"/>
      <c r="BJ290" s="138"/>
      <c r="BK290" s="138"/>
      <c r="BL290" s="138"/>
      <c r="BM290" s="138"/>
      <c r="BN290" s="138"/>
      <c r="BO290" s="138"/>
      <c r="BP290" s="138"/>
      <c r="BQ290" s="138"/>
      <c r="BR290" s="138"/>
      <c r="BS290" s="138"/>
      <c r="BT290" s="138"/>
      <c r="BU290" s="138"/>
      <c r="BV290" s="138"/>
      <c r="BW290" s="138"/>
      <c r="BX290" s="138"/>
    </row>
    <row r="291" spans="2:76" s="137" customFormat="1">
      <c r="B291" s="9"/>
      <c r="C291" s="9"/>
      <c r="D291" s="9"/>
      <c r="E291" s="9"/>
      <c r="F291" s="9"/>
      <c r="G291" s="9"/>
      <c r="H291" s="9"/>
      <c r="I291" s="9"/>
      <c r="J291" s="9"/>
      <c r="K291" s="9"/>
      <c r="L291" s="9"/>
      <c r="M291" s="9"/>
      <c r="N291" s="9"/>
      <c r="O291" s="9"/>
      <c r="P291" s="9"/>
      <c r="R291" s="138"/>
      <c r="S291" s="138"/>
      <c r="T291" s="138"/>
      <c r="U291" s="138"/>
      <c r="V291" s="138"/>
      <c r="W291" s="138"/>
      <c r="X291" s="138"/>
      <c r="Y291" s="138"/>
      <c r="Z291" s="138"/>
      <c r="AA291" s="138"/>
      <c r="AB291" s="138"/>
      <c r="AC291" s="138"/>
      <c r="AD291" s="138"/>
      <c r="AE291" s="138"/>
      <c r="AF291" s="138"/>
      <c r="AG291" s="138"/>
      <c r="AH291" s="138"/>
      <c r="AI291" s="138"/>
      <c r="AJ291" s="138"/>
      <c r="AK291" s="138"/>
      <c r="AL291" s="138"/>
      <c r="AM291" s="138"/>
      <c r="AN291" s="138"/>
      <c r="AO291" s="138"/>
      <c r="AP291" s="138"/>
      <c r="AQ291" s="138"/>
      <c r="AR291" s="138"/>
      <c r="AS291" s="138"/>
      <c r="AT291" s="138"/>
      <c r="AU291" s="138"/>
      <c r="AV291" s="138"/>
      <c r="AW291" s="138"/>
      <c r="AX291" s="138"/>
      <c r="AY291" s="138"/>
      <c r="AZ291" s="138"/>
      <c r="BA291" s="138"/>
      <c r="BB291" s="138"/>
      <c r="BC291" s="138"/>
      <c r="BD291" s="138"/>
      <c r="BE291" s="138"/>
      <c r="BF291" s="138"/>
      <c r="BG291" s="138"/>
      <c r="BH291" s="138"/>
      <c r="BI291" s="138"/>
      <c r="BJ291" s="138"/>
      <c r="BK291" s="138"/>
      <c r="BL291" s="138"/>
      <c r="BM291" s="138"/>
      <c r="BN291" s="138"/>
      <c r="BO291" s="138"/>
      <c r="BP291" s="138"/>
      <c r="BQ291" s="138"/>
      <c r="BR291" s="138"/>
      <c r="BS291" s="138"/>
      <c r="BT291" s="138"/>
      <c r="BU291" s="138"/>
      <c r="BV291" s="138"/>
      <c r="BW291" s="138"/>
      <c r="BX291" s="138"/>
    </row>
    <row r="292" spans="2:76" s="137" customFormat="1">
      <c r="B292" s="9"/>
      <c r="C292" s="9"/>
      <c r="D292" s="9"/>
      <c r="E292" s="9"/>
      <c r="F292" s="9"/>
      <c r="G292" s="9"/>
      <c r="H292" s="9"/>
      <c r="I292" s="9"/>
      <c r="J292" s="9"/>
      <c r="K292" s="9"/>
      <c r="L292" s="9"/>
      <c r="M292" s="9"/>
      <c r="N292" s="9"/>
      <c r="O292" s="9"/>
      <c r="P292" s="9"/>
      <c r="R292" s="138"/>
      <c r="S292" s="138"/>
      <c r="T292" s="138"/>
      <c r="U292" s="138"/>
      <c r="V292" s="138"/>
      <c r="W292" s="138"/>
      <c r="X292" s="138"/>
      <c r="Y292" s="138"/>
      <c r="Z292" s="138"/>
      <c r="AA292" s="138"/>
      <c r="AB292" s="138"/>
      <c r="AC292" s="138"/>
      <c r="AD292" s="138"/>
      <c r="AE292" s="138"/>
      <c r="AF292" s="138"/>
      <c r="AG292" s="138"/>
      <c r="AH292" s="138"/>
      <c r="AI292" s="138"/>
      <c r="AJ292" s="138"/>
      <c r="AK292" s="138"/>
      <c r="AL292" s="138"/>
      <c r="AM292" s="138"/>
      <c r="AN292" s="138"/>
      <c r="AO292" s="138"/>
      <c r="AP292" s="138"/>
      <c r="AQ292" s="138"/>
      <c r="AR292" s="138"/>
      <c r="AS292" s="138"/>
      <c r="AT292" s="138"/>
      <c r="AU292" s="138"/>
      <c r="AV292" s="138"/>
      <c r="AW292" s="138"/>
      <c r="AX292" s="138"/>
      <c r="AY292" s="138"/>
      <c r="AZ292" s="138"/>
      <c r="BA292" s="138"/>
      <c r="BB292" s="138"/>
      <c r="BC292" s="138"/>
      <c r="BD292" s="138"/>
      <c r="BE292" s="138"/>
      <c r="BF292" s="138"/>
      <c r="BG292" s="138"/>
      <c r="BH292" s="138"/>
      <c r="BI292" s="138"/>
      <c r="BJ292" s="138"/>
      <c r="BK292" s="138"/>
      <c r="BL292" s="138"/>
      <c r="BM292" s="138"/>
      <c r="BN292" s="138"/>
      <c r="BO292" s="138"/>
      <c r="BP292" s="138"/>
      <c r="BQ292" s="138"/>
      <c r="BR292" s="138"/>
      <c r="BS292" s="138"/>
      <c r="BT292" s="138"/>
      <c r="BU292" s="138"/>
      <c r="BV292" s="138"/>
      <c r="BW292" s="138"/>
      <c r="BX292" s="138"/>
    </row>
    <row r="293" spans="2:76" s="137" customFormat="1">
      <c r="B293" s="9"/>
      <c r="C293" s="9"/>
      <c r="D293" s="9"/>
      <c r="E293" s="9"/>
      <c r="F293" s="9"/>
      <c r="G293" s="9"/>
      <c r="H293" s="9"/>
      <c r="I293" s="9"/>
      <c r="J293" s="9"/>
      <c r="K293" s="9"/>
      <c r="L293" s="9"/>
      <c r="M293" s="9"/>
      <c r="N293" s="9"/>
      <c r="O293" s="9"/>
      <c r="P293" s="9"/>
      <c r="R293" s="138"/>
      <c r="S293" s="138"/>
      <c r="T293" s="138"/>
      <c r="U293" s="138"/>
      <c r="V293" s="138"/>
      <c r="W293" s="138"/>
      <c r="X293" s="138"/>
      <c r="Y293" s="138"/>
      <c r="Z293" s="138"/>
      <c r="AA293" s="138"/>
      <c r="AB293" s="138"/>
      <c r="AC293" s="138"/>
      <c r="AD293" s="138"/>
      <c r="AE293" s="138"/>
      <c r="AF293" s="138"/>
      <c r="AG293" s="138"/>
      <c r="AH293" s="138"/>
      <c r="AI293" s="138"/>
      <c r="AJ293" s="138"/>
      <c r="AK293" s="138"/>
      <c r="AL293" s="138"/>
      <c r="AM293" s="138"/>
      <c r="AN293" s="138"/>
      <c r="AO293" s="138"/>
      <c r="AP293" s="138"/>
      <c r="AQ293" s="138"/>
      <c r="AR293" s="138"/>
      <c r="AS293" s="138"/>
      <c r="AT293" s="138"/>
      <c r="AU293" s="138"/>
      <c r="AV293" s="138"/>
      <c r="AW293" s="138"/>
      <c r="AX293" s="138"/>
      <c r="AY293" s="138"/>
      <c r="AZ293" s="138"/>
      <c r="BA293" s="138"/>
      <c r="BB293" s="138"/>
      <c r="BC293" s="138"/>
      <c r="BD293" s="138"/>
      <c r="BE293" s="138"/>
      <c r="BF293" s="138"/>
      <c r="BG293" s="138"/>
      <c r="BH293" s="138"/>
      <c r="BI293" s="138"/>
      <c r="BJ293" s="138"/>
      <c r="BK293" s="138"/>
      <c r="BL293" s="138"/>
      <c r="BM293" s="138"/>
      <c r="BN293" s="138"/>
      <c r="BO293" s="138"/>
      <c r="BP293" s="138"/>
      <c r="BQ293" s="138"/>
      <c r="BR293" s="138"/>
      <c r="BS293" s="138"/>
      <c r="BT293" s="138"/>
      <c r="BU293" s="138"/>
      <c r="BV293" s="138"/>
      <c r="BW293" s="138"/>
      <c r="BX293" s="138"/>
    </row>
    <row r="294" spans="2:76" s="137" customFormat="1">
      <c r="B294" s="9"/>
      <c r="C294" s="9"/>
      <c r="D294" s="9"/>
      <c r="E294" s="9"/>
      <c r="F294" s="9"/>
      <c r="G294" s="9"/>
      <c r="H294" s="9"/>
      <c r="I294" s="9"/>
      <c r="J294" s="9"/>
      <c r="K294" s="9"/>
      <c r="L294" s="9"/>
      <c r="M294" s="9"/>
      <c r="N294" s="9"/>
      <c r="O294" s="9"/>
      <c r="P294" s="9"/>
      <c r="R294" s="138"/>
      <c r="S294" s="138"/>
      <c r="T294" s="138"/>
      <c r="U294" s="138"/>
      <c r="V294" s="138"/>
      <c r="W294" s="138"/>
      <c r="X294" s="138"/>
      <c r="Y294" s="138"/>
      <c r="Z294" s="138"/>
      <c r="AA294" s="138"/>
      <c r="AB294" s="138"/>
      <c r="AC294" s="138"/>
      <c r="AD294" s="138"/>
      <c r="AE294" s="138"/>
      <c r="AF294" s="138"/>
      <c r="AG294" s="138"/>
      <c r="AH294" s="138"/>
      <c r="AI294" s="138"/>
      <c r="AJ294" s="138"/>
      <c r="AK294" s="138"/>
      <c r="AL294" s="138"/>
      <c r="AM294" s="138"/>
      <c r="AN294" s="138"/>
      <c r="AO294" s="138"/>
      <c r="AP294" s="138"/>
      <c r="AQ294" s="138"/>
      <c r="AR294" s="138"/>
      <c r="AS294" s="138"/>
      <c r="AT294" s="138"/>
      <c r="AU294" s="138"/>
      <c r="AV294" s="138"/>
      <c r="AW294" s="138"/>
      <c r="AX294" s="138"/>
      <c r="AY294" s="138"/>
      <c r="AZ294" s="138"/>
      <c r="BA294" s="138"/>
      <c r="BB294" s="138"/>
      <c r="BC294" s="138"/>
      <c r="BD294" s="138"/>
      <c r="BE294" s="138"/>
      <c r="BF294" s="138"/>
      <c r="BG294" s="138"/>
      <c r="BH294" s="138"/>
      <c r="BI294" s="138"/>
      <c r="BJ294" s="138"/>
      <c r="BK294" s="138"/>
      <c r="BL294" s="138"/>
      <c r="BM294" s="138"/>
      <c r="BN294" s="138"/>
      <c r="BO294" s="138"/>
      <c r="BP294" s="138"/>
      <c r="BQ294" s="138"/>
      <c r="BR294" s="138"/>
      <c r="BS294" s="138"/>
      <c r="BT294" s="138"/>
      <c r="BU294" s="138"/>
      <c r="BV294" s="138"/>
      <c r="BW294" s="138"/>
      <c r="BX294" s="138"/>
    </row>
    <row r="295" spans="2:76" s="137" customFormat="1">
      <c r="B295" s="9"/>
      <c r="C295" s="9"/>
      <c r="D295" s="9"/>
      <c r="E295" s="9"/>
      <c r="F295" s="9"/>
      <c r="G295" s="9"/>
      <c r="H295" s="9"/>
      <c r="I295" s="9"/>
      <c r="J295" s="9"/>
      <c r="K295" s="9"/>
      <c r="L295" s="9"/>
      <c r="M295" s="9"/>
      <c r="N295" s="9"/>
      <c r="O295" s="9"/>
      <c r="P295" s="9"/>
      <c r="R295" s="138"/>
      <c r="S295" s="138"/>
      <c r="T295" s="138"/>
      <c r="U295" s="138"/>
      <c r="V295" s="138"/>
      <c r="W295" s="138"/>
      <c r="X295" s="138"/>
      <c r="Y295" s="138"/>
      <c r="Z295" s="138"/>
      <c r="AA295" s="138"/>
      <c r="AB295" s="138"/>
      <c r="AC295" s="138"/>
      <c r="AD295" s="138"/>
      <c r="AE295" s="138"/>
      <c r="AF295" s="138"/>
      <c r="AG295" s="138"/>
      <c r="AH295" s="138"/>
      <c r="AI295" s="138"/>
      <c r="AJ295" s="138"/>
      <c r="AK295" s="138"/>
      <c r="AL295" s="138"/>
      <c r="AM295" s="138"/>
      <c r="AN295" s="138"/>
      <c r="AO295" s="138"/>
      <c r="AP295" s="138"/>
      <c r="AQ295" s="138"/>
      <c r="AR295" s="138"/>
      <c r="AS295" s="138"/>
      <c r="AT295" s="138"/>
      <c r="AU295" s="138"/>
      <c r="AV295" s="138"/>
      <c r="AW295" s="138"/>
      <c r="AX295" s="138"/>
      <c r="AY295" s="138"/>
      <c r="AZ295" s="138"/>
      <c r="BA295" s="138"/>
      <c r="BB295" s="138"/>
      <c r="BC295" s="138"/>
      <c r="BD295" s="138"/>
      <c r="BE295" s="138"/>
      <c r="BF295" s="138"/>
      <c r="BG295" s="138"/>
      <c r="BH295" s="138"/>
      <c r="BI295" s="138"/>
      <c r="BJ295" s="138"/>
      <c r="BK295" s="138"/>
      <c r="BL295" s="138"/>
      <c r="BM295" s="138"/>
      <c r="BN295" s="138"/>
      <c r="BO295" s="138"/>
      <c r="BP295" s="138"/>
      <c r="BQ295" s="138"/>
      <c r="BR295" s="138"/>
      <c r="BS295" s="138"/>
      <c r="BT295" s="138"/>
      <c r="BU295" s="138"/>
      <c r="BV295" s="138"/>
      <c r="BW295" s="138"/>
      <c r="BX295" s="138"/>
    </row>
    <row r="296" spans="2:76" s="137" customFormat="1">
      <c r="B296" s="9"/>
      <c r="C296" s="9"/>
      <c r="D296" s="9"/>
      <c r="E296" s="9"/>
      <c r="F296" s="9"/>
      <c r="G296" s="9"/>
      <c r="H296" s="9"/>
      <c r="I296" s="9"/>
      <c r="J296" s="9"/>
      <c r="K296" s="9"/>
      <c r="L296" s="9"/>
      <c r="M296" s="9"/>
      <c r="N296" s="9"/>
      <c r="O296" s="9"/>
      <c r="P296" s="9"/>
      <c r="R296" s="138"/>
      <c r="S296" s="138"/>
      <c r="T296" s="138"/>
      <c r="U296" s="138"/>
      <c r="V296" s="138"/>
      <c r="W296" s="138"/>
      <c r="X296" s="138"/>
      <c r="Y296" s="138"/>
      <c r="Z296" s="138"/>
      <c r="AA296" s="138"/>
      <c r="AB296" s="138"/>
      <c r="AC296" s="138"/>
      <c r="AD296" s="138"/>
      <c r="AE296" s="138"/>
      <c r="AF296" s="138"/>
      <c r="AG296" s="138"/>
      <c r="AH296" s="138"/>
      <c r="AI296" s="138"/>
      <c r="AJ296" s="138"/>
      <c r="AK296" s="138"/>
      <c r="AL296" s="138"/>
      <c r="AM296" s="138"/>
      <c r="AN296" s="138"/>
      <c r="AO296" s="138"/>
      <c r="AP296" s="138"/>
      <c r="AQ296" s="138"/>
      <c r="AR296" s="138"/>
      <c r="AS296" s="138"/>
      <c r="AT296" s="138"/>
      <c r="AU296" s="138"/>
      <c r="AV296" s="138"/>
      <c r="AW296" s="138"/>
      <c r="AX296" s="138"/>
      <c r="AY296" s="138"/>
      <c r="AZ296" s="138"/>
      <c r="BA296" s="138"/>
      <c r="BB296" s="138"/>
      <c r="BC296" s="138"/>
      <c r="BD296" s="138"/>
      <c r="BE296" s="138"/>
      <c r="BF296" s="138"/>
      <c r="BG296" s="138"/>
      <c r="BH296" s="138"/>
      <c r="BI296" s="138"/>
      <c r="BJ296" s="138"/>
      <c r="BK296" s="138"/>
      <c r="BL296" s="138"/>
      <c r="BM296" s="138"/>
      <c r="BN296" s="138"/>
      <c r="BO296" s="138"/>
      <c r="BP296" s="138"/>
      <c r="BQ296" s="138"/>
      <c r="BR296" s="138"/>
      <c r="BS296" s="138"/>
      <c r="BT296" s="138"/>
      <c r="BU296" s="138"/>
      <c r="BV296" s="138"/>
      <c r="BW296" s="138"/>
      <c r="BX296" s="138"/>
    </row>
  </sheetData>
  <sheetProtection algorithmName="SHA-512" hashValue="PCvFaEXCI+wsKFieIuOTz7+upcQtOBYYK27eMfJ3JxP5dKFcr9hp8i8TFAv3NtLwbNnE9eNjUP3CR+lFkatdpw==" saltValue="WSY46vZTYrorAw85A3RCQA==" spinCount="100000" sheet="1" objects="1" scenarios="1"/>
  <customSheetViews>
    <customSheetView guid="{6EFEFCA0-BF14-457A-85A3-29CBF2A862A5}" showGridLines="0" fitToPage="1">
      <selection sqref="A1:AW22"/>
      <pageMargins left="0.23622047244094491" right="0.23622047244094491" top="0.19685039370078741" bottom="0.31496062992125984" header="0" footer="0.11811023622047245"/>
      <printOptions horizontalCentered="1" verticalCentered="1"/>
      <pageSetup paperSize="9" scale="65" firstPageNumber="0" orientation="landscape" r:id="rId1"/>
      <headerFooter>
        <oddFooter>&amp;L&amp;10&amp;F &amp;A&amp;R&amp;11Page 43 of 61</oddFooter>
      </headerFooter>
    </customSheetView>
  </customSheetViews>
  <mergeCells count="13">
    <mergeCell ref="C10:AU10"/>
    <mergeCell ref="C5:AW5"/>
    <mergeCell ref="C6:AU6"/>
    <mergeCell ref="C7:AU7"/>
    <mergeCell ref="C8:AT8"/>
    <mergeCell ref="C9:AT9"/>
    <mergeCell ref="C17:AT17"/>
    <mergeCell ref="C11:AT11"/>
    <mergeCell ref="C12:AT12"/>
    <mergeCell ref="C13:AT13"/>
    <mergeCell ref="C14:AT14"/>
    <mergeCell ref="C15:AT15"/>
    <mergeCell ref="C16:AT16"/>
  </mergeCells>
  <printOptions horizontalCentered="1" verticalCentered="1"/>
  <pageMargins left="0.23622047244094491" right="0.23622047244094491" top="0.19685039370078741" bottom="0.31496062992125984" header="0" footer="0.11811023622047245"/>
  <pageSetup paperSize="9" scale="65" firstPageNumber="0" orientation="landscape" r:id="rId2"/>
  <headerFooter>
    <oddFooter>&amp;L&amp;10&amp;F &amp;A&amp;R&amp;11Page 43 of 61</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A0AE-0765-4B2D-B632-B62AF613DF65}">
  <sheetPr codeName="Sheet46">
    <tabColor rgb="FFFFFF00"/>
    <pageSetUpPr fitToPage="1"/>
  </sheetPr>
  <dimension ref="A1:BF62"/>
  <sheetViews>
    <sheetView showGridLines="0" zoomScaleNormal="100" workbookViewId="0">
      <selection sqref="A1:AV41"/>
    </sheetView>
  </sheetViews>
  <sheetFormatPr defaultColWidth="9" defaultRowHeight="15.75"/>
  <cols>
    <col min="1" max="1" width="2.125" style="168" customWidth="1"/>
    <col min="2" max="44" width="3.625" style="168" customWidth="1"/>
    <col min="45" max="45" width="2.125" style="168" customWidth="1"/>
    <col min="46" max="262" width="3.625" style="168" customWidth="1"/>
    <col min="263" max="16384" width="9" style="168"/>
  </cols>
  <sheetData>
    <row r="1" spans="1:58" ht="12" customHeight="1">
      <c r="A1" s="941"/>
      <c r="B1" s="941"/>
      <c r="C1" s="941"/>
      <c r="D1" s="941"/>
      <c r="E1" s="941"/>
      <c r="F1" s="941"/>
      <c r="G1" s="941"/>
      <c r="H1" s="941"/>
      <c r="I1" s="941"/>
      <c r="J1" s="941"/>
      <c r="K1" s="941"/>
      <c r="L1" s="941"/>
      <c r="M1" s="941"/>
      <c r="N1" s="941"/>
      <c r="O1" s="941"/>
      <c r="P1" s="941"/>
      <c r="Q1" s="941"/>
      <c r="R1" s="941"/>
      <c r="S1" s="941"/>
      <c r="T1" s="941"/>
      <c r="U1" s="941"/>
      <c r="V1" s="941"/>
      <c r="W1" s="941"/>
      <c r="X1" s="941"/>
      <c r="Y1" s="941"/>
      <c r="Z1" s="941"/>
      <c r="AA1" s="941"/>
      <c r="AB1" s="941"/>
      <c r="AC1" s="941"/>
      <c r="AD1" s="941"/>
      <c r="AE1" s="941"/>
      <c r="AF1" s="941"/>
      <c r="AG1" s="941"/>
      <c r="AH1" s="941"/>
      <c r="AI1" s="941"/>
      <c r="AJ1" s="941"/>
      <c r="AK1" s="941"/>
      <c r="AL1" s="941"/>
      <c r="AM1" s="941"/>
      <c r="AN1" s="941"/>
      <c r="AO1" s="941"/>
      <c r="AP1" s="941"/>
      <c r="AQ1" s="941"/>
      <c r="AR1" s="941"/>
      <c r="AS1" s="941"/>
      <c r="AT1" s="941"/>
      <c r="AU1" s="941"/>
      <c r="AV1" s="941"/>
      <c r="AW1" s="941"/>
      <c r="AX1" s="941"/>
      <c r="AY1" s="941"/>
      <c r="AZ1" s="941"/>
      <c r="BA1" s="941"/>
      <c r="BB1" s="941"/>
      <c r="BC1" s="941"/>
      <c r="BD1" s="941"/>
      <c r="BE1" s="941"/>
      <c r="BF1" s="941"/>
    </row>
    <row r="2" spans="1:58" s="102" customFormat="1" ht="16.5" customHeight="1">
      <c r="A2" s="599"/>
      <c r="B2" s="1226" t="s">
        <v>11434</v>
      </c>
      <c r="C2" s="1226"/>
      <c r="D2" s="1226"/>
      <c r="E2" s="1226"/>
      <c r="F2" s="1226"/>
      <c r="G2" s="1226"/>
      <c r="H2" s="1226"/>
      <c r="I2" s="1226"/>
      <c r="J2" s="1226"/>
      <c r="K2" s="1226"/>
      <c r="L2" s="1226"/>
      <c r="M2" s="1226"/>
      <c r="N2" s="1226"/>
      <c r="O2" s="1226"/>
      <c r="P2" s="1226"/>
      <c r="Q2" s="1226"/>
      <c r="R2" s="1226"/>
      <c r="S2" s="1238"/>
      <c r="T2" s="1238"/>
      <c r="U2" s="684"/>
      <c r="V2" s="684"/>
      <c r="W2" s="684"/>
      <c r="X2" s="684"/>
      <c r="Y2" s="684"/>
      <c r="Z2" s="684"/>
      <c r="AA2" s="684"/>
      <c r="AB2" s="684"/>
      <c r="AC2" s="684"/>
      <c r="AD2" s="684"/>
      <c r="AE2" s="684"/>
      <c r="AF2" s="684"/>
      <c r="AG2" s="684"/>
      <c r="AH2" s="684"/>
      <c r="AI2" s="684"/>
      <c r="AJ2" s="684"/>
      <c r="AK2" s="684"/>
      <c r="AL2" s="684"/>
      <c r="AM2" s="599"/>
      <c r="AN2" s="599"/>
      <c r="AO2" s="599"/>
      <c r="AP2" s="599"/>
      <c r="AQ2" s="599"/>
      <c r="AR2" s="599"/>
      <c r="AS2" s="599"/>
      <c r="AT2" s="599"/>
      <c r="AU2" s="599"/>
      <c r="AV2" s="599"/>
      <c r="AW2" s="599"/>
      <c r="AX2" s="599"/>
      <c r="AY2" s="599"/>
      <c r="AZ2" s="599"/>
      <c r="BA2" s="599"/>
      <c r="BB2" s="599"/>
      <c r="BC2" s="599"/>
      <c r="BD2" s="599"/>
      <c r="BE2" s="599"/>
      <c r="BF2" s="599"/>
    </row>
    <row r="3" spans="1:58" s="41" customFormat="1" ht="18" thickBot="1">
      <c r="A3" s="593"/>
      <c r="B3" s="1227" t="s">
        <v>1030</v>
      </c>
      <c r="C3" s="593"/>
      <c r="D3" s="593"/>
      <c r="E3" s="593"/>
      <c r="F3" s="593"/>
      <c r="G3" s="593"/>
      <c r="H3" s="593"/>
      <c r="I3" s="593"/>
      <c r="J3" s="593"/>
      <c r="K3" s="593"/>
      <c r="L3" s="593"/>
      <c r="M3" s="593"/>
      <c r="N3" s="593"/>
      <c r="O3" s="593"/>
      <c r="P3" s="593"/>
      <c r="Q3" s="593"/>
      <c r="R3" s="593"/>
      <c r="S3" s="593"/>
      <c r="T3" s="593"/>
      <c r="U3" s="593"/>
      <c r="V3" s="593"/>
      <c r="W3" s="593"/>
      <c r="X3" s="593"/>
      <c r="Y3" s="593"/>
      <c r="Z3" s="593"/>
      <c r="AA3" s="593"/>
      <c r="AB3" s="593"/>
      <c r="AC3" s="593"/>
      <c r="AD3" s="593"/>
      <c r="AE3" s="593"/>
      <c r="AF3" s="593"/>
      <c r="AG3" s="593"/>
      <c r="AH3" s="593"/>
      <c r="AI3" s="593"/>
      <c r="AJ3" s="593"/>
      <c r="AK3" s="593"/>
      <c r="AL3" s="593"/>
      <c r="AM3" s="593"/>
      <c r="AN3" s="593"/>
      <c r="AO3" s="593"/>
      <c r="AP3" s="593"/>
      <c r="AQ3" s="593"/>
      <c r="AR3" s="593"/>
      <c r="AS3" s="593"/>
      <c r="AT3" s="593"/>
      <c r="AU3" s="593"/>
      <c r="AV3" s="593"/>
      <c r="AW3" s="593"/>
      <c r="AX3" s="593"/>
      <c r="AY3" s="593"/>
      <c r="AZ3" s="593"/>
      <c r="BA3" s="593"/>
      <c r="BB3" s="593"/>
      <c r="BC3" s="593"/>
      <c r="BD3" s="593"/>
      <c r="BE3" s="593"/>
      <c r="BF3" s="593"/>
    </row>
    <row r="4" spans="1:58" s="40" customFormat="1" ht="18" thickTop="1" thickBot="1">
      <c r="A4" s="582"/>
      <c r="B4" s="3554" t="s">
        <v>1677</v>
      </c>
      <c r="C4" s="3555"/>
      <c r="D4" s="3555"/>
      <c r="E4" s="3555"/>
      <c r="F4" s="3555"/>
      <c r="G4" s="3555"/>
      <c r="H4" s="3555"/>
      <c r="I4" s="3555"/>
      <c r="J4" s="3555"/>
      <c r="K4" s="3555"/>
      <c r="L4" s="3555"/>
      <c r="M4" s="3555"/>
      <c r="N4" s="3555"/>
      <c r="O4" s="3555"/>
      <c r="P4" s="3555"/>
      <c r="Q4" s="3555"/>
      <c r="R4" s="3555"/>
      <c r="S4" s="3555"/>
      <c r="T4" s="3556"/>
      <c r="U4" s="3560">
        <v>2021</v>
      </c>
      <c r="V4" s="3561"/>
      <c r="W4" s="3561"/>
      <c r="X4" s="3561"/>
      <c r="Y4" s="3561"/>
      <c r="Z4" s="3561"/>
      <c r="AA4" s="3561"/>
      <c r="AB4" s="3561"/>
      <c r="AC4" s="3561"/>
      <c r="AD4" s="3561"/>
      <c r="AE4" s="3561"/>
      <c r="AF4" s="3561"/>
      <c r="AG4" s="3561"/>
      <c r="AH4" s="3562"/>
      <c r="AI4" s="3561">
        <v>2022</v>
      </c>
      <c r="AJ4" s="3561"/>
      <c r="AK4" s="3561"/>
      <c r="AL4" s="3561"/>
      <c r="AM4" s="3561"/>
      <c r="AN4" s="3561"/>
      <c r="AO4" s="3561"/>
      <c r="AP4" s="3561"/>
      <c r="AQ4" s="3561"/>
      <c r="AR4" s="3563"/>
      <c r="AS4" s="582"/>
      <c r="AT4" s="582"/>
      <c r="AU4" s="582"/>
      <c r="AV4" s="582"/>
      <c r="AW4" s="582"/>
      <c r="AX4" s="582"/>
      <c r="AY4" s="582"/>
      <c r="AZ4" s="582"/>
      <c r="BA4" s="582"/>
      <c r="BB4" s="582"/>
      <c r="BC4" s="582"/>
      <c r="BD4" s="582"/>
      <c r="BE4" s="582"/>
      <c r="BF4" s="582"/>
    </row>
    <row r="5" spans="1:58" s="40" customFormat="1" ht="17.25" thickBot="1">
      <c r="A5" s="582"/>
      <c r="B5" s="3557"/>
      <c r="C5" s="3558"/>
      <c r="D5" s="3558"/>
      <c r="E5" s="3558"/>
      <c r="F5" s="3558"/>
      <c r="G5" s="3558"/>
      <c r="H5" s="3558"/>
      <c r="I5" s="3558"/>
      <c r="J5" s="3558"/>
      <c r="K5" s="3558"/>
      <c r="L5" s="3558"/>
      <c r="M5" s="3558"/>
      <c r="N5" s="3558"/>
      <c r="O5" s="3558"/>
      <c r="P5" s="3558"/>
      <c r="Q5" s="3558"/>
      <c r="R5" s="3558"/>
      <c r="S5" s="3558"/>
      <c r="T5" s="3559"/>
      <c r="U5" s="3564" t="s">
        <v>828</v>
      </c>
      <c r="V5" s="3549"/>
      <c r="W5" s="3549" t="s">
        <v>829</v>
      </c>
      <c r="X5" s="3549"/>
      <c r="Y5" s="3549" t="s">
        <v>830</v>
      </c>
      <c r="Z5" s="3549"/>
      <c r="AA5" s="3549" t="s">
        <v>831</v>
      </c>
      <c r="AB5" s="3549"/>
      <c r="AC5" s="3549" t="s">
        <v>832</v>
      </c>
      <c r="AD5" s="3549"/>
      <c r="AE5" s="3549" t="s">
        <v>833</v>
      </c>
      <c r="AF5" s="3549"/>
      <c r="AG5" s="3549" t="s">
        <v>834</v>
      </c>
      <c r="AH5" s="3565"/>
      <c r="AI5" s="3548" t="s">
        <v>835</v>
      </c>
      <c r="AJ5" s="3549"/>
      <c r="AK5" s="3549" t="s">
        <v>836</v>
      </c>
      <c r="AL5" s="3549"/>
      <c r="AM5" s="3549" t="s">
        <v>837</v>
      </c>
      <c r="AN5" s="3549"/>
      <c r="AO5" s="3549" t="s">
        <v>838</v>
      </c>
      <c r="AP5" s="3549"/>
      <c r="AQ5" s="3549" t="s">
        <v>839</v>
      </c>
      <c r="AR5" s="3550"/>
      <c r="AS5" s="582"/>
      <c r="AT5" s="582"/>
      <c r="AU5" s="582"/>
      <c r="AV5" s="582"/>
      <c r="AW5" s="582"/>
      <c r="AX5" s="582"/>
      <c r="AY5" s="582"/>
      <c r="AZ5" s="582"/>
      <c r="BA5" s="582"/>
      <c r="BB5" s="582"/>
      <c r="BC5" s="582"/>
      <c r="BD5" s="582"/>
      <c r="BE5" s="582"/>
      <c r="BF5" s="582"/>
    </row>
    <row r="6" spans="1:58" s="40" customFormat="1" ht="24.75" customHeight="1" thickTop="1">
      <c r="A6" s="582"/>
      <c r="B6" s="206" t="s">
        <v>47</v>
      </c>
      <c r="C6" s="3606" t="s">
        <v>857</v>
      </c>
      <c r="D6" s="3606"/>
      <c r="E6" s="3606"/>
      <c r="F6" s="3606"/>
      <c r="G6" s="3606"/>
      <c r="H6" s="3606"/>
      <c r="I6" s="3606"/>
      <c r="J6" s="3606"/>
      <c r="K6" s="3606"/>
      <c r="L6" s="3606"/>
      <c r="M6" s="3606"/>
      <c r="N6" s="3606"/>
      <c r="O6" s="3606"/>
      <c r="P6" s="3606"/>
      <c r="Q6" s="3606"/>
      <c r="R6" s="3606"/>
      <c r="S6" s="3606"/>
      <c r="T6" s="3606"/>
      <c r="U6" s="3606"/>
      <c r="V6" s="3606"/>
      <c r="W6" s="3606"/>
      <c r="X6" s="3606"/>
      <c r="Y6" s="3606"/>
      <c r="Z6" s="3606"/>
      <c r="AA6" s="3606"/>
      <c r="AB6" s="3606"/>
      <c r="AC6" s="3606"/>
      <c r="AD6" s="3606"/>
      <c r="AE6" s="3606"/>
      <c r="AF6" s="3606"/>
      <c r="AG6" s="3606"/>
      <c r="AH6" s="3606"/>
      <c r="AI6" s="3606"/>
      <c r="AJ6" s="3606"/>
      <c r="AK6" s="3606"/>
      <c r="AL6" s="3606"/>
      <c r="AM6" s="3606"/>
      <c r="AN6" s="3606"/>
      <c r="AO6" s="3606"/>
      <c r="AP6" s="3606"/>
      <c r="AQ6" s="3606"/>
      <c r="AR6" s="3607"/>
      <c r="AS6" s="582"/>
      <c r="AT6" s="582"/>
      <c r="AU6" s="582"/>
      <c r="AV6" s="582"/>
      <c r="AW6" s="582"/>
      <c r="AX6" s="582"/>
      <c r="AY6" s="582"/>
      <c r="AZ6" s="582"/>
      <c r="BA6" s="582"/>
      <c r="BB6" s="582"/>
      <c r="BC6" s="582"/>
      <c r="BD6" s="582"/>
      <c r="BE6" s="582"/>
      <c r="BF6" s="582"/>
    </row>
    <row r="7" spans="1:58" s="40" customFormat="1" ht="24.75" customHeight="1">
      <c r="A7" s="582"/>
      <c r="B7" s="207"/>
      <c r="C7" s="208" t="s">
        <v>858</v>
      </c>
      <c r="D7" s="3604" t="s">
        <v>1961</v>
      </c>
      <c r="E7" s="3604"/>
      <c r="F7" s="3604"/>
      <c r="G7" s="3604"/>
      <c r="H7" s="3604"/>
      <c r="I7" s="3604"/>
      <c r="J7" s="3604"/>
      <c r="K7" s="3604"/>
      <c r="L7" s="3604"/>
      <c r="M7" s="3604"/>
      <c r="N7" s="3604"/>
      <c r="O7" s="3604"/>
      <c r="P7" s="3604"/>
      <c r="Q7" s="3604"/>
      <c r="R7" s="3604"/>
      <c r="S7" s="3604"/>
      <c r="T7" s="3604"/>
      <c r="U7" s="3604"/>
      <c r="V7" s="3604"/>
      <c r="W7" s="3604"/>
      <c r="X7" s="3604"/>
      <c r="Y7" s="3604"/>
      <c r="Z7" s="3604"/>
      <c r="AA7" s="3604"/>
      <c r="AB7" s="3604"/>
      <c r="AC7" s="3604"/>
      <c r="AD7" s="3604"/>
      <c r="AE7" s="3604"/>
      <c r="AF7" s="3604"/>
      <c r="AG7" s="3604"/>
      <c r="AH7" s="3604"/>
      <c r="AI7" s="3604"/>
      <c r="AJ7" s="3604"/>
      <c r="AK7" s="3604"/>
      <c r="AL7" s="3604"/>
      <c r="AM7" s="3604"/>
      <c r="AN7" s="3604"/>
      <c r="AO7" s="3604"/>
      <c r="AP7" s="3604"/>
      <c r="AQ7" s="3604"/>
      <c r="AR7" s="3605"/>
      <c r="AS7" s="582"/>
      <c r="AT7" s="582"/>
      <c r="AU7" s="582"/>
      <c r="AV7" s="582"/>
      <c r="AW7" s="582"/>
      <c r="AX7" s="582"/>
      <c r="AY7" s="582"/>
      <c r="AZ7" s="582"/>
      <c r="BA7" s="582"/>
      <c r="BB7" s="582"/>
      <c r="BC7" s="582"/>
      <c r="BD7" s="582"/>
      <c r="BE7" s="582"/>
      <c r="BF7" s="582"/>
    </row>
    <row r="8" spans="1:58" s="40" customFormat="1" ht="24.95" customHeight="1">
      <c r="A8" s="582"/>
      <c r="B8" s="1229"/>
      <c r="C8" s="1239"/>
      <c r="D8" s="1239" t="s">
        <v>859</v>
      </c>
      <c r="E8" s="1239"/>
      <c r="F8" s="1239"/>
      <c r="G8" s="1239"/>
      <c r="H8" s="1239"/>
      <c r="I8" s="1239"/>
      <c r="J8" s="1239"/>
      <c r="K8" s="1239"/>
      <c r="L8" s="1239"/>
      <c r="M8" s="1239"/>
      <c r="N8" s="1239"/>
      <c r="O8" s="1239"/>
      <c r="P8" s="1239"/>
      <c r="Q8" s="1239"/>
      <c r="R8" s="1239"/>
      <c r="S8" s="1239"/>
      <c r="T8" s="1240"/>
      <c r="U8" s="3579">
        <v>0</v>
      </c>
      <c r="V8" s="3572"/>
      <c r="W8" s="3574">
        <v>0</v>
      </c>
      <c r="X8" s="3573"/>
      <c r="Y8" s="3574">
        <v>0</v>
      </c>
      <c r="Z8" s="3573"/>
      <c r="AA8" s="3574">
        <v>0</v>
      </c>
      <c r="AB8" s="3573"/>
      <c r="AC8" s="3574">
        <v>0</v>
      </c>
      <c r="AD8" s="3573"/>
      <c r="AE8" s="3574">
        <v>0</v>
      </c>
      <c r="AF8" s="3573"/>
      <c r="AG8" s="3574">
        <v>0</v>
      </c>
      <c r="AH8" s="3580"/>
      <c r="AI8" s="3572">
        <v>0</v>
      </c>
      <c r="AJ8" s="3573"/>
      <c r="AK8" s="3574">
        <v>0</v>
      </c>
      <c r="AL8" s="3573"/>
      <c r="AM8" s="3574">
        <v>0</v>
      </c>
      <c r="AN8" s="3573"/>
      <c r="AO8" s="3574">
        <v>0</v>
      </c>
      <c r="AP8" s="3573"/>
      <c r="AQ8" s="3574">
        <v>0</v>
      </c>
      <c r="AR8" s="3575"/>
      <c r="AS8" s="582"/>
      <c r="AT8" s="582"/>
      <c r="AU8" s="582"/>
      <c r="AV8" s="582"/>
      <c r="AW8" s="582"/>
      <c r="AX8" s="582"/>
      <c r="AY8" s="582"/>
      <c r="AZ8" s="582"/>
      <c r="BA8" s="582"/>
      <c r="BB8" s="582"/>
      <c r="BC8" s="582"/>
      <c r="BD8" s="582"/>
      <c r="BE8" s="582"/>
      <c r="BF8" s="582"/>
    </row>
    <row r="9" spans="1:58" s="40" customFormat="1" ht="24.75" customHeight="1">
      <c r="A9" s="582"/>
      <c r="B9" s="206"/>
      <c r="C9" s="209" t="s">
        <v>860</v>
      </c>
      <c r="D9" s="3602" t="s">
        <v>1962</v>
      </c>
      <c r="E9" s="3602"/>
      <c r="F9" s="3602"/>
      <c r="G9" s="3602"/>
      <c r="H9" s="3602"/>
      <c r="I9" s="3602"/>
      <c r="J9" s="3602"/>
      <c r="K9" s="3602"/>
      <c r="L9" s="3602"/>
      <c r="M9" s="3602"/>
      <c r="N9" s="3602"/>
      <c r="O9" s="3602"/>
      <c r="P9" s="3602"/>
      <c r="Q9" s="3602"/>
      <c r="R9" s="3602"/>
      <c r="S9" s="3602"/>
      <c r="T9" s="3602"/>
      <c r="U9" s="3602"/>
      <c r="V9" s="3602"/>
      <c r="W9" s="3602"/>
      <c r="X9" s="3602"/>
      <c r="Y9" s="3602"/>
      <c r="Z9" s="3602"/>
      <c r="AA9" s="3602"/>
      <c r="AB9" s="3602"/>
      <c r="AC9" s="3602"/>
      <c r="AD9" s="3602"/>
      <c r="AE9" s="3602"/>
      <c r="AF9" s="3602"/>
      <c r="AG9" s="3602"/>
      <c r="AH9" s="3602"/>
      <c r="AI9" s="3602"/>
      <c r="AJ9" s="3602"/>
      <c r="AK9" s="3602"/>
      <c r="AL9" s="3602"/>
      <c r="AM9" s="3602"/>
      <c r="AN9" s="3602"/>
      <c r="AO9" s="3602"/>
      <c r="AP9" s="3602"/>
      <c r="AQ9" s="3602"/>
      <c r="AR9" s="3603"/>
      <c r="AS9" s="582"/>
      <c r="AT9" s="582"/>
      <c r="AU9" s="582"/>
      <c r="AV9" s="582"/>
      <c r="AW9" s="582"/>
      <c r="AX9" s="582"/>
      <c r="AY9" s="582"/>
      <c r="AZ9" s="582"/>
      <c r="BA9" s="582"/>
      <c r="BB9" s="582"/>
      <c r="BC9" s="582"/>
      <c r="BD9" s="582"/>
      <c r="BE9" s="582"/>
      <c r="BF9" s="582"/>
    </row>
    <row r="10" spans="1:58" s="40" customFormat="1" ht="24.75" customHeight="1">
      <c r="A10" s="582"/>
      <c r="B10" s="206"/>
      <c r="C10" s="210"/>
      <c r="D10" s="210" t="s">
        <v>1963</v>
      </c>
      <c r="E10" s="211"/>
      <c r="F10" s="212"/>
      <c r="G10" s="1164"/>
      <c r="H10" s="1164"/>
      <c r="I10" s="1164"/>
      <c r="J10" s="1164"/>
      <c r="K10" s="1164"/>
      <c r="L10" s="1164"/>
      <c r="M10" s="1164"/>
      <c r="N10" s="1164"/>
      <c r="O10" s="1164"/>
      <c r="P10" s="1164"/>
      <c r="Q10" s="1164"/>
      <c r="R10" s="1164"/>
      <c r="S10" s="1164"/>
      <c r="T10" s="1164"/>
      <c r="U10" s="3600"/>
      <c r="V10" s="3600"/>
      <c r="W10" s="3600"/>
      <c r="X10" s="3600"/>
      <c r="Y10" s="3600"/>
      <c r="Z10" s="3600"/>
      <c r="AA10" s="3600"/>
      <c r="AB10" s="3600"/>
      <c r="AC10" s="3600"/>
      <c r="AD10" s="3600"/>
      <c r="AE10" s="3600"/>
      <c r="AF10" s="3600"/>
      <c r="AG10" s="3600"/>
      <c r="AH10" s="3600"/>
      <c r="AI10" s="3600"/>
      <c r="AJ10" s="3600"/>
      <c r="AK10" s="3600"/>
      <c r="AL10" s="3600"/>
      <c r="AM10" s="3600"/>
      <c r="AN10" s="3600"/>
      <c r="AO10" s="3600"/>
      <c r="AP10" s="3600"/>
      <c r="AQ10" s="3600"/>
      <c r="AR10" s="3601"/>
      <c r="AS10" s="582"/>
      <c r="AT10" s="582"/>
      <c r="AU10" s="582"/>
      <c r="AV10" s="582"/>
      <c r="AW10" s="582"/>
      <c r="AX10" s="582"/>
      <c r="AY10" s="582"/>
      <c r="AZ10" s="582"/>
      <c r="BA10" s="582"/>
      <c r="BB10" s="582"/>
      <c r="BC10" s="582"/>
      <c r="BD10" s="582"/>
      <c r="BE10" s="582"/>
      <c r="BF10" s="582"/>
    </row>
    <row r="11" spans="1:58" s="41" customFormat="1" ht="24.95" customHeight="1">
      <c r="A11" s="593"/>
      <c r="B11" s="1229"/>
      <c r="C11" s="1239"/>
      <c r="D11" s="1239"/>
      <c r="E11" s="1239"/>
      <c r="F11" s="1239" t="s">
        <v>861</v>
      </c>
      <c r="G11" s="1239"/>
      <c r="H11" s="1239"/>
      <c r="I11" s="1239"/>
      <c r="J11" s="1239"/>
      <c r="K11" s="1239"/>
      <c r="L11" s="1239"/>
      <c r="M11" s="1239"/>
      <c r="N11" s="1239"/>
      <c r="O11" s="1239"/>
      <c r="P11" s="1239"/>
      <c r="Q11" s="1239"/>
      <c r="R11" s="1239"/>
      <c r="S11" s="1239"/>
      <c r="T11" s="1240"/>
      <c r="U11" s="3579">
        <v>0</v>
      </c>
      <c r="V11" s="3572"/>
      <c r="W11" s="3574">
        <v>0</v>
      </c>
      <c r="X11" s="3573"/>
      <c r="Y11" s="3574">
        <v>0</v>
      </c>
      <c r="Z11" s="3573"/>
      <c r="AA11" s="3574">
        <v>0</v>
      </c>
      <c r="AB11" s="3573"/>
      <c r="AC11" s="3574">
        <v>0</v>
      </c>
      <c r="AD11" s="3573"/>
      <c r="AE11" s="3574">
        <v>0</v>
      </c>
      <c r="AF11" s="3573"/>
      <c r="AG11" s="3574">
        <v>0</v>
      </c>
      <c r="AH11" s="3580"/>
      <c r="AI11" s="3572">
        <v>0</v>
      </c>
      <c r="AJ11" s="3573"/>
      <c r="AK11" s="3574">
        <v>0</v>
      </c>
      <c r="AL11" s="3573"/>
      <c r="AM11" s="3574">
        <v>0</v>
      </c>
      <c r="AN11" s="3573"/>
      <c r="AO11" s="3574">
        <v>0</v>
      </c>
      <c r="AP11" s="3573"/>
      <c r="AQ11" s="3574">
        <v>0</v>
      </c>
      <c r="AR11" s="3575"/>
      <c r="AS11" s="593"/>
      <c r="AT11" s="593"/>
      <c r="AU11" s="593"/>
      <c r="AV11" s="593"/>
      <c r="AW11" s="593"/>
      <c r="AX11" s="593"/>
      <c r="AY11" s="593"/>
      <c r="AZ11" s="593"/>
      <c r="BA11" s="593"/>
      <c r="BB11" s="593"/>
      <c r="BC11" s="593"/>
      <c r="BD11" s="593"/>
      <c r="BE11" s="593"/>
      <c r="BF11" s="593"/>
    </row>
    <row r="12" spans="1:58" s="41" customFormat="1" ht="24.95" customHeight="1">
      <c r="A12" s="593"/>
      <c r="B12" s="1229"/>
      <c r="C12" s="1239"/>
      <c r="D12" s="1239"/>
      <c r="E12" s="1239"/>
      <c r="F12" s="3578" t="s">
        <v>862</v>
      </c>
      <c r="G12" s="3578"/>
      <c r="H12" s="3578"/>
      <c r="I12" s="3578"/>
      <c r="J12" s="3578"/>
      <c r="K12" s="3578"/>
      <c r="L12" s="3578"/>
      <c r="M12" s="3578"/>
      <c r="N12" s="3578"/>
      <c r="O12" s="3578"/>
      <c r="P12" s="3578"/>
      <c r="Q12" s="3578"/>
      <c r="R12" s="3578"/>
      <c r="S12" s="3578"/>
      <c r="T12" s="1240"/>
      <c r="U12" s="3579">
        <v>0</v>
      </c>
      <c r="V12" s="3572"/>
      <c r="W12" s="3574">
        <v>0</v>
      </c>
      <c r="X12" s="3573"/>
      <c r="Y12" s="3574">
        <v>0</v>
      </c>
      <c r="Z12" s="3573"/>
      <c r="AA12" s="3574">
        <v>0</v>
      </c>
      <c r="AB12" s="3573"/>
      <c r="AC12" s="3574">
        <v>0</v>
      </c>
      <c r="AD12" s="3573"/>
      <c r="AE12" s="3574">
        <v>0</v>
      </c>
      <c r="AF12" s="3573"/>
      <c r="AG12" s="3574">
        <v>0</v>
      </c>
      <c r="AH12" s="3580"/>
      <c r="AI12" s="3572">
        <v>0</v>
      </c>
      <c r="AJ12" s="3573"/>
      <c r="AK12" s="3574">
        <v>0</v>
      </c>
      <c r="AL12" s="3573"/>
      <c r="AM12" s="3574">
        <v>0</v>
      </c>
      <c r="AN12" s="3573"/>
      <c r="AO12" s="3574">
        <v>0</v>
      </c>
      <c r="AP12" s="3573"/>
      <c r="AQ12" s="3574">
        <v>0</v>
      </c>
      <c r="AR12" s="3575"/>
      <c r="AS12" s="593"/>
      <c r="AT12" s="593"/>
      <c r="AU12" s="593"/>
      <c r="AV12" s="593"/>
      <c r="AW12" s="593"/>
      <c r="AX12" s="593"/>
      <c r="AY12" s="593"/>
      <c r="AZ12" s="593"/>
      <c r="BA12" s="593"/>
      <c r="BB12" s="593"/>
      <c r="BC12" s="593"/>
      <c r="BD12" s="593"/>
      <c r="BE12" s="593"/>
      <c r="BF12" s="593"/>
    </row>
    <row r="13" spans="1:58" s="41" customFormat="1" ht="21.75" customHeight="1">
      <c r="A13" s="593"/>
      <c r="B13" s="1241"/>
      <c r="C13" s="1242"/>
      <c r="D13" s="1242"/>
      <c r="E13" s="1242"/>
      <c r="F13" s="3594" t="s">
        <v>1021</v>
      </c>
      <c r="G13" s="3594"/>
      <c r="H13" s="3594"/>
      <c r="I13" s="3594"/>
      <c r="J13" s="3594"/>
      <c r="K13" s="3594"/>
      <c r="L13" s="3594"/>
      <c r="M13" s="3594"/>
      <c r="N13" s="3594"/>
      <c r="O13" s="3594"/>
      <c r="P13" s="3594"/>
      <c r="Q13" s="3594"/>
      <c r="R13" s="3594"/>
      <c r="S13" s="3594"/>
      <c r="T13" s="1243"/>
      <c r="U13" s="3595">
        <v>0</v>
      </c>
      <c r="V13" s="3588"/>
      <c r="W13" s="3587">
        <v>0</v>
      </c>
      <c r="X13" s="3588"/>
      <c r="Y13" s="3587">
        <v>0</v>
      </c>
      <c r="Z13" s="3588"/>
      <c r="AA13" s="3587">
        <v>0</v>
      </c>
      <c r="AB13" s="3588"/>
      <c r="AC13" s="3587">
        <v>0</v>
      </c>
      <c r="AD13" s="3588"/>
      <c r="AE13" s="3587">
        <v>0</v>
      </c>
      <c r="AF13" s="3588"/>
      <c r="AG13" s="3587">
        <v>0</v>
      </c>
      <c r="AH13" s="3597"/>
      <c r="AI13" s="3595">
        <v>0</v>
      </c>
      <c r="AJ13" s="3588"/>
      <c r="AK13" s="3587">
        <v>0</v>
      </c>
      <c r="AL13" s="3588"/>
      <c r="AM13" s="3587">
        <v>0</v>
      </c>
      <c r="AN13" s="3588"/>
      <c r="AO13" s="3587">
        <v>0</v>
      </c>
      <c r="AP13" s="3588"/>
      <c r="AQ13" s="3587">
        <v>0</v>
      </c>
      <c r="AR13" s="3591"/>
      <c r="AS13" s="593"/>
      <c r="AT13" s="593"/>
      <c r="AU13" s="593"/>
      <c r="AV13" s="593"/>
      <c r="AW13" s="593"/>
      <c r="AX13" s="593"/>
      <c r="AY13" s="593"/>
      <c r="AZ13" s="593"/>
      <c r="BA13" s="593"/>
      <c r="BB13" s="593"/>
      <c r="BC13" s="593"/>
      <c r="BD13" s="593"/>
      <c r="BE13" s="593"/>
      <c r="BF13" s="593"/>
    </row>
    <row r="14" spans="1:58" s="41" customFormat="1" ht="24.95" customHeight="1">
      <c r="A14" s="593"/>
      <c r="B14" s="1230"/>
      <c r="C14" s="1145"/>
      <c r="D14" s="1145"/>
      <c r="E14" s="1145"/>
      <c r="F14" s="3528"/>
      <c r="G14" s="3528"/>
      <c r="H14" s="3528"/>
      <c r="I14" s="3528"/>
      <c r="J14" s="3528"/>
      <c r="K14" s="3528"/>
      <c r="L14" s="3528"/>
      <c r="M14" s="3528"/>
      <c r="N14" s="3528"/>
      <c r="O14" s="3528"/>
      <c r="P14" s="3528"/>
      <c r="Q14" s="3528"/>
      <c r="R14" s="3528"/>
      <c r="S14" s="3528"/>
      <c r="T14" s="1244"/>
      <c r="U14" s="3526"/>
      <c r="V14" s="3520"/>
      <c r="W14" s="3519"/>
      <c r="X14" s="3520"/>
      <c r="Y14" s="3519"/>
      <c r="Z14" s="3520"/>
      <c r="AA14" s="3519"/>
      <c r="AB14" s="3520"/>
      <c r="AC14" s="3519"/>
      <c r="AD14" s="3520"/>
      <c r="AE14" s="3519"/>
      <c r="AF14" s="3520"/>
      <c r="AG14" s="3519"/>
      <c r="AH14" s="3529"/>
      <c r="AI14" s="3526"/>
      <c r="AJ14" s="3520"/>
      <c r="AK14" s="3519"/>
      <c r="AL14" s="3520"/>
      <c r="AM14" s="3519"/>
      <c r="AN14" s="3520"/>
      <c r="AO14" s="3519"/>
      <c r="AP14" s="3520"/>
      <c r="AQ14" s="3519"/>
      <c r="AR14" s="3527"/>
      <c r="AS14" s="593"/>
      <c r="AT14" s="593"/>
      <c r="AU14" s="593"/>
      <c r="AV14" s="593"/>
      <c r="AW14" s="593"/>
      <c r="AX14" s="593"/>
      <c r="AY14" s="593"/>
      <c r="AZ14" s="593"/>
      <c r="BA14" s="593"/>
      <c r="BB14" s="593"/>
      <c r="BC14" s="593"/>
      <c r="BD14" s="593"/>
      <c r="BE14" s="593"/>
      <c r="BF14" s="593"/>
    </row>
    <row r="15" spans="1:58" s="41" customFormat="1" ht="15" customHeight="1">
      <c r="A15" s="593"/>
      <c r="B15" s="1245"/>
      <c r="C15" s="1246"/>
      <c r="D15" s="1246"/>
      <c r="E15" s="1246"/>
      <c r="F15" s="3593" t="str">
        <f>IF(AND(ISBLANK(disascal_hih_acsa_others_specify),SUM(U13:AR15)&gt;0),"Please specify.",IF(AND(disascal_hih_acsa_others_specify&gt;0,SUM(U13:AR15)=0),"Please provide details.",""))</f>
        <v/>
      </c>
      <c r="G15" s="3593"/>
      <c r="H15" s="3593"/>
      <c r="I15" s="3593"/>
      <c r="J15" s="3593"/>
      <c r="K15" s="3593"/>
      <c r="L15" s="3593"/>
      <c r="M15" s="3593"/>
      <c r="N15" s="3593"/>
      <c r="O15" s="3593"/>
      <c r="P15" s="3593"/>
      <c r="Q15" s="3593"/>
      <c r="R15" s="3593"/>
      <c r="S15" s="3593"/>
      <c r="T15" s="1247"/>
      <c r="U15" s="3596"/>
      <c r="V15" s="3590"/>
      <c r="W15" s="3589"/>
      <c r="X15" s="3590"/>
      <c r="Y15" s="3589"/>
      <c r="Z15" s="3590"/>
      <c r="AA15" s="3589"/>
      <c r="AB15" s="3590"/>
      <c r="AC15" s="3589"/>
      <c r="AD15" s="3590"/>
      <c r="AE15" s="3589"/>
      <c r="AF15" s="3590"/>
      <c r="AG15" s="3589"/>
      <c r="AH15" s="3598"/>
      <c r="AI15" s="3596"/>
      <c r="AJ15" s="3590"/>
      <c r="AK15" s="3589"/>
      <c r="AL15" s="3590"/>
      <c r="AM15" s="3589"/>
      <c r="AN15" s="3590"/>
      <c r="AO15" s="3589"/>
      <c r="AP15" s="3590"/>
      <c r="AQ15" s="3589"/>
      <c r="AR15" s="3592"/>
      <c r="AS15" s="593"/>
      <c r="AT15" s="593"/>
      <c r="AU15" s="593"/>
      <c r="AV15" s="593"/>
      <c r="AW15" s="593"/>
      <c r="AX15" s="593"/>
      <c r="AY15" s="593"/>
      <c r="AZ15" s="593"/>
      <c r="BA15" s="593"/>
      <c r="BB15" s="593"/>
      <c r="BC15" s="593"/>
      <c r="BD15" s="593"/>
      <c r="BE15" s="593"/>
      <c r="BF15" s="593"/>
    </row>
    <row r="16" spans="1:58" s="40" customFormat="1" ht="24.75" customHeight="1">
      <c r="A16" s="582"/>
      <c r="B16" s="206"/>
      <c r="C16" s="210"/>
      <c r="D16" s="210" t="s">
        <v>1964</v>
      </c>
      <c r="E16" s="212"/>
      <c r="F16" s="212"/>
      <c r="G16" s="1164"/>
      <c r="H16" s="1164"/>
      <c r="I16" s="1164"/>
      <c r="J16" s="1164"/>
      <c r="K16" s="1164"/>
      <c r="L16" s="1164"/>
      <c r="M16" s="1164"/>
      <c r="N16" s="1164"/>
      <c r="O16" s="1164"/>
      <c r="P16" s="1164"/>
      <c r="Q16" s="1164"/>
      <c r="R16" s="1164"/>
      <c r="S16" s="1164"/>
      <c r="T16" s="1164"/>
      <c r="U16" s="3600"/>
      <c r="V16" s="3600"/>
      <c r="W16" s="3600"/>
      <c r="X16" s="3600"/>
      <c r="Y16" s="3600"/>
      <c r="Z16" s="3600"/>
      <c r="AA16" s="3600"/>
      <c r="AB16" s="3600"/>
      <c r="AC16" s="3600"/>
      <c r="AD16" s="3600"/>
      <c r="AE16" s="3600"/>
      <c r="AF16" s="3600"/>
      <c r="AG16" s="3600"/>
      <c r="AH16" s="3600"/>
      <c r="AI16" s="3600"/>
      <c r="AJ16" s="3600"/>
      <c r="AK16" s="3600"/>
      <c r="AL16" s="3600"/>
      <c r="AM16" s="3600"/>
      <c r="AN16" s="3600"/>
      <c r="AO16" s="3600"/>
      <c r="AP16" s="3600"/>
      <c r="AQ16" s="3600"/>
      <c r="AR16" s="3601"/>
      <c r="AS16" s="582"/>
      <c r="AT16" s="582"/>
      <c r="AU16" s="582"/>
      <c r="AV16" s="582"/>
      <c r="AW16" s="582"/>
      <c r="AX16" s="582"/>
      <c r="AY16" s="582"/>
      <c r="AZ16" s="582"/>
      <c r="BA16" s="582"/>
      <c r="BB16" s="582"/>
      <c r="BC16" s="582"/>
      <c r="BD16" s="582"/>
      <c r="BE16" s="582"/>
      <c r="BF16" s="582"/>
    </row>
    <row r="17" spans="1:58" s="41" customFormat="1" ht="24.95" customHeight="1">
      <c r="A17" s="593"/>
      <c r="B17" s="1229"/>
      <c r="C17" s="1239"/>
      <c r="D17" s="1239"/>
      <c r="E17" s="1239"/>
      <c r="F17" s="3578" t="s">
        <v>863</v>
      </c>
      <c r="G17" s="3578"/>
      <c r="H17" s="3578"/>
      <c r="I17" s="3578"/>
      <c r="J17" s="3578"/>
      <c r="K17" s="3578"/>
      <c r="L17" s="3578"/>
      <c r="M17" s="3578"/>
      <c r="N17" s="3578"/>
      <c r="O17" s="3578"/>
      <c r="P17" s="3578"/>
      <c r="Q17" s="3578"/>
      <c r="R17" s="3578"/>
      <c r="S17" s="3578"/>
      <c r="T17" s="1240"/>
      <c r="U17" s="3579">
        <v>0</v>
      </c>
      <c r="V17" s="3572"/>
      <c r="W17" s="3574">
        <v>0</v>
      </c>
      <c r="X17" s="3573"/>
      <c r="Y17" s="3574">
        <v>0</v>
      </c>
      <c r="Z17" s="3573"/>
      <c r="AA17" s="3574">
        <v>0</v>
      </c>
      <c r="AB17" s="3573"/>
      <c r="AC17" s="3574">
        <v>0</v>
      </c>
      <c r="AD17" s="3573"/>
      <c r="AE17" s="3574">
        <v>0</v>
      </c>
      <c r="AF17" s="3573"/>
      <c r="AG17" s="3574">
        <v>0</v>
      </c>
      <c r="AH17" s="3580"/>
      <c r="AI17" s="3572">
        <v>0</v>
      </c>
      <c r="AJ17" s="3573"/>
      <c r="AK17" s="3574">
        <v>0</v>
      </c>
      <c r="AL17" s="3573"/>
      <c r="AM17" s="3574">
        <v>0</v>
      </c>
      <c r="AN17" s="3573"/>
      <c r="AO17" s="3574">
        <v>0</v>
      </c>
      <c r="AP17" s="3573"/>
      <c r="AQ17" s="3574">
        <v>0</v>
      </c>
      <c r="AR17" s="3575"/>
      <c r="AS17" s="593"/>
      <c r="AT17" s="593"/>
      <c r="AU17" s="593"/>
      <c r="AV17" s="593"/>
      <c r="AW17" s="593"/>
      <c r="AX17" s="593"/>
      <c r="AY17" s="593"/>
      <c r="AZ17" s="593"/>
      <c r="BA17" s="593"/>
      <c r="BB17" s="593"/>
      <c r="BC17" s="593"/>
      <c r="BD17" s="593"/>
      <c r="BE17" s="593"/>
      <c r="BF17" s="593"/>
    </row>
    <row r="18" spans="1:58" s="41" customFormat="1" ht="24.95" customHeight="1">
      <c r="A18" s="593"/>
      <c r="B18" s="1229"/>
      <c r="C18" s="1239"/>
      <c r="D18" s="1239"/>
      <c r="E18" s="1239"/>
      <c r="F18" s="3578" t="s">
        <v>864</v>
      </c>
      <c r="G18" s="3578"/>
      <c r="H18" s="3578"/>
      <c r="I18" s="3578"/>
      <c r="J18" s="3578"/>
      <c r="K18" s="3578"/>
      <c r="L18" s="3578"/>
      <c r="M18" s="3578"/>
      <c r="N18" s="3578"/>
      <c r="O18" s="3578"/>
      <c r="P18" s="3578"/>
      <c r="Q18" s="3578"/>
      <c r="R18" s="3578"/>
      <c r="S18" s="3578"/>
      <c r="T18" s="1240"/>
      <c r="U18" s="3579">
        <v>0</v>
      </c>
      <c r="V18" s="3572"/>
      <c r="W18" s="3574">
        <v>0</v>
      </c>
      <c r="X18" s="3573"/>
      <c r="Y18" s="3574">
        <v>0</v>
      </c>
      <c r="Z18" s="3573"/>
      <c r="AA18" s="3574">
        <v>0</v>
      </c>
      <c r="AB18" s="3573"/>
      <c r="AC18" s="3574">
        <v>0</v>
      </c>
      <c r="AD18" s="3573"/>
      <c r="AE18" s="3574">
        <v>0</v>
      </c>
      <c r="AF18" s="3573"/>
      <c r="AG18" s="3574">
        <v>0</v>
      </c>
      <c r="AH18" s="3580"/>
      <c r="AI18" s="3572">
        <v>0</v>
      </c>
      <c r="AJ18" s="3573"/>
      <c r="AK18" s="3574">
        <v>0</v>
      </c>
      <c r="AL18" s="3573"/>
      <c r="AM18" s="3574">
        <v>0</v>
      </c>
      <c r="AN18" s="3573"/>
      <c r="AO18" s="3574">
        <v>0</v>
      </c>
      <c r="AP18" s="3573"/>
      <c r="AQ18" s="3574">
        <v>0</v>
      </c>
      <c r="AR18" s="3575"/>
      <c r="AS18" s="593"/>
      <c r="AT18" s="593"/>
      <c r="AU18" s="593"/>
      <c r="AV18" s="593"/>
      <c r="AW18" s="593"/>
      <c r="AX18" s="593"/>
      <c r="AY18" s="593"/>
      <c r="AZ18" s="593"/>
      <c r="BA18" s="593"/>
      <c r="BB18" s="593"/>
      <c r="BC18" s="593"/>
      <c r="BD18" s="593"/>
      <c r="BE18" s="593"/>
      <c r="BF18" s="593"/>
    </row>
    <row r="19" spans="1:58" s="41" customFormat="1" ht="55.5" customHeight="1">
      <c r="A19" s="593"/>
      <c r="B19" s="1229"/>
      <c r="C19" s="1239"/>
      <c r="D19" s="1239"/>
      <c r="E19" s="1239"/>
      <c r="F19" s="3599" t="s">
        <v>865</v>
      </c>
      <c r="G19" s="3578"/>
      <c r="H19" s="3578"/>
      <c r="I19" s="3578"/>
      <c r="J19" s="3578"/>
      <c r="K19" s="3578"/>
      <c r="L19" s="3578"/>
      <c r="M19" s="3578"/>
      <c r="N19" s="3578"/>
      <c r="O19" s="3578"/>
      <c r="P19" s="3578"/>
      <c r="Q19" s="3578"/>
      <c r="R19" s="3578"/>
      <c r="S19" s="3578"/>
      <c r="T19" s="1240"/>
      <c r="U19" s="3579">
        <v>0</v>
      </c>
      <c r="V19" s="3572"/>
      <c r="W19" s="3574">
        <v>0</v>
      </c>
      <c r="X19" s="3573"/>
      <c r="Y19" s="3574">
        <v>0</v>
      </c>
      <c r="Z19" s="3573"/>
      <c r="AA19" s="3574">
        <v>0</v>
      </c>
      <c r="AB19" s="3573"/>
      <c r="AC19" s="3574">
        <v>0</v>
      </c>
      <c r="AD19" s="3573"/>
      <c r="AE19" s="3574">
        <v>0</v>
      </c>
      <c r="AF19" s="3573"/>
      <c r="AG19" s="3574">
        <v>0</v>
      </c>
      <c r="AH19" s="3580"/>
      <c r="AI19" s="3572">
        <v>0</v>
      </c>
      <c r="AJ19" s="3573"/>
      <c r="AK19" s="3574">
        <v>0</v>
      </c>
      <c r="AL19" s="3573"/>
      <c r="AM19" s="3574">
        <v>0</v>
      </c>
      <c r="AN19" s="3573"/>
      <c r="AO19" s="3574">
        <v>0</v>
      </c>
      <c r="AP19" s="3573"/>
      <c r="AQ19" s="3574">
        <v>0</v>
      </c>
      <c r="AR19" s="3575"/>
      <c r="AS19" s="593"/>
      <c r="AT19" s="593"/>
      <c r="AU19" s="593"/>
      <c r="AV19" s="593"/>
      <c r="AW19" s="593"/>
      <c r="AX19" s="593"/>
      <c r="AY19" s="593"/>
      <c r="AZ19" s="593"/>
      <c r="BA19" s="593"/>
      <c r="BB19" s="593"/>
      <c r="BC19" s="593"/>
      <c r="BD19" s="593"/>
      <c r="BE19" s="593"/>
      <c r="BF19" s="593"/>
    </row>
    <row r="20" spans="1:58" s="41" customFormat="1" ht="24.95" customHeight="1">
      <c r="A20" s="593"/>
      <c r="B20" s="1229"/>
      <c r="C20" s="1239"/>
      <c r="D20" s="1239"/>
      <c r="E20" s="1239"/>
      <c r="F20" s="3578" t="s">
        <v>866</v>
      </c>
      <c r="G20" s="3578"/>
      <c r="H20" s="3578"/>
      <c r="I20" s="3578"/>
      <c r="J20" s="3578"/>
      <c r="K20" s="3578"/>
      <c r="L20" s="3578"/>
      <c r="M20" s="3578"/>
      <c r="N20" s="3578"/>
      <c r="O20" s="3578"/>
      <c r="P20" s="3578"/>
      <c r="Q20" s="3578"/>
      <c r="R20" s="3578"/>
      <c r="S20" s="3578"/>
      <c r="T20" s="1240"/>
      <c r="U20" s="3579">
        <v>0</v>
      </c>
      <c r="V20" s="3572"/>
      <c r="W20" s="3574">
        <v>0</v>
      </c>
      <c r="X20" s="3573"/>
      <c r="Y20" s="3574">
        <v>0</v>
      </c>
      <c r="Z20" s="3573"/>
      <c r="AA20" s="3574">
        <v>0</v>
      </c>
      <c r="AB20" s="3573"/>
      <c r="AC20" s="3574">
        <v>0</v>
      </c>
      <c r="AD20" s="3573"/>
      <c r="AE20" s="3574">
        <v>0</v>
      </c>
      <c r="AF20" s="3573"/>
      <c r="AG20" s="3574">
        <v>0</v>
      </c>
      <c r="AH20" s="3580"/>
      <c r="AI20" s="3572">
        <v>0</v>
      </c>
      <c r="AJ20" s="3573"/>
      <c r="AK20" s="3574">
        <v>0</v>
      </c>
      <c r="AL20" s="3573"/>
      <c r="AM20" s="3574">
        <v>0</v>
      </c>
      <c r="AN20" s="3573"/>
      <c r="AO20" s="3574">
        <v>0</v>
      </c>
      <c r="AP20" s="3573"/>
      <c r="AQ20" s="3574">
        <v>0</v>
      </c>
      <c r="AR20" s="3575"/>
      <c r="AS20" s="593"/>
      <c r="AT20" s="593"/>
      <c r="AU20" s="593"/>
      <c r="AV20" s="593"/>
      <c r="AW20" s="593"/>
      <c r="AX20" s="593"/>
      <c r="AY20" s="593"/>
      <c r="AZ20" s="593"/>
      <c r="BA20" s="593"/>
      <c r="BB20" s="593"/>
      <c r="BC20" s="593"/>
      <c r="BD20" s="593"/>
      <c r="BE20" s="593"/>
      <c r="BF20" s="593"/>
    </row>
    <row r="21" spans="1:58" s="41" customFormat="1" ht="24.95" customHeight="1">
      <c r="A21" s="593"/>
      <c r="B21" s="1229"/>
      <c r="C21" s="1239"/>
      <c r="D21" s="1239"/>
      <c r="E21" s="1239"/>
      <c r="F21" s="3578" t="s">
        <v>867</v>
      </c>
      <c r="G21" s="3578"/>
      <c r="H21" s="3578"/>
      <c r="I21" s="3578"/>
      <c r="J21" s="3578"/>
      <c r="K21" s="3578"/>
      <c r="L21" s="3578"/>
      <c r="M21" s="3578"/>
      <c r="N21" s="3578"/>
      <c r="O21" s="3578"/>
      <c r="P21" s="3578"/>
      <c r="Q21" s="3578"/>
      <c r="R21" s="3578"/>
      <c r="S21" s="3578"/>
      <c r="T21" s="1240"/>
      <c r="U21" s="3579">
        <v>0</v>
      </c>
      <c r="V21" s="3572"/>
      <c r="W21" s="3574">
        <v>0</v>
      </c>
      <c r="X21" s="3573"/>
      <c r="Y21" s="3574">
        <v>0</v>
      </c>
      <c r="Z21" s="3573"/>
      <c r="AA21" s="3574">
        <v>0</v>
      </c>
      <c r="AB21" s="3573"/>
      <c r="AC21" s="3574">
        <v>0</v>
      </c>
      <c r="AD21" s="3573"/>
      <c r="AE21" s="3574">
        <v>0</v>
      </c>
      <c r="AF21" s="3573"/>
      <c r="AG21" s="3574">
        <v>0</v>
      </c>
      <c r="AH21" s="3580"/>
      <c r="AI21" s="3572">
        <v>0</v>
      </c>
      <c r="AJ21" s="3573"/>
      <c r="AK21" s="3574">
        <v>0</v>
      </c>
      <c r="AL21" s="3573"/>
      <c r="AM21" s="3574">
        <v>0</v>
      </c>
      <c r="AN21" s="3573"/>
      <c r="AO21" s="3574">
        <v>0</v>
      </c>
      <c r="AP21" s="3573"/>
      <c r="AQ21" s="3574">
        <v>0</v>
      </c>
      <c r="AR21" s="3575"/>
      <c r="AS21" s="593"/>
      <c r="AT21" s="593"/>
      <c r="AU21" s="593"/>
      <c r="AV21" s="593"/>
      <c r="AW21" s="593"/>
      <c r="AX21" s="593"/>
      <c r="AY21" s="593"/>
      <c r="AZ21" s="593"/>
      <c r="BA21" s="593"/>
      <c r="BB21" s="593"/>
      <c r="BC21" s="593"/>
      <c r="BD21" s="593"/>
      <c r="BE21" s="593"/>
      <c r="BF21" s="593"/>
    </row>
    <row r="22" spans="1:58" s="41" customFormat="1" ht="21.75" customHeight="1">
      <c r="A22" s="593"/>
      <c r="B22" s="1241"/>
      <c r="C22" s="1242"/>
      <c r="D22" s="1242"/>
      <c r="E22" s="1242"/>
      <c r="F22" s="3594" t="s">
        <v>1021</v>
      </c>
      <c r="G22" s="3594"/>
      <c r="H22" s="3594"/>
      <c r="I22" s="3594"/>
      <c r="J22" s="3594"/>
      <c r="K22" s="3594"/>
      <c r="L22" s="3594"/>
      <c r="M22" s="3594"/>
      <c r="N22" s="3594"/>
      <c r="O22" s="3594"/>
      <c r="P22" s="3594"/>
      <c r="Q22" s="3594"/>
      <c r="R22" s="3594"/>
      <c r="S22" s="3594"/>
      <c r="T22" s="1243"/>
      <c r="U22" s="3595">
        <v>0</v>
      </c>
      <c r="V22" s="3588"/>
      <c r="W22" s="3587">
        <v>0</v>
      </c>
      <c r="X22" s="3588"/>
      <c r="Y22" s="3587">
        <v>0</v>
      </c>
      <c r="Z22" s="3588"/>
      <c r="AA22" s="3587">
        <v>0</v>
      </c>
      <c r="AB22" s="3588"/>
      <c r="AC22" s="3587">
        <v>0</v>
      </c>
      <c r="AD22" s="3588"/>
      <c r="AE22" s="3587">
        <v>0</v>
      </c>
      <c r="AF22" s="3588"/>
      <c r="AG22" s="3587">
        <v>0</v>
      </c>
      <c r="AH22" s="3597"/>
      <c r="AI22" s="3595">
        <v>0</v>
      </c>
      <c r="AJ22" s="3588"/>
      <c r="AK22" s="3587">
        <v>0</v>
      </c>
      <c r="AL22" s="3588"/>
      <c r="AM22" s="3587">
        <v>0</v>
      </c>
      <c r="AN22" s="3588"/>
      <c r="AO22" s="3587">
        <v>0</v>
      </c>
      <c r="AP22" s="3588"/>
      <c r="AQ22" s="3587">
        <v>0</v>
      </c>
      <c r="AR22" s="3591"/>
      <c r="AS22" s="593"/>
      <c r="AT22" s="593"/>
      <c r="AU22" s="593"/>
      <c r="AV22" s="593"/>
      <c r="AW22" s="593"/>
      <c r="AX22" s="593"/>
      <c r="AY22" s="593"/>
      <c r="AZ22" s="593"/>
      <c r="BA22" s="593"/>
      <c r="BB22" s="593"/>
      <c r="BC22" s="593"/>
      <c r="BD22" s="593"/>
      <c r="BE22" s="593"/>
      <c r="BF22" s="593"/>
    </row>
    <row r="23" spans="1:58" s="41" customFormat="1" ht="24.6" customHeight="1">
      <c r="A23" s="593"/>
      <c r="B23" s="1230"/>
      <c r="C23" s="1145"/>
      <c r="D23" s="1145"/>
      <c r="E23" s="1145"/>
      <c r="F23" s="3528"/>
      <c r="G23" s="3528"/>
      <c r="H23" s="3528"/>
      <c r="I23" s="3528"/>
      <c r="J23" s="3528"/>
      <c r="K23" s="3528"/>
      <c r="L23" s="3528"/>
      <c r="M23" s="3528"/>
      <c r="N23" s="3528"/>
      <c r="O23" s="3528"/>
      <c r="P23" s="3528"/>
      <c r="Q23" s="3528"/>
      <c r="R23" s="3528"/>
      <c r="S23" s="3528"/>
      <c r="T23" s="1244"/>
      <c r="U23" s="3526"/>
      <c r="V23" s="3520"/>
      <c r="W23" s="3519"/>
      <c r="X23" s="3520"/>
      <c r="Y23" s="3519"/>
      <c r="Z23" s="3520"/>
      <c r="AA23" s="3519"/>
      <c r="AB23" s="3520"/>
      <c r="AC23" s="3519"/>
      <c r="AD23" s="3520"/>
      <c r="AE23" s="3519"/>
      <c r="AF23" s="3520"/>
      <c r="AG23" s="3519"/>
      <c r="AH23" s="3529"/>
      <c r="AI23" s="3526"/>
      <c r="AJ23" s="3520"/>
      <c r="AK23" s="3519"/>
      <c r="AL23" s="3520"/>
      <c r="AM23" s="3519"/>
      <c r="AN23" s="3520"/>
      <c r="AO23" s="3519"/>
      <c r="AP23" s="3520"/>
      <c r="AQ23" s="3519"/>
      <c r="AR23" s="3527"/>
      <c r="AS23" s="593"/>
      <c r="AT23" s="593"/>
      <c r="AU23" s="593"/>
      <c r="AV23" s="593"/>
      <c r="AW23" s="593"/>
      <c r="AX23" s="593"/>
      <c r="AY23" s="593"/>
      <c r="AZ23" s="593"/>
      <c r="BA23" s="593"/>
      <c r="BB23" s="593"/>
      <c r="BC23" s="593"/>
      <c r="BD23" s="593"/>
      <c r="BE23" s="593"/>
      <c r="BF23" s="593"/>
    </row>
    <row r="24" spans="1:58" s="41" customFormat="1" ht="15" customHeight="1">
      <c r="A24" s="593"/>
      <c r="B24" s="1245"/>
      <c r="C24" s="1246"/>
      <c r="D24" s="1246"/>
      <c r="E24" s="1246"/>
      <c r="F24" s="3593" t="str">
        <f>IF(AND(ISBLANK(disascal_hih_acnsa_others_specify),SUM(U22:AR24)&gt;0),"Please specify.",IF(AND(disascal_hih_acnsa_others_specify&gt;0,SUM(U22:AR24)=0),"Please provide details.",""))</f>
        <v/>
      </c>
      <c r="G24" s="3593"/>
      <c r="H24" s="3593"/>
      <c r="I24" s="3593"/>
      <c r="J24" s="3593"/>
      <c r="K24" s="3593"/>
      <c r="L24" s="3593"/>
      <c r="M24" s="3593"/>
      <c r="N24" s="3593"/>
      <c r="O24" s="3593"/>
      <c r="P24" s="3593"/>
      <c r="Q24" s="3593"/>
      <c r="R24" s="3593"/>
      <c r="S24" s="3593"/>
      <c r="T24" s="1247"/>
      <c r="U24" s="3596"/>
      <c r="V24" s="3590"/>
      <c r="W24" s="3589"/>
      <c r="X24" s="3590"/>
      <c r="Y24" s="3589"/>
      <c r="Z24" s="3590"/>
      <c r="AA24" s="3589"/>
      <c r="AB24" s="3590"/>
      <c r="AC24" s="3589"/>
      <c r="AD24" s="3590"/>
      <c r="AE24" s="3589"/>
      <c r="AF24" s="3590"/>
      <c r="AG24" s="3589"/>
      <c r="AH24" s="3598"/>
      <c r="AI24" s="3596"/>
      <c r="AJ24" s="3590"/>
      <c r="AK24" s="3589"/>
      <c r="AL24" s="3590"/>
      <c r="AM24" s="3589"/>
      <c r="AN24" s="3590"/>
      <c r="AO24" s="3589"/>
      <c r="AP24" s="3590"/>
      <c r="AQ24" s="3589"/>
      <c r="AR24" s="3592"/>
      <c r="AS24" s="593"/>
      <c r="AT24" s="593"/>
      <c r="AU24" s="593"/>
      <c r="AV24" s="593"/>
      <c r="AW24" s="593"/>
      <c r="AX24" s="593"/>
      <c r="AY24" s="593"/>
      <c r="AZ24" s="593"/>
      <c r="BA24" s="593"/>
      <c r="BB24" s="593"/>
      <c r="BC24" s="593"/>
      <c r="BD24" s="593"/>
      <c r="BE24" s="593"/>
      <c r="BF24" s="593"/>
    </row>
    <row r="25" spans="1:58" s="40" customFormat="1" ht="24.75" customHeight="1">
      <c r="A25" s="582"/>
      <c r="B25" s="213" t="s">
        <v>48</v>
      </c>
      <c r="C25" s="3581" t="s">
        <v>1411</v>
      </c>
      <c r="D25" s="3581"/>
      <c r="E25" s="3581"/>
      <c r="F25" s="3581"/>
      <c r="G25" s="3581"/>
      <c r="H25" s="3581"/>
      <c r="I25" s="3581"/>
      <c r="J25" s="3581"/>
      <c r="K25" s="3581"/>
      <c r="L25" s="3581"/>
      <c r="M25" s="3581"/>
      <c r="N25" s="3581"/>
      <c r="O25" s="3581"/>
      <c r="P25" s="3581"/>
      <c r="Q25" s="3581"/>
      <c r="R25" s="3581"/>
      <c r="S25" s="3581"/>
      <c r="T25" s="3581"/>
      <c r="U25" s="3581"/>
      <c r="V25" s="3581"/>
      <c r="W25" s="3581"/>
      <c r="X25" s="3581"/>
      <c r="Y25" s="3581"/>
      <c r="Z25" s="3581"/>
      <c r="AA25" s="3581"/>
      <c r="AB25" s="3581"/>
      <c r="AC25" s="3581"/>
      <c r="AD25" s="3581"/>
      <c r="AE25" s="3581"/>
      <c r="AF25" s="3581"/>
      <c r="AG25" s="3581"/>
      <c r="AH25" s="3581"/>
      <c r="AI25" s="3581"/>
      <c r="AJ25" s="3581"/>
      <c r="AK25" s="3581"/>
      <c r="AL25" s="3581"/>
      <c r="AM25" s="3581"/>
      <c r="AN25" s="3581"/>
      <c r="AO25" s="3581"/>
      <c r="AP25" s="3581"/>
      <c r="AQ25" s="3581"/>
      <c r="AR25" s="3582"/>
      <c r="AS25" s="582"/>
      <c r="AT25" s="582"/>
      <c r="AU25" s="582"/>
      <c r="AV25" s="582"/>
      <c r="AW25" s="582"/>
      <c r="AX25" s="582"/>
      <c r="AY25" s="582"/>
      <c r="AZ25" s="582"/>
      <c r="BA25" s="582"/>
      <c r="BB25" s="582"/>
      <c r="BC25" s="582"/>
      <c r="BD25" s="582"/>
      <c r="BE25" s="582"/>
      <c r="BF25" s="582"/>
    </row>
    <row r="26" spans="1:58" s="40" customFormat="1" ht="24.6" customHeight="1">
      <c r="A26" s="582"/>
      <c r="B26" s="214"/>
      <c r="C26" s="215" t="s">
        <v>868</v>
      </c>
      <c r="D26" s="3583" t="s">
        <v>1965</v>
      </c>
      <c r="E26" s="3583"/>
      <c r="F26" s="3583"/>
      <c r="G26" s="3583"/>
      <c r="H26" s="3583"/>
      <c r="I26" s="3583"/>
      <c r="J26" s="3583"/>
      <c r="K26" s="3583"/>
      <c r="L26" s="3583"/>
      <c r="M26" s="3583"/>
      <c r="N26" s="3583"/>
      <c r="O26" s="3583"/>
      <c r="P26" s="3583"/>
      <c r="Q26" s="3583"/>
      <c r="R26" s="3583"/>
      <c r="S26" s="3583"/>
      <c r="T26" s="3583"/>
      <c r="U26" s="3583"/>
      <c r="V26" s="3583"/>
      <c r="W26" s="3583"/>
      <c r="X26" s="3583"/>
      <c r="Y26" s="3583"/>
      <c r="Z26" s="3583"/>
      <c r="AA26" s="3583"/>
      <c r="AB26" s="3583"/>
      <c r="AC26" s="3583"/>
      <c r="AD26" s="3583"/>
      <c r="AE26" s="3583"/>
      <c r="AF26" s="3583"/>
      <c r="AG26" s="3583"/>
      <c r="AH26" s="3583"/>
      <c r="AI26" s="3583"/>
      <c r="AJ26" s="3583"/>
      <c r="AK26" s="3583"/>
      <c r="AL26" s="3583"/>
      <c r="AM26" s="3583"/>
      <c r="AN26" s="3583"/>
      <c r="AO26" s="3583"/>
      <c r="AP26" s="3583"/>
      <c r="AQ26" s="3583"/>
      <c r="AR26" s="3584"/>
      <c r="AS26" s="582"/>
      <c r="AT26" s="582"/>
      <c r="AU26" s="582"/>
      <c r="AV26" s="582"/>
      <c r="AW26" s="582"/>
      <c r="AX26" s="582"/>
      <c r="AY26" s="582"/>
      <c r="AZ26" s="582"/>
      <c r="BA26" s="582"/>
      <c r="BB26" s="582"/>
      <c r="BC26" s="582"/>
      <c r="BD26" s="582"/>
      <c r="BE26" s="582"/>
      <c r="BF26" s="582"/>
    </row>
    <row r="27" spans="1:58" s="41" customFormat="1" ht="24.75" customHeight="1">
      <c r="A27" s="593"/>
      <c r="B27" s="1230"/>
      <c r="C27" s="1145"/>
      <c r="D27" s="1145"/>
      <c r="E27" s="1145"/>
      <c r="F27" s="3585" t="s">
        <v>869</v>
      </c>
      <c r="G27" s="3585"/>
      <c r="H27" s="3585"/>
      <c r="I27" s="3585"/>
      <c r="J27" s="3585"/>
      <c r="K27" s="3585"/>
      <c r="L27" s="3585"/>
      <c r="M27" s="3585"/>
      <c r="N27" s="3585"/>
      <c r="O27" s="3585"/>
      <c r="P27" s="3585"/>
      <c r="Q27" s="3585"/>
      <c r="R27" s="3585"/>
      <c r="S27" s="3585"/>
      <c r="T27" s="1244"/>
      <c r="U27" s="3526">
        <v>0</v>
      </c>
      <c r="V27" s="3586"/>
      <c r="W27" s="3519">
        <v>0</v>
      </c>
      <c r="X27" s="3520"/>
      <c r="Y27" s="3519">
        <v>0</v>
      </c>
      <c r="Z27" s="3520"/>
      <c r="AA27" s="3519">
        <v>0</v>
      </c>
      <c r="AB27" s="3520"/>
      <c r="AC27" s="3519">
        <v>0</v>
      </c>
      <c r="AD27" s="3520"/>
      <c r="AE27" s="3519">
        <v>0</v>
      </c>
      <c r="AF27" s="3520"/>
      <c r="AG27" s="3519">
        <v>0</v>
      </c>
      <c r="AH27" s="3529"/>
      <c r="AI27" s="3586">
        <v>0</v>
      </c>
      <c r="AJ27" s="3520"/>
      <c r="AK27" s="3519">
        <v>0</v>
      </c>
      <c r="AL27" s="3520"/>
      <c r="AM27" s="3519">
        <v>0</v>
      </c>
      <c r="AN27" s="3520"/>
      <c r="AO27" s="3519">
        <v>0</v>
      </c>
      <c r="AP27" s="3520"/>
      <c r="AQ27" s="3519">
        <v>0</v>
      </c>
      <c r="AR27" s="3527"/>
      <c r="AS27" s="593"/>
      <c r="AT27" s="593"/>
      <c r="AU27" s="593"/>
      <c r="AV27" s="593"/>
      <c r="AW27" s="593"/>
      <c r="AX27" s="593"/>
      <c r="AY27" s="593"/>
      <c r="AZ27" s="593"/>
      <c r="BA27" s="593"/>
      <c r="BB27" s="593"/>
      <c r="BC27" s="593"/>
      <c r="BD27" s="593"/>
      <c r="BE27" s="593"/>
      <c r="BF27" s="593"/>
    </row>
    <row r="28" spans="1:58" s="41" customFormat="1" ht="24.75" customHeight="1">
      <c r="A28" s="593"/>
      <c r="B28" s="1229"/>
      <c r="C28" s="1239"/>
      <c r="D28" s="1239"/>
      <c r="E28" s="1239"/>
      <c r="F28" s="3578" t="s">
        <v>870</v>
      </c>
      <c r="G28" s="3578"/>
      <c r="H28" s="3578"/>
      <c r="I28" s="3578"/>
      <c r="J28" s="3578"/>
      <c r="K28" s="3578"/>
      <c r="L28" s="3578"/>
      <c r="M28" s="3578"/>
      <c r="N28" s="3578"/>
      <c r="O28" s="3578"/>
      <c r="P28" s="3578"/>
      <c r="Q28" s="3578"/>
      <c r="R28" s="3578"/>
      <c r="S28" s="3578"/>
      <c r="T28" s="1240"/>
      <c r="U28" s="3579">
        <v>0</v>
      </c>
      <c r="V28" s="3572"/>
      <c r="W28" s="3574">
        <v>0</v>
      </c>
      <c r="X28" s="3573"/>
      <c r="Y28" s="3574">
        <v>0</v>
      </c>
      <c r="Z28" s="3573"/>
      <c r="AA28" s="3574">
        <v>0</v>
      </c>
      <c r="AB28" s="3573"/>
      <c r="AC28" s="3574">
        <v>0</v>
      </c>
      <c r="AD28" s="3573"/>
      <c r="AE28" s="3574">
        <v>0</v>
      </c>
      <c r="AF28" s="3573"/>
      <c r="AG28" s="3574">
        <v>0</v>
      </c>
      <c r="AH28" s="3580"/>
      <c r="AI28" s="3572">
        <v>0</v>
      </c>
      <c r="AJ28" s="3573"/>
      <c r="AK28" s="3574">
        <v>0</v>
      </c>
      <c r="AL28" s="3573"/>
      <c r="AM28" s="3574">
        <v>0</v>
      </c>
      <c r="AN28" s="3573"/>
      <c r="AO28" s="3574">
        <v>0</v>
      </c>
      <c r="AP28" s="3573"/>
      <c r="AQ28" s="3574">
        <v>0</v>
      </c>
      <c r="AR28" s="3575"/>
      <c r="AS28" s="593"/>
      <c r="AT28" s="593"/>
      <c r="AU28" s="593"/>
      <c r="AV28" s="593"/>
      <c r="AW28" s="593"/>
      <c r="AX28" s="593"/>
      <c r="AY28" s="593"/>
      <c r="AZ28" s="593"/>
      <c r="BA28" s="593"/>
      <c r="BB28" s="593"/>
      <c r="BC28" s="593"/>
      <c r="BD28" s="593"/>
      <c r="BE28" s="593"/>
      <c r="BF28" s="593"/>
    </row>
    <row r="29" spans="1:58" s="41" customFormat="1" ht="24.75" customHeight="1">
      <c r="A29" s="593"/>
      <c r="B29" s="1229"/>
      <c r="C29" s="1239"/>
      <c r="D29" s="1239"/>
      <c r="E29" s="1239"/>
      <c r="F29" s="3578" t="s">
        <v>871</v>
      </c>
      <c r="G29" s="3578"/>
      <c r="H29" s="3578"/>
      <c r="I29" s="3578"/>
      <c r="J29" s="3578"/>
      <c r="K29" s="3578"/>
      <c r="L29" s="3578"/>
      <c r="M29" s="3578"/>
      <c r="N29" s="3578"/>
      <c r="O29" s="3578"/>
      <c r="P29" s="3578"/>
      <c r="Q29" s="3578"/>
      <c r="R29" s="3578"/>
      <c r="S29" s="3578"/>
      <c r="T29" s="1240"/>
      <c r="U29" s="3579">
        <v>0</v>
      </c>
      <c r="V29" s="3572"/>
      <c r="W29" s="3574">
        <v>0</v>
      </c>
      <c r="X29" s="3573"/>
      <c r="Y29" s="3574">
        <v>0</v>
      </c>
      <c r="Z29" s="3573"/>
      <c r="AA29" s="3574">
        <v>0</v>
      </c>
      <c r="AB29" s="3573"/>
      <c r="AC29" s="3574">
        <v>0</v>
      </c>
      <c r="AD29" s="3573"/>
      <c r="AE29" s="3574">
        <v>0</v>
      </c>
      <c r="AF29" s="3573"/>
      <c r="AG29" s="3574">
        <v>0</v>
      </c>
      <c r="AH29" s="3580"/>
      <c r="AI29" s="3572">
        <v>0</v>
      </c>
      <c r="AJ29" s="3573"/>
      <c r="AK29" s="3574">
        <v>0</v>
      </c>
      <c r="AL29" s="3573"/>
      <c r="AM29" s="3574">
        <v>0</v>
      </c>
      <c r="AN29" s="3573"/>
      <c r="AO29" s="3574">
        <v>0</v>
      </c>
      <c r="AP29" s="3573"/>
      <c r="AQ29" s="3574">
        <v>0</v>
      </c>
      <c r="AR29" s="3575"/>
      <c r="AS29" s="593"/>
      <c r="AT29" s="593"/>
      <c r="AU29" s="593"/>
      <c r="AV29" s="593"/>
      <c r="AW29" s="593"/>
      <c r="AX29" s="593"/>
      <c r="AY29" s="593"/>
      <c r="AZ29" s="593"/>
      <c r="BA29" s="593"/>
      <c r="BB29" s="593"/>
      <c r="BC29" s="593"/>
      <c r="BD29" s="593"/>
      <c r="BE29" s="593"/>
      <c r="BF29" s="593"/>
    </row>
    <row r="30" spans="1:58" s="41" customFormat="1" ht="24.75" customHeight="1">
      <c r="A30" s="593"/>
      <c r="B30" s="1229"/>
      <c r="C30" s="1239"/>
      <c r="D30" s="1239"/>
      <c r="E30" s="1239"/>
      <c r="F30" s="3578" t="s">
        <v>872</v>
      </c>
      <c r="G30" s="3578"/>
      <c r="H30" s="3578"/>
      <c r="I30" s="3578"/>
      <c r="J30" s="3578"/>
      <c r="K30" s="3578"/>
      <c r="L30" s="3578"/>
      <c r="M30" s="3578"/>
      <c r="N30" s="3578"/>
      <c r="O30" s="3578"/>
      <c r="P30" s="3578"/>
      <c r="Q30" s="3578"/>
      <c r="R30" s="3578"/>
      <c r="S30" s="3578"/>
      <c r="T30" s="1240"/>
      <c r="U30" s="3579">
        <v>0</v>
      </c>
      <c r="V30" s="3572"/>
      <c r="W30" s="3574">
        <v>0</v>
      </c>
      <c r="X30" s="3573"/>
      <c r="Y30" s="3574">
        <v>0</v>
      </c>
      <c r="Z30" s="3573"/>
      <c r="AA30" s="3574">
        <v>0</v>
      </c>
      <c r="AB30" s="3573"/>
      <c r="AC30" s="3574">
        <v>0</v>
      </c>
      <c r="AD30" s="3573"/>
      <c r="AE30" s="3574">
        <v>0</v>
      </c>
      <c r="AF30" s="3573"/>
      <c r="AG30" s="3574">
        <v>0</v>
      </c>
      <c r="AH30" s="3580"/>
      <c r="AI30" s="3572">
        <v>0</v>
      </c>
      <c r="AJ30" s="3573"/>
      <c r="AK30" s="3574">
        <v>0</v>
      </c>
      <c r="AL30" s="3573"/>
      <c r="AM30" s="3574">
        <v>0</v>
      </c>
      <c r="AN30" s="3573"/>
      <c r="AO30" s="3574">
        <v>0</v>
      </c>
      <c r="AP30" s="3573"/>
      <c r="AQ30" s="3574">
        <v>0</v>
      </c>
      <c r="AR30" s="3575"/>
      <c r="AS30" s="593"/>
      <c r="AT30" s="593"/>
      <c r="AU30" s="593"/>
      <c r="AV30" s="593"/>
      <c r="AW30" s="593"/>
      <c r="AX30" s="593"/>
      <c r="AY30" s="593"/>
      <c r="AZ30" s="593"/>
      <c r="BA30" s="593"/>
      <c r="BB30" s="593"/>
      <c r="BC30" s="593"/>
      <c r="BD30" s="593"/>
      <c r="BE30" s="593"/>
      <c r="BF30" s="593"/>
    </row>
    <row r="31" spans="1:58" s="41" customFormat="1" ht="24.75" customHeight="1">
      <c r="A31" s="593"/>
      <c r="B31" s="1229"/>
      <c r="C31" s="1239"/>
      <c r="D31" s="1239"/>
      <c r="E31" s="1239"/>
      <c r="F31" s="3578" t="s">
        <v>873</v>
      </c>
      <c r="G31" s="3578"/>
      <c r="H31" s="3578"/>
      <c r="I31" s="3578"/>
      <c r="J31" s="3578"/>
      <c r="K31" s="3578"/>
      <c r="L31" s="3578"/>
      <c r="M31" s="3578"/>
      <c r="N31" s="3578"/>
      <c r="O31" s="3578"/>
      <c r="P31" s="3578"/>
      <c r="Q31" s="3578"/>
      <c r="R31" s="3578"/>
      <c r="S31" s="3578"/>
      <c r="T31" s="1240"/>
      <c r="U31" s="3579">
        <v>0</v>
      </c>
      <c r="V31" s="3572"/>
      <c r="W31" s="3574">
        <v>0</v>
      </c>
      <c r="X31" s="3573"/>
      <c r="Y31" s="3574">
        <v>0</v>
      </c>
      <c r="Z31" s="3573"/>
      <c r="AA31" s="3574">
        <v>0</v>
      </c>
      <c r="AB31" s="3573"/>
      <c r="AC31" s="3574">
        <v>0</v>
      </c>
      <c r="AD31" s="3573"/>
      <c r="AE31" s="3574">
        <v>0</v>
      </c>
      <c r="AF31" s="3573"/>
      <c r="AG31" s="3574">
        <v>0</v>
      </c>
      <c r="AH31" s="3580"/>
      <c r="AI31" s="3572">
        <v>0</v>
      </c>
      <c r="AJ31" s="3573"/>
      <c r="AK31" s="3574">
        <v>0</v>
      </c>
      <c r="AL31" s="3573"/>
      <c r="AM31" s="3574">
        <v>0</v>
      </c>
      <c r="AN31" s="3573"/>
      <c r="AO31" s="3574">
        <v>0</v>
      </c>
      <c r="AP31" s="3573"/>
      <c r="AQ31" s="3574">
        <v>0</v>
      </c>
      <c r="AR31" s="3575"/>
      <c r="AS31" s="593"/>
      <c r="AT31" s="593"/>
      <c r="AU31" s="593"/>
      <c r="AV31" s="593"/>
      <c r="AW31" s="593"/>
      <c r="AX31" s="593"/>
      <c r="AY31" s="593"/>
      <c r="AZ31" s="593"/>
      <c r="BA31" s="593"/>
      <c r="BB31" s="593"/>
      <c r="BC31" s="593"/>
      <c r="BD31" s="593"/>
      <c r="BE31" s="593"/>
      <c r="BF31" s="593"/>
    </row>
    <row r="32" spans="1:58" s="41" customFormat="1" ht="24.75" customHeight="1" thickBot="1">
      <c r="A32" s="593"/>
      <c r="B32" s="1248"/>
      <c r="C32" s="1249"/>
      <c r="D32" s="1249"/>
      <c r="E32" s="1249"/>
      <c r="F32" s="3576" t="s">
        <v>874</v>
      </c>
      <c r="G32" s="3576"/>
      <c r="H32" s="3576"/>
      <c r="I32" s="3576"/>
      <c r="J32" s="3576"/>
      <c r="K32" s="3576"/>
      <c r="L32" s="3576"/>
      <c r="M32" s="3576"/>
      <c r="N32" s="3576"/>
      <c r="O32" s="3576"/>
      <c r="P32" s="3576"/>
      <c r="Q32" s="3576"/>
      <c r="R32" s="3576"/>
      <c r="S32" s="3576"/>
      <c r="T32" s="1250"/>
      <c r="U32" s="3577">
        <v>0</v>
      </c>
      <c r="V32" s="3571"/>
      <c r="W32" s="3567">
        <v>0</v>
      </c>
      <c r="X32" s="3568"/>
      <c r="Y32" s="3567">
        <v>0</v>
      </c>
      <c r="Z32" s="3568"/>
      <c r="AA32" s="3567">
        <v>0</v>
      </c>
      <c r="AB32" s="3568"/>
      <c r="AC32" s="3567">
        <v>0</v>
      </c>
      <c r="AD32" s="3568"/>
      <c r="AE32" s="3567">
        <v>0</v>
      </c>
      <c r="AF32" s="3568"/>
      <c r="AG32" s="3567">
        <v>0</v>
      </c>
      <c r="AH32" s="3570"/>
      <c r="AI32" s="3571">
        <v>0</v>
      </c>
      <c r="AJ32" s="3568"/>
      <c r="AK32" s="3567">
        <v>0</v>
      </c>
      <c r="AL32" s="3568"/>
      <c r="AM32" s="3567">
        <v>0</v>
      </c>
      <c r="AN32" s="3568"/>
      <c r="AO32" s="3567">
        <v>0</v>
      </c>
      <c r="AP32" s="3568"/>
      <c r="AQ32" s="3567">
        <v>0</v>
      </c>
      <c r="AR32" s="3569"/>
      <c r="AS32" s="593"/>
      <c r="AT32" s="593"/>
      <c r="AU32" s="593"/>
      <c r="AV32" s="593"/>
      <c r="AW32" s="593"/>
      <c r="AX32" s="593"/>
      <c r="AY32" s="593"/>
      <c r="AZ32" s="593"/>
      <c r="BA32" s="593"/>
      <c r="BB32" s="593"/>
      <c r="BC32" s="593"/>
      <c r="BD32" s="593"/>
      <c r="BE32" s="593"/>
      <c r="BF32" s="593"/>
    </row>
    <row r="33" spans="1:58" s="41" customFormat="1" ht="12" customHeight="1" thickTop="1">
      <c r="A33" s="593"/>
      <c r="B33" s="1145"/>
      <c r="C33" s="1145"/>
      <c r="D33" s="1145"/>
      <c r="E33" s="1145"/>
      <c r="F33" s="1251"/>
      <c r="G33" s="1251"/>
      <c r="H33" s="1251"/>
      <c r="I33" s="1251"/>
      <c r="J33" s="1251"/>
      <c r="K33" s="1251"/>
      <c r="L33" s="1251"/>
      <c r="M33" s="1251"/>
      <c r="N33" s="1251"/>
      <c r="O33" s="1251"/>
      <c r="P33" s="1251"/>
      <c r="Q33" s="1251"/>
      <c r="R33" s="1251"/>
      <c r="S33" s="1251"/>
      <c r="T33" s="1145"/>
      <c r="U33" s="1237"/>
      <c r="V33" s="1237"/>
      <c r="W33" s="1237"/>
      <c r="X33" s="1237"/>
      <c r="Y33" s="1237"/>
      <c r="Z33" s="1237"/>
      <c r="AA33" s="1237"/>
      <c r="AB33" s="1237"/>
      <c r="AC33" s="1237"/>
      <c r="AD33" s="1237"/>
      <c r="AE33" s="1237"/>
      <c r="AF33" s="1237"/>
      <c r="AG33" s="1237"/>
      <c r="AH33" s="1237"/>
      <c r="AI33" s="1237"/>
      <c r="AJ33" s="1237"/>
      <c r="AK33" s="1237"/>
      <c r="AL33" s="1237"/>
      <c r="AM33" s="1237"/>
      <c r="AN33" s="1237"/>
      <c r="AO33" s="1237"/>
      <c r="AP33" s="1237"/>
      <c r="AQ33" s="1237"/>
      <c r="AR33" s="1237"/>
      <c r="AS33" s="593"/>
      <c r="AT33" s="593"/>
      <c r="AU33" s="593"/>
      <c r="AV33" s="593"/>
      <c r="AW33" s="593"/>
      <c r="AX33" s="593"/>
      <c r="AY33" s="593"/>
      <c r="AZ33" s="593"/>
      <c r="BA33" s="593"/>
      <c r="BB33" s="593"/>
      <c r="BC33" s="593"/>
      <c r="BD33" s="593"/>
      <c r="BE33" s="593"/>
      <c r="BF33" s="593"/>
    </row>
    <row r="34" spans="1:58" s="102" customFormat="1" ht="17.25">
      <c r="A34" s="599"/>
      <c r="B34" s="227" t="s">
        <v>1195</v>
      </c>
      <c r="C34" s="599"/>
      <c r="D34" s="599"/>
      <c r="E34" s="599"/>
      <c r="F34" s="1227"/>
      <c r="G34" s="1235"/>
      <c r="H34" s="1235"/>
      <c r="I34" s="1235"/>
      <c r="J34" s="1235"/>
      <c r="K34" s="1235"/>
      <c r="L34" s="1235"/>
      <c r="M34" s="1235"/>
      <c r="N34" s="1235"/>
      <c r="O34" s="1235"/>
      <c r="P34" s="1235"/>
      <c r="Q34" s="1235"/>
      <c r="R34" s="1235"/>
      <c r="S34" s="1235"/>
      <c r="T34" s="1235"/>
      <c r="U34" s="1235"/>
      <c r="V34" s="1235"/>
      <c r="W34" s="1235"/>
      <c r="X34" s="599"/>
      <c r="Y34" s="599"/>
      <c r="Z34" s="599"/>
      <c r="AA34" s="599"/>
      <c r="AB34" s="599"/>
      <c r="AC34" s="599"/>
      <c r="AD34" s="599"/>
      <c r="AE34" s="599"/>
      <c r="AF34" s="599"/>
      <c r="AG34" s="599"/>
      <c r="AH34" s="599"/>
      <c r="AI34" s="599"/>
      <c r="AJ34" s="599"/>
      <c r="AK34" s="599"/>
      <c r="AL34" s="599"/>
      <c r="AM34" s="599"/>
      <c r="AN34" s="599"/>
      <c r="AO34" s="599"/>
      <c r="AP34" s="599"/>
      <c r="AQ34" s="599"/>
      <c r="AR34" s="599"/>
      <c r="AS34" s="599"/>
      <c r="AT34" s="599"/>
      <c r="AU34" s="599"/>
      <c r="AV34" s="599"/>
      <c r="AW34" s="599"/>
      <c r="AX34" s="599"/>
      <c r="AY34" s="599"/>
      <c r="AZ34" s="599"/>
      <c r="BA34" s="599"/>
      <c r="BB34" s="599"/>
      <c r="BC34" s="599"/>
      <c r="BD34" s="599"/>
      <c r="BE34" s="599"/>
      <c r="BF34" s="599"/>
    </row>
    <row r="35" spans="1:58" s="3" customFormat="1" ht="33.75" customHeight="1">
      <c r="A35" s="240"/>
      <c r="B35" s="240"/>
      <c r="C35" s="239"/>
      <c r="D35" s="240"/>
      <c r="E35" s="239"/>
      <c r="F35" s="240"/>
      <c r="G35" s="239"/>
      <c r="H35" s="240"/>
      <c r="I35" s="239"/>
      <c r="J35" s="240"/>
      <c r="K35" s="239"/>
      <c r="L35" s="240"/>
      <c r="M35" s="239"/>
      <c r="N35" s="240"/>
      <c r="O35" s="240"/>
      <c r="P35" s="240"/>
      <c r="Q35" s="240"/>
      <c r="R35" s="239"/>
      <c r="S35" s="240"/>
      <c r="T35" s="239"/>
      <c r="U35" s="240"/>
      <c r="V35" s="239"/>
      <c r="W35" s="240"/>
      <c r="X35" s="239"/>
      <c r="Y35" s="240"/>
      <c r="Z35" s="239"/>
      <c r="AA35" s="240"/>
      <c r="AB35" s="239"/>
      <c r="AC35" s="240"/>
      <c r="AD35" s="240"/>
      <c r="AE35" s="239"/>
      <c r="AF35" s="240"/>
      <c r="AG35" s="239"/>
      <c r="AH35" s="240"/>
      <c r="AI35" s="239"/>
      <c r="AJ35" s="240"/>
      <c r="AK35" s="239"/>
      <c r="AL35" s="240"/>
      <c r="AM35" s="239"/>
      <c r="AN35" s="240"/>
      <c r="AO35" s="239"/>
      <c r="AP35" s="240"/>
      <c r="AQ35" s="239"/>
      <c r="AR35" s="240"/>
      <c r="AS35" s="240"/>
      <c r="AT35" s="240"/>
      <c r="AU35" s="240"/>
      <c r="AV35" s="240"/>
      <c r="AW35" s="240"/>
      <c r="AX35" s="240"/>
      <c r="AY35" s="240"/>
      <c r="AZ35" s="240"/>
      <c r="BA35" s="240"/>
      <c r="BB35" s="240"/>
      <c r="BC35" s="240"/>
      <c r="BD35" s="240"/>
      <c r="BE35" s="240"/>
      <c r="BF35" s="240"/>
    </row>
    <row r="36" spans="1:58" s="37" customFormat="1" ht="15">
      <c r="A36" s="263"/>
      <c r="B36" s="332" t="s">
        <v>32</v>
      </c>
      <c r="C36" s="263"/>
      <c r="D36" s="263"/>
      <c r="E36" s="263"/>
      <c r="F36" s="263"/>
      <c r="G36" s="263"/>
      <c r="H36" s="263"/>
      <c r="I36" s="263"/>
      <c r="J36" s="263"/>
      <c r="K36" s="263"/>
      <c r="L36" s="263"/>
      <c r="M36" s="263"/>
      <c r="N36" s="263"/>
      <c r="O36" s="263"/>
      <c r="P36" s="263"/>
      <c r="Q36" s="332" t="s">
        <v>856</v>
      </c>
      <c r="R36" s="263"/>
      <c r="S36" s="263"/>
      <c r="T36" s="263"/>
      <c r="U36" s="263"/>
      <c r="V36" s="263"/>
      <c r="W36" s="263"/>
      <c r="X36" s="263"/>
      <c r="Y36" s="263"/>
      <c r="Z36" s="263"/>
      <c r="AA36" s="263"/>
      <c r="AB36" s="263"/>
      <c r="AC36" s="263"/>
      <c r="AD36" s="263"/>
      <c r="AE36" s="263"/>
      <c r="AF36" s="332" t="s">
        <v>33</v>
      </c>
      <c r="AG36" s="263"/>
      <c r="AH36" s="263"/>
      <c r="AI36" s="263"/>
      <c r="AJ36" s="263"/>
      <c r="AK36" s="263"/>
      <c r="AL36" s="263"/>
      <c r="AM36" s="263"/>
      <c r="AN36" s="263"/>
      <c r="AO36" s="263"/>
      <c r="AP36" s="263"/>
      <c r="AQ36" s="263"/>
      <c r="AR36" s="263"/>
      <c r="AS36" s="263"/>
      <c r="AT36" s="263"/>
      <c r="AU36" s="263"/>
      <c r="AV36" s="263"/>
      <c r="AW36" s="263"/>
      <c r="AX36" s="263"/>
      <c r="AY36" s="263"/>
      <c r="AZ36" s="263"/>
      <c r="BA36" s="263"/>
      <c r="BB36" s="263"/>
      <c r="BC36" s="263"/>
      <c r="BD36" s="263"/>
      <c r="BE36" s="263"/>
      <c r="BF36" s="263"/>
    </row>
    <row r="37" spans="1:58" s="37" customFormat="1" ht="21.75" customHeight="1">
      <c r="A37" s="263"/>
      <c r="B37" s="332" t="s">
        <v>73</v>
      </c>
      <c r="C37" s="263"/>
      <c r="D37" s="263"/>
      <c r="E37" s="263"/>
      <c r="F37" s="2790" t="str">
        <f>activesheet!E21</f>
        <v>MELCHESIEDICK Q. BOLANIO / March 17, 2023</v>
      </c>
      <c r="G37" s="2790"/>
      <c r="H37" s="2790"/>
      <c r="I37" s="2790"/>
      <c r="J37" s="2790"/>
      <c r="K37" s="2790"/>
      <c r="L37" s="2790"/>
      <c r="M37" s="2790"/>
      <c r="N37" s="2790"/>
      <c r="O37" s="263"/>
      <c r="P37" s="263"/>
      <c r="Q37" s="2790" t="str">
        <f>activesheet!E3344</f>
        <v>ELYN KENDRA D. DELA CRUZ / March 17, 2023</v>
      </c>
      <c r="R37" s="2790"/>
      <c r="S37" s="2790"/>
      <c r="T37" s="2790"/>
      <c r="U37" s="2790"/>
      <c r="V37" s="2790"/>
      <c r="W37" s="2790"/>
      <c r="X37" s="2790"/>
      <c r="Y37" s="2790"/>
      <c r="Z37" s="2790"/>
      <c r="AA37" s="2790"/>
      <c r="AB37" s="2790"/>
      <c r="AC37" s="2790"/>
      <c r="AD37" s="263"/>
      <c r="AE37" s="263"/>
      <c r="AF37" s="1819" t="str">
        <f>activesheet!E25</f>
        <v>MICHAEL T. JAMIS / March 17, 2023</v>
      </c>
      <c r="AG37" s="1819"/>
      <c r="AH37" s="1819"/>
      <c r="AI37" s="1819"/>
      <c r="AJ37" s="1819"/>
      <c r="AK37" s="1819"/>
      <c r="AL37" s="1819"/>
      <c r="AM37" s="1819"/>
      <c r="AN37" s="1819"/>
      <c r="AO37" s="1819"/>
      <c r="AP37" s="1819"/>
      <c r="AQ37" s="1819"/>
      <c r="AR37" s="1819"/>
      <c r="AS37" s="263"/>
      <c r="AT37" s="263"/>
      <c r="AU37" s="263"/>
      <c r="AV37" s="263"/>
      <c r="AW37" s="263"/>
      <c r="AX37" s="263"/>
      <c r="AY37" s="263"/>
      <c r="AZ37" s="263"/>
      <c r="BA37" s="263"/>
      <c r="BB37" s="263"/>
      <c r="BC37" s="263"/>
      <c r="BD37" s="263"/>
      <c r="BE37" s="263"/>
      <c r="BF37" s="263"/>
    </row>
    <row r="38" spans="1:58" s="39" customFormat="1" ht="15" customHeight="1">
      <c r="A38" s="280"/>
      <c r="B38" s="228"/>
      <c r="C38" s="280"/>
      <c r="D38" s="280"/>
      <c r="E38" s="280"/>
      <c r="F38" s="1811" t="s">
        <v>37</v>
      </c>
      <c r="G38" s="1811"/>
      <c r="H38" s="1811"/>
      <c r="I38" s="1811"/>
      <c r="J38" s="1811"/>
      <c r="K38" s="1811"/>
      <c r="L38" s="1811"/>
      <c r="M38" s="1811"/>
      <c r="N38" s="1811"/>
      <c r="O38" s="228"/>
      <c r="P38" s="228"/>
      <c r="Q38" s="1811" t="s">
        <v>37</v>
      </c>
      <c r="R38" s="1811"/>
      <c r="S38" s="1811"/>
      <c r="T38" s="1811"/>
      <c r="U38" s="1811"/>
      <c r="V38" s="1811"/>
      <c r="W38" s="1811"/>
      <c r="X38" s="1811"/>
      <c r="Y38" s="1811"/>
      <c r="Z38" s="1811"/>
      <c r="AA38" s="1811"/>
      <c r="AB38" s="1811"/>
      <c r="AC38" s="1811"/>
      <c r="AD38" s="281"/>
      <c r="AE38" s="281"/>
      <c r="AF38" s="1820"/>
      <c r="AG38" s="1820"/>
      <c r="AH38" s="1820"/>
      <c r="AI38" s="1820"/>
      <c r="AJ38" s="1820"/>
      <c r="AK38" s="1820"/>
      <c r="AL38" s="1820"/>
      <c r="AM38" s="1820"/>
      <c r="AN38" s="1820"/>
      <c r="AO38" s="1820"/>
      <c r="AP38" s="1820"/>
      <c r="AQ38" s="1820"/>
      <c r="AR38" s="1820"/>
      <c r="AS38" s="280"/>
      <c r="AT38" s="280"/>
      <c r="AU38" s="280"/>
      <c r="AV38" s="280"/>
      <c r="AW38" s="280"/>
      <c r="AX38" s="280"/>
      <c r="AY38" s="280"/>
      <c r="AZ38" s="280"/>
      <c r="BA38" s="280"/>
      <c r="BB38" s="280"/>
      <c r="BC38" s="280"/>
      <c r="BD38" s="280"/>
      <c r="BE38" s="280"/>
      <c r="BF38" s="280"/>
    </row>
    <row r="39" spans="1:58" s="37" customFormat="1" ht="21.75" customHeight="1">
      <c r="A39" s="263"/>
      <c r="B39" s="332" t="s">
        <v>58</v>
      </c>
      <c r="C39" s="263"/>
      <c r="D39" s="263"/>
      <c r="E39" s="263"/>
      <c r="F39" s="2790" t="str">
        <f>activesheet!E22</f>
        <v>SECONDARY SCHOOL PRINCIPAL IV</v>
      </c>
      <c r="G39" s="2790"/>
      <c r="H39" s="2790"/>
      <c r="I39" s="2790"/>
      <c r="J39" s="2790"/>
      <c r="K39" s="2790"/>
      <c r="L39" s="2790"/>
      <c r="M39" s="2790"/>
      <c r="N39" s="2790"/>
      <c r="O39" s="263"/>
      <c r="P39" s="260"/>
      <c r="Q39" s="332" t="s">
        <v>58</v>
      </c>
      <c r="R39" s="263"/>
      <c r="S39" s="263"/>
      <c r="T39" s="263"/>
      <c r="U39" s="2790" t="str">
        <f>activesheet!E3345</f>
        <v>PROJECT DEVELOPMENT OFFICER II</v>
      </c>
      <c r="V39" s="2790"/>
      <c r="W39" s="2790"/>
      <c r="X39" s="2790"/>
      <c r="Y39" s="2790"/>
      <c r="Z39" s="2790"/>
      <c r="AA39" s="2790"/>
      <c r="AB39" s="2790"/>
      <c r="AC39" s="2790"/>
      <c r="AD39" s="263"/>
      <c r="AE39" s="263"/>
      <c r="AF39" s="1811" t="s">
        <v>37</v>
      </c>
      <c r="AG39" s="1811"/>
      <c r="AH39" s="1811"/>
      <c r="AI39" s="1811"/>
      <c r="AJ39" s="1811"/>
      <c r="AK39" s="1811"/>
      <c r="AL39" s="1811"/>
      <c r="AM39" s="1811"/>
      <c r="AN39" s="1811"/>
      <c r="AO39" s="1811"/>
      <c r="AP39" s="1811"/>
      <c r="AQ39" s="1811"/>
      <c r="AR39" s="1811"/>
      <c r="AS39" s="263"/>
      <c r="AT39" s="263"/>
      <c r="AU39" s="263"/>
      <c r="AV39" s="263"/>
      <c r="AW39" s="263"/>
      <c r="AX39" s="263"/>
      <c r="AY39" s="263"/>
      <c r="AZ39" s="263"/>
      <c r="BA39" s="263"/>
      <c r="BB39" s="263"/>
      <c r="BC39" s="263"/>
      <c r="BD39" s="263"/>
      <c r="BE39" s="263"/>
      <c r="BF39" s="263"/>
    </row>
    <row r="40" spans="1:58">
      <c r="A40" s="941"/>
      <c r="B40" s="941"/>
      <c r="C40" s="941"/>
      <c r="D40" s="941"/>
      <c r="E40" s="941"/>
      <c r="F40" s="941"/>
      <c r="G40" s="941"/>
      <c r="H40" s="941"/>
      <c r="I40" s="941"/>
      <c r="J40" s="941"/>
      <c r="K40" s="941"/>
      <c r="L40" s="941"/>
      <c r="M40" s="941"/>
      <c r="N40" s="941"/>
      <c r="O40" s="941"/>
      <c r="P40" s="941"/>
      <c r="Q40" s="273"/>
      <c r="R40" s="273"/>
      <c r="S40" s="273"/>
      <c r="T40" s="273"/>
      <c r="U40" s="273"/>
      <c r="V40" s="273"/>
      <c r="W40" s="273"/>
      <c r="X40" s="273"/>
      <c r="Y40" s="273"/>
      <c r="Z40" s="273"/>
      <c r="AA40" s="273"/>
      <c r="AB40" s="941"/>
      <c r="AC40" s="941"/>
      <c r="AD40" s="941"/>
      <c r="AE40" s="941"/>
      <c r="AF40" s="941"/>
      <c r="AG40" s="941"/>
      <c r="AH40" s="941"/>
      <c r="AI40" s="941"/>
      <c r="AJ40" s="941"/>
      <c r="AK40" s="941"/>
      <c r="AL40" s="273"/>
      <c r="AM40" s="273"/>
      <c r="AN40" s="273"/>
      <c r="AO40" s="273"/>
      <c r="AP40" s="273"/>
      <c r="AQ40" s="941"/>
      <c r="AR40" s="941"/>
      <c r="AS40" s="941"/>
      <c r="AT40" s="941"/>
      <c r="AU40" s="941"/>
      <c r="AV40" s="941"/>
      <c r="AW40" s="941"/>
      <c r="AX40" s="941"/>
      <c r="AY40" s="941"/>
      <c r="AZ40" s="941"/>
      <c r="BA40" s="941"/>
      <c r="BB40" s="941"/>
      <c r="BC40" s="941"/>
      <c r="BD40" s="941"/>
      <c r="BE40" s="941"/>
      <c r="BF40" s="941"/>
    </row>
    <row r="41" spans="1:58" s="4" customFormat="1">
      <c r="A41" s="976"/>
      <c r="B41" s="976"/>
      <c r="C41" s="976"/>
      <c r="D41" s="976"/>
      <c r="E41" s="976"/>
      <c r="F41" s="976"/>
      <c r="G41" s="976"/>
      <c r="H41" s="976"/>
      <c r="I41" s="976"/>
      <c r="J41" s="976"/>
      <c r="K41" s="976"/>
      <c r="L41" s="976"/>
      <c r="M41" s="976"/>
      <c r="N41" s="976"/>
      <c r="O41" s="976"/>
      <c r="P41" s="976"/>
      <c r="Q41" s="976"/>
      <c r="R41" s="976"/>
      <c r="S41" s="976"/>
      <c r="T41" s="976"/>
      <c r="U41" s="976"/>
      <c r="V41" s="976"/>
      <c r="W41" s="976"/>
      <c r="X41" s="976"/>
      <c r="Y41" s="976"/>
      <c r="Z41" s="976"/>
      <c r="AA41" s="976"/>
      <c r="AB41" s="976"/>
      <c r="AC41" s="976"/>
      <c r="AD41" s="976"/>
      <c r="AE41" s="976"/>
      <c r="AF41" s="976"/>
      <c r="AG41" s="976"/>
      <c r="AH41" s="976"/>
      <c r="AI41" s="976"/>
      <c r="AJ41" s="976"/>
      <c r="AK41" s="976"/>
      <c r="AL41" s="976"/>
      <c r="AM41" s="976"/>
      <c r="AN41" s="976"/>
      <c r="AO41" s="976"/>
      <c r="AP41" s="976"/>
      <c r="AQ41" s="976"/>
      <c r="AR41" s="976"/>
      <c r="AS41" s="976"/>
      <c r="AT41" s="976"/>
      <c r="AU41" s="976"/>
      <c r="AV41" s="976"/>
      <c r="AW41" s="976"/>
      <c r="AX41" s="976"/>
      <c r="AY41" s="976"/>
      <c r="AZ41" s="976"/>
      <c r="BA41" s="976"/>
      <c r="BB41" s="976"/>
      <c r="BC41" s="976"/>
      <c r="BD41" s="976"/>
      <c r="BE41" s="976"/>
      <c r="BF41" s="976"/>
    </row>
    <row r="42" spans="1:58" s="4" customFormat="1" ht="19.5" customHeight="1">
      <c r="A42" s="976"/>
      <c r="B42" s="976"/>
      <c r="C42" s="976"/>
      <c r="D42" s="976"/>
      <c r="E42" s="976"/>
      <c r="F42" s="976"/>
      <c r="G42" s="976"/>
      <c r="H42" s="976"/>
      <c r="I42" s="976"/>
      <c r="J42" s="976"/>
      <c r="K42" s="976"/>
      <c r="L42" s="976"/>
      <c r="M42" s="976"/>
      <c r="N42" s="976"/>
      <c r="O42" s="976"/>
      <c r="P42" s="976"/>
      <c r="Q42" s="976"/>
      <c r="R42" s="976"/>
      <c r="S42" s="976"/>
      <c r="T42" s="976"/>
      <c r="U42" s="976"/>
      <c r="V42" s="976"/>
      <c r="W42" s="976"/>
      <c r="X42" s="976"/>
      <c r="Y42" s="976"/>
      <c r="Z42" s="976"/>
      <c r="AA42" s="976"/>
      <c r="AB42" s="976"/>
      <c r="AC42" s="976"/>
      <c r="AD42" s="976"/>
      <c r="AE42" s="976"/>
      <c r="AF42" s="976"/>
      <c r="AG42" s="976"/>
      <c r="AH42" s="976"/>
      <c r="AI42" s="976"/>
      <c r="AJ42" s="976"/>
      <c r="AK42" s="976"/>
      <c r="AL42" s="976"/>
      <c r="AM42" s="976"/>
      <c r="AN42" s="976"/>
      <c r="AO42" s="976"/>
      <c r="AP42" s="976"/>
      <c r="AQ42" s="976"/>
      <c r="AR42" s="976"/>
      <c r="AS42" s="976"/>
      <c r="AT42" s="976"/>
      <c r="AU42" s="976"/>
      <c r="AV42" s="976"/>
      <c r="AW42" s="976"/>
      <c r="AX42" s="976"/>
      <c r="AY42" s="976"/>
      <c r="AZ42" s="976"/>
      <c r="BA42" s="976"/>
      <c r="BB42" s="976"/>
      <c r="BC42" s="976"/>
      <c r="BD42" s="976"/>
      <c r="BE42" s="976"/>
      <c r="BF42" s="976"/>
    </row>
    <row r="43" spans="1:58" s="4" customFormat="1">
      <c r="A43" s="976"/>
      <c r="B43" s="976"/>
      <c r="C43" s="976"/>
      <c r="D43" s="976"/>
      <c r="E43" s="976"/>
      <c r="F43" s="976"/>
      <c r="G43" s="976"/>
      <c r="H43" s="976"/>
      <c r="I43" s="976"/>
      <c r="J43" s="976"/>
      <c r="K43" s="976"/>
      <c r="L43" s="976"/>
      <c r="M43" s="976"/>
      <c r="N43" s="976"/>
      <c r="O43" s="976"/>
      <c r="P43" s="976"/>
      <c r="Q43" s="976"/>
      <c r="R43" s="976"/>
      <c r="S43" s="976"/>
      <c r="T43" s="976"/>
      <c r="U43" s="976"/>
      <c r="V43" s="976"/>
      <c r="W43" s="976"/>
      <c r="X43" s="976"/>
      <c r="Y43" s="976"/>
      <c r="Z43" s="976"/>
      <c r="AA43" s="976"/>
      <c r="AB43" s="976"/>
      <c r="AC43" s="976"/>
      <c r="AD43" s="976"/>
      <c r="AE43" s="976"/>
      <c r="AF43" s="976"/>
      <c r="AG43" s="976"/>
      <c r="AH43" s="976"/>
      <c r="AI43" s="976"/>
      <c r="AJ43" s="976"/>
      <c r="AK43" s="976"/>
      <c r="AL43" s="976"/>
      <c r="AM43" s="976"/>
      <c r="AN43" s="976"/>
      <c r="AO43" s="976"/>
      <c r="AP43" s="976"/>
      <c r="AQ43" s="976"/>
      <c r="AR43" s="976"/>
      <c r="AS43" s="976"/>
      <c r="AT43" s="976"/>
      <c r="AU43" s="976"/>
      <c r="AV43" s="976"/>
      <c r="AW43" s="976"/>
      <c r="AX43" s="976"/>
      <c r="AY43" s="976"/>
      <c r="AZ43" s="976"/>
      <c r="BA43" s="976"/>
      <c r="BB43" s="976"/>
      <c r="BC43" s="976"/>
      <c r="BD43" s="976"/>
      <c r="BE43" s="976"/>
      <c r="BF43" s="976"/>
    </row>
    <row r="44" spans="1:58" s="4" customFormat="1">
      <c r="A44" s="976"/>
      <c r="B44" s="941"/>
      <c r="C44" s="976"/>
      <c r="D44" s="976"/>
      <c r="E44" s="976"/>
      <c r="F44" s="976"/>
      <c r="G44" s="976"/>
      <c r="H44" s="976"/>
      <c r="I44" s="976"/>
      <c r="J44" s="976"/>
      <c r="K44" s="976"/>
      <c r="L44" s="976"/>
      <c r="M44" s="976"/>
      <c r="N44" s="976"/>
      <c r="O44" s="976"/>
      <c r="P44" s="976"/>
      <c r="Q44" s="976"/>
      <c r="R44" s="976"/>
      <c r="S44" s="976"/>
      <c r="T44" s="976"/>
      <c r="U44" s="976"/>
      <c r="V44" s="976"/>
      <c r="W44" s="976"/>
      <c r="X44" s="976"/>
      <c r="Y44" s="976"/>
      <c r="Z44" s="976"/>
      <c r="AA44" s="976"/>
      <c r="AB44" s="976"/>
      <c r="AC44" s="976"/>
      <c r="AD44" s="976"/>
      <c r="AE44" s="976"/>
      <c r="AF44" s="976"/>
      <c r="AG44" s="976"/>
      <c r="AH44" s="976"/>
      <c r="AI44" s="976"/>
      <c r="AJ44" s="976"/>
      <c r="AK44" s="976"/>
      <c r="AL44" s="976"/>
      <c r="AM44" s="976"/>
      <c r="AN44" s="976"/>
      <c r="AO44" s="976"/>
      <c r="AP44" s="976"/>
      <c r="AQ44" s="976"/>
      <c r="AR44" s="976"/>
      <c r="AS44" s="976"/>
      <c r="AT44" s="976"/>
      <c r="AU44" s="976"/>
      <c r="AV44" s="976"/>
      <c r="AW44" s="976"/>
      <c r="AX44" s="976"/>
      <c r="AY44" s="976"/>
      <c r="AZ44" s="976"/>
      <c r="BA44" s="976"/>
      <c r="BB44" s="976"/>
      <c r="BC44" s="976"/>
      <c r="BD44" s="976"/>
      <c r="BE44" s="976"/>
      <c r="BF44" s="976"/>
    </row>
    <row r="45" spans="1:58" ht="18" customHeight="1">
      <c r="A45" s="941"/>
      <c r="B45" s="941"/>
      <c r="C45" s="941"/>
      <c r="D45" s="941"/>
      <c r="E45" s="941"/>
      <c r="F45" s="941"/>
      <c r="G45" s="941"/>
      <c r="H45" s="941"/>
      <c r="I45" s="941"/>
      <c r="J45" s="941"/>
      <c r="K45" s="941"/>
      <c r="L45" s="941"/>
      <c r="M45" s="941"/>
      <c r="N45" s="941"/>
      <c r="O45" s="941"/>
      <c r="P45" s="941"/>
      <c r="Q45" s="941"/>
      <c r="R45" s="941"/>
      <c r="S45" s="941"/>
      <c r="T45" s="941"/>
      <c r="U45" s="941"/>
      <c r="V45" s="941"/>
      <c r="W45" s="941"/>
      <c r="X45" s="941"/>
      <c r="Y45" s="941"/>
      <c r="Z45" s="941"/>
      <c r="AA45" s="941"/>
      <c r="AB45" s="941"/>
      <c r="AC45" s="941"/>
      <c r="AD45" s="941"/>
      <c r="AE45" s="941"/>
      <c r="AF45" s="941"/>
      <c r="AG45" s="941"/>
      <c r="AH45" s="941"/>
      <c r="AI45" s="941"/>
      <c r="AJ45" s="941"/>
      <c r="AK45" s="941"/>
      <c r="AL45" s="941"/>
      <c r="AM45" s="941"/>
      <c r="AN45" s="941"/>
      <c r="AO45" s="941"/>
      <c r="AP45" s="941"/>
      <c r="AQ45" s="941"/>
      <c r="AR45" s="941"/>
      <c r="AS45" s="941"/>
      <c r="AT45" s="941"/>
      <c r="AU45" s="941"/>
      <c r="AV45" s="941"/>
      <c r="AW45" s="941"/>
      <c r="AX45" s="941"/>
      <c r="AY45" s="941"/>
      <c r="AZ45" s="941"/>
      <c r="BA45" s="941"/>
      <c r="BB45" s="941"/>
      <c r="BC45" s="941"/>
      <c r="BD45" s="941"/>
      <c r="BE45" s="941"/>
      <c r="BF45" s="941"/>
    </row>
    <row r="46" spans="1:58">
      <c r="A46" s="941"/>
      <c r="B46" s="941"/>
      <c r="C46" s="941"/>
      <c r="D46" s="941"/>
      <c r="E46" s="941"/>
      <c r="F46" s="941"/>
      <c r="G46" s="941"/>
      <c r="H46" s="941"/>
      <c r="I46" s="941"/>
      <c r="J46" s="941"/>
      <c r="K46" s="941"/>
      <c r="L46" s="941"/>
      <c r="M46" s="941"/>
      <c r="N46" s="941"/>
      <c r="O46" s="941"/>
      <c r="P46" s="941"/>
      <c r="Q46" s="941"/>
      <c r="R46" s="941"/>
      <c r="S46" s="941"/>
      <c r="T46" s="941"/>
      <c r="U46" s="941"/>
      <c r="V46" s="941"/>
      <c r="W46" s="941"/>
      <c r="X46" s="941"/>
      <c r="Y46" s="941"/>
      <c r="Z46" s="941"/>
      <c r="AA46" s="941"/>
      <c r="AB46" s="941"/>
      <c r="AC46" s="941"/>
      <c r="AD46" s="941"/>
      <c r="AE46" s="941"/>
      <c r="AF46" s="941"/>
      <c r="AG46" s="941"/>
      <c r="AH46" s="941"/>
      <c r="AI46" s="941"/>
      <c r="AJ46" s="941"/>
      <c r="AK46" s="941"/>
      <c r="AL46" s="941"/>
      <c r="AM46" s="941"/>
      <c r="AN46" s="941"/>
      <c r="AO46" s="941"/>
      <c r="AP46" s="941"/>
      <c r="AQ46" s="941"/>
      <c r="AR46" s="941"/>
      <c r="AS46" s="941"/>
      <c r="AT46" s="941"/>
      <c r="AU46" s="941"/>
      <c r="AV46" s="941"/>
      <c r="AW46" s="941"/>
      <c r="AX46" s="941"/>
      <c r="AY46" s="941"/>
      <c r="AZ46" s="941"/>
      <c r="BA46" s="941"/>
      <c r="BB46" s="941"/>
      <c r="BC46" s="941"/>
      <c r="BD46" s="941"/>
      <c r="BE46" s="941"/>
      <c r="BF46" s="941"/>
    </row>
    <row r="47" spans="1:58">
      <c r="A47" s="941"/>
      <c r="B47" s="941"/>
      <c r="C47" s="941"/>
      <c r="D47" s="941"/>
      <c r="E47" s="941"/>
      <c r="F47" s="941"/>
      <c r="G47" s="941"/>
      <c r="H47" s="941"/>
      <c r="I47" s="941"/>
      <c r="J47" s="941"/>
      <c r="K47" s="941"/>
      <c r="L47" s="941"/>
      <c r="M47" s="941"/>
      <c r="N47" s="941"/>
      <c r="O47" s="941"/>
      <c r="P47" s="941"/>
      <c r="Q47" s="941"/>
      <c r="R47" s="941"/>
      <c r="S47" s="941"/>
      <c r="T47" s="941"/>
      <c r="U47" s="941"/>
      <c r="V47" s="941"/>
      <c r="W47" s="941"/>
      <c r="X47" s="941"/>
      <c r="Y47" s="941"/>
      <c r="Z47" s="941"/>
      <c r="AA47" s="941"/>
      <c r="AB47" s="941"/>
      <c r="AC47" s="941"/>
      <c r="AD47" s="941"/>
      <c r="AE47" s="941"/>
      <c r="AF47" s="941"/>
      <c r="AG47" s="941"/>
      <c r="AH47" s="941"/>
      <c r="AI47" s="941"/>
      <c r="AJ47" s="941"/>
      <c r="AK47" s="941"/>
      <c r="AL47" s="941"/>
      <c r="AM47" s="941"/>
      <c r="AN47" s="941"/>
      <c r="AO47" s="941"/>
      <c r="AP47" s="941"/>
      <c r="AQ47" s="941"/>
      <c r="AR47" s="941"/>
      <c r="AS47" s="941"/>
      <c r="AT47" s="228"/>
      <c r="AU47" s="941"/>
      <c r="AV47" s="941"/>
      <c r="AW47" s="941"/>
      <c r="AX47" s="941"/>
      <c r="AY47" s="941"/>
      <c r="AZ47" s="941"/>
      <c r="BA47" s="941"/>
      <c r="BB47" s="941"/>
      <c r="BC47" s="941"/>
      <c r="BD47" s="941"/>
      <c r="BE47" s="941"/>
      <c r="BF47" s="941"/>
    </row>
    <row r="48" spans="1:58">
      <c r="A48" s="941"/>
      <c r="B48" s="941"/>
      <c r="C48" s="941"/>
      <c r="D48" s="941"/>
      <c r="E48" s="941"/>
      <c r="F48" s="941"/>
      <c r="G48" s="941"/>
      <c r="H48" s="941"/>
      <c r="I48" s="941"/>
      <c r="J48" s="941"/>
      <c r="K48" s="941"/>
      <c r="L48" s="941"/>
      <c r="M48" s="941"/>
      <c r="N48" s="941"/>
      <c r="O48" s="941"/>
      <c r="P48" s="941"/>
      <c r="Q48" s="941"/>
      <c r="R48" s="941"/>
      <c r="S48" s="941"/>
      <c r="T48" s="941"/>
      <c r="U48" s="941"/>
      <c r="V48" s="941"/>
      <c r="W48" s="941"/>
      <c r="X48" s="941"/>
      <c r="Y48" s="941"/>
      <c r="Z48" s="941"/>
      <c r="AA48" s="941"/>
      <c r="AB48" s="941"/>
      <c r="AC48" s="941"/>
      <c r="AD48" s="941"/>
      <c r="AE48" s="941"/>
      <c r="AF48" s="941"/>
      <c r="AG48" s="941"/>
      <c r="AH48" s="941"/>
      <c r="AI48" s="941"/>
      <c r="AJ48" s="941"/>
      <c r="AK48" s="941"/>
      <c r="AL48" s="941"/>
      <c r="AM48" s="941"/>
      <c r="AN48" s="941"/>
      <c r="AO48" s="941"/>
      <c r="AP48" s="941"/>
      <c r="AQ48" s="941"/>
      <c r="AR48" s="941"/>
      <c r="AS48" s="941"/>
      <c r="AT48" s="941"/>
      <c r="AU48" s="941"/>
      <c r="AV48" s="941"/>
      <c r="AW48" s="941"/>
      <c r="AX48" s="941"/>
      <c r="AY48" s="941"/>
      <c r="AZ48" s="941"/>
      <c r="BA48" s="941"/>
      <c r="BB48" s="941"/>
      <c r="BC48" s="941"/>
      <c r="BD48" s="941"/>
      <c r="BE48" s="941"/>
      <c r="BF48" s="941"/>
    </row>
    <row r="49" spans="1:58">
      <c r="A49" s="941"/>
      <c r="B49" s="941"/>
      <c r="C49" s="941"/>
      <c r="D49" s="941"/>
      <c r="E49" s="941"/>
      <c r="F49" s="941"/>
      <c r="G49" s="941"/>
      <c r="H49" s="941"/>
      <c r="I49" s="941"/>
      <c r="J49" s="941"/>
      <c r="K49" s="941"/>
      <c r="L49" s="941"/>
      <c r="M49" s="941"/>
      <c r="N49" s="941"/>
      <c r="O49" s="941"/>
      <c r="P49" s="941"/>
      <c r="Q49" s="941"/>
      <c r="R49" s="941"/>
      <c r="S49" s="941"/>
      <c r="T49" s="941"/>
      <c r="U49" s="941"/>
      <c r="V49" s="941"/>
      <c r="W49" s="941"/>
      <c r="X49" s="941"/>
      <c r="Y49" s="941"/>
      <c r="Z49" s="941"/>
      <c r="AA49" s="941"/>
      <c r="AB49" s="941"/>
      <c r="AC49" s="941"/>
      <c r="AD49" s="941"/>
      <c r="AE49" s="941"/>
      <c r="AF49" s="941"/>
      <c r="AG49" s="941"/>
      <c r="AH49" s="941"/>
      <c r="AI49" s="941"/>
      <c r="AJ49" s="941"/>
      <c r="AK49" s="941"/>
      <c r="AL49" s="941"/>
      <c r="AM49" s="941"/>
      <c r="AN49" s="941"/>
      <c r="AO49" s="941"/>
      <c r="AP49" s="941"/>
      <c r="AQ49" s="941"/>
      <c r="AR49" s="941"/>
      <c r="AS49" s="941"/>
      <c r="AT49" s="941"/>
      <c r="AU49" s="941"/>
      <c r="AV49" s="941"/>
      <c r="AW49" s="941"/>
      <c r="AX49" s="941"/>
      <c r="AY49" s="941"/>
      <c r="AZ49" s="941"/>
      <c r="BA49" s="941"/>
      <c r="BB49" s="941"/>
      <c r="BC49" s="941"/>
      <c r="BD49" s="941"/>
      <c r="BE49" s="941"/>
      <c r="BF49" s="941"/>
    </row>
    <row r="50" spans="1:58">
      <c r="A50" s="941"/>
      <c r="B50" s="941"/>
      <c r="C50" s="941"/>
      <c r="D50" s="941"/>
      <c r="E50" s="941"/>
      <c r="F50" s="941"/>
      <c r="G50" s="941"/>
      <c r="H50" s="941"/>
      <c r="I50" s="941"/>
      <c r="J50" s="941"/>
      <c r="K50" s="941"/>
      <c r="L50" s="941"/>
      <c r="M50" s="941"/>
      <c r="N50" s="941"/>
      <c r="O50" s="941"/>
      <c r="P50" s="941"/>
      <c r="Q50" s="941"/>
      <c r="R50" s="941"/>
      <c r="S50" s="941"/>
      <c r="T50" s="941"/>
      <c r="U50" s="941"/>
      <c r="V50" s="941"/>
      <c r="W50" s="941"/>
      <c r="X50" s="941"/>
      <c r="Y50" s="941"/>
      <c r="Z50" s="941"/>
      <c r="AA50" s="941"/>
      <c r="AB50" s="941"/>
      <c r="AC50" s="941"/>
      <c r="AD50" s="941"/>
      <c r="AE50" s="941"/>
      <c r="AF50" s="941"/>
      <c r="AG50" s="941"/>
      <c r="AH50" s="941"/>
      <c r="AI50" s="941"/>
      <c r="AJ50" s="941"/>
      <c r="AK50" s="941"/>
      <c r="AL50" s="941"/>
      <c r="AM50" s="941"/>
      <c r="AN50" s="941"/>
      <c r="AO50" s="941"/>
      <c r="AP50" s="941"/>
      <c r="AQ50" s="941"/>
      <c r="AR50" s="941"/>
      <c r="AS50" s="941"/>
      <c r="AT50" s="941"/>
      <c r="AU50" s="941"/>
      <c r="AV50" s="941"/>
      <c r="AW50" s="941"/>
      <c r="AX50" s="941"/>
      <c r="AY50" s="941"/>
      <c r="AZ50" s="941"/>
      <c r="BA50" s="941"/>
      <c r="BB50" s="941"/>
      <c r="BC50" s="941"/>
      <c r="BD50" s="941"/>
      <c r="BE50" s="941"/>
      <c r="BF50" s="941"/>
    </row>
    <row r="51" spans="1:58">
      <c r="A51" s="941"/>
      <c r="B51" s="941"/>
      <c r="C51" s="941"/>
      <c r="D51" s="941"/>
      <c r="E51" s="941"/>
      <c r="F51" s="941"/>
      <c r="G51" s="941"/>
      <c r="H51" s="941"/>
      <c r="I51" s="941"/>
      <c r="J51" s="941"/>
      <c r="K51" s="941"/>
      <c r="L51" s="941"/>
      <c r="M51" s="941"/>
      <c r="N51" s="941"/>
      <c r="O51" s="941"/>
      <c r="P51" s="941"/>
      <c r="Q51" s="941"/>
      <c r="R51" s="941"/>
      <c r="S51" s="941"/>
      <c r="T51" s="941"/>
      <c r="U51" s="941"/>
      <c r="V51" s="941"/>
      <c r="W51" s="941"/>
      <c r="X51" s="941"/>
      <c r="Y51" s="941"/>
      <c r="Z51" s="941"/>
      <c r="AA51" s="941"/>
      <c r="AB51" s="941"/>
      <c r="AC51" s="941"/>
      <c r="AD51" s="941"/>
      <c r="AE51" s="941"/>
      <c r="AF51" s="941"/>
      <c r="AG51" s="941"/>
      <c r="AH51" s="941"/>
      <c r="AI51" s="941"/>
      <c r="AJ51" s="941"/>
      <c r="AK51" s="941"/>
      <c r="AL51" s="941"/>
      <c r="AM51" s="941"/>
      <c r="AN51" s="941"/>
      <c r="AO51" s="941"/>
      <c r="AP51" s="941"/>
      <c r="AQ51" s="941"/>
      <c r="AR51" s="941"/>
      <c r="AS51" s="941"/>
      <c r="AT51" s="941"/>
      <c r="AU51" s="941"/>
      <c r="AV51" s="941"/>
      <c r="AW51" s="941"/>
      <c r="AX51" s="941"/>
      <c r="AY51" s="941"/>
      <c r="AZ51" s="941"/>
      <c r="BA51" s="941"/>
      <c r="BB51" s="941"/>
      <c r="BC51" s="941"/>
      <c r="BD51" s="941"/>
      <c r="BE51" s="941"/>
      <c r="BF51" s="941"/>
    </row>
    <row r="52" spans="1:58">
      <c r="A52" s="941"/>
      <c r="B52" s="941"/>
      <c r="C52" s="941"/>
      <c r="D52" s="941"/>
      <c r="E52" s="941"/>
      <c r="F52" s="941"/>
      <c r="G52" s="941"/>
      <c r="H52" s="941"/>
      <c r="I52" s="941"/>
      <c r="J52" s="941"/>
      <c r="K52" s="941"/>
      <c r="L52" s="941"/>
      <c r="M52" s="941"/>
      <c r="N52" s="941"/>
      <c r="O52" s="941"/>
      <c r="P52" s="941"/>
      <c r="Q52" s="941"/>
      <c r="R52" s="941"/>
      <c r="S52" s="941"/>
      <c r="T52" s="941"/>
      <c r="U52" s="941"/>
      <c r="V52" s="941"/>
      <c r="W52" s="941"/>
      <c r="X52" s="941"/>
      <c r="Y52" s="941"/>
      <c r="Z52" s="941"/>
      <c r="AA52" s="941"/>
      <c r="AB52" s="941"/>
      <c r="AC52" s="941"/>
      <c r="AD52" s="941"/>
      <c r="AE52" s="941"/>
      <c r="AF52" s="941"/>
      <c r="AG52" s="941"/>
      <c r="AH52" s="941"/>
      <c r="AI52" s="941"/>
      <c r="AJ52" s="941"/>
      <c r="AK52" s="941"/>
      <c r="AL52" s="941"/>
      <c r="AM52" s="941"/>
      <c r="AN52" s="941"/>
      <c r="AO52" s="941"/>
      <c r="AP52" s="941"/>
      <c r="AQ52" s="941"/>
      <c r="AR52" s="941"/>
      <c r="AS52" s="941"/>
      <c r="AT52" s="941"/>
      <c r="AU52" s="941"/>
      <c r="AV52" s="941"/>
      <c r="AW52" s="941"/>
      <c r="AX52" s="941"/>
      <c r="AY52" s="941"/>
      <c r="AZ52" s="941"/>
      <c r="BA52" s="941"/>
      <c r="BB52" s="941"/>
      <c r="BC52" s="941"/>
      <c r="BD52" s="941"/>
      <c r="BE52" s="941"/>
      <c r="BF52" s="941"/>
    </row>
    <row r="53" spans="1:58">
      <c r="A53" s="941"/>
      <c r="B53" s="941"/>
      <c r="C53" s="941"/>
      <c r="D53" s="941"/>
      <c r="E53" s="941"/>
      <c r="F53" s="941"/>
      <c r="G53" s="941"/>
      <c r="H53" s="941"/>
      <c r="I53" s="941"/>
      <c r="J53" s="941"/>
      <c r="K53" s="941"/>
      <c r="L53" s="941"/>
      <c r="M53" s="941"/>
      <c r="N53" s="941"/>
      <c r="O53" s="941"/>
      <c r="P53" s="941"/>
      <c r="Q53" s="941"/>
      <c r="R53" s="941"/>
      <c r="S53" s="941"/>
      <c r="T53" s="941"/>
      <c r="U53" s="941"/>
      <c r="V53" s="941"/>
      <c r="W53" s="941"/>
      <c r="X53" s="941"/>
      <c r="Y53" s="941"/>
      <c r="Z53" s="941"/>
      <c r="AA53" s="941"/>
      <c r="AB53" s="941"/>
      <c r="AC53" s="941"/>
      <c r="AD53" s="941"/>
      <c r="AE53" s="941"/>
      <c r="AF53" s="941"/>
      <c r="AG53" s="941"/>
      <c r="AH53" s="941"/>
      <c r="AI53" s="941"/>
      <c r="AJ53" s="941"/>
      <c r="AK53" s="941"/>
      <c r="AL53" s="941"/>
      <c r="AM53" s="941"/>
      <c r="AN53" s="941"/>
      <c r="AO53" s="941"/>
      <c r="AP53" s="941"/>
      <c r="AQ53" s="941"/>
      <c r="AR53" s="941"/>
      <c r="AS53" s="941"/>
      <c r="AT53" s="941"/>
      <c r="AU53" s="941"/>
      <c r="AV53" s="941"/>
      <c r="AW53" s="941"/>
      <c r="AX53" s="941"/>
      <c r="AY53" s="941"/>
      <c r="AZ53" s="941"/>
      <c r="BA53" s="941"/>
      <c r="BB53" s="941"/>
      <c r="BC53" s="941"/>
      <c r="BD53" s="941"/>
      <c r="BE53" s="941"/>
      <c r="BF53" s="941"/>
    </row>
    <row r="54" spans="1:58">
      <c r="A54" s="941"/>
      <c r="B54" s="941"/>
      <c r="C54" s="941"/>
      <c r="D54" s="941"/>
      <c r="E54" s="941"/>
      <c r="F54" s="941"/>
      <c r="G54" s="941"/>
      <c r="H54" s="941"/>
      <c r="I54" s="941"/>
      <c r="J54" s="941"/>
      <c r="K54" s="941"/>
      <c r="L54" s="941"/>
      <c r="M54" s="941"/>
      <c r="N54" s="941"/>
      <c r="O54" s="941"/>
      <c r="P54" s="941"/>
      <c r="Q54" s="941"/>
      <c r="R54" s="941"/>
      <c r="S54" s="941"/>
      <c r="T54" s="941"/>
      <c r="U54" s="941"/>
      <c r="V54" s="941"/>
      <c r="W54" s="941"/>
      <c r="X54" s="941"/>
      <c r="Y54" s="941"/>
      <c r="Z54" s="941"/>
      <c r="AA54" s="941"/>
      <c r="AB54" s="941"/>
      <c r="AC54" s="941"/>
      <c r="AD54" s="941"/>
      <c r="AE54" s="941"/>
      <c r="AF54" s="941"/>
      <c r="AG54" s="941"/>
      <c r="AH54" s="941"/>
      <c r="AI54" s="941"/>
      <c r="AJ54" s="941"/>
      <c r="AK54" s="941"/>
      <c r="AL54" s="941"/>
      <c r="AM54" s="941"/>
      <c r="AN54" s="941"/>
      <c r="AO54" s="941"/>
      <c r="AP54" s="941"/>
      <c r="AQ54" s="941"/>
      <c r="AR54" s="941"/>
      <c r="AS54" s="941"/>
      <c r="AT54" s="941"/>
      <c r="AU54" s="941"/>
      <c r="AV54" s="941"/>
      <c r="AW54" s="941"/>
      <c r="AX54" s="941"/>
      <c r="AY54" s="941"/>
      <c r="AZ54" s="941"/>
      <c r="BA54" s="941"/>
      <c r="BB54" s="941"/>
      <c r="BC54" s="941"/>
      <c r="BD54" s="941"/>
      <c r="BE54" s="941"/>
      <c r="BF54" s="941"/>
    </row>
    <row r="55" spans="1:58">
      <c r="A55" s="941"/>
      <c r="B55" s="941"/>
      <c r="C55" s="941"/>
      <c r="D55" s="941"/>
      <c r="E55" s="941"/>
      <c r="F55" s="941"/>
      <c r="G55" s="941"/>
      <c r="H55" s="941"/>
      <c r="I55" s="941"/>
      <c r="J55" s="941"/>
      <c r="K55" s="941"/>
      <c r="L55" s="941"/>
      <c r="M55" s="941"/>
      <c r="N55" s="941"/>
      <c r="O55" s="941"/>
      <c r="P55" s="941"/>
      <c r="Q55" s="941"/>
      <c r="R55" s="941"/>
      <c r="S55" s="941"/>
      <c r="T55" s="941"/>
      <c r="U55" s="941"/>
      <c r="V55" s="941"/>
      <c r="W55" s="941"/>
      <c r="X55" s="941"/>
      <c r="Y55" s="941"/>
      <c r="Z55" s="941"/>
      <c r="AA55" s="941"/>
      <c r="AB55" s="941"/>
      <c r="AC55" s="941"/>
      <c r="AD55" s="941"/>
      <c r="AE55" s="941"/>
      <c r="AF55" s="941"/>
      <c r="AG55" s="941"/>
      <c r="AH55" s="941"/>
      <c r="AI55" s="941"/>
      <c r="AJ55" s="941"/>
      <c r="AK55" s="941"/>
      <c r="AL55" s="941"/>
      <c r="AM55" s="941"/>
      <c r="AN55" s="941"/>
      <c r="AO55" s="941"/>
      <c r="AP55" s="941"/>
      <c r="AQ55" s="941"/>
      <c r="AR55" s="941"/>
      <c r="AS55" s="941"/>
      <c r="AT55" s="941"/>
      <c r="AU55" s="941"/>
      <c r="AV55" s="941"/>
      <c r="AW55" s="941"/>
      <c r="AX55" s="941"/>
      <c r="AY55" s="941"/>
      <c r="AZ55" s="941"/>
      <c r="BA55" s="941"/>
      <c r="BB55" s="941"/>
      <c r="BC55" s="941"/>
      <c r="BD55" s="941"/>
      <c r="BE55" s="941"/>
      <c r="BF55" s="941"/>
    </row>
    <row r="56" spans="1:58">
      <c r="A56" s="941"/>
      <c r="B56" s="941"/>
      <c r="C56" s="941"/>
      <c r="D56" s="941"/>
      <c r="E56" s="941"/>
      <c r="F56" s="941"/>
      <c r="G56" s="941"/>
      <c r="H56" s="941"/>
      <c r="I56" s="941"/>
      <c r="J56" s="941"/>
      <c r="K56" s="941"/>
      <c r="L56" s="941"/>
      <c r="M56" s="941"/>
      <c r="N56" s="941"/>
      <c r="O56" s="941"/>
      <c r="P56" s="941"/>
      <c r="Q56" s="941"/>
      <c r="R56" s="941"/>
      <c r="S56" s="941"/>
      <c r="T56" s="941"/>
      <c r="U56" s="941"/>
      <c r="V56" s="941"/>
      <c r="W56" s="941"/>
      <c r="X56" s="941"/>
      <c r="Y56" s="941"/>
      <c r="Z56" s="941"/>
      <c r="AA56" s="941"/>
      <c r="AB56" s="941"/>
      <c r="AC56" s="941"/>
      <c r="AD56" s="941"/>
      <c r="AE56" s="941"/>
      <c r="AF56" s="941"/>
      <c r="AG56" s="941"/>
      <c r="AH56" s="941"/>
      <c r="AI56" s="941"/>
      <c r="AJ56" s="941"/>
      <c r="AK56" s="941"/>
      <c r="AL56" s="941"/>
      <c r="AM56" s="941"/>
      <c r="AN56" s="941"/>
      <c r="AO56" s="941"/>
      <c r="AP56" s="941"/>
      <c r="AQ56" s="941"/>
      <c r="AR56" s="941"/>
      <c r="AS56" s="941"/>
      <c r="AT56" s="941"/>
      <c r="AU56" s="941"/>
      <c r="AV56" s="941"/>
      <c r="AW56" s="941"/>
      <c r="AX56" s="941"/>
      <c r="AY56" s="941"/>
      <c r="AZ56" s="941"/>
      <c r="BA56" s="941"/>
      <c r="BB56" s="941"/>
      <c r="BC56" s="941"/>
      <c r="BD56" s="941"/>
      <c r="BE56" s="941"/>
      <c r="BF56" s="941"/>
    </row>
    <row r="57" spans="1:58">
      <c r="A57" s="941"/>
      <c r="B57" s="941"/>
      <c r="C57" s="941"/>
      <c r="D57" s="941"/>
      <c r="E57" s="941"/>
      <c r="F57" s="941"/>
      <c r="G57" s="941"/>
      <c r="H57" s="941"/>
      <c r="I57" s="941"/>
      <c r="J57" s="941"/>
      <c r="K57" s="941"/>
      <c r="L57" s="941"/>
      <c r="M57" s="941"/>
      <c r="N57" s="941"/>
      <c r="O57" s="941"/>
      <c r="P57" s="941"/>
      <c r="Q57" s="941"/>
      <c r="R57" s="941"/>
      <c r="S57" s="941"/>
      <c r="T57" s="941"/>
      <c r="U57" s="941"/>
      <c r="V57" s="941"/>
      <c r="W57" s="941"/>
      <c r="X57" s="941"/>
      <c r="Y57" s="941"/>
      <c r="Z57" s="941"/>
      <c r="AA57" s="941"/>
      <c r="AB57" s="941"/>
      <c r="AC57" s="941"/>
      <c r="AD57" s="941"/>
      <c r="AE57" s="941"/>
      <c r="AF57" s="941"/>
      <c r="AG57" s="941"/>
      <c r="AH57" s="941"/>
      <c r="AI57" s="941"/>
      <c r="AJ57" s="941"/>
      <c r="AK57" s="941"/>
      <c r="AL57" s="941"/>
      <c r="AM57" s="941"/>
      <c r="AN57" s="941"/>
      <c r="AO57" s="941"/>
      <c r="AP57" s="941"/>
      <c r="AQ57" s="941"/>
      <c r="AR57" s="941"/>
      <c r="AS57" s="941"/>
      <c r="AT57" s="941"/>
      <c r="AU57" s="941"/>
      <c r="AV57" s="941"/>
      <c r="AW57" s="941"/>
      <c r="AX57" s="941"/>
      <c r="AY57" s="941"/>
      <c r="AZ57" s="941"/>
      <c r="BA57" s="941"/>
      <c r="BB57" s="941"/>
      <c r="BC57" s="941"/>
      <c r="BD57" s="941"/>
      <c r="BE57" s="941"/>
      <c r="BF57" s="941"/>
    </row>
    <row r="58" spans="1:58">
      <c r="A58" s="941"/>
      <c r="B58" s="941"/>
      <c r="C58" s="941"/>
      <c r="D58" s="941"/>
      <c r="E58" s="941"/>
      <c r="F58" s="941"/>
      <c r="G58" s="941"/>
      <c r="H58" s="941"/>
      <c r="I58" s="941"/>
      <c r="J58" s="941"/>
      <c r="K58" s="941"/>
      <c r="L58" s="941"/>
      <c r="M58" s="941"/>
      <c r="N58" s="941"/>
      <c r="O58" s="941"/>
      <c r="P58" s="941"/>
      <c r="Q58" s="941"/>
      <c r="R58" s="941"/>
      <c r="S58" s="941"/>
      <c r="T58" s="941"/>
      <c r="U58" s="941"/>
      <c r="V58" s="941"/>
      <c r="W58" s="941"/>
      <c r="X58" s="941"/>
      <c r="Y58" s="941"/>
      <c r="Z58" s="941"/>
      <c r="AA58" s="941"/>
      <c r="AB58" s="941"/>
      <c r="AC58" s="941"/>
      <c r="AD58" s="941"/>
      <c r="AE58" s="941"/>
      <c r="AF58" s="941"/>
      <c r="AG58" s="941"/>
      <c r="AH58" s="941"/>
      <c r="AI58" s="941"/>
      <c r="AJ58" s="941"/>
      <c r="AK58" s="941"/>
      <c r="AL58" s="941"/>
      <c r="AM58" s="941"/>
      <c r="AN58" s="941"/>
      <c r="AO58" s="941"/>
      <c r="AP58" s="941"/>
      <c r="AQ58" s="941"/>
      <c r="AR58" s="941"/>
      <c r="AS58" s="941"/>
      <c r="AT58" s="941"/>
      <c r="AU58" s="941"/>
      <c r="AV58" s="941"/>
      <c r="AW58" s="941"/>
      <c r="AX58" s="941"/>
      <c r="AY58" s="941"/>
      <c r="AZ58" s="941"/>
      <c r="BA58" s="941"/>
      <c r="BB58" s="941"/>
      <c r="BC58" s="941"/>
      <c r="BD58" s="941"/>
      <c r="BE58" s="941"/>
      <c r="BF58" s="941"/>
    </row>
    <row r="59" spans="1:58">
      <c r="A59" s="941"/>
      <c r="B59" s="941"/>
      <c r="C59" s="941"/>
      <c r="D59" s="941"/>
      <c r="E59" s="941"/>
      <c r="F59" s="941"/>
      <c r="G59" s="941"/>
      <c r="H59" s="941"/>
      <c r="I59" s="941"/>
      <c r="J59" s="941"/>
      <c r="K59" s="941"/>
      <c r="L59" s="941"/>
      <c r="M59" s="941"/>
      <c r="N59" s="941"/>
      <c r="O59" s="941"/>
      <c r="P59" s="941"/>
      <c r="Q59" s="941"/>
      <c r="R59" s="941"/>
      <c r="S59" s="941"/>
      <c r="T59" s="941"/>
      <c r="U59" s="941"/>
      <c r="V59" s="941"/>
      <c r="W59" s="941"/>
      <c r="X59" s="941"/>
      <c r="Y59" s="941"/>
      <c r="Z59" s="941"/>
      <c r="AA59" s="941"/>
      <c r="AB59" s="941"/>
      <c r="AC59" s="941"/>
      <c r="AD59" s="941"/>
      <c r="AE59" s="941"/>
      <c r="AF59" s="941"/>
      <c r="AG59" s="941"/>
      <c r="AH59" s="941"/>
      <c r="AI59" s="941"/>
      <c r="AJ59" s="941"/>
      <c r="AK59" s="941"/>
      <c r="AL59" s="941"/>
      <c r="AM59" s="941"/>
      <c r="AN59" s="941"/>
      <c r="AO59" s="941"/>
      <c r="AP59" s="941"/>
      <c r="AQ59" s="941"/>
      <c r="AR59" s="941"/>
      <c r="AS59" s="941"/>
      <c r="AT59" s="941"/>
      <c r="AU59" s="941"/>
      <c r="AV59" s="941"/>
      <c r="AW59" s="941"/>
      <c r="AX59" s="941"/>
      <c r="AY59" s="941"/>
      <c r="AZ59" s="941"/>
      <c r="BA59" s="941"/>
      <c r="BB59" s="941"/>
      <c r="BC59" s="941"/>
      <c r="BD59" s="941"/>
      <c r="BE59" s="941"/>
      <c r="BF59" s="941"/>
    </row>
    <row r="60" spans="1:58">
      <c r="A60" s="941"/>
      <c r="B60" s="941"/>
      <c r="C60" s="941"/>
      <c r="D60" s="941"/>
      <c r="E60" s="941"/>
      <c r="F60" s="941"/>
      <c r="G60" s="941"/>
      <c r="H60" s="941"/>
      <c r="I60" s="941"/>
      <c r="J60" s="941"/>
      <c r="K60" s="941"/>
      <c r="L60" s="941"/>
      <c r="M60" s="941"/>
      <c r="N60" s="941"/>
      <c r="O60" s="941"/>
      <c r="P60" s="941"/>
      <c r="Q60" s="941"/>
      <c r="R60" s="941"/>
      <c r="S60" s="941"/>
      <c r="T60" s="941"/>
      <c r="U60" s="941"/>
      <c r="V60" s="941"/>
      <c r="W60" s="941"/>
      <c r="X60" s="941"/>
      <c r="Y60" s="941"/>
      <c r="Z60" s="941"/>
      <c r="AA60" s="941"/>
      <c r="AB60" s="941"/>
      <c r="AC60" s="941"/>
      <c r="AD60" s="941"/>
      <c r="AE60" s="941"/>
      <c r="AF60" s="941"/>
      <c r="AG60" s="941"/>
      <c r="AH60" s="941"/>
      <c r="AI60" s="941"/>
      <c r="AJ60" s="941"/>
      <c r="AK60" s="941"/>
      <c r="AL60" s="941"/>
      <c r="AM60" s="941"/>
      <c r="AN60" s="941"/>
      <c r="AO60" s="941"/>
      <c r="AP60" s="941"/>
      <c r="AQ60" s="941"/>
      <c r="AR60" s="941"/>
      <c r="AS60" s="941"/>
      <c r="AT60" s="941"/>
      <c r="AU60" s="941"/>
      <c r="AV60" s="941"/>
      <c r="AW60" s="941"/>
      <c r="AX60" s="941"/>
      <c r="AY60" s="941"/>
      <c r="AZ60" s="941"/>
      <c r="BA60" s="941"/>
      <c r="BB60" s="941"/>
      <c r="BC60" s="941"/>
      <c r="BD60" s="941"/>
      <c r="BE60" s="941"/>
      <c r="BF60" s="941"/>
    </row>
    <row r="61" spans="1:58">
      <c r="A61" s="941"/>
      <c r="B61" s="941"/>
      <c r="C61" s="941"/>
      <c r="D61" s="941"/>
      <c r="E61" s="941"/>
      <c r="F61" s="941"/>
      <c r="G61" s="941"/>
      <c r="H61" s="941"/>
      <c r="I61" s="941"/>
      <c r="J61" s="941"/>
      <c r="K61" s="941"/>
      <c r="L61" s="941"/>
      <c r="M61" s="941"/>
      <c r="N61" s="941"/>
      <c r="O61" s="941"/>
      <c r="P61" s="941"/>
      <c r="Q61" s="941"/>
      <c r="R61" s="941"/>
      <c r="S61" s="941"/>
      <c r="T61" s="941"/>
      <c r="U61" s="941"/>
      <c r="V61" s="941"/>
      <c r="W61" s="941"/>
      <c r="X61" s="941"/>
      <c r="Y61" s="941"/>
      <c r="Z61" s="941"/>
      <c r="AA61" s="941"/>
      <c r="AB61" s="941"/>
      <c r="AC61" s="941"/>
      <c r="AD61" s="941"/>
      <c r="AE61" s="941"/>
      <c r="AF61" s="941"/>
      <c r="AG61" s="941"/>
      <c r="AH61" s="941"/>
      <c r="AI61" s="941"/>
      <c r="AJ61" s="941"/>
      <c r="AK61" s="941"/>
      <c r="AL61" s="941"/>
      <c r="AM61" s="941"/>
      <c r="AN61" s="941"/>
      <c r="AO61" s="941"/>
      <c r="AP61" s="941"/>
      <c r="AQ61" s="941"/>
      <c r="AR61" s="941"/>
      <c r="AS61" s="941"/>
      <c r="AT61" s="941"/>
      <c r="AU61" s="941"/>
      <c r="AV61" s="941"/>
      <c r="AW61" s="941"/>
      <c r="AX61" s="941"/>
      <c r="AY61" s="941"/>
      <c r="AZ61" s="941"/>
      <c r="BA61" s="941"/>
      <c r="BB61" s="941"/>
      <c r="BC61" s="941"/>
      <c r="BD61" s="941"/>
      <c r="BE61" s="941"/>
      <c r="BF61" s="941"/>
    </row>
    <row r="62" spans="1:58">
      <c r="A62" s="941"/>
      <c r="B62" s="941"/>
      <c r="C62" s="941"/>
      <c r="D62" s="941"/>
      <c r="E62" s="941"/>
      <c r="F62" s="941"/>
      <c r="G62" s="941"/>
      <c r="H62" s="941"/>
      <c r="I62" s="941"/>
      <c r="J62" s="941"/>
      <c r="K62" s="941"/>
      <c r="L62" s="941"/>
      <c r="M62" s="941"/>
      <c r="N62" s="941"/>
      <c r="O62" s="941"/>
      <c r="P62" s="941"/>
      <c r="Q62" s="941"/>
      <c r="R62" s="941"/>
      <c r="S62" s="941"/>
      <c r="T62" s="941"/>
      <c r="U62" s="941"/>
      <c r="V62" s="941"/>
      <c r="W62" s="941"/>
      <c r="X62" s="941"/>
      <c r="Y62" s="941"/>
      <c r="Z62" s="941"/>
      <c r="AA62" s="941"/>
      <c r="AB62" s="941"/>
      <c r="AC62" s="941"/>
      <c r="AD62" s="941"/>
      <c r="AE62" s="941"/>
      <c r="AF62" s="941"/>
      <c r="AG62" s="941"/>
      <c r="AH62" s="941"/>
      <c r="AI62" s="941"/>
      <c r="AJ62" s="941"/>
      <c r="AK62" s="941"/>
      <c r="AL62" s="941"/>
      <c r="AM62" s="941"/>
      <c r="AN62" s="941"/>
      <c r="AO62" s="941"/>
      <c r="AP62" s="941"/>
      <c r="AQ62" s="941"/>
      <c r="AR62" s="941"/>
      <c r="AS62" s="941"/>
      <c r="AT62" s="941"/>
      <c r="AU62" s="941"/>
      <c r="AV62" s="941"/>
      <c r="AW62" s="941"/>
      <c r="AX62" s="941"/>
      <c r="AY62" s="941"/>
      <c r="AZ62" s="941"/>
      <c r="BA62" s="941"/>
      <c r="BB62" s="941"/>
      <c r="BC62" s="941"/>
      <c r="BD62" s="941"/>
      <c r="BE62" s="941"/>
      <c r="BF62" s="941"/>
    </row>
  </sheetData>
  <sheetProtection algorithmName="SHA-512" hashValue="BtkpWb6UwrKdFeYhBNTrYN7rCNtwpVAWdT53sr5+DfUcOv7rkCae5JDxmWLDNCp+Lcso4OKB6MgUGja+LxMN3g==" saltValue="5Xa17WJGmXlpCKGlUu1rpg==" spinCount="100000" sheet="1" objects="1" scenarios="1"/>
  <customSheetViews>
    <customSheetView guid="{6EFEFCA0-BF14-457A-85A3-29CBF2A862A5}" showGridLines="0" fitToPage="1">
      <selection sqref="A1:AV41"/>
      <pageMargins left="0.23622047244094491" right="0.82677165354330717" top="0.19685039370078741" bottom="0.19685039370078741" header="0" footer="0.11811023622047245"/>
      <printOptions horizontalCentered="1" verticalCentered="1"/>
      <pageSetup paperSize="9" scale="62" orientation="landscape" r:id="rId1"/>
      <headerFooter alignWithMargins="0">
        <oddFooter>&amp;L&amp;10&amp;F &amp;A&amp;R&amp;10Page 44 of 61</oddFooter>
      </headerFooter>
    </customSheetView>
  </customSheetViews>
  <mergeCells count="240">
    <mergeCell ref="AI5:AJ5"/>
    <mergeCell ref="AK5:AL5"/>
    <mergeCell ref="AM5:AN5"/>
    <mergeCell ref="AO5:AP5"/>
    <mergeCell ref="AQ5:AR5"/>
    <mergeCell ref="C6:AR6"/>
    <mergeCell ref="B4:T5"/>
    <mergeCell ref="U4:AH4"/>
    <mergeCell ref="AI4:AR4"/>
    <mergeCell ref="U5:V5"/>
    <mergeCell ref="W5:X5"/>
    <mergeCell ref="Y5:Z5"/>
    <mergeCell ref="AA5:AB5"/>
    <mergeCell ref="AC5:AD5"/>
    <mergeCell ref="AE5:AF5"/>
    <mergeCell ref="AG5:AH5"/>
    <mergeCell ref="AM11:AN11"/>
    <mergeCell ref="AO11:AP11"/>
    <mergeCell ref="AK12:AL12"/>
    <mergeCell ref="D7:AR7"/>
    <mergeCell ref="U8:V8"/>
    <mergeCell ref="W8:X8"/>
    <mergeCell ref="Y8:Z8"/>
    <mergeCell ref="AA8:AB8"/>
    <mergeCell ref="AC8:AD8"/>
    <mergeCell ref="AE8:AF8"/>
    <mergeCell ref="AG8:AH8"/>
    <mergeCell ref="AI8:AJ8"/>
    <mergeCell ref="AK8:AL8"/>
    <mergeCell ref="AM8:AN8"/>
    <mergeCell ref="AO8:AP8"/>
    <mergeCell ref="AQ8:AR8"/>
    <mergeCell ref="AM12:AN12"/>
    <mergeCell ref="AO12:AP12"/>
    <mergeCell ref="AQ12:AR12"/>
    <mergeCell ref="U16:AR16"/>
    <mergeCell ref="F17:S17"/>
    <mergeCell ref="U17:V17"/>
    <mergeCell ref="D9:AR9"/>
    <mergeCell ref="U10:AR10"/>
    <mergeCell ref="U11:V11"/>
    <mergeCell ref="W11:X11"/>
    <mergeCell ref="Y11:Z11"/>
    <mergeCell ref="AA11:AB11"/>
    <mergeCell ref="AC11:AD11"/>
    <mergeCell ref="AQ11:AR11"/>
    <mergeCell ref="F12:S12"/>
    <mergeCell ref="U12:V12"/>
    <mergeCell ref="W12:X12"/>
    <mergeCell ref="Y12:Z12"/>
    <mergeCell ref="AA12:AB12"/>
    <mergeCell ref="AC12:AD12"/>
    <mergeCell ref="AE12:AF12"/>
    <mergeCell ref="AG12:AH12"/>
    <mergeCell ref="AI12:AJ12"/>
    <mergeCell ref="AE11:AF11"/>
    <mergeCell ref="AG11:AH11"/>
    <mergeCell ref="AI11:AJ11"/>
    <mergeCell ref="AK11:AL11"/>
    <mergeCell ref="F13:S13"/>
    <mergeCell ref="U13:V15"/>
    <mergeCell ref="W13:X15"/>
    <mergeCell ref="Y13:Z15"/>
    <mergeCell ref="AA13:AB15"/>
    <mergeCell ref="AC13:AD15"/>
    <mergeCell ref="AQ13:AR15"/>
    <mergeCell ref="F14:S14"/>
    <mergeCell ref="F15:S15"/>
    <mergeCell ref="AE13:AF15"/>
    <mergeCell ref="AG13:AH15"/>
    <mergeCell ref="AI13:AJ15"/>
    <mergeCell ref="AK13:AL15"/>
    <mergeCell ref="AM13:AN15"/>
    <mergeCell ref="AO13:AP15"/>
    <mergeCell ref="W17:X17"/>
    <mergeCell ref="Y17:Z17"/>
    <mergeCell ref="AA17:AB17"/>
    <mergeCell ref="AC17:AD17"/>
    <mergeCell ref="AK18:AL18"/>
    <mergeCell ref="AM18:AN18"/>
    <mergeCell ref="AO18:AP18"/>
    <mergeCell ref="AQ18:AR18"/>
    <mergeCell ref="F18:S18"/>
    <mergeCell ref="U18:V18"/>
    <mergeCell ref="W18:X18"/>
    <mergeCell ref="Y18:Z18"/>
    <mergeCell ref="AA18:AB18"/>
    <mergeCell ref="AC18:AD18"/>
    <mergeCell ref="AE18:AF18"/>
    <mergeCell ref="AQ17:AR17"/>
    <mergeCell ref="AE17:AF17"/>
    <mergeCell ref="AG17:AH17"/>
    <mergeCell ref="AI17:AJ17"/>
    <mergeCell ref="AK17:AL17"/>
    <mergeCell ref="AM17:AN17"/>
    <mergeCell ref="AO17:AP17"/>
    <mergeCell ref="AG18:AH18"/>
    <mergeCell ref="AI18:AJ18"/>
    <mergeCell ref="F19:S19"/>
    <mergeCell ref="U19:V19"/>
    <mergeCell ref="W19:X19"/>
    <mergeCell ref="Y19:Z19"/>
    <mergeCell ref="AA19:AB19"/>
    <mergeCell ref="AC19:AD19"/>
    <mergeCell ref="AQ19:AR19"/>
    <mergeCell ref="AE19:AF19"/>
    <mergeCell ref="AG19:AH19"/>
    <mergeCell ref="AI19:AJ19"/>
    <mergeCell ref="AK19:AL19"/>
    <mergeCell ref="AM19:AN19"/>
    <mergeCell ref="AO19:AP19"/>
    <mergeCell ref="AK20:AL20"/>
    <mergeCell ref="AM20:AN20"/>
    <mergeCell ref="AO20:AP20"/>
    <mergeCell ref="AQ20:AR20"/>
    <mergeCell ref="F21:S21"/>
    <mergeCell ref="U21:V21"/>
    <mergeCell ref="W21:X21"/>
    <mergeCell ref="Y21:Z21"/>
    <mergeCell ref="AA21:AB21"/>
    <mergeCell ref="AC21:AD21"/>
    <mergeCell ref="F20:S20"/>
    <mergeCell ref="U20:V20"/>
    <mergeCell ref="W20:X20"/>
    <mergeCell ref="Y20:Z20"/>
    <mergeCell ref="AA20:AB20"/>
    <mergeCell ref="AC20:AD20"/>
    <mergeCell ref="AE20:AF20"/>
    <mergeCell ref="AG20:AH20"/>
    <mergeCell ref="AI20:AJ20"/>
    <mergeCell ref="AK22:AL24"/>
    <mergeCell ref="AM22:AN24"/>
    <mergeCell ref="AO22:AP24"/>
    <mergeCell ref="AQ22:AR24"/>
    <mergeCell ref="F23:S23"/>
    <mergeCell ref="F24:S24"/>
    <mergeCell ref="AQ21:AR21"/>
    <mergeCell ref="F22:S22"/>
    <mergeCell ref="U22:V24"/>
    <mergeCell ref="W22:X24"/>
    <mergeCell ref="Y22:Z24"/>
    <mergeCell ref="AA22:AB24"/>
    <mergeCell ref="AC22:AD24"/>
    <mergeCell ref="AE22:AF24"/>
    <mergeCell ref="AG22:AH24"/>
    <mergeCell ref="AI22:AJ24"/>
    <mergeCell ref="AE21:AF21"/>
    <mergeCell ref="AG21:AH21"/>
    <mergeCell ref="AI21:AJ21"/>
    <mergeCell ref="AK21:AL21"/>
    <mergeCell ref="AM21:AN21"/>
    <mergeCell ref="AO21:AP21"/>
    <mergeCell ref="C25:AR25"/>
    <mergeCell ref="D26:AR26"/>
    <mergeCell ref="F27:S27"/>
    <mergeCell ref="U27:V27"/>
    <mergeCell ref="W27:X27"/>
    <mergeCell ref="Y27:Z27"/>
    <mergeCell ref="AA27:AB27"/>
    <mergeCell ref="AC27:AD27"/>
    <mergeCell ref="AE27:AF27"/>
    <mergeCell ref="AG27:AH27"/>
    <mergeCell ref="AI27:AJ27"/>
    <mergeCell ref="AK27:AL27"/>
    <mergeCell ref="AM27:AN27"/>
    <mergeCell ref="AO27:AP27"/>
    <mergeCell ref="AQ27:AR27"/>
    <mergeCell ref="F28:S28"/>
    <mergeCell ref="U28:V28"/>
    <mergeCell ref="W28:X28"/>
    <mergeCell ref="Y28:Z28"/>
    <mergeCell ref="AA28:AB28"/>
    <mergeCell ref="AO28:AP28"/>
    <mergeCell ref="AQ28:AR28"/>
    <mergeCell ref="F29:S29"/>
    <mergeCell ref="U29:V29"/>
    <mergeCell ref="W29:X29"/>
    <mergeCell ref="Y29:Z29"/>
    <mergeCell ref="AA29:AB29"/>
    <mergeCell ref="AC29:AD29"/>
    <mergeCell ref="AE29:AF29"/>
    <mergeCell ref="AG29:AH29"/>
    <mergeCell ref="AC28:AD28"/>
    <mergeCell ref="AE28:AF28"/>
    <mergeCell ref="AG28:AH28"/>
    <mergeCell ref="AI28:AJ28"/>
    <mergeCell ref="AK28:AL28"/>
    <mergeCell ref="AM28:AN28"/>
    <mergeCell ref="AI29:AJ29"/>
    <mergeCell ref="AK29:AL29"/>
    <mergeCell ref="AM29:AN29"/>
    <mergeCell ref="AC30:AD30"/>
    <mergeCell ref="AE30:AF30"/>
    <mergeCell ref="AG30:AH30"/>
    <mergeCell ref="AO29:AP29"/>
    <mergeCell ref="AQ29:AR29"/>
    <mergeCell ref="F30:S30"/>
    <mergeCell ref="U30:V30"/>
    <mergeCell ref="W30:X30"/>
    <mergeCell ref="Y30:Z30"/>
    <mergeCell ref="AA30:AB30"/>
    <mergeCell ref="AO30:AP30"/>
    <mergeCell ref="AQ30:AR30"/>
    <mergeCell ref="AI30:AJ30"/>
    <mergeCell ref="AK30:AL30"/>
    <mergeCell ref="AM30:AN30"/>
    <mergeCell ref="AI31:AJ31"/>
    <mergeCell ref="AK31:AL31"/>
    <mergeCell ref="AM31:AN31"/>
    <mergeCell ref="AO31:AP31"/>
    <mergeCell ref="AQ31:AR31"/>
    <mergeCell ref="F32:S32"/>
    <mergeCell ref="U32:V32"/>
    <mergeCell ref="W32:X32"/>
    <mergeCell ref="Y32:Z32"/>
    <mergeCell ref="AA32:AB32"/>
    <mergeCell ref="F31:S31"/>
    <mergeCell ref="U31:V31"/>
    <mergeCell ref="W31:X31"/>
    <mergeCell ref="Y31:Z31"/>
    <mergeCell ref="AA31:AB31"/>
    <mergeCell ref="AC31:AD31"/>
    <mergeCell ref="AE31:AF31"/>
    <mergeCell ref="AG31:AH31"/>
    <mergeCell ref="F39:N39"/>
    <mergeCell ref="U39:AC39"/>
    <mergeCell ref="AF39:AR39"/>
    <mergeCell ref="AO32:AP32"/>
    <mergeCell ref="AQ32:AR32"/>
    <mergeCell ref="F37:N37"/>
    <mergeCell ref="Q37:AC37"/>
    <mergeCell ref="AF37:AR38"/>
    <mergeCell ref="F38:N38"/>
    <mergeCell ref="Q38:AC38"/>
    <mergeCell ref="AC32:AD32"/>
    <mergeCell ref="AE32:AF32"/>
    <mergeCell ref="AG32:AH32"/>
    <mergeCell ref="AI32:AJ32"/>
    <mergeCell ref="AK32:AL32"/>
    <mergeCell ref="AM32:AN32"/>
  </mergeCells>
  <dataValidations count="1">
    <dataValidation type="whole" allowBlank="1" showInputMessage="1" showErrorMessage="1" errorTitle="GSHSP SY 2022-2023" error="Please enter valid number between 0-999." sqref="U8:AR8 U11:AR15 U17:AR24 U27:AR32" xr:uid="{FB2426EC-CCF4-40D6-A68C-637D8F78AA7B}">
      <formula1>0</formula1>
      <formula2>999</formula2>
    </dataValidation>
  </dataValidations>
  <printOptions horizontalCentered="1" verticalCentered="1"/>
  <pageMargins left="0.23622047244094491" right="0.82677165354330717" top="0.19685039370078741" bottom="0.19685039370078741" header="0" footer="0.11811023622047245"/>
  <pageSetup paperSize="9" scale="62" orientation="landscape" r:id="rId2"/>
  <headerFooter alignWithMargins="0">
    <oddFooter>&amp;L&amp;10&amp;F &amp;A&amp;R&amp;10Page 44 of 61</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8A0-B375-4883-9499-EA9C82DBC06D}">
  <sheetPr codeName="Sheet47">
    <tabColor rgb="FFFFFF00"/>
    <pageSetUpPr fitToPage="1"/>
  </sheetPr>
  <dimension ref="A1:BV35"/>
  <sheetViews>
    <sheetView showGridLines="0" zoomScaleNormal="100" workbookViewId="0">
      <selection sqref="A1:AX28"/>
    </sheetView>
  </sheetViews>
  <sheetFormatPr defaultColWidth="9.125" defaultRowHeight="15.75"/>
  <cols>
    <col min="1" max="1" width="2.125" style="170" customWidth="1"/>
    <col min="2" max="44" width="3.625" style="170" customWidth="1"/>
    <col min="45" max="45" width="2.125" style="170" customWidth="1"/>
    <col min="46" max="261" width="3.625" style="170" customWidth="1"/>
    <col min="262" max="16384" width="9.125" style="170"/>
  </cols>
  <sheetData>
    <row r="1" spans="1:74" ht="6" customHeight="1">
      <c r="A1" s="1101"/>
      <c r="B1" s="1101"/>
      <c r="C1" s="1101"/>
      <c r="D1" s="1101"/>
      <c r="E1" s="1101"/>
      <c r="F1" s="1101"/>
      <c r="G1" s="1101"/>
      <c r="H1" s="1101"/>
      <c r="I1" s="1101"/>
      <c r="J1" s="1101"/>
      <c r="K1" s="1101"/>
      <c r="L1" s="1101"/>
      <c r="M1" s="1101"/>
      <c r="N1" s="1101"/>
      <c r="O1" s="1101"/>
      <c r="P1" s="1101"/>
      <c r="Q1" s="1101"/>
      <c r="R1" s="1101"/>
      <c r="S1" s="1101"/>
      <c r="T1" s="1101"/>
      <c r="U1" s="1101"/>
      <c r="V1" s="1101"/>
      <c r="W1" s="1101"/>
      <c r="X1" s="1101"/>
      <c r="Y1" s="1101"/>
      <c r="Z1" s="1101"/>
      <c r="AA1" s="1101"/>
      <c r="AB1" s="1101"/>
      <c r="AC1" s="1101"/>
      <c r="AD1" s="1101"/>
      <c r="AE1" s="1101"/>
      <c r="AF1" s="1101"/>
      <c r="AG1" s="1101"/>
      <c r="AH1" s="1101"/>
      <c r="AI1" s="1101"/>
      <c r="AJ1" s="1101"/>
      <c r="AK1" s="1101"/>
      <c r="AL1" s="1101"/>
      <c r="AM1" s="1101"/>
      <c r="AN1" s="1101"/>
      <c r="AO1" s="1101"/>
      <c r="AP1" s="1101"/>
      <c r="AQ1" s="1101"/>
      <c r="AR1" s="1101"/>
      <c r="AS1" s="1101"/>
      <c r="AT1" s="1101"/>
      <c r="AU1" s="1101"/>
      <c r="AV1" s="1101"/>
      <c r="AW1" s="1101"/>
      <c r="AX1" s="1101"/>
      <c r="AY1" s="1101"/>
      <c r="AZ1" s="1101"/>
      <c r="BA1" s="1101"/>
      <c r="BB1" s="1101"/>
      <c r="BC1" s="1101"/>
      <c r="BD1" s="1101"/>
    </row>
    <row r="2" spans="1:74" s="5" customFormat="1" ht="15.75" customHeight="1">
      <c r="A2" s="273"/>
      <c r="B2" s="806" t="s">
        <v>1467</v>
      </c>
      <c r="C2" s="380"/>
      <c r="D2" s="380"/>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801"/>
      <c r="AW2" s="801"/>
      <c r="AX2" s="801"/>
      <c r="AY2" s="801"/>
      <c r="AZ2" s="801"/>
      <c r="BA2" s="801"/>
      <c r="BB2" s="801"/>
      <c r="BC2" s="801"/>
      <c r="BD2" s="801"/>
      <c r="BE2" s="106"/>
      <c r="BF2" s="106"/>
      <c r="BV2" s="13"/>
    </row>
    <row r="3" spans="1:74" s="5" customFormat="1" ht="13.35" customHeight="1">
      <c r="A3" s="273"/>
      <c r="B3" s="806"/>
      <c r="C3" s="380"/>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80"/>
      <c r="AR3" s="380"/>
      <c r="AS3" s="380"/>
      <c r="AT3" s="380"/>
      <c r="AU3" s="380"/>
      <c r="AV3" s="801"/>
      <c r="AW3" s="801"/>
      <c r="AX3" s="801"/>
      <c r="AY3" s="801"/>
      <c r="AZ3" s="801"/>
      <c r="BA3" s="801"/>
      <c r="BB3" s="801"/>
      <c r="BC3" s="801"/>
      <c r="BD3" s="801"/>
      <c r="BE3" s="106"/>
      <c r="BF3" s="106"/>
      <c r="BV3" s="13"/>
    </row>
    <row r="4" spans="1:74" s="5" customFormat="1" ht="18.600000000000001" customHeight="1">
      <c r="A4" s="273"/>
      <c r="B4" s="380"/>
      <c r="C4" s="809" t="s">
        <v>1406</v>
      </c>
      <c r="D4" s="380"/>
      <c r="E4" s="380"/>
      <c r="F4" s="380"/>
      <c r="G4" s="380"/>
      <c r="H4" s="380"/>
      <c r="I4" s="380"/>
      <c r="J4" s="380"/>
      <c r="K4" s="380"/>
      <c r="L4" s="380"/>
      <c r="M4" s="380"/>
      <c r="N4" s="380"/>
      <c r="O4" s="380"/>
      <c r="P4" s="380"/>
      <c r="Q4" s="380"/>
      <c r="R4" s="380"/>
      <c r="S4" s="380"/>
      <c r="T4" s="380"/>
      <c r="U4" s="380"/>
      <c r="V4" s="380"/>
      <c r="W4" s="380"/>
      <c r="X4" s="380"/>
      <c r="Y4" s="380"/>
      <c r="Z4" s="380"/>
      <c r="AA4" s="380"/>
      <c r="AB4" s="380"/>
      <c r="AC4" s="380"/>
      <c r="AD4" s="380"/>
      <c r="AE4" s="380"/>
      <c r="AF4" s="380"/>
      <c r="AG4" s="380"/>
      <c r="AH4" s="380"/>
      <c r="AI4" s="380"/>
      <c r="AJ4" s="380"/>
      <c r="AK4" s="380"/>
      <c r="AL4" s="380"/>
      <c r="AM4" s="380"/>
      <c r="AN4" s="380"/>
      <c r="AO4" s="380"/>
      <c r="AP4" s="380"/>
      <c r="AQ4" s="380"/>
      <c r="AR4" s="380"/>
      <c r="AS4" s="380"/>
      <c r="AT4" s="380"/>
      <c r="AU4" s="380"/>
      <c r="AV4" s="801"/>
      <c r="AW4" s="801"/>
      <c r="AX4" s="801"/>
      <c r="AY4" s="801"/>
      <c r="AZ4" s="801"/>
      <c r="BA4" s="801"/>
      <c r="BB4" s="801"/>
      <c r="BC4" s="801"/>
      <c r="BD4" s="801"/>
      <c r="BE4" s="106"/>
      <c r="BF4" s="106"/>
      <c r="BV4" s="13"/>
    </row>
    <row r="5" spans="1:74" s="142" customFormat="1" ht="73.349999999999994" customHeight="1">
      <c r="A5" s="1252"/>
      <c r="B5" s="1253" t="s">
        <v>47</v>
      </c>
      <c r="C5" s="3617" t="s">
        <v>1678</v>
      </c>
      <c r="D5" s="3618"/>
      <c r="E5" s="3618"/>
      <c r="F5" s="3618"/>
      <c r="G5" s="3618"/>
      <c r="H5" s="3618"/>
      <c r="I5" s="3618"/>
      <c r="J5" s="3618"/>
      <c r="K5" s="3618"/>
      <c r="L5" s="3618"/>
      <c r="M5" s="3618"/>
      <c r="N5" s="3618"/>
      <c r="O5" s="3618"/>
      <c r="P5" s="3618"/>
      <c r="Q5" s="3618"/>
      <c r="R5" s="3618"/>
      <c r="S5" s="3618"/>
      <c r="T5" s="3618"/>
      <c r="U5" s="3618"/>
      <c r="V5" s="3618"/>
      <c r="W5" s="3618"/>
      <c r="X5" s="3618"/>
      <c r="Y5" s="3618"/>
      <c r="Z5" s="3618"/>
      <c r="AA5" s="3618"/>
      <c r="AB5" s="3618"/>
      <c r="AC5" s="3618"/>
      <c r="AD5" s="3618"/>
      <c r="AE5" s="3618"/>
      <c r="AF5" s="3618"/>
      <c r="AG5" s="3618"/>
      <c r="AH5" s="3618"/>
      <c r="AI5" s="3618"/>
      <c r="AJ5" s="3618"/>
      <c r="AK5" s="3618"/>
      <c r="AL5" s="3618"/>
      <c r="AM5" s="3618"/>
      <c r="AN5" s="3618"/>
      <c r="AO5" s="3618"/>
      <c r="AP5" s="3618"/>
      <c r="AQ5" s="3618"/>
      <c r="AR5" s="3618"/>
      <c r="AS5" s="1252"/>
      <c r="AT5" s="1252"/>
      <c r="AU5" s="1252"/>
      <c r="AV5" s="1252"/>
      <c r="AW5" s="1252"/>
      <c r="AX5" s="1252"/>
      <c r="AY5" s="1252"/>
      <c r="AZ5" s="1252"/>
      <c r="BA5" s="1252"/>
      <c r="BB5" s="1252"/>
      <c r="BC5" s="1252"/>
      <c r="BD5" s="1252"/>
    </row>
    <row r="6" spans="1:74" s="142" customFormat="1" ht="58.35" customHeight="1">
      <c r="A6" s="1252"/>
      <c r="B6" s="1253" t="s">
        <v>48</v>
      </c>
      <c r="C6" s="3617" t="s">
        <v>1679</v>
      </c>
      <c r="D6" s="3618"/>
      <c r="E6" s="3618"/>
      <c r="F6" s="3618"/>
      <c r="G6" s="3618"/>
      <c r="H6" s="3618"/>
      <c r="I6" s="3618"/>
      <c r="J6" s="3618"/>
      <c r="K6" s="3618"/>
      <c r="L6" s="3618"/>
      <c r="M6" s="3618"/>
      <c r="N6" s="3618"/>
      <c r="O6" s="3618"/>
      <c r="P6" s="3618"/>
      <c r="Q6" s="3618"/>
      <c r="R6" s="3618"/>
      <c r="S6" s="3618"/>
      <c r="T6" s="3618"/>
      <c r="U6" s="3618"/>
      <c r="V6" s="3618"/>
      <c r="W6" s="3618"/>
      <c r="X6" s="3618"/>
      <c r="Y6" s="3618"/>
      <c r="Z6" s="3618"/>
      <c r="AA6" s="3618"/>
      <c r="AB6" s="3618"/>
      <c r="AC6" s="3618"/>
      <c r="AD6" s="3618"/>
      <c r="AE6" s="3618"/>
      <c r="AF6" s="3618"/>
      <c r="AG6" s="3618"/>
      <c r="AH6" s="3618"/>
      <c r="AI6" s="3618"/>
      <c r="AJ6" s="3618"/>
      <c r="AK6" s="3618"/>
      <c r="AL6" s="3618"/>
      <c r="AM6" s="3618"/>
      <c r="AN6" s="3618"/>
      <c r="AO6" s="3618"/>
      <c r="AP6" s="3618"/>
      <c r="AQ6" s="3618"/>
      <c r="AR6" s="3618"/>
      <c r="AS6" s="1252"/>
      <c r="AT6" s="1252"/>
      <c r="AU6" s="1252"/>
      <c r="AV6" s="1252"/>
      <c r="AW6" s="1252"/>
      <c r="AX6" s="1252"/>
      <c r="AY6" s="1252"/>
      <c r="AZ6" s="1252"/>
      <c r="BA6" s="1252"/>
      <c r="BB6" s="1252"/>
      <c r="BC6" s="1252"/>
      <c r="BD6" s="1252"/>
    </row>
    <row r="7" spans="1:74" s="142" customFormat="1" ht="84.6" customHeight="1">
      <c r="A7" s="1252"/>
      <c r="B7" s="1253" t="s">
        <v>49</v>
      </c>
      <c r="C7" s="3617" t="s">
        <v>1680</v>
      </c>
      <c r="D7" s="3618"/>
      <c r="E7" s="3618"/>
      <c r="F7" s="3618"/>
      <c r="G7" s="3618"/>
      <c r="H7" s="3618"/>
      <c r="I7" s="3618"/>
      <c r="J7" s="3618"/>
      <c r="K7" s="3618"/>
      <c r="L7" s="3618"/>
      <c r="M7" s="3618"/>
      <c r="N7" s="3618"/>
      <c r="O7" s="3618"/>
      <c r="P7" s="3618"/>
      <c r="Q7" s="3618"/>
      <c r="R7" s="3618"/>
      <c r="S7" s="3618"/>
      <c r="T7" s="3618"/>
      <c r="U7" s="3618"/>
      <c r="V7" s="3618"/>
      <c r="W7" s="3618"/>
      <c r="X7" s="3618"/>
      <c r="Y7" s="3618"/>
      <c r="Z7" s="3618"/>
      <c r="AA7" s="3618"/>
      <c r="AB7" s="3618"/>
      <c r="AC7" s="3618"/>
      <c r="AD7" s="3618"/>
      <c r="AE7" s="3618"/>
      <c r="AF7" s="3618"/>
      <c r="AG7" s="3618"/>
      <c r="AH7" s="3618"/>
      <c r="AI7" s="3618"/>
      <c r="AJ7" s="3618"/>
      <c r="AK7" s="3618"/>
      <c r="AL7" s="3618"/>
      <c r="AM7" s="3618"/>
      <c r="AN7" s="3618"/>
      <c r="AO7" s="3618"/>
      <c r="AP7" s="3618"/>
      <c r="AQ7" s="3618"/>
      <c r="AR7" s="3618"/>
      <c r="AS7" s="1252"/>
      <c r="AT7" s="1252"/>
      <c r="AU7" s="1252"/>
      <c r="AV7" s="1252"/>
      <c r="AW7" s="1252"/>
      <c r="AX7" s="1252"/>
      <c r="AY7" s="1252"/>
      <c r="AZ7" s="1252"/>
      <c r="BA7" s="1252"/>
      <c r="BB7" s="1252"/>
      <c r="BC7" s="1252"/>
      <c r="BD7" s="1252"/>
    </row>
    <row r="8" spans="1:74" ht="20.100000000000001" customHeight="1">
      <c r="A8" s="1101"/>
      <c r="B8" s="1101"/>
      <c r="C8" s="1101"/>
      <c r="D8" s="1101"/>
      <c r="E8" s="1101"/>
      <c r="F8" s="1101"/>
      <c r="G8" s="1101"/>
      <c r="H8" s="1101"/>
      <c r="I8" s="1101"/>
      <c r="J8" s="1101"/>
      <c r="K8" s="1101"/>
      <c r="L8" s="1101"/>
      <c r="M8" s="1101"/>
      <c r="N8" s="1101"/>
      <c r="O8" s="1101"/>
      <c r="P8" s="1101"/>
      <c r="Q8" s="1101"/>
      <c r="R8" s="1101"/>
      <c r="S8" s="1101"/>
      <c r="T8" s="1101"/>
      <c r="U8" s="1101"/>
      <c r="V8" s="1101"/>
      <c r="W8" s="1101"/>
      <c r="X8" s="1101"/>
      <c r="Y8" s="1101"/>
      <c r="Z8" s="1101"/>
      <c r="AA8" s="1101"/>
      <c r="AB8" s="1101"/>
      <c r="AC8" s="1101"/>
      <c r="AD8" s="1101"/>
      <c r="AE8" s="1101"/>
      <c r="AF8" s="1101"/>
      <c r="AG8" s="1101"/>
      <c r="AH8" s="1101"/>
      <c r="AI8" s="1101"/>
      <c r="AJ8" s="1101"/>
      <c r="AK8" s="1101"/>
      <c r="AL8" s="1101"/>
      <c r="AM8" s="1101"/>
      <c r="AN8" s="1101"/>
      <c r="AO8" s="1101"/>
      <c r="AP8" s="1101"/>
      <c r="AQ8" s="1101"/>
      <c r="AR8" s="1101"/>
      <c r="AS8" s="1101"/>
      <c r="AT8" s="1101"/>
      <c r="AU8" s="1101"/>
      <c r="AV8" s="1101"/>
      <c r="AW8" s="1101"/>
      <c r="AX8" s="1101"/>
      <c r="AY8" s="1101"/>
      <c r="AZ8" s="1101"/>
      <c r="BA8" s="1101"/>
      <c r="BB8" s="1101"/>
      <c r="BC8" s="1101"/>
      <c r="BD8" s="1101"/>
    </row>
    <row r="9" spans="1:74" s="102" customFormat="1" ht="16.5" customHeight="1">
      <c r="A9" s="599"/>
      <c r="B9" s="1024" t="s">
        <v>11435</v>
      </c>
      <c r="C9" s="1024"/>
      <c r="D9" s="1024"/>
      <c r="E9" s="1024"/>
      <c r="F9" s="1024"/>
      <c r="G9" s="1024"/>
      <c r="H9" s="1024"/>
      <c r="I9" s="1024"/>
      <c r="J9" s="1024"/>
      <c r="K9" s="1024"/>
      <c r="L9" s="1024"/>
      <c r="M9" s="1024"/>
      <c r="N9" s="1024"/>
      <c r="O9" s="1024"/>
      <c r="P9" s="1024"/>
      <c r="Q9" s="1024"/>
      <c r="R9" s="1024"/>
      <c r="S9" s="1254"/>
      <c r="T9" s="1254"/>
      <c r="U9" s="612"/>
      <c r="V9" s="612"/>
      <c r="W9" s="612"/>
      <c r="X9" s="612"/>
      <c r="Y9" s="612"/>
      <c r="Z9" s="612"/>
      <c r="AA9" s="612"/>
      <c r="AB9" s="612"/>
      <c r="AC9" s="612"/>
      <c r="AD9" s="612"/>
      <c r="AE9" s="612"/>
      <c r="AF9" s="612"/>
      <c r="AG9" s="612"/>
      <c r="AH9" s="612"/>
      <c r="AI9" s="612"/>
      <c r="AJ9" s="612"/>
      <c r="AK9" s="612"/>
      <c r="AL9" s="612"/>
      <c r="AM9" s="599"/>
      <c r="AN9" s="599"/>
      <c r="AO9" s="599"/>
      <c r="AP9" s="599"/>
      <c r="AQ9" s="599"/>
      <c r="AR9" s="599"/>
      <c r="AS9" s="599"/>
      <c r="AT9" s="599"/>
      <c r="AU9" s="599"/>
      <c r="AV9" s="599"/>
      <c r="AW9" s="599"/>
      <c r="AX9" s="599"/>
      <c r="AY9" s="599"/>
      <c r="AZ9" s="599"/>
      <c r="BA9" s="599"/>
      <c r="BB9" s="599"/>
      <c r="BC9" s="599"/>
      <c r="BD9" s="599"/>
    </row>
    <row r="10" spans="1:74" s="41" customFormat="1" ht="16.5" thickBot="1">
      <c r="A10" s="593"/>
      <c r="B10" s="1255" t="s">
        <v>1016</v>
      </c>
      <c r="C10" s="593"/>
      <c r="D10" s="593"/>
      <c r="E10" s="593"/>
      <c r="F10" s="593"/>
      <c r="G10" s="593"/>
      <c r="H10" s="593"/>
      <c r="I10" s="593"/>
      <c r="J10" s="593"/>
      <c r="K10" s="593"/>
      <c r="L10" s="593"/>
      <c r="M10" s="593"/>
      <c r="N10" s="593"/>
      <c r="O10" s="593"/>
      <c r="P10" s="593"/>
      <c r="Q10" s="593"/>
      <c r="R10" s="593"/>
      <c r="S10" s="593"/>
      <c r="T10" s="593"/>
      <c r="U10" s="593"/>
      <c r="V10" s="593"/>
      <c r="W10" s="593"/>
      <c r="X10" s="593"/>
      <c r="Y10" s="593"/>
      <c r="Z10" s="593"/>
      <c r="AA10" s="593"/>
      <c r="AB10" s="593"/>
      <c r="AC10" s="593"/>
      <c r="AD10" s="593"/>
      <c r="AE10" s="593"/>
      <c r="AF10" s="593"/>
      <c r="AG10" s="593"/>
      <c r="AH10" s="593"/>
      <c r="AI10" s="593"/>
      <c r="AJ10" s="593"/>
      <c r="AK10" s="593"/>
      <c r="AL10" s="593"/>
      <c r="AM10" s="593"/>
      <c r="AN10" s="593"/>
      <c r="AO10" s="593"/>
      <c r="AP10" s="593"/>
      <c r="AQ10" s="593"/>
      <c r="AR10" s="593"/>
      <c r="AS10" s="593"/>
      <c r="AT10" s="593"/>
      <c r="AU10" s="593"/>
      <c r="AV10" s="593"/>
      <c r="AW10" s="593"/>
      <c r="AX10" s="593"/>
      <c r="AY10" s="593"/>
      <c r="AZ10" s="593"/>
      <c r="BA10" s="593"/>
      <c r="BB10" s="593"/>
      <c r="BC10" s="593"/>
      <c r="BD10" s="593"/>
    </row>
    <row r="11" spans="1:74" s="40" customFormat="1" ht="16.5">
      <c r="A11" s="582"/>
      <c r="B11" s="3619" t="s">
        <v>875</v>
      </c>
      <c r="C11" s="3620"/>
      <c r="D11" s="3620"/>
      <c r="E11" s="3620"/>
      <c r="F11" s="3620"/>
      <c r="G11" s="3620"/>
      <c r="H11" s="3620"/>
      <c r="I11" s="3620"/>
      <c r="J11" s="3620"/>
      <c r="K11" s="3620"/>
      <c r="L11" s="3620"/>
      <c r="M11" s="3620"/>
      <c r="N11" s="3620"/>
      <c r="O11" s="3620"/>
      <c r="P11" s="3620"/>
      <c r="Q11" s="3620"/>
      <c r="R11" s="3620"/>
      <c r="S11" s="3620"/>
      <c r="T11" s="3621"/>
      <c r="U11" s="3625">
        <v>2021</v>
      </c>
      <c r="V11" s="3626"/>
      <c r="W11" s="3626" t="s">
        <v>829</v>
      </c>
      <c r="X11" s="3626"/>
      <c r="Y11" s="3626" t="s">
        <v>830</v>
      </c>
      <c r="Z11" s="3626"/>
      <c r="AA11" s="3626" t="s">
        <v>831</v>
      </c>
      <c r="AB11" s="3626"/>
      <c r="AC11" s="3626" t="s">
        <v>832</v>
      </c>
      <c r="AD11" s="3626"/>
      <c r="AE11" s="3626" t="s">
        <v>833</v>
      </c>
      <c r="AF11" s="3626"/>
      <c r="AG11" s="3626" t="s">
        <v>834</v>
      </c>
      <c r="AH11" s="3627"/>
      <c r="AI11" s="3626">
        <v>2022</v>
      </c>
      <c r="AJ11" s="3626"/>
      <c r="AK11" s="3626" t="s">
        <v>836</v>
      </c>
      <c r="AL11" s="3626"/>
      <c r="AM11" s="3626" t="s">
        <v>837</v>
      </c>
      <c r="AN11" s="3626"/>
      <c r="AO11" s="3626" t="s">
        <v>838</v>
      </c>
      <c r="AP11" s="3626"/>
      <c r="AQ11" s="3626" t="s">
        <v>839</v>
      </c>
      <c r="AR11" s="3627"/>
      <c r="AS11" s="582"/>
      <c r="AT11" s="582"/>
      <c r="AU11" s="582"/>
      <c r="AV11" s="582"/>
      <c r="AW11" s="582"/>
      <c r="AX11" s="582"/>
      <c r="AY11" s="582"/>
      <c r="AZ11" s="582"/>
      <c r="BA11" s="582"/>
      <c r="BB11" s="582"/>
      <c r="BC11" s="582"/>
      <c r="BD11" s="582"/>
    </row>
    <row r="12" spans="1:74" s="40" customFormat="1" ht="17.25" thickBot="1">
      <c r="A12" s="582"/>
      <c r="B12" s="3622" t="s">
        <v>876</v>
      </c>
      <c r="C12" s="3623"/>
      <c r="D12" s="3623"/>
      <c r="E12" s="3623"/>
      <c r="F12" s="3623"/>
      <c r="G12" s="3623"/>
      <c r="H12" s="3623"/>
      <c r="I12" s="3623"/>
      <c r="J12" s="3623"/>
      <c r="K12" s="3623"/>
      <c r="L12" s="3623"/>
      <c r="M12" s="3623"/>
      <c r="N12" s="3623"/>
      <c r="O12" s="3623"/>
      <c r="P12" s="3623"/>
      <c r="Q12" s="3623"/>
      <c r="R12" s="3623"/>
      <c r="S12" s="3623"/>
      <c r="T12" s="3624"/>
      <c r="U12" s="3628" t="s">
        <v>828</v>
      </c>
      <c r="V12" s="3614"/>
      <c r="W12" s="3614" t="s">
        <v>829</v>
      </c>
      <c r="X12" s="3614"/>
      <c r="Y12" s="3614" t="s">
        <v>830</v>
      </c>
      <c r="Z12" s="3614"/>
      <c r="AA12" s="3614" t="s">
        <v>831</v>
      </c>
      <c r="AB12" s="3614"/>
      <c r="AC12" s="3614" t="s">
        <v>832</v>
      </c>
      <c r="AD12" s="3614"/>
      <c r="AE12" s="3614" t="s">
        <v>833</v>
      </c>
      <c r="AF12" s="3614"/>
      <c r="AG12" s="3614" t="s">
        <v>834</v>
      </c>
      <c r="AH12" s="3615"/>
      <c r="AI12" s="3629" t="s">
        <v>835</v>
      </c>
      <c r="AJ12" s="3614"/>
      <c r="AK12" s="3614" t="s">
        <v>836</v>
      </c>
      <c r="AL12" s="3614"/>
      <c r="AM12" s="3614" t="s">
        <v>837</v>
      </c>
      <c r="AN12" s="3614"/>
      <c r="AO12" s="3614" t="s">
        <v>838</v>
      </c>
      <c r="AP12" s="3614"/>
      <c r="AQ12" s="3614" t="s">
        <v>839</v>
      </c>
      <c r="AR12" s="3615"/>
      <c r="AS12" s="582"/>
      <c r="AT12" s="582"/>
      <c r="AU12" s="582"/>
      <c r="AV12" s="582"/>
      <c r="AW12" s="582"/>
      <c r="AX12" s="582"/>
      <c r="AY12" s="582"/>
      <c r="AZ12" s="582"/>
      <c r="BA12" s="582"/>
      <c r="BB12" s="582"/>
      <c r="BC12" s="582"/>
      <c r="BD12" s="582"/>
    </row>
    <row r="13" spans="1:74" s="41" customFormat="1" ht="24.75" customHeight="1">
      <c r="A13" s="593"/>
      <c r="B13" s="1256"/>
      <c r="C13" s="3616" t="s">
        <v>877</v>
      </c>
      <c r="D13" s="3616"/>
      <c r="E13" s="3616"/>
      <c r="F13" s="3616"/>
      <c r="G13" s="3616"/>
      <c r="H13" s="3616"/>
      <c r="I13" s="3616"/>
      <c r="J13" s="3616"/>
      <c r="K13" s="3616"/>
      <c r="L13" s="3616"/>
      <c r="M13" s="3616"/>
      <c r="N13" s="3616"/>
      <c r="O13" s="3616"/>
      <c r="P13" s="3616"/>
      <c r="Q13" s="3616"/>
      <c r="R13" s="3616"/>
      <c r="S13" s="3616"/>
      <c r="T13" s="1257"/>
      <c r="U13" s="3531">
        <v>0</v>
      </c>
      <c r="V13" s="3521"/>
      <c r="W13" s="3523">
        <v>0</v>
      </c>
      <c r="X13" s="3522"/>
      <c r="Y13" s="3523">
        <v>0</v>
      </c>
      <c r="Z13" s="3522"/>
      <c r="AA13" s="3523">
        <v>0</v>
      </c>
      <c r="AB13" s="3522"/>
      <c r="AC13" s="3523">
        <v>0</v>
      </c>
      <c r="AD13" s="3522"/>
      <c r="AE13" s="3523">
        <v>0</v>
      </c>
      <c r="AF13" s="3522"/>
      <c r="AG13" s="3523">
        <v>0</v>
      </c>
      <c r="AH13" s="3532"/>
      <c r="AI13" s="3521">
        <v>0</v>
      </c>
      <c r="AJ13" s="3522"/>
      <c r="AK13" s="3523">
        <v>0</v>
      </c>
      <c r="AL13" s="3522"/>
      <c r="AM13" s="3523">
        <v>0</v>
      </c>
      <c r="AN13" s="3522"/>
      <c r="AO13" s="3523">
        <v>0</v>
      </c>
      <c r="AP13" s="3522"/>
      <c r="AQ13" s="3523">
        <v>0</v>
      </c>
      <c r="AR13" s="3532"/>
      <c r="AS13" s="593"/>
      <c r="AT13" s="593"/>
      <c r="AU13" s="593"/>
      <c r="AV13" s="593"/>
      <c r="AW13" s="593"/>
      <c r="AX13" s="593"/>
      <c r="AY13" s="593"/>
      <c r="AZ13" s="593"/>
      <c r="BA13" s="593"/>
      <c r="BB13" s="593"/>
      <c r="BC13" s="593"/>
      <c r="BD13" s="593"/>
    </row>
    <row r="14" spans="1:74" s="41" customFormat="1" ht="24.75" customHeight="1">
      <c r="A14" s="593"/>
      <c r="B14" s="1256"/>
      <c r="C14" s="3530" t="s">
        <v>878</v>
      </c>
      <c r="D14" s="3530"/>
      <c r="E14" s="3530"/>
      <c r="F14" s="3530"/>
      <c r="G14" s="3530"/>
      <c r="H14" s="3530"/>
      <c r="I14" s="3530"/>
      <c r="J14" s="3530"/>
      <c r="K14" s="3530"/>
      <c r="L14" s="3530"/>
      <c r="M14" s="3530"/>
      <c r="N14" s="3530"/>
      <c r="O14" s="3530"/>
      <c r="P14" s="3530"/>
      <c r="Q14" s="3530"/>
      <c r="R14" s="3530"/>
      <c r="S14" s="3530"/>
      <c r="T14" s="1258"/>
      <c r="U14" s="3531">
        <v>0</v>
      </c>
      <c r="V14" s="3521"/>
      <c r="W14" s="3523">
        <v>0</v>
      </c>
      <c r="X14" s="3522"/>
      <c r="Y14" s="3523">
        <v>0</v>
      </c>
      <c r="Z14" s="3522"/>
      <c r="AA14" s="3523">
        <v>0</v>
      </c>
      <c r="AB14" s="3522"/>
      <c r="AC14" s="3523">
        <v>0</v>
      </c>
      <c r="AD14" s="3522"/>
      <c r="AE14" s="3523">
        <v>0</v>
      </c>
      <c r="AF14" s="3522"/>
      <c r="AG14" s="3523">
        <v>0</v>
      </c>
      <c r="AH14" s="3532"/>
      <c r="AI14" s="3521">
        <v>0</v>
      </c>
      <c r="AJ14" s="3522"/>
      <c r="AK14" s="3523">
        <v>0</v>
      </c>
      <c r="AL14" s="3522"/>
      <c r="AM14" s="3523">
        <v>0</v>
      </c>
      <c r="AN14" s="3522"/>
      <c r="AO14" s="3523">
        <v>0</v>
      </c>
      <c r="AP14" s="3522"/>
      <c r="AQ14" s="3523">
        <v>0</v>
      </c>
      <c r="AR14" s="3532"/>
      <c r="AS14" s="593"/>
      <c r="AT14" s="593"/>
      <c r="AU14" s="593"/>
      <c r="AV14" s="593"/>
      <c r="AW14" s="593"/>
      <c r="AX14" s="593"/>
      <c r="AY14" s="593"/>
      <c r="AZ14" s="593"/>
      <c r="BA14" s="593"/>
      <c r="BB14" s="593"/>
      <c r="BC14" s="593"/>
      <c r="BD14" s="593"/>
    </row>
    <row r="15" spans="1:74" s="41" customFormat="1" ht="36" customHeight="1">
      <c r="A15" s="593"/>
      <c r="B15" s="1256"/>
      <c r="C15" s="3530" t="s">
        <v>879</v>
      </c>
      <c r="D15" s="3530"/>
      <c r="E15" s="3530"/>
      <c r="F15" s="3530"/>
      <c r="G15" s="3530"/>
      <c r="H15" s="3530"/>
      <c r="I15" s="3530"/>
      <c r="J15" s="3530"/>
      <c r="K15" s="3530"/>
      <c r="L15" s="3530"/>
      <c r="M15" s="3530"/>
      <c r="N15" s="3530"/>
      <c r="O15" s="3530"/>
      <c r="P15" s="3530"/>
      <c r="Q15" s="3530"/>
      <c r="R15" s="3530"/>
      <c r="S15" s="3530"/>
      <c r="T15" s="1258"/>
      <c r="U15" s="3531">
        <v>0</v>
      </c>
      <c r="V15" s="3521"/>
      <c r="W15" s="3523">
        <v>0</v>
      </c>
      <c r="X15" s="3522"/>
      <c r="Y15" s="3523">
        <v>0</v>
      </c>
      <c r="Z15" s="3522"/>
      <c r="AA15" s="3523">
        <v>0</v>
      </c>
      <c r="AB15" s="3522"/>
      <c r="AC15" s="3523">
        <v>0</v>
      </c>
      <c r="AD15" s="3522"/>
      <c r="AE15" s="3523">
        <v>0</v>
      </c>
      <c r="AF15" s="3522"/>
      <c r="AG15" s="3523">
        <v>1</v>
      </c>
      <c r="AH15" s="3532"/>
      <c r="AI15" s="3521">
        <v>0</v>
      </c>
      <c r="AJ15" s="3522"/>
      <c r="AK15" s="3523">
        <v>0</v>
      </c>
      <c r="AL15" s="3522"/>
      <c r="AM15" s="3523">
        <v>0</v>
      </c>
      <c r="AN15" s="3522"/>
      <c r="AO15" s="3523">
        <v>0</v>
      </c>
      <c r="AP15" s="3522"/>
      <c r="AQ15" s="3523">
        <v>0</v>
      </c>
      <c r="AR15" s="3532"/>
      <c r="AS15" s="593"/>
      <c r="AT15" s="593"/>
      <c r="AU15" s="593"/>
      <c r="AV15" s="593"/>
      <c r="AW15" s="593"/>
      <c r="AX15" s="593"/>
      <c r="AY15" s="593"/>
      <c r="AZ15" s="593"/>
      <c r="BA15" s="593"/>
      <c r="BB15" s="593"/>
      <c r="BC15" s="593"/>
      <c r="BD15" s="593"/>
    </row>
    <row r="16" spans="1:74" s="41" customFormat="1" ht="36" customHeight="1">
      <c r="A16" s="593"/>
      <c r="B16" s="1256"/>
      <c r="C16" s="3530" t="s">
        <v>1826</v>
      </c>
      <c r="D16" s="3530"/>
      <c r="E16" s="3530"/>
      <c r="F16" s="3530"/>
      <c r="G16" s="3530"/>
      <c r="H16" s="3530"/>
      <c r="I16" s="3530"/>
      <c r="J16" s="3530"/>
      <c r="K16" s="3530"/>
      <c r="L16" s="3530"/>
      <c r="M16" s="3530"/>
      <c r="N16" s="3530"/>
      <c r="O16" s="3530"/>
      <c r="P16" s="3530"/>
      <c r="Q16" s="3530"/>
      <c r="R16" s="3530"/>
      <c r="S16" s="3530"/>
      <c r="T16" s="1258"/>
      <c r="U16" s="3531">
        <v>0</v>
      </c>
      <c r="V16" s="3521"/>
      <c r="W16" s="3523">
        <v>0</v>
      </c>
      <c r="X16" s="3522"/>
      <c r="Y16" s="3523">
        <v>0</v>
      </c>
      <c r="Z16" s="3522"/>
      <c r="AA16" s="3523">
        <v>0</v>
      </c>
      <c r="AB16" s="3522"/>
      <c r="AC16" s="3523">
        <v>0</v>
      </c>
      <c r="AD16" s="3522"/>
      <c r="AE16" s="3523">
        <v>0</v>
      </c>
      <c r="AF16" s="3522"/>
      <c r="AG16" s="3523">
        <v>0</v>
      </c>
      <c r="AH16" s="3532"/>
      <c r="AI16" s="3521">
        <v>0</v>
      </c>
      <c r="AJ16" s="3522"/>
      <c r="AK16" s="3523">
        <v>0</v>
      </c>
      <c r="AL16" s="3522"/>
      <c r="AM16" s="3523">
        <v>0</v>
      </c>
      <c r="AN16" s="3522"/>
      <c r="AO16" s="3523">
        <v>0</v>
      </c>
      <c r="AP16" s="3522"/>
      <c r="AQ16" s="3523">
        <v>0</v>
      </c>
      <c r="AR16" s="3532"/>
      <c r="AS16" s="593"/>
      <c r="AT16" s="593"/>
      <c r="AU16" s="593"/>
      <c r="AV16" s="593"/>
      <c r="AW16" s="593"/>
      <c r="AX16" s="593"/>
      <c r="AY16" s="593"/>
      <c r="AZ16" s="593"/>
      <c r="BA16" s="593"/>
      <c r="BB16" s="593"/>
      <c r="BC16" s="593"/>
      <c r="BD16" s="593"/>
    </row>
    <row r="17" spans="1:56" s="41" customFormat="1" ht="36" customHeight="1" thickBot="1">
      <c r="A17" s="593"/>
      <c r="B17" s="1259"/>
      <c r="C17" s="3612" t="s">
        <v>880</v>
      </c>
      <c r="D17" s="3612"/>
      <c r="E17" s="3612"/>
      <c r="F17" s="3612"/>
      <c r="G17" s="3612"/>
      <c r="H17" s="3612"/>
      <c r="I17" s="3612"/>
      <c r="J17" s="3612"/>
      <c r="K17" s="3612"/>
      <c r="L17" s="3612"/>
      <c r="M17" s="3612"/>
      <c r="N17" s="3612"/>
      <c r="O17" s="3612"/>
      <c r="P17" s="3612"/>
      <c r="Q17" s="3612"/>
      <c r="R17" s="3612"/>
      <c r="S17" s="3612"/>
      <c r="T17" s="1260"/>
      <c r="U17" s="3613">
        <v>0</v>
      </c>
      <c r="V17" s="3609"/>
      <c r="W17" s="3610">
        <v>0</v>
      </c>
      <c r="X17" s="3609"/>
      <c r="Y17" s="3610">
        <v>0</v>
      </c>
      <c r="Z17" s="3609"/>
      <c r="AA17" s="3610">
        <v>0</v>
      </c>
      <c r="AB17" s="3609"/>
      <c r="AC17" s="3610">
        <v>0</v>
      </c>
      <c r="AD17" s="3609"/>
      <c r="AE17" s="3610">
        <v>0</v>
      </c>
      <c r="AF17" s="3609"/>
      <c r="AG17" s="3610">
        <v>0</v>
      </c>
      <c r="AH17" s="3611"/>
      <c r="AI17" s="3608">
        <v>0</v>
      </c>
      <c r="AJ17" s="3609"/>
      <c r="AK17" s="3610">
        <v>0</v>
      </c>
      <c r="AL17" s="3609"/>
      <c r="AM17" s="3610">
        <v>0</v>
      </c>
      <c r="AN17" s="3609"/>
      <c r="AO17" s="3610">
        <v>0</v>
      </c>
      <c r="AP17" s="3609"/>
      <c r="AQ17" s="3610">
        <v>0</v>
      </c>
      <c r="AR17" s="3611"/>
      <c r="AS17" s="593"/>
      <c r="AT17" s="593"/>
      <c r="AU17" s="593"/>
      <c r="AV17" s="593"/>
      <c r="AW17" s="593"/>
      <c r="AX17" s="593"/>
      <c r="AY17" s="593"/>
      <c r="AZ17" s="593"/>
      <c r="BA17" s="593"/>
      <c r="BB17" s="593"/>
      <c r="BC17" s="593"/>
      <c r="BD17" s="593"/>
    </row>
    <row r="18" spans="1:56" s="41" customFormat="1" ht="36" customHeight="1">
      <c r="A18" s="593"/>
      <c r="B18" s="1145"/>
      <c r="C18" s="1236"/>
      <c r="D18" s="1236"/>
      <c r="E18" s="1236"/>
      <c r="F18" s="1236"/>
      <c r="G18" s="1236"/>
      <c r="H18" s="1236"/>
      <c r="I18" s="1236"/>
      <c r="J18" s="1236"/>
      <c r="K18" s="1236"/>
      <c r="L18" s="1236"/>
      <c r="M18" s="1236"/>
      <c r="N18" s="1236"/>
      <c r="O18" s="1236"/>
      <c r="P18" s="1236"/>
      <c r="Q18" s="1236"/>
      <c r="R18" s="1236"/>
      <c r="S18" s="1236"/>
      <c r="T18" s="1145"/>
      <c r="U18" s="1237"/>
      <c r="V18" s="1237"/>
      <c r="W18" s="1237"/>
      <c r="X18" s="1237"/>
      <c r="Y18" s="1237"/>
      <c r="Z18" s="1237"/>
      <c r="AA18" s="1237"/>
      <c r="AB18" s="1237"/>
      <c r="AC18" s="1237"/>
      <c r="AD18" s="1237"/>
      <c r="AE18" s="1237"/>
      <c r="AF18" s="1237"/>
      <c r="AG18" s="1237"/>
      <c r="AH18" s="1237"/>
      <c r="AI18" s="1237"/>
      <c r="AJ18" s="1237"/>
      <c r="AK18" s="1237"/>
      <c r="AL18" s="1237"/>
      <c r="AM18" s="1237"/>
      <c r="AN18" s="1237"/>
      <c r="AO18" s="1237"/>
      <c r="AP18" s="1237"/>
      <c r="AQ18" s="1237"/>
      <c r="AR18" s="1237"/>
      <c r="AS18" s="593"/>
      <c r="AT18" s="593"/>
      <c r="AU18" s="593"/>
      <c r="AV18" s="593"/>
      <c r="AW18" s="593"/>
      <c r="AX18" s="593"/>
      <c r="AY18" s="593"/>
      <c r="AZ18" s="593"/>
      <c r="BA18" s="593"/>
      <c r="BB18" s="593"/>
      <c r="BC18" s="593"/>
      <c r="BD18" s="593"/>
    </row>
    <row r="19" spans="1:56" s="3" customFormat="1" ht="33.75" customHeight="1">
      <c r="A19" s="24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row>
    <row r="20" spans="1:56" s="26" customFormat="1" ht="15">
      <c r="A20" s="817"/>
      <c r="B20" s="332" t="s">
        <v>32</v>
      </c>
      <c r="C20" s="817"/>
      <c r="D20" s="817"/>
      <c r="E20" s="817"/>
      <c r="F20" s="817"/>
      <c r="G20" s="817"/>
      <c r="H20" s="817"/>
      <c r="I20" s="817"/>
      <c r="J20" s="817"/>
      <c r="K20" s="817"/>
      <c r="L20" s="817"/>
      <c r="M20" s="817"/>
      <c r="N20" s="817"/>
      <c r="O20" s="817"/>
      <c r="P20" s="817"/>
      <c r="Q20" s="332" t="s">
        <v>856</v>
      </c>
      <c r="R20" s="817"/>
      <c r="S20" s="817"/>
      <c r="T20" s="817"/>
      <c r="U20" s="817"/>
      <c r="V20" s="817"/>
      <c r="W20" s="817"/>
      <c r="X20" s="817"/>
      <c r="Y20" s="817"/>
      <c r="Z20" s="817"/>
      <c r="AA20" s="817"/>
      <c r="AB20" s="817"/>
      <c r="AC20" s="817"/>
      <c r="AD20" s="817"/>
      <c r="AE20" s="817"/>
      <c r="AF20" s="332" t="s">
        <v>33</v>
      </c>
      <c r="AG20" s="817"/>
      <c r="AH20" s="817"/>
      <c r="AI20" s="817"/>
      <c r="AJ20" s="817"/>
      <c r="AK20" s="817"/>
      <c r="AL20" s="817"/>
      <c r="AM20" s="817"/>
      <c r="AN20" s="817"/>
      <c r="AO20" s="817"/>
      <c r="AP20" s="817"/>
      <c r="AQ20" s="817"/>
      <c r="AR20" s="817"/>
      <c r="AS20" s="817"/>
      <c r="AT20" s="817"/>
      <c r="AU20" s="817"/>
      <c r="AV20" s="817"/>
      <c r="AW20" s="817"/>
      <c r="AX20" s="817"/>
      <c r="AY20" s="817"/>
      <c r="AZ20" s="817"/>
      <c r="BA20" s="817"/>
      <c r="BB20" s="817"/>
      <c r="BC20" s="817"/>
      <c r="BD20" s="817"/>
    </row>
    <row r="21" spans="1:56" s="26" customFormat="1" ht="21.75" customHeight="1">
      <c r="A21" s="817"/>
      <c r="B21" s="332" t="s">
        <v>73</v>
      </c>
      <c r="C21" s="817"/>
      <c r="D21" s="817"/>
      <c r="E21" s="817"/>
      <c r="F21" s="2975" t="str">
        <f>activesheet!E21</f>
        <v>MELCHESIEDICK Q. BOLANIO / March 17, 2023</v>
      </c>
      <c r="G21" s="2975"/>
      <c r="H21" s="2975"/>
      <c r="I21" s="2975"/>
      <c r="J21" s="2975"/>
      <c r="K21" s="2975"/>
      <c r="L21" s="2975"/>
      <c r="M21" s="2975"/>
      <c r="N21" s="2975"/>
      <c r="O21" s="817"/>
      <c r="P21" s="817"/>
      <c r="Q21" s="2975" t="str">
        <f>activesheet!E3344</f>
        <v>ELYN KENDRA D. DELA CRUZ / March 17, 2023</v>
      </c>
      <c r="R21" s="2975"/>
      <c r="S21" s="2975"/>
      <c r="T21" s="2975"/>
      <c r="U21" s="2975"/>
      <c r="V21" s="2975"/>
      <c r="W21" s="2975"/>
      <c r="X21" s="2975"/>
      <c r="Y21" s="2975"/>
      <c r="Z21" s="2975"/>
      <c r="AA21" s="2975"/>
      <c r="AB21" s="2975"/>
      <c r="AC21" s="2975"/>
      <c r="AD21" s="817"/>
      <c r="AE21" s="817"/>
      <c r="AF21" s="1819" t="str">
        <f>activesheet!E25</f>
        <v>MICHAEL T. JAMIS / March 17, 2023</v>
      </c>
      <c r="AG21" s="1819"/>
      <c r="AH21" s="1819"/>
      <c r="AI21" s="1819"/>
      <c r="AJ21" s="1819"/>
      <c r="AK21" s="1819"/>
      <c r="AL21" s="1819"/>
      <c r="AM21" s="1819"/>
      <c r="AN21" s="1819"/>
      <c r="AO21" s="1819"/>
      <c r="AP21" s="1819"/>
      <c r="AQ21" s="1819"/>
      <c r="AR21" s="1819"/>
      <c r="AS21" s="817"/>
      <c r="AT21" s="817"/>
      <c r="AU21" s="817"/>
      <c r="AV21" s="817"/>
      <c r="AW21" s="817"/>
      <c r="AX21" s="817"/>
      <c r="AY21" s="817"/>
      <c r="AZ21" s="817"/>
      <c r="BA21" s="817"/>
      <c r="BB21" s="817"/>
      <c r="BC21" s="817"/>
      <c r="BD21" s="817"/>
    </row>
    <row r="22" spans="1:56" s="136" customFormat="1" ht="15" customHeight="1">
      <c r="A22" s="839"/>
      <c r="B22" s="228"/>
      <c r="C22" s="839"/>
      <c r="D22" s="839"/>
      <c r="E22" s="839"/>
      <c r="F22" s="1811" t="s">
        <v>37</v>
      </c>
      <c r="G22" s="1811"/>
      <c r="H22" s="1811"/>
      <c r="I22" s="1811"/>
      <c r="J22" s="1811"/>
      <c r="K22" s="1811"/>
      <c r="L22" s="1811"/>
      <c r="M22" s="1811"/>
      <c r="N22" s="1811"/>
      <c r="O22" s="228"/>
      <c r="P22" s="228"/>
      <c r="Q22" s="1811" t="s">
        <v>37</v>
      </c>
      <c r="R22" s="1811"/>
      <c r="S22" s="1811"/>
      <c r="T22" s="1811"/>
      <c r="U22" s="1811"/>
      <c r="V22" s="1811"/>
      <c r="W22" s="1811"/>
      <c r="X22" s="1811"/>
      <c r="Y22" s="1811"/>
      <c r="Z22" s="1811"/>
      <c r="AA22" s="1811"/>
      <c r="AB22" s="1811"/>
      <c r="AC22" s="1811"/>
      <c r="AD22" s="281"/>
      <c r="AE22" s="281"/>
      <c r="AF22" s="1820"/>
      <c r="AG22" s="1820"/>
      <c r="AH22" s="1820"/>
      <c r="AI22" s="1820"/>
      <c r="AJ22" s="1820"/>
      <c r="AK22" s="1820"/>
      <c r="AL22" s="1820"/>
      <c r="AM22" s="1820"/>
      <c r="AN22" s="1820"/>
      <c r="AO22" s="1820"/>
      <c r="AP22" s="1820"/>
      <c r="AQ22" s="1820"/>
      <c r="AR22" s="1820"/>
      <c r="AS22" s="839"/>
      <c r="AT22" s="839"/>
      <c r="AU22" s="839"/>
      <c r="AV22" s="839"/>
      <c r="AW22" s="839"/>
      <c r="AX22" s="839"/>
      <c r="AY22" s="839"/>
      <c r="AZ22" s="839"/>
      <c r="BA22" s="839"/>
      <c r="BB22" s="839"/>
      <c r="BC22" s="839"/>
      <c r="BD22" s="839"/>
    </row>
    <row r="23" spans="1:56" s="26" customFormat="1" ht="21.75" customHeight="1">
      <c r="A23" s="817"/>
      <c r="B23" s="332" t="s">
        <v>58</v>
      </c>
      <c r="C23" s="817"/>
      <c r="D23" s="817"/>
      <c r="E23" s="817"/>
      <c r="F23" s="2975" t="str">
        <f>activesheet!E22</f>
        <v>SECONDARY SCHOOL PRINCIPAL IV</v>
      </c>
      <c r="G23" s="2975"/>
      <c r="H23" s="2975"/>
      <c r="I23" s="2975"/>
      <c r="J23" s="2975"/>
      <c r="K23" s="2975"/>
      <c r="L23" s="2975"/>
      <c r="M23" s="2975"/>
      <c r="N23" s="2975"/>
      <c r="O23" s="817"/>
      <c r="P23" s="1261"/>
      <c r="Q23" s="332" t="s">
        <v>58</v>
      </c>
      <c r="R23" s="817"/>
      <c r="S23" s="817"/>
      <c r="T23" s="817"/>
      <c r="U23" s="2975" t="str">
        <f>activesheet!E3345</f>
        <v>PROJECT DEVELOPMENT OFFICER II</v>
      </c>
      <c r="V23" s="2975"/>
      <c r="W23" s="2975"/>
      <c r="X23" s="2975"/>
      <c r="Y23" s="2975"/>
      <c r="Z23" s="2975"/>
      <c r="AA23" s="2975"/>
      <c r="AB23" s="2975"/>
      <c r="AC23" s="2975"/>
      <c r="AD23" s="817"/>
      <c r="AE23" s="817"/>
      <c r="AF23" s="1811" t="s">
        <v>37</v>
      </c>
      <c r="AG23" s="1811"/>
      <c r="AH23" s="1811"/>
      <c r="AI23" s="1811"/>
      <c r="AJ23" s="1811"/>
      <c r="AK23" s="1811"/>
      <c r="AL23" s="1811"/>
      <c r="AM23" s="1811"/>
      <c r="AN23" s="1811"/>
      <c r="AO23" s="1811"/>
      <c r="AP23" s="1811"/>
      <c r="AQ23" s="1811"/>
      <c r="AR23" s="1811"/>
      <c r="AS23" s="817"/>
      <c r="AT23" s="817"/>
      <c r="AU23" s="817"/>
      <c r="AV23" s="817"/>
      <c r="AW23" s="817"/>
      <c r="AX23" s="817"/>
      <c r="AY23" s="817"/>
      <c r="AZ23" s="817"/>
      <c r="BA23" s="817"/>
      <c r="BB23" s="817"/>
      <c r="BC23" s="817"/>
      <c r="BD23" s="817"/>
    </row>
    <row r="24" spans="1:56" ht="15" customHeight="1">
      <c r="A24" s="1101"/>
      <c r="B24" s="1101"/>
      <c r="C24" s="1101"/>
      <c r="D24" s="1101"/>
      <c r="E24" s="1101"/>
      <c r="F24" s="1101"/>
      <c r="G24" s="1101"/>
      <c r="H24" s="1101"/>
      <c r="I24" s="1101"/>
      <c r="J24" s="1101"/>
      <c r="K24" s="1101"/>
      <c r="L24" s="1101"/>
      <c r="M24" s="1101"/>
      <c r="N24" s="1101"/>
      <c r="O24" s="273"/>
      <c r="P24" s="1101"/>
      <c r="Q24" s="273"/>
      <c r="R24" s="273"/>
      <c r="S24" s="273"/>
      <c r="T24" s="273"/>
      <c r="U24" s="273"/>
      <c r="V24" s="273"/>
      <c r="W24" s="273"/>
      <c r="X24" s="273"/>
      <c r="Y24" s="1101"/>
      <c r="Z24" s="1101"/>
      <c r="AA24" s="1101"/>
      <c r="AB24" s="1101"/>
      <c r="AC24" s="1101"/>
      <c r="AD24" s="1101"/>
      <c r="AE24" s="1101"/>
      <c r="AF24" s="1101"/>
      <c r="AG24" s="1101"/>
      <c r="AH24" s="1101"/>
      <c r="AI24" s="1101"/>
      <c r="AJ24" s="273"/>
      <c r="AK24" s="273"/>
      <c r="AL24" s="273"/>
      <c r="AM24" s="273"/>
      <c r="AN24" s="273"/>
      <c r="AO24" s="1101"/>
      <c r="AP24" s="1101"/>
      <c r="AQ24" s="1101"/>
      <c r="AR24" s="1101"/>
      <c r="AS24" s="1101"/>
      <c r="AT24" s="1101"/>
      <c r="AU24" s="1101"/>
      <c r="AV24" s="1101"/>
      <c r="AW24" s="1101"/>
      <c r="AX24" s="1101"/>
      <c r="AY24" s="1101"/>
      <c r="AZ24" s="1101"/>
      <c r="BA24" s="1101"/>
      <c r="BB24" s="1101"/>
      <c r="BC24" s="1101"/>
      <c r="BD24" s="1101"/>
    </row>
    <row r="25" spans="1:56" s="112" customFormat="1">
      <c r="A25" s="613"/>
      <c r="B25" s="613"/>
      <c r="C25" s="613"/>
      <c r="D25" s="613"/>
      <c r="E25" s="613"/>
      <c r="F25" s="613"/>
      <c r="G25" s="613"/>
      <c r="H25" s="613"/>
      <c r="I25" s="613"/>
      <c r="J25" s="613"/>
      <c r="K25" s="613"/>
      <c r="L25" s="613"/>
      <c r="M25" s="613"/>
      <c r="N25" s="613"/>
      <c r="O25" s="613"/>
      <c r="P25" s="613"/>
      <c r="Q25" s="613"/>
      <c r="R25" s="613"/>
      <c r="S25" s="613"/>
      <c r="T25" s="613"/>
      <c r="U25" s="613"/>
      <c r="V25" s="613"/>
      <c r="W25" s="613"/>
      <c r="X25" s="613"/>
      <c r="Y25" s="613"/>
      <c r="Z25" s="613"/>
      <c r="AA25" s="613"/>
      <c r="AB25" s="613"/>
      <c r="AC25" s="613"/>
      <c r="AD25" s="613"/>
      <c r="AE25" s="613"/>
      <c r="AF25" s="613"/>
      <c r="AG25" s="613"/>
      <c r="AH25" s="613"/>
      <c r="AI25" s="613"/>
      <c r="AJ25" s="613"/>
      <c r="AK25" s="613"/>
      <c r="AL25" s="613"/>
      <c r="AM25" s="613"/>
      <c r="AN25" s="613"/>
      <c r="AO25" s="613"/>
      <c r="AP25" s="613"/>
      <c r="AQ25" s="613"/>
      <c r="AR25" s="613"/>
      <c r="AS25" s="613"/>
      <c r="AT25" s="613"/>
      <c r="AU25" s="613"/>
      <c r="AV25" s="613"/>
      <c r="AW25" s="613"/>
      <c r="AX25" s="613"/>
      <c r="AY25" s="613"/>
      <c r="AZ25" s="613"/>
      <c r="BA25" s="613"/>
      <c r="BB25" s="613"/>
      <c r="BC25" s="613"/>
      <c r="BD25" s="613"/>
    </row>
    <row r="26" spans="1:56" s="112" customFormat="1" ht="19.5" customHeight="1">
      <c r="A26" s="613"/>
      <c r="B26" s="613"/>
      <c r="C26" s="613"/>
      <c r="D26" s="613"/>
      <c r="E26" s="613"/>
      <c r="F26" s="613"/>
      <c r="G26" s="613"/>
      <c r="H26" s="613"/>
      <c r="I26" s="613"/>
      <c r="J26" s="613"/>
      <c r="K26" s="613"/>
      <c r="L26" s="613"/>
      <c r="M26" s="613"/>
      <c r="N26" s="613"/>
      <c r="O26" s="613"/>
      <c r="P26" s="613"/>
      <c r="Q26" s="613"/>
      <c r="R26" s="613"/>
      <c r="S26" s="613"/>
      <c r="T26" s="613"/>
      <c r="U26" s="613"/>
      <c r="V26" s="613"/>
      <c r="W26" s="613"/>
      <c r="X26" s="613"/>
      <c r="Y26" s="613"/>
      <c r="Z26" s="613"/>
      <c r="AA26" s="613"/>
      <c r="AB26" s="613"/>
      <c r="AC26" s="613"/>
      <c r="AD26" s="613"/>
      <c r="AE26" s="613"/>
      <c r="AF26" s="613"/>
      <c r="AG26" s="613"/>
      <c r="AH26" s="613"/>
      <c r="AI26" s="613"/>
      <c r="AJ26" s="613"/>
      <c r="AK26" s="613"/>
      <c r="AL26" s="613"/>
      <c r="AM26" s="613"/>
      <c r="AN26" s="613"/>
      <c r="AO26" s="613"/>
      <c r="AP26" s="613"/>
      <c r="AQ26" s="613"/>
      <c r="AR26" s="613"/>
      <c r="AS26" s="613"/>
      <c r="AT26" s="613"/>
      <c r="AU26" s="613"/>
      <c r="AV26" s="613"/>
      <c r="AW26" s="613"/>
      <c r="AX26" s="613"/>
      <c r="AY26" s="613"/>
      <c r="AZ26" s="613"/>
      <c r="BA26" s="613"/>
      <c r="BB26" s="613"/>
      <c r="BC26" s="613"/>
      <c r="BD26" s="613"/>
    </row>
    <row r="27" spans="1:56" s="112" customFormat="1">
      <c r="A27" s="613"/>
      <c r="B27" s="613"/>
      <c r="C27" s="613"/>
      <c r="D27" s="613"/>
      <c r="E27" s="613"/>
      <c r="F27" s="613"/>
      <c r="G27" s="613"/>
      <c r="H27" s="613"/>
      <c r="I27" s="613"/>
      <c r="J27" s="613"/>
      <c r="K27" s="613"/>
      <c r="L27" s="613"/>
      <c r="M27" s="613"/>
      <c r="N27" s="613"/>
      <c r="O27" s="613"/>
      <c r="P27" s="613"/>
      <c r="Q27" s="613"/>
      <c r="R27" s="613"/>
      <c r="S27" s="613"/>
      <c r="T27" s="613"/>
      <c r="U27" s="613"/>
      <c r="V27" s="613"/>
      <c r="W27" s="613"/>
      <c r="X27" s="613"/>
      <c r="Y27" s="613"/>
      <c r="Z27" s="613"/>
      <c r="AA27" s="613"/>
      <c r="AB27" s="613"/>
      <c r="AC27" s="613"/>
      <c r="AD27" s="613"/>
      <c r="AE27" s="613"/>
      <c r="AF27" s="613"/>
      <c r="AG27" s="613"/>
      <c r="AH27" s="613"/>
      <c r="AI27" s="613"/>
      <c r="AJ27" s="613"/>
      <c r="AK27" s="613"/>
      <c r="AL27" s="613"/>
      <c r="AM27" s="613"/>
      <c r="AN27" s="613"/>
      <c r="AO27" s="613"/>
      <c r="AP27" s="613"/>
      <c r="AQ27" s="613"/>
      <c r="AR27" s="613"/>
      <c r="AS27" s="613"/>
      <c r="AT27" s="613"/>
      <c r="AU27" s="613"/>
      <c r="AV27" s="613"/>
      <c r="AW27" s="613"/>
      <c r="AX27" s="613"/>
      <c r="AY27" s="613"/>
      <c r="AZ27" s="613"/>
      <c r="BA27" s="613"/>
      <c r="BB27" s="613"/>
      <c r="BC27" s="613"/>
      <c r="BD27" s="613"/>
    </row>
    <row r="28" spans="1:56" s="112" customFormat="1">
      <c r="A28" s="1101"/>
      <c r="B28" s="613"/>
      <c r="C28" s="613"/>
      <c r="D28" s="613"/>
      <c r="E28" s="613"/>
      <c r="F28" s="613"/>
      <c r="G28" s="613"/>
      <c r="H28" s="613"/>
      <c r="I28" s="613"/>
      <c r="J28" s="613"/>
      <c r="K28" s="613"/>
      <c r="L28" s="613"/>
      <c r="M28" s="613"/>
      <c r="N28" s="613"/>
      <c r="O28" s="613"/>
      <c r="P28" s="613"/>
      <c r="Q28" s="613"/>
      <c r="R28" s="613"/>
      <c r="S28" s="613"/>
      <c r="T28" s="613"/>
      <c r="U28" s="613"/>
      <c r="V28" s="613"/>
      <c r="W28" s="613"/>
      <c r="X28" s="613"/>
      <c r="Y28" s="613"/>
      <c r="Z28" s="613"/>
      <c r="AA28" s="613"/>
      <c r="AB28" s="613"/>
      <c r="AC28" s="613"/>
      <c r="AD28" s="613"/>
      <c r="AE28" s="613"/>
      <c r="AF28" s="613"/>
      <c r="AG28" s="613"/>
      <c r="AH28" s="613"/>
      <c r="AI28" s="613"/>
      <c r="AJ28" s="613"/>
      <c r="AK28" s="613"/>
      <c r="AL28" s="613"/>
      <c r="AM28" s="613"/>
      <c r="AN28" s="613"/>
      <c r="AO28" s="613"/>
      <c r="AP28" s="613"/>
      <c r="AQ28" s="613"/>
      <c r="AR28" s="613"/>
      <c r="AS28" s="613"/>
      <c r="AT28" s="613"/>
      <c r="AU28" s="613"/>
      <c r="AV28" s="613"/>
      <c r="AW28" s="613"/>
      <c r="AX28" s="613"/>
      <c r="AY28" s="613"/>
      <c r="AZ28" s="613"/>
      <c r="BA28" s="613"/>
      <c r="BB28" s="613"/>
      <c r="BC28" s="613"/>
      <c r="BD28" s="613"/>
    </row>
    <row r="29" spans="1:56" ht="18" customHeight="1">
      <c r="A29" s="1101"/>
      <c r="B29" s="1101"/>
      <c r="C29" s="1101"/>
      <c r="D29" s="1101"/>
      <c r="E29" s="1101"/>
      <c r="F29" s="1101"/>
      <c r="G29" s="1101"/>
      <c r="H29" s="1101"/>
      <c r="I29" s="1101"/>
      <c r="J29" s="1101"/>
      <c r="K29" s="1101"/>
      <c r="L29" s="1101"/>
      <c r="M29" s="1101"/>
      <c r="N29" s="1101"/>
      <c r="O29" s="1101"/>
      <c r="P29" s="1101"/>
      <c r="Q29" s="1101"/>
      <c r="R29" s="1101"/>
      <c r="S29" s="1101"/>
      <c r="T29" s="1101"/>
      <c r="U29" s="1101"/>
      <c r="V29" s="1101"/>
      <c r="W29" s="1101"/>
      <c r="X29" s="1101"/>
      <c r="Y29" s="1101"/>
      <c r="Z29" s="1101"/>
      <c r="AA29" s="1101"/>
      <c r="AB29" s="1101"/>
      <c r="AC29" s="1101"/>
      <c r="AD29" s="1101"/>
      <c r="AE29" s="1101"/>
      <c r="AF29" s="1101"/>
      <c r="AG29" s="1101"/>
      <c r="AH29" s="1101"/>
      <c r="AI29" s="1101"/>
      <c r="AJ29" s="1101"/>
      <c r="AK29" s="1101"/>
      <c r="AL29" s="1101"/>
      <c r="AM29" s="1101"/>
      <c r="AN29" s="1101"/>
      <c r="AO29" s="1101"/>
      <c r="AP29" s="1101"/>
      <c r="AQ29" s="1101"/>
      <c r="AR29" s="1101"/>
      <c r="AS29" s="1101"/>
      <c r="AT29" s="1101"/>
      <c r="AU29" s="1101"/>
      <c r="AV29" s="1101"/>
      <c r="AW29" s="1101"/>
      <c r="AX29" s="1101"/>
      <c r="AY29" s="1101"/>
      <c r="AZ29" s="1101"/>
      <c r="BA29" s="1101"/>
      <c r="BB29" s="1101"/>
      <c r="BC29" s="1101"/>
      <c r="BD29" s="1101"/>
    </row>
    <row r="30" spans="1:56">
      <c r="A30" s="1101"/>
      <c r="B30" s="1101"/>
      <c r="C30" s="1101"/>
      <c r="D30" s="1101"/>
      <c r="E30" s="1101"/>
      <c r="F30" s="1101"/>
      <c r="G30" s="1101"/>
      <c r="H30" s="1101"/>
      <c r="I30" s="1101"/>
      <c r="J30" s="1101"/>
      <c r="K30" s="1101"/>
      <c r="L30" s="1101"/>
      <c r="M30" s="1101"/>
      <c r="N30" s="1101"/>
      <c r="O30" s="1101"/>
      <c r="P30" s="1101"/>
      <c r="Q30" s="1101"/>
      <c r="R30" s="1101"/>
      <c r="S30" s="1101"/>
      <c r="T30" s="1101"/>
      <c r="U30" s="1101"/>
      <c r="V30" s="1101"/>
      <c r="W30" s="1101"/>
      <c r="X30" s="1101"/>
      <c r="Y30" s="1101"/>
      <c r="Z30" s="1101"/>
      <c r="AA30" s="1101"/>
      <c r="AB30" s="1101"/>
      <c r="AC30" s="1101"/>
      <c r="AD30" s="1101"/>
      <c r="AE30" s="1101"/>
      <c r="AF30" s="1101"/>
      <c r="AG30" s="1101"/>
      <c r="AH30" s="1101"/>
      <c r="AI30" s="1101"/>
      <c r="AJ30" s="1101"/>
      <c r="AK30" s="1101"/>
      <c r="AL30" s="1101"/>
      <c r="AM30" s="1101"/>
      <c r="AN30" s="1101"/>
      <c r="AO30" s="1101"/>
      <c r="AP30" s="1101"/>
      <c r="AQ30" s="1101"/>
      <c r="AR30" s="1101"/>
      <c r="AS30" s="1101"/>
      <c r="AT30" s="1101"/>
      <c r="AU30" s="1101"/>
      <c r="AV30" s="1101"/>
      <c r="AW30" s="1101"/>
      <c r="AX30" s="1101"/>
      <c r="AY30" s="1101"/>
      <c r="AZ30" s="1101"/>
      <c r="BA30" s="1101"/>
      <c r="BB30" s="1101"/>
      <c r="BC30" s="1101"/>
      <c r="BD30" s="1101"/>
    </row>
    <row r="31" spans="1:56">
      <c r="A31" s="1101"/>
      <c r="B31" s="1101"/>
      <c r="C31" s="1101"/>
      <c r="D31" s="1101"/>
      <c r="E31" s="1101"/>
      <c r="F31" s="1101"/>
      <c r="G31" s="1101"/>
      <c r="H31" s="1101"/>
      <c r="I31" s="1101"/>
      <c r="J31" s="1101"/>
      <c r="K31" s="1101"/>
      <c r="L31" s="1101"/>
      <c r="M31" s="1101"/>
      <c r="N31" s="1101"/>
      <c r="O31" s="1101"/>
      <c r="P31" s="1101"/>
      <c r="Q31" s="1101"/>
      <c r="R31" s="1101"/>
      <c r="S31" s="1101"/>
      <c r="T31" s="1101"/>
      <c r="U31" s="1101"/>
      <c r="V31" s="1101"/>
      <c r="W31" s="1101"/>
      <c r="X31" s="1101"/>
      <c r="Y31" s="1101"/>
      <c r="Z31" s="1101"/>
      <c r="AA31" s="1101"/>
      <c r="AB31" s="1101"/>
      <c r="AC31" s="1101"/>
      <c r="AD31" s="1101"/>
      <c r="AE31" s="1101"/>
      <c r="AF31" s="1101"/>
      <c r="AG31" s="1101"/>
      <c r="AH31" s="1101"/>
      <c r="AI31" s="1101"/>
      <c r="AJ31" s="1101"/>
      <c r="AK31" s="1101"/>
      <c r="AL31" s="1101"/>
      <c r="AM31" s="1101"/>
      <c r="AN31" s="1101"/>
      <c r="AO31" s="1101"/>
      <c r="AP31" s="1101"/>
      <c r="AQ31" s="1101"/>
      <c r="AR31" s="1101"/>
      <c r="AS31" s="228"/>
      <c r="AT31" s="1101"/>
      <c r="AU31" s="1101"/>
      <c r="AV31" s="1101"/>
      <c r="AW31" s="1101"/>
      <c r="AX31" s="1101"/>
      <c r="AY31" s="1101"/>
      <c r="AZ31" s="1101"/>
      <c r="BA31" s="1101"/>
      <c r="BB31" s="1101"/>
      <c r="BC31" s="1101"/>
      <c r="BD31" s="1101"/>
    </row>
    <row r="32" spans="1:56">
      <c r="A32" s="1101"/>
      <c r="B32" s="1101"/>
      <c r="C32" s="1101"/>
      <c r="D32" s="1101"/>
      <c r="E32" s="1101"/>
      <c r="F32" s="1101"/>
      <c r="G32" s="1101"/>
      <c r="H32" s="1101"/>
      <c r="I32" s="1101"/>
      <c r="J32" s="1101"/>
      <c r="K32" s="1101"/>
      <c r="L32" s="1101"/>
      <c r="M32" s="1101"/>
      <c r="N32" s="1101"/>
      <c r="O32" s="1101"/>
      <c r="P32" s="1101"/>
      <c r="Q32" s="1101"/>
      <c r="R32" s="1101"/>
      <c r="S32" s="1101"/>
      <c r="T32" s="1101"/>
      <c r="U32" s="1101"/>
      <c r="V32" s="1101"/>
      <c r="W32" s="1101"/>
      <c r="X32" s="1101"/>
      <c r="Y32" s="1101"/>
      <c r="Z32" s="1101"/>
      <c r="AA32" s="1101"/>
      <c r="AB32" s="1101"/>
      <c r="AC32" s="1101"/>
      <c r="AD32" s="1101"/>
      <c r="AE32" s="1101"/>
      <c r="AF32" s="1101"/>
      <c r="AG32" s="1101"/>
      <c r="AH32" s="1101"/>
      <c r="AI32" s="1101"/>
      <c r="AJ32" s="1101"/>
      <c r="AK32" s="1101"/>
      <c r="AL32" s="1101"/>
      <c r="AM32" s="1101"/>
      <c r="AN32" s="1101"/>
      <c r="AO32" s="1101"/>
      <c r="AP32" s="1101"/>
      <c r="AQ32" s="1101"/>
      <c r="AR32" s="1101"/>
      <c r="AS32" s="1101"/>
      <c r="AT32" s="1101"/>
      <c r="AU32" s="1101"/>
      <c r="AV32" s="1101"/>
      <c r="AW32" s="1101"/>
      <c r="AX32" s="1101"/>
      <c r="AY32" s="1101"/>
      <c r="AZ32" s="1101"/>
      <c r="BA32" s="1101"/>
      <c r="BB32" s="1101"/>
      <c r="BC32" s="1101"/>
      <c r="BD32" s="1101"/>
    </row>
    <row r="33" spans="1:56">
      <c r="A33" s="1101"/>
      <c r="B33" s="1101"/>
      <c r="C33" s="1101"/>
      <c r="D33" s="1101"/>
      <c r="E33" s="1101"/>
      <c r="F33" s="1101"/>
      <c r="G33" s="1101"/>
      <c r="H33" s="1101"/>
      <c r="I33" s="1101"/>
      <c r="J33" s="1101"/>
      <c r="K33" s="1101"/>
      <c r="L33" s="1101"/>
      <c r="M33" s="1101"/>
      <c r="N33" s="1101"/>
      <c r="O33" s="1101"/>
      <c r="P33" s="1101"/>
      <c r="Q33" s="1101"/>
      <c r="R33" s="1101"/>
      <c r="S33" s="1101"/>
      <c r="T33" s="1101"/>
      <c r="U33" s="1101"/>
      <c r="V33" s="1101"/>
      <c r="W33" s="1101"/>
      <c r="X33" s="1101"/>
      <c r="Y33" s="1101"/>
      <c r="Z33" s="1101"/>
      <c r="AA33" s="1101"/>
      <c r="AB33" s="1101"/>
      <c r="AC33" s="1101"/>
      <c r="AD33" s="1101"/>
      <c r="AE33" s="1101"/>
      <c r="AF33" s="1101"/>
      <c r="AG33" s="1101"/>
      <c r="AH33" s="1101"/>
      <c r="AI33" s="1101"/>
      <c r="AJ33" s="1101"/>
      <c r="AK33" s="1101"/>
      <c r="AL33" s="1101"/>
      <c r="AM33" s="1101"/>
      <c r="AN33" s="1101"/>
      <c r="AO33" s="1101"/>
      <c r="AP33" s="1101"/>
      <c r="AQ33" s="1101"/>
      <c r="AR33" s="1101"/>
      <c r="AS33" s="1101"/>
      <c r="AT33" s="1101"/>
      <c r="AU33" s="1101"/>
      <c r="AV33" s="1101"/>
      <c r="AW33" s="1101"/>
      <c r="AX33" s="1101"/>
      <c r="AY33" s="1101"/>
      <c r="AZ33" s="1101"/>
      <c r="BA33" s="1101"/>
      <c r="BB33" s="1101"/>
      <c r="BC33" s="1101"/>
      <c r="BD33" s="1101"/>
    </row>
    <row r="34" spans="1:56">
      <c r="A34" s="1101"/>
      <c r="B34" s="1101"/>
      <c r="C34" s="1101"/>
      <c r="D34" s="1101"/>
      <c r="E34" s="1101"/>
      <c r="F34" s="1101"/>
      <c r="G34" s="1101"/>
      <c r="H34" s="1101"/>
      <c r="I34" s="1101"/>
      <c r="J34" s="1101"/>
      <c r="K34" s="1101"/>
      <c r="L34" s="1101"/>
      <c r="M34" s="1101"/>
      <c r="N34" s="1101"/>
      <c r="O34" s="1101"/>
      <c r="P34" s="1101"/>
      <c r="Q34" s="1101"/>
      <c r="R34" s="1101"/>
      <c r="S34" s="1101"/>
      <c r="T34" s="1101"/>
      <c r="U34" s="1101"/>
      <c r="V34" s="1101"/>
      <c r="W34" s="1101"/>
      <c r="X34" s="1101"/>
      <c r="Y34" s="1101"/>
      <c r="Z34" s="1101"/>
      <c r="AA34" s="1101"/>
      <c r="AB34" s="1101"/>
      <c r="AC34" s="1101"/>
      <c r="AD34" s="1101"/>
      <c r="AE34" s="1101"/>
      <c r="AF34" s="1101"/>
      <c r="AG34" s="1101"/>
      <c r="AH34" s="1101"/>
      <c r="AI34" s="1101"/>
      <c r="AJ34" s="1101"/>
      <c r="AK34" s="1101"/>
      <c r="AL34" s="1101"/>
      <c r="AM34" s="1101"/>
      <c r="AN34" s="1101"/>
      <c r="AO34" s="1101"/>
      <c r="AP34" s="1101"/>
      <c r="AQ34" s="1101"/>
      <c r="AR34" s="1101"/>
      <c r="AS34" s="1101"/>
      <c r="AT34" s="1101"/>
      <c r="AU34" s="1101"/>
      <c r="AV34" s="1101"/>
      <c r="AW34" s="1101"/>
      <c r="AX34" s="1101"/>
      <c r="AY34" s="1101"/>
      <c r="AZ34" s="1101"/>
      <c r="BA34" s="1101"/>
      <c r="BB34" s="1101"/>
      <c r="BC34" s="1101"/>
      <c r="BD34" s="1101"/>
    </row>
    <row r="35" spans="1:56">
      <c r="A35" s="1101"/>
      <c r="B35" s="1101"/>
      <c r="C35" s="1101"/>
      <c r="D35" s="1101"/>
      <c r="E35" s="1101"/>
      <c r="F35" s="1101"/>
      <c r="G35" s="1101"/>
      <c r="H35" s="1101"/>
      <c r="I35" s="1101"/>
      <c r="J35" s="1101"/>
      <c r="K35" s="1101"/>
      <c r="L35" s="1101"/>
      <c r="M35" s="1101"/>
      <c r="N35" s="1101"/>
      <c r="O35" s="1101"/>
      <c r="P35" s="1101"/>
      <c r="Q35" s="1101"/>
      <c r="R35" s="1101"/>
      <c r="S35" s="1101"/>
      <c r="T35" s="1101"/>
      <c r="U35" s="1101"/>
      <c r="V35" s="1101"/>
      <c r="W35" s="1101"/>
      <c r="X35" s="1101"/>
      <c r="Y35" s="1101"/>
      <c r="Z35" s="1101"/>
      <c r="AA35" s="1101"/>
      <c r="AB35" s="1101"/>
      <c r="AC35" s="1101"/>
      <c r="AD35" s="1101"/>
      <c r="AE35" s="1101"/>
      <c r="AF35" s="1101"/>
      <c r="AG35" s="1101"/>
      <c r="AH35" s="1101"/>
      <c r="AI35" s="1101"/>
      <c r="AJ35" s="1101"/>
      <c r="AK35" s="1101"/>
      <c r="AL35" s="1101"/>
      <c r="AM35" s="1101"/>
      <c r="AN35" s="1101"/>
      <c r="AO35" s="1101"/>
      <c r="AP35" s="1101"/>
      <c r="AQ35" s="1101"/>
      <c r="AR35" s="1101"/>
      <c r="AS35" s="1101"/>
      <c r="AT35" s="1101"/>
      <c r="AU35" s="1101"/>
      <c r="AV35" s="1101"/>
      <c r="AW35" s="1101"/>
      <c r="AX35" s="1101"/>
      <c r="AY35" s="1101"/>
      <c r="AZ35" s="1101"/>
      <c r="BA35" s="1101"/>
      <c r="BB35" s="1101"/>
      <c r="BC35" s="1101"/>
      <c r="BD35" s="1101"/>
    </row>
  </sheetData>
  <sheetProtection algorithmName="SHA-512" hashValue="drRFaDktlo59CGOGsfZyGDUT+jEEYIZbu+1ompD0UIcu29ysq5MfWIhISaqwr3UVwN2IXfTLT0kttZ0Xn5q1nA==" saltValue="zVNPSeI42HGOW3KbbZ2amg==" spinCount="100000" sheet="1" objects="1" scenarios="1"/>
  <customSheetViews>
    <customSheetView guid="{6EFEFCA0-BF14-457A-85A3-29CBF2A862A5}" showGridLines="0" fitToPage="1">
      <selection sqref="A1:AX28"/>
      <pageMargins left="0.23622047244094491" right="0.23622047244094491" top="0.19685039370078741" bottom="0.19685039370078741" header="0" footer="0.11811023622047245"/>
      <printOptions horizontalCentered="1" verticalCentered="1"/>
      <pageSetup paperSize="9" scale="74" orientation="landscape" r:id="rId1"/>
      <headerFooter>
        <oddFooter>&amp;L&amp;10&amp;F &amp;A&amp;R&amp;11Page 45 of 61</oddFooter>
      </headerFooter>
    </customSheetView>
  </customSheetViews>
  <mergeCells count="91">
    <mergeCell ref="C5:AR5"/>
    <mergeCell ref="C6:AR6"/>
    <mergeCell ref="C7:AR7"/>
    <mergeCell ref="B11:T12"/>
    <mergeCell ref="U11:AH11"/>
    <mergeCell ref="AI11:AR11"/>
    <mergeCell ref="U12:V12"/>
    <mergeCell ref="W12:X12"/>
    <mergeCell ref="Y12:Z12"/>
    <mergeCell ref="AA12:AB12"/>
    <mergeCell ref="AO12:AP12"/>
    <mergeCell ref="AQ12:AR12"/>
    <mergeCell ref="AI12:AJ12"/>
    <mergeCell ref="AK12:AL12"/>
    <mergeCell ref="AM12:AN12"/>
    <mergeCell ref="C13:S13"/>
    <mergeCell ref="U13:V13"/>
    <mergeCell ref="W13:X13"/>
    <mergeCell ref="Y13:Z13"/>
    <mergeCell ref="AA13:AB13"/>
    <mergeCell ref="AC13:AD13"/>
    <mergeCell ref="AE13:AF13"/>
    <mergeCell ref="AG13:AH13"/>
    <mergeCell ref="AC12:AD12"/>
    <mergeCell ref="AE12:AF12"/>
    <mergeCell ref="AG12:AH12"/>
    <mergeCell ref="C14:S14"/>
    <mergeCell ref="U14:V14"/>
    <mergeCell ref="W14:X14"/>
    <mergeCell ref="Y14:Z14"/>
    <mergeCell ref="AA14:AB14"/>
    <mergeCell ref="AI13:AJ13"/>
    <mergeCell ref="AK13:AL13"/>
    <mergeCell ref="AM13:AN13"/>
    <mergeCell ref="AO13:AP13"/>
    <mergeCell ref="AQ13:AR13"/>
    <mergeCell ref="AO14:AP14"/>
    <mergeCell ref="AQ14:AR14"/>
    <mergeCell ref="C15:S15"/>
    <mergeCell ref="U15:V15"/>
    <mergeCell ref="W15:X15"/>
    <mergeCell ref="Y15:Z15"/>
    <mergeCell ref="AA15:AB15"/>
    <mergeCell ref="AC15:AD15"/>
    <mergeCell ref="AE15:AF15"/>
    <mergeCell ref="AG15:AH15"/>
    <mergeCell ref="AC14:AD14"/>
    <mergeCell ref="AE14:AF14"/>
    <mergeCell ref="AG14:AH14"/>
    <mergeCell ref="AI14:AJ14"/>
    <mergeCell ref="AK14:AL14"/>
    <mergeCell ref="AM14:AN14"/>
    <mergeCell ref="C16:S16"/>
    <mergeCell ref="U16:V16"/>
    <mergeCell ref="W16:X16"/>
    <mergeCell ref="Y16:Z16"/>
    <mergeCell ref="AA16:AB16"/>
    <mergeCell ref="AI15:AJ15"/>
    <mergeCell ref="AK15:AL15"/>
    <mergeCell ref="AM15:AN15"/>
    <mergeCell ref="AO15:AP15"/>
    <mergeCell ref="AQ15:AR15"/>
    <mergeCell ref="AO16:AP16"/>
    <mergeCell ref="AQ16:AR16"/>
    <mergeCell ref="C17:S17"/>
    <mergeCell ref="U17:V17"/>
    <mergeCell ref="W17:X17"/>
    <mergeCell ref="Y17:Z17"/>
    <mergeCell ref="AA17:AB17"/>
    <mergeCell ref="AC17:AD17"/>
    <mergeCell ref="AE17:AF17"/>
    <mergeCell ref="AG17:AH17"/>
    <mergeCell ref="AC16:AD16"/>
    <mergeCell ref="AE16:AF16"/>
    <mergeCell ref="AG16:AH16"/>
    <mergeCell ref="AI16:AJ16"/>
    <mergeCell ref="AK16:AL16"/>
    <mergeCell ref="AM16:AN16"/>
    <mergeCell ref="F23:N23"/>
    <mergeCell ref="U23:AC23"/>
    <mergeCell ref="AF23:AR23"/>
    <mergeCell ref="AI17:AJ17"/>
    <mergeCell ref="AK17:AL17"/>
    <mergeCell ref="AM17:AN17"/>
    <mergeCell ref="AO17:AP17"/>
    <mergeCell ref="AQ17:AR17"/>
    <mergeCell ref="F21:N21"/>
    <mergeCell ref="Q21:AC21"/>
    <mergeCell ref="AF21:AR22"/>
    <mergeCell ref="F22:N22"/>
    <mergeCell ref="Q22:AC22"/>
  </mergeCells>
  <dataValidations count="2">
    <dataValidation type="whole" allowBlank="1" showInputMessage="1" showErrorMessage="1" errorTitle="GSHSP SY 2022-2023" error="Please enter valid number between 0-999." sqref="U13:AR13" xr:uid="{650F2DDC-BE09-4D1D-8363-E5F072B0975E}">
      <formula1>0</formula1>
      <formula2>999</formula2>
    </dataValidation>
    <dataValidation type="whole" allowBlank="1" showInputMessage="1" showErrorMessage="1" errorTitle="GSHSP SY 2022-2023" error="Please enter valid number of days  between 0-31." sqref="U14:AR17" xr:uid="{3787A15F-D6C5-44B5-9408-708840820A34}">
      <formula1>0</formula1>
      <formula2>31</formula2>
    </dataValidation>
  </dataValidations>
  <printOptions horizontalCentered="1" verticalCentered="1"/>
  <pageMargins left="0.23622047244094491" right="0.23622047244094491" top="0.19685039370078741" bottom="0.19685039370078741" header="0" footer="0.11811023622047245"/>
  <pageSetup paperSize="9" scale="74" orientation="landscape" r:id="rId2"/>
  <headerFooter>
    <oddFooter>&amp;L&amp;10&amp;F &amp;A&amp;R&amp;11Page 45 of 61</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D214E-526F-46C9-B73F-684728A23AAD}">
  <sheetPr codeName="Sheet48">
    <tabColor rgb="FFFFFF00"/>
    <pageSetUpPr fitToPage="1"/>
  </sheetPr>
  <dimension ref="A1:BA68"/>
  <sheetViews>
    <sheetView showGridLines="0" topLeftCell="A41" zoomScaleNormal="100" zoomScaleSheetLayoutView="100" workbookViewId="0">
      <selection sqref="A1:AH51"/>
    </sheetView>
  </sheetViews>
  <sheetFormatPr defaultColWidth="8" defaultRowHeight="15.75"/>
  <cols>
    <col min="1" max="1" width="2.125" style="176" customWidth="1"/>
    <col min="2" max="30" width="3.625" style="175" customWidth="1"/>
    <col min="31" max="31" width="2.125" style="176" customWidth="1"/>
    <col min="32" max="47" width="3.625" style="176" customWidth="1"/>
    <col min="48" max="53" width="3.625" style="1262" customWidth="1"/>
    <col min="54" max="165" width="3.625" style="176" customWidth="1"/>
    <col min="166" max="16384" width="8" style="176"/>
  </cols>
  <sheetData>
    <row r="1" spans="1:47" ht="12" customHeight="1">
      <c r="A1" s="1262"/>
      <c r="B1" s="1263"/>
      <c r="C1" s="1263"/>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2"/>
      <c r="AF1" s="1262"/>
      <c r="AG1" s="1262"/>
      <c r="AH1" s="1262"/>
      <c r="AI1" s="1262"/>
      <c r="AJ1" s="1262"/>
      <c r="AK1" s="1262"/>
      <c r="AL1" s="1262"/>
      <c r="AM1" s="1262"/>
      <c r="AN1" s="1262"/>
      <c r="AO1" s="1262"/>
      <c r="AP1" s="1262"/>
      <c r="AQ1" s="1262"/>
      <c r="AR1" s="1262"/>
      <c r="AS1" s="1262"/>
      <c r="AT1" s="1262"/>
      <c r="AU1" s="1262"/>
    </row>
    <row r="2" spans="1:47" ht="16.5">
      <c r="A2" s="1262"/>
      <c r="B2" s="1264" t="s">
        <v>11436</v>
      </c>
      <c r="C2" s="1262"/>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c r="AS2" s="1262"/>
      <c r="AT2" s="1262"/>
      <c r="AU2" s="1262"/>
    </row>
    <row r="3" spans="1:47" ht="17.25">
      <c r="A3" s="1262"/>
      <c r="B3" s="1265" t="s">
        <v>1838</v>
      </c>
      <c r="C3" s="1262"/>
      <c r="D3" s="1262"/>
      <c r="E3" s="1262"/>
      <c r="F3" s="1262"/>
      <c r="G3" s="1262"/>
      <c r="H3" s="1262"/>
      <c r="I3" s="1262"/>
      <c r="J3" s="1262"/>
      <c r="K3" s="1262"/>
      <c r="L3" s="1262"/>
      <c r="M3" s="1262"/>
      <c r="N3" s="1262"/>
      <c r="O3" s="1262"/>
      <c r="P3" s="1262"/>
      <c r="Q3" s="1262"/>
      <c r="R3" s="1262"/>
      <c r="S3" s="1262"/>
      <c r="T3" s="1262"/>
      <c r="U3" s="1262"/>
      <c r="V3" s="1262"/>
      <c r="W3" s="1262"/>
      <c r="X3" s="1262"/>
      <c r="Y3" s="1262"/>
      <c r="Z3" s="1262"/>
      <c r="AA3" s="1262"/>
      <c r="AB3" s="1262"/>
      <c r="AC3" s="1262"/>
      <c r="AD3" s="1262"/>
      <c r="AE3" s="1262"/>
      <c r="AF3" s="1262"/>
      <c r="AG3" s="1262"/>
      <c r="AH3" s="1262"/>
      <c r="AI3" s="1262"/>
      <c r="AJ3" s="1262"/>
      <c r="AK3" s="1262"/>
      <c r="AL3" s="1262"/>
      <c r="AM3" s="1262"/>
      <c r="AN3" s="1262"/>
      <c r="AO3" s="1262"/>
      <c r="AP3" s="1262"/>
      <c r="AQ3" s="1262"/>
      <c r="AR3" s="1262"/>
      <c r="AS3" s="1262"/>
      <c r="AT3" s="1262"/>
      <c r="AU3" s="1262"/>
    </row>
    <row r="4" spans="1:47" ht="17.25">
      <c r="A4" s="1262"/>
      <c r="B4" s="1265"/>
      <c r="C4" s="1262"/>
      <c r="D4" s="1262"/>
      <c r="E4" s="1262"/>
      <c r="F4" s="1262"/>
      <c r="G4" s="1262"/>
      <c r="H4" s="1262"/>
      <c r="I4" s="1262"/>
      <c r="J4" s="1262"/>
      <c r="K4" s="1262"/>
      <c r="L4" s="1262"/>
      <c r="M4" s="1262"/>
      <c r="N4" s="1262"/>
      <c r="O4" s="1262"/>
      <c r="P4" s="1262"/>
      <c r="Q4" s="1262"/>
      <c r="R4" s="1262"/>
      <c r="S4" s="1262"/>
      <c r="T4" s="1262"/>
      <c r="U4" s="1262"/>
      <c r="V4" s="1262"/>
      <c r="W4" s="1262"/>
      <c r="X4" s="1262"/>
      <c r="Y4" s="1262"/>
      <c r="Z4" s="1262"/>
      <c r="AA4" s="1262"/>
      <c r="AB4" s="1262"/>
      <c r="AC4" s="1262"/>
      <c r="AD4" s="1262"/>
      <c r="AE4" s="1262"/>
      <c r="AF4" s="1262"/>
      <c r="AG4" s="1262"/>
      <c r="AH4" s="1262"/>
      <c r="AI4" s="1262"/>
      <c r="AJ4" s="1262"/>
      <c r="AK4" s="1262"/>
      <c r="AL4" s="1262"/>
      <c r="AM4" s="1262"/>
      <c r="AN4" s="1262"/>
      <c r="AO4" s="1262"/>
      <c r="AP4" s="1262"/>
      <c r="AQ4" s="1262"/>
      <c r="AR4" s="1262"/>
      <c r="AS4" s="1262"/>
      <c r="AT4" s="1262"/>
      <c r="AU4" s="1262"/>
    </row>
    <row r="5" spans="1:47" ht="17.25" thickBot="1">
      <c r="A5" s="1262"/>
      <c r="B5" s="1264" t="s">
        <v>1412</v>
      </c>
      <c r="C5" s="1262"/>
      <c r="D5" s="1262"/>
      <c r="E5" s="1262"/>
      <c r="F5" s="1262"/>
      <c r="G5" s="1262"/>
      <c r="H5" s="1262"/>
      <c r="I5" s="1262"/>
      <c r="J5" s="1262"/>
      <c r="K5" s="1262"/>
      <c r="L5" s="1262"/>
      <c r="M5" s="1262"/>
      <c r="N5" s="1262"/>
      <c r="O5" s="1262"/>
      <c r="P5" s="1262"/>
      <c r="Q5" s="1262"/>
      <c r="R5" s="1262"/>
      <c r="S5" s="1262"/>
      <c r="T5" s="1262"/>
      <c r="U5" s="1262"/>
      <c r="V5" s="1262"/>
      <c r="W5" s="1262"/>
      <c r="X5" s="1262"/>
      <c r="Y5" s="1262"/>
      <c r="Z5" s="1262"/>
      <c r="AA5" s="1262"/>
      <c r="AB5" s="1262"/>
      <c r="AC5" s="1262"/>
      <c r="AD5" s="1262"/>
      <c r="AE5" s="1262"/>
      <c r="AF5" s="1262"/>
      <c r="AG5" s="1262"/>
      <c r="AH5" s="1262"/>
      <c r="AI5" s="1262"/>
      <c r="AJ5" s="1262"/>
      <c r="AK5" s="1262"/>
      <c r="AL5" s="1262"/>
      <c r="AM5" s="1262"/>
      <c r="AN5" s="1262"/>
      <c r="AO5" s="1262"/>
      <c r="AP5" s="1262"/>
      <c r="AQ5" s="1262"/>
      <c r="AR5" s="1262"/>
      <c r="AS5" s="1262"/>
      <c r="AT5" s="1262"/>
      <c r="AU5" s="1262"/>
    </row>
    <row r="6" spans="1:47" ht="5.0999999999999996" customHeight="1" thickTop="1">
      <c r="A6" s="1262"/>
      <c r="B6" s="1266"/>
      <c r="C6" s="1267"/>
      <c r="D6" s="1267"/>
      <c r="E6" s="1267"/>
      <c r="F6" s="1267"/>
      <c r="G6" s="1267"/>
      <c r="H6" s="1267"/>
      <c r="I6" s="1267"/>
      <c r="J6" s="1267"/>
      <c r="K6" s="1267"/>
      <c r="L6" s="1267"/>
      <c r="M6" s="1267"/>
      <c r="N6" s="1267"/>
      <c r="O6" s="1267"/>
      <c r="P6" s="1267"/>
      <c r="Q6" s="1267"/>
      <c r="R6" s="1267"/>
      <c r="S6" s="1267"/>
      <c r="T6" s="1267"/>
      <c r="U6" s="1267"/>
      <c r="V6" s="1267"/>
      <c r="W6" s="1267"/>
      <c r="X6" s="1267"/>
      <c r="Y6" s="1267"/>
      <c r="Z6" s="1267"/>
      <c r="AA6" s="1267"/>
      <c r="AB6" s="1267"/>
      <c r="AC6" s="1267"/>
      <c r="AD6" s="1268"/>
      <c r="AE6" s="1262"/>
      <c r="AF6" s="1262"/>
      <c r="AG6" s="1262"/>
      <c r="AH6" s="1262"/>
      <c r="AI6" s="1262"/>
      <c r="AJ6" s="1262"/>
      <c r="AK6" s="1262"/>
      <c r="AL6" s="1262"/>
      <c r="AM6" s="1262"/>
      <c r="AN6" s="1262"/>
      <c r="AO6" s="1262"/>
      <c r="AP6" s="1262"/>
      <c r="AQ6" s="1262"/>
      <c r="AR6" s="1262"/>
      <c r="AS6" s="1262"/>
      <c r="AT6" s="1262"/>
      <c r="AU6" s="1262"/>
    </row>
    <row r="7" spans="1:47" ht="19.7" customHeight="1" thickBot="1">
      <c r="A7" s="1262"/>
      <c r="B7" s="1269"/>
      <c r="C7" s="1270" t="s">
        <v>47</v>
      </c>
      <c r="D7" s="3667" t="s">
        <v>1413</v>
      </c>
      <c r="E7" s="3667"/>
      <c r="F7" s="3667"/>
      <c r="G7" s="3667"/>
      <c r="H7" s="3667"/>
      <c r="I7" s="3667"/>
      <c r="J7" s="3667"/>
      <c r="K7" s="3667"/>
      <c r="L7" s="3667"/>
      <c r="M7" s="3667"/>
      <c r="N7" s="3667"/>
      <c r="O7" s="3667"/>
      <c r="P7" s="3667"/>
      <c r="Q7" s="3667"/>
      <c r="R7" s="3667"/>
      <c r="S7" s="3667"/>
      <c r="T7" s="3667"/>
      <c r="U7" s="3667"/>
      <c r="V7" s="3667"/>
      <c r="W7" s="3667"/>
      <c r="X7" s="3667"/>
      <c r="Y7" s="3667"/>
      <c r="Z7" s="3667"/>
      <c r="AA7" s="3667"/>
      <c r="AB7" s="3667"/>
      <c r="AC7" s="1271"/>
      <c r="AD7" s="1272"/>
      <c r="AE7" s="1262"/>
      <c r="AF7" s="1262"/>
      <c r="AG7" s="1262"/>
      <c r="AH7" s="1262"/>
      <c r="AI7" s="1262"/>
      <c r="AJ7" s="1262"/>
      <c r="AK7" s="1262"/>
      <c r="AL7" s="1262"/>
      <c r="AM7" s="1262"/>
      <c r="AN7" s="1262"/>
      <c r="AO7" s="1262"/>
      <c r="AP7" s="1262"/>
      <c r="AQ7" s="1262"/>
      <c r="AR7" s="1262"/>
      <c r="AS7" s="1262"/>
      <c r="AT7" s="1262"/>
      <c r="AU7" s="1262"/>
    </row>
    <row r="8" spans="1:47" ht="19.7" customHeight="1" thickTop="1" thickBot="1">
      <c r="A8" s="1262"/>
      <c r="B8" s="1273"/>
      <c r="C8" s="1274"/>
      <c r="D8" s="1275"/>
      <c r="E8" s="3668" t="s">
        <v>1414</v>
      </c>
      <c r="F8" s="3668"/>
      <c r="G8" s="3668"/>
      <c r="H8" s="3668"/>
      <c r="I8" s="3668"/>
      <c r="J8" s="3669"/>
      <c r="K8" s="3670" t="s">
        <v>881</v>
      </c>
      <c r="L8" s="3670"/>
      <c r="M8" s="3670"/>
      <c r="N8" s="3670"/>
      <c r="O8" s="3670"/>
      <c r="P8" s="3670"/>
      <c r="Q8" s="3670"/>
      <c r="R8" s="3670"/>
      <c r="S8" s="3670"/>
      <c r="T8" s="3670"/>
      <c r="U8" s="3670"/>
      <c r="V8" s="3670"/>
      <c r="W8" s="3670"/>
      <c r="X8" s="3670"/>
      <c r="Y8" s="3670"/>
      <c r="Z8" s="3670"/>
      <c r="AA8" s="3670"/>
      <c r="AB8" s="3671"/>
      <c r="AC8" s="1276"/>
      <c r="AD8" s="1277"/>
      <c r="AE8" s="1262"/>
      <c r="AF8" s="1262"/>
      <c r="AG8" s="1262"/>
      <c r="AH8" s="1262"/>
      <c r="AI8" s="1262"/>
      <c r="AJ8" s="1262"/>
      <c r="AK8" s="1262"/>
      <c r="AL8" s="1262"/>
      <c r="AM8" s="1262"/>
      <c r="AN8" s="1262"/>
      <c r="AO8" s="1262"/>
      <c r="AP8" s="1262"/>
      <c r="AQ8" s="1262"/>
      <c r="AR8" s="1262"/>
      <c r="AS8" s="1262"/>
      <c r="AT8" s="1262"/>
      <c r="AU8" s="1262"/>
    </row>
    <row r="9" spans="1:47" ht="19.7" customHeight="1" thickTop="1" thickBot="1">
      <c r="A9" s="1262"/>
      <c r="B9" s="1273"/>
      <c r="C9" s="1274"/>
      <c r="D9" s="1278" t="s">
        <v>1415</v>
      </c>
      <c r="E9" s="1279"/>
      <c r="F9" s="1279"/>
      <c r="G9" s="1279"/>
      <c r="H9" s="1279"/>
      <c r="I9" s="1279"/>
      <c r="J9" s="1279"/>
      <c r="K9" s="1279"/>
      <c r="L9" s="1279"/>
      <c r="M9" s="1279"/>
      <c r="N9" s="1279"/>
      <c r="O9" s="1279"/>
      <c r="P9" s="1279"/>
      <c r="Q9" s="1279"/>
      <c r="R9" s="1279"/>
      <c r="S9" s="1279"/>
      <c r="T9" s="1279"/>
      <c r="U9" s="1279"/>
      <c r="V9" s="1279"/>
      <c r="W9" s="1279"/>
      <c r="X9" s="1279"/>
      <c r="Y9" s="1279"/>
      <c r="Z9" s="1279"/>
      <c r="AA9" s="1279"/>
      <c r="AB9" s="1280"/>
      <c r="AC9" s="1279"/>
      <c r="AD9" s="1280"/>
      <c r="AE9" s="1262"/>
      <c r="AF9" s="1262"/>
      <c r="AG9" s="1262"/>
      <c r="AH9" s="1262"/>
      <c r="AI9" s="1262"/>
      <c r="AJ9" s="1262"/>
      <c r="AK9" s="1262"/>
      <c r="AL9" s="1262"/>
      <c r="AM9" s="1262"/>
      <c r="AN9" s="1262"/>
      <c r="AO9" s="1262"/>
      <c r="AP9" s="1262"/>
      <c r="AQ9" s="1262"/>
      <c r="AR9" s="1262"/>
      <c r="AS9" s="1262"/>
      <c r="AT9" s="1262"/>
      <c r="AU9" s="1262"/>
    </row>
    <row r="10" spans="1:47" ht="19.7" customHeight="1">
      <c r="A10" s="1262"/>
      <c r="B10" s="1273"/>
      <c r="C10" s="1274"/>
      <c r="D10" s="1315" t="b">
        <v>0</v>
      </c>
      <c r="E10" s="1281" t="s">
        <v>882</v>
      </c>
      <c r="F10" s="1281"/>
      <c r="G10" s="1281"/>
      <c r="H10" s="1281"/>
      <c r="I10" s="1281"/>
      <c r="J10" s="1282"/>
      <c r="K10" s="1281"/>
      <c r="L10" s="1281" t="s">
        <v>883</v>
      </c>
      <c r="M10" s="1281"/>
      <c r="N10" s="1281"/>
      <c r="O10" s="1281"/>
      <c r="P10" s="1281"/>
      <c r="Q10" s="1281"/>
      <c r="R10" s="1281"/>
      <c r="S10" s="1281"/>
      <c r="T10" s="1281"/>
      <c r="U10" s="1281"/>
      <c r="V10" s="1281"/>
      <c r="W10" s="1281"/>
      <c r="X10" s="1281"/>
      <c r="Y10" s="1281"/>
      <c r="Z10" s="1281"/>
      <c r="AA10" s="1281"/>
      <c r="AB10" s="1283"/>
      <c r="AC10" s="1263"/>
      <c r="AD10" s="1284"/>
      <c r="AE10" s="1262"/>
      <c r="AF10" s="1262"/>
      <c r="AG10" s="1262"/>
      <c r="AH10" s="1262"/>
      <c r="AI10" s="1262"/>
      <c r="AJ10" s="1262"/>
      <c r="AK10" s="1262"/>
      <c r="AL10" s="1262"/>
      <c r="AM10" s="1262"/>
      <c r="AN10" s="1262"/>
      <c r="AO10" s="1262"/>
      <c r="AP10" s="1262"/>
      <c r="AQ10" s="1262"/>
      <c r="AR10" s="1262"/>
      <c r="AS10" s="1262"/>
      <c r="AT10" s="1262"/>
      <c r="AU10" s="1262"/>
    </row>
    <row r="11" spans="1:47" ht="19.7" customHeight="1">
      <c r="A11" s="1262"/>
      <c r="B11" s="1273"/>
      <c r="C11" s="1274"/>
      <c r="D11" s="1316" t="b">
        <v>1</v>
      </c>
      <c r="E11" s="1285" t="s">
        <v>884</v>
      </c>
      <c r="F11" s="1285"/>
      <c r="G11" s="1285"/>
      <c r="H11" s="1285"/>
      <c r="I11" s="1285"/>
      <c r="J11" s="1286"/>
      <c r="K11" s="1285"/>
      <c r="L11" s="1285" t="s">
        <v>885</v>
      </c>
      <c r="M11" s="1285"/>
      <c r="N11" s="1285"/>
      <c r="O11" s="1285"/>
      <c r="P11" s="1285"/>
      <c r="Q11" s="1285"/>
      <c r="R11" s="1285"/>
      <c r="S11" s="1285"/>
      <c r="T11" s="1285"/>
      <c r="U11" s="1285"/>
      <c r="V11" s="1285"/>
      <c r="W11" s="1285"/>
      <c r="X11" s="1285"/>
      <c r="Y11" s="1285"/>
      <c r="Z11" s="1285"/>
      <c r="AA11" s="1285"/>
      <c r="AB11" s="1287"/>
      <c r="AC11" s="1263"/>
      <c r="AD11" s="1284"/>
      <c r="AE11" s="1262"/>
      <c r="AF11" s="1262"/>
      <c r="AG11" s="1262"/>
      <c r="AH11" s="1262"/>
      <c r="AI11" s="1262"/>
      <c r="AJ11" s="1262"/>
      <c r="AK11" s="1262"/>
      <c r="AL11" s="1262"/>
      <c r="AM11" s="1262"/>
      <c r="AN11" s="1262"/>
      <c r="AO11" s="1262"/>
      <c r="AP11" s="1262"/>
      <c r="AQ11" s="1262"/>
      <c r="AR11" s="1262"/>
      <c r="AS11" s="1262"/>
      <c r="AT11" s="1262"/>
      <c r="AU11" s="1262"/>
    </row>
    <row r="12" spans="1:47" ht="19.7" customHeight="1">
      <c r="A12" s="1262"/>
      <c r="B12" s="1273"/>
      <c r="C12" s="1274"/>
      <c r="D12" s="1316" t="b">
        <v>0</v>
      </c>
      <c r="E12" s="1285" t="s">
        <v>886</v>
      </c>
      <c r="F12" s="1285"/>
      <c r="G12" s="1285"/>
      <c r="H12" s="1285"/>
      <c r="I12" s="1285"/>
      <c r="J12" s="1286"/>
      <c r="K12" s="1285"/>
      <c r="L12" s="1285" t="s">
        <v>887</v>
      </c>
      <c r="M12" s="1285"/>
      <c r="N12" s="1285"/>
      <c r="O12" s="1285"/>
      <c r="P12" s="1285"/>
      <c r="Q12" s="1285"/>
      <c r="R12" s="1285"/>
      <c r="S12" s="1285"/>
      <c r="T12" s="1285"/>
      <c r="U12" s="1285"/>
      <c r="V12" s="1285"/>
      <c r="W12" s="1285"/>
      <c r="X12" s="1285"/>
      <c r="Y12" s="1285"/>
      <c r="Z12" s="1285"/>
      <c r="AA12" s="1285"/>
      <c r="AB12" s="1287"/>
      <c r="AC12" s="1263"/>
      <c r="AD12" s="1284"/>
      <c r="AE12" s="1262"/>
      <c r="AF12" s="1262"/>
      <c r="AG12" s="1262"/>
      <c r="AH12" s="1262"/>
      <c r="AI12" s="1262"/>
      <c r="AJ12" s="1262"/>
      <c r="AK12" s="1262"/>
      <c r="AL12" s="1262"/>
      <c r="AM12" s="1262"/>
      <c r="AN12" s="1262"/>
      <c r="AO12" s="1262"/>
      <c r="AP12" s="1262"/>
      <c r="AQ12" s="1262"/>
      <c r="AR12" s="1262"/>
      <c r="AS12" s="1262"/>
      <c r="AT12" s="1262"/>
      <c r="AU12" s="1262"/>
    </row>
    <row r="13" spans="1:47" ht="19.7" customHeight="1">
      <c r="A13" s="1262"/>
      <c r="B13" s="1273"/>
      <c r="C13" s="1274"/>
      <c r="D13" s="1316" t="b">
        <v>0</v>
      </c>
      <c r="E13" s="1285" t="s">
        <v>888</v>
      </c>
      <c r="F13" s="1285"/>
      <c r="G13" s="1285"/>
      <c r="H13" s="1285"/>
      <c r="I13" s="1285"/>
      <c r="J13" s="1286"/>
      <c r="K13" s="1285"/>
      <c r="L13" s="1285" t="s">
        <v>889</v>
      </c>
      <c r="M13" s="1285"/>
      <c r="N13" s="1285"/>
      <c r="O13" s="1285"/>
      <c r="P13" s="1285"/>
      <c r="Q13" s="1285"/>
      <c r="R13" s="1285"/>
      <c r="S13" s="1285"/>
      <c r="T13" s="1285"/>
      <c r="U13" s="1285"/>
      <c r="V13" s="1285"/>
      <c r="W13" s="1285"/>
      <c r="X13" s="1285"/>
      <c r="Y13" s="1285"/>
      <c r="Z13" s="1285"/>
      <c r="AA13" s="1285"/>
      <c r="AB13" s="1287"/>
      <c r="AC13" s="1263"/>
      <c r="AD13" s="1284"/>
      <c r="AE13" s="1262"/>
      <c r="AF13" s="1262"/>
      <c r="AG13" s="1262"/>
      <c r="AH13" s="1262"/>
      <c r="AI13" s="1262"/>
      <c r="AJ13" s="1262"/>
      <c r="AK13" s="1262"/>
      <c r="AL13" s="1262"/>
      <c r="AM13" s="1262"/>
      <c r="AN13" s="1262"/>
      <c r="AO13" s="1262"/>
      <c r="AP13" s="1262"/>
      <c r="AQ13" s="1262"/>
      <c r="AR13" s="1262"/>
      <c r="AS13" s="1262"/>
      <c r="AT13" s="1262"/>
      <c r="AU13" s="1262"/>
    </row>
    <row r="14" spans="1:47" ht="19.7" customHeight="1">
      <c r="A14" s="1262"/>
      <c r="B14" s="1273"/>
      <c r="C14" s="1274"/>
      <c r="D14" s="1316" t="b">
        <v>0</v>
      </c>
      <c r="E14" s="1285" t="s">
        <v>890</v>
      </c>
      <c r="F14" s="1285"/>
      <c r="G14" s="1285"/>
      <c r="H14" s="1285"/>
      <c r="I14" s="1285"/>
      <c r="J14" s="1286"/>
      <c r="K14" s="1285"/>
      <c r="L14" s="1285" t="s">
        <v>891</v>
      </c>
      <c r="M14" s="1285"/>
      <c r="N14" s="1285"/>
      <c r="O14" s="1285"/>
      <c r="P14" s="1285"/>
      <c r="Q14" s="1285"/>
      <c r="R14" s="1285"/>
      <c r="S14" s="1285"/>
      <c r="T14" s="1285"/>
      <c r="U14" s="1285"/>
      <c r="V14" s="1285"/>
      <c r="W14" s="1285"/>
      <c r="X14" s="1285"/>
      <c r="Y14" s="1285"/>
      <c r="Z14" s="1285"/>
      <c r="AA14" s="1285"/>
      <c r="AB14" s="1287"/>
      <c r="AC14" s="1263"/>
      <c r="AD14" s="1284"/>
      <c r="AE14" s="1262"/>
      <c r="AF14" s="1262"/>
      <c r="AG14" s="1262"/>
      <c r="AH14" s="1262"/>
      <c r="AI14" s="1262"/>
      <c r="AJ14" s="1262"/>
      <c r="AK14" s="1262"/>
      <c r="AL14" s="1262"/>
      <c r="AM14" s="1262"/>
      <c r="AN14" s="1262"/>
      <c r="AO14" s="1262"/>
      <c r="AP14" s="1262"/>
      <c r="AQ14" s="1262"/>
      <c r="AR14" s="1262"/>
      <c r="AS14" s="1262"/>
      <c r="AT14" s="1262"/>
      <c r="AU14" s="1262"/>
    </row>
    <row r="15" spans="1:47" ht="19.7" customHeight="1">
      <c r="A15" s="1262"/>
      <c r="B15" s="1273"/>
      <c r="C15" s="1274"/>
      <c r="D15" s="1316" t="b">
        <v>0</v>
      </c>
      <c r="E15" s="1285" t="s">
        <v>892</v>
      </c>
      <c r="F15" s="1285"/>
      <c r="G15" s="1285"/>
      <c r="H15" s="1285"/>
      <c r="I15" s="1285"/>
      <c r="J15" s="1286"/>
      <c r="K15" s="1285"/>
      <c r="L15" s="1285" t="s">
        <v>893</v>
      </c>
      <c r="M15" s="1285"/>
      <c r="N15" s="1285"/>
      <c r="O15" s="1285"/>
      <c r="P15" s="1285"/>
      <c r="Q15" s="1285"/>
      <c r="R15" s="1285"/>
      <c r="S15" s="1285"/>
      <c r="T15" s="1285"/>
      <c r="U15" s="1285"/>
      <c r="V15" s="1285"/>
      <c r="W15" s="1285"/>
      <c r="X15" s="1285"/>
      <c r="Y15" s="1285"/>
      <c r="Z15" s="1285"/>
      <c r="AA15" s="1285"/>
      <c r="AB15" s="1287"/>
      <c r="AC15" s="1263"/>
      <c r="AD15" s="1284"/>
      <c r="AE15" s="1262"/>
      <c r="AF15" s="1262"/>
      <c r="AG15" s="1262"/>
      <c r="AH15" s="1262"/>
      <c r="AI15" s="1262"/>
      <c r="AJ15" s="1262"/>
      <c r="AK15" s="1262"/>
      <c r="AL15" s="1262"/>
      <c r="AM15" s="1262"/>
      <c r="AN15" s="1262"/>
      <c r="AO15" s="1262"/>
      <c r="AP15" s="1262"/>
      <c r="AQ15" s="1262"/>
      <c r="AR15" s="1262"/>
      <c r="AS15" s="1262"/>
      <c r="AT15" s="1262"/>
      <c r="AU15" s="1262"/>
    </row>
    <row r="16" spans="1:47" ht="19.7" customHeight="1">
      <c r="A16" s="1262"/>
      <c r="B16" s="1273"/>
      <c r="C16" s="1274"/>
      <c r="D16" s="1316" t="b">
        <v>0</v>
      </c>
      <c r="E16" s="1285" t="s">
        <v>894</v>
      </c>
      <c r="F16" s="1285"/>
      <c r="G16" s="1285"/>
      <c r="H16" s="1285"/>
      <c r="I16" s="1285"/>
      <c r="J16" s="1286"/>
      <c r="K16" s="1285"/>
      <c r="L16" s="1285" t="s">
        <v>895</v>
      </c>
      <c r="M16" s="1285"/>
      <c r="N16" s="1285"/>
      <c r="O16" s="1285"/>
      <c r="P16" s="1285"/>
      <c r="Q16" s="1285"/>
      <c r="R16" s="1285"/>
      <c r="S16" s="1285"/>
      <c r="T16" s="1285"/>
      <c r="U16" s="1285"/>
      <c r="V16" s="1285"/>
      <c r="W16" s="1285"/>
      <c r="X16" s="1285"/>
      <c r="Y16" s="1285"/>
      <c r="Z16" s="1285"/>
      <c r="AA16" s="1285"/>
      <c r="AB16" s="1287"/>
      <c r="AC16" s="1263"/>
      <c r="AD16" s="1284"/>
      <c r="AE16" s="1262"/>
      <c r="AF16" s="1262"/>
      <c r="AG16" s="1262"/>
      <c r="AH16" s="1262"/>
      <c r="AI16" s="1262"/>
      <c r="AJ16" s="1262"/>
      <c r="AK16" s="1262"/>
      <c r="AL16" s="1262"/>
      <c r="AM16" s="1262"/>
      <c r="AN16" s="1262"/>
      <c r="AO16" s="1262"/>
      <c r="AP16" s="1262"/>
      <c r="AQ16" s="1262"/>
      <c r="AR16" s="1262"/>
      <c r="AS16" s="1262"/>
      <c r="AT16" s="1262"/>
      <c r="AU16" s="1262"/>
    </row>
    <row r="17" spans="1:53" ht="19.7" customHeight="1">
      <c r="A17" s="1262"/>
      <c r="B17" s="1273"/>
      <c r="C17" s="1274"/>
      <c r="D17" s="1316" t="b">
        <v>0</v>
      </c>
      <c r="E17" s="1285" t="s">
        <v>896</v>
      </c>
      <c r="F17" s="1285"/>
      <c r="G17" s="1285"/>
      <c r="H17" s="1285"/>
      <c r="I17" s="1285"/>
      <c r="J17" s="1286"/>
      <c r="K17" s="1285"/>
      <c r="L17" s="1285" t="s">
        <v>897</v>
      </c>
      <c r="M17" s="1285"/>
      <c r="N17" s="1285"/>
      <c r="O17" s="1285"/>
      <c r="P17" s="1285"/>
      <c r="Q17" s="1285"/>
      <c r="R17" s="1285"/>
      <c r="S17" s="1285"/>
      <c r="T17" s="1285"/>
      <c r="U17" s="1285"/>
      <c r="V17" s="1285"/>
      <c r="W17" s="1285"/>
      <c r="X17" s="1285"/>
      <c r="Y17" s="1285"/>
      <c r="Z17" s="1285"/>
      <c r="AA17" s="1285"/>
      <c r="AB17" s="1287"/>
      <c r="AC17" s="1263"/>
      <c r="AD17" s="1284"/>
      <c r="AE17" s="1262"/>
      <c r="AF17" s="1262"/>
      <c r="AG17" s="1262"/>
      <c r="AH17" s="1262"/>
      <c r="AI17" s="1262"/>
      <c r="AJ17" s="1262"/>
      <c r="AK17" s="1262"/>
      <c r="AL17" s="1262"/>
      <c r="AM17" s="1262"/>
      <c r="AN17" s="1262"/>
      <c r="AO17" s="1262"/>
      <c r="AP17" s="1262"/>
      <c r="AQ17" s="1262"/>
      <c r="AR17" s="1262"/>
      <c r="AS17" s="1262"/>
      <c r="AT17" s="1262"/>
      <c r="AU17" s="1262"/>
    </row>
    <row r="18" spans="1:53" ht="33.950000000000003" customHeight="1">
      <c r="A18" s="1262"/>
      <c r="B18" s="1273"/>
      <c r="C18" s="1274"/>
      <c r="D18" s="1316" t="b">
        <v>1</v>
      </c>
      <c r="E18" s="1285" t="s">
        <v>1839</v>
      </c>
      <c r="F18" s="1285"/>
      <c r="G18" s="1285"/>
      <c r="H18" s="1285"/>
      <c r="I18" s="1285"/>
      <c r="J18" s="1286"/>
      <c r="K18" s="1285"/>
      <c r="L18" s="3672" t="s">
        <v>1416</v>
      </c>
      <c r="M18" s="3672"/>
      <c r="N18" s="3672"/>
      <c r="O18" s="3672"/>
      <c r="P18" s="3672"/>
      <c r="Q18" s="3672"/>
      <c r="R18" s="3672"/>
      <c r="S18" s="3672"/>
      <c r="T18" s="3672"/>
      <c r="U18" s="3672"/>
      <c r="V18" s="3672"/>
      <c r="W18" s="3672"/>
      <c r="X18" s="3672"/>
      <c r="Y18" s="3672"/>
      <c r="Z18" s="3672"/>
      <c r="AA18" s="3672"/>
      <c r="AB18" s="1287"/>
      <c r="AC18" s="1263"/>
      <c r="AD18" s="1284"/>
      <c r="AE18" s="1262"/>
      <c r="AF18" s="1262"/>
      <c r="AG18" s="1262"/>
      <c r="AH18" s="1262"/>
      <c r="AI18" s="1262"/>
      <c r="AJ18" s="1262"/>
      <c r="AK18" s="1262"/>
      <c r="AL18" s="1262"/>
      <c r="AM18" s="1262"/>
      <c r="AN18" s="1262"/>
      <c r="AO18" s="1262"/>
      <c r="AP18" s="1262"/>
      <c r="AQ18" s="1262"/>
      <c r="AR18" s="1262"/>
      <c r="AS18" s="1262"/>
      <c r="AT18" s="1262"/>
      <c r="AU18" s="1262"/>
    </row>
    <row r="19" spans="1:53" ht="45.95" customHeight="1">
      <c r="A19" s="1262"/>
      <c r="B19" s="1273"/>
      <c r="C19" s="1274"/>
      <c r="D19" s="1316" t="b">
        <v>1</v>
      </c>
      <c r="E19" s="1285" t="s">
        <v>1840</v>
      </c>
      <c r="F19" s="1285"/>
      <c r="G19" s="1285"/>
      <c r="H19" s="1285"/>
      <c r="I19" s="1285"/>
      <c r="J19" s="1286"/>
      <c r="K19" s="1285"/>
      <c r="L19" s="3672" t="s">
        <v>1417</v>
      </c>
      <c r="M19" s="3672"/>
      <c r="N19" s="3672"/>
      <c r="O19" s="3672"/>
      <c r="P19" s="3672"/>
      <c r="Q19" s="3672"/>
      <c r="R19" s="3672"/>
      <c r="S19" s="3672"/>
      <c r="T19" s="3672"/>
      <c r="U19" s="3672"/>
      <c r="V19" s="3672"/>
      <c r="W19" s="3672"/>
      <c r="X19" s="3672"/>
      <c r="Y19" s="3672"/>
      <c r="Z19" s="3672"/>
      <c r="AA19" s="3672"/>
      <c r="AB19" s="1287"/>
      <c r="AC19" s="1263"/>
      <c r="AD19" s="1284"/>
      <c r="AE19" s="1262"/>
      <c r="AF19" s="1262"/>
      <c r="AG19" s="1262"/>
      <c r="AH19" s="1262"/>
      <c r="AI19" s="1262"/>
      <c r="AJ19" s="1262"/>
      <c r="AK19" s="1262"/>
      <c r="AL19" s="1262"/>
      <c r="AM19" s="1262"/>
      <c r="AN19" s="1262"/>
      <c r="AO19" s="1262"/>
      <c r="AP19" s="1262"/>
      <c r="AQ19" s="1262"/>
      <c r="AR19" s="1262"/>
      <c r="AS19" s="1262"/>
      <c r="AT19" s="1262"/>
      <c r="AU19" s="1262"/>
    </row>
    <row r="20" spans="1:53" ht="19.7" customHeight="1" thickBot="1">
      <c r="A20" s="1262"/>
      <c r="B20" s="1273"/>
      <c r="C20" s="1274"/>
      <c r="D20" s="1317" t="b">
        <v>0</v>
      </c>
      <c r="E20" s="1288" t="s">
        <v>1418</v>
      </c>
      <c r="F20" s="1288"/>
      <c r="G20" s="1288"/>
      <c r="H20" s="1288"/>
      <c r="I20" s="1288"/>
      <c r="J20" s="1289"/>
      <c r="K20" s="1288"/>
      <c r="L20" s="1290" t="s">
        <v>1419</v>
      </c>
      <c r="M20" s="1288"/>
      <c r="N20" s="1288"/>
      <c r="O20" s="1288"/>
      <c r="P20" s="1288"/>
      <c r="Q20" s="1288"/>
      <c r="R20" s="1288"/>
      <c r="S20" s="1288"/>
      <c r="T20" s="1288"/>
      <c r="U20" s="1288"/>
      <c r="V20" s="1288"/>
      <c r="W20" s="1288"/>
      <c r="X20" s="1288"/>
      <c r="Y20" s="1288"/>
      <c r="Z20" s="1288"/>
      <c r="AA20" s="1288"/>
      <c r="AB20" s="1291"/>
      <c r="AC20" s="1263"/>
      <c r="AD20" s="1284"/>
      <c r="AE20" s="1262"/>
      <c r="AF20" s="1262"/>
      <c r="AG20" s="1262"/>
      <c r="AH20" s="1262"/>
      <c r="AI20" s="1262"/>
      <c r="AJ20" s="1262"/>
      <c r="AK20" s="1262"/>
      <c r="AL20" s="1262"/>
      <c r="AM20" s="1262"/>
      <c r="AN20" s="1262"/>
      <c r="AO20" s="1262"/>
      <c r="AP20" s="1262"/>
      <c r="AQ20" s="1262"/>
      <c r="AR20" s="1262"/>
      <c r="AS20" s="1262"/>
      <c r="AT20" s="1262"/>
      <c r="AU20" s="1262"/>
    </row>
    <row r="21" spans="1:53" ht="19.7" customHeight="1" thickTop="1" thickBot="1">
      <c r="A21" s="1262"/>
      <c r="B21" s="1273"/>
      <c r="C21" s="1274"/>
      <c r="D21" s="1278" t="s">
        <v>1420</v>
      </c>
      <c r="E21" s="1279"/>
      <c r="F21" s="1279"/>
      <c r="G21" s="1279"/>
      <c r="H21" s="1279"/>
      <c r="I21" s="1279"/>
      <c r="J21" s="1279"/>
      <c r="K21" s="1279"/>
      <c r="L21" s="1279"/>
      <c r="M21" s="1279"/>
      <c r="N21" s="1279"/>
      <c r="O21" s="1279"/>
      <c r="P21" s="1279"/>
      <c r="Q21" s="1279"/>
      <c r="R21" s="1279"/>
      <c r="S21" s="1279"/>
      <c r="T21" s="1279"/>
      <c r="U21" s="1279"/>
      <c r="V21" s="1279"/>
      <c r="W21" s="1279"/>
      <c r="X21" s="1279"/>
      <c r="Y21" s="1279"/>
      <c r="Z21" s="1279"/>
      <c r="AA21" s="1279"/>
      <c r="AB21" s="1280"/>
      <c r="AC21" s="1279"/>
      <c r="AD21" s="1292"/>
      <c r="AE21" s="1262"/>
      <c r="AF21" s="1262"/>
      <c r="AG21" s="1262"/>
      <c r="AH21" s="1262"/>
      <c r="AI21" s="1262"/>
      <c r="AJ21" s="1262"/>
      <c r="AK21" s="1262"/>
      <c r="AL21" s="1262"/>
      <c r="AM21" s="1262"/>
      <c r="AN21" s="1262"/>
      <c r="AO21" s="1262"/>
      <c r="AP21" s="1262"/>
      <c r="AQ21" s="1262"/>
      <c r="AR21" s="1262"/>
      <c r="AS21" s="1262"/>
      <c r="AT21" s="1262"/>
      <c r="AU21" s="1262"/>
    </row>
    <row r="22" spans="1:53" ht="19.7" customHeight="1">
      <c r="A22" s="1262"/>
      <c r="B22" s="1273"/>
      <c r="C22" s="1274"/>
      <c r="D22" s="1315" t="b">
        <v>1</v>
      </c>
      <c r="E22" s="1281" t="s">
        <v>900</v>
      </c>
      <c r="F22" s="1281"/>
      <c r="G22" s="1281"/>
      <c r="H22" s="1281"/>
      <c r="I22" s="1281"/>
      <c r="J22" s="1293"/>
      <c r="K22" s="1281"/>
      <c r="L22" s="1281" t="s">
        <v>901</v>
      </c>
      <c r="M22" s="1281"/>
      <c r="N22" s="1281"/>
      <c r="O22" s="1281"/>
      <c r="P22" s="1281"/>
      <c r="Q22" s="1281"/>
      <c r="R22" s="1281"/>
      <c r="S22" s="1281"/>
      <c r="T22" s="1281"/>
      <c r="U22" s="1281"/>
      <c r="V22" s="1281"/>
      <c r="W22" s="1281"/>
      <c r="X22" s="1281"/>
      <c r="Y22" s="1281"/>
      <c r="Z22" s="1281"/>
      <c r="AA22" s="1281"/>
      <c r="AB22" s="1283"/>
      <c r="AC22" s="1263"/>
      <c r="AD22" s="1284"/>
      <c r="AE22" s="1262"/>
      <c r="AF22" s="1262"/>
      <c r="AG22" s="1262"/>
      <c r="AH22" s="1262"/>
      <c r="AI22" s="1262"/>
      <c r="AJ22" s="1262"/>
      <c r="AK22" s="1262"/>
      <c r="AL22" s="1262"/>
      <c r="AM22" s="1262"/>
      <c r="AN22" s="1262"/>
      <c r="AO22" s="1262"/>
      <c r="AP22" s="1262"/>
      <c r="AQ22" s="1262"/>
      <c r="AR22" s="1262"/>
      <c r="AS22" s="1262"/>
      <c r="AT22" s="1262"/>
      <c r="AU22" s="1262"/>
    </row>
    <row r="23" spans="1:53" ht="19.7" customHeight="1">
      <c r="A23" s="1262"/>
      <c r="B23" s="1273"/>
      <c r="C23" s="1274"/>
      <c r="D23" s="1316" t="b">
        <v>1</v>
      </c>
      <c r="E23" s="1285" t="s">
        <v>904</v>
      </c>
      <c r="F23" s="1285"/>
      <c r="G23" s="1285"/>
      <c r="H23" s="1285"/>
      <c r="I23" s="1285"/>
      <c r="J23" s="1294"/>
      <c r="K23" s="1285"/>
      <c r="L23" s="1295" t="s">
        <v>905</v>
      </c>
      <c r="M23" s="1285"/>
      <c r="N23" s="1285"/>
      <c r="O23" s="1285"/>
      <c r="P23" s="1285"/>
      <c r="Q23" s="1285"/>
      <c r="R23" s="1285"/>
      <c r="S23" s="1285"/>
      <c r="T23" s="1285"/>
      <c r="U23" s="1285"/>
      <c r="V23" s="1285"/>
      <c r="W23" s="1285"/>
      <c r="X23" s="1285"/>
      <c r="Y23" s="1285"/>
      <c r="Z23" s="1285"/>
      <c r="AA23" s="1285"/>
      <c r="AB23" s="1287"/>
      <c r="AC23" s="1263"/>
      <c r="AD23" s="1284"/>
      <c r="AE23" s="1262"/>
      <c r="AF23" s="1262"/>
      <c r="AG23" s="1262"/>
      <c r="AH23" s="1262"/>
      <c r="AI23" s="1262"/>
      <c r="AJ23" s="1296"/>
      <c r="AK23" s="1262"/>
      <c r="AL23" s="1262"/>
      <c r="AM23" s="1262"/>
      <c r="AN23" s="1262"/>
      <c r="AO23" s="1262"/>
      <c r="AP23" s="1262"/>
      <c r="AQ23" s="1262"/>
      <c r="AR23" s="1262"/>
      <c r="AS23" s="1262"/>
      <c r="AT23" s="1262"/>
      <c r="AU23" s="1262"/>
    </row>
    <row r="24" spans="1:53" ht="19.7" customHeight="1">
      <c r="A24" s="1262"/>
      <c r="B24" s="1273"/>
      <c r="C24" s="1274"/>
      <c r="D24" s="1316" t="b">
        <v>0</v>
      </c>
      <c r="E24" s="1285" t="s">
        <v>902</v>
      </c>
      <c r="F24" s="1285"/>
      <c r="G24" s="1285"/>
      <c r="H24" s="1285"/>
      <c r="I24" s="1285"/>
      <c r="J24" s="1294"/>
      <c r="K24" s="1285"/>
      <c r="L24" s="1285" t="s">
        <v>903</v>
      </c>
      <c r="M24" s="1285"/>
      <c r="N24" s="1285"/>
      <c r="O24" s="1285"/>
      <c r="P24" s="1285"/>
      <c r="Q24" s="1285"/>
      <c r="R24" s="1285"/>
      <c r="S24" s="1285"/>
      <c r="T24" s="1285"/>
      <c r="U24" s="1285"/>
      <c r="V24" s="1285"/>
      <c r="W24" s="1285"/>
      <c r="X24" s="1285"/>
      <c r="Y24" s="1285"/>
      <c r="Z24" s="1285"/>
      <c r="AA24" s="1285"/>
      <c r="AB24" s="1287"/>
      <c r="AC24" s="1263"/>
      <c r="AD24" s="1284"/>
      <c r="AE24" s="1262"/>
      <c r="AF24" s="1262"/>
      <c r="AG24" s="1262"/>
      <c r="AH24" s="1262"/>
      <c r="AI24" s="1262"/>
      <c r="AJ24" s="1262"/>
      <c r="AK24" s="1262"/>
      <c r="AL24" s="1262"/>
      <c r="AM24" s="1262"/>
      <c r="AN24" s="1262"/>
      <c r="AO24" s="1262"/>
      <c r="AP24" s="1262"/>
      <c r="AQ24" s="1262"/>
      <c r="AR24" s="1262"/>
      <c r="AS24" s="1262"/>
      <c r="AT24" s="1262"/>
      <c r="AU24" s="1262"/>
    </row>
    <row r="25" spans="1:53" ht="19.7" customHeight="1">
      <c r="A25" s="1262"/>
      <c r="B25" s="1273"/>
      <c r="C25" s="1274"/>
      <c r="D25" s="1316" t="b">
        <v>0</v>
      </c>
      <c r="E25" s="1285" t="s">
        <v>1841</v>
      </c>
      <c r="F25" s="1285"/>
      <c r="G25" s="1285"/>
      <c r="H25" s="1285"/>
      <c r="I25" s="1285"/>
      <c r="J25" s="1294"/>
      <c r="K25" s="1285"/>
      <c r="L25" s="1295" t="s">
        <v>1421</v>
      </c>
      <c r="M25" s="1285"/>
      <c r="N25" s="1285"/>
      <c r="O25" s="1285"/>
      <c r="P25" s="1285"/>
      <c r="Q25" s="1285"/>
      <c r="R25" s="1285"/>
      <c r="S25" s="1285"/>
      <c r="T25" s="1285"/>
      <c r="U25" s="1285"/>
      <c r="V25" s="1285"/>
      <c r="W25" s="1285"/>
      <c r="X25" s="1285"/>
      <c r="Y25" s="1285"/>
      <c r="Z25" s="1285"/>
      <c r="AA25" s="1285"/>
      <c r="AB25" s="1287"/>
      <c r="AC25" s="1263"/>
      <c r="AD25" s="1284"/>
      <c r="AE25" s="1262"/>
      <c r="AF25" s="1262"/>
      <c r="AG25" s="1262"/>
      <c r="AH25" s="1262"/>
      <c r="AI25" s="1262"/>
      <c r="AJ25" s="1262"/>
      <c r="AK25" s="1262"/>
      <c r="AL25" s="1262"/>
      <c r="AM25" s="1262"/>
      <c r="AN25" s="1262"/>
      <c r="AO25" s="1262"/>
      <c r="AP25" s="1262"/>
      <c r="AQ25" s="1262"/>
      <c r="AR25" s="1262"/>
      <c r="AS25" s="1262"/>
      <c r="AT25" s="1262"/>
      <c r="AU25" s="1262"/>
    </row>
    <row r="26" spans="1:53" ht="19.7" customHeight="1" thickBot="1">
      <c r="A26" s="1262"/>
      <c r="B26" s="1273"/>
      <c r="C26" s="1274"/>
      <c r="D26" s="1318" t="b">
        <v>0</v>
      </c>
      <c r="E26" s="1297" t="s">
        <v>898</v>
      </c>
      <c r="F26" s="1297"/>
      <c r="G26" s="1297"/>
      <c r="H26" s="1297"/>
      <c r="I26" s="1297"/>
      <c r="J26" s="1298"/>
      <c r="K26" s="1297"/>
      <c r="L26" s="1299" t="s">
        <v>899</v>
      </c>
      <c r="M26" s="1297"/>
      <c r="N26" s="1297"/>
      <c r="O26" s="1297"/>
      <c r="P26" s="1297"/>
      <c r="Q26" s="1297"/>
      <c r="R26" s="1297"/>
      <c r="S26" s="1297"/>
      <c r="T26" s="1297"/>
      <c r="U26" s="1297"/>
      <c r="V26" s="1297"/>
      <c r="W26" s="1297"/>
      <c r="X26" s="1297"/>
      <c r="Y26" s="1297"/>
      <c r="Z26" s="1297"/>
      <c r="AA26" s="1297"/>
      <c r="AB26" s="1300"/>
      <c r="AC26" s="1263"/>
      <c r="AD26" s="1284"/>
      <c r="AE26" s="1262"/>
      <c r="AF26" s="1262"/>
      <c r="AG26" s="1262"/>
      <c r="AH26" s="1262"/>
      <c r="AI26" s="1262"/>
      <c r="AJ26" s="1262"/>
      <c r="AK26" s="1262"/>
      <c r="AL26" s="1262"/>
      <c r="AM26" s="1262"/>
      <c r="AN26" s="1262"/>
      <c r="AO26" s="1262"/>
      <c r="AP26" s="1262"/>
      <c r="AQ26" s="1262"/>
      <c r="AR26" s="1262"/>
      <c r="AS26" s="1262"/>
      <c r="AT26" s="1262"/>
      <c r="AU26" s="1262"/>
    </row>
    <row r="27" spans="1:53" ht="9.9499999999999993" customHeight="1" thickTop="1">
      <c r="A27" s="1262"/>
      <c r="B27" s="1273"/>
      <c r="C27" s="1274"/>
      <c r="D27" s="1274"/>
      <c r="E27" s="1010"/>
      <c r="F27" s="1263"/>
      <c r="G27" s="1263"/>
      <c r="H27" s="1263"/>
      <c r="I27" s="1263"/>
      <c r="J27" s="1263"/>
      <c r="K27" s="1263"/>
      <c r="L27" s="1263"/>
      <c r="M27" s="1263"/>
      <c r="N27" s="1263"/>
      <c r="O27" s="1263"/>
      <c r="P27" s="1263"/>
      <c r="Q27" s="1263"/>
      <c r="R27" s="1263"/>
      <c r="S27" s="1263"/>
      <c r="T27" s="1263"/>
      <c r="U27" s="1263"/>
      <c r="V27" s="1263"/>
      <c r="W27" s="1263"/>
      <c r="X27" s="1263"/>
      <c r="Y27" s="1263"/>
      <c r="Z27" s="1263"/>
      <c r="AA27" s="1263"/>
      <c r="AB27" s="1263"/>
      <c r="AC27" s="1263"/>
      <c r="AD27" s="1284"/>
      <c r="AE27" s="1262"/>
      <c r="AF27" s="1262"/>
      <c r="AG27" s="1262"/>
      <c r="AH27" s="1262"/>
      <c r="AI27" s="1262"/>
      <c r="AJ27" s="1262"/>
      <c r="AK27" s="1262"/>
      <c r="AL27" s="1262"/>
      <c r="AM27" s="1262"/>
      <c r="AN27" s="1262"/>
      <c r="AO27" s="1262"/>
      <c r="AP27" s="1262"/>
      <c r="AQ27" s="1262"/>
      <c r="AR27" s="1262"/>
      <c r="AS27" s="1262"/>
      <c r="AT27" s="1262"/>
      <c r="AU27" s="1262"/>
    </row>
    <row r="28" spans="1:53" ht="32.1" customHeight="1" thickBot="1">
      <c r="A28" s="1262"/>
      <c r="B28" s="1269"/>
      <c r="C28" s="1301" t="s">
        <v>48</v>
      </c>
      <c r="D28" s="3666" t="s">
        <v>1422</v>
      </c>
      <c r="E28" s="3666"/>
      <c r="F28" s="3666"/>
      <c r="G28" s="3666"/>
      <c r="H28" s="3666"/>
      <c r="I28" s="3666"/>
      <c r="J28" s="3666"/>
      <c r="K28" s="3666"/>
      <c r="L28" s="3666"/>
      <c r="M28" s="3666"/>
      <c r="N28" s="3666"/>
      <c r="O28" s="3666"/>
      <c r="P28" s="3666"/>
      <c r="Q28" s="3666"/>
      <c r="R28" s="3666"/>
      <c r="S28" s="3666"/>
      <c r="T28" s="3666"/>
      <c r="U28" s="3666"/>
      <c r="V28" s="3666"/>
      <c r="W28" s="3666"/>
      <c r="X28" s="3666"/>
      <c r="Y28" s="3666"/>
      <c r="Z28" s="3666"/>
      <c r="AA28" s="3666"/>
      <c r="AB28" s="3666"/>
      <c r="AC28" s="1271"/>
      <c r="AD28" s="1272"/>
      <c r="AE28" s="1262"/>
      <c r="AF28" s="1262"/>
      <c r="AG28" s="1262"/>
      <c r="AH28" s="1262"/>
      <c r="AI28" s="1262"/>
      <c r="AJ28" s="1262"/>
      <c r="AK28" s="1262"/>
      <c r="AL28" s="1262"/>
      <c r="AM28" s="1262"/>
      <c r="AN28" s="1262"/>
      <c r="AO28" s="1262"/>
      <c r="AP28" s="1262"/>
      <c r="AQ28" s="1262"/>
      <c r="AR28" s="1262"/>
      <c r="AS28" s="1262"/>
      <c r="AT28" s="1262"/>
      <c r="AU28" s="1262"/>
    </row>
    <row r="29" spans="1:53" s="175" customFormat="1" ht="59.1" customHeight="1" thickTop="1" thickBot="1">
      <c r="A29" s="1263"/>
      <c r="B29" s="1303"/>
      <c r="C29" s="1304"/>
      <c r="D29" s="3654" t="s">
        <v>1842</v>
      </c>
      <c r="E29" s="3655"/>
      <c r="F29" s="3655"/>
      <c r="G29" s="3655"/>
      <c r="H29" s="3655"/>
      <c r="I29" s="3655"/>
      <c r="J29" s="3656" t="s">
        <v>1574</v>
      </c>
      <c r="K29" s="3655"/>
      <c r="L29" s="3655"/>
      <c r="M29" s="3655"/>
      <c r="N29" s="3655"/>
      <c r="O29" s="3657"/>
      <c r="P29" s="3656" t="s">
        <v>1575</v>
      </c>
      <c r="Q29" s="3655"/>
      <c r="R29" s="3655"/>
      <c r="S29" s="3655"/>
      <c r="T29" s="3655"/>
      <c r="U29" s="3657"/>
      <c r="V29" s="3655" t="s">
        <v>1786</v>
      </c>
      <c r="W29" s="3655"/>
      <c r="X29" s="3655"/>
      <c r="Y29" s="3655"/>
      <c r="Z29" s="3655"/>
      <c r="AA29" s="3658"/>
      <c r="AB29" s="1304"/>
      <c r="AC29" s="1304"/>
      <c r="AD29" s="1305"/>
      <c r="AE29" s="1263"/>
      <c r="AF29" s="1263"/>
      <c r="AG29" s="1263"/>
      <c r="AH29" s="1263"/>
      <c r="AI29" s="1263"/>
      <c r="AJ29" s="1263"/>
      <c r="AK29" s="1263"/>
      <c r="AL29" s="1263"/>
      <c r="AM29" s="1263"/>
      <c r="AN29" s="1263"/>
      <c r="AO29" s="1263"/>
      <c r="AP29" s="1263"/>
      <c r="AQ29" s="1263"/>
      <c r="AR29" s="1263"/>
      <c r="AS29" s="1263"/>
      <c r="AT29" s="1263"/>
      <c r="AU29" s="1263"/>
      <c r="AV29" s="1263"/>
      <c r="AW29" s="1263"/>
      <c r="AX29" s="1263"/>
      <c r="AY29" s="1263"/>
      <c r="AZ29" s="1263"/>
      <c r="BA29" s="1263"/>
    </row>
    <row r="30" spans="1:53" s="175" customFormat="1" ht="19.5" customHeight="1" thickBot="1">
      <c r="A30" s="1263"/>
      <c r="B30" s="1273"/>
      <c r="C30" s="1274"/>
      <c r="D30" s="3659" t="s">
        <v>45</v>
      </c>
      <c r="E30" s="3660"/>
      <c r="F30" s="3661"/>
      <c r="G30" s="3660" t="s">
        <v>46</v>
      </c>
      <c r="H30" s="3660"/>
      <c r="I30" s="3660"/>
      <c r="J30" s="3662" t="s">
        <v>45</v>
      </c>
      <c r="K30" s="3660" t="s">
        <v>46</v>
      </c>
      <c r="L30" s="3661"/>
      <c r="M30" s="3660" t="s">
        <v>46</v>
      </c>
      <c r="N30" s="3660"/>
      <c r="O30" s="3663"/>
      <c r="P30" s="3662" t="s">
        <v>45</v>
      </c>
      <c r="Q30" s="3660" t="s">
        <v>46</v>
      </c>
      <c r="R30" s="3661"/>
      <c r="S30" s="3660" t="s">
        <v>46</v>
      </c>
      <c r="T30" s="3660"/>
      <c r="U30" s="3663"/>
      <c r="V30" s="3660" t="s">
        <v>45</v>
      </c>
      <c r="W30" s="3660" t="s">
        <v>46</v>
      </c>
      <c r="X30" s="3661"/>
      <c r="Y30" s="3664" t="s">
        <v>46</v>
      </c>
      <c r="Z30" s="3660"/>
      <c r="AA30" s="3665"/>
      <c r="AB30" s="1263"/>
      <c r="AC30" s="1263"/>
      <c r="AD30" s="1284"/>
      <c r="AE30" s="1263"/>
      <c r="AF30" s="1263"/>
      <c r="AG30" s="1263"/>
      <c r="AH30" s="1263"/>
      <c r="AI30" s="1263"/>
      <c r="AJ30" s="1263"/>
      <c r="AK30" s="1263"/>
      <c r="AL30" s="1263"/>
      <c r="AM30" s="1263"/>
      <c r="AN30" s="1263"/>
      <c r="AO30" s="1263"/>
      <c r="AP30" s="1263"/>
      <c r="AQ30" s="1263"/>
      <c r="AR30" s="1263"/>
      <c r="AS30" s="1263"/>
      <c r="AT30" s="1263"/>
      <c r="AU30" s="1263"/>
      <c r="AV30" s="1263"/>
      <c r="AW30" s="1263"/>
      <c r="AX30" s="1263"/>
      <c r="AY30" s="1263"/>
      <c r="AZ30" s="1263"/>
      <c r="BA30" s="1263"/>
    </row>
    <row r="31" spans="1:53" s="175" customFormat="1" ht="30" customHeight="1" thickTop="1" thickBot="1">
      <c r="A31" s="1263"/>
      <c r="B31" s="1273"/>
      <c r="C31" s="1274"/>
      <c r="D31" s="3647">
        <v>0</v>
      </c>
      <c r="E31" s="3632"/>
      <c r="F31" s="3633"/>
      <c r="G31" s="3634">
        <v>0</v>
      </c>
      <c r="H31" s="3630"/>
      <c r="I31" s="3630"/>
      <c r="J31" s="3653">
        <v>0</v>
      </c>
      <c r="K31" s="3632"/>
      <c r="L31" s="3633"/>
      <c r="M31" s="3630">
        <v>0</v>
      </c>
      <c r="N31" s="3630"/>
      <c r="O31" s="3631"/>
      <c r="P31" s="3653">
        <v>0</v>
      </c>
      <c r="Q31" s="3632"/>
      <c r="R31" s="3633"/>
      <c r="S31" s="3630">
        <v>0</v>
      </c>
      <c r="T31" s="3630"/>
      <c r="U31" s="3631"/>
      <c r="V31" s="3632">
        <v>0</v>
      </c>
      <c r="W31" s="3632"/>
      <c r="X31" s="3633"/>
      <c r="Y31" s="3634">
        <v>0</v>
      </c>
      <c r="Z31" s="3630"/>
      <c r="AA31" s="3635"/>
      <c r="AB31" s="1263"/>
      <c r="AC31" s="1263"/>
      <c r="AD31" s="1284"/>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row>
    <row r="32" spans="1:53" s="175" customFormat="1" ht="5.0999999999999996" customHeight="1" thickTop="1">
      <c r="A32" s="1263"/>
      <c r="B32" s="1273"/>
      <c r="C32" s="1274"/>
      <c r="D32" s="1306"/>
      <c r="E32" s="1306"/>
      <c r="F32" s="1306"/>
      <c r="G32" s="1307"/>
      <c r="H32" s="1307"/>
      <c r="I32" s="1307"/>
      <c r="J32" s="1308"/>
      <c r="K32" s="1308"/>
      <c r="L32" s="1308"/>
      <c r="M32" s="1307"/>
      <c r="N32" s="1307"/>
      <c r="O32" s="1307"/>
      <c r="P32" s="1308"/>
      <c r="Q32" s="1308"/>
      <c r="R32" s="1308"/>
      <c r="S32" s="1307"/>
      <c r="T32" s="1307"/>
      <c r="U32" s="1307"/>
      <c r="V32" s="1308"/>
      <c r="W32" s="1308"/>
      <c r="X32" s="1308"/>
      <c r="Y32" s="1307"/>
      <c r="Z32" s="1307"/>
      <c r="AA32" s="1307"/>
      <c r="AB32" s="1263"/>
      <c r="AC32" s="1263"/>
      <c r="AD32" s="1284"/>
      <c r="AE32" s="1263"/>
      <c r="AF32" s="1263"/>
      <c r="AG32" s="1263"/>
      <c r="AH32" s="1263"/>
      <c r="AI32" s="1263"/>
      <c r="AJ32" s="1263"/>
      <c r="AK32" s="1263"/>
      <c r="AL32" s="1263"/>
      <c r="AM32" s="1263"/>
      <c r="AN32" s="1263"/>
      <c r="AO32" s="1263"/>
      <c r="AP32" s="1263"/>
      <c r="AQ32" s="1263"/>
      <c r="AR32" s="1263"/>
      <c r="AS32" s="1263"/>
      <c r="AT32" s="1263"/>
      <c r="AU32" s="1263"/>
      <c r="AV32" s="1263"/>
      <c r="AW32" s="1263"/>
      <c r="AX32" s="1263"/>
      <c r="AY32" s="1263"/>
      <c r="AZ32" s="1263"/>
      <c r="BA32" s="1263"/>
    </row>
    <row r="33" spans="1:53" s="175" customFormat="1" ht="33.950000000000003" customHeight="1">
      <c r="A33" s="1263"/>
      <c r="B33" s="1273"/>
      <c r="C33" s="1274"/>
      <c r="D33" s="377" t="s">
        <v>268</v>
      </c>
      <c r="E33" s="1306"/>
      <c r="F33" s="1306"/>
      <c r="G33" s="3637" t="s">
        <v>1843</v>
      </c>
      <c r="H33" s="3637"/>
      <c r="I33" s="3637"/>
      <c r="J33" s="3637"/>
      <c r="K33" s="3637"/>
      <c r="L33" s="3637"/>
      <c r="M33" s="3637"/>
      <c r="N33" s="3637"/>
      <c r="O33" s="3637"/>
      <c r="P33" s="3637"/>
      <c r="Q33" s="3637"/>
      <c r="R33" s="3637"/>
      <c r="S33" s="3637"/>
      <c r="T33" s="3637"/>
      <c r="U33" s="3637"/>
      <c r="V33" s="3637"/>
      <c r="W33" s="3637"/>
      <c r="X33" s="3637"/>
      <c r="Y33" s="3637"/>
      <c r="Z33" s="3637"/>
      <c r="AA33" s="3637"/>
      <c r="AB33" s="1263"/>
      <c r="AC33" s="1263"/>
      <c r="AD33" s="1284"/>
      <c r="AE33" s="1263"/>
      <c r="AF33" s="1263"/>
      <c r="AG33" s="1263"/>
      <c r="AH33" s="1263"/>
      <c r="AI33" s="1263"/>
      <c r="AJ33" s="1263"/>
      <c r="AK33" s="1263"/>
      <c r="AL33" s="1263"/>
      <c r="AM33" s="1263"/>
      <c r="AN33" s="1263"/>
      <c r="AO33" s="1263"/>
      <c r="AP33" s="1263"/>
      <c r="AQ33" s="1263"/>
      <c r="AR33" s="1263"/>
      <c r="AS33" s="1263"/>
      <c r="AT33" s="1263"/>
      <c r="AU33" s="1263"/>
      <c r="AV33" s="1263"/>
      <c r="AW33" s="1263"/>
      <c r="AX33" s="1263"/>
      <c r="AY33" s="1263"/>
      <c r="AZ33" s="1263"/>
      <c r="BA33" s="1263"/>
    </row>
    <row r="34" spans="1:53" s="175" customFormat="1" ht="9.9499999999999993" customHeight="1">
      <c r="A34" s="1263"/>
      <c r="B34" s="1273"/>
      <c r="C34" s="1274"/>
      <c r="D34" s="1274"/>
      <c r="E34" s="707"/>
      <c r="F34" s="1263"/>
      <c r="G34" s="1263"/>
      <c r="H34" s="1263"/>
      <c r="I34" s="1263"/>
      <c r="J34" s="1263"/>
      <c r="K34" s="1263"/>
      <c r="L34" s="1263"/>
      <c r="M34" s="1263"/>
      <c r="N34" s="1263"/>
      <c r="O34" s="1263"/>
      <c r="P34" s="1263"/>
      <c r="Q34" s="1263"/>
      <c r="R34" s="1263"/>
      <c r="S34" s="1263"/>
      <c r="T34" s="1263"/>
      <c r="U34" s="1263"/>
      <c r="V34" s="1263"/>
      <c r="W34" s="1263"/>
      <c r="X34" s="1263"/>
      <c r="Y34" s="1263"/>
      <c r="Z34" s="1263"/>
      <c r="AA34" s="1263"/>
      <c r="AB34" s="1263"/>
      <c r="AC34" s="1263"/>
      <c r="AD34" s="1284"/>
      <c r="AE34" s="1263"/>
      <c r="AF34" s="1263"/>
      <c r="AG34" s="1263"/>
      <c r="AH34" s="1263"/>
      <c r="AI34" s="1263"/>
      <c r="AJ34" s="1263"/>
      <c r="AK34" s="1263"/>
      <c r="AL34" s="1263"/>
      <c r="AM34" s="1263"/>
      <c r="AN34" s="1263"/>
      <c r="AO34" s="1263"/>
      <c r="AP34" s="1263"/>
      <c r="AQ34" s="1263"/>
      <c r="AR34" s="1263"/>
      <c r="AS34" s="1263"/>
      <c r="AT34" s="1263"/>
      <c r="AU34" s="1263"/>
      <c r="AV34" s="1263"/>
      <c r="AW34" s="1263"/>
      <c r="AX34" s="1263"/>
      <c r="AY34" s="1263"/>
      <c r="AZ34" s="1263"/>
      <c r="BA34" s="1263"/>
    </row>
    <row r="35" spans="1:53" ht="32.1" customHeight="1" thickBot="1">
      <c r="A35" s="1262"/>
      <c r="B35" s="1269"/>
      <c r="C35" s="1301" t="s">
        <v>49</v>
      </c>
      <c r="D35" s="3638" t="s">
        <v>1844</v>
      </c>
      <c r="E35" s="3638"/>
      <c r="F35" s="3638"/>
      <c r="G35" s="3638"/>
      <c r="H35" s="3638"/>
      <c r="I35" s="3638"/>
      <c r="J35" s="3638"/>
      <c r="K35" s="3638"/>
      <c r="L35" s="3638"/>
      <c r="M35" s="3638"/>
      <c r="N35" s="3638"/>
      <c r="O35" s="3638"/>
      <c r="P35" s="3638"/>
      <c r="Q35" s="3638"/>
      <c r="R35" s="3638"/>
      <c r="S35" s="3638"/>
      <c r="T35" s="3638"/>
      <c r="U35" s="3638"/>
      <c r="V35" s="3638"/>
      <c r="W35" s="3638"/>
      <c r="X35" s="3638"/>
      <c r="Y35" s="3638"/>
      <c r="Z35" s="3638"/>
      <c r="AA35" s="3638"/>
      <c r="AB35" s="3638"/>
      <c r="AC35" s="1271"/>
      <c r="AD35" s="1272"/>
      <c r="AE35" s="1262"/>
      <c r="AF35" s="1262"/>
      <c r="AG35" s="1262"/>
      <c r="AH35" s="1262"/>
      <c r="AI35" s="1262"/>
      <c r="AJ35" s="1262"/>
      <c r="AK35" s="1262"/>
      <c r="AL35" s="1262"/>
      <c r="AM35" s="1262"/>
      <c r="AN35" s="1262"/>
      <c r="AO35" s="1262"/>
      <c r="AP35" s="1262"/>
      <c r="AQ35" s="1262"/>
      <c r="AR35" s="1262"/>
      <c r="AS35" s="1262"/>
      <c r="AT35" s="1262"/>
      <c r="AU35" s="1262"/>
    </row>
    <row r="36" spans="1:53" s="175" customFormat="1" ht="33.6" customHeight="1" thickTop="1" thickBot="1">
      <c r="A36" s="1263"/>
      <c r="B36" s="1273"/>
      <c r="C36" s="1274"/>
      <c r="D36" s="3639" t="s">
        <v>910</v>
      </c>
      <c r="E36" s="3640"/>
      <c r="F36" s="3640"/>
      <c r="G36" s="3640"/>
      <c r="H36" s="3640"/>
      <c r="I36" s="3641" t="s">
        <v>978</v>
      </c>
      <c r="J36" s="3642"/>
      <c r="K36" s="3642"/>
      <c r="L36" s="3642"/>
      <c r="M36" s="3643"/>
      <c r="N36" s="3644" t="s">
        <v>726</v>
      </c>
      <c r="O36" s="3642"/>
      <c r="P36" s="3642"/>
      <c r="Q36" s="3642"/>
      <c r="R36" s="3645"/>
      <c r="S36" s="3641" t="s">
        <v>1423</v>
      </c>
      <c r="T36" s="3642"/>
      <c r="U36" s="3642"/>
      <c r="V36" s="3642"/>
      <c r="W36" s="3643"/>
      <c r="X36" s="3640" t="s">
        <v>1424</v>
      </c>
      <c r="Y36" s="3640"/>
      <c r="Z36" s="3640"/>
      <c r="AA36" s="3640"/>
      <c r="AB36" s="3646"/>
      <c r="AC36" s="1263"/>
      <c r="AD36" s="1284"/>
      <c r="AE36" s="1263"/>
      <c r="AF36" s="1263"/>
      <c r="AG36" s="1263"/>
      <c r="AH36" s="1263"/>
      <c r="AI36" s="1263"/>
      <c r="AJ36" s="1263"/>
      <c r="AK36" s="1263"/>
      <c r="AL36" s="1263"/>
      <c r="AM36" s="1263"/>
      <c r="AN36" s="1263"/>
      <c r="AO36" s="1263"/>
      <c r="AP36" s="1263"/>
      <c r="AQ36" s="1263"/>
      <c r="AR36" s="1263"/>
      <c r="AS36" s="1263"/>
      <c r="AT36" s="1263"/>
      <c r="AU36" s="1263"/>
      <c r="AV36" s="1263"/>
      <c r="AW36" s="1263"/>
      <c r="AX36" s="1263"/>
      <c r="AY36" s="1263"/>
      <c r="AZ36" s="1263"/>
      <c r="BA36" s="1263"/>
    </row>
    <row r="37" spans="1:53" s="175" customFormat="1" ht="30" customHeight="1" thickTop="1" thickBot="1">
      <c r="A37" s="1263"/>
      <c r="B37" s="1273"/>
      <c r="C37" s="1274"/>
      <c r="D37" s="3647">
        <v>0</v>
      </c>
      <c r="E37" s="3632"/>
      <c r="F37" s="3632"/>
      <c r="G37" s="3632"/>
      <c r="H37" s="3632"/>
      <c r="I37" s="3648">
        <v>0</v>
      </c>
      <c r="J37" s="3649"/>
      <c r="K37" s="3649"/>
      <c r="L37" s="3649"/>
      <c r="M37" s="3650"/>
      <c r="N37" s="3633">
        <v>0</v>
      </c>
      <c r="O37" s="3649"/>
      <c r="P37" s="3649"/>
      <c r="Q37" s="3649"/>
      <c r="R37" s="3651"/>
      <c r="S37" s="3648">
        <v>0</v>
      </c>
      <c r="T37" s="3649"/>
      <c r="U37" s="3649"/>
      <c r="V37" s="3649"/>
      <c r="W37" s="3650"/>
      <c r="X37" s="3632">
        <v>0</v>
      </c>
      <c r="Y37" s="3632"/>
      <c r="Z37" s="3632"/>
      <c r="AA37" s="3632"/>
      <c r="AB37" s="3652"/>
      <c r="AC37" s="1263"/>
      <c r="AD37" s="1284"/>
      <c r="AE37" s="1263"/>
      <c r="AF37" s="1263"/>
      <c r="AG37" s="1263"/>
      <c r="AH37" s="1263"/>
      <c r="AI37" s="1263"/>
      <c r="AJ37" s="1263"/>
      <c r="AK37" s="1263"/>
      <c r="AL37" s="1263"/>
      <c r="AM37" s="1263"/>
      <c r="AN37" s="1263"/>
      <c r="AO37" s="1263"/>
      <c r="AP37" s="1263"/>
      <c r="AQ37" s="1263"/>
      <c r="AR37" s="1263"/>
      <c r="AS37" s="1263"/>
      <c r="AT37" s="1263"/>
      <c r="AU37" s="1263"/>
      <c r="AV37" s="1263"/>
      <c r="AW37" s="1263"/>
      <c r="AX37" s="1263"/>
      <c r="AY37" s="1263"/>
      <c r="AZ37" s="1263"/>
      <c r="BA37" s="1263"/>
    </row>
    <row r="38" spans="1:53" ht="9.9499999999999993" customHeight="1" thickTop="1" thickBot="1">
      <c r="A38" s="1262"/>
      <c r="B38" s="1310"/>
      <c r="C38" s="1311"/>
      <c r="D38" s="1297"/>
      <c r="E38" s="1312"/>
      <c r="F38" s="1312"/>
      <c r="G38" s="1312"/>
      <c r="H38" s="1312"/>
      <c r="I38" s="1312"/>
      <c r="J38" s="1312"/>
      <c r="K38" s="1313"/>
      <c r="L38" s="1313"/>
      <c r="M38" s="1313"/>
      <c r="N38" s="1313"/>
      <c r="O38" s="1313"/>
      <c r="P38" s="1313"/>
      <c r="Q38" s="1313"/>
      <c r="R38" s="1313"/>
      <c r="S38" s="1313"/>
      <c r="T38" s="1313"/>
      <c r="U38" s="1313"/>
      <c r="V38" s="1313"/>
      <c r="W38" s="1313"/>
      <c r="X38" s="1313"/>
      <c r="Y38" s="1313"/>
      <c r="Z38" s="1313"/>
      <c r="AA38" s="1313"/>
      <c r="AB38" s="1313"/>
      <c r="AC38" s="1313"/>
      <c r="AD38" s="1314"/>
      <c r="AE38" s="1262"/>
      <c r="AF38" s="1262"/>
      <c r="AG38" s="1262"/>
      <c r="AH38" s="1262"/>
      <c r="AI38" s="1262"/>
      <c r="AJ38" s="1262"/>
      <c r="AK38" s="1262"/>
      <c r="AL38" s="1262"/>
      <c r="AM38" s="1262"/>
      <c r="AN38" s="1262"/>
      <c r="AO38" s="1262"/>
      <c r="AP38" s="1262"/>
      <c r="AQ38" s="1262"/>
      <c r="AR38" s="1262"/>
      <c r="AS38" s="1262"/>
      <c r="AT38" s="1262"/>
      <c r="AU38" s="1262"/>
    </row>
    <row r="39" spans="1:53" s="164" customFormat="1" ht="5.0999999999999996" customHeight="1" thickTop="1">
      <c r="A39" s="260"/>
      <c r="B39" s="750"/>
      <c r="C39" s="260"/>
      <c r="D39" s="260"/>
      <c r="E39" s="260"/>
      <c r="F39" s="260"/>
      <c r="G39" s="260"/>
      <c r="H39" s="609"/>
      <c r="I39" s="609"/>
      <c r="J39" s="609"/>
      <c r="K39" s="609"/>
      <c r="L39" s="260"/>
      <c r="M39" s="260"/>
      <c r="N39" s="260"/>
      <c r="O39" s="609"/>
      <c r="P39" s="609"/>
      <c r="Q39" s="609"/>
      <c r="R39" s="609"/>
      <c r="S39" s="609"/>
      <c r="T39" s="609"/>
      <c r="U39" s="609"/>
      <c r="V39" s="260"/>
      <c r="W39" s="260"/>
      <c r="X39" s="609"/>
      <c r="Y39" s="609"/>
      <c r="Z39" s="609"/>
      <c r="AA39" s="609"/>
      <c r="AB39" s="609"/>
      <c r="AC39" s="609"/>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row>
    <row r="40" spans="1:53" s="8" customFormat="1">
      <c r="A40" s="429"/>
      <c r="B40" s="3636" t="s">
        <v>1845</v>
      </c>
      <c r="C40" s="3636"/>
      <c r="D40" s="3636"/>
      <c r="E40" s="3636"/>
      <c r="F40" s="3636"/>
      <c r="G40" s="3636"/>
      <c r="H40" s="3636"/>
      <c r="I40" s="3636"/>
      <c r="J40" s="3636"/>
      <c r="K40" s="3636"/>
      <c r="L40" s="3636"/>
      <c r="M40" s="3636"/>
      <c r="N40" s="3636"/>
      <c r="O40" s="3636"/>
      <c r="P40" s="3636"/>
      <c r="Q40" s="3636"/>
      <c r="R40" s="3636"/>
      <c r="S40" s="3636"/>
      <c r="T40" s="3636"/>
      <c r="U40" s="3636"/>
      <c r="V40" s="3636"/>
      <c r="W40" s="3636"/>
      <c r="X40" s="3636"/>
      <c r="Y40" s="3636"/>
      <c r="Z40" s="3636"/>
      <c r="AA40" s="3636"/>
      <c r="AB40" s="3636"/>
      <c r="AC40" s="3636"/>
      <c r="AD40" s="3636"/>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29"/>
    </row>
    <row r="41" spans="1:53" s="44" customFormat="1" ht="30.75" customHeight="1">
      <c r="A41" s="434"/>
      <c r="B41" s="434"/>
      <c r="C41" s="434"/>
      <c r="D41" s="434"/>
      <c r="E41" s="434"/>
      <c r="F41" s="434"/>
      <c r="G41" s="434"/>
      <c r="H41" s="434"/>
      <c r="I41" s="434"/>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row>
    <row r="42" spans="1:53" s="37" customFormat="1" ht="15">
      <c r="A42" s="263"/>
      <c r="B42" s="332" t="s">
        <v>32</v>
      </c>
      <c r="C42" s="263"/>
      <c r="D42" s="263"/>
      <c r="E42" s="263"/>
      <c r="F42" s="263"/>
      <c r="G42" s="263"/>
      <c r="H42" s="263"/>
      <c r="I42" s="263"/>
      <c r="J42" s="263"/>
      <c r="K42" s="263"/>
      <c r="L42" s="263"/>
      <c r="M42" s="263"/>
      <c r="N42" s="263"/>
      <c r="O42" s="263"/>
      <c r="P42" s="263"/>
      <c r="Q42" s="263"/>
      <c r="R42" s="332" t="s">
        <v>856</v>
      </c>
      <c r="S42" s="263"/>
      <c r="T42" s="263"/>
      <c r="U42" s="263"/>
      <c r="V42" s="263"/>
      <c r="W42" s="263"/>
      <c r="X42" s="263"/>
      <c r="Y42" s="263"/>
      <c r="Z42" s="263"/>
      <c r="AA42" s="263"/>
      <c r="AB42" s="263"/>
      <c r="AC42" s="263"/>
      <c r="AD42" s="263"/>
      <c r="AE42" s="263"/>
      <c r="AF42" s="263"/>
      <c r="AG42" s="263"/>
      <c r="AH42" s="263"/>
      <c r="AI42" s="263"/>
      <c r="AJ42" s="263"/>
      <c r="AK42" s="263"/>
      <c r="AL42" s="263"/>
      <c r="AM42" s="263"/>
      <c r="AN42" s="263"/>
      <c r="AO42" s="263"/>
      <c r="AP42" s="263"/>
      <c r="AQ42" s="263"/>
      <c r="AR42" s="263"/>
      <c r="AS42" s="263"/>
      <c r="AT42" s="263"/>
      <c r="AU42" s="263"/>
      <c r="AV42" s="263"/>
      <c r="AW42" s="263"/>
      <c r="AX42" s="263"/>
      <c r="AY42" s="263"/>
      <c r="AZ42" s="263"/>
      <c r="BA42" s="263"/>
    </row>
    <row r="43" spans="1:53" s="37" customFormat="1" ht="21.75" customHeight="1">
      <c r="A43" s="263"/>
      <c r="B43" s="332" t="s">
        <v>75</v>
      </c>
      <c r="C43" s="263"/>
      <c r="D43" s="263"/>
      <c r="E43" s="263"/>
      <c r="F43" s="2790" t="str">
        <f>activesheet!E21</f>
        <v>MELCHESIEDICK Q. BOLANIO / March 17, 2023</v>
      </c>
      <c r="G43" s="2790"/>
      <c r="H43" s="2790"/>
      <c r="I43" s="2790"/>
      <c r="J43" s="2790"/>
      <c r="K43" s="2790"/>
      <c r="L43" s="2790"/>
      <c r="M43" s="2790"/>
      <c r="N43" s="2790"/>
      <c r="O43" s="823"/>
      <c r="P43" s="823"/>
      <c r="Q43" s="823"/>
      <c r="R43" s="2790" t="str">
        <f>activesheet!E3344</f>
        <v>ELYN KENDRA D. DELA CRUZ / March 17, 2023</v>
      </c>
      <c r="S43" s="2790"/>
      <c r="T43" s="2790"/>
      <c r="U43" s="2790"/>
      <c r="V43" s="2790"/>
      <c r="W43" s="2790"/>
      <c r="X43" s="2790"/>
      <c r="Y43" s="2790"/>
      <c r="Z43" s="2790"/>
      <c r="AA43" s="2790"/>
      <c r="AB43" s="2790"/>
      <c r="AC43" s="2790"/>
      <c r="AD43" s="2790"/>
      <c r="AE43" s="263"/>
      <c r="AF43" s="263"/>
      <c r="AG43" s="263"/>
      <c r="AH43" s="263"/>
      <c r="AI43" s="263"/>
      <c r="AJ43" s="263"/>
      <c r="AK43" s="263"/>
      <c r="AL43" s="263"/>
      <c r="AM43" s="263"/>
      <c r="AN43" s="263"/>
      <c r="AO43" s="263"/>
      <c r="AP43" s="263"/>
      <c r="AQ43" s="263"/>
      <c r="AR43" s="263"/>
      <c r="AS43" s="263"/>
      <c r="AT43" s="263"/>
      <c r="AU43" s="263"/>
      <c r="AV43" s="263"/>
      <c r="AW43" s="263"/>
      <c r="AX43" s="263"/>
      <c r="AY43" s="263"/>
      <c r="AZ43" s="263"/>
      <c r="BA43" s="263"/>
    </row>
    <row r="44" spans="1:53" s="39" customFormat="1" ht="14.1" customHeight="1">
      <c r="A44" s="280"/>
      <c r="B44" s="228"/>
      <c r="C44" s="280"/>
      <c r="D44" s="280"/>
      <c r="E44" s="280"/>
      <c r="F44" s="1807" t="s">
        <v>37</v>
      </c>
      <c r="G44" s="1807"/>
      <c r="H44" s="1807"/>
      <c r="I44" s="1807"/>
      <c r="J44" s="1807"/>
      <c r="K44" s="1807"/>
      <c r="L44" s="1807"/>
      <c r="M44" s="1807"/>
      <c r="N44" s="1807"/>
      <c r="O44" s="321"/>
      <c r="P44" s="321"/>
      <c r="Q44" s="321"/>
      <c r="R44" s="1807" t="s">
        <v>37</v>
      </c>
      <c r="S44" s="1807"/>
      <c r="T44" s="1807"/>
      <c r="U44" s="1807"/>
      <c r="V44" s="1807"/>
      <c r="W44" s="1807"/>
      <c r="X44" s="1807"/>
      <c r="Y44" s="1807"/>
      <c r="Z44" s="1807"/>
      <c r="AA44" s="1807"/>
      <c r="AB44" s="1807"/>
      <c r="AC44" s="1807"/>
      <c r="AD44" s="1807"/>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row>
    <row r="45" spans="1:53" s="37" customFormat="1" ht="21.75" customHeight="1">
      <c r="A45" s="263"/>
      <c r="B45" s="332" t="s">
        <v>58</v>
      </c>
      <c r="C45" s="263"/>
      <c r="D45" s="263"/>
      <c r="E45" s="263"/>
      <c r="F45" s="2790" t="str">
        <f>activesheet!E22</f>
        <v>SECONDARY SCHOOL PRINCIPAL IV</v>
      </c>
      <c r="G45" s="2790"/>
      <c r="H45" s="2790"/>
      <c r="I45" s="2790"/>
      <c r="J45" s="2790"/>
      <c r="K45" s="2790"/>
      <c r="L45" s="2790"/>
      <c r="M45" s="2790"/>
      <c r="N45" s="2790"/>
      <c r="O45" s="823"/>
      <c r="P45" s="823"/>
      <c r="Q45" s="823"/>
      <c r="R45" s="332" t="s">
        <v>58</v>
      </c>
      <c r="S45" s="263"/>
      <c r="T45" s="263"/>
      <c r="U45" s="263"/>
      <c r="V45" s="2790" t="str">
        <f>activesheet!E3345</f>
        <v>PROJECT DEVELOPMENT OFFICER II</v>
      </c>
      <c r="W45" s="2790"/>
      <c r="X45" s="2790"/>
      <c r="Y45" s="2790"/>
      <c r="Z45" s="2790"/>
      <c r="AA45" s="2790"/>
      <c r="AB45" s="2790"/>
      <c r="AC45" s="2790"/>
      <c r="AD45" s="2790"/>
      <c r="AE45" s="263"/>
      <c r="AF45" s="263"/>
      <c r="AG45" s="263"/>
      <c r="AH45" s="263"/>
      <c r="AI45" s="263"/>
      <c r="AJ45" s="263"/>
      <c r="AK45" s="263"/>
      <c r="AL45" s="263"/>
      <c r="AM45" s="263"/>
      <c r="AN45" s="263"/>
      <c r="AO45" s="263"/>
      <c r="AP45" s="263"/>
      <c r="AQ45" s="263"/>
      <c r="AR45" s="263"/>
      <c r="AS45" s="263"/>
      <c r="AT45" s="263"/>
      <c r="AU45" s="263"/>
      <c r="AV45" s="263"/>
      <c r="AW45" s="263"/>
      <c r="AX45" s="263"/>
      <c r="AY45" s="263"/>
      <c r="AZ45" s="263"/>
      <c r="BA45" s="263"/>
    </row>
    <row r="46" spans="1:53" s="44" customFormat="1" ht="30.75" customHeight="1">
      <c r="A46" s="434"/>
      <c r="B46" s="434"/>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4"/>
      <c r="AU46" s="434"/>
      <c r="AV46" s="434"/>
      <c r="AW46" s="434"/>
      <c r="AX46" s="434"/>
      <c r="AY46" s="434"/>
      <c r="AZ46" s="434"/>
      <c r="BA46" s="434"/>
    </row>
    <row r="47" spans="1:53" s="37" customFormat="1" ht="15">
      <c r="A47" s="263"/>
      <c r="B47" s="263"/>
      <c r="C47" s="263"/>
      <c r="D47" s="263"/>
      <c r="E47" s="263"/>
      <c r="F47" s="263"/>
      <c r="G47" s="263"/>
      <c r="H47" s="263"/>
      <c r="I47" s="263"/>
      <c r="J47" s="332" t="s">
        <v>33</v>
      </c>
      <c r="K47" s="263"/>
      <c r="L47" s="263"/>
      <c r="M47" s="263"/>
      <c r="N47" s="263"/>
      <c r="O47" s="263"/>
      <c r="P47" s="263"/>
      <c r="Q47" s="263"/>
      <c r="R47" s="263"/>
      <c r="S47" s="263"/>
      <c r="T47" s="263"/>
      <c r="U47" s="263"/>
      <c r="V47" s="263"/>
      <c r="W47" s="263"/>
      <c r="X47" s="263"/>
      <c r="Y47" s="263"/>
      <c r="Z47" s="263"/>
      <c r="AA47" s="263"/>
      <c r="AB47" s="263"/>
      <c r="AC47" s="263"/>
      <c r="AD47" s="263"/>
      <c r="AE47" s="263"/>
      <c r="AF47" s="263"/>
      <c r="AG47" s="263"/>
      <c r="AH47" s="263"/>
      <c r="AI47" s="263"/>
      <c r="AJ47" s="263"/>
      <c r="AK47" s="263"/>
      <c r="AL47" s="263"/>
      <c r="AM47" s="263"/>
      <c r="AN47" s="263"/>
      <c r="AO47" s="263"/>
      <c r="AP47" s="263"/>
      <c r="AQ47" s="263"/>
      <c r="AR47" s="263"/>
      <c r="AS47" s="263"/>
      <c r="AT47" s="263"/>
      <c r="AU47" s="263"/>
      <c r="AV47" s="263"/>
      <c r="AW47" s="263"/>
      <c r="AX47" s="263"/>
      <c r="AY47" s="263"/>
      <c r="AZ47" s="263"/>
      <c r="BA47" s="263"/>
    </row>
    <row r="48" spans="1:53" s="37" customFormat="1" ht="21.75" customHeight="1">
      <c r="A48" s="263"/>
      <c r="B48" s="263"/>
      <c r="C48" s="263"/>
      <c r="D48" s="263"/>
      <c r="E48" s="263"/>
      <c r="F48" s="263"/>
      <c r="G48" s="263"/>
      <c r="H48" s="263"/>
      <c r="I48" s="263"/>
      <c r="J48" s="3440" t="str">
        <f>activesheet!E25</f>
        <v>MICHAEL T. JAMIS / March 17, 2023</v>
      </c>
      <c r="K48" s="3440"/>
      <c r="L48" s="3440"/>
      <c r="M48" s="3440"/>
      <c r="N48" s="3440"/>
      <c r="O48" s="3440"/>
      <c r="P48" s="3440"/>
      <c r="Q48" s="3440"/>
      <c r="R48" s="3440"/>
      <c r="S48" s="3440"/>
      <c r="T48" s="3440"/>
      <c r="U48" s="3440"/>
      <c r="V48" s="3440"/>
      <c r="W48" s="263"/>
      <c r="X48" s="263"/>
      <c r="Y48" s="263"/>
      <c r="Z48" s="263"/>
      <c r="AA48" s="263"/>
      <c r="AB48" s="263"/>
      <c r="AC48" s="263"/>
      <c r="AD48" s="263"/>
      <c r="AE48" s="263"/>
      <c r="AF48" s="263"/>
      <c r="AG48" s="263"/>
      <c r="AH48" s="263"/>
      <c r="AI48" s="263"/>
      <c r="AJ48" s="263"/>
      <c r="AK48" s="263"/>
      <c r="AL48" s="263"/>
      <c r="AM48" s="263"/>
      <c r="AN48" s="263"/>
      <c r="AO48" s="263"/>
      <c r="AP48" s="263"/>
      <c r="AQ48" s="263"/>
      <c r="AR48" s="263"/>
      <c r="AS48" s="263"/>
      <c r="AT48" s="263"/>
      <c r="AU48" s="263"/>
      <c r="AV48" s="263"/>
      <c r="AW48" s="263"/>
      <c r="AX48" s="263"/>
      <c r="AY48" s="263"/>
      <c r="AZ48" s="263"/>
      <c r="BA48" s="263"/>
    </row>
    <row r="49" spans="1:53" s="39" customFormat="1" ht="14.1" customHeight="1">
      <c r="A49" s="280"/>
      <c r="B49" s="280"/>
      <c r="C49" s="280"/>
      <c r="D49" s="280"/>
      <c r="E49" s="280"/>
      <c r="F49" s="280"/>
      <c r="G49" s="280"/>
      <c r="H49" s="280"/>
      <c r="I49" s="280"/>
      <c r="J49" s="3441"/>
      <c r="K49" s="3441"/>
      <c r="L49" s="3441"/>
      <c r="M49" s="3441"/>
      <c r="N49" s="3441"/>
      <c r="O49" s="3441"/>
      <c r="P49" s="3441"/>
      <c r="Q49" s="3441"/>
      <c r="R49" s="3441"/>
      <c r="S49" s="3441"/>
      <c r="T49" s="3441"/>
      <c r="U49" s="3441"/>
      <c r="V49" s="3441"/>
      <c r="W49" s="280"/>
      <c r="X49" s="280"/>
      <c r="Y49" s="280"/>
      <c r="Z49" s="280"/>
      <c r="AA49" s="280"/>
      <c r="AB49" s="280"/>
      <c r="AC49" s="280"/>
      <c r="AD49" s="280"/>
      <c r="AE49" s="280"/>
      <c r="AF49" s="280"/>
      <c r="AG49" s="280"/>
      <c r="AH49" s="280"/>
      <c r="AI49" s="280"/>
      <c r="AJ49" s="280"/>
      <c r="AK49" s="280"/>
      <c r="AL49" s="280"/>
      <c r="AM49" s="280"/>
      <c r="AN49" s="280"/>
      <c r="AO49" s="280"/>
      <c r="AP49" s="280"/>
      <c r="AQ49" s="280"/>
      <c r="AR49" s="280"/>
      <c r="AS49" s="280"/>
      <c r="AT49" s="280"/>
      <c r="AU49" s="280"/>
      <c r="AV49" s="280"/>
      <c r="AW49" s="280"/>
      <c r="AX49" s="280"/>
      <c r="AY49" s="280"/>
      <c r="AZ49" s="280"/>
      <c r="BA49" s="280"/>
    </row>
    <row r="50" spans="1:53" s="37" customFormat="1" ht="21.75" customHeight="1">
      <c r="A50" s="263"/>
      <c r="B50" s="263"/>
      <c r="C50" s="263"/>
      <c r="D50" s="263"/>
      <c r="E50" s="263"/>
      <c r="F50" s="263"/>
      <c r="G50" s="263"/>
      <c r="H50" s="263"/>
      <c r="I50" s="263"/>
      <c r="J50" s="1807" t="s">
        <v>37</v>
      </c>
      <c r="K50" s="1807"/>
      <c r="L50" s="1807"/>
      <c r="M50" s="1807"/>
      <c r="N50" s="1807"/>
      <c r="O50" s="1807"/>
      <c r="P50" s="1807"/>
      <c r="Q50" s="1807"/>
      <c r="R50" s="1807"/>
      <c r="S50" s="1807"/>
      <c r="T50" s="1807"/>
      <c r="U50" s="1807"/>
      <c r="V50" s="1807"/>
      <c r="W50" s="263"/>
      <c r="X50" s="263"/>
      <c r="Y50" s="263"/>
      <c r="Z50" s="263"/>
      <c r="AA50" s="263"/>
      <c r="AB50" s="263"/>
      <c r="AC50" s="263"/>
      <c r="AD50" s="263"/>
      <c r="AE50" s="263"/>
      <c r="AF50" s="263"/>
      <c r="AG50" s="263"/>
      <c r="AH50" s="263"/>
      <c r="AI50" s="263"/>
      <c r="AJ50" s="263"/>
      <c r="AK50" s="263"/>
      <c r="AL50" s="263"/>
      <c r="AM50" s="263"/>
      <c r="AN50" s="263"/>
      <c r="AO50" s="263"/>
      <c r="AP50" s="263"/>
      <c r="AQ50" s="263"/>
      <c r="AR50" s="263"/>
      <c r="AS50" s="263"/>
      <c r="AT50" s="263"/>
      <c r="AU50" s="263"/>
      <c r="AV50" s="263"/>
      <c r="AW50" s="263"/>
      <c r="AX50" s="263"/>
      <c r="AY50" s="263"/>
      <c r="AZ50" s="263"/>
      <c r="BA50" s="263"/>
    </row>
    <row r="51" spans="1:53">
      <c r="A51" s="1262"/>
      <c r="B51" s="1262"/>
      <c r="C51" s="1262"/>
      <c r="D51" s="1262"/>
      <c r="E51" s="1262"/>
      <c r="F51" s="1262"/>
      <c r="G51" s="1262"/>
      <c r="H51" s="1262"/>
      <c r="I51" s="1263"/>
      <c r="J51" s="1263"/>
      <c r="K51" s="1262"/>
      <c r="L51" s="1262"/>
      <c r="M51" s="1262"/>
      <c r="N51" s="1262"/>
      <c r="O51" s="1262"/>
      <c r="P51" s="1262"/>
      <c r="Q51" s="1262"/>
      <c r="R51" s="1262"/>
      <c r="S51" s="1262"/>
      <c r="T51" s="1262"/>
      <c r="U51" s="1262"/>
      <c r="V51" s="1263"/>
      <c r="W51" s="1263"/>
      <c r="X51" s="1262"/>
      <c r="Y51" s="1262"/>
      <c r="Z51" s="1262"/>
      <c r="AA51" s="1262"/>
      <c r="AB51" s="1262"/>
      <c r="AC51" s="1262"/>
      <c r="AD51" s="1262"/>
      <c r="AE51" s="1262"/>
      <c r="AF51" s="1262"/>
      <c r="AG51" s="1262"/>
      <c r="AH51" s="1262"/>
      <c r="AI51" s="1262"/>
      <c r="AJ51" s="1262"/>
      <c r="AK51" s="1262"/>
      <c r="AL51" s="1262"/>
      <c r="AM51" s="1262"/>
      <c r="AN51" s="1262"/>
      <c r="AO51" s="1262"/>
      <c r="AP51" s="1262"/>
      <c r="AQ51" s="1262"/>
      <c r="AR51" s="1262"/>
      <c r="AS51" s="1262"/>
      <c r="AT51" s="1262"/>
      <c r="AU51" s="1262"/>
    </row>
    <row r="52" spans="1:53">
      <c r="A52" s="1262"/>
      <c r="B52" s="1263"/>
      <c r="C52" s="1263"/>
      <c r="D52" s="1263"/>
      <c r="E52" s="1263"/>
      <c r="F52" s="1263"/>
      <c r="G52" s="1263"/>
      <c r="H52" s="1263"/>
      <c r="I52" s="1263"/>
      <c r="J52" s="1263"/>
      <c r="K52" s="1263"/>
      <c r="L52" s="1263"/>
      <c r="M52" s="1263"/>
      <c r="N52" s="1263"/>
      <c r="O52" s="1263"/>
      <c r="P52" s="1263"/>
      <c r="Q52" s="1263"/>
      <c r="R52" s="1263"/>
      <c r="S52" s="1263"/>
      <c r="T52" s="1263"/>
      <c r="U52" s="1263"/>
      <c r="V52" s="1263"/>
      <c r="W52" s="1263"/>
      <c r="X52" s="1263"/>
      <c r="Y52" s="1263"/>
      <c r="Z52" s="1263"/>
      <c r="AA52" s="1263"/>
      <c r="AB52" s="1263"/>
      <c r="AC52" s="1263"/>
      <c r="AD52" s="1263"/>
      <c r="AE52" s="1262"/>
      <c r="AF52" s="1262"/>
      <c r="AG52" s="1262"/>
      <c r="AH52" s="1262"/>
      <c r="AI52" s="1262"/>
      <c r="AJ52" s="1262"/>
      <c r="AK52" s="1262"/>
      <c r="AL52" s="1262"/>
      <c r="AM52" s="1262"/>
      <c r="AN52" s="1262"/>
      <c r="AO52" s="1262"/>
      <c r="AP52" s="1262"/>
      <c r="AQ52" s="1262"/>
      <c r="AR52" s="1262"/>
      <c r="AS52" s="1262"/>
      <c r="AT52" s="1262"/>
      <c r="AU52" s="1262"/>
    </row>
    <row r="53" spans="1:53">
      <c r="A53" s="1262"/>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2"/>
      <c r="AF53" s="1262"/>
      <c r="AG53" s="1262"/>
      <c r="AH53" s="1262"/>
      <c r="AI53" s="1262"/>
      <c r="AJ53" s="1262"/>
      <c r="AK53" s="1262"/>
      <c r="AL53" s="1262"/>
      <c r="AM53" s="1262"/>
      <c r="AN53" s="1262"/>
      <c r="AO53" s="1262"/>
      <c r="AP53" s="1262"/>
      <c r="AQ53" s="1262"/>
      <c r="AR53" s="1262"/>
      <c r="AS53" s="1262"/>
      <c r="AT53" s="1262"/>
      <c r="AU53" s="1262"/>
    </row>
    <row r="54" spans="1:53">
      <c r="A54" s="1262"/>
      <c r="B54" s="1263"/>
      <c r="C54" s="1263"/>
      <c r="D54" s="1263"/>
      <c r="E54" s="1263"/>
      <c r="F54" s="1263"/>
      <c r="G54" s="1263"/>
      <c r="H54" s="1263"/>
      <c r="I54" s="1263"/>
      <c r="J54" s="1263"/>
      <c r="K54" s="1263"/>
      <c r="L54" s="1263"/>
      <c r="M54" s="1263"/>
      <c r="N54" s="1263"/>
      <c r="O54" s="1263"/>
      <c r="P54" s="1263"/>
      <c r="Q54" s="1263"/>
      <c r="R54" s="1263"/>
      <c r="S54" s="1263"/>
      <c r="T54" s="1263"/>
      <c r="U54" s="1263"/>
      <c r="V54" s="1263"/>
      <c r="W54" s="1263"/>
      <c r="X54" s="1263"/>
      <c r="Y54" s="1263"/>
      <c r="Z54" s="1263"/>
      <c r="AA54" s="1263"/>
      <c r="AB54" s="1263"/>
      <c r="AC54" s="1263"/>
      <c r="AD54" s="1263"/>
      <c r="AE54" s="1262"/>
      <c r="AF54" s="1262"/>
      <c r="AG54" s="1262"/>
      <c r="AH54" s="1262"/>
      <c r="AI54" s="1262"/>
      <c r="AJ54" s="1262"/>
      <c r="AK54" s="1262"/>
      <c r="AL54" s="1262"/>
      <c r="AM54" s="1262"/>
      <c r="AN54" s="1262"/>
      <c r="AO54" s="1262"/>
      <c r="AP54" s="1262"/>
      <c r="AQ54" s="1262"/>
      <c r="AR54" s="1262"/>
      <c r="AS54" s="1262"/>
      <c r="AT54" s="1262"/>
      <c r="AU54" s="1262"/>
    </row>
    <row r="55" spans="1:53">
      <c r="A55" s="1262"/>
      <c r="B55" s="1263"/>
      <c r="C55" s="1263"/>
      <c r="D55" s="1263"/>
      <c r="E55" s="1263"/>
      <c r="F55" s="1263"/>
      <c r="G55" s="1263"/>
      <c r="H55" s="1263"/>
      <c r="I55" s="1263"/>
      <c r="J55" s="1263"/>
      <c r="K55" s="1263"/>
      <c r="L55" s="1263"/>
      <c r="M55" s="1263"/>
      <c r="N55" s="1263"/>
      <c r="O55" s="1263"/>
      <c r="P55" s="1263"/>
      <c r="Q55" s="1263"/>
      <c r="R55" s="1263"/>
      <c r="S55" s="1263"/>
      <c r="T55" s="1263"/>
      <c r="U55" s="1263"/>
      <c r="V55" s="1263"/>
      <c r="W55" s="1263"/>
      <c r="X55" s="1263"/>
      <c r="Y55" s="1263"/>
      <c r="Z55" s="1263"/>
      <c r="AA55" s="1263"/>
      <c r="AB55" s="1263"/>
      <c r="AC55" s="1263"/>
      <c r="AD55" s="1263"/>
      <c r="AE55" s="1262"/>
      <c r="AF55" s="1262"/>
      <c r="AG55" s="1262"/>
      <c r="AH55" s="1262"/>
      <c r="AI55" s="1262"/>
      <c r="AJ55" s="1262"/>
      <c r="AK55" s="1262"/>
      <c r="AL55" s="1262"/>
      <c r="AM55" s="1262"/>
      <c r="AN55" s="1262"/>
      <c r="AO55" s="1262"/>
      <c r="AP55" s="1262"/>
      <c r="AQ55" s="1262"/>
      <c r="AR55" s="1262"/>
      <c r="AS55" s="1262"/>
      <c r="AT55" s="1262"/>
      <c r="AU55" s="1262"/>
    </row>
    <row r="56" spans="1:53">
      <c r="A56" s="1262"/>
      <c r="B56" s="1263"/>
      <c r="C56" s="1263"/>
      <c r="D56" s="1263"/>
      <c r="E56" s="1263"/>
      <c r="F56" s="1263"/>
      <c r="G56" s="1263"/>
      <c r="H56" s="1263"/>
      <c r="I56" s="1263"/>
      <c r="J56" s="1263"/>
      <c r="K56" s="1263"/>
      <c r="L56" s="1263"/>
      <c r="M56" s="1263"/>
      <c r="N56" s="1263"/>
      <c r="O56" s="1263"/>
      <c r="P56" s="1263"/>
      <c r="Q56" s="1263"/>
      <c r="R56" s="1263"/>
      <c r="S56" s="1263"/>
      <c r="T56" s="1263"/>
      <c r="U56" s="1263"/>
      <c r="V56" s="1263"/>
      <c r="W56" s="1263"/>
      <c r="X56" s="1263"/>
      <c r="Y56" s="1263"/>
      <c r="Z56" s="1263"/>
      <c r="AA56" s="1263"/>
      <c r="AB56" s="1263"/>
      <c r="AC56" s="1263"/>
      <c r="AD56" s="1263"/>
      <c r="AE56" s="1262"/>
      <c r="AF56" s="1262"/>
      <c r="AG56" s="1262"/>
      <c r="AH56" s="1262"/>
      <c r="AI56" s="1262"/>
      <c r="AJ56" s="1262"/>
      <c r="AK56" s="1262"/>
      <c r="AL56" s="1262"/>
      <c r="AM56" s="1262"/>
      <c r="AN56" s="1262"/>
      <c r="AO56" s="1262"/>
      <c r="AP56" s="1262"/>
      <c r="AQ56" s="1262"/>
      <c r="AR56" s="1262"/>
      <c r="AS56" s="1262"/>
      <c r="AT56" s="1262"/>
      <c r="AU56" s="1262"/>
    </row>
    <row r="57" spans="1:53">
      <c r="A57" s="1262"/>
      <c r="B57" s="1263"/>
      <c r="C57" s="1263"/>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c r="AB57" s="1263"/>
      <c r="AC57" s="1263"/>
      <c r="AD57" s="1263"/>
      <c r="AE57" s="1262"/>
      <c r="AF57" s="1262"/>
      <c r="AG57" s="1262"/>
      <c r="AH57" s="1262"/>
      <c r="AI57" s="1262"/>
      <c r="AJ57" s="1262"/>
      <c r="AK57" s="1262"/>
      <c r="AL57" s="1262"/>
      <c r="AM57" s="1262"/>
      <c r="AN57" s="1262"/>
      <c r="AO57" s="1262"/>
      <c r="AP57" s="1262"/>
      <c r="AQ57" s="1262"/>
      <c r="AR57" s="1262"/>
      <c r="AS57" s="1262"/>
      <c r="AT57" s="1262"/>
      <c r="AU57" s="1262"/>
    </row>
    <row r="58" spans="1:53">
      <c r="A58" s="1262"/>
      <c r="B58" s="1263"/>
      <c r="C58" s="1263"/>
      <c r="D58" s="1263"/>
      <c r="E58" s="1263"/>
      <c r="F58" s="1263"/>
      <c r="G58" s="1263"/>
      <c r="H58" s="1263"/>
      <c r="I58" s="1263"/>
      <c r="J58" s="1263"/>
      <c r="K58" s="1263"/>
      <c r="L58" s="1263"/>
      <c r="M58" s="1263"/>
      <c r="N58" s="1263"/>
      <c r="O58" s="1263"/>
      <c r="P58" s="1263"/>
      <c r="Q58" s="1263"/>
      <c r="R58" s="1263"/>
      <c r="S58" s="1263"/>
      <c r="T58" s="1263"/>
      <c r="U58" s="1263"/>
      <c r="V58" s="1263"/>
      <c r="W58" s="1263"/>
      <c r="X58" s="1263"/>
      <c r="Y58" s="1263"/>
      <c r="Z58" s="1263"/>
      <c r="AA58" s="1263"/>
      <c r="AB58" s="1263"/>
      <c r="AC58" s="1263"/>
      <c r="AD58" s="1263"/>
      <c r="AE58" s="1262"/>
      <c r="AF58" s="1262"/>
      <c r="AG58" s="1262"/>
      <c r="AH58" s="1262"/>
      <c r="AI58" s="1262"/>
      <c r="AJ58" s="1262"/>
      <c r="AK58" s="1262"/>
      <c r="AL58" s="1262"/>
      <c r="AM58" s="1262"/>
      <c r="AN58" s="1262"/>
      <c r="AO58" s="1262"/>
      <c r="AP58" s="1262"/>
      <c r="AQ58" s="1262"/>
      <c r="AR58" s="1262"/>
      <c r="AS58" s="1262"/>
      <c r="AT58" s="1262"/>
      <c r="AU58" s="1262"/>
    </row>
    <row r="59" spans="1:53">
      <c r="A59" s="1262"/>
      <c r="B59" s="1263"/>
      <c r="C59" s="1263"/>
      <c r="D59" s="1263"/>
      <c r="E59" s="1263"/>
      <c r="F59" s="1263"/>
      <c r="G59" s="1263"/>
      <c r="H59" s="1263"/>
      <c r="I59" s="1263"/>
      <c r="J59" s="1263"/>
      <c r="K59" s="1263"/>
      <c r="L59" s="1263"/>
      <c r="M59" s="1263"/>
      <c r="N59" s="1263"/>
      <c r="O59" s="1263"/>
      <c r="P59" s="1263"/>
      <c r="Q59" s="1263"/>
      <c r="R59" s="1263"/>
      <c r="S59" s="1263"/>
      <c r="T59" s="1263"/>
      <c r="U59" s="1263"/>
      <c r="V59" s="1263"/>
      <c r="W59" s="1263"/>
      <c r="X59" s="1263"/>
      <c r="Y59" s="1263"/>
      <c r="Z59" s="1263"/>
      <c r="AA59" s="1263"/>
      <c r="AB59" s="1263"/>
      <c r="AC59" s="1263"/>
      <c r="AD59" s="1263"/>
      <c r="AE59" s="1262"/>
      <c r="AF59" s="1262"/>
      <c r="AG59" s="1262"/>
      <c r="AH59" s="1262"/>
      <c r="AI59" s="1262"/>
      <c r="AJ59" s="1262"/>
      <c r="AK59" s="1262"/>
      <c r="AL59" s="1262"/>
      <c r="AM59" s="1262"/>
      <c r="AN59" s="1262"/>
      <c r="AO59" s="1262"/>
      <c r="AP59" s="1262"/>
      <c r="AQ59" s="1262"/>
      <c r="AR59" s="1262"/>
      <c r="AS59" s="1262"/>
      <c r="AT59" s="1262"/>
      <c r="AU59" s="1262"/>
    </row>
    <row r="60" spans="1:53">
      <c r="A60" s="1262"/>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2"/>
      <c r="AF60" s="1262"/>
      <c r="AG60" s="1262"/>
      <c r="AH60" s="1262"/>
      <c r="AI60" s="1262"/>
      <c r="AJ60" s="1262"/>
      <c r="AK60" s="1262"/>
      <c r="AL60" s="1262"/>
      <c r="AM60" s="1262"/>
      <c r="AN60" s="1262"/>
      <c r="AO60" s="1262"/>
      <c r="AP60" s="1262"/>
      <c r="AQ60" s="1262"/>
      <c r="AR60" s="1262"/>
      <c r="AS60" s="1262"/>
      <c r="AT60" s="1262"/>
      <c r="AU60" s="1262"/>
    </row>
    <row r="61" spans="1:53">
      <c r="A61" s="1262"/>
      <c r="B61" s="1263"/>
      <c r="C61" s="1263"/>
      <c r="D61" s="1263"/>
      <c r="E61" s="1263"/>
      <c r="F61" s="1263"/>
      <c r="G61" s="1263"/>
      <c r="H61" s="1263"/>
      <c r="I61" s="1263"/>
      <c r="J61" s="1263"/>
      <c r="K61" s="1263"/>
      <c r="L61" s="1263"/>
      <c r="M61" s="1263"/>
      <c r="N61" s="1263"/>
      <c r="O61" s="1263"/>
      <c r="P61" s="1263"/>
      <c r="Q61" s="1263"/>
      <c r="R61" s="1263"/>
      <c r="S61" s="1263"/>
      <c r="T61" s="1263"/>
      <c r="U61" s="1263"/>
      <c r="V61" s="1263"/>
      <c r="W61" s="1263"/>
      <c r="X61" s="1263"/>
      <c r="Y61" s="1263"/>
      <c r="Z61" s="1263"/>
      <c r="AA61" s="1263"/>
      <c r="AB61" s="1263"/>
      <c r="AC61" s="1263"/>
      <c r="AD61" s="1263"/>
      <c r="AE61" s="1262"/>
      <c r="AF61" s="1262"/>
      <c r="AG61" s="1262"/>
      <c r="AH61" s="1262"/>
      <c r="AI61" s="1262"/>
      <c r="AJ61" s="1262"/>
      <c r="AK61" s="1262"/>
      <c r="AL61" s="1262"/>
      <c r="AM61" s="1262"/>
      <c r="AN61" s="1262"/>
      <c r="AO61" s="1262"/>
      <c r="AP61" s="1262"/>
      <c r="AQ61" s="1262"/>
      <c r="AR61" s="1262"/>
      <c r="AS61" s="1262"/>
      <c r="AT61" s="1262"/>
      <c r="AU61" s="1262"/>
    </row>
    <row r="62" spans="1:53">
      <c r="A62" s="1262"/>
      <c r="B62" s="1263"/>
      <c r="C62" s="1263"/>
      <c r="D62" s="1263"/>
      <c r="E62" s="1263"/>
      <c r="F62" s="1263"/>
      <c r="G62" s="1263"/>
      <c r="H62" s="1263"/>
      <c r="I62" s="1263"/>
      <c r="J62" s="1263"/>
      <c r="K62" s="1263"/>
      <c r="L62" s="1263"/>
      <c r="M62" s="1263"/>
      <c r="N62" s="1263"/>
      <c r="O62" s="1263"/>
      <c r="P62" s="1263"/>
      <c r="Q62" s="1263"/>
      <c r="R62" s="1263"/>
      <c r="S62" s="1263"/>
      <c r="T62" s="1263"/>
      <c r="U62" s="1263"/>
      <c r="V62" s="1263"/>
      <c r="W62" s="1263"/>
      <c r="X62" s="1263"/>
      <c r="Y62" s="1263"/>
      <c r="Z62" s="1263"/>
      <c r="AA62" s="1263"/>
      <c r="AB62" s="1263"/>
      <c r="AC62" s="1263"/>
      <c r="AD62" s="1263"/>
      <c r="AE62" s="1262"/>
      <c r="AF62" s="1262"/>
      <c r="AG62" s="1262"/>
      <c r="AH62" s="1262"/>
      <c r="AI62" s="1262"/>
      <c r="AJ62" s="1262"/>
      <c r="AK62" s="1262"/>
      <c r="AL62" s="1262"/>
      <c r="AM62" s="1262"/>
      <c r="AN62" s="1262"/>
      <c r="AO62" s="1262"/>
      <c r="AP62" s="1262"/>
      <c r="AQ62" s="1262"/>
      <c r="AR62" s="1262"/>
      <c r="AS62" s="1262"/>
      <c r="AT62" s="1262"/>
      <c r="AU62" s="1262"/>
    </row>
    <row r="63" spans="1:53">
      <c r="A63" s="1262"/>
      <c r="B63" s="1263"/>
      <c r="C63" s="1263"/>
      <c r="D63" s="1263"/>
      <c r="E63" s="1263"/>
      <c r="F63" s="1263"/>
      <c r="G63" s="1263"/>
      <c r="H63" s="1263"/>
      <c r="I63" s="1263"/>
      <c r="J63" s="1263"/>
      <c r="K63" s="1263"/>
      <c r="L63" s="1263"/>
      <c r="M63" s="1263"/>
      <c r="N63" s="1263"/>
      <c r="O63" s="1263"/>
      <c r="P63" s="1263"/>
      <c r="Q63" s="1263"/>
      <c r="R63" s="1263"/>
      <c r="S63" s="1263"/>
      <c r="T63" s="1263"/>
      <c r="U63" s="1263"/>
      <c r="V63" s="1263"/>
      <c r="W63" s="1263"/>
      <c r="X63" s="1263"/>
      <c r="Y63" s="1263"/>
      <c r="Z63" s="1263"/>
      <c r="AA63" s="1263"/>
      <c r="AB63" s="1263"/>
      <c r="AC63" s="1263"/>
      <c r="AD63" s="1263"/>
      <c r="AE63" s="1262"/>
      <c r="AF63" s="1262"/>
      <c r="AG63" s="1262"/>
      <c r="AH63" s="1262"/>
      <c r="AI63" s="1262"/>
      <c r="AJ63" s="1262"/>
      <c r="AK63" s="1262"/>
      <c r="AL63" s="1262"/>
      <c r="AM63" s="1262"/>
      <c r="AN63" s="1262"/>
      <c r="AO63" s="1262"/>
      <c r="AP63" s="1262"/>
      <c r="AQ63" s="1262"/>
      <c r="AR63" s="1262"/>
      <c r="AS63" s="1262"/>
      <c r="AT63" s="1262"/>
      <c r="AU63" s="1262"/>
    </row>
    <row r="64" spans="1:53">
      <c r="A64" s="1262"/>
      <c r="B64" s="1263"/>
      <c r="C64" s="1263"/>
      <c r="D64" s="1263"/>
      <c r="E64" s="1263"/>
      <c r="F64" s="1263"/>
      <c r="G64" s="1263"/>
      <c r="H64" s="1263"/>
      <c r="I64" s="1263"/>
      <c r="J64" s="1263"/>
      <c r="K64" s="1263"/>
      <c r="L64" s="1263"/>
      <c r="M64" s="1263"/>
      <c r="N64" s="1263"/>
      <c r="O64" s="1263"/>
      <c r="P64" s="1263"/>
      <c r="Q64" s="1263"/>
      <c r="R64" s="1263"/>
      <c r="S64" s="1263"/>
      <c r="T64" s="1263"/>
      <c r="U64" s="1263"/>
      <c r="V64" s="1263"/>
      <c r="W64" s="1263"/>
      <c r="X64" s="1263"/>
      <c r="Y64" s="1263"/>
      <c r="Z64" s="1263"/>
      <c r="AA64" s="1263"/>
      <c r="AB64" s="1263"/>
      <c r="AC64" s="1263"/>
      <c r="AD64" s="1263"/>
      <c r="AE64" s="1262"/>
      <c r="AF64" s="1262"/>
      <c r="AG64" s="1262"/>
      <c r="AH64" s="1262"/>
      <c r="AI64" s="1262"/>
      <c r="AJ64" s="1262"/>
      <c r="AK64" s="1262"/>
      <c r="AL64" s="1262"/>
      <c r="AM64" s="1262"/>
      <c r="AN64" s="1262"/>
      <c r="AO64" s="1262"/>
      <c r="AP64" s="1262"/>
      <c r="AQ64" s="1262"/>
      <c r="AR64" s="1262"/>
      <c r="AS64" s="1262"/>
      <c r="AT64" s="1262"/>
      <c r="AU64" s="1262"/>
    </row>
    <row r="65" spans="1:47">
      <c r="A65" s="1262"/>
      <c r="B65" s="1263"/>
      <c r="C65" s="1263"/>
      <c r="D65" s="1263"/>
      <c r="E65" s="1263"/>
      <c r="F65" s="1263"/>
      <c r="G65" s="1263"/>
      <c r="H65" s="1263"/>
      <c r="I65" s="1263"/>
      <c r="J65" s="1263"/>
      <c r="K65" s="1263"/>
      <c r="L65" s="1263"/>
      <c r="M65" s="1263"/>
      <c r="N65" s="1263"/>
      <c r="O65" s="1263"/>
      <c r="P65" s="1263"/>
      <c r="Q65" s="1263"/>
      <c r="R65" s="1263"/>
      <c r="S65" s="1263"/>
      <c r="T65" s="1263"/>
      <c r="U65" s="1263"/>
      <c r="V65" s="1263"/>
      <c r="W65" s="1263"/>
      <c r="X65" s="1263"/>
      <c r="Y65" s="1263"/>
      <c r="Z65" s="1263"/>
      <c r="AA65" s="1263"/>
      <c r="AB65" s="1263"/>
      <c r="AC65" s="1263"/>
      <c r="AD65" s="1263"/>
      <c r="AE65" s="1262"/>
      <c r="AF65" s="1262"/>
      <c r="AG65" s="1262"/>
      <c r="AH65" s="1262"/>
      <c r="AI65" s="1262"/>
      <c r="AJ65" s="1262"/>
      <c r="AK65" s="1262"/>
      <c r="AL65" s="1262"/>
      <c r="AM65" s="1262"/>
      <c r="AN65" s="1262"/>
      <c r="AO65" s="1262"/>
      <c r="AP65" s="1262"/>
      <c r="AQ65" s="1262"/>
      <c r="AR65" s="1262"/>
      <c r="AS65" s="1262"/>
      <c r="AT65" s="1262"/>
      <c r="AU65" s="1262"/>
    </row>
    <row r="66" spans="1:47">
      <c r="A66" s="1262"/>
      <c r="B66" s="1263"/>
      <c r="C66" s="1263"/>
      <c r="D66" s="1263"/>
      <c r="E66" s="1263"/>
      <c r="F66" s="1263"/>
      <c r="G66" s="1263"/>
      <c r="H66" s="1263"/>
      <c r="I66" s="1263"/>
      <c r="J66" s="1263"/>
      <c r="K66" s="1263"/>
      <c r="L66" s="1263"/>
      <c r="M66" s="1263"/>
      <c r="N66" s="1263"/>
      <c r="O66" s="1263"/>
      <c r="P66" s="1263"/>
      <c r="Q66" s="1263"/>
      <c r="R66" s="1263"/>
      <c r="S66" s="1263"/>
      <c r="T66" s="1263"/>
      <c r="U66" s="1263"/>
      <c r="V66" s="1263"/>
      <c r="W66" s="1263"/>
      <c r="X66" s="1263"/>
      <c r="Y66" s="1263"/>
      <c r="Z66" s="1263"/>
      <c r="AA66" s="1263"/>
      <c r="AB66" s="1263"/>
      <c r="AC66" s="1263"/>
      <c r="AD66" s="1263"/>
      <c r="AE66" s="1262"/>
      <c r="AF66" s="1262"/>
      <c r="AG66" s="1262"/>
      <c r="AH66" s="1262"/>
      <c r="AI66" s="1262"/>
      <c r="AJ66" s="1262"/>
      <c r="AK66" s="1262"/>
      <c r="AL66" s="1262"/>
      <c r="AM66" s="1262"/>
      <c r="AN66" s="1262"/>
      <c r="AO66" s="1262"/>
      <c r="AP66" s="1262"/>
      <c r="AQ66" s="1262"/>
      <c r="AR66" s="1262"/>
      <c r="AS66" s="1262"/>
      <c r="AT66" s="1262"/>
      <c r="AU66" s="1262"/>
    </row>
    <row r="67" spans="1:47">
      <c r="A67" s="1262"/>
      <c r="B67" s="1263"/>
      <c r="C67" s="1263"/>
      <c r="D67" s="1263"/>
      <c r="E67" s="1263"/>
      <c r="F67" s="1263"/>
      <c r="G67" s="1263"/>
      <c r="H67" s="1263"/>
      <c r="I67" s="1263"/>
      <c r="J67" s="1263"/>
      <c r="K67" s="1263"/>
      <c r="L67" s="1263"/>
      <c r="M67" s="1263"/>
      <c r="N67" s="1263"/>
      <c r="O67" s="1263"/>
      <c r="P67" s="1263"/>
      <c r="Q67" s="1263"/>
      <c r="R67" s="1263"/>
      <c r="S67" s="1263"/>
      <c r="T67" s="1263"/>
      <c r="U67" s="1263"/>
      <c r="V67" s="1263"/>
      <c r="W67" s="1263"/>
      <c r="X67" s="1263"/>
      <c r="Y67" s="1263"/>
      <c r="Z67" s="1263"/>
      <c r="AA67" s="1263"/>
      <c r="AB67" s="1263"/>
      <c r="AC67" s="1263"/>
      <c r="AD67" s="1263"/>
      <c r="AE67" s="1262"/>
      <c r="AF67" s="1262"/>
      <c r="AG67" s="1262"/>
      <c r="AH67" s="1262"/>
      <c r="AI67" s="1262"/>
      <c r="AJ67" s="1262"/>
      <c r="AK67" s="1262"/>
      <c r="AL67" s="1262"/>
      <c r="AM67" s="1262"/>
      <c r="AN67" s="1262"/>
      <c r="AO67" s="1262"/>
      <c r="AP67" s="1262"/>
      <c r="AQ67" s="1262"/>
      <c r="AR67" s="1262"/>
      <c r="AS67" s="1262"/>
      <c r="AT67" s="1262"/>
      <c r="AU67" s="1262"/>
    </row>
    <row r="68" spans="1:47">
      <c r="A68" s="1262"/>
      <c r="B68" s="1263"/>
      <c r="C68" s="1263"/>
      <c r="D68" s="1263"/>
      <c r="E68" s="1263"/>
      <c r="F68" s="1263"/>
      <c r="G68" s="1263"/>
      <c r="H68" s="1263"/>
      <c r="I68" s="1263"/>
      <c r="J68" s="1263"/>
      <c r="K68" s="1263"/>
      <c r="L68" s="1263"/>
      <c r="M68" s="1263"/>
      <c r="N68" s="1263"/>
      <c r="O68" s="1263"/>
      <c r="P68" s="1263"/>
      <c r="Q68" s="1263"/>
      <c r="R68" s="1263"/>
      <c r="S68" s="1263"/>
      <c r="T68" s="1263"/>
      <c r="U68" s="1263"/>
      <c r="V68" s="1263"/>
      <c r="W68" s="1263"/>
      <c r="X68" s="1263"/>
      <c r="Y68" s="1263"/>
      <c r="Z68" s="1263"/>
      <c r="AA68" s="1263"/>
      <c r="AB68" s="1263"/>
      <c r="AC68" s="1263"/>
      <c r="AD68" s="1263"/>
      <c r="AE68" s="1262"/>
      <c r="AF68" s="1262"/>
      <c r="AG68" s="1262"/>
      <c r="AH68" s="1262"/>
      <c r="AI68" s="1262"/>
      <c r="AJ68" s="1262"/>
      <c r="AK68" s="1262"/>
      <c r="AL68" s="1262"/>
      <c r="AM68" s="1262"/>
      <c r="AN68" s="1262"/>
      <c r="AO68" s="1262"/>
      <c r="AP68" s="1262"/>
      <c r="AQ68" s="1262"/>
      <c r="AR68" s="1262"/>
      <c r="AS68" s="1262"/>
      <c r="AT68" s="1262"/>
      <c r="AU68" s="1262"/>
    </row>
  </sheetData>
  <sheetProtection algorithmName="SHA-512" hashValue="SfjRKcRlfjylYFR9fbX9pvGOuLX/9s7DZh0jR3XEYxhK0ZgjeWJIn9Mlkr9N263UznPmNa6+iFx2OcbfoPjPcA==" saltValue="uW96opylOnkHfqDkY2Ki3A==" spinCount="100000" sheet="1" objects="1" scenarios="1"/>
  <customSheetViews>
    <customSheetView guid="{6EFEFCA0-BF14-457A-85A3-29CBF2A862A5}" showGridLines="0" fitToPage="1" topLeftCell="A28">
      <selection sqref="A1:AH51"/>
      <pageMargins left="0.23622047244094491" right="0.23622047244094491" top="0.39370078740157483" bottom="0.78740157480314965" header="0" footer="0.11811023622047245"/>
      <printOptions horizontalCentered="1" verticalCentered="1"/>
      <pageSetup paperSize="5" scale="80" orientation="portrait" r:id="rId1"/>
      <headerFooter>
        <oddFooter>&amp;L&amp;10&amp;F &amp;A&amp;R&amp;10Page 46 of 61</oddFooter>
      </headerFooter>
    </customSheetView>
  </customSheetViews>
  <mergeCells count="47">
    <mergeCell ref="D28:AB28"/>
    <mergeCell ref="D7:AB7"/>
    <mergeCell ref="E8:J8"/>
    <mergeCell ref="K8:AB8"/>
    <mergeCell ref="L18:AA18"/>
    <mergeCell ref="L19:AA19"/>
    <mergeCell ref="D29:I29"/>
    <mergeCell ref="J29:O29"/>
    <mergeCell ref="P29:U29"/>
    <mergeCell ref="V29:AA29"/>
    <mergeCell ref="D30:F30"/>
    <mergeCell ref="G30:I30"/>
    <mergeCell ref="J30:L30"/>
    <mergeCell ref="M30:O30"/>
    <mergeCell ref="P30:R30"/>
    <mergeCell ref="S30:U30"/>
    <mergeCell ref="V30:X30"/>
    <mergeCell ref="Y30:AA30"/>
    <mergeCell ref="D31:F31"/>
    <mergeCell ref="G31:I31"/>
    <mergeCell ref="J31:L31"/>
    <mergeCell ref="M31:O31"/>
    <mergeCell ref="P31:R31"/>
    <mergeCell ref="S31:U31"/>
    <mergeCell ref="V31:X31"/>
    <mergeCell ref="Y31:AA31"/>
    <mergeCell ref="B40:AD40"/>
    <mergeCell ref="G33:AA33"/>
    <mergeCell ref="D35:AB35"/>
    <mergeCell ref="D36:H36"/>
    <mergeCell ref="I36:M36"/>
    <mergeCell ref="N36:R36"/>
    <mergeCell ref="S36:W36"/>
    <mergeCell ref="X36:AB36"/>
    <mergeCell ref="D37:H37"/>
    <mergeCell ref="I37:M37"/>
    <mergeCell ref="N37:R37"/>
    <mergeCell ref="S37:W37"/>
    <mergeCell ref="X37:AB37"/>
    <mergeCell ref="J48:V49"/>
    <mergeCell ref="J50:V50"/>
    <mergeCell ref="F43:N43"/>
    <mergeCell ref="R43:AD43"/>
    <mergeCell ref="F44:N44"/>
    <mergeCell ref="R44:AD44"/>
    <mergeCell ref="F45:N45"/>
    <mergeCell ref="V45:AD45"/>
  </mergeCells>
  <dataValidations count="2">
    <dataValidation type="whole" allowBlank="1" showInputMessage="1" showErrorMessage="1" errorTitle="GSHSP SY 2022-2023" error="Please enter valid number between 0-20,000." sqref="D31:AA31" xr:uid="{3BAE0AE7-83DE-4B02-93B0-4B939EDFEC6C}">
      <formula1>0</formula1>
      <formula2>20000</formula2>
    </dataValidation>
    <dataValidation type="whole" allowBlank="1" showInputMessage="1" showErrorMessage="1" errorTitle="GSHSP SY 2022-2023" error="Please enter valid number between 0-999." sqref="D37:AB37" xr:uid="{B4A82D4F-31B4-4E8F-A495-5652DC7A41C6}">
      <formula1>0</formula1>
      <formula2>999</formula2>
    </dataValidation>
  </dataValidations>
  <printOptions horizontalCentered="1" verticalCentered="1"/>
  <pageMargins left="0.23622047244094491" right="0.23622047244094491" top="0.39370078740157483" bottom="0.78740157480314965" header="0" footer="0.11811023622047245"/>
  <pageSetup paperSize="5" scale="80" orientation="portrait" r:id="rId2"/>
  <headerFooter>
    <oddFooter>&amp;L&amp;10&amp;F &amp;A&amp;R&amp;10Page 46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86017" r:id="rId5" name="Check Box 1">
              <controlPr defaultSize="0" autoFill="0" autoLine="0" autoPict="0">
                <anchor moveWithCells="1">
                  <from>
                    <xdr:col>3</xdr:col>
                    <xdr:colOff>28575</xdr:colOff>
                    <xdr:row>9</xdr:row>
                    <xdr:rowOff>9525</xdr:rowOff>
                  </from>
                  <to>
                    <xdr:col>3</xdr:col>
                    <xdr:colOff>219075</xdr:colOff>
                    <xdr:row>9</xdr:row>
                    <xdr:rowOff>219075</xdr:rowOff>
                  </to>
                </anchor>
              </controlPr>
            </control>
          </mc:Choice>
        </mc:AlternateContent>
        <mc:AlternateContent xmlns:mc="http://schemas.openxmlformats.org/markup-compatibility/2006">
          <mc:Choice Requires="x14">
            <control shapeId="86018" r:id="rId6" name="Check Box 2">
              <controlPr defaultSize="0" autoFill="0" autoLine="0" autoPict="0">
                <anchor moveWithCells="1">
                  <from>
                    <xdr:col>3</xdr:col>
                    <xdr:colOff>28575</xdr:colOff>
                    <xdr:row>10</xdr:row>
                    <xdr:rowOff>9525</xdr:rowOff>
                  </from>
                  <to>
                    <xdr:col>3</xdr:col>
                    <xdr:colOff>257175</xdr:colOff>
                    <xdr:row>10</xdr:row>
                    <xdr:rowOff>219075</xdr:rowOff>
                  </to>
                </anchor>
              </controlPr>
            </control>
          </mc:Choice>
        </mc:AlternateContent>
        <mc:AlternateContent xmlns:mc="http://schemas.openxmlformats.org/markup-compatibility/2006">
          <mc:Choice Requires="x14">
            <control shapeId="86019" r:id="rId7" name="Check Box 3">
              <controlPr defaultSize="0" autoFill="0" autoLine="0" autoPict="0">
                <anchor moveWithCells="1">
                  <from>
                    <xdr:col>3</xdr:col>
                    <xdr:colOff>38100</xdr:colOff>
                    <xdr:row>11</xdr:row>
                    <xdr:rowOff>28575</xdr:rowOff>
                  </from>
                  <to>
                    <xdr:col>4</xdr:col>
                    <xdr:colOff>9525</xdr:colOff>
                    <xdr:row>11</xdr:row>
                    <xdr:rowOff>219075</xdr:rowOff>
                  </to>
                </anchor>
              </controlPr>
            </control>
          </mc:Choice>
        </mc:AlternateContent>
        <mc:AlternateContent xmlns:mc="http://schemas.openxmlformats.org/markup-compatibility/2006">
          <mc:Choice Requires="x14">
            <control shapeId="86020" r:id="rId8" name="Check Box 4">
              <controlPr defaultSize="0" autoFill="0" autoLine="0" autoPict="0">
                <anchor moveWithCells="1">
                  <from>
                    <xdr:col>3</xdr:col>
                    <xdr:colOff>28575</xdr:colOff>
                    <xdr:row>12</xdr:row>
                    <xdr:rowOff>28575</xdr:rowOff>
                  </from>
                  <to>
                    <xdr:col>3</xdr:col>
                    <xdr:colOff>238125</xdr:colOff>
                    <xdr:row>12</xdr:row>
                    <xdr:rowOff>219075</xdr:rowOff>
                  </to>
                </anchor>
              </controlPr>
            </control>
          </mc:Choice>
        </mc:AlternateContent>
        <mc:AlternateContent xmlns:mc="http://schemas.openxmlformats.org/markup-compatibility/2006">
          <mc:Choice Requires="x14">
            <control shapeId="86021" r:id="rId9" name="Check Box 5">
              <controlPr defaultSize="0" autoFill="0" autoLine="0" autoPict="0">
                <anchor moveWithCells="1">
                  <from>
                    <xdr:col>3</xdr:col>
                    <xdr:colOff>28575</xdr:colOff>
                    <xdr:row>13</xdr:row>
                    <xdr:rowOff>9525</xdr:rowOff>
                  </from>
                  <to>
                    <xdr:col>3</xdr:col>
                    <xdr:colOff>276225</xdr:colOff>
                    <xdr:row>13</xdr:row>
                    <xdr:rowOff>219075</xdr:rowOff>
                  </to>
                </anchor>
              </controlPr>
            </control>
          </mc:Choice>
        </mc:AlternateContent>
        <mc:AlternateContent xmlns:mc="http://schemas.openxmlformats.org/markup-compatibility/2006">
          <mc:Choice Requires="x14">
            <control shapeId="86022" r:id="rId10" name="Check Box 6">
              <controlPr defaultSize="0" autoFill="0" autoLine="0" autoPict="0">
                <anchor moveWithCells="1">
                  <from>
                    <xdr:col>3</xdr:col>
                    <xdr:colOff>28575</xdr:colOff>
                    <xdr:row>14</xdr:row>
                    <xdr:rowOff>28575</xdr:rowOff>
                  </from>
                  <to>
                    <xdr:col>3</xdr:col>
                    <xdr:colOff>238125</xdr:colOff>
                    <xdr:row>14</xdr:row>
                    <xdr:rowOff>219075</xdr:rowOff>
                  </to>
                </anchor>
              </controlPr>
            </control>
          </mc:Choice>
        </mc:AlternateContent>
        <mc:AlternateContent xmlns:mc="http://schemas.openxmlformats.org/markup-compatibility/2006">
          <mc:Choice Requires="x14">
            <control shapeId="86023" r:id="rId11" name="Check Box 7">
              <controlPr defaultSize="0" autoFill="0" autoLine="0" autoPict="0">
                <anchor moveWithCells="1">
                  <from>
                    <xdr:col>3</xdr:col>
                    <xdr:colOff>28575</xdr:colOff>
                    <xdr:row>15</xdr:row>
                    <xdr:rowOff>28575</xdr:rowOff>
                  </from>
                  <to>
                    <xdr:col>3</xdr:col>
                    <xdr:colOff>257175</xdr:colOff>
                    <xdr:row>15</xdr:row>
                    <xdr:rowOff>238125</xdr:rowOff>
                  </to>
                </anchor>
              </controlPr>
            </control>
          </mc:Choice>
        </mc:AlternateContent>
        <mc:AlternateContent xmlns:mc="http://schemas.openxmlformats.org/markup-compatibility/2006">
          <mc:Choice Requires="x14">
            <control shapeId="86024" r:id="rId12" name="Check Box 8">
              <controlPr defaultSize="0" autoFill="0" autoLine="0" autoPict="0">
                <anchor moveWithCells="1">
                  <from>
                    <xdr:col>3</xdr:col>
                    <xdr:colOff>28575</xdr:colOff>
                    <xdr:row>16</xdr:row>
                    <xdr:rowOff>28575</xdr:rowOff>
                  </from>
                  <to>
                    <xdr:col>3</xdr:col>
                    <xdr:colOff>257175</xdr:colOff>
                    <xdr:row>16</xdr:row>
                    <xdr:rowOff>219075</xdr:rowOff>
                  </to>
                </anchor>
              </controlPr>
            </control>
          </mc:Choice>
        </mc:AlternateContent>
        <mc:AlternateContent xmlns:mc="http://schemas.openxmlformats.org/markup-compatibility/2006">
          <mc:Choice Requires="x14">
            <control shapeId="86025" r:id="rId13" name="Check Box 9">
              <controlPr defaultSize="0" autoFill="0" autoLine="0" autoPict="0">
                <anchor moveWithCells="1">
                  <from>
                    <xdr:col>3</xdr:col>
                    <xdr:colOff>28575</xdr:colOff>
                    <xdr:row>17</xdr:row>
                    <xdr:rowOff>76200</xdr:rowOff>
                  </from>
                  <to>
                    <xdr:col>3</xdr:col>
                    <xdr:colOff>228600</xdr:colOff>
                    <xdr:row>17</xdr:row>
                    <xdr:rowOff>295275</xdr:rowOff>
                  </to>
                </anchor>
              </controlPr>
            </control>
          </mc:Choice>
        </mc:AlternateContent>
        <mc:AlternateContent xmlns:mc="http://schemas.openxmlformats.org/markup-compatibility/2006">
          <mc:Choice Requires="x14">
            <control shapeId="86026" r:id="rId14" name="Check Box 10">
              <controlPr defaultSize="0" autoFill="0" autoLine="0" autoPict="0">
                <anchor moveWithCells="1">
                  <from>
                    <xdr:col>3</xdr:col>
                    <xdr:colOff>28575</xdr:colOff>
                    <xdr:row>18</xdr:row>
                    <xdr:rowOff>161925</xdr:rowOff>
                  </from>
                  <to>
                    <xdr:col>4</xdr:col>
                    <xdr:colOff>0</xdr:colOff>
                    <xdr:row>18</xdr:row>
                    <xdr:rowOff>371475</xdr:rowOff>
                  </to>
                </anchor>
              </controlPr>
            </control>
          </mc:Choice>
        </mc:AlternateContent>
        <mc:AlternateContent xmlns:mc="http://schemas.openxmlformats.org/markup-compatibility/2006">
          <mc:Choice Requires="x14">
            <control shapeId="86027" r:id="rId15" name="Check Box 11">
              <controlPr defaultSize="0" autoFill="0" autoLine="0" autoPict="0">
                <anchor moveWithCells="1">
                  <from>
                    <xdr:col>3</xdr:col>
                    <xdr:colOff>28575</xdr:colOff>
                    <xdr:row>19</xdr:row>
                    <xdr:rowOff>0</xdr:rowOff>
                  </from>
                  <to>
                    <xdr:col>4</xdr:col>
                    <xdr:colOff>28575</xdr:colOff>
                    <xdr:row>19</xdr:row>
                    <xdr:rowOff>219075</xdr:rowOff>
                  </to>
                </anchor>
              </controlPr>
            </control>
          </mc:Choice>
        </mc:AlternateContent>
        <mc:AlternateContent xmlns:mc="http://schemas.openxmlformats.org/markup-compatibility/2006">
          <mc:Choice Requires="x14">
            <control shapeId="86033" r:id="rId16" name="Check Box 17">
              <controlPr defaultSize="0" autoFill="0" autoLine="0" autoPict="0">
                <anchor moveWithCells="1">
                  <from>
                    <xdr:col>3</xdr:col>
                    <xdr:colOff>47625</xdr:colOff>
                    <xdr:row>21</xdr:row>
                    <xdr:rowOff>38100</xdr:rowOff>
                  </from>
                  <to>
                    <xdr:col>4</xdr:col>
                    <xdr:colOff>9525</xdr:colOff>
                    <xdr:row>22</xdr:row>
                    <xdr:rowOff>9525</xdr:rowOff>
                  </to>
                </anchor>
              </controlPr>
            </control>
          </mc:Choice>
        </mc:AlternateContent>
        <mc:AlternateContent xmlns:mc="http://schemas.openxmlformats.org/markup-compatibility/2006">
          <mc:Choice Requires="x14">
            <control shapeId="86034" r:id="rId17" name="Check Box 18">
              <controlPr defaultSize="0" autoFill="0" autoLine="0" autoPict="0">
                <anchor moveWithCells="1">
                  <from>
                    <xdr:col>3</xdr:col>
                    <xdr:colOff>28575</xdr:colOff>
                    <xdr:row>22</xdr:row>
                    <xdr:rowOff>9525</xdr:rowOff>
                  </from>
                  <to>
                    <xdr:col>3</xdr:col>
                    <xdr:colOff>238125</xdr:colOff>
                    <xdr:row>22</xdr:row>
                    <xdr:rowOff>219075</xdr:rowOff>
                  </to>
                </anchor>
              </controlPr>
            </control>
          </mc:Choice>
        </mc:AlternateContent>
        <mc:AlternateContent xmlns:mc="http://schemas.openxmlformats.org/markup-compatibility/2006">
          <mc:Choice Requires="x14">
            <control shapeId="86035" r:id="rId18" name="Check Box 19">
              <controlPr defaultSize="0" autoFill="0" autoLine="0" autoPict="0">
                <anchor moveWithCells="1">
                  <from>
                    <xdr:col>3</xdr:col>
                    <xdr:colOff>38100</xdr:colOff>
                    <xdr:row>23</xdr:row>
                    <xdr:rowOff>9525</xdr:rowOff>
                  </from>
                  <to>
                    <xdr:col>3</xdr:col>
                    <xdr:colOff>266700</xdr:colOff>
                    <xdr:row>23</xdr:row>
                    <xdr:rowOff>257175</xdr:rowOff>
                  </to>
                </anchor>
              </controlPr>
            </control>
          </mc:Choice>
        </mc:AlternateContent>
        <mc:AlternateContent xmlns:mc="http://schemas.openxmlformats.org/markup-compatibility/2006">
          <mc:Choice Requires="x14">
            <control shapeId="86036" r:id="rId19" name="Check Box 20">
              <controlPr defaultSize="0" autoFill="0" autoLine="0" autoPict="0">
                <anchor moveWithCells="1">
                  <from>
                    <xdr:col>3</xdr:col>
                    <xdr:colOff>28575</xdr:colOff>
                    <xdr:row>24</xdr:row>
                    <xdr:rowOff>47625</xdr:rowOff>
                  </from>
                  <to>
                    <xdr:col>3</xdr:col>
                    <xdr:colOff>266700</xdr:colOff>
                    <xdr:row>24</xdr:row>
                    <xdr:rowOff>238125</xdr:rowOff>
                  </to>
                </anchor>
              </controlPr>
            </control>
          </mc:Choice>
        </mc:AlternateContent>
        <mc:AlternateContent xmlns:mc="http://schemas.openxmlformats.org/markup-compatibility/2006">
          <mc:Choice Requires="x14">
            <control shapeId="86037" r:id="rId20" name="Check Box 21">
              <controlPr defaultSize="0" autoFill="0" autoLine="0" autoPict="0">
                <anchor moveWithCells="1">
                  <from>
                    <xdr:col>3</xdr:col>
                    <xdr:colOff>28575</xdr:colOff>
                    <xdr:row>25</xdr:row>
                    <xdr:rowOff>9525</xdr:rowOff>
                  </from>
                  <to>
                    <xdr:col>3</xdr:col>
                    <xdr:colOff>238125</xdr:colOff>
                    <xdr:row>25</xdr:row>
                    <xdr:rowOff>219075</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83967-433C-46FA-BE9F-E5E0C9F2EC2D}">
  <sheetPr codeName="Sheet49">
    <tabColor rgb="FFFFFF00"/>
    <pageSetUpPr fitToPage="1"/>
  </sheetPr>
  <dimension ref="A1:BA67"/>
  <sheetViews>
    <sheetView showGridLines="0" topLeftCell="A26" zoomScaleNormal="100" zoomScaleSheetLayoutView="100" workbookViewId="0">
      <selection sqref="A1:AJ59"/>
    </sheetView>
  </sheetViews>
  <sheetFormatPr defaultColWidth="8" defaultRowHeight="15.75"/>
  <cols>
    <col min="1" max="1" width="2.125" style="176" customWidth="1"/>
    <col min="2" max="30" width="3.625" style="175" customWidth="1"/>
    <col min="31" max="32" width="3.625" style="176" customWidth="1"/>
    <col min="33" max="33" width="2.125" style="176" customWidth="1"/>
    <col min="34" max="44" width="3.625" style="176" customWidth="1"/>
    <col min="45" max="53" width="3.625" style="1262" customWidth="1"/>
    <col min="54" max="165" width="3.625" style="176" customWidth="1"/>
    <col min="166" max="16384" width="8" style="176"/>
  </cols>
  <sheetData>
    <row r="1" spans="1:53" ht="12" customHeight="1">
      <c r="A1" s="1262"/>
      <c r="B1" s="1263"/>
      <c r="C1" s="1263"/>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2"/>
      <c r="AF1" s="1262"/>
      <c r="AG1" s="1262"/>
      <c r="AH1" s="1262"/>
      <c r="AI1" s="1262"/>
      <c r="AJ1" s="1262"/>
      <c r="AK1" s="1262"/>
      <c r="AL1" s="1262"/>
      <c r="AM1" s="1262"/>
      <c r="AN1" s="1262"/>
      <c r="AO1" s="1262"/>
      <c r="AP1" s="1262"/>
      <c r="AQ1" s="1262"/>
      <c r="AR1" s="1262"/>
    </row>
    <row r="2" spans="1:53" ht="17.25" thickBot="1">
      <c r="A2" s="1262"/>
      <c r="B2" s="1264" t="s">
        <v>1425</v>
      </c>
      <c r="C2" s="1262"/>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row>
    <row r="3" spans="1:53" ht="5.0999999999999996" customHeight="1" thickTop="1">
      <c r="A3" s="1262"/>
      <c r="B3" s="1266"/>
      <c r="C3" s="1267"/>
      <c r="D3" s="1267"/>
      <c r="E3" s="1267"/>
      <c r="F3" s="1267"/>
      <c r="G3" s="1267"/>
      <c r="H3" s="1267"/>
      <c r="I3" s="1267"/>
      <c r="J3" s="1267"/>
      <c r="K3" s="1267"/>
      <c r="L3" s="1267"/>
      <c r="M3" s="1267"/>
      <c r="N3" s="1267"/>
      <c r="O3" s="1267"/>
      <c r="P3" s="1267"/>
      <c r="Q3" s="1267"/>
      <c r="R3" s="1267"/>
      <c r="S3" s="1267"/>
      <c r="T3" s="1267"/>
      <c r="U3" s="1267"/>
      <c r="V3" s="1267"/>
      <c r="W3" s="1267"/>
      <c r="X3" s="1267"/>
      <c r="Y3" s="1267"/>
      <c r="Z3" s="1267"/>
      <c r="AA3" s="1267"/>
      <c r="AB3" s="1267"/>
      <c r="AC3" s="1267"/>
      <c r="AD3" s="1267"/>
      <c r="AE3" s="1267"/>
      <c r="AF3" s="1268"/>
      <c r="AG3" s="1262"/>
      <c r="AH3" s="1262"/>
      <c r="AI3" s="1262"/>
      <c r="AJ3" s="1262"/>
      <c r="AK3" s="1262"/>
      <c r="AL3" s="1262"/>
      <c r="AM3" s="1262"/>
      <c r="AN3" s="1262"/>
      <c r="AO3" s="1262"/>
      <c r="AP3" s="1262"/>
      <c r="AQ3" s="1262"/>
      <c r="AR3" s="1262"/>
    </row>
    <row r="4" spans="1:53" s="177" customFormat="1" ht="24.75" customHeight="1">
      <c r="A4" s="1319"/>
      <c r="B4" s="1320"/>
      <c r="C4" s="1270" t="s">
        <v>47</v>
      </c>
      <c r="D4" s="1340" t="b">
        <v>1</v>
      </c>
      <c r="E4" s="3708" t="s">
        <v>1426</v>
      </c>
      <c r="F4" s="3708"/>
      <c r="G4" s="3708"/>
      <c r="H4" s="3708"/>
      <c r="I4" s="3708"/>
      <c r="J4" s="3708"/>
      <c r="K4" s="3708"/>
      <c r="L4" s="3708"/>
      <c r="M4" s="3708"/>
      <c r="N4" s="3708"/>
      <c r="O4" s="3708"/>
      <c r="P4" s="3708"/>
      <c r="Q4" s="3708"/>
      <c r="R4" s="3708"/>
      <c r="S4" s="3708"/>
      <c r="T4" s="3708"/>
      <c r="U4" s="3708"/>
      <c r="V4" s="3708"/>
      <c r="W4" s="3708"/>
      <c r="X4" s="3708"/>
      <c r="Y4" s="3708"/>
      <c r="Z4" s="3708"/>
      <c r="AA4" s="3708"/>
      <c r="AB4" s="3708"/>
      <c r="AC4" s="3708"/>
      <c r="AD4" s="3708"/>
      <c r="AE4" s="1322"/>
      <c r="AF4" s="1323"/>
      <c r="AG4" s="1322"/>
      <c r="AH4" s="1322"/>
      <c r="AI4" s="1322"/>
      <c r="AJ4" s="1322"/>
      <c r="AK4" s="1322"/>
      <c r="AL4" s="1322"/>
      <c r="AM4" s="1322"/>
      <c r="AN4" s="1322"/>
      <c r="AO4" s="1322"/>
      <c r="AP4" s="1319"/>
      <c r="AQ4" s="1319"/>
      <c r="AR4" s="1319"/>
      <c r="AS4" s="1319"/>
      <c r="AT4" s="1319"/>
      <c r="AU4" s="1319"/>
      <c r="AV4" s="1319"/>
      <c r="AW4" s="1319"/>
      <c r="AX4" s="1319"/>
      <c r="AY4" s="1319"/>
      <c r="AZ4" s="1319"/>
      <c r="BA4" s="1319"/>
    </row>
    <row r="5" spans="1:53" ht="20.45" customHeight="1">
      <c r="A5" s="1262"/>
      <c r="B5" s="1269"/>
      <c r="C5" s="1270" t="s">
        <v>48</v>
      </c>
      <c r="D5" s="3666" t="s">
        <v>1846</v>
      </c>
      <c r="E5" s="3666"/>
      <c r="F5" s="3666"/>
      <c r="G5" s="3666"/>
      <c r="H5" s="3666"/>
      <c r="I5" s="3666"/>
      <c r="J5" s="3666"/>
      <c r="K5" s="3666"/>
      <c r="L5" s="3666"/>
      <c r="M5" s="3666"/>
      <c r="N5" s="3666"/>
      <c r="O5" s="3666"/>
      <c r="P5" s="3666"/>
      <c r="Q5" s="3666"/>
      <c r="R5" s="3666"/>
      <c r="S5" s="3666"/>
      <c r="T5" s="3666"/>
      <c r="U5" s="3666"/>
      <c r="V5" s="3666"/>
      <c r="W5" s="3666"/>
      <c r="X5" s="3666"/>
      <c r="Y5" s="3666"/>
      <c r="Z5" s="3666"/>
      <c r="AA5" s="3666"/>
      <c r="AB5" s="3666"/>
      <c r="AC5" s="3666"/>
      <c r="AD5" s="3666"/>
      <c r="AE5" s="1271"/>
      <c r="AF5" s="1272"/>
      <c r="AG5" s="1262"/>
      <c r="AH5" s="1262"/>
      <c r="AI5" s="1262"/>
      <c r="AJ5" s="1262"/>
      <c r="AK5" s="1262"/>
      <c r="AL5" s="1262"/>
      <c r="AM5" s="1262"/>
      <c r="AN5" s="1262"/>
      <c r="AO5" s="1262"/>
      <c r="AP5" s="1262"/>
      <c r="AQ5" s="1262"/>
      <c r="AR5" s="1262"/>
    </row>
    <row r="6" spans="1:53" ht="19.5">
      <c r="A6" s="1262"/>
      <c r="B6" s="1269"/>
      <c r="C6" s="1301"/>
      <c r="D6" s="1262"/>
      <c r="E6" s="1262"/>
      <c r="F6" s="1262"/>
      <c r="G6" s="1340" t="b">
        <v>1</v>
      </c>
      <c r="H6" s="1324" t="s">
        <v>978</v>
      </c>
      <c r="I6" s="1325"/>
      <c r="J6" s="1325"/>
      <c r="K6" s="1325"/>
      <c r="L6" s="1325"/>
      <c r="M6" s="1325"/>
      <c r="N6" s="1340" t="b">
        <v>1</v>
      </c>
      <c r="O6" s="1324" t="s">
        <v>726</v>
      </c>
      <c r="P6" s="1325"/>
      <c r="Q6" s="1325"/>
      <c r="R6" s="1325"/>
      <c r="S6" s="1340" t="b">
        <v>1</v>
      </c>
      <c r="T6" s="1324" t="s">
        <v>417</v>
      </c>
      <c r="U6" s="1325"/>
      <c r="V6" s="1325"/>
      <c r="W6" s="1340" t="b">
        <v>1</v>
      </c>
      <c r="X6" s="1324" t="s">
        <v>1427</v>
      </c>
      <c r="Y6" s="1325"/>
      <c r="Z6" s="1325"/>
      <c r="AA6" s="1325"/>
      <c r="AB6" s="1325"/>
      <c r="AC6" s="1325"/>
      <c r="AD6" s="1325"/>
      <c r="AE6" s="1271"/>
      <c r="AF6" s="1272"/>
      <c r="AG6" s="1262"/>
      <c r="AH6" s="1262"/>
      <c r="AI6" s="1262"/>
      <c r="AJ6" s="1262"/>
      <c r="AK6" s="1262"/>
      <c r="AL6" s="1262"/>
      <c r="AM6" s="1262"/>
      <c r="AN6" s="1262"/>
      <c r="AO6" s="1262"/>
      <c r="AP6" s="1262"/>
      <c r="AQ6" s="1262"/>
      <c r="AR6" s="1262"/>
    </row>
    <row r="7" spans="1:53" s="177" customFormat="1" ht="24.75" customHeight="1">
      <c r="A7" s="1319"/>
      <c r="B7" s="1320"/>
      <c r="C7" s="1326" t="s">
        <v>49</v>
      </c>
      <c r="D7" s="1340" t="b">
        <v>0</v>
      </c>
      <c r="E7" s="3708" t="s">
        <v>1428</v>
      </c>
      <c r="F7" s="3708"/>
      <c r="G7" s="3708"/>
      <c r="H7" s="3708"/>
      <c r="I7" s="3708"/>
      <c r="J7" s="3708"/>
      <c r="K7" s="3708"/>
      <c r="L7" s="3708"/>
      <c r="M7" s="3708"/>
      <c r="N7" s="3708"/>
      <c r="O7" s="3708"/>
      <c r="P7" s="3708"/>
      <c r="Q7" s="3708"/>
      <c r="R7" s="3708"/>
      <c r="S7" s="3708"/>
      <c r="T7" s="3708"/>
      <c r="U7" s="3708"/>
      <c r="V7" s="3708"/>
      <c r="W7" s="3708"/>
      <c r="X7" s="3708"/>
      <c r="Y7" s="3708"/>
      <c r="Z7" s="3708"/>
      <c r="AA7" s="3708"/>
      <c r="AB7" s="3708"/>
      <c r="AC7" s="3708"/>
      <c r="AD7" s="3708"/>
      <c r="AE7" s="1322"/>
      <c r="AF7" s="1323"/>
      <c r="AG7" s="1322"/>
      <c r="AH7" s="1322"/>
      <c r="AI7" s="1322"/>
      <c r="AJ7" s="1322"/>
      <c r="AK7" s="1322"/>
      <c r="AL7" s="1322"/>
      <c r="AM7" s="1322"/>
      <c r="AN7" s="1322"/>
      <c r="AO7" s="1322"/>
      <c r="AP7" s="1319"/>
      <c r="AQ7" s="1319"/>
      <c r="AR7" s="1319"/>
      <c r="AS7" s="1319"/>
      <c r="AT7" s="1319"/>
      <c r="AU7" s="1319"/>
      <c r="AV7" s="1319"/>
      <c r="AW7" s="1319"/>
      <c r="AX7" s="1319"/>
      <c r="AY7" s="1319"/>
      <c r="AZ7" s="1319"/>
      <c r="BA7" s="1319"/>
    </row>
    <row r="8" spans="1:53" s="177" customFormat="1" ht="24.75" customHeight="1">
      <c r="A8" s="1319"/>
      <c r="B8" s="1320"/>
      <c r="C8" s="1326" t="s">
        <v>50</v>
      </c>
      <c r="D8" s="1340" t="b">
        <v>0</v>
      </c>
      <c r="E8" s="3708" t="s">
        <v>1429</v>
      </c>
      <c r="F8" s="3708"/>
      <c r="G8" s="3708"/>
      <c r="H8" s="3708"/>
      <c r="I8" s="3708"/>
      <c r="J8" s="3708"/>
      <c r="K8" s="3708"/>
      <c r="L8" s="3708"/>
      <c r="M8" s="3708"/>
      <c r="N8" s="3708"/>
      <c r="O8" s="3708"/>
      <c r="P8" s="3708"/>
      <c r="Q8" s="3708"/>
      <c r="R8" s="3708"/>
      <c r="S8" s="3708"/>
      <c r="T8" s="3708"/>
      <c r="U8" s="3708"/>
      <c r="V8" s="3708"/>
      <c r="W8" s="3708"/>
      <c r="X8" s="3708"/>
      <c r="Y8" s="3708"/>
      <c r="Z8" s="3708"/>
      <c r="AA8" s="3708"/>
      <c r="AB8" s="3708"/>
      <c r="AC8" s="3708"/>
      <c r="AD8" s="3708"/>
      <c r="AE8" s="1322"/>
      <c r="AF8" s="1323"/>
      <c r="AG8" s="1322"/>
      <c r="AH8" s="1322"/>
      <c r="AI8" s="1322"/>
      <c r="AJ8" s="1322"/>
      <c r="AK8" s="1322"/>
      <c r="AL8" s="1322"/>
      <c r="AM8" s="1322"/>
      <c r="AN8" s="1322"/>
      <c r="AO8" s="1322"/>
      <c r="AP8" s="1319"/>
      <c r="AQ8" s="1319"/>
      <c r="AR8" s="1319"/>
      <c r="AS8" s="1319"/>
      <c r="AT8" s="1319"/>
      <c r="AU8" s="1319"/>
      <c r="AV8" s="1319"/>
      <c r="AW8" s="1319"/>
      <c r="AX8" s="1319"/>
      <c r="AY8" s="1319"/>
      <c r="AZ8" s="1319"/>
      <c r="BA8" s="1319"/>
    </row>
    <row r="9" spans="1:53" s="177" customFormat="1" ht="24.75" customHeight="1">
      <c r="A9" s="1319"/>
      <c r="B9" s="1320"/>
      <c r="C9" s="1326" t="s">
        <v>51</v>
      </c>
      <c r="D9" s="1340" t="b">
        <v>1</v>
      </c>
      <c r="E9" s="3708" t="s">
        <v>1430</v>
      </c>
      <c r="F9" s="3708"/>
      <c r="G9" s="3708"/>
      <c r="H9" s="3708"/>
      <c r="I9" s="3708"/>
      <c r="J9" s="3708"/>
      <c r="K9" s="3708"/>
      <c r="L9" s="3708"/>
      <c r="M9" s="3708"/>
      <c r="N9" s="3708"/>
      <c r="O9" s="3708"/>
      <c r="P9" s="3708"/>
      <c r="Q9" s="3708"/>
      <c r="R9" s="3708"/>
      <c r="S9" s="3708"/>
      <c r="T9" s="3708"/>
      <c r="U9" s="3708"/>
      <c r="V9" s="3708"/>
      <c r="W9" s="3708"/>
      <c r="X9" s="3708"/>
      <c r="Y9" s="3708"/>
      <c r="Z9" s="3708"/>
      <c r="AA9" s="3708"/>
      <c r="AB9" s="3708"/>
      <c r="AC9" s="3708"/>
      <c r="AD9" s="3708"/>
      <c r="AE9" s="1322"/>
      <c r="AF9" s="1323"/>
      <c r="AG9" s="1322"/>
      <c r="AH9" s="1322"/>
      <c r="AI9" s="1322"/>
      <c r="AJ9" s="1322"/>
      <c r="AK9" s="1322"/>
      <c r="AL9" s="1322"/>
      <c r="AM9" s="1322"/>
      <c r="AN9" s="1322"/>
      <c r="AO9" s="1322"/>
      <c r="AP9" s="1319"/>
      <c r="AQ9" s="1319"/>
      <c r="AR9" s="1319"/>
      <c r="AS9" s="1319"/>
      <c r="AT9" s="1319"/>
      <c r="AU9" s="1319"/>
      <c r="AV9" s="1319"/>
      <c r="AW9" s="1319"/>
      <c r="AX9" s="1319"/>
      <c r="AY9" s="1319"/>
      <c r="AZ9" s="1319"/>
      <c r="BA9" s="1319"/>
    </row>
    <row r="10" spans="1:53" s="177" customFormat="1" ht="24.75" customHeight="1">
      <c r="A10" s="1319"/>
      <c r="B10" s="1320"/>
      <c r="C10" s="1326" t="s">
        <v>52</v>
      </c>
      <c r="D10" s="1340" t="b">
        <v>1</v>
      </c>
      <c r="E10" s="3708" t="s">
        <v>11368</v>
      </c>
      <c r="F10" s="3708"/>
      <c r="G10" s="3708"/>
      <c r="H10" s="3708"/>
      <c r="I10" s="3708"/>
      <c r="J10" s="3708"/>
      <c r="K10" s="3708"/>
      <c r="L10" s="3708"/>
      <c r="M10" s="3708"/>
      <c r="N10" s="3708"/>
      <c r="O10" s="3708"/>
      <c r="P10" s="3708"/>
      <c r="Q10" s="3708"/>
      <c r="R10" s="3708"/>
      <c r="S10" s="3708"/>
      <c r="T10" s="3708"/>
      <c r="U10" s="3708"/>
      <c r="V10" s="3708"/>
      <c r="W10" s="3708"/>
      <c r="X10" s="3708"/>
      <c r="Y10" s="3708"/>
      <c r="Z10" s="3708"/>
      <c r="AA10" s="3708"/>
      <c r="AB10" s="3708"/>
      <c r="AC10" s="3708"/>
      <c r="AD10" s="3708"/>
      <c r="AE10" s="1322"/>
      <c r="AF10" s="1323"/>
      <c r="AG10" s="1322"/>
      <c r="AH10" s="1322"/>
      <c r="AI10" s="1322"/>
      <c r="AJ10" s="1322"/>
      <c r="AK10" s="1322"/>
      <c r="AL10" s="1322"/>
      <c r="AM10" s="1322"/>
      <c r="AN10" s="1322"/>
      <c r="AO10" s="1322"/>
      <c r="AP10" s="1319"/>
      <c r="AQ10" s="1319"/>
      <c r="AR10" s="1319"/>
      <c r="AS10" s="1319"/>
      <c r="AT10" s="1319"/>
      <c r="AU10" s="1319"/>
      <c r="AV10" s="1319"/>
      <c r="AW10" s="1319"/>
      <c r="AX10" s="1319"/>
      <c r="AY10" s="1319"/>
      <c r="AZ10" s="1319"/>
      <c r="BA10" s="1319"/>
    </row>
    <row r="11" spans="1:53">
      <c r="A11" s="1262"/>
      <c r="B11" s="1269"/>
      <c r="C11" s="1301" t="s">
        <v>53</v>
      </c>
      <c r="D11" s="3666" t="s">
        <v>1431</v>
      </c>
      <c r="E11" s="3666"/>
      <c r="F11" s="3666"/>
      <c r="G11" s="3666"/>
      <c r="H11" s="3666"/>
      <c r="I11" s="3666"/>
      <c r="J11" s="3666"/>
      <c r="K11" s="3666"/>
      <c r="L11" s="3666"/>
      <c r="M11" s="3666"/>
      <c r="N11" s="3666"/>
      <c r="O11" s="3666"/>
      <c r="P11" s="3666"/>
      <c r="Q11" s="3666"/>
      <c r="R11" s="3666"/>
      <c r="S11" s="3666"/>
      <c r="T11" s="3666"/>
      <c r="U11" s="3666"/>
      <c r="V11" s="3666"/>
      <c r="W11" s="3666"/>
      <c r="X11" s="3666"/>
      <c r="Y11" s="3666"/>
      <c r="Z11" s="3666"/>
      <c r="AA11" s="3666"/>
      <c r="AB11" s="3666"/>
      <c r="AC11" s="3666"/>
      <c r="AD11" s="1302"/>
      <c r="AE11" s="1271"/>
      <c r="AF11" s="1272"/>
      <c r="AG11" s="1262"/>
      <c r="AH11" s="1262"/>
      <c r="AI11" s="1262"/>
      <c r="AJ11" s="1262"/>
      <c r="AK11" s="1262"/>
      <c r="AL11" s="1262"/>
      <c r="AM11" s="1262"/>
      <c r="AN11" s="1262"/>
      <c r="AO11" s="1262"/>
      <c r="AP11" s="1262"/>
      <c r="AQ11" s="1262"/>
      <c r="AR11" s="1262"/>
    </row>
    <row r="12" spans="1:53" ht="5.0999999999999996" customHeight="1" thickBot="1">
      <c r="A12" s="1262"/>
      <c r="B12" s="1303"/>
      <c r="C12" s="1327"/>
      <c r="D12" s="1327"/>
      <c r="E12" s="1327"/>
      <c r="F12" s="1327"/>
      <c r="G12" s="1327"/>
      <c r="H12" s="1327"/>
      <c r="I12" s="1327"/>
      <c r="J12" s="1327"/>
      <c r="K12" s="1327"/>
      <c r="L12" s="1327"/>
      <c r="M12" s="1327"/>
      <c r="N12" s="1327"/>
      <c r="O12" s="1327"/>
      <c r="P12" s="1327"/>
      <c r="Q12" s="1327"/>
      <c r="R12" s="1327"/>
      <c r="S12" s="1327"/>
      <c r="T12" s="1327"/>
      <c r="U12" s="1327"/>
      <c r="V12" s="1327"/>
      <c r="W12" s="1327"/>
      <c r="X12" s="1327"/>
      <c r="Y12" s="1327"/>
      <c r="Z12" s="1327"/>
      <c r="AA12" s="1327"/>
      <c r="AB12" s="1327"/>
      <c r="AC12" s="1327"/>
      <c r="AD12" s="1327"/>
      <c r="AE12" s="1327"/>
      <c r="AF12" s="1277"/>
      <c r="AG12" s="1262"/>
      <c r="AH12" s="1262"/>
      <c r="AI12" s="1262"/>
      <c r="AJ12" s="1262"/>
      <c r="AK12" s="1262"/>
      <c r="AL12" s="1262"/>
      <c r="AM12" s="1262"/>
      <c r="AN12" s="1262"/>
      <c r="AO12" s="1262"/>
      <c r="AP12" s="1262"/>
      <c r="AQ12" s="1262"/>
      <c r="AR12" s="1262"/>
    </row>
    <row r="13" spans="1:53" s="175" customFormat="1" ht="59.1" customHeight="1" thickTop="1" thickBot="1">
      <c r="A13" s="1263"/>
      <c r="B13" s="1303"/>
      <c r="C13" s="1304"/>
      <c r="D13" s="3654" t="s">
        <v>1842</v>
      </c>
      <c r="E13" s="3655"/>
      <c r="F13" s="3655"/>
      <c r="G13" s="3655"/>
      <c r="H13" s="3655"/>
      <c r="I13" s="3655"/>
      <c r="J13" s="3656" t="s">
        <v>1574</v>
      </c>
      <c r="K13" s="3655"/>
      <c r="L13" s="3655"/>
      <c r="M13" s="3655"/>
      <c r="N13" s="3655"/>
      <c r="O13" s="3657"/>
      <c r="P13" s="3656" t="s">
        <v>1575</v>
      </c>
      <c r="Q13" s="3655"/>
      <c r="R13" s="3655"/>
      <c r="S13" s="3655"/>
      <c r="T13" s="3655"/>
      <c r="U13" s="3657"/>
      <c r="V13" s="3655" t="s">
        <v>1786</v>
      </c>
      <c r="W13" s="3655"/>
      <c r="X13" s="3655"/>
      <c r="Y13" s="3655"/>
      <c r="Z13" s="3655"/>
      <c r="AA13" s="3658"/>
      <c r="AB13" s="1304"/>
      <c r="AC13" s="1304"/>
      <c r="AD13" s="1304"/>
      <c r="AE13" s="1304"/>
      <c r="AF13" s="1305"/>
      <c r="AG13" s="1263"/>
      <c r="AH13" s="1263"/>
      <c r="AI13" s="1263"/>
      <c r="AJ13" s="1263"/>
      <c r="AK13" s="1263"/>
      <c r="AL13" s="1263"/>
      <c r="AM13" s="1263"/>
      <c r="AN13" s="1263"/>
      <c r="AO13" s="1263"/>
      <c r="AP13" s="1263"/>
      <c r="AQ13" s="1263"/>
      <c r="AR13" s="1263"/>
      <c r="AS13" s="1263"/>
      <c r="AT13" s="1263"/>
      <c r="AU13" s="1263"/>
      <c r="AV13" s="1263"/>
      <c r="AW13" s="1263"/>
      <c r="AX13" s="1263"/>
      <c r="AY13" s="1263"/>
      <c r="AZ13" s="1263"/>
      <c r="BA13" s="1263"/>
    </row>
    <row r="14" spans="1:53" s="175" customFormat="1" ht="19.5" customHeight="1" thickBot="1">
      <c r="A14" s="1263"/>
      <c r="B14" s="1273"/>
      <c r="C14" s="1274"/>
      <c r="D14" s="3659" t="s">
        <v>45</v>
      </c>
      <c r="E14" s="3660"/>
      <c r="F14" s="3661"/>
      <c r="G14" s="3660" t="s">
        <v>46</v>
      </c>
      <c r="H14" s="3660"/>
      <c r="I14" s="3660"/>
      <c r="J14" s="3662" t="s">
        <v>45</v>
      </c>
      <c r="K14" s="3660" t="s">
        <v>46</v>
      </c>
      <c r="L14" s="3661"/>
      <c r="M14" s="3660" t="s">
        <v>46</v>
      </c>
      <c r="N14" s="3660"/>
      <c r="O14" s="3663"/>
      <c r="P14" s="3662" t="s">
        <v>45</v>
      </c>
      <c r="Q14" s="3660" t="s">
        <v>46</v>
      </c>
      <c r="R14" s="3661"/>
      <c r="S14" s="3660" t="s">
        <v>46</v>
      </c>
      <c r="T14" s="3660"/>
      <c r="U14" s="3663"/>
      <c r="V14" s="3660" t="s">
        <v>45</v>
      </c>
      <c r="W14" s="3660" t="s">
        <v>46</v>
      </c>
      <c r="X14" s="3661"/>
      <c r="Y14" s="3664" t="s">
        <v>46</v>
      </c>
      <c r="Z14" s="3660"/>
      <c r="AA14" s="3665"/>
      <c r="AB14" s="1263"/>
      <c r="AC14" s="1263"/>
      <c r="AD14" s="1263"/>
      <c r="AE14" s="1263"/>
      <c r="AF14" s="1284"/>
      <c r="AG14" s="1263"/>
      <c r="AH14" s="1263"/>
      <c r="AI14" s="1263"/>
      <c r="AJ14" s="1263"/>
      <c r="AK14" s="1263"/>
      <c r="AL14" s="1263"/>
      <c r="AM14" s="1263"/>
      <c r="AN14" s="1263"/>
      <c r="AO14" s="1263"/>
      <c r="AP14" s="1263"/>
      <c r="AQ14" s="1263"/>
      <c r="AR14" s="1263"/>
      <c r="AS14" s="1263"/>
      <c r="AT14" s="1263"/>
      <c r="AU14" s="1263"/>
      <c r="AV14" s="1263"/>
      <c r="AW14" s="1263"/>
      <c r="AX14" s="1263"/>
      <c r="AY14" s="1263"/>
      <c r="AZ14" s="1263"/>
      <c r="BA14" s="1263"/>
    </row>
    <row r="15" spans="1:53" s="175" customFormat="1" ht="30" customHeight="1" thickTop="1" thickBot="1">
      <c r="A15" s="1263"/>
      <c r="B15" s="1273"/>
      <c r="C15" s="1274"/>
      <c r="D15" s="3647">
        <v>0</v>
      </c>
      <c r="E15" s="3632"/>
      <c r="F15" s="3633"/>
      <c r="G15" s="3634">
        <v>0</v>
      </c>
      <c r="H15" s="3630"/>
      <c r="I15" s="3630"/>
      <c r="J15" s="3653">
        <v>0</v>
      </c>
      <c r="K15" s="3632"/>
      <c r="L15" s="3633"/>
      <c r="M15" s="3630">
        <v>0</v>
      </c>
      <c r="N15" s="3630"/>
      <c r="O15" s="3631"/>
      <c r="P15" s="3653">
        <v>0</v>
      </c>
      <c r="Q15" s="3632"/>
      <c r="R15" s="3633"/>
      <c r="S15" s="3630">
        <v>0</v>
      </c>
      <c r="T15" s="3630"/>
      <c r="U15" s="3631"/>
      <c r="V15" s="3632">
        <v>0</v>
      </c>
      <c r="W15" s="3632"/>
      <c r="X15" s="3633"/>
      <c r="Y15" s="3634">
        <v>0</v>
      </c>
      <c r="Z15" s="3630"/>
      <c r="AA15" s="3635"/>
      <c r="AB15" s="1263"/>
      <c r="AC15" s="1263"/>
      <c r="AD15" s="1263"/>
      <c r="AE15" s="1263"/>
      <c r="AF15" s="1284"/>
      <c r="AG15" s="1263"/>
      <c r="AH15" s="1263"/>
      <c r="AI15" s="1263"/>
      <c r="AJ15" s="1263"/>
      <c r="AK15" s="1263"/>
      <c r="AL15" s="1263"/>
      <c r="AM15" s="1263"/>
      <c r="AN15" s="1263"/>
      <c r="AO15" s="1263"/>
      <c r="AP15" s="1263"/>
      <c r="AQ15" s="1263"/>
      <c r="AR15" s="1263"/>
      <c r="AS15" s="1263"/>
      <c r="AT15" s="1263"/>
      <c r="AU15" s="1263"/>
      <c r="AV15" s="1263"/>
      <c r="AW15" s="1263"/>
      <c r="AX15" s="1263"/>
      <c r="AY15" s="1263"/>
      <c r="AZ15" s="1263"/>
      <c r="BA15" s="1263"/>
    </row>
    <row r="16" spans="1:53" s="175" customFormat="1" ht="5.0999999999999996" customHeight="1" thickTop="1">
      <c r="A16" s="1263"/>
      <c r="B16" s="1273"/>
      <c r="C16" s="1274"/>
      <c r="D16" s="1306"/>
      <c r="E16" s="1306"/>
      <c r="F16" s="1306"/>
      <c r="G16" s="1307"/>
      <c r="H16" s="1307"/>
      <c r="I16" s="1307"/>
      <c r="J16" s="1308"/>
      <c r="K16" s="1308"/>
      <c r="L16" s="1308"/>
      <c r="M16" s="1307"/>
      <c r="N16" s="1307"/>
      <c r="O16" s="1307"/>
      <c r="P16" s="1308"/>
      <c r="Q16" s="1308"/>
      <c r="R16" s="1308"/>
      <c r="S16" s="1307"/>
      <c r="T16" s="1307"/>
      <c r="U16" s="1307"/>
      <c r="V16" s="1308"/>
      <c r="W16" s="1308"/>
      <c r="X16" s="1308"/>
      <c r="Y16" s="1307"/>
      <c r="Z16" s="1307"/>
      <c r="AA16" s="1307"/>
      <c r="AB16" s="1263"/>
      <c r="AC16" s="1263"/>
      <c r="AD16" s="1263"/>
      <c r="AE16" s="1263"/>
      <c r="AF16" s="1284"/>
      <c r="AG16" s="1263"/>
      <c r="AH16" s="1263"/>
      <c r="AI16" s="1263"/>
      <c r="AJ16" s="1263"/>
      <c r="AK16" s="1263"/>
      <c r="AL16" s="1263"/>
      <c r="AM16" s="1263"/>
      <c r="AN16" s="1263"/>
      <c r="AO16" s="1263"/>
      <c r="AP16" s="1263"/>
      <c r="AQ16" s="1263"/>
      <c r="AR16" s="1263"/>
      <c r="AS16" s="1263"/>
      <c r="AT16" s="1263"/>
      <c r="AU16" s="1263"/>
      <c r="AV16" s="1263"/>
      <c r="AW16" s="1263"/>
      <c r="AX16" s="1263"/>
      <c r="AY16" s="1263"/>
      <c r="AZ16" s="1263"/>
      <c r="BA16" s="1263"/>
    </row>
    <row r="17" spans="1:53" s="175" customFormat="1" ht="33.950000000000003" customHeight="1">
      <c r="A17" s="1263"/>
      <c r="B17" s="1273"/>
      <c r="C17" s="1274"/>
      <c r="D17" s="377" t="s">
        <v>268</v>
      </c>
      <c r="E17" s="1306"/>
      <c r="F17" s="1306"/>
      <c r="G17" s="3637" t="s">
        <v>1843</v>
      </c>
      <c r="H17" s="3637"/>
      <c r="I17" s="3637"/>
      <c r="J17" s="3637"/>
      <c r="K17" s="3637"/>
      <c r="L17" s="3637"/>
      <c r="M17" s="3637"/>
      <c r="N17" s="3637"/>
      <c r="O17" s="3637"/>
      <c r="P17" s="3637"/>
      <c r="Q17" s="3637"/>
      <c r="R17" s="3637"/>
      <c r="S17" s="3637"/>
      <c r="T17" s="3637"/>
      <c r="U17" s="3637"/>
      <c r="V17" s="3637"/>
      <c r="W17" s="3637"/>
      <c r="X17" s="3637"/>
      <c r="Y17" s="3637"/>
      <c r="Z17" s="3637"/>
      <c r="AA17" s="3637"/>
      <c r="AB17" s="1263"/>
      <c r="AC17" s="1263"/>
      <c r="AD17" s="1263"/>
      <c r="AE17" s="1263"/>
      <c r="AF17" s="1284"/>
      <c r="AG17" s="1263"/>
      <c r="AH17" s="1263"/>
      <c r="AI17" s="1263"/>
      <c r="AJ17" s="1263"/>
      <c r="AK17" s="1263"/>
      <c r="AL17" s="1263"/>
      <c r="AM17" s="1263"/>
      <c r="AN17" s="1263"/>
      <c r="AO17" s="1263"/>
      <c r="AP17" s="1263"/>
      <c r="AQ17" s="1263"/>
      <c r="AR17" s="1263"/>
      <c r="AS17" s="1263"/>
      <c r="AT17" s="1263"/>
      <c r="AU17" s="1263"/>
      <c r="AV17" s="1263"/>
      <c r="AW17" s="1263"/>
      <c r="AX17" s="1263"/>
      <c r="AY17" s="1263"/>
      <c r="AZ17" s="1263"/>
      <c r="BA17" s="1263"/>
    </row>
    <row r="18" spans="1:53" ht="9.9499999999999993" customHeight="1" thickBot="1">
      <c r="A18" s="1262"/>
      <c r="B18" s="1310"/>
      <c r="C18" s="1311"/>
      <c r="D18" s="1297"/>
      <c r="E18" s="1312"/>
      <c r="F18" s="1312"/>
      <c r="G18" s="1312"/>
      <c r="H18" s="1312"/>
      <c r="I18" s="1312"/>
      <c r="J18" s="1312"/>
      <c r="K18" s="1313"/>
      <c r="L18" s="1313"/>
      <c r="M18" s="1313"/>
      <c r="N18" s="1313"/>
      <c r="O18" s="1313"/>
      <c r="P18" s="1313"/>
      <c r="Q18" s="1313"/>
      <c r="R18" s="1313"/>
      <c r="S18" s="1313"/>
      <c r="T18" s="1313"/>
      <c r="U18" s="1313"/>
      <c r="V18" s="1313"/>
      <c r="W18" s="1313"/>
      <c r="X18" s="1313"/>
      <c r="Y18" s="1313"/>
      <c r="Z18" s="1313"/>
      <c r="AA18" s="1313"/>
      <c r="AB18" s="1313"/>
      <c r="AC18" s="1313"/>
      <c r="AD18" s="1313"/>
      <c r="AE18" s="1313"/>
      <c r="AF18" s="1314"/>
      <c r="AG18" s="1262"/>
      <c r="AH18" s="1262"/>
      <c r="AI18" s="1262"/>
      <c r="AJ18" s="1262"/>
      <c r="AK18" s="1262"/>
      <c r="AL18" s="1262"/>
      <c r="AM18" s="1262"/>
      <c r="AN18" s="1262"/>
      <c r="AO18" s="1262"/>
      <c r="AP18" s="1262"/>
      <c r="AQ18" s="1262"/>
      <c r="AR18" s="1262"/>
    </row>
    <row r="19" spans="1:53" s="44" customFormat="1" ht="30.75" customHeight="1" thickTop="1">
      <c r="A19" s="434"/>
      <c r="B19" s="434"/>
      <c r="C19" s="434"/>
      <c r="D19" s="434"/>
      <c r="E19" s="434"/>
      <c r="F19" s="434"/>
      <c r="G19" s="434"/>
      <c r="H19" s="434"/>
      <c r="I19" s="434"/>
      <c r="J19" s="434"/>
      <c r="K19" s="434"/>
      <c r="L19" s="434"/>
      <c r="M19" s="434"/>
      <c r="N19" s="434"/>
      <c r="O19" s="434"/>
      <c r="P19" s="434"/>
      <c r="Q19" s="434"/>
      <c r="R19" s="434"/>
      <c r="S19" s="434"/>
      <c r="T19" s="434"/>
      <c r="U19" s="434"/>
      <c r="V19" s="434"/>
      <c r="W19" s="434"/>
      <c r="X19" s="434"/>
      <c r="Y19" s="434"/>
      <c r="Z19" s="434"/>
      <c r="AA19" s="434"/>
      <c r="AB19" s="434"/>
      <c r="AC19" s="434"/>
      <c r="AD19" s="434"/>
      <c r="AE19" s="434"/>
      <c r="AF19" s="434"/>
      <c r="AG19" s="434"/>
      <c r="AH19" s="434"/>
      <c r="AI19" s="434"/>
      <c r="AJ19" s="434"/>
      <c r="AK19" s="434"/>
      <c r="AL19" s="434"/>
      <c r="AM19" s="434"/>
      <c r="AN19" s="434"/>
      <c r="AO19" s="434"/>
      <c r="AP19" s="434"/>
      <c r="AQ19" s="434"/>
      <c r="AR19" s="434"/>
      <c r="AS19" s="434"/>
      <c r="AT19" s="434"/>
      <c r="AU19" s="434"/>
      <c r="AV19" s="434"/>
      <c r="AW19" s="434"/>
      <c r="AX19" s="434"/>
      <c r="AY19" s="434"/>
      <c r="AZ19" s="434"/>
      <c r="BA19" s="434"/>
    </row>
    <row r="20" spans="1:53" ht="17.25" thickBot="1">
      <c r="A20" s="1262"/>
      <c r="B20" s="1264" t="s">
        <v>1432</v>
      </c>
      <c r="C20" s="1262"/>
      <c r="D20" s="1262"/>
      <c r="E20" s="1262"/>
      <c r="F20" s="1262"/>
      <c r="G20" s="1262"/>
      <c r="H20" s="1262"/>
      <c r="I20" s="1262"/>
      <c r="J20" s="1262"/>
      <c r="K20" s="1262"/>
      <c r="L20" s="1262"/>
      <c r="M20" s="1262"/>
      <c r="N20" s="1262"/>
      <c r="O20" s="1262"/>
      <c r="P20" s="1262"/>
      <c r="Q20" s="1262"/>
      <c r="R20" s="1262"/>
      <c r="S20" s="1262"/>
      <c r="T20" s="1262"/>
      <c r="U20" s="1262"/>
      <c r="V20" s="1262"/>
      <c r="W20" s="1262"/>
      <c r="X20" s="1262"/>
      <c r="Y20" s="1262"/>
      <c r="Z20" s="1262"/>
      <c r="AA20" s="1262"/>
      <c r="AB20" s="1262"/>
      <c r="AC20" s="1262"/>
      <c r="AD20" s="1262"/>
      <c r="AE20" s="1262"/>
      <c r="AF20" s="1262"/>
      <c r="AG20" s="1262"/>
      <c r="AH20" s="1262"/>
      <c r="AI20" s="1262"/>
      <c r="AJ20" s="1262"/>
      <c r="AK20" s="1262"/>
      <c r="AL20" s="1262"/>
      <c r="AM20" s="1262"/>
      <c r="AN20" s="1262"/>
      <c r="AO20" s="1262"/>
      <c r="AP20" s="1262"/>
      <c r="AQ20" s="1262"/>
      <c r="AR20" s="1262"/>
    </row>
    <row r="21" spans="1:53" ht="5.0999999999999996" customHeight="1" thickTop="1">
      <c r="A21" s="1262"/>
      <c r="B21" s="1266"/>
      <c r="C21" s="1267"/>
      <c r="D21" s="1267"/>
      <c r="E21" s="1267"/>
      <c r="F21" s="1267"/>
      <c r="G21" s="1267"/>
      <c r="H21" s="1267"/>
      <c r="I21" s="1267"/>
      <c r="J21" s="1267"/>
      <c r="K21" s="1267"/>
      <c r="L21" s="1267"/>
      <c r="M21" s="1267"/>
      <c r="N21" s="1267"/>
      <c r="O21" s="1267"/>
      <c r="P21" s="1267"/>
      <c r="Q21" s="1267"/>
      <c r="R21" s="1267"/>
      <c r="S21" s="1267"/>
      <c r="T21" s="1267"/>
      <c r="U21" s="1267"/>
      <c r="V21" s="1267"/>
      <c r="W21" s="1267"/>
      <c r="X21" s="1267"/>
      <c r="Y21" s="1267"/>
      <c r="Z21" s="1267"/>
      <c r="AA21" s="1267"/>
      <c r="AB21" s="1267"/>
      <c r="AC21" s="1267"/>
      <c r="AD21" s="1267"/>
      <c r="AE21" s="1267"/>
      <c r="AF21" s="1268"/>
      <c r="AG21" s="1262"/>
      <c r="AH21" s="1262"/>
      <c r="AI21" s="1262"/>
      <c r="AJ21" s="1262"/>
      <c r="AK21" s="1262"/>
      <c r="AL21" s="1262"/>
      <c r="AM21" s="1262"/>
      <c r="AN21" s="1262"/>
      <c r="AO21" s="1262"/>
      <c r="AP21" s="1262"/>
      <c r="AQ21" s="1262"/>
      <c r="AR21" s="1262"/>
    </row>
    <row r="22" spans="1:53" s="177" customFormat="1" ht="24.75" customHeight="1">
      <c r="A22" s="1319"/>
      <c r="B22" s="1320"/>
      <c r="C22" s="1270" t="s">
        <v>47</v>
      </c>
      <c r="D22" s="1340" t="b">
        <v>1</v>
      </c>
      <c r="E22" s="3708" t="s">
        <v>1433</v>
      </c>
      <c r="F22" s="3708"/>
      <c r="G22" s="3708"/>
      <c r="H22" s="3708"/>
      <c r="I22" s="3708"/>
      <c r="J22" s="3708"/>
      <c r="K22" s="3708"/>
      <c r="L22" s="3708"/>
      <c r="M22" s="3708"/>
      <c r="N22" s="3708"/>
      <c r="O22" s="3708"/>
      <c r="P22" s="3708"/>
      <c r="Q22" s="3708"/>
      <c r="R22" s="3708"/>
      <c r="S22" s="3708"/>
      <c r="T22" s="3708"/>
      <c r="U22" s="3708"/>
      <c r="V22" s="3708"/>
      <c r="W22" s="3708"/>
      <c r="X22" s="3708"/>
      <c r="Y22" s="3708"/>
      <c r="Z22" s="3708"/>
      <c r="AA22" s="3708"/>
      <c r="AB22" s="3708"/>
      <c r="AC22" s="1328"/>
      <c r="AD22" s="1328"/>
      <c r="AE22" s="1322"/>
      <c r="AF22" s="1323"/>
      <c r="AG22" s="1322"/>
      <c r="AH22" s="1322"/>
      <c r="AI22" s="1322"/>
      <c r="AJ22" s="1322"/>
      <c r="AK22" s="1322"/>
      <c r="AL22" s="1322"/>
      <c r="AM22" s="1322"/>
      <c r="AN22" s="1322"/>
      <c r="AO22" s="1322"/>
      <c r="AP22" s="1319"/>
      <c r="AQ22" s="1319"/>
      <c r="AR22" s="1319"/>
      <c r="AS22" s="1319"/>
      <c r="AT22" s="1319"/>
      <c r="AU22" s="1319"/>
      <c r="AV22" s="1319"/>
      <c r="AW22" s="1319"/>
      <c r="AX22" s="1319"/>
      <c r="AY22" s="1319"/>
      <c r="AZ22" s="1319"/>
      <c r="BA22" s="1319"/>
    </row>
    <row r="23" spans="1:53" s="177" customFormat="1" ht="24.75" customHeight="1">
      <c r="A23" s="1319"/>
      <c r="B23" s="1320"/>
      <c r="C23" s="1326" t="s">
        <v>48</v>
      </c>
      <c r="D23" s="1340" t="b">
        <v>1</v>
      </c>
      <c r="E23" s="3708" t="s">
        <v>1434</v>
      </c>
      <c r="F23" s="3708"/>
      <c r="G23" s="3708"/>
      <c r="H23" s="3708"/>
      <c r="I23" s="3708"/>
      <c r="J23" s="3708"/>
      <c r="K23" s="3708"/>
      <c r="L23" s="3708"/>
      <c r="M23" s="3708"/>
      <c r="N23" s="3708"/>
      <c r="O23" s="3708"/>
      <c r="P23" s="3708"/>
      <c r="Q23" s="3708"/>
      <c r="R23" s="3708"/>
      <c r="S23" s="3708"/>
      <c r="T23" s="3708"/>
      <c r="U23" s="3708"/>
      <c r="V23" s="3708"/>
      <c r="W23" s="3708"/>
      <c r="X23" s="3708"/>
      <c r="Y23" s="3708"/>
      <c r="Z23" s="3708"/>
      <c r="AA23" s="3708"/>
      <c r="AB23" s="3708"/>
      <c r="AC23" s="1328"/>
      <c r="AD23" s="1328"/>
      <c r="AE23" s="1322"/>
      <c r="AF23" s="1323"/>
      <c r="AG23" s="1322"/>
      <c r="AH23" s="1322"/>
      <c r="AI23" s="1322"/>
      <c r="AJ23" s="1322"/>
      <c r="AK23" s="1322"/>
      <c r="AL23" s="1322"/>
      <c r="AM23" s="1322"/>
      <c r="AN23" s="1322"/>
      <c r="AO23" s="1322"/>
      <c r="AP23" s="1319"/>
      <c r="AQ23" s="1319"/>
      <c r="AR23" s="1319"/>
      <c r="AS23" s="1319"/>
      <c r="AT23" s="1319"/>
      <c r="AU23" s="1319"/>
      <c r="AV23" s="1319"/>
      <c r="AW23" s="1319"/>
      <c r="AX23" s="1319"/>
      <c r="AY23" s="1319"/>
      <c r="AZ23" s="1319"/>
      <c r="BA23" s="1319"/>
    </row>
    <row r="24" spans="1:53" ht="33.6" customHeight="1" thickBot="1">
      <c r="A24" s="1262"/>
      <c r="B24" s="1269"/>
      <c r="C24" s="1301" t="s">
        <v>49</v>
      </c>
      <c r="D24" s="3666" t="s">
        <v>1435</v>
      </c>
      <c r="E24" s="3666"/>
      <c r="F24" s="3666"/>
      <c r="G24" s="3666"/>
      <c r="H24" s="3666"/>
      <c r="I24" s="3666"/>
      <c r="J24" s="3666"/>
      <c r="K24" s="3666"/>
      <c r="L24" s="3666"/>
      <c r="M24" s="3666"/>
      <c r="N24" s="3666"/>
      <c r="O24" s="3666"/>
      <c r="P24" s="3666"/>
      <c r="Q24" s="3666"/>
      <c r="R24" s="3666"/>
      <c r="S24" s="3666"/>
      <c r="T24" s="3666"/>
      <c r="U24" s="3666"/>
      <c r="V24" s="3666"/>
      <c r="W24" s="3666"/>
      <c r="X24" s="3666"/>
      <c r="Y24" s="3666"/>
      <c r="Z24" s="3666"/>
      <c r="AA24" s="3666"/>
      <c r="AB24" s="3666"/>
      <c r="AC24" s="1302"/>
      <c r="AD24" s="1302"/>
      <c r="AE24" s="1271"/>
      <c r="AF24" s="1272"/>
      <c r="AG24" s="1262"/>
      <c r="AH24" s="1262"/>
      <c r="AI24" s="1262"/>
      <c r="AJ24" s="1262"/>
      <c r="AK24" s="1262"/>
      <c r="AL24" s="1262"/>
      <c r="AM24" s="1262"/>
      <c r="AN24" s="1262"/>
      <c r="AO24" s="1262"/>
      <c r="AP24" s="1262"/>
      <c r="AQ24" s="1262"/>
      <c r="AR24" s="1262"/>
    </row>
    <row r="25" spans="1:53" s="175" customFormat="1" ht="36" customHeight="1" thickTop="1" thickBot="1">
      <c r="A25" s="1263"/>
      <c r="B25" s="1303"/>
      <c r="C25" s="1304"/>
      <c r="D25" s="3709" t="s">
        <v>932</v>
      </c>
      <c r="E25" s="3710"/>
      <c r="F25" s="3710"/>
      <c r="G25" s="3710"/>
      <c r="H25" s="3710"/>
      <c r="I25" s="3710"/>
      <c r="J25" s="3710"/>
      <c r="K25" s="3710"/>
      <c r="L25" s="3711"/>
      <c r="M25" s="3712" t="s">
        <v>1847</v>
      </c>
      <c r="N25" s="3710"/>
      <c r="O25" s="3710"/>
      <c r="P25" s="3710"/>
      <c r="Q25" s="3710"/>
      <c r="R25" s="3710"/>
      <c r="S25" s="3710"/>
      <c r="T25" s="3710"/>
      <c r="U25" s="3711"/>
      <c r="V25" s="3710" t="s">
        <v>931</v>
      </c>
      <c r="W25" s="3710"/>
      <c r="X25" s="3710"/>
      <c r="Y25" s="3710"/>
      <c r="Z25" s="3710"/>
      <c r="AA25" s="3710"/>
      <c r="AB25" s="3710"/>
      <c r="AC25" s="3710"/>
      <c r="AD25" s="3713"/>
      <c r="AE25" s="1304"/>
      <c r="AF25" s="1305"/>
      <c r="AG25" s="1263"/>
      <c r="AH25" s="1263"/>
      <c r="AI25" s="1263"/>
      <c r="AJ25" s="1263"/>
      <c r="AK25" s="1263"/>
      <c r="AL25" s="1263"/>
      <c r="AM25" s="1263"/>
      <c r="AN25" s="1263"/>
      <c r="AO25" s="1263"/>
      <c r="AP25" s="1263"/>
      <c r="AQ25" s="1263"/>
      <c r="AR25" s="1263"/>
      <c r="AS25" s="1263"/>
      <c r="AT25" s="1263"/>
      <c r="AU25" s="1263"/>
      <c r="AV25" s="1263"/>
      <c r="AW25" s="1263"/>
      <c r="AX25" s="1263"/>
      <c r="AY25" s="1263"/>
      <c r="AZ25" s="1263"/>
      <c r="BA25" s="1263"/>
    </row>
    <row r="26" spans="1:53" s="178" customFormat="1" ht="57.6" customHeight="1" thickBot="1">
      <c r="A26" s="1329"/>
      <c r="B26" s="1330"/>
      <c r="C26" s="1331"/>
      <c r="D26" s="3705" t="s">
        <v>1436</v>
      </c>
      <c r="E26" s="3690"/>
      <c r="F26" s="3691"/>
      <c r="G26" s="3692" t="s">
        <v>1848</v>
      </c>
      <c r="H26" s="3690"/>
      <c r="I26" s="3691"/>
      <c r="J26" s="3693" t="s">
        <v>1438</v>
      </c>
      <c r="K26" s="3694" t="s">
        <v>46</v>
      </c>
      <c r="L26" s="3706"/>
      <c r="M26" s="3707" t="s">
        <v>1436</v>
      </c>
      <c r="N26" s="3690"/>
      <c r="O26" s="3691"/>
      <c r="P26" s="3692" t="s">
        <v>1848</v>
      </c>
      <c r="Q26" s="3690"/>
      <c r="R26" s="3691"/>
      <c r="S26" s="3693" t="s">
        <v>1438</v>
      </c>
      <c r="T26" s="3694" t="s">
        <v>46</v>
      </c>
      <c r="U26" s="3706"/>
      <c r="V26" s="3690" t="s">
        <v>1436</v>
      </c>
      <c r="W26" s="3690"/>
      <c r="X26" s="3691"/>
      <c r="Y26" s="3692" t="s">
        <v>1437</v>
      </c>
      <c r="Z26" s="3690"/>
      <c r="AA26" s="3691"/>
      <c r="AB26" s="3693" t="s">
        <v>1438</v>
      </c>
      <c r="AC26" s="3694" t="s">
        <v>46</v>
      </c>
      <c r="AD26" s="3695"/>
      <c r="AE26" s="1329"/>
      <c r="AF26" s="1332"/>
      <c r="AG26" s="1329"/>
      <c r="AH26" s="1329"/>
      <c r="AI26" s="1329"/>
      <c r="AJ26" s="1329"/>
      <c r="AK26" s="1329"/>
      <c r="AL26" s="1329"/>
      <c r="AM26" s="1329"/>
      <c r="AN26" s="1329"/>
      <c r="AO26" s="1329"/>
      <c r="AP26" s="1329"/>
      <c r="AQ26" s="1329"/>
      <c r="AR26" s="1329"/>
      <c r="AS26" s="1329"/>
      <c r="AT26" s="1329"/>
      <c r="AU26" s="1329"/>
      <c r="AV26" s="1329"/>
      <c r="AW26" s="1329"/>
      <c r="AX26" s="1329"/>
      <c r="AY26" s="1329"/>
      <c r="AZ26" s="1329"/>
      <c r="BA26" s="1329"/>
    </row>
    <row r="27" spans="1:53" s="175" customFormat="1" ht="30" customHeight="1" thickTop="1" thickBot="1">
      <c r="A27" s="1263"/>
      <c r="B27" s="1273"/>
      <c r="C27" s="1274"/>
      <c r="D27" s="3647">
        <v>0</v>
      </c>
      <c r="E27" s="3632"/>
      <c r="F27" s="3633"/>
      <c r="G27" s="3678">
        <v>0</v>
      </c>
      <c r="H27" s="3679"/>
      <c r="I27" s="3680"/>
      <c r="J27" s="3696">
        <v>0</v>
      </c>
      <c r="K27" s="3697"/>
      <c r="L27" s="3698"/>
      <c r="M27" s="3699">
        <v>0</v>
      </c>
      <c r="N27" s="3630"/>
      <c r="O27" s="3700"/>
      <c r="P27" s="3701">
        <v>0</v>
      </c>
      <c r="Q27" s="3702"/>
      <c r="R27" s="3703"/>
      <c r="S27" s="3681">
        <v>0</v>
      </c>
      <c r="T27" s="3681"/>
      <c r="U27" s="3704"/>
      <c r="V27" s="3632">
        <v>0</v>
      </c>
      <c r="W27" s="3632"/>
      <c r="X27" s="3633"/>
      <c r="Y27" s="3678">
        <v>0</v>
      </c>
      <c r="Z27" s="3679"/>
      <c r="AA27" s="3680"/>
      <c r="AB27" s="3681">
        <v>0</v>
      </c>
      <c r="AC27" s="3681"/>
      <c r="AD27" s="3682"/>
      <c r="AE27" s="1263"/>
      <c r="AF27" s="1284"/>
      <c r="AG27" s="1263"/>
      <c r="AH27" s="1263"/>
      <c r="AI27" s="1263"/>
      <c r="AJ27" s="1263"/>
      <c r="AK27" s="1263"/>
      <c r="AL27" s="1263"/>
      <c r="AM27" s="1263"/>
      <c r="AN27" s="1263"/>
      <c r="AO27" s="1263"/>
      <c r="AP27" s="1263"/>
      <c r="AQ27" s="1263"/>
      <c r="AR27" s="1263"/>
      <c r="AS27" s="1263"/>
      <c r="AT27" s="1263"/>
      <c r="AU27" s="1263"/>
      <c r="AV27" s="1263"/>
      <c r="AW27" s="1263"/>
      <c r="AX27" s="1263"/>
      <c r="AY27" s="1263"/>
      <c r="AZ27" s="1263"/>
      <c r="BA27" s="1263"/>
    </row>
    <row r="28" spans="1:53" ht="9.9499999999999993" customHeight="1" thickTop="1" thickBot="1">
      <c r="A28" s="1262"/>
      <c r="B28" s="1310"/>
      <c r="C28" s="1311"/>
      <c r="D28" s="1297"/>
      <c r="E28" s="1312"/>
      <c r="F28" s="1312"/>
      <c r="G28" s="1312"/>
      <c r="H28" s="1312"/>
      <c r="I28" s="1312"/>
      <c r="J28" s="1312"/>
      <c r="K28" s="1313"/>
      <c r="L28" s="1313"/>
      <c r="M28" s="1313"/>
      <c r="N28" s="1313"/>
      <c r="O28" s="1313"/>
      <c r="P28" s="1313"/>
      <c r="Q28" s="1313"/>
      <c r="R28" s="1313"/>
      <c r="S28" s="1313"/>
      <c r="T28" s="1313"/>
      <c r="U28" s="1313"/>
      <c r="V28" s="1313"/>
      <c r="W28" s="1313"/>
      <c r="X28" s="1313"/>
      <c r="Y28" s="1313"/>
      <c r="Z28" s="1313"/>
      <c r="AA28" s="1313"/>
      <c r="AB28" s="1313"/>
      <c r="AC28" s="1313"/>
      <c r="AD28" s="1313"/>
      <c r="AE28" s="1313"/>
      <c r="AF28" s="1314"/>
      <c r="AG28" s="1262"/>
      <c r="AH28" s="1262"/>
      <c r="AI28" s="1262"/>
      <c r="AJ28" s="1262"/>
      <c r="AK28" s="1262"/>
      <c r="AL28" s="1262"/>
      <c r="AM28" s="1262"/>
      <c r="AN28" s="1262"/>
      <c r="AO28" s="1262"/>
      <c r="AP28" s="1262"/>
      <c r="AQ28" s="1262"/>
      <c r="AR28" s="1262"/>
    </row>
    <row r="29" spans="1:53" s="44" customFormat="1" ht="30.75" customHeight="1" thickTop="1">
      <c r="A29" s="434"/>
      <c r="B29" s="434"/>
      <c r="C29" s="434"/>
      <c r="D29" s="434"/>
      <c r="E29" s="434"/>
      <c r="F29" s="434"/>
      <c r="G29" s="434"/>
      <c r="H29" s="434"/>
      <c r="I29" s="434"/>
      <c r="J29" s="434"/>
      <c r="K29" s="434"/>
      <c r="L29" s="434"/>
      <c r="M29" s="434"/>
      <c r="N29" s="434"/>
      <c r="O29" s="434"/>
      <c r="P29" s="434"/>
      <c r="Q29" s="434"/>
      <c r="R29" s="434"/>
      <c r="S29" s="434"/>
      <c r="T29" s="434"/>
      <c r="U29" s="434"/>
      <c r="V29" s="434"/>
      <c r="W29" s="434"/>
      <c r="X29" s="434"/>
      <c r="Y29" s="434"/>
      <c r="Z29" s="434"/>
      <c r="AA29" s="434"/>
      <c r="AB29" s="434"/>
      <c r="AC29" s="434"/>
      <c r="AD29" s="434"/>
      <c r="AE29" s="434"/>
      <c r="AF29" s="434"/>
      <c r="AG29" s="434"/>
      <c r="AH29" s="434"/>
      <c r="AI29" s="434"/>
      <c r="AJ29" s="434"/>
      <c r="AK29" s="434"/>
      <c r="AL29" s="434"/>
      <c r="AM29" s="434"/>
      <c r="AN29" s="434"/>
      <c r="AO29" s="434"/>
      <c r="AP29" s="434"/>
      <c r="AQ29" s="434"/>
      <c r="AR29" s="434"/>
      <c r="AS29" s="434"/>
      <c r="AT29" s="434"/>
      <c r="AU29" s="434"/>
      <c r="AV29" s="434"/>
      <c r="AW29" s="434"/>
      <c r="AX29" s="434"/>
      <c r="AY29" s="434"/>
      <c r="AZ29" s="434"/>
      <c r="BA29" s="434"/>
    </row>
    <row r="30" spans="1:53" ht="17.25" thickBot="1">
      <c r="A30" s="1262"/>
      <c r="B30" s="1264" t="s">
        <v>1439</v>
      </c>
      <c r="C30" s="1262"/>
      <c r="D30" s="1262"/>
      <c r="E30" s="1262"/>
      <c r="F30" s="1262"/>
      <c r="G30" s="1262"/>
      <c r="H30" s="1262"/>
      <c r="I30" s="1262"/>
      <c r="J30" s="1262"/>
      <c r="K30" s="1262"/>
      <c r="L30" s="1262"/>
      <c r="M30" s="1262"/>
      <c r="N30" s="1262"/>
      <c r="O30" s="1262"/>
      <c r="P30" s="1262"/>
      <c r="Q30" s="1262"/>
      <c r="R30" s="1262"/>
      <c r="S30" s="1262"/>
      <c r="T30" s="1262"/>
      <c r="U30" s="1262"/>
      <c r="V30" s="1262"/>
      <c r="W30" s="1262"/>
      <c r="X30" s="1262"/>
      <c r="Y30" s="1262"/>
      <c r="Z30" s="1262"/>
      <c r="AA30" s="1262"/>
      <c r="AB30" s="1262"/>
      <c r="AC30" s="1262"/>
      <c r="AD30" s="1262"/>
      <c r="AE30" s="1262"/>
      <c r="AF30" s="1262"/>
      <c r="AG30" s="1262"/>
      <c r="AH30" s="1262"/>
      <c r="AI30" s="1262"/>
      <c r="AJ30" s="1262"/>
      <c r="AK30" s="1262"/>
      <c r="AL30" s="1262"/>
      <c r="AM30" s="1262"/>
      <c r="AN30" s="1262"/>
      <c r="AO30" s="1262"/>
      <c r="AP30" s="1262"/>
      <c r="AQ30" s="1262"/>
      <c r="AR30" s="1262"/>
    </row>
    <row r="31" spans="1:53" ht="5.0999999999999996" customHeight="1" thickTop="1">
      <c r="A31" s="1262"/>
      <c r="B31" s="1266"/>
      <c r="C31" s="1267"/>
      <c r="D31" s="1267"/>
      <c r="E31" s="1267"/>
      <c r="F31" s="1267"/>
      <c r="G31" s="1267"/>
      <c r="H31" s="1267"/>
      <c r="I31" s="1267"/>
      <c r="J31" s="1267"/>
      <c r="K31" s="1267"/>
      <c r="L31" s="1267"/>
      <c r="M31" s="1267"/>
      <c r="N31" s="1267"/>
      <c r="O31" s="1267"/>
      <c r="P31" s="1267"/>
      <c r="Q31" s="1267"/>
      <c r="R31" s="1267"/>
      <c r="S31" s="1267"/>
      <c r="T31" s="1267"/>
      <c r="U31" s="1267"/>
      <c r="V31" s="1267"/>
      <c r="W31" s="1267"/>
      <c r="X31" s="1267"/>
      <c r="Y31" s="1267"/>
      <c r="Z31" s="1267"/>
      <c r="AA31" s="1267"/>
      <c r="AB31" s="1267"/>
      <c r="AC31" s="1267"/>
      <c r="AD31" s="1267"/>
      <c r="AE31" s="1267"/>
      <c r="AF31" s="1268"/>
      <c r="AG31" s="1262"/>
      <c r="AH31" s="1262"/>
      <c r="AI31" s="1262"/>
      <c r="AJ31" s="1262"/>
      <c r="AK31" s="1262"/>
      <c r="AL31" s="1262"/>
      <c r="AM31" s="1262"/>
      <c r="AN31" s="1262"/>
      <c r="AO31" s="1262"/>
      <c r="AP31" s="1262"/>
      <c r="AQ31" s="1262"/>
      <c r="AR31" s="1262"/>
    </row>
    <row r="32" spans="1:53" ht="15.6" customHeight="1">
      <c r="A32" s="1262"/>
      <c r="B32" s="1269"/>
      <c r="C32" s="1301" t="s">
        <v>47</v>
      </c>
      <c r="D32" s="3666" t="s">
        <v>1440</v>
      </c>
      <c r="E32" s="3666"/>
      <c r="F32" s="3666"/>
      <c r="G32" s="3666"/>
      <c r="H32" s="3666"/>
      <c r="I32" s="3666"/>
      <c r="J32" s="3666"/>
      <c r="K32" s="3666"/>
      <c r="L32" s="3666"/>
      <c r="M32" s="3666"/>
      <c r="N32" s="3666"/>
      <c r="O32" s="3666"/>
      <c r="P32" s="3666"/>
      <c r="Q32" s="3666"/>
      <c r="R32" s="3666"/>
      <c r="S32" s="3666"/>
      <c r="T32" s="3666"/>
      <c r="U32" s="3666"/>
      <c r="V32" s="3666"/>
      <c r="W32" s="3666"/>
      <c r="X32" s="3666"/>
      <c r="Y32" s="3666"/>
      <c r="Z32" s="3666"/>
      <c r="AA32" s="1309"/>
      <c r="AB32" s="1309"/>
      <c r="AC32" s="1309"/>
      <c r="AD32" s="1302"/>
      <c r="AE32" s="1271"/>
      <c r="AF32" s="1272"/>
      <c r="AG32" s="1262"/>
      <c r="AH32" s="1262"/>
      <c r="AI32" s="1262"/>
      <c r="AJ32" s="1262"/>
      <c r="AK32" s="1262"/>
      <c r="AL32" s="1262"/>
      <c r="AM32" s="1262"/>
      <c r="AN32" s="1262"/>
      <c r="AO32" s="1262"/>
      <c r="AP32" s="1262"/>
      <c r="AQ32" s="1262"/>
      <c r="AR32" s="1262"/>
    </row>
    <row r="33" spans="1:53" ht="5.0999999999999996" customHeight="1" thickBot="1">
      <c r="A33" s="1262"/>
      <c r="B33" s="1303"/>
      <c r="C33" s="1327"/>
      <c r="D33" s="1327"/>
      <c r="E33" s="1327"/>
      <c r="F33" s="1327"/>
      <c r="G33" s="1327"/>
      <c r="H33" s="1327"/>
      <c r="I33" s="1327"/>
      <c r="J33" s="1327"/>
      <c r="K33" s="1327"/>
      <c r="L33" s="1327"/>
      <c r="M33" s="1327"/>
      <c r="N33" s="1327"/>
      <c r="O33" s="1327"/>
      <c r="P33" s="1327"/>
      <c r="Q33" s="1327"/>
      <c r="R33" s="1327"/>
      <c r="S33" s="1327"/>
      <c r="T33" s="1327"/>
      <c r="U33" s="1327"/>
      <c r="V33" s="1327"/>
      <c r="W33" s="1327"/>
      <c r="X33" s="1327"/>
      <c r="Y33" s="1327"/>
      <c r="Z33" s="1327"/>
      <c r="AA33" s="1327"/>
      <c r="AB33" s="1327"/>
      <c r="AC33" s="1327"/>
      <c r="AD33" s="1327"/>
      <c r="AE33" s="1327"/>
      <c r="AF33" s="1277"/>
      <c r="AG33" s="1262"/>
      <c r="AH33" s="1262"/>
      <c r="AI33" s="1262"/>
      <c r="AJ33" s="1262"/>
      <c r="AK33" s="1262"/>
      <c r="AL33" s="1262"/>
      <c r="AM33" s="1262"/>
      <c r="AN33" s="1262"/>
      <c r="AO33" s="1262"/>
      <c r="AP33" s="1262"/>
      <c r="AQ33" s="1262"/>
      <c r="AR33" s="1262"/>
    </row>
    <row r="34" spans="1:53" s="175" customFormat="1" ht="35.1" customHeight="1" thickTop="1" thickBot="1">
      <c r="A34" s="1263"/>
      <c r="B34" s="1303"/>
      <c r="C34" s="1304"/>
      <c r="D34" s="3654" t="s">
        <v>940</v>
      </c>
      <c r="E34" s="3655"/>
      <c r="F34" s="3655"/>
      <c r="G34" s="3655"/>
      <c r="H34" s="3655"/>
      <c r="I34" s="3657"/>
      <c r="J34" s="3655" t="s">
        <v>941</v>
      </c>
      <c r="K34" s="3655"/>
      <c r="L34" s="3655"/>
      <c r="M34" s="3655"/>
      <c r="N34" s="3655"/>
      <c r="O34" s="3658"/>
      <c r="P34" s="1333"/>
      <c r="Q34" s="1333"/>
      <c r="R34" s="1333"/>
      <c r="S34" s="1333"/>
      <c r="T34" s="1333"/>
      <c r="U34" s="1333"/>
      <c r="V34" s="1333"/>
      <c r="W34" s="1333"/>
      <c r="X34" s="1333"/>
      <c r="Y34" s="1333"/>
      <c r="Z34" s="1333"/>
      <c r="AA34" s="1333"/>
      <c r="AB34" s="1304"/>
      <c r="AC34" s="1304"/>
      <c r="AD34" s="1304"/>
      <c r="AE34" s="1304"/>
      <c r="AF34" s="1305"/>
      <c r="AG34" s="1263"/>
      <c r="AH34" s="1263"/>
      <c r="AI34" s="1263"/>
      <c r="AJ34" s="1263"/>
      <c r="AK34" s="1263"/>
      <c r="AL34" s="1263"/>
      <c r="AM34" s="1263"/>
      <c r="AN34" s="1263"/>
      <c r="AO34" s="1263"/>
      <c r="AP34" s="1263"/>
      <c r="AQ34" s="1263"/>
      <c r="AR34" s="1263"/>
      <c r="AS34" s="1263"/>
      <c r="AT34" s="1263"/>
      <c r="AU34" s="1263"/>
      <c r="AV34" s="1263"/>
      <c r="AW34" s="1263"/>
      <c r="AX34" s="1263"/>
      <c r="AY34" s="1263"/>
      <c r="AZ34" s="1263"/>
      <c r="BA34" s="1263"/>
    </row>
    <row r="35" spans="1:53" s="175" customFormat="1" ht="19.5" customHeight="1" thickBot="1">
      <c r="A35" s="1263"/>
      <c r="B35" s="1273"/>
      <c r="C35" s="1274"/>
      <c r="D35" s="3659" t="s">
        <v>45</v>
      </c>
      <c r="E35" s="3660"/>
      <c r="F35" s="3661"/>
      <c r="G35" s="3664" t="s">
        <v>46</v>
      </c>
      <c r="H35" s="3660"/>
      <c r="I35" s="3663"/>
      <c r="J35" s="3660" t="s">
        <v>45</v>
      </c>
      <c r="K35" s="3660"/>
      <c r="L35" s="3661"/>
      <c r="M35" s="3664" t="s">
        <v>46</v>
      </c>
      <c r="N35" s="3660"/>
      <c r="O35" s="3665"/>
      <c r="P35" s="1334"/>
      <c r="Q35" s="1334"/>
      <c r="R35" s="1334"/>
      <c r="S35" s="1334"/>
      <c r="T35" s="1334"/>
      <c r="U35" s="1334"/>
      <c r="V35" s="1334"/>
      <c r="W35" s="1334"/>
      <c r="X35" s="1334"/>
      <c r="Y35" s="1334"/>
      <c r="Z35" s="1334"/>
      <c r="AA35" s="1334"/>
      <c r="AB35" s="1263"/>
      <c r="AC35" s="1263"/>
      <c r="AD35" s="1263"/>
      <c r="AE35" s="1263"/>
      <c r="AF35" s="1284"/>
      <c r="AG35" s="1263"/>
      <c r="AH35" s="1263"/>
      <c r="AI35" s="1263"/>
      <c r="AJ35" s="1263"/>
      <c r="AK35" s="1263"/>
      <c r="AL35" s="1263"/>
      <c r="AM35" s="1263"/>
      <c r="AN35" s="1263"/>
      <c r="AO35" s="1263"/>
      <c r="AP35" s="1263"/>
      <c r="AQ35" s="1263"/>
      <c r="AR35" s="1263"/>
      <c r="AS35" s="1263"/>
      <c r="AT35" s="1263"/>
      <c r="AU35" s="1263"/>
      <c r="AV35" s="1263"/>
      <c r="AW35" s="1263"/>
      <c r="AX35" s="1263"/>
      <c r="AY35" s="1263"/>
      <c r="AZ35" s="1263"/>
      <c r="BA35" s="1263"/>
    </row>
    <row r="36" spans="1:53" s="175" customFormat="1" ht="30" customHeight="1" thickTop="1" thickBot="1">
      <c r="A36" s="1263"/>
      <c r="B36" s="1273"/>
      <c r="C36" s="1274"/>
      <c r="D36" s="3683">
        <v>0</v>
      </c>
      <c r="E36" s="3684"/>
      <c r="F36" s="3685"/>
      <c r="G36" s="3686">
        <v>0</v>
      </c>
      <c r="H36" s="3687"/>
      <c r="I36" s="3688"/>
      <c r="J36" s="3684">
        <v>0</v>
      </c>
      <c r="K36" s="3684"/>
      <c r="L36" s="3685"/>
      <c r="M36" s="3686">
        <v>0</v>
      </c>
      <c r="N36" s="3687"/>
      <c r="O36" s="3689"/>
      <c r="P36" s="1335"/>
      <c r="Q36" s="1335"/>
      <c r="R36" s="1335"/>
      <c r="S36" s="1336"/>
      <c r="T36" s="1336"/>
      <c r="U36" s="1336"/>
      <c r="V36" s="1335"/>
      <c r="W36" s="1335"/>
      <c r="X36" s="1335"/>
      <c r="Y36" s="1336"/>
      <c r="Z36" s="1336"/>
      <c r="AA36" s="1336"/>
      <c r="AB36" s="1263"/>
      <c r="AC36" s="1263"/>
      <c r="AD36" s="1263"/>
      <c r="AE36" s="1263"/>
      <c r="AF36" s="1284"/>
      <c r="AG36" s="1263"/>
      <c r="AH36" s="1263"/>
      <c r="AI36" s="1263"/>
      <c r="AJ36" s="1263"/>
      <c r="AK36" s="1263"/>
      <c r="AL36" s="1263"/>
      <c r="AM36" s="1263"/>
      <c r="AN36" s="1263"/>
      <c r="AO36" s="1263"/>
      <c r="AP36" s="1263"/>
      <c r="AQ36" s="1263"/>
      <c r="AR36" s="1263"/>
      <c r="AS36" s="1263"/>
      <c r="AT36" s="1263"/>
      <c r="AU36" s="1263"/>
      <c r="AV36" s="1263"/>
      <c r="AW36" s="1263"/>
      <c r="AX36" s="1263"/>
      <c r="AY36" s="1263"/>
      <c r="AZ36" s="1263"/>
      <c r="BA36" s="1263"/>
    </row>
    <row r="37" spans="1:53" ht="5.0999999999999996" customHeight="1" thickTop="1" thickBot="1">
      <c r="A37" s="1262"/>
      <c r="B37" s="1303"/>
      <c r="C37" s="1327"/>
      <c r="D37" s="1327"/>
      <c r="E37" s="1327"/>
      <c r="F37" s="1327"/>
      <c r="G37" s="1327"/>
      <c r="H37" s="1327"/>
      <c r="I37" s="1327"/>
      <c r="J37" s="1327"/>
      <c r="K37" s="1327"/>
      <c r="L37" s="1327"/>
      <c r="M37" s="1327"/>
      <c r="N37" s="1327"/>
      <c r="O37" s="1327"/>
      <c r="P37" s="1327"/>
      <c r="Q37" s="1327"/>
      <c r="R37" s="1327"/>
      <c r="S37" s="1327"/>
      <c r="T37" s="1327"/>
      <c r="U37" s="1327"/>
      <c r="V37" s="1327"/>
      <c r="W37" s="1327"/>
      <c r="X37" s="1327"/>
      <c r="Y37" s="1327"/>
      <c r="Z37" s="1327"/>
      <c r="AA37" s="1327"/>
      <c r="AB37" s="1327"/>
      <c r="AC37" s="1327"/>
      <c r="AD37" s="1327"/>
      <c r="AE37" s="1327"/>
      <c r="AF37" s="1277"/>
      <c r="AG37" s="1262"/>
      <c r="AH37" s="1262"/>
      <c r="AI37" s="1262"/>
      <c r="AJ37" s="1262"/>
      <c r="AK37" s="1262"/>
      <c r="AL37" s="1262"/>
      <c r="AM37" s="1262"/>
      <c r="AN37" s="1262"/>
      <c r="AO37" s="1262"/>
      <c r="AP37" s="1262"/>
      <c r="AQ37" s="1262"/>
      <c r="AR37" s="1262"/>
    </row>
    <row r="38" spans="1:53" ht="30.95" customHeight="1" thickBot="1">
      <c r="A38" s="1262"/>
      <c r="B38" s="1269"/>
      <c r="C38" s="1326" t="s">
        <v>48</v>
      </c>
      <c r="D38" s="3667" t="s">
        <v>1441</v>
      </c>
      <c r="E38" s="3667"/>
      <c r="F38" s="3667"/>
      <c r="G38" s="3667"/>
      <c r="H38" s="3667"/>
      <c r="I38" s="3667"/>
      <c r="J38" s="3667"/>
      <c r="K38" s="3667"/>
      <c r="L38" s="3667"/>
      <c r="M38" s="3667"/>
      <c r="N38" s="3667"/>
      <c r="O38" s="3667"/>
      <c r="P38" s="3667"/>
      <c r="Q38" s="3667"/>
      <c r="R38" s="3667"/>
      <c r="S38" s="3667"/>
      <c r="T38" s="3667"/>
      <c r="U38" s="3667"/>
      <c r="V38" s="3667"/>
      <c r="W38" s="3667"/>
      <c r="X38" s="3667"/>
      <c r="Y38" s="3667"/>
      <c r="Z38" s="3667"/>
      <c r="AA38" s="1337"/>
      <c r="AB38" s="3677">
        <v>0</v>
      </c>
      <c r="AC38" s="3674"/>
      <c r="AD38" s="3675"/>
      <c r="AE38" s="1271"/>
      <c r="AF38" s="1272"/>
      <c r="AG38" s="1262"/>
      <c r="AH38" s="1262"/>
      <c r="AI38" s="1262"/>
      <c r="AJ38" s="1262"/>
      <c r="AK38" s="1262"/>
      <c r="AL38" s="1262"/>
      <c r="AM38" s="1262"/>
      <c r="AN38" s="1262"/>
      <c r="AO38" s="1262"/>
      <c r="AP38" s="1262"/>
      <c r="AQ38" s="1262"/>
      <c r="AR38" s="1262"/>
    </row>
    <row r="39" spans="1:53" ht="5.0999999999999996" customHeight="1" thickBot="1">
      <c r="A39" s="1262"/>
      <c r="B39" s="1303"/>
      <c r="C39" s="1327"/>
      <c r="D39" s="1327"/>
      <c r="E39" s="1327"/>
      <c r="F39" s="1327"/>
      <c r="G39" s="1327"/>
      <c r="H39" s="1327"/>
      <c r="I39" s="1327"/>
      <c r="J39" s="1327"/>
      <c r="K39" s="1327"/>
      <c r="L39" s="1327"/>
      <c r="M39" s="1327"/>
      <c r="N39" s="1327"/>
      <c r="O39" s="1327"/>
      <c r="P39" s="1327"/>
      <c r="Q39" s="1327"/>
      <c r="R39" s="1327"/>
      <c r="S39" s="1327"/>
      <c r="T39" s="1327"/>
      <c r="U39" s="1327"/>
      <c r="V39" s="1327"/>
      <c r="W39" s="1327"/>
      <c r="X39" s="1327"/>
      <c r="Y39" s="1327"/>
      <c r="Z39" s="1327"/>
      <c r="AA39" s="1327"/>
      <c r="AB39" s="1327"/>
      <c r="AC39" s="1327"/>
      <c r="AD39" s="1327"/>
      <c r="AE39" s="1327"/>
      <c r="AF39" s="1277"/>
      <c r="AG39" s="1262"/>
      <c r="AH39" s="1262"/>
      <c r="AI39" s="1262"/>
      <c r="AJ39" s="1262"/>
      <c r="AK39" s="1262"/>
      <c r="AL39" s="1262"/>
      <c r="AM39" s="1262"/>
      <c r="AN39" s="1262"/>
      <c r="AO39" s="1262"/>
      <c r="AP39" s="1262"/>
      <c r="AQ39" s="1262"/>
      <c r="AR39" s="1262"/>
    </row>
    <row r="40" spans="1:53" ht="30.95" customHeight="1" thickBot="1">
      <c r="A40" s="1262"/>
      <c r="B40" s="1269"/>
      <c r="C40" s="1301" t="s">
        <v>49</v>
      </c>
      <c r="D40" s="3666" t="s">
        <v>1849</v>
      </c>
      <c r="E40" s="3666"/>
      <c r="F40" s="3666"/>
      <c r="G40" s="3666"/>
      <c r="H40" s="3666"/>
      <c r="I40" s="3666"/>
      <c r="J40" s="3666"/>
      <c r="K40" s="3666"/>
      <c r="L40" s="3666"/>
      <c r="M40" s="3666"/>
      <c r="N40" s="3666"/>
      <c r="O40" s="3666"/>
      <c r="P40" s="3666"/>
      <c r="Q40" s="3666"/>
      <c r="R40" s="3666"/>
      <c r="S40" s="3666"/>
      <c r="T40" s="3666"/>
      <c r="U40" s="3666"/>
      <c r="V40" s="3666"/>
      <c r="W40" s="3666"/>
      <c r="X40" s="3666"/>
      <c r="Y40" s="3666"/>
      <c r="Z40" s="3666"/>
      <c r="AA40" s="1309"/>
      <c r="AB40" s="3673">
        <v>0</v>
      </c>
      <c r="AC40" s="3674"/>
      <c r="AD40" s="3675"/>
      <c r="AE40" s="1271"/>
      <c r="AF40" s="1272"/>
      <c r="AG40" s="1262"/>
      <c r="AH40" s="1262"/>
      <c r="AI40" s="1262"/>
      <c r="AJ40" s="1262"/>
      <c r="AK40" s="1262"/>
      <c r="AL40" s="1262"/>
      <c r="AM40" s="1262"/>
      <c r="AN40" s="1262"/>
      <c r="AO40" s="1262"/>
      <c r="AP40" s="1262"/>
      <c r="AQ40" s="1262"/>
      <c r="AR40" s="1262"/>
    </row>
    <row r="41" spans="1:53" ht="5.0999999999999996" customHeight="1" thickBot="1">
      <c r="A41" s="1262"/>
      <c r="B41" s="1303"/>
      <c r="C41" s="1327"/>
      <c r="D41" s="1327"/>
      <c r="E41" s="1327"/>
      <c r="F41" s="1327"/>
      <c r="G41" s="1327"/>
      <c r="H41" s="1327"/>
      <c r="I41" s="1327"/>
      <c r="J41" s="1327"/>
      <c r="K41" s="1327"/>
      <c r="L41" s="1327"/>
      <c r="M41" s="1327"/>
      <c r="N41" s="1327"/>
      <c r="O41" s="1327"/>
      <c r="P41" s="1327"/>
      <c r="Q41" s="1327"/>
      <c r="R41" s="1327"/>
      <c r="S41" s="1327"/>
      <c r="T41" s="1327"/>
      <c r="U41" s="1327"/>
      <c r="V41" s="1327"/>
      <c r="W41" s="1327"/>
      <c r="X41" s="1327"/>
      <c r="Y41" s="1327"/>
      <c r="Z41" s="1327"/>
      <c r="AA41" s="1327"/>
      <c r="AB41" s="1327"/>
      <c r="AC41" s="1327"/>
      <c r="AD41" s="1327"/>
      <c r="AE41" s="1327"/>
      <c r="AF41" s="1277"/>
      <c r="AG41" s="1262"/>
      <c r="AH41" s="1262"/>
      <c r="AI41" s="1262"/>
      <c r="AJ41" s="1262"/>
      <c r="AK41" s="1262"/>
      <c r="AL41" s="1262"/>
      <c r="AM41" s="1262"/>
      <c r="AN41" s="1262"/>
      <c r="AO41" s="1262"/>
      <c r="AP41" s="1262"/>
      <c r="AQ41" s="1262"/>
      <c r="AR41" s="1262"/>
    </row>
    <row r="42" spans="1:53" ht="30.95" customHeight="1" thickBot="1">
      <c r="A42" s="1262"/>
      <c r="B42" s="1269"/>
      <c r="C42" s="1326" t="s">
        <v>50</v>
      </c>
      <c r="D42" s="3667" t="s">
        <v>1442</v>
      </c>
      <c r="E42" s="3667"/>
      <c r="F42" s="3667"/>
      <c r="G42" s="3667"/>
      <c r="H42" s="3667"/>
      <c r="I42" s="3667"/>
      <c r="J42" s="3667"/>
      <c r="K42" s="3667"/>
      <c r="L42" s="3667"/>
      <c r="M42" s="3667"/>
      <c r="N42" s="3667"/>
      <c r="O42" s="3667"/>
      <c r="P42" s="3667"/>
      <c r="Q42" s="3667"/>
      <c r="R42" s="3667"/>
      <c r="S42" s="3667"/>
      <c r="T42" s="3667"/>
      <c r="U42" s="3667"/>
      <c r="V42" s="3667"/>
      <c r="W42" s="3667"/>
      <c r="X42" s="3667"/>
      <c r="Y42" s="3667"/>
      <c r="Z42" s="3667"/>
      <c r="AA42" s="1337"/>
      <c r="AB42" s="3673">
        <v>0</v>
      </c>
      <c r="AC42" s="3674"/>
      <c r="AD42" s="3675"/>
      <c r="AE42" s="1271"/>
      <c r="AF42" s="1272"/>
      <c r="AG42" s="1262"/>
      <c r="AH42" s="1262"/>
      <c r="AI42" s="1262"/>
      <c r="AJ42" s="1262"/>
      <c r="AK42" s="1262"/>
      <c r="AL42" s="1262"/>
      <c r="AM42" s="1262"/>
      <c r="AN42" s="1262"/>
      <c r="AO42" s="1262"/>
      <c r="AP42" s="1262"/>
      <c r="AQ42" s="1262"/>
      <c r="AR42" s="1262"/>
    </row>
    <row r="43" spans="1:53" ht="5.0999999999999996" customHeight="1">
      <c r="A43" s="1262"/>
      <c r="B43" s="1303"/>
      <c r="C43" s="1327"/>
      <c r="D43" s="1327"/>
      <c r="E43" s="1327"/>
      <c r="F43" s="1327"/>
      <c r="G43" s="1327"/>
      <c r="H43" s="1327"/>
      <c r="I43" s="1327"/>
      <c r="J43" s="1327"/>
      <c r="K43" s="1327"/>
      <c r="L43" s="1327"/>
      <c r="M43" s="1327"/>
      <c r="N43" s="1327"/>
      <c r="O43" s="1327"/>
      <c r="P43" s="1327"/>
      <c r="Q43" s="1327"/>
      <c r="R43" s="1327"/>
      <c r="S43" s="1327"/>
      <c r="T43" s="1327"/>
      <c r="U43" s="1327"/>
      <c r="V43" s="1327"/>
      <c r="W43" s="1327"/>
      <c r="X43" s="1327"/>
      <c r="Y43" s="1327"/>
      <c r="Z43" s="1327"/>
      <c r="AA43" s="1327"/>
      <c r="AB43" s="1327"/>
      <c r="AC43" s="1327"/>
      <c r="AD43" s="1327"/>
      <c r="AE43" s="1327"/>
      <c r="AF43" s="1277"/>
      <c r="AG43" s="1262"/>
      <c r="AH43" s="1262"/>
      <c r="AI43" s="1262"/>
      <c r="AJ43" s="1262"/>
      <c r="AK43" s="1262"/>
      <c r="AL43" s="1262"/>
      <c r="AM43" s="1262"/>
      <c r="AN43" s="1262"/>
      <c r="AO43" s="1262"/>
      <c r="AP43" s="1262"/>
      <c r="AQ43" s="1262"/>
      <c r="AR43" s="1262"/>
    </row>
    <row r="44" spans="1:53" s="177" customFormat="1" ht="15.95" customHeight="1">
      <c r="A44" s="1319"/>
      <c r="B44" s="1320"/>
      <c r="C44" s="1301" t="s">
        <v>51</v>
      </c>
      <c r="D44" s="1340" t="b">
        <v>0</v>
      </c>
      <c r="E44" s="3676" t="s">
        <v>1443</v>
      </c>
      <c r="F44" s="3676"/>
      <c r="G44" s="3676"/>
      <c r="H44" s="3676"/>
      <c r="I44" s="3676"/>
      <c r="J44" s="3676"/>
      <c r="K44" s="3676"/>
      <c r="L44" s="3676"/>
      <c r="M44" s="3676"/>
      <c r="N44" s="3676"/>
      <c r="O44" s="3676"/>
      <c r="P44" s="3676"/>
      <c r="Q44" s="3676"/>
      <c r="R44" s="3676"/>
      <c r="S44" s="3676"/>
      <c r="T44" s="3676"/>
      <c r="U44" s="3676"/>
      <c r="V44" s="3676"/>
      <c r="W44" s="3676"/>
      <c r="X44" s="3676"/>
      <c r="Y44" s="3676"/>
      <c r="Z44" s="3676"/>
      <c r="AA44" s="3676"/>
      <c r="AB44" s="3676"/>
      <c r="AC44" s="3676"/>
      <c r="AD44" s="3676"/>
      <c r="AE44" s="1322"/>
      <c r="AF44" s="1323"/>
      <c r="AG44" s="1322"/>
      <c r="AH44" s="1322"/>
      <c r="AI44" s="1322"/>
      <c r="AJ44" s="1322"/>
      <c r="AK44" s="1322"/>
      <c r="AL44" s="1322"/>
      <c r="AM44" s="1322"/>
      <c r="AN44" s="1322"/>
      <c r="AO44" s="1322"/>
      <c r="AP44" s="1319"/>
      <c r="AQ44" s="1319"/>
      <c r="AR44" s="1319"/>
      <c r="AS44" s="1319"/>
      <c r="AT44" s="1319"/>
      <c r="AU44" s="1319"/>
      <c r="AV44" s="1319"/>
      <c r="AW44" s="1319"/>
      <c r="AX44" s="1319"/>
      <c r="AY44" s="1319"/>
      <c r="AZ44" s="1319"/>
      <c r="BA44" s="1319"/>
    </row>
    <row r="45" spans="1:53" s="177" customFormat="1" ht="15.95" customHeight="1">
      <c r="A45" s="1319"/>
      <c r="B45" s="1320"/>
      <c r="C45" s="1301"/>
      <c r="D45" s="1338"/>
      <c r="E45" s="3676"/>
      <c r="F45" s="3676"/>
      <c r="G45" s="3676"/>
      <c r="H45" s="3676"/>
      <c r="I45" s="3676"/>
      <c r="J45" s="3676"/>
      <c r="K45" s="3676"/>
      <c r="L45" s="3676"/>
      <c r="M45" s="3676"/>
      <c r="N45" s="3676"/>
      <c r="O45" s="3676"/>
      <c r="P45" s="3676"/>
      <c r="Q45" s="3676"/>
      <c r="R45" s="3676"/>
      <c r="S45" s="3676"/>
      <c r="T45" s="3676"/>
      <c r="U45" s="3676"/>
      <c r="V45" s="3676"/>
      <c r="W45" s="3676"/>
      <c r="X45" s="3676"/>
      <c r="Y45" s="3676"/>
      <c r="Z45" s="3676"/>
      <c r="AA45" s="3676"/>
      <c r="AB45" s="3676"/>
      <c r="AC45" s="3676"/>
      <c r="AD45" s="3676"/>
      <c r="AE45" s="1322"/>
      <c r="AF45" s="1323"/>
      <c r="AG45" s="1322"/>
      <c r="AH45" s="1322"/>
      <c r="AI45" s="1322"/>
      <c r="AJ45" s="1322"/>
      <c r="AK45" s="1322"/>
      <c r="AL45" s="1322"/>
      <c r="AM45" s="1322"/>
      <c r="AN45" s="1322"/>
      <c r="AO45" s="1322"/>
      <c r="AP45" s="1319"/>
      <c r="AQ45" s="1319"/>
      <c r="AR45" s="1319"/>
      <c r="AS45" s="1319"/>
      <c r="AT45" s="1319"/>
      <c r="AU45" s="1319"/>
      <c r="AV45" s="1319"/>
      <c r="AW45" s="1319"/>
      <c r="AX45" s="1319"/>
      <c r="AY45" s="1319"/>
      <c r="AZ45" s="1319"/>
      <c r="BA45" s="1319"/>
    </row>
    <row r="46" spans="1:53" ht="9.9499999999999993" customHeight="1" thickBot="1">
      <c r="A46" s="1262"/>
      <c r="B46" s="1310"/>
      <c r="C46" s="1311"/>
      <c r="D46" s="1297"/>
      <c r="E46" s="1312"/>
      <c r="F46" s="1312"/>
      <c r="G46" s="1312"/>
      <c r="H46" s="1312"/>
      <c r="I46" s="1312"/>
      <c r="J46" s="1312"/>
      <c r="K46" s="1313"/>
      <c r="L46" s="1313"/>
      <c r="M46" s="1313"/>
      <c r="N46" s="1313"/>
      <c r="O46" s="1313"/>
      <c r="P46" s="1313"/>
      <c r="Q46" s="1313"/>
      <c r="R46" s="1313"/>
      <c r="S46" s="1313"/>
      <c r="T46" s="1313"/>
      <c r="U46" s="1313"/>
      <c r="V46" s="1313"/>
      <c r="W46" s="1313"/>
      <c r="X46" s="1313"/>
      <c r="Y46" s="1313"/>
      <c r="Z46" s="1313"/>
      <c r="AA46" s="1313"/>
      <c r="AB46" s="1313"/>
      <c r="AC46" s="1313"/>
      <c r="AD46" s="1313"/>
      <c r="AE46" s="1313"/>
      <c r="AF46" s="1314"/>
      <c r="AG46" s="1262"/>
      <c r="AH46" s="1262"/>
      <c r="AI46" s="1262"/>
      <c r="AJ46" s="1262"/>
      <c r="AK46" s="1262"/>
      <c r="AL46" s="1262"/>
      <c r="AM46" s="1262"/>
      <c r="AN46" s="1262"/>
      <c r="AO46" s="1262"/>
      <c r="AP46" s="1262"/>
      <c r="AQ46" s="1262"/>
      <c r="AR46" s="1262"/>
    </row>
    <row r="47" spans="1:53" ht="9.9499999999999993" customHeight="1" thickTop="1">
      <c r="A47" s="1262"/>
      <c r="B47" s="1339"/>
      <c r="C47" s="1321"/>
      <c r="D47" s="1263"/>
      <c r="E47" s="1271"/>
      <c r="F47" s="1271"/>
      <c r="G47" s="1271"/>
      <c r="H47" s="1271"/>
      <c r="I47" s="1271"/>
      <c r="J47" s="1271"/>
      <c r="K47" s="1262"/>
      <c r="L47" s="1262"/>
      <c r="M47" s="1262"/>
      <c r="N47" s="1262"/>
      <c r="O47" s="1262"/>
      <c r="P47" s="1262"/>
      <c r="Q47" s="1262"/>
      <c r="R47" s="1262"/>
      <c r="S47" s="1262"/>
      <c r="T47" s="1262"/>
      <c r="U47" s="1262"/>
      <c r="V47" s="1262"/>
      <c r="W47" s="1262"/>
      <c r="X47" s="1262"/>
      <c r="Y47" s="1262"/>
      <c r="Z47" s="1262"/>
      <c r="AA47" s="1262"/>
      <c r="AB47" s="1262"/>
      <c r="AC47" s="1262"/>
      <c r="AD47" s="1262"/>
      <c r="AE47" s="1262"/>
      <c r="AF47" s="1262"/>
      <c r="AG47" s="1262"/>
      <c r="AH47" s="1262"/>
      <c r="AI47" s="1262"/>
      <c r="AJ47" s="1262"/>
      <c r="AK47" s="1262"/>
      <c r="AL47" s="1262"/>
      <c r="AM47" s="1262"/>
      <c r="AN47" s="1262"/>
      <c r="AO47" s="1262"/>
      <c r="AP47" s="1262"/>
      <c r="AQ47" s="1262"/>
      <c r="AR47" s="1262"/>
    </row>
    <row r="48" spans="1:53" s="102" customFormat="1" ht="17.25">
      <c r="A48" s="599"/>
      <c r="B48" s="227" t="s">
        <v>1195</v>
      </c>
      <c r="C48" s="1227"/>
      <c r="D48" s="1235"/>
      <c r="E48" s="1235"/>
      <c r="F48" s="1235"/>
      <c r="G48" s="1235"/>
      <c r="H48" s="1235"/>
      <c r="I48" s="1235"/>
      <c r="J48" s="1235"/>
      <c r="K48" s="1235"/>
      <c r="L48" s="1235"/>
      <c r="M48" s="1235"/>
      <c r="N48" s="1235"/>
      <c r="O48" s="1235"/>
      <c r="P48" s="1235"/>
      <c r="Q48" s="1235"/>
      <c r="R48" s="1235"/>
      <c r="S48" s="1235"/>
      <c r="T48" s="1235"/>
      <c r="U48" s="599"/>
      <c r="V48" s="599"/>
      <c r="W48" s="599"/>
      <c r="X48" s="599"/>
      <c r="Y48" s="599"/>
      <c r="Z48" s="599"/>
      <c r="AA48" s="599"/>
      <c r="AB48" s="599"/>
      <c r="AC48" s="599"/>
      <c r="AD48" s="599"/>
      <c r="AE48" s="599"/>
      <c r="AF48" s="599"/>
      <c r="AG48" s="599"/>
      <c r="AH48" s="599"/>
      <c r="AI48" s="599"/>
      <c r="AJ48" s="599"/>
      <c r="AK48" s="599"/>
      <c r="AL48" s="599"/>
      <c r="AM48" s="599"/>
      <c r="AN48" s="599"/>
      <c r="AO48" s="599"/>
      <c r="AP48" s="599"/>
      <c r="AQ48" s="599"/>
      <c r="AR48" s="599"/>
      <c r="AS48" s="599"/>
      <c r="AT48" s="599"/>
      <c r="AU48" s="599"/>
      <c r="AV48" s="599"/>
      <c r="AW48" s="599"/>
      <c r="AX48" s="599"/>
      <c r="AY48" s="599"/>
      <c r="AZ48" s="599"/>
      <c r="BA48" s="599"/>
    </row>
    <row r="49" spans="1:53" s="44" customFormat="1" ht="30.75" customHeight="1">
      <c r="A49" s="434"/>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4"/>
      <c r="AU49" s="434"/>
      <c r="AV49" s="434"/>
      <c r="AW49" s="434"/>
      <c r="AX49" s="434"/>
      <c r="AY49" s="434"/>
      <c r="AZ49" s="434"/>
      <c r="BA49" s="434"/>
    </row>
    <row r="50" spans="1:53" s="37" customFormat="1" ht="15">
      <c r="A50" s="263"/>
      <c r="B50" s="332" t="s">
        <v>32</v>
      </c>
      <c r="C50" s="263"/>
      <c r="D50" s="263"/>
      <c r="E50" s="263"/>
      <c r="F50" s="263"/>
      <c r="G50" s="263"/>
      <c r="H50" s="263"/>
      <c r="I50" s="263"/>
      <c r="J50" s="263"/>
      <c r="K50" s="263"/>
      <c r="L50" s="263"/>
      <c r="M50" s="263"/>
      <c r="N50" s="263"/>
      <c r="O50" s="263"/>
      <c r="P50" s="263"/>
      <c r="Q50" s="263"/>
      <c r="R50" s="263"/>
      <c r="S50" s="263"/>
      <c r="T50" s="332" t="s">
        <v>856</v>
      </c>
      <c r="U50" s="263"/>
      <c r="V50" s="263"/>
      <c r="W50" s="263"/>
      <c r="X50" s="263"/>
      <c r="Y50" s="263"/>
      <c r="Z50" s="263"/>
      <c r="AA50" s="263"/>
      <c r="AB50" s="263"/>
      <c r="AC50" s="263"/>
      <c r="AD50" s="263"/>
      <c r="AE50" s="263"/>
      <c r="AF50" s="263"/>
      <c r="AG50" s="263"/>
      <c r="AH50" s="263"/>
      <c r="AI50" s="263"/>
      <c r="AJ50" s="263"/>
      <c r="AK50" s="263"/>
      <c r="AL50" s="263"/>
      <c r="AM50" s="263"/>
      <c r="AN50" s="263"/>
      <c r="AO50" s="263"/>
      <c r="AP50" s="263"/>
      <c r="AQ50" s="263"/>
      <c r="AR50" s="263"/>
      <c r="AS50" s="263"/>
      <c r="AT50" s="263"/>
      <c r="AU50" s="263"/>
      <c r="AV50" s="263"/>
      <c r="AW50" s="263"/>
      <c r="AX50" s="263"/>
      <c r="AY50" s="263"/>
      <c r="AZ50" s="263"/>
      <c r="BA50" s="263"/>
    </row>
    <row r="51" spans="1:53" s="37" customFormat="1" ht="21.75" customHeight="1">
      <c r="A51" s="263"/>
      <c r="B51" s="332" t="s">
        <v>75</v>
      </c>
      <c r="C51" s="263"/>
      <c r="D51" s="263"/>
      <c r="E51" s="263"/>
      <c r="F51" s="2790" t="str">
        <f>activesheet!E21</f>
        <v>MELCHESIEDICK Q. BOLANIO / March 17, 2023</v>
      </c>
      <c r="G51" s="2790"/>
      <c r="H51" s="2790"/>
      <c r="I51" s="2790"/>
      <c r="J51" s="2790"/>
      <c r="K51" s="2790"/>
      <c r="L51" s="2790"/>
      <c r="M51" s="2790"/>
      <c r="N51" s="2790"/>
      <c r="O51" s="823"/>
      <c r="P51" s="823"/>
      <c r="Q51" s="823"/>
      <c r="R51" s="823"/>
      <c r="S51" s="823"/>
      <c r="T51" s="2790" t="str">
        <f>activesheet!E3344</f>
        <v>ELYN KENDRA D. DELA CRUZ / March 17, 2023</v>
      </c>
      <c r="U51" s="2790"/>
      <c r="V51" s="2790"/>
      <c r="W51" s="2790"/>
      <c r="X51" s="2790"/>
      <c r="Y51" s="2790"/>
      <c r="Z51" s="2790"/>
      <c r="AA51" s="2790"/>
      <c r="AB51" s="2790"/>
      <c r="AC51" s="2790"/>
      <c r="AD51" s="2790"/>
      <c r="AE51" s="2790"/>
      <c r="AF51" s="2790"/>
      <c r="AG51" s="263"/>
      <c r="AH51" s="263"/>
      <c r="AI51" s="263"/>
      <c r="AJ51" s="263"/>
      <c r="AK51" s="263"/>
      <c r="AL51" s="263"/>
      <c r="AM51" s="263"/>
      <c r="AN51" s="263"/>
      <c r="AO51" s="263"/>
      <c r="AP51" s="263"/>
      <c r="AQ51" s="263"/>
      <c r="AR51" s="263"/>
      <c r="AS51" s="263"/>
      <c r="AT51" s="263"/>
      <c r="AU51" s="263"/>
      <c r="AV51" s="263"/>
      <c r="AW51" s="263"/>
      <c r="AX51" s="263"/>
      <c r="AY51" s="263"/>
      <c r="AZ51" s="263"/>
      <c r="BA51" s="263"/>
    </row>
    <row r="52" spans="1:53" s="39" customFormat="1" ht="14.1" customHeight="1">
      <c r="A52" s="280"/>
      <c r="B52" s="228"/>
      <c r="C52" s="280"/>
      <c r="D52" s="280"/>
      <c r="E52" s="280"/>
      <c r="F52" s="1807" t="s">
        <v>37</v>
      </c>
      <c r="G52" s="1807"/>
      <c r="H52" s="1807"/>
      <c r="I52" s="1807"/>
      <c r="J52" s="1807"/>
      <c r="K52" s="1807"/>
      <c r="L52" s="1807"/>
      <c r="M52" s="1807"/>
      <c r="N52" s="1807"/>
      <c r="O52" s="321"/>
      <c r="P52" s="321"/>
      <c r="Q52" s="321"/>
      <c r="R52" s="321"/>
      <c r="S52" s="321"/>
      <c r="T52" s="1807" t="s">
        <v>37</v>
      </c>
      <c r="U52" s="1807"/>
      <c r="V52" s="1807"/>
      <c r="W52" s="1807"/>
      <c r="X52" s="1807"/>
      <c r="Y52" s="1807"/>
      <c r="Z52" s="1807"/>
      <c r="AA52" s="1807"/>
      <c r="AB52" s="1807"/>
      <c r="AC52" s="1807"/>
      <c r="AD52" s="1807"/>
      <c r="AE52" s="1807"/>
      <c r="AF52" s="1807"/>
      <c r="AG52" s="280"/>
      <c r="AH52" s="280"/>
      <c r="AI52" s="280"/>
      <c r="AJ52" s="280"/>
      <c r="AK52" s="280"/>
      <c r="AL52" s="280"/>
      <c r="AM52" s="280"/>
      <c r="AN52" s="280"/>
      <c r="AO52" s="280"/>
      <c r="AP52" s="280"/>
      <c r="AQ52" s="280"/>
      <c r="AR52" s="280"/>
      <c r="AS52" s="280"/>
      <c r="AT52" s="280"/>
      <c r="AU52" s="280"/>
      <c r="AV52" s="280"/>
      <c r="AW52" s="280"/>
      <c r="AX52" s="280"/>
      <c r="AY52" s="280"/>
      <c r="AZ52" s="280"/>
      <c r="BA52" s="280"/>
    </row>
    <row r="53" spans="1:53" s="37" customFormat="1" ht="21.75" customHeight="1">
      <c r="A53" s="263"/>
      <c r="B53" s="332" t="s">
        <v>58</v>
      </c>
      <c r="C53" s="263"/>
      <c r="D53" s="263"/>
      <c r="E53" s="263"/>
      <c r="F53" s="2790" t="str">
        <f>activesheet!E22</f>
        <v>SECONDARY SCHOOL PRINCIPAL IV</v>
      </c>
      <c r="G53" s="2790"/>
      <c r="H53" s="2790"/>
      <c r="I53" s="2790"/>
      <c r="J53" s="2790"/>
      <c r="K53" s="2790"/>
      <c r="L53" s="2790"/>
      <c r="M53" s="2790"/>
      <c r="N53" s="2790"/>
      <c r="O53" s="823"/>
      <c r="P53" s="823"/>
      <c r="Q53" s="823"/>
      <c r="R53" s="823"/>
      <c r="S53" s="823"/>
      <c r="T53" s="332" t="s">
        <v>58</v>
      </c>
      <c r="U53" s="263"/>
      <c r="V53" s="263"/>
      <c r="W53" s="263"/>
      <c r="X53" s="2790" t="str">
        <f>activesheet!E3345</f>
        <v>PROJECT DEVELOPMENT OFFICER II</v>
      </c>
      <c r="Y53" s="2790"/>
      <c r="Z53" s="2790"/>
      <c r="AA53" s="2790"/>
      <c r="AB53" s="2790"/>
      <c r="AC53" s="2790"/>
      <c r="AD53" s="2790"/>
      <c r="AE53" s="2790"/>
      <c r="AF53" s="2790"/>
      <c r="AG53" s="263"/>
      <c r="AH53" s="263"/>
      <c r="AI53" s="263"/>
      <c r="AJ53" s="263"/>
      <c r="AK53" s="263"/>
      <c r="AL53" s="263"/>
      <c r="AM53" s="263"/>
      <c r="AN53" s="263"/>
      <c r="AO53" s="263"/>
      <c r="AP53" s="263"/>
      <c r="AQ53" s="263"/>
      <c r="AR53" s="263"/>
      <c r="AS53" s="263"/>
      <c r="AT53" s="263"/>
      <c r="AU53" s="263"/>
      <c r="AV53" s="263"/>
      <c r="AW53" s="263"/>
      <c r="AX53" s="263"/>
      <c r="AY53" s="263"/>
      <c r="AZ53" s="263"/>
      <c r="BA53" s="263"/>
    </row>
    <row r="54" spans="1:53" s="44" customFormat="1" ht="30.75" customHeight="1">
      <c r="A54" s="434"/>
      <c r="B54" s="434"/>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row>
    <row r="55" spans="1:53" s="37" customFormat="1" ht="15">
      <c r="A55" s="263"/>
      <c r="B55" s="263"/>
      <c r="C55" s="263"/>
      <c r="D55" s="263"/>
      <c r="E55" s="263"/>
      <c r="F55" s="263"/>
      <c r="G55" s="263"/>
      <c r="H55" s="263"/>
      <c r="I55" s="263"/>
      <c r="J55" s="263"/>
      <c r="K55" s="332" t="s">
        <v>33</v>
      </c>
      <c r="L55" s="263"/>
      <c r="M55" s="263"/>
      <c r="N55" s="263"/>
      <c r="O55" s="263"/>
      <c r="P55" s="263"/>
      <c r="Q55" s="263"/>
      <c r="R55" s="263"/>
      <c r="S55" s="263"/>
      <c r="T55" s="263"/>
      <c r="U55" s="263"/>
      <c r="V55" s="263"/>
      <c r="W55" s="263"/>
      <c r="X55" s="263"/>
      <c r="Y55" s="263"/>
      <c r="Z55" s="263"/>
      <c r="AA55" s="263"/>
      <c r="AB55" s="263"/>
      <c r="AC55" s="263"/>
      <c r="AD55" s="263"/>
      <c r="AE55" s="263"/>
      <c r="AF55" s="263"/>
      <c r="AG55" s="263"/>
      <c r="AH55" s="263"/>
      <c r="AI55" s="263"/>
      <c r="AJ55" s="263"/>
      <c r="AK55" s="263"/>
      <c r="AL55" s="263"/>
      <c r="AM55" s="263"/>
      <c r="AN55" s="263"/>
      <c r="AO55" s="263"/>
      <c r="AP55" s="263"/>
      <c r="AQ55" s="263"/>
      <c r="AR55" s="263"/>
      <c r="AS55" s="263"/>
      <c r="AT55" s="263"/>
      <c r="AU55" s="263"/>
      <c r="AV55" s="263"/>
      <c r="AW55" s="263"/>
      <c r="AX55" s="263"/>
      <c r="AY55" s="263"/>
      <c r="AZ55" s="263"/>
      <c r="BA55" s="263"/>
    </row>
    <row r="56" spans="1:53" s="37" customFormat="1" ht="21.75" customHeight="1">
      <c r="A56" s="263"/>
      <c r="B56" s="263"/>
      <c r="C56" s="263"/>
      <c r="D56" s="263"/>
      <c r="E56" s="263"/>
      <c r="F56" s="263"/>
      <c r="G56" s="263"/>
      <c r="H56" s="263"/>
      <c r="I56" s="263"/>
      <c r="J56" s="263"/>
      <c r="K56" s="1819" t="str">
        <f>activesheet!E25</f>
        <v>MICHAEL T. JAMIS / March 17, 2023</v>
      </c>
      <c r="L56" s="1819"/>
      <c r="M56" s="1819"/>
      <c r="N56" s="1819"/>
      <c r="O56" s="1819"/>
      <c r="P56" s="1819"/>
      <c r="Q56" s="1819"/>
      <c r="R56" s="1819"/>
      <c r="S56" s="1819"/>
      <c r="T56" s="1819"/>
      <c r="U56" s="1819"/>
      <c r="V56" s="1819"/>
      <c r="W56" s="1819"/>
      <c r="X56" s="263"/>
      <c r="Y56" s="263"/>
      <c r="Z56" s="263"/>
      <c r="AA56" s="263"/>
      <c r="AB56" s="263"/>
      <c r="AC56" s="263"/>
      <c r="AD56" s="263"/>
      <c r="AE56" s="263"/>
      <c r="AF56" s="263"/>
      <c r="AG56" s="263"/>
      <c r="AH56" s="263"/>
      <c r="AI56" s="263"/>
      <c r="AJ56" s="263"/>
      <c r="AK56" s="263"/>
      <c r="AL56" s="263"/>
      <c r="AM56" s="263"/>
      <c r="AN56" s="263"/>
      <c r="AO56" s="263"/>
      <c r="AP56" s="263"/>
      <c r="AQ56" s="263"/>
      <c r="AR56" s="263"/>
      <c r="AS56" s="263"/>
      <c r="AT56" s="263"/>
      <c r="AU56" s="263"/>
      <c r="AV56" s="263"/>
      <c r="AW56" s="263"/>
      <c r="AX56" s="263"/>
      <c r="AY56" s="263"/>
      <c r="AZ56" s="263"/>
      <c r="BA56" s="263"/>
    </row>
    <row r="57" spans="1:53" s="39" customFormat="1" ht="14.1" customHeight="1">
      <c r="A57" s="280"/>
      <c r="B57" s="280"/>
      <c r="C57" s="280"/>
      <c r="D57" s="280"/>
      <c r="E57" s="280"/>
      <c r="F57" s="280"/>
      <c r="G57" s="280"/>
      <c r="H57" s="280"/>
      <c r="I57" s="280"/>
      <c r="J57" s="280"/>
      <c r="K57" s="1820"/>
      <c r="L57" s="1820"/>
      <c r="M57" s="1820"/>
      <c r="N57" s="1820"/>
      <c r="O57" s="1820"/>
      <c r="P57" s="1820"/>
      <c r="Q57" s="1820"/>
      <c r="R57" s="1820"/>
      <c r="S57" s="1820"/>
      <c r="T57" s="1820"/>
      <c r="U57" s="1820"/>
      <c r="V57" s="1820"/>
      <c r="W57" s="1820"/>
      <c r="X57" s="280"/>
      <c r="Y57" s="280"/>
      <c r="Z57" s="280"/>
      <c r="AA57" s="280"/>
      <c r="AB57" s="280"/>
      <c r="AC57" s="280"/>
      <c r="AD57" s="280"/>
      <c r="AE57" s="280"/>
      <c r="AF57" s="280"/>
      <c r="AG57" s="280"/>
      <c r="AH57" s="280"/>
      <c r="AI57" s="280"/>
      <c r="AJ57" s="280"/>
      <c r="AK57" s="280"/>
      <c r="AL57" s="280"/>
      <c r="AM57" s="280"/>
      <c r="AN57" s="280"/>
      <c r="AO57" s="280"/>
      <c r="AP57" s="280"/>
      <c r="AQ57" s="280"/>
      <c r="AR57" s="280"/>
      <c r="AS57" s="280"/>
      <c r="AT57" s="280"/>
      <c r="AU57" s="280"/>
      <c r="AV57" s="280"/>
      <c r="AW57" s="280"/>
      <c r="AX57" s="280"/>
      <c r="AY57" s="280"/>
      <c r="AZ57" s="280"/>
      <c r="BA57" s="280"/>
    </row>
    <row r="58" spans="1:53" s="37" customFormat="1" ht="21.75" customHeight="1">
      <c r="A58" s="263"/>
      <c r="B58" s="263"/>
      <c r="C58" s="263"/>
      <c r="D58" s="263"/>
      <c r="E58" s="263"/>
      <c r="F58" s="263"/>
      <c r="G58" s="263"/>
      <c r="H58" s="263"/>
      <c r="I58" s="263"/>
      <c r="J58" s="263"/>
      <c r="K58" s="1807" t="s">
        <v>37</v>
      </c>
      <c r="L58" s="1807"/>
      <c r="M58" s="1807"/>
      <c r="N58" s="1807"/>
      <c r="O58" s="1807"/>
      <c r="P58" s="1807"/>
      <c r="Q58" s="1807"/>
      <c r="R58" s="1807"/>
      <c r="S58" s="1807"/>
      <c r="T58" s="1807"/>
      <c r="U58" s="1807"/>
      <c r="V58" s="1807"/>
      <c r="W58" s="1807"/>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row>
    <row r="59" spans="1:53">
      <c r="A59" s="1262"/>
      <c r="B59" s="1262"/>
      <c r="C59" s="1262"/>
      <c r="D59" s="1262"/>
      <c r="E59" s="1262"/>
      <c r="F59" s="1262"/>
      <c r="G59" s="1262"/>
      <c r="H59" s="1262"/>
      <c r="I59" s="1262"/>
      <c r="J59" s="1263"/>
      <c r="K59" s="1263"/>
      <c r="L59" s="1262"/>
      <c r="M59" s="1262"/>
      <c r="N59" s="1262"/>
      <c r="O59" s="1262"/>
      <c r="P59" s="1262"/>
      <c r="Q59" s="1262"/>
      <c r="R59" s="1262"/>
      <c r="S59" s="1262"/>
      <c r="T59" s="1262"/>
      <c r="U59" s="1262"/>
      <c r="V59" s="1262"/>
      <c r="W59" s="1263"/>
      <c r="X59" s="1263"/>
      <c r="Y59" s="1262"/>
      <c r="Z59" s="1262"/>
      <c r="AA59" s="1262"/>
      <c r="AB59" s="1262"/>
      <c r="AC59" s="1262"/>
      <c r="AD59" s="1262"/>
      <c r="AE59" s="1262"/>
      <c r="AF59" s="1262"/>
      <c r="AG59" s="1262"/>
      <c r="AH59" s="1262"/>
      <c r="AI59" s="1262"/>
      <c r="AJ59" s="1262"/>
      <c r="AK59" s="1262"/>
      <c r="AL59" s="1262"/>
      <c r="AM59" s="1262"/>
      <c r="AN59" s="1262"/>
      <c r="AO59" s="1262"/>
      <c r="AP59" s="1262"/>
      <c r="AQ59" s="1262"/>
      <c r="AR59" s="1262"/>
    </row>
    <row r="60" spans="1:53">
      <c r="A60" s="1262"/>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2"/>
      <c r="AF60" s="1262"/>
      <c r="AG60" s="1262"/>
      <c r="AH60" s="1262"/>
      <c r="AI60" s="1262"/>
      <c r="AJ60" s="1262"/>
      <c r="AK60" s="1262"/>
      <c r="AL60" s="1262"/>
      <c r="AM60" s="1262"/>
      <c r="AN60" s="1262"/>
      <c r="AO60" s="1262"/>
      <c r="AP60" s="1262"/>
      <c r="AQ60" s="1262"/>
      <c r="AR60" s="1262"/>
    </row>
    <row r="61" spans="1:53">
      <c r="A61" s="1262"/>
      <c r="B61" s="1263"/>
      <c r="C61" s="1263"/>
      <c r="D61" s="1263"/>
      <c r="E61" s="1263"/>
      <c r="F61" s="1263"/>
      <c r="G61" s="1263"/>
      <c r="H61" s="1263"/>
      <c r="I61" s="1263"/>
      <c r="J61" s="1263"/>
      <c r="K61" s="1263"/>
      <c r="L61" s="1263"/>
      <c r="M61" s="1263"/>
      <c r="N61" s="1263"/>
      <c r="O61" s="1263"/>
      <c r="P61" s="1263"/>
      <c r="Q61" s="1263"/>
      <c r="R61" s="1263"/>
      <c r="S61" s="1263"/>
      <c r="T61" s="1263"/>
      <c r="U61" s="1263"/>
      <c r="V61" s="1263"/>
      <c r="W61" s="1263"/>
      <c r="X61" s="1263"/>
      <c r="Y61" s="1263"/>
      <c r="Z61" s="1263"/>
      <c r="AA61" s="1263"/>
      <c r="AB61" s="1263"/>
      <c r="AC61" s="1263"/>
      <c r="AD61" s="1263"/>
      <c r="AE61" s="1262"/>
      <c r="AF61" s="1262"/>
      <c r="AG61" s="1262"/>
      <c r="AH61" s="1262"/>
      <c r="AI61" s="1262"/>
      <c r="AJ61" s="1262"/>
      <c r="AK61" s="1262"/>
      <c r="AL61" s="1262"/>
      <c r="AM61" s="1262"/>
      <c r="AN61" s="1262"/>
      <c r="AO61" s="1262"/>
      <c r="AP61" s="1262"/>
      <c r="AQ61" s="1262"/>
      <c r="AR61" s="1262"/>
    </row>
    <row r="62" spans="1:53">
      <c r="A62" s="1262"/>
      <c r="B62" s="1263"/>
      <c r="C62" s="1263"/>
      <c r="D62" s="1263"/>
      <c r="E62" s="1263"/>
      <c r="F62" s="1263"/>
      <c r="G62" s="1263"/>
      <c r="H62" s="1263"/>
      <c r="I62" s="1263"/>
      <c r="J62" s="1263"/>
      <c r="K62" s="1263"/>
      <c r="L62" s="1263"/>
      <c r="M62" s="1263"/>
      <c r="N62" s="1263"/>
      <c r="O62" s="1263"/>
      <c r="P62" s="1263"/>
      <c r="Q62" s="1263"/>
      <c r="R62" s="1263"/>
      <c r="S62" s="1263"/>
      <c r="T62" s="1263"/>
      <c r="U62" s="1263"/>
      <c r="V62" s="1263"/>
      <c r="W62" s="1263"/>
      <c r="X62" s="1263"/>
      <c r="Y62" s="1263"/>
      <c r="Z62" s="1263"/>
      <c r="AA62" s="1263"/>
      <c r="AB62" s="1263"/>
      <c r="AC62" s="1263"/>
      <c r="AD62" s="1263"/>
      <c r="AE62" s="1262"/>
      <c r="AF62" s="1262"/>
      <c r="AG62" s="1262"/>
      <c r="AH62" s="1262"/>
      <c r="AI62" s="1262"/>
      <c r="AJ62" s="1262"/>
      <c r="AK62" s="1262"/>
      <c r="AL62" s="1262"/>
      <c r="AM62" s="1262"/>
      <c r="AN62" s="1262"/>
      <c r="AO62" s="1262"/>
      <c r="AP62" s="1262"/>
      <c r="AQ62" s="1262"/>
      <c r="AR62" s="1262"/>
    </row>
    <row r="63" spans="1:53">
      <c r="A63" s="1262"/>
      <c r="B63" s="1263"/>
      <c r="C63" s="1263"/>
      <c r="D63" s="1263"/>
      <c r="E63" s="1263"/>
      <c r="F63" s="1263"/>
      <c r="G63" s="1263"/>
      <c r="H63" s="1263"/>
      <c r="I63" s="1263"/>
      <c r="J63" s="1263"/>
      <c r="K63" s="1263"/>
      <c r="L63" s="1263"/>
      <c r="M63" s="1263"/>
      <c r="N63" s="1263"/>
      <c r="O63" s="1263"/>
      <c r="P63" s="1263"/>
      <c r="Q63" s="1263"/>
      <c r="R63" s="1263"/>
      <c r="S63" s="1263"/>
      <c r="T63" s="1263"/>
      <c r="U63" s="1263"/>
      <c r="V63" s="1263"/>
      <c r="W63" s="1263"/>
      <c r="X63" s="1263"/>
      <c r="Y63" s="1263"/>
      <c r="Z63" s="1263"/>
      <c r="AA63" s="1263"/>
      <c r="AB63" s="1263"/>
      <c r="AC63" s="1263"/>
      <c r="AD63" s="1263"/>
      <c r="AE63" s="1262"/>
      <c r="AF63" s="1262"/>
      <c r="AG63" s="1262"/>
      <c r="AH63" s="1262"/>
      <c r="AI63" s="1262"/>
      <c r="AJ63" s="1262"/>
      <c r="AK63" s="1262"/>
      <c r="AL63" s="1262"/>
      <c r="AM63" s="1262"/>
      <c r="AN63" s="1262"/>
      <c r="AO63" s="1262"/>
      <c r="AP63" s="1262"/>
      <c r="AQ63" s="1262"/>
      <c r="AR63" s="1262"/>
    </row>
    <row r="64" spans="1:53">
      <c r="A64" s="1262"/>
      <c r="B64" s="1263"/>
      <c r="C64" s="1263"/>
      <c r="D64" s="1263"/>
      <c r="E64" s="1263"/>
      <c r="F64" s="1263"/>
      <c r="G64" s="1263"/>
      <c r="H64" s="1263"/>
      <c r="I64" s="1263"/>
      <c r="J64" s="1263"/>
      <c r="K64" s="1263"/>
      <c r="L64" s="1263"/>
      <c r="M64" s="1263"/>
      <c r="N64" s="1263"/>
      <c r="O64" s="1263"/>
      <c r="P64" s="1263"/>
      <c r="Q64" s="1263"/>
      <c r="R64" s="1263"/>
      <c r="S64" s="1263"/>
      <c r="T64" s="1263"/>
      <c r="U64" s="1263"/>
      <c r="V64" s="1263"/>
      <c r="W64" s="1263"/>
      <c r="X64" s="1263"/>
      <c r="Y64" s="1263"/>
      <c r="Z64" s="1263"/>
      <c r="AA64" s="1263"/>
      <c r="AB64" s="1263"/>
      <c r="AC64" s="1263"/>
      <c r="AD64" s="1263"/>
      <c r="AE64" s="1262"/>
      <c r="AF64" s="1262"/>
      <c r="AG64" s="1262"/>
      <c r="AH64" s="1262"/>
      <c r="AI64" s="1262"/>
      <c r="AJ64" s="1262"/>
      <c r="AK64" s="1262"/>
      <c r="AL64" s="1262"/>
      <c r="AM64" s="1262"/>
      <c r="AN64" s="1262"/>
      <c r="AO64" s="1262"/>
      <c r="AP64" s="1262"/>
      <c r="AQ64" s="1262"/>
      <c r="AR64" s="1262"/>
    </row>
    <row r="65" spans="1:44">
      <c r="A65" s="1262"/>
      <c r="B65" s="1263"/>
      <c r="C65" s="1263"/>
      <c r="D65" s="1263"/>
      <c r="E65" s="1263"/>
      <c r="F65" s="1263"/>
      <c r="G65" s="1263"/>
      <c r="H65" s="1263"/>
      <c r="I65" s="1263"/>
      <c r="J65" s="1263"/>
      <c r="K65" s="1263"/>
      <c r="L65" s="1263"/>
      <c r="M65" s="1263"/>
      <c r="N65" s="1263"/>
      <c r="O65" s="1263"/>
      <c r="P65" s="1263"/>
      <c r="Q65" s="1263"/>
      <c r="R65" s="1263"/>
      <c r="S65" s="1263"/>
      <c r="T65" s="1263"/>
      <c r="U65" s="1263"/>
      <c r="V65" s="1263"/>
      <c r="W65" s="1263"/>
      <c r="X65" s="1263"/>
      <c r="Y65" s="1263"/>
      <c r="Z65" s="1263"/>
      <c r="AA65" s="1263"/>
      <c r="AB65" s="1263"/>
      <c r="AC65" s="1263"/>
      <c r="AD65" s="1263"/>
      <c r="AE65" s="1262"/>
      <c r="AF65" s="1262"/>
      <c r="AG65" s="1262"/>
      <c r="AH65" s="1262"/>
      <c r="AI65" s="1262"/>
      <c r="AJ65" s="1262"/>
      <c r="AK65" s="1262"/>
      <c r="AL65" s="1262"/>
      <c r="AM65" s="1262"/>
      <c r="AN65" s="1262"/>
      <c r="AO65" s="1262"/>
      <c r="AP65" s="1262"/>
      <c r="AQ65" s="1262"/>
      <c r="AR65" s="1262"/>
    </row>
    <row r="66" spans="1:44">
      <c r="A66" s="1262"/>
      <c r="B66" s="1263"/>
      <c r="C66" s="1263"/>
      <c r="D66" s="1263"/>
      <c r="E66" s="1263"/>
      <c r="F66" s="1263"/>
      <c r="G66" s="1263"/>
      <c r="H66" s="1263"/>
      <c r="I66" s="1263"/>
      <c r="J66" s="1263"/>
      <c r="K66" s="1263"/>
      <c r="L66" s="1263"/>
      <c r="M66" s="1263"/>
      <c r="N66" s="1263"/>
      <c r="O66" s="1263"/>
      <c r="P66" s="1263"/>
      <c r="Q66" s="1263"/>
      <c r="R66" s="1263"/>
      <c r="S66" s="1263"/>
      <c r="T66" s="1263"/>
      <c r="U66" s="1263"/>
      <c r="V66" s="1263"/>
      <c r="W66" s="1263"/>
      <c r="X66" s="1263"/>
      <c r="Y66" s="1263"/>
      <c r="Z66" s="1263"/>
      <c r="AA66" s="1263"/>
      <c r="AB66" s="1263"/>
      <c r="AC66" s="1263"/>
      <c r="AD66" s="1263"/>
      <c r="AE66" s="1262"/>
      <c r="AF66" s="1262"/>
      <c r="AG66" s="1262"/>
      <c r="AH66" s="1262"/>
      <c r="AI66" s="1262"/>
      <c r="AJ66" s="1262"/>
      <c r="AK66" s="1262"/>
      <c r="AL66" s="1262"/>
      <c r="AM66" s="1262"/>
      <c r="AN66" s="1262"/>
      <c r="AO66" s="1262"/>
      <c r="AP66" s="1262"/>
      <c r="AQ66" s="1262"/>
      <c r="AR66" s="1262"/>
    </row>
    <row r="67" spans="1:44">
      <c r="A67" s="1262"/>
      <c r="B67" s="1263"/>
      <c r="C67" s="1263"/>
      <c r="D67" s="1263"/>
      <c r="E67" s="1263"/>
      <c r="F67" s="1263"/>
      <c r="G67" s="1263"/>
      <c r="H67" s="1263"/>
      <c r="I67" s="1263"/>
      <c r="J67" s="1263"/>
      <c r="K67" s="1263"/>
      <c r="L67" s="1263"/>
      <c r="M67" s="1263"/>
      <c r="N67" s="1263"/>
      <c r="O67" s="1263"/>
      <c r="P67" s="1263"/>
      <c r="Q67" s="1263"/>
      <c r="R67" s="1263"/>
      <c r="S67" s="1263"/>
      <c r="T67" s="1263"/>
      <c r="U67" s="1263"/>
      <c r="V67" s="1263"/>
      <c r="W67" s="1263"/>
      <c r="X67" s="1263"/>
      <c r="Y67" s="1263"/>
      <c r="Z67" s="1263"/>
      <c r="AA67" s="1263"/>
      <c r="AB67" s="1263"/>
      <c r="AC67" s="1263"/>
      <c r="AD67" s="1263"/>
      <c r="AE67" s="1262"/>
      <c r="AF67" s="1262"/>
      <c r="AG67" s="1262"/>
      <c r="AH67" s="1262"/>
      <c r="AI67" s="1262"/>
      <c r="AJ67" s="1262"/>
      <c r="AK67" s="1262"/>
      <c r="AL67" s="1262"/>
      <c r="AM67" s="1262"/>
      <c r="AN67" s="1262"/>
      <c r="AO67" s="1262"/>
      <c r="AP67" s="1262"/>
      <c r="AQ67" s="1262"/>
      <c r="AR67" s="1262"/>
    </row>
  </sheetData>
  <sheetProtection algorithmName="SHA-512" hashValue="OOGedm/qAievsQT3W6NJGhxTwGftccfqmhAlTnllJrFAKl4S874b0HjxuNm4b/t5nDmgBZh4DBAe3plj0KJR4w==" saltValue="BQTemEC0PoTFYgXB4YlaIQ==" spinCount="100000" sheet="1" objects="1" scenarios="1"/>
  <customSheetViews>
    <customSheetView guid="{6EFEFCA0-BF14-457A-85A3-29CBF2A862A5}" showGridLines="0" fitToPage="1">
      <selection sqref="A1:AJ59"/>
      <pageMargins left="0.23622047244094491" right="0.23622047244094491" top="0.39370078740157483" bottom="0.78740157480314965" header="0" footer="0.11811023622047245"/>
      <printOptions horizontalCentered="1" verticalCentered="1"/>
      <pageSetup scale="59" orientation="portrait" r:id="rId1"/>
      <headerFooter>
        <oddFooter>&amp;L&amp;10&amp;F &amp;A&amp;R&amp;10Page 47 of 61</oddFooter>
      </headerFooter>
    </customSheetView>
  </customSheetViews>
  <mergeCells count="78">
    <mergeCell ref="M14:O14"/>
    <mergeCell ref="P14:R14"/>
    <mergeCell ref="E4:AD4"/>
    <mergeCell ref="D5:AD5"/>
    <mergeCell ref="E7:AD7"/>
    <mergeCell ref="E8:AD8"/>
    <mergeCell ref="E9:AD9"/>
    <mergeCell ref="E10:AD10"/>
    <mergeCell ref="D11:AC11"/>
    <mergeCell ref="D13:I13"/>
    <mergeCell ref="J13:O13"/>
    <mergeCell ref="P13:U13"/>
    <mergeCell ref="V13:AA13"/>
    <mergeCell ref="D25:L25"/>
    <mergeCell ref="M25:U25"/>
    <mergeCell ref="V25:AD25"/>
    <mergeCell ref="S14:U14"/>
    <mergeCell ref="V14:X14"/>
    <mergeCell ref="Y14:AA14"/>
    <mergeCell ref="D15:F15"/>
    <mergeCell ref="G15:I15"/>
    <mergeCell ref="J15:L15"/>
    <mergeCell ref="M15:O15"/>
    <mergeCell ref="P15:R15"/>
    <mergeCell ref="S15:U15"/>
    <mergeCell ref="V15:X15"/>
    <mergeCell ref="D14:F14"/>
    <mergeCell ref="G14:I14"/>
    <mergeCell ref="J14:L14"/>
    <mergeCell ref="Y15:AA15"/>
    <mergeCell ref="G17:AA17"/>
    <mergeCell ref="E22:AB22"/>
    <mergeCell ref="E23:AB23"/>
    <mergeCell ref="D24:AB24"/>
    <mergeCell ref="V26:X26"/>
    <mergeCell ref="Y26:AA26"/>
    <mergeCell ref="AB26:AD26"/>
    <mergeCell ref="D27:F27"/>
    <mergeCell ref="G27:I27"/>
    <mergeCell ref="J27:L27"/>
    <mergeCell ref="M27:O27"/>
    <mergeCell ref="P27:R27"/>
    <mergeCell ref="S27:U27"/>
    <mergeCell ref="V27:X27"/>
    <mergeCell ref="D26:F26"/>
    <mergeCell ref="G26:I26"/>
    <mergeCell ref="J26:L26"/>
    <mergeCell ref="M26:O26"/>
    <mergeCell ref="P26:R26"/>
    <mergeCell ref="S26:U26"/>
    <mergeCell ref="AB38:AD38"/>
    <mergeCell ref="Y27:AA27"/>
    <mergeCell ref="AB27:AD27"/>
    <mergeCell ref="D32:Z32"/>
    <mergeCell ref="D34:I34"/>
    <mergeCell ref="J34:O34"/>
    <mergeCell ref="D35:F35"/>
    <mergeCell ref="G35:I35"/>
    <mergeCell ref="J35:L35"/>
    <mergeCell ref="M35:O35"/>
    <mergeCell ref="D36:F36"/>
    <mergeCell ref="G36:I36"/>
    <mergeCell ref="J36:L36"/>
    <mergeCell ref="M36:O36"/>
    <mergeCell ref="D38:Z38"/>
    <mergeCell ref="K58:W58"/>
    <mergeCell ref="D40:Z40"/>
    <mergeCell ref="AB40:AD40"/>
    <mergeCell ref="D42:Z42"/>
    <mergeCell ref="AB42:AD42"/>
    <mergeCell ref="E44:AD45"/>
    <mergeCell ref="F51:N51"/>
    <mergeCell ref="T51:AF51"/>
    <mergeCell ref="F52:N52"/>
    <mergeCell ref="T52:AF52"/>
    <mergeCell ref="F53:N53"/>
    <mergeCell ref="X53:AF53"/>
    <mergeCell ref="K56:W57"/>
  </mergeCells>
  <dataValidations count="5">
    <dataValidation type="whole" allowBlank="1" showInputMessage="1" showErrorMessage="1" errorTitle="GSHSP SY 2022-2023" error="Please enter valid number between 0-20,000." sqref="D15:AA15" xr:uid="{7DCFA27E-BC6D-4A28-97C7-F05F326E1B3E}">
      <formula1>0</formula1>
      <formula2>20000</formula2>
    </dataValidation>
    <dataValidation type="whole" allowBlank="1" showInputMessage="1" showErrorMessage="1" errorTitle="GSHSP SY 2022-2023" error="Please enter valid number between 0-999." sqref="D27:F27 M27:O27 V27:X27" xr:uid="{9188EF7A-288F-4396-880F-2BF2D1E1C274}">
      <formula1>0</formula1>
      <formula2>999</formula2>
    </dataValidation>
    <dataValidation type="whole" allowBlank="1" showInputMessage="1" showErrorMessage="1" errorTitle="GSHSP SY 2022-2023" error="Please enter valid number between 0-20,000,000.00." sqref="G27:I27 P27:R27 Y27:AA27" xr:uid="{C9CCDAD0-DBF6-479E-AE06-8612820EB765}">
      <formula1>0</formula1>
      <formula2>20000000</formula2>
    </dataValidation>
    <dataValidation type="decimal" allowBlank="1" showInputMessage="1" showErrorMessage="1" errorTitle="GSHSP SY 2022-2023" error="Please enter valid number between 0-100." sqref="J27:L27 S27:U27 AB27:AD27" xr:uid="{FF458751-6AE9-4132-8A66-CBC25D374BAD}">
      <formula1>0</formula1>
      <formula2>1</formula2>
    </dataValidation>
    <dataValidation type="whole" allowBlank="1" showInputMessage="1" showErrorMessage="1" errorTitle="GSHSP SY 2022-2023" error="Please enter valid number between  0-999." sqref="D36:O36 AB38:AD38 AB40:AD40 AB42:AD42" xr:uid="{0D345C41-6B9D-4516-93CD-04C9A87318FA}">
      <formula1>0</formula1>
      <formula2>999</formula2>
    </dataValidation>
  </dataValidations>
  <printOptions horizontalCentered="1" verticalCentered="1"/>
  <pageMargins left="0.23622047244094491" right="0.23622047244094491" top="0.39370078740157483" bottom="0.78740157480314965" header="0" footer="0.11811023622047245"/>
  <pageSetup scale="59" orientation="portrait" r:id="rId2"/>
  <headerFooter>
    <oddFooter>&amp;L&amp;10&amp;F &amp;A&amp;R&amp;10Page 47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87041" r:id="rId5" name="Check Box 1">
              <controlPr defaultSize="0" autoFill="0" autoLine="0" autoPict="0">
                <anchor moveWithCells="1">
                  <from>
                    <xdr:col>3</xdr:col>
                    <xdr:colOff>38100</xdr:colOff>
                    <xdr:row>3</xdr:row>
                    <xdr:rowOff>28575</xdr:rowOff>
                  </from>
                  <to>
                    <xdr:col>3</xdr:col>
                    <xdr:colOff>257175</xdr:colOff>
                    <xdr:row>3</xdr:row>
                    <xdr:rowOff>276225</xdr:rowOff>
                  </to>
                </anchor>
              </controlPr>
            </control>
          </mc:Choice>
        </mc:AlternateContent>
        <mc:AlternateContent xmlns:mc="http://schemas.openxmlformats.org/markup-compatibility/2006">
          <mc:Choice Requires="x14">
            <control shapeId="87043" r:id="rId6" name="Check Box 3">
              <controlPr defaultSize="0" autoFill="0" autoLine="0" autoPict="0">
                <anchor moveWithCells="1">
                  <from>
                    <xdr:col>3</xdr:col>
                    <xdr:colOff>38100</xdr:colOff>
                    <xdr:row>6</xdr:row>
                    <xdr:rowOff>47625</xdr:rowOff>
                  </from>
                  <to>
                    <xdr:col>3</xdr:col>
                    <xdr:colOff>257175</xdr:colOff>
                    <xdr:row>6</xdr:row>
                    <xdr:rowOff>257175</xdr:rowOff>
                  </to>
                </anchor>
              </controlPr>
            </control>
          </mc:Choice>
        </mc:AlternateContent>
        <mc:AlternateContent xmlns:mc="http://schemas.openxmlformats.org/markup-compatibility/2006">
          <mc:Choice Requires="x14">
            <control shapeId="87044" r:id="rId7" name="Check Box 4">
              <controlPr defaultSize="0" autoFill="0" autoLine="0" autoPict="0">
                <anchor moveWithCells="1">
                  <from>
                    <xdr:col>3</xdr:col>
                    <xdr:colOff>28575</xdr:colOff>
                    <xdr:row>7</xdr:row>
                    <xdr:rowOff>66675</xdr:rowOff>
                  </from>
                  <to>
                    <xdr:col>4</xdr:col>
                    <xdr:colOff>0</xdr:colOff>
                    <xdr:row>7</xdr:row>
                    <xdr:rowOff>276225</xdr:rowOff>
                  </to>
                </anchor>
              </controlPr>
            </control>
          </mc:Choice>
        </mc:AlternateContent>
        <mc:AlternateContent xmlns:mc="http://schemas.openxmlformats.org/markup-compatibility/2006">
          <mc:Choice Requires="x14">
            <control shapeId="87045" r:id="rId8" name="Check Box 5">
              <controlPr defaultSize="0" autoFill="0" autoLine="0" autoPict="0">
                <anchor moveWithCells="1">
                  <from>
                    <xdr:col>3</xdr:col>
                    <xdr:colOff>38100</xdr:colOff>
                    <xdr:row>8</xdr:row>
                    <xdr:rowOff>66675</xdr:rowOff>
                  </from>
                  <to>
                    <xdr:col>4</xdr:col>
                    <xdr:colOff>9525</xdr:colOff>
                    <xdr:row>8</xdr:row>
                    <xdr:rowOff>257175</xdr:rowOff>
                  </to>
                </anchor>
              </controlPr>
            </control>
          </mc:Choice>
        </mc:AlternateContent>
        <mc:AlternateContent xmlns:mc="http://schemas.openxmlformats.org/markup-compatibility/2006">
          <mc:Choice Requires="x14">
            <control shapeId="87046" r:id="rId9" name="Check Box 6">
              <controlPr defaultSize="0" autoFill="0" autoLine="0" autoPict="0">
                <anchor moveWithCells="1">
                  <from>
                    <xdr:col>3</xdr:col>
                    <xdr:colOff>38100</xdr:colOff>
                    <xdr:row>9</xdr:row>
                    <xdr:rowOff>47625</xdr:rowOff>
                  </from>
                  <to>
                    <xdr:col>4</xdr:col>
                    <xdr:colOff>28575</xdr:colOff>
                    <xdr:row>9</xdr:row>
                    <xdr:rowOff>266700</xdr:rowOff>
                  </to>
                </anchor>
              </controlPr>
            </control>
          </mc:Choice>
        </mc:AlternateContent>
        <mc:AlternateContent xmlns:mc="http://schemas.openxmlformats.org/markup-compatibility/2006">
          <mc:Choice Requires="x14">
            <control shapeId="87049" r:id="rId10" name="Check Box 9">
              <controlPr defaultSize="0" autoFill="0" autoLine="0" autoPict="0">
                <anchor moveWithCells="1">
                  <from>
                    <xdr:col>3</xdr:col>
                    <xdr:colOff>38100</xdr:colOff>
                    <xdr:row>21</xdr:row>
                    <xdr:rowOff>66675</xdr:rowOff>
                  </from>
                  <to>
                    <xdr:col>3</xdr:col>
                    <xdr:colOff>238125</xdr:colOff>
                    <xdr:row>21</xdr:row>
                    <xdr:rowOff>219075</xdr:rowOff>
                  </to>
                </anchor>
              </controlPr>
            </control>
          </mc:Choice>
        </mc:AlternateContent>
        <mc:AlternateContent xmlns:mc="http://schemas.openxmlformats.org/markup-compatibility/2006">
          <mc:Choice Requires="x14">
            <control shapeId="87050" r:id="rId11" name="Check Box 10">
              <controlPr defaultSize="0" autoFill="0" autoLine="0" autoPict="0">
                <anchor moveWithCells="1">
                  <from>
                    <xdr:col>3</xdr:col>
                    <xdr:colOff>28575</xdr:colOff>
                    <xdr:row>22</xdr:row>
                    <xdr:rowOff>47625</xdr:rowOff>
                  </from>
                  <to>
                    <xdr:col>3</xdr:col>
                    <xdr:colOff>266700</xdr:colOff>
                    <xdr:row>22</xdr:row>
                    <xdr:rowOff>257175</xdr:rowOff>
                  </to>
                </anchor>
              </controlPr>
            </control>
          </mc:Choice>
        </mc:AlternateContent>
        <mc:AlternateContent xmlns:mc="http://schemas.openxmlformats.org/markup-compatibility/2006">
          <mc:Choice Requires="x14">
            <control shapeId="87051" r:id="rId12" name="Check Box 11">
              <controlPr defaultSize="0" autoFill="0" autoLine="0" autoPict="0">
                <anchor moveWithCells="1">
                  <from>
                    <xdr:col>3</xdr:col>
                    <xdr:colOff>38100</xdr:colOff>
                    <xdr:row>42</xdr:row>
                    <xdr:rowOff>47625</xdr:rowOff>
                  </from>
                  <to>
                    <xdr:col>4</xdr:col>
                    <xdr:colOff>28575</xdr:colOff>
                    <xdr:row>44</xdr:row>
                    <xdr:rowOff>9525</xdr:rowOff>
                  </to>
                </anchor>
              </controlPr>
            </control>
          </mc:Choice>
        </mc:AlternateContent>
        <mc:AlternateContent xmlns:mc="http://schemas.openxmlformats.org/markup-compatibility/2006">
          <mc:Choice Requires="x14">
            <control shapeId="87052" r:id="rId13" name="Check Box 12">
              <controlPr defaultSize="0" autoFill="0" autoLine="0" autoPict="0">
                <anchor moveWithCells="1">
                  <from>
                    <xdr:col>6</xdr:col>
                    <xdr:colOff>38100</xdr:colOff>
                    <xdr:row>5</xdr:row>
                    <xdr:rowOff>28575</xdr:rowOff>
                  </from>
                  <to>
                    <xdr:col>6</xdr:col>
                    <xdr:colOff>228600</xdr:colOff>
                    <xdr:row>5</xdr:row>
                    <xdr:rowOff>228600</xdr:rowOff>
                  </to>
                </anchor>
              </controlPr>
            </control>
          </mc:Choice>
        </mc:AlternateContent>
        <mc:AlternateContent xmlns:mc="http://schemas.openxmlformats.org/markup-compatibility/2006">
          <mc:Choice Requires="x14">
            <control shapeId="87053" r:id="rId14" name="Check Box 13">
              <controlPr defaultSize="0" autoFill="0" autoLine="0" autoPict="0">
                <anchor moveWithCells="1">
                  <from>
                    <xdr:col>13</xdr:col>
                    <xdr:colOff>38100</xdr:colOff>
                    <xdr:row>5</xdr:row>
                    <xdr:rowOff>28575</xdr:rowOff>
                  </from>
                  <to>
                    <xdr:col>13</xdr:col>
                    <xdr:colOff>238125</xdr:colOff>
                    <xdr:row>5</xdr:row>
                    <xdr:rowOff>219075</xdr:rowOff>
                  </to>
                </anchor>
              </controlPr>
            </control>
          </mc:Choice>
        </mc:AlternateContent>
        <mc:AlternateContent xmlns:mc="http://schemas.openxmlformats.org/markup-compatibility/2006">
          <mc:Choice Requires="x14">
            <control shapeId="87054" r:id="rId15" name="Check Box 14">
              <controlPr defaultSize="0" autoFill="0" autoLine="0" autoPict="0">
                <anchor moveWithCells="1">
                  <from>
                    <xdr:col>18</xdr:col>
                    <xdr:colOff>38100</xdr:colOff>
                    <xdr:row>5</xdr:row>
                    <xdr:rowOff>9525</xdr:rowOff>
                  </from>
                  <to>
                    <xdr:col>18</xdr:col>
                    <xdr:colOff>257175</xdr:colOff>
                    <xdr:row>5</xdr:row>
                    <xdr:rowOff>238125</xdr:rowOff>
                  </to>
                </anchor>
              </controlPr>
            </control>
          </mc:Choice>
        </mc:AlternateContent>
        <mc:AlternateContent xmlns:mc="http://schemas.openxmlformats.org/markup-compatibility/2006">
          <mc:Choice Requires="x14">
            <control shapeId="87055" r:id="rId16" name="Check Box 15">
              <controlPr defaultSize="0" autoFill="0" autoLine="0" autoPict="0">
                <anchor moveWithCells="1">
                  <from>
                    <xdr:col>22</xdr:col>
                    <xdr:colOff>28575</xdr:colOff>
                    <xdr:row>5</xdr:row>
                    <xdr:rowOff>28575</xdr:rowOff>
                  </from>
                  <to>
                    <xdr:col>22</xdr:col>
                    <xdr:colOff>238125</xdr:colOff>
                    <xdr:row>5</xdr:row>
                    <xdr:rowOff>228600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C3FB9-C862-4965-A859-6B287F7EC676}">
  <sheetPr codeName="Sheet50">
    <tabColor rgb="FFFFFF00"/>
    <pageSetUpPr fitToPage="1"/>
  </sheetPr>
  <dimension ref="A1:BA61"/>
  <sheetViews>
    <sheetView showGridLines="0" topLeftCell="A32" zoomScaleNormal="100" zoomScaleSheetLayoutView="100" workbookViewId="0">
      <selection sqref="A1:AJ41"/>
    </sheetView>
  </sheetViews>
  <sheetFormatPr defaultColWidth="8" defaultRowHeight="15.75"/>
  <cols>
    <col min="1" max="1" width="2.125" style="176" customWidth="1"/>
    <col min="2" max="30" width="3.625" style="175" customWidth="1"/>
    <col min="31" max="32" width="3.625" style="176" customWidth="1"/>
    <col min="33" max="33" width="2.125" style="176" customWidth="1"/>
    <col min="34" max="45" width="3.625" style="176" customWidth="1"/>
    <col min="46" max="53" width="3.625" style="1262" customWidth="1"/>
    <col min="54" max="165" width="3.625" style="176" customWidth="1"/>
    <col min="166" max="16384" width="8" style="176"/>
  </cols>
  <sheetData>
    <row r="1" spans="1:53" ht="12" customHeight="1">
      <c r="A1" s="1262"/>
      <c r="B1" s="1263"/>
      <c r="C1" s="1263"/>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2"/>
      <c r="AF1" s="1262"/>
      <c r="AG1" s="1262"/>
      <c r="AH1" s="1262"/>
      <c r="AI1" s="1262"/>
      <c r="AJ1" s="1262"/>
      <c r="AK1" s="1262"/>
      <c r="AL1" s="1262"/>
      <c r="AM1" s="1262"/>
      <c r="AN1" s="1262"/>
      <c r="AO1" s="1262"/>
      <c r="AP1" s="1262"/>
      <c r="AQ1" s="1262"/>
      <c r="AR1" s="1262"/>
      <c r="AS1" s="1262"/>
    </row>
    <row r="2" spans="1:53" ht="17.25" thickBot="1">
      <c r="A2" s="1262"/>
      <c r="B2" s="1264" t="s">
        <v>1444</v>
      </c>
      <c r="C2" s="1262"/>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c r="AS2" s="1262"/>
    </row>
    <row r="3" spans="1:53" ht="5.0999999999999996" customHeight="1" thickTop="1">
      <c r="A3" s="1262"/>
      <c r="B3" s="1266"/>
      <c r="C3" s="1267"/>
      <c r="D3" s="1267"/>
      <c r="E3" s="1267"/>
      <c r="F3" s="1267"/>
      <c r="G3" s="1267"/>
      <c r="H3" s="1267"/>
      <c r="I3" s="1267"/>
      <c r="J3" s="1267"/>
      <c r="K3" s="1267"/>
      <c r="L3" s="1267"/>
      <c r="M3" s="1267"/>
      <c r="N3" s="1267"/>
      <c r="O3" s="1267"/>
      <c r="P3" s="1267"/>
      <c r="Q3" s="1267"/>
      <c r="R3" s="1267"/>
      <c r="S3" s="1267"/>
      <c r="T3" s="1267"/>
      <c r="U3" s="1267"/>
      <c r="V3" s="1267"/>
      <c r="W3" s="1267"/>
      <c r="X3" s="1267"/>
      <c r="Y3" s="1267"/>
      <c r="Z3" s="1267"/>
      <c r="AA3" s="1267"/>
      <c r="AB3" s="1267"/>
      <c r="AC3" s="1267"/>
      <c r="AD3" s="1267"/>
      <c r="AE3" s="1267"/>
      <c r="AF3" s="1268"/>
      <c r="AG3" s="1262"/>
      <c r="AH3" s="1262"/>
      <c r="AI3" s="1262"/>
      <c r="AJ3" s="1262"/>
      <c r="AK3" s="1262"/>
      <c r="AL3" s="1262"/>
      <c r="AM3" s="1262"/>
      <c r="AN3" s="1262"/>
      <c r="AO3" s="1262"/>
      <c r="AP3" s="1262"/>
      <c r="AQ3" s="1262"/>
      <c r="AR3" s="1262"/>
      <c r="AS3" s="1262"/>
      <c r="AW3" s="1319"/>
    </row>
    <row r="4" spans="1:53" s="177" customFormat="1" ht="15.95" customHeight="1">
      <c r="A4" s="1319"/>
      <c r="B4" s="1320"/>
      <c r="C4" s="1301" t="s">
        <v>47</v>
      </c>
      <c r="D4" s="1340" t="b">
        <v>0</v>
      </c>
      <c r="E4" s="3676" t="s">
        <v>1445</v>
      </c>
      <c r="F4" s="3676"/>
      <c r="G4" s="3676"/>
      <c r="H4" s="3676"/>
      <c r="I4" s="3676"/>
      <c r="J4" s="3676"/>
      <c r="K4" s="3676"/>
      <c r="L4" s="3676"/>
      <c r="M4" s="3676"/>
      <c r="N4" s="3676"/>
      <c r="O4" s="3676"/>
      <c r="P4" s="3676"/>
      <c r="Q4" s="3676"/>
      <c r="R4" s="3676"/>
      <c r="S4" s="3676"/>
      <c r="T4" s="3676"/>
      <c r="U4" s="3676"/>
      <c r="V4" s="3676"/>
      <c r="W4" s="3676"/>
      <c r="X4" s="3676"/>
      <c r="Y4" s="3676"/>
      <c r="Z4" s="3676"/>
      <c r="AA4" s="3676"/>
      <c r="AB4" s="3676"/>
      <c r="AC4" s="3676"/>
      <c r="AD4" s="3676"/>
      <c r="AE4" s="1322"/>
      <c r="AF4" s="1323"/>
      <c r="AG4" s="1322"/>
      <c r="AH4" s="1322"/>
      <c r="AI4" s="1322"/>
      <c r="AJ4" s="1322"/>
      <c r="AK4" s="1322"/>
      <c r="AL4" s="1322"/>
      <c r="AM4" s="1322"/>
      <c r="AN4" s="1322"/>
      <c r="AO4" s="1322"/>
      <c r="AP4" s="1319"/>
      <c r="AQ4" s="1319"/>
      <c r="AR4" s="1319"/>
      <c r="AS4" s="1319"/>
      <c r="AT4" s="1319"/>
      <c r="AU4" s="1319"/>
      <c r="AV4" s="1319"/>
      <c r="AW4" s="1319"/>
      <c r="AX4" s="1319"/>
      <c r="AY4" s="1319"/>
      <c r="AZ4" s="1319"/>
      <c r="BA4" s="1319"/>
    </row>
    <row r="5" spans="1:53" s="177" customFormat="1" ht="15.95" customHeight="1">
      <c r="A5" s="1319"/>
      <c r="B5" s="1320"/>
      <c r="C5" s="1301"/>
      <c r="D5" s="1341"/>
      <c r="E5" s="3676"/>
      <c r="F5" s="3676"/>
      <c r="G5" s="3676"/>
      <c r="H5" s="3676"/>
      <c r="I5" s="3676"/>
      <c r="J5" s="3676"/>
      <c r="K5" s="3676"/>
      <c r="L5" s="3676"/>
      <c r="M5" s="3676"/>
      <c r="N5" s="3676"/>
      <c r="O5" s="3676"/>
      <c r="P5" s="3676"/>
      <c r="Q5" s="3676"/>
      <c r="R5" s="3676"/>
      <c r="S5" s="3676"/>
      <c r="T5" s="3676"/>
      <c r="U5" s="3676"/>
      <c r="V5" s="3676"/>
      <c r="W5" s="3676"/>
      <c r="X5" s="3676"/>
      <c r="Y5" s="3676"/>
      <c r="Z5" s="3676"/>
      <c r="AA5" s="3676"/>
      <c r="AB5" s="3676"/>
      <c r="AC5" s="3676"/>
      <c r="AD5" s="3676"/>
      <c r="AE5" s="1322"/>
      <c r="AF5" s="1323"/>
      <c r="AG5" s="1322"/>
      <c r="AH5" s="1322"/>
      <c r="AI5" s="1322"/>
      <c r="AJ5" s="1322"/>
      <c r="AK5" s="1322"/>
      <c r="AL5" s="1322"/>
      <c r="AM5" s="1322"/>
      <c r="AN5" s="1322"/>
      <c r="AO5" s="1322"/>
      <c r="AP5" s="1319"/>
      <c r="AQ5" s="1319"/>
      <c r="AR5" s="1319"/>
      <c r="AS5" s="1319"/>
      <c r="AT5" s="1319"/>
      <c r="AU5" s="1319"/>
      <c r="AV5" s="1319"/>
      <c r="AW5" s="1319"/>
      <c r="AX5" s="1319"/>
      <c r="AY5" s="1319"/>
      <c r="AZ5" s="1319"/>
      <c r="BA5" s="1319"/>
    </row>
    <row r="6" spans="1:53" s="177" customFormat="1" ht="15.95" customHeight="1">
      <c r="A6" s="1319"/>
      <c r="B6" s="1320"/>
      <c r="C6" s="1301" t="s">
        <v>48</v>
      </c>
      <c r="D6" s="1340" t="b">
        <v>0</v>
      </c>
      <c r="E6" s="3676" t="s">
        <v>1446</v>
      </c>
      <c r="F6" s="3676"/>
      <c r="G6" s="3676"/>
      <c r="H6" s="3676"/>
      <c r="I6" s="3676"/>
      <c r="J6" s="3676"/>
      <c r="K6" s="3676"/>
      <c r="L6" s="3676"/>
      <c r="M6" s="3676"/>
      <c r="N6" s="3676"/>
      <c r="O6" s="3676"/>
      <c r="P6" s="3676"/>
      <c r="Q6" s="3676"/>
      <c r="R6" s="3676"/>
      <c r="S6" s="3676"/>
      <c r="T6" s="3676"/>
      <c r="U6" s="3676"/>
      <c r="V6" s="3676"/>
      <c r="W6" s="3676"/>
      <c r="X6" s="3676"/>
      <c r="Y6" s="3676"/>
      <c r="Z6" s="3676"/>
      <c r="AA6" s="3676"/>
      <c r="AB6" s="3676"/>
      <c r="AC6" s="3676"/>
      <c r="AD6" s="3676"/>
      <c r="AE6" s="1322"/>
      <c r="AF6" s="1323"/>
      <c r="AG6" s="1322"/>
      <c r="AH6" s="1322"/>
      <c r="AI6" s="1322"/>
      <c r="AJ6" s="1322"/>
      <c r="AK6" s="1322"/>
      <c r="AL6" s="1322"/>
      <c r="AM6" s="1322"/>
      <c r="AN6" s="1322"/>
      <c r="AO6" s="1322"/>
      <c r="AP6" s="1319"/>
      <c r="AQ6" s="1319"/>
      <c r="AR6" s="1319"/>
      <c r="AS6" s="1319"/>
      <c r="AT6" s="1319"/>
      <c r="AU6" s="1319"/>
      <c r="AV6" s="1319"/>
      <c r="AW6" s="1319"/>
      <c r="AX6" s="1319"/>
      <c r="AY6" s="1319"/>
      <c r="AZ6" s="1319"/>
      <c r="BA6" s="1319"/>
    </row>
    <row r="7" spans="1:53" s="177" customFormat="1" ht="15.95" customHeight="1">
      <c r="A7" s="1319"/>
      <c r="B7" s="1320"/>
      <c r="C7" s="1301"/>
      <c r="D7" s="1341"/>
      <c r="E7" s="3676"/>
      <c r="F7" s="3676"/>
      <c r="G7" s="3676"/>
      <c r="H7" s="3676"/>
      <c r="I7" s="3676"/>
      <c r="J7" s="3676"/>
      <c r="K7" s="3676"/>
      <c r="L7" s="3676"/>
      <c r="M7" s="3676"/>
      <c r="N7" s="3676"/>
      <c r="O7" s="3676"/>
      <c r="P7" s="3676"/>
      <c r="Q7" s="3676"/>
      <c r="R7" s="3676"/>
      <c r="S7" s="3676"/>
      <c r="T7" s="3676"/>
      <c r="U7" s="3676"/>
      <c r="V7" s="3676"/>
      <c r="W7" s="3676"/>
      <c r="X7" s="3676"/>
      <c r="Y7" s="3676"/>
      <c r="Z7" s="3676"/>
      <c r="AA7" s="3676"/>
      <c r="AB7" s="3676"/>
      <c r="AC7" s="3676"/>
      <c r="AD7" s="3676"/>
      <c r="AE7" s="1322"/>
      <c r="AF7" s="1323"/>
      <c r="AG7" s="1322"/>
      <c r="AH7" s="1322"/>
      <c r="AI7" s="1322"/>
      <c r="AJ7" s="1322"/>
      <c r="AK7" s="1322"/>
      <c r="AL7" s="1322"/>
      <c r="AM7" s="1322"/>
      <c r="AN7" s="1322"/>
      <c r="AO7" s="1322"/>
      <c r="AP7" s="1319"/>
      <c r="AQ7" s="1319"/>
      <c r="AR7" s="1319"/>
      <c r="AS7" s="1319"/>
      <c r="AT7" s="1319"/>
      <c r="AU7" s="1319"/>
      <c r="AV7" s="1319"/>
      <c r="AW7" s="1262"/>
      <c r="AX7" s="1319"/>
      <c r="AY7" s="1319"/>
      <c r="AZ7" s="1319"/>
      <c r="BA7" s="1319"/>
    </row>
    <row r="8" spans="1:53" ht="5.0999999999999996" customHeight="1">
      <c r="A8" s="1262"/>
      <c r="B8" s="1303"/>
      <c r="C8" s="1327"/>
      <c r="D8" s="1327"/>
      <c r="E8" s="1327"/>
      <c r="F8" s="1327"/>
      <c r="G8" s="1327"/>
      <c r="H8" s="1327"/>
      <c r="I8" s="1327"/>
      <c r="J8" s="1327"/>
      <c r="K8" s="1327"/>
      <c r="L8" s="1327"/>
      <c r="M8" s="1327"/>
      <c r="N8" s="1327"/>
      <c r="O8" s="1327"/>
      <c r="P8" s="1327"/>
      <c r="Q8" s="1327"/>
      <c r="R8" s="1327"/>
      <c r="S8" s="1327"/>
      <c r="T8" s="1327"/>
      <c r="U8" s="1327"/>
      <c r="V8" s="1327"/>
      <c r="W8" s="1327"/>
      <c r="X8" s="1327"/>
      <c r="Y8" s="1327"/>
      <c r="Z8" s="1327"/>
      <c r="AA8" s="1327"/>
      <c r="AB8" s="1327"/>
      <c r="AC8" s="1327"/>
      <c r="AD8" s="1327"/>
      <c r="AE8" s="1327"/>
      <c r="AF8" s="1277"/>
      <c r="AG8" s="1262"/>
      <c r="AH8" s="1262"/>
      <c r="AI8" s="1262"/>
      <c r="AJ8" s="1262"/>
      <c r="AK8" s="1262"/>
      <c r="AL8" s="1262"/>
      <c r="AM8" s="1262"/>
      <c r="AN8" s="1262"/>
      <c r="AO8" s="1262"/>
      <c r="AP8" s="1262"/>
      <c r="AQ8" s="1262"/>
      <c r="AR8" s="1262"/>
      <c r="AS8" s="1262"/>
    </row>
    <row r="9" spans="1:53" ht="15.6" customHeight="1">
      <c r="A9" s="1262"/>
      <c r="B9" s="1269"/>
      <c r="C9" s="1301" t="s">
        <v>49</v>
      </c>
      <c r="D9" s="3666" t="s">
        <v>1447</v>
      </c>
      <c r="E9" s="3666"/>
      <c r="F9" s="3666"/>
      <c r="G9" s="3666"/>
      <c r="H9" s="3666"/>
      <c r="I9" s="3666"/>
      <c r="J9" s="3666"/>
      <c r="K9" s="3666"/>
      <c r="L9" s="3666"/>
      <c r="M9" s="3666"/>
      <c r="N9" s="3666"/>
      <c r="O9" s="3666"/>
      <c r="P9" s="3666"/>
      <c r="Q9" s="3666"/>
      <c r="R9" s="3666"/>
      <c r="S9" s="3666"/>
      <c r="T9" s="3666"/>
      <c r="U9" s="3666"/>
      <c r="V9" s="3666"/>
      <c r="W9" s="3666"/>
      <c r="X9" s="3666"/>
      <c r="Y9" s="3666"/>
      <c r="Z9" s="3666"/>
      <c r="AA9" s="1309"/>
      <c r="AB9" s="1309"/>
      <c r="AC9" s="1309"/>
      <c r="AD9" s="1302"/>
      <c r="AE9" s="1271"/>
      <c r="AF9" s="1272"/>
      <c r="AG9" s="1262"/>
      <c r="AH9" s="1262"/>
      <c r="AI9" s="1262"/>
      <c r="AJ9" s="1262"/>
      <c r="AK9" s="1262"/>
      <c r="AL9" s="1262"/>
      <c r="AM9" s="1262"/>
      <c r="AN9" s="1262"/>
      <c r="AO9" s="1262"/>
      <c r="AP9" s="1262"/>
      <c r="AQ9" s="1262"/>
      <c r="AR9" s="1262"/>
      <c r="AS9" s="1262"/>
    </row>
    <row r="10" spans="1:53" ht="5.0999999999999996" customHeight="1" thickBot="1">
      <c r="A10" s="1262"/>
      <c r="B10" s="1303"/>
      <c r="C10" s="1327"/>
      <c r="D10" s="1327"/>
      <c r="E10" s="1327"/>
      <c r="F10" s="1327"/>
      <c r="G10" s="1327"/>
      <c r="H10" s="1327"/>
      <c r="I10" s="1327"/>
      <c r="J10" s="1327"/>
      <c r="K10" s="1327"/>
      <c r="L10" s="1327"/>
      <c r="M10" s="1327"/>
      <c r="N10" s="1327"/>
      <c r="O10" s="1327"/>
      <c r="P10" s="1327"/>
      <c r="Q10" s="1327"/>
      <c r="R10" s="1327"/>
      <c r="S10" s="1327"/>
      <c r="T10" s="1327"/>
      <c r="U10" s="1327"/>
      <c r="V10" s="1327"/>
      <c r="W10" s="1327"/>
      <c r="X10" s="1327"/>
      <c r="Y10" s="1327"/>
      <c r="Z10" s="1327"/>
      <c r="AA10" s="1327"/>
      <c r="AB10" s="1327"/>
      <c r="AC10" s="1327"/>
      <c r="AD10" s="1327"/>
      <c r="AE10" s="1327"/>
      <c r="AF10" s="1277"/>
      <c r="AG10" s="1262"/>
      <c r="AH10" s="1262"/>
      <c r="AI10" s="1262"/>
      <c r="AJ10" s="1262"/>
      <c r="AK10" s="1262"/>
      <c r="AL10" s="1262"/>
      <c r="AM10" s="1262"/>
      <c r="AN10" s="1262"/>
      <c r="AO10" s="1262"/>
      <c r="AP10" s="1262"/>
      <c r="AQ10" s="1262"/>
      <c r="AR10" s="1262"/>
      <c r="AS10" s="1262"/>
    </row>
    <row r="11" spans="1:53" s="175" customFormat="1" ht="30" customHeight="1" thickTop="1" thickBot="1">
      <c r="A11" s="1263"/>
      <c r="B11" s="1303"/>
      <c r="C11" s="1304"/>
      <c r="D11" s="3654" t="s">
        <v>1448</v>
      </c>
      <c r="E11" s="3655"/>
      <c r="F11" s="3655"/>
      <c r="G11" s="3655"/>
      <c r="H11" s="3655"/>
      <c r="I11" s="3658"/>
      <c r="J11" s="3639" t="s">
        <v>1449</v>
      </c>
      <c r="K11" s="3640"/>
      <c r="L11" s="3640"/>
      <c r="M11" s="3640"/>
      <c r="N11" s="3640"/>
      <c r="O11" s="3722"/>
      <c r="P11" s="3640" t="s">
        <v>931</v>
      </c>
      <c r="Q11" s="3640"/>
      <c r="R11" s="3640"/>
      <c r="S11" s="3640"/>
      <c r="T11" s="3640"/>
      <c r="U11" s="3646"/>
      <c r="V11" s="3723"/>
      <c r="W11" s="3723"/>
      <c r="X11" s="3723"/>
      <c r="Y11" s="3723"/>
      <c r="Z11" s="3723"/>
      <c r="AA11" s="3723"/>
      <c r="AB11" s="1304"/>
      <c r="AC11" s="1304"/>
      <c r="AD11" s="1304"/>
      <c r="AE11" s="1304"/>
      <c r="AF11" s="1305"/>
      <c r="AG11" s="1263"/>
      <c r="AH11" s="1263"/>
      <c r="AI11" s="1263"/>
      <c r="AJ11" s="1263"/>
      <c r="AK11" s="1263"/>
      <c r="AL11" s="1263"/>
      <c r="AM11" s="1263"/>
      <c r="AN11" s="1263"/>
      <c r="AO11" s="1263"/>
      <c r="AP11" s="1263"/>
      <c r="AQ11" s="1263"/>
      <c r="AR11" s="1263"/>
      <c r="AS11" s="1263"/>
      <c r="AT11" s="1263"/>
      <c r="AU11" s="1263"/>
      <c r="AV11" s="1263"/>
      <c r="AW11" s="1263"/>
      <c r="AX11" s="1263"/>
      <c r="AY11" s="1263"/>
      <c r="AZ11" s="1263"/>
      <c r="BA11" s="1263"/>
    </row>
    <row r="12" spans="1:53" s="175" customFormat="1" ht="30" customHeight="1" thickTop="1" thickBot="1">
      <c r="A12" s="1263"/>
      <c r="B12" s="1273"/>
      <c r="C12" s="1274"/>
      <c r="D12" s="3719"/>
      <c r="E12" s="3720"/>
      <c r="F12" s="3720"/>
      <c r="G12" s="3720"/>
      <c r="H12" s="3720"/>
      <c r="I12" s="3721"/>
      <c r="J12" s="3647">
        <v>0</v>
      </c>
      <c r="K12" s="3632"/>
      <c r="L12" s="3632"/>
      <c r="M12" s="3632"/>
      <c r="N12" s="3632"/>
      <c r="O12" s="3724"/>
      <c r="P12" s="3632">
        <v>0</v>
      </c>
      <c r="Q12" s="3632"/>
      <c r="R12" s="3632"/>
      <c r="S12" s="3632"/>
      <c r="T12" s="3632"/>
      <c r="U12" s="3652"/>
      <c r="V12" s="3725"/>
      <c r="W12" s="3725"/>
      <c r="X12" s="3725"/>
      <c r="Y12" s="3715"/>
      <c r="Z12" s="3715"/>
      <c r="AA12" s="3715"/>
      <c r="AB12" s="1263"/>
      <c r="AC12" s="1263"/>
      <c r="AD12" s="1263"/>
      <c r="AE12" s="1263"/>
      <c r="AF12" s="1284"/>
      <c r="AG12" s="1263"/>
      <c r="AH12" s="1263"/>
      <c r="AI12" s="1263"/>
      <c r="AJ12" s="1263"/>
      <c r="AK12" s="1263"/>
      <c r="AL12" s="1263"/>
      <c r="AM12" s="1263"/>
      <c r="AN12" s="1263"/>
      <c r="AO12" s="1263"/>
      <c r="AP12" s="1263"/>
      <c r="AQ12" s="1263"/>
      <c r="AR12" s="1263"/>
      <c r="AS12" s="1263"/>
      <c r="AT12" s="1263"/>
      <c r="AU12" s="1263"/>
      <c r="AV12" s="1263"/>
      <c r="AW12" s="1263"/>
      <c r="AX12" s="1263"/>
      <c r="AY12" s="1263"/>
      <c r="AZ12" s="1263"/>
      <c r="BA12" s="1263"/>
    </row>
    <row r="13" spans="1:53" ht="5.0999999999999996" customHeight="1" thickTop="1" thickBot="1">
      <c r="A13" s="1262"/>
      <c r="B13" s="1303"/>
      <c r="C13" s="1327"/>
      <c r="D13" s="1327"/>
      <c r="E13" s="1327"/>
      <c r="F13" s="1327"/>
      <c r="G13" s="1327"/>
      <c r="H13" s="1327"/>
      <c r="I13" s="1327"/>
      <c r="J13" s="1327"/>
      <c r="K13" s="1327"/>
      <c r="L13" s="1327"/>
      <c r="M13" s="1327"/>
      <c r="N13" s="1327"/>
      <c r="O13" s="1327"/>
      <c r="P13" s="1327"/>
      <c r="Q13" s="1327"/>
      <c r="R13" s="1327"/>
      <c r="S13" s="1327"/>
      <c r="T13" s="1327"/>
      <c r="U13" s="1327"/>
      <c r="V13" s="1327"/>
      <c r="W13" s="1327"/>
      <c r="X13" s="1327"/>
      <c r="Y13" s="1327"/>
      <c r="Z13" s="1327"/>
      <c r="AA13" s="1327"/>
      <c r="AB13" s="1327"/>
      <c r="AC13" s="1327"/>
      <c r="AD13" s="1327"/>
      <c r="AE13" s="1327"/>
      <c r="AF13" s="1277"/>
      <c r="AG13" s="1262"/>
      <c r="AH13" s="1262"/>
      <c r="AI13" s="1262"/>
      <c r="AJ13" s="1262"/>
      <c r="AK13" s="1262"/>
      <c r="AL13" s="1262"/>
      <c r="AM13" s="1262"/>
      <c r="AN13" s="1262"/>
      <c r="AO13" s="1262"/>
      <c r="AP13" s="1262"/>
      <c r="AQ13" s="1262"/>
      <c r="AR13" s="1262"/>
      <c r="AS13" s="1262"/>
    </row>
    <row r="14" spans="1:53" ht="32.1" customHeight="1" thickBot="1">
      <c r="A14" s="1262"/>
      <c r="B14" s="1269"/>
      <c r="C14" s="1301" t="s">
        <v>50</v>
      </c>
      <c r="D14" s="3666" t="s">
        <v>1450</v>
      </c>
      <c r="E14" s="3666"/>
      <c r="F14" s="3666"/>
      <c r="G14" s="3666"/>
      <c r="H14" s="3666"/>
      <c r="I14" s="3666"/>
      <c r="J14" s="3666"/>
      <c r="K14" s="3666"/>
      <c r="L14" s="3666"/>
      <c r="M14" s="3666"/>
      <c r="N14" s="3666"/>
      <c r="O14" s="3666"/>
      <c r="P14" s="3666"/>
      <c r="Q14" s="3666"/>
      <c r="R14" s="3666"/>
      <c r="S14" s="3666"/>
      <c r="T14" s="3666"/>
      <c r="U14" s="3666"/>
      <c r="V14" s="3666"/>
      <c r="W14" s="3666"/>
      <c r="X14" s="3666"/>
      <c r="Y14" s="3666"/>
      <c r="Z14" s="3666"/>
      <c r="AA14" s="1309"/>
      <c r="AB14" s="3716">
        <v>0</v>
      </c>
      <c r="AC14" s="3717"/>
      <c r="AD14" s="3718"/>
      <c r="AE14" s="1271"/>
      <c r="AF14" s="1272"/>
      <c r="AG14" s="1262"/>
      <c r="AH14" s="1262"/>
      <c r="AI14" s="1262"/>
      <c r="AJ14" s="1262"/>
      <c r="AK14" s="1262"/>
      <c r="AL14" s="1262"/>
      <c r="AM14" s="1262"/>
      <c r="AN14" s="1262"/>
      <c r="AO14" s="1262"/>
      <c r="AP14" s="1262"/>
      <c r="AQ14" s="1262"/>
      <c r="AR14" s="1262"/>
      <c r="AS14" s="1262"/>
    </row>
    <row r="15" spans="1:53" ht="9.9499999999999993" customHeight="1" thickBot="1">
      <c r="A15" s="1262"/>
      <c r="B15" s="1310"/>
      <c r="C15" s="1311"/>
      <c r="D15" s="1297"/>
      <c r="E15" s="1312"/>
      <c r="F15" s="1312"/>
      <c r="G15" s="1312"/>
      <c r="H15" s="1312"/>
      <c r="I15" s="1312"/>
      <c r="J15" s="1312"/>
      <c r="K15" s="1313"/>
      <c r="L15" s="1313"/>
      <c r="M15" s="1313"/>
      <c r="N15" s="1313"/>
      <c r="O15" s="1313"/>
      <c r="P15" s="1313"/>
      <c r="Q15" s="1313"/>
      <c r="R15" s="1313"/>
      <c r="S15" s="1313"/>
      <c r="T15" s="1313"/>
      <c r="U15" s="1313"/>
      <c r="V15" s="1313"/>
      <c r="W15" s="1313"/>
      <c r="X15" s="1313"/>
      <c r="Y15" s="1313"/>
      <c r="Z15" s="1313"/>
      <c r="AA15" s="1313"/>
      <c r="AB15" s="1313"/>
      <c r="AC15" s="1313"/>
      <c r="AD15" s="1313"/>
      <c r="AE15" s="1313"/>
      <c r="AF15" s="1314"/>
      <c r="AG15" s="1262"/>
      <c r="AH15" s="1262"/>
      <c r="AI15" s="1262"/>
      <c r="AJ15" s="1262"/>
      <c r="AK15" s="1262"/>
      <c r="AL15" s="1262"/>
      <c r="AM15" s="1262"/>
      <c r="AN15" s="1262"/>
      <c r="AO15" s="1262"/>
      <c r="AP15" s="1262"/>
      <c r="AQ15" s="1262"/>
      <c r="AR15" s="1262"/>
      <c r="AS15" s="1262"/>
    </row>
    <row r="16" spans="1:53" ht="9.9499999999999993" customHeight="1" thickTop="1">
      <c r="A16" s="1262"/>
      <c r="B16" s="1339"/>
      <c r="C16" s="1321"/>
      <c r="D16" s="1263"/>
      <c r="E16" s="1271"/>
      <c r="F16" s="1271"/>
      <c r="G16" s="1271"/>
      <c r="H16" s="1271"/>
      <c r="I16" s="1271"/>
      <c r="J16" s="1271"/>
      <c r="K16" s="1262"/>
      <c r="L16" s="1262"/>
      <c r="M16" s="1262"/>
      <c r="N16" s="1262"/>
      <c r="O16" s="1262"/>
      <c r="P16" s="1262"/>
      <c r="Q16" s="1262"/>
      <c r="R16" s="1262"/>
      <c r="S16" s="1262"/>
      <c r="T16" s="1262"/>
      <c r="U16" s="1262"/>
      <c r="V16" s="1262"/>
      <c r="W16" s="1262"/>
      <c r="X16" s="1262"/>
      <c r="Y16" s="1262"/>
      <c r="Z16" s="1262"/>
      <c r="AA16" s="1262"/>
      <c r="AB16" s="1262"/>
      <c r="AC16" s="1262"/>
      <c r="AD16" s="1262"/>
      <c r="AE16" s="1262"/>
      <c r="AF16" s="1262"/>
      <c r="AG16" s="1262"/>
      <c r="AH16" s="1262"/>
      <c r="AI16" s="1262"/>
      <c r="AJ16" s="1262"/>
      <c r="AK16" s="1262"/>
      <c r="AL16" s="1262"/>
      <c r="AM16" s="1262"/>
      <c r="AN16" s="1262"/>
      <c r="AO16" s="1262"/>
      <c r="AP16" s="1262"/>
      <c r="AQ16" s="1262"/>
      <c r="AR16" s="1262"/>
      <c r="AS16" s="1262"/>
    </row>
    <row r="17" spans="1:53" s="179" customFormat="1" ht="100.5" customHeight="1">
      <c r="A17" s="1343"/>
      <c r="B17" s="1344" t="s">
        <v>47</v>
      </c>
      <c r="C17" s="3714" t="s">
        <v>1850</v>
      </c>
      <c r="D17" s="3714"/>
      <c r="E17" s="3714"/>
      <c r="F17" s="3714"/>
      <c r="G17" s="3714"/>
      <c r="H17" s="3714"/>
      <c r="I17" s="3714"/>
      <c r="J17" s="3714"/>
      <c r="K17" s="3714"/>
      <c r="L17" s="3714"/>
      <c r="M17" s="3714"/>
      <c r="N17" s="3714"/>
      <c r="O17" s="3714"/>
      <c r="P17" s="3714"/>
      <c r="Q17" s="3714"/>
      <c r="R17" s="3714"/>
      <c r="S17" s="3714"/>
      <c r="T17" s="3714"/>
      <c r="U17" s="3714"/>
      <c r="V17" s="3714"/>
      <c r="W17" s="3714"/>
      <c r="X17" s="3714"/>
      <c r="Y17" s="3714"/>
      <c r="Z17" s="3714"/>
      <c r="AA17" s="3714"/>
      <c r="AB17" s="3714"/>
      <c r="AC17" s="3714"/>
      <c r="AD17" s="3714"/>
      <c r="AE17" s="3714"/>
      <c r="AF17" s="3714"/>
      <c r="AG17" s="1345"/>
      <c r="AH17" s="1345"/>
      <c r="AI17" s="1345"/>
      <c r="AJ17" s="1345"/>
      <c r="AK17" s="1345"/>
      <c r="AL17" s="1345"/>
      <c r="AM17" s="1345"/>
      <c r="AN17" s="1343"/>
      <c r="AO17" s="1343"/>
      <c r="AP17" s="1343"/>
      <c r="AQ17" s="1343"/>
      <c r="AR17" s="1343"/>
      <c r="AS17" s="1343"/>
      <c r="AT17" s="1343"/>
      <c r="AU17" s="1343"/>
      <c r="AV17" s="1343"/>
      <c r="AW17" s="1343"/>
      <c r="AX17" s="1343"/>
      <c r="AY17" s="1343"/>
      <c r="AZ17" s="1343"/>
      <c r="BA17" s="1343"/>
    </row>
    <row r="18" spans="1:53" s="179" customFormat="1" ht="2.4500000000000002" customHeight="1">
      <c r="A18" s="1343"/>
      <c r="B18" s="1344"/>
      <c r="C18" s="1346"/>
      <c r="D18" s="1346"/>
      <c r="E18" s="1346"/>
      <c r="F18" s="1346"/>
      <c r="G18" s="1346"/>
      <c r="H18" s="1346"/>
      <c r="I18" s="1346"/>
      <c r="J18" s="1346"/>
      <c r="K18" s="1346"/>
      <c r="L18" s="1346"/>
      <c r="M18" s="1346"/>
      <c r="N18" s="1346"/>
      <c r="O18" s="1346"/>
      <c r="P18" s="1346"/>
      <c r="Q18" s="1346"/>
      <c r="R18" s="1346"/>
      <c r="S18" s="1346"/>
      <c r="T18" s="1346"/>
      <c r="U18" s="1346"/>
      <c r="V18" s="1346"/>
      <c r="W18" s="1346"/>
      <c r="X18" s="1346"/>
      <c r="Y18" s="1346"/>
      <c r="Z18" s="1346"/>
      <c r="AA18" s="1346"/>
      <c r="AB18" s="1346"/>
      <c r="AC18" s="1346"/>
      <c r="AD18" s="1346"/>
      <c r="AE18" s="1346"/>
      <c r="AF18" s="1346"/>
      <c r="AG18" s="1345"/>
      <c r="AH18" s="1345"/>
      <c r="AI18" s="1345"/>
      <c r="AJ18" s="1345"/>
      <c r="AK18" s="1345"/>
      <c r="AL18" s="1345"/>
      <c r="AM18" s="1345"/>
      <c r="AN18" s="1343"/>
      <c r="AO18" s="1343"/>
      <c r="AP18" s="1343"/>
      <c r="AQ18" s="1343"/>
      <c r="AR18" s="1343"/>
      <c r="AS18" s="1343"/>
      <c r="AT18" s="1343"/>
      <c r="AU18" s="1343"/>
      <c r="AV18" s="1343"/>
      <c r="AW18" s="1343"/>
      <c r="AX18" s="1343"/>
      <c r="AY18" s="1343"/>
      <c r="AZ18" s="1343"/>
      <c r="BA18" s="1343"/>
    </row>
    <row r="19" spans="1:53" s="179" customFormat="1" ht="32.450000000000003" customHeight="1">
      <c r="A19" s="1343"/>
      <c r="B19" s="1344"/>
      <c r="C19" s="3714" t="s">
        <v>1851</v>
      </c>
      <c r="D19" s="3714"/>
      <c r="E19" s="3714"/>
      <c r="F19" s="3714"/>
      <c r="G19" s="3714"/>
      <c r="H19" s="3714"/>
      <c r="I19" s="3714"/>
      <c r="J19" s="3714"/>
      <c r="K19" s="3714"/>
      <c r="L19" s="3714"/>
      <c r="M19" s="3714"/>
      <c r="N19" s="3714"/>
      <c r="O19" s="3714"/>
      <c r="P19" s="3714"/>
      <c r="Q19" s="3714"/>
      <c r="R19" s="3714"/>
      <c r="S19" s="3714"/>
      <c r="T19" s="3714"/>
      <c r="U19" s="3714"/>
      <c r="V19" s="3714"/>
      <c r="W19" s="3714"/>
      <c r="X19" s="3714"/>
      <c r="Y19" s="3714"/>
      <c r="Z19" s="3714"/>
      <c r="AA19" s="3714"/>
      <c r="AB19" s="3714"/>
      <c r="AC19" s="3714"/>
      <c r="AD19" s="3714"/>
      <c r="AE19" s="3714"/>
      <c r="AF19" s="3714"/>
      <c r="AG19" s="1345"/>
      <c r="AH19" s="1345"/>
      <c r="AI19" s="1345"/>
      <c r="AJ19" s="1345"/>
      <c r="AK19" s="1345"/>
      <c r="AL19" s="1345"/>
      <c r="AM19" s="1345"/>
      <c r="AN19" s="1343"/>
      <c r="AO19" s="1343"/>
      <c r="AP19" s="1343"/>
      <c r="AQ19" s="1343"/>
      <c r="AR19" s="1343"/>
      <c r="AS19" s="1343"/>
      <c r="AT19" s="1343"/>
      <c r="AU19" s="1343"/>
      <c r="AV19" s="1343"/>
      <c r="AW19" s="1343"/>
      <c r="AX19" s="1343"/>
      <c r="AY19" s="1343"/>
      <c r="AZ19" s="1343"/>
      <c r="BA19" s="1343"/>
    </row>
    <row r="20" spans="1:53" s="179" customFormat="1" ht="2.4500000000000002" customHeight="1">
      <c r="A20" s="1343"/>
      <c r="B20" s="1344"/>
      <c r="C20" s="1346"/>
      <c r="D20" s="1346"/>
      <c r="E20" s="1346"/>
      <c r="F20" s="1346"/>
      <c r="G20" s="1346"/>
      <c r="H20" s="1346"/>
      <c r="I20" s="1346"/>
      <c r="J20" s="1346"/>
      <c r="K20" s="1346"/>
      <c r="L20" s="1346"/>
      <c r="M20" s="1346"/>
      <c r="N20" s="1346"/>
      <c r="O20" s="1346"/>
      <c r="P20" s="1346"/>
      <c r="Q20" s="1346"/>
      <c r="R20" s="1346"/>
      <c r="S20" s="1346"/>
      <c r="T20" s="1346"/>
      <c r="U20" s="1346"/>
      <c r="V20" s="1346"/>
      <c r="W20" s="1346"/>
      <c r="X20" s="1346"/>
      <c r="Y20" s="1346"/>
      <c r="Z20" s="1346"/>
      <c r="AA20" s="1346"/>
      <c r="AB20" s="1346"/>
      <c r="AC20" s="1346"/>
      <c r="AD20" s="1346"/>
      <c r="AE20" s="1346"/>
      <c r="AF20" s="1346"/>
      <c r="AG20" s="1345"/>
      <c r="AH20" s="1345"/>
      <c r="AI20" s="1345"/>
      <c r="AJ20" s="1345"/>
      <c r="AK20" s="1345"/>
      <c r="AL20" s="1345"/>
      <c r="AM20" s="1345"/>
      <c r="AN20" s="1343"/>
      <c r="AO20" s="1343"/>
      <c r="AP20" s="1343"/>
      <c r="AQ20" s="1343"/>
      <c r="AR20" s="1343"/>
      <c r="AS20" s="1343"/>
      <c r="AT20" s="1343"/>
      <c r="AU20" s="1343"/>
      <c r="AV20" s="1343"/>
      <c r="AW20" s="1343"/>
      <c r="AX20" s="1343"/>
      <c r="AY20" s="1343"/>
      <c r="AZ20" s="1343"/>
      <c r="BA20" s="1343"/>
    </row>
    <row r="21" spans="1:53" s="179" customFormat="1" ht="45" customHeight="1">
      <c r="A21" s="1343"/>
      <c r="B21" s="1344"/>
      <c r="C21" s="3714" t="s">
        <v>1852</v>
      </c>
      <c r="D21" s="3714"/>
      <c r="E21" s="3714"/>
      <c r="F21" s="3714"/>
      <c r="G21" s="3714"/>
      <c r="H21" s="3714"/>
      <c r="I21" s="3714"/>
      <c r="J21" s="3714"/>
      <c r="K21" s="3714"/>
      <c r="L21" s="3714"/>
      <c r="M21" s="3714"/>
      <c r="N21" s="3714"/>
      <c r="O21" s="3714"/>
      <c r="P21" s="3714"/>
      <c r="Q21" s="3714"/>
      <c r="R21" s="3714"/>
      <c r="S21" s="3714"/>
      <c r="T21" s="3714"/>
      <c r="U21" s="3714"/>
      <c r="V21" s="3714"/>
      <c r="W21" s="3714"/>
      <c r="X21" s="3714"/>
      <c r="Y21" s="3714"/>
      <c r="Z21" s="3714"/>
      <c r="AA21" s="3714"/>
      <c r="AB21" s="3714"/>
      <c r="AC21" s="3714"/>
      <c r="AD21" s="3714"/>
      <c r="AE21" s="3714"/>
      <c r="AF21" s="3714"/>
      <c r="AG21" s="1345"/>
      <c r="AH21" s="1345"/>
      <c r="AI21" s="1345"/>
      <c r="AJ21" s="1345"/>
      <c r="AK21" s="1345"/>
      <c r="AL21" s="1345"/>
      <c r="AM21" s="1345"/>
      <c r="AN21" s="1343"/>
      <c r="AO21" s="1343"/>
      <c r="AP21" s="1343"/>
      <c r="AQ21" s="1343"/>
      <c r="AR21" s="1343"/>
      <c r="AS21" s="1343"/>
      <c r="AT21" s="1343"/>
      <c r="AU21" s="1343"/>
      <c r="AV21" s="1343"/>
      <c r="AW21" s="1343"/>
      <c r="AX21" s="1343"/>
      <c r="AY21" s="1343"/>
      <c r="AZ21" s="1343"/>
      <c r="BA21" s="1343"/>
    </row>
    <row r="22" spans="1:53" s="179" customFormat="1" ht="2.4500000000000002" customHeight="1">
      <c r="A22" s="1343"/>
      <c r="B22" s="1344"/>
      <c r="C22" s="1346"/>
      <c r="D22" s="1346"/>
      <c r="E22" s="1346"/>
      <c r="F22" s="1346"/>
      <c r="G22" s="1346"/>
      <c r="H22" s="1346"/>
      <c r="I22" s="1346"/>
      <c r="J22" s="1346"/>
      <c r="K22" s="1346"/>
      <c r="L22" s="1346"/>
      <c r="M22" s="1346"/>
      <c r="N22" s="1346"/>
      <c r="O22" s="1346"/>
      <c r="P22" s="1346"/>
      <c r="Q22" s="1346"/>
      <c r="R22" s="1346"/>
      <c r="S22" s="1346"/>
      <c r="T22" s="1346"/>
      <c r="U22" s="1346"/>
      <c r="V22" s="1346"/>
      <c r="W22" s="1346"/>
      <c r="X22" s="1346"/>
      <c r="Y22" s="1346"/>
      <c r="Z22" s="1346"/>
      <c r="AA22" s="1346"/>
      <c r="AB22" s="1346"/>
      <c r="AC22" s="1346"/>
      <c r="AD22" s="1346"/>
      <c r="AE22" s="1346"/>
      <c r="AF22" s="1346"/>
      <c r="AG22" s="1345"/>
      <c r="AH22" s="1345"/>
      <c r="AI22" s="1345"/>
      <c r="AJ22" s="1345"/>
      <c r="AK22" s="1345"/>
      <c r="AL22" s="1345"/>
      <c r="AM22" s="1345"/>
      <c r="AN22" s="1343"/>
      <c r="AO22" s="1343"/>
      <c r="AP22" s="1343"/>
      <c r="AQ22" s="1343"/>
      <c r="AR22" s="1343"/>
      <c r="AS22" s="1343"/>
      <c r="AT22" s="1343"/>
      <c r="AU22" s="1343"/>
      <c r="AV22" s="1343"/>
      <c r="AW22" s="1343"/>
      <c r="AX22" s="1343"/>
      <c r="AY22" s="1343"/>
      <c r="AZ22" s="1343"/>
      <c r="BA22" s="1343"/>
    </row>
    <row r="23" spans="1:53" s="179" customFormat="1" ht="33.950000000000003" customHeight="1">
      <c r="A23" s="1343"/>
      <c r="B23" s="1344"/>
      <c r="C23" s="3714" t="s">
        <v>1853</v>
      </c>
      <c r="D23" s="3714"/>
      <c r="E23" s="3714"/>
      <c r="F23" s="3714"/>
      <c r="G23" s="3714"/>
      <c r="H23" s="3714"/>
      <c r="I23" s="3714"/>
      <c r="J23" s="3714"/>
      <c r="K23" s="3714"/>
      <c r="L23" s="3714"/>
      <c r="M23" s="3714"/>
      <c r="N23" s="3714"/>
      <c r="O23" s="3714"/>
      <c r="P23" s="3714"/>
      <c r="Q23" s="3714"/>
      <c r="R23" s="3714"/>
      <c r="S23" s="3714"/>
      <c r="T23" s="3714"/>
      <c r="U23" s="3714"/>
      <c r="V23" s="3714"/>
      <c r="W23" s="3714"/>
      <c r="X23" s="3714"/>
      <c r="Y23" s="3714"/>
      <c r="Z23" s="3714"/>
      <c r="AA23" s="3714"/>
      <c r="AB23" s="3714"/>
      <c r="AC23" s="3714"/>
      <c r="AD23" s="3714"/>
      <c r="AE23" s="3714"/>
      <c r="AF23" s="3714"/>
      <c r="AG23" s="1345"/>
      <c r="AH23" s="1345"/>
      <c r="AI23" s="1345"/>
      <c r="AJ23" s="1345"/>
      <c r="AK23" s="1345"/>
      <c r="AL23" s="1345"/>
      <c r="AM23" s="1345"/>
      <c r="AN23" s="1343"/>
      <c r="AO23" s="1343"/>
      <c r="AP23" s="1343"/>
      <c r="AQ23" s="1343"/>
      <c r="AR23" s="1343"/>
      <c r="AS23" s="1343"/>
      <c r="AT23" s="1343"/>
      <c r="AU23" s="1343"/>
      <c r="AV23" s="1343"/>
      <c r="AW23" s="1343"/>
      <c r="AX23" s="1343"/>
      <c r="AY23" s="1343"/>
      <c r="AZ23" s="1343"/>
      <c r="BA23" s="1343"/>
    </row>
    <row r="24" spans="1:53" s="179" customFormat="1" ht="78.95" customHeight="1">
      <c r="A24" s="1343"/>
      <c r="B24" s="1344" t="s">
        <v>48</v>
      </c>
      <c r="C24" s="3714" t="s">
        <v>1854</v>
      </c>
      <c r="D24" s="3714"/>
      <c r="E24" s="3714"/>
      <c r="F24" s="3714"/>
      <c r="G24" s="3714"/>
      <c r="H24" s="3714"/>
      <c r="I24" s="3714"/>
      <c r="J24" s="3714"/>
      <c r="K24" s="3714"/>
      <c r="L24" s="3714"/>
      <c r="M24" s="3714"/>
      <c r="N24" s="3714"/>
      <c r="O24" s="3714"/>
      <c r="P24" s="3714"/>
      <c r="Q24" s="3714"/>
      <c r="R24" s="3714"/>
      <c r="S24" s="3714"/>
      <c r="T24" s="3714"/>
      <c r="U24" s="3714"/>
      <c r="V24" s="3714"/>
      <c r="W24" s="3714"/>
      <c r="X24" s="3714"/>
      <c r="Y24" s="3714"/>
      <c r="Z24" s="3714"/>
      <c r="AA24" s="3714"/>
      <c r="AB24" s="3714"/>
      <c r="AC24" s="3714"/>
      <c r="AD24" s="3714"/>
      <c r="AE24" s="3714"/>
      <c r="AF24" s="3714"/>
      <c r="AG24" s="1345"/>
      <c r="AH24" s="1345"/>
      <c r="AI24" s="1345"/>
      <c r="AJ24" s="1345"/>
      <c r="AK24" s="1345"/>
      <c r="AL24" s="1345"/>
      <c r="AM24" s="1345"/>
      <c r="AN24" s="1343"/>
      <c r="AO24" s="1343"/>
      <c r="AP24" s="1343"/>
      <c r="AQ24" s="1343"/>
      <c r="AR24" s="1343"/>
      <c r="AS24" s="1343"/>
      <c r="AT24" s="1343"/>
      <c r="AU24" s="1343"/>
      <c r="AV24" s="1343"/>
      <c r="AW24" s="1343"/>
      <c r="AX24" s="1343"/>
      <c r="AY24" s="1343"/>
      <c r="AZ24" s="1343"/>
      <c r="BA24" s="1343"/>
    </row>
    <row r="25" spans="1:53" s="179" customFormat="1" ht="78.95" customHeight="1">
      <c r="A25" s="1343"/>
      <c r="B25" s="1344" t="s">
        <v>49</v>
      </c>
      <c r="C25" s="3714" t="s">
        <v>1855</v>
      </c>
      <c r="D25" s="3714"/>
      <c r="E25" s="3714"/>
      <c r="F25" s="3714"/>
      <c r="G25" s="3714"/>
      <c r="H25" s="3714"/>
      <c r="I25" s="3714"/>
      <c r="J25" s="3714"/>
      <c r="K25" s="3714"/>
      <c r="L25" s="3714"/>
      <c r="M25" s="3714"/>
      <c r="N25" s="3714"/>
      <c r="O25" s="3714"/>
      <c r="P25" s="3714"/>
      <c r="Q25" s="3714"/>
      <c r="R25" s="3714"/>
      <c r="S25" s="3714"/>
      <c r="T25" s="3714"/>
      <c r="U25" s="3714"/>
      <c r="V25" s="3714"/>
      <c r="W25" s="3714"/>
      <c r="X25" s="3714"/>
      <c r="Y25" s="3714"/>
      <c r="Z25" s="3714"/>
      <c r="AA25" s="3714"/>
      <c r="AB25" s="3714"/>
      <c r="AC25" s="3714"/>
      <c r="AD25" s="3714"/>
      <c r="AE25" s="3714"/>
      <c r="AF25" s="3714"/>
      <c r="AG25" s="1345"/>
      <c r="AH25" s="1345"/>
      <c r="AI25" s="1345"/>
      <c r="AJ25" s="1345"/>
      <c r="AK25" s="1345"/>
      <c r="AL25" s="1345"/>
      <c r="AM25" s="1345"/>
      <c r="AN25" s="1343"/>
      <c r="AO25" s="1343"/>
      <c r="AP25" s="1343"/>
      <c r="AQ25" s="1343"/>
      <c r="AR25" s="1343"/>
      <c r="AS25" s="1343"/>
      <c r="AT25" s="1343"/>
      <c r="AU25" s="1343"/>
      <c r="AV25" s="1343"/>
      <c r="AW25" s="1343"/>
      <c r="AX25" s="1343"/>
      <c r="AY25" s="1343"/>
      <c r="AZ25" s="1343"/>
      <c r="BA25" s="1343"/>
    </row>
    <row r="26" spans="1:53" s="179" customFormat="1" ht="92.45" customHeight="1">
      <c r="A26" s="1343"/>
      <c r="B26" s="1344" t="s">
        <v>50</v>
      </c>
      <c r="C26" s="3714" t="s">
        <v>1856</v>
      </c>
      <c r="D26" s="3714"/>
      <c r="E26" s="3714"/>
      <c r="F26" s="3714"/>
      <c r="G26" s="3714"/>
      <c r="H26" s="3714"/>
      <c r="I26" s="3714"/>
      <c r="J26" s="3714"/>
      <c r="K26" s="3714"/>
      <c r="L26" s="3714"/>
      <c r="M26" s="3714"/>
      <c r="N26" s="3714"/>
      <c r="O26" s="3714"/>
      <c r="P26" s="3714"/>
      <c r="Q26" s="3714"/>
      <c r="R26" s="3714"/>
      <c r="S26" s="3714"/>
      <c r="T26" s="3714"/>
      <c r="U26" s="3714"/>
      <c r="V26" s="3714"/>
      <c r="W26" s="3714"/>
      <c r="X26" s="3714"/>
      <c r="Y26" s="3714"/>
      <c r="Z26" s="3714"/>
      <c r="AA26" s="3714"/>
      <c r="AB26" s="3714"/>
      <c r="AC26" s="3714"/>
      <c r="AD26" s="3714"/>
      <c r="AE26" s="3714"/>
      <c r="AF26" s="3714"/>
      <c r="AG26" s="1345"/>
      <c r="AH26" s="1345"/>
      <c r="AI26" s="1345"/>
      <c r="AJ26" s="1345"/>
      <c r="AK26" s="1345"/>
      <c r="AL26" s="1345"/>
      <c r="AM26" s="1345"/>
      <c r="AN26" s="1343"/>
      <c r="AO26" s="1343"/>
      <c r="AP26" s="1343"/>
      <c r="AQ26" s="1343"/>
      <c r="AR26" s="1343"/>
      <c r="AS26" s="1343"/>
      <c r="AT26" s="1343"/>
      <c r="AU26" s="1343"/>
      <c r="AV26" s="1343"/>
      <c r="AW26" s="1343"/>
      <c r="AX26" s="1343"/>
      <c r="AY26" s="1343"/>
      <c r="AZ26" s="1343"/>
      <c r="BA26" s="1343"/>
    </row>
    <row r="27" spans="1:53" s="179" customFormat="1" ht="48" customHeight="1">
      <c r="A27" s="1343"/>
      <c r="B27" s="1344" t="s">
        <v>51</v>
      </c>
      <c r="C27" s="3714" t="s">
        <v>1857</v>
      </c>
      <c r="D27" s="3714"/>
      <c r="E27" s="3714"/>
      <c r="F27" s="3714"/>
      <c r="G27" s="3714"/>
      <c r="H27" s="3714"/>
      <c r="I27" s="3714"/>
      <c r="J27" s="3714"/>
      <c r="K27" s="3714"/>
      <c r="L27" s="3714"/>
      <c r="M27" s="3714"/>
      <c r="N27" s="3714"/>
      <c r="O27" s="3714"/>
      <c r="P27" s="3714"/>
      <c r="Q27" s="3714"/>
      <c r="R27" s="3714"/>
      <c r="S27" s="3714"/>
      <c r="T27" s="3714"/>
      <c r="U27" s="3714"/>
      <c r="V27" s="3714"/>
      <c r="W27" s="3714"/>
      <c r="X27" s="3714"/>
      <c r="Y27" s="3714"/>
      <c r="Z27" s="3714"/>
      <c r="AA27" s="3714"/>
      <c r="AB27" s="3714"/>
      <c r="AC27" s="3714"/>
      <c r="AD27" s="3714"/>
      <c r="AE27" s="3714"/>
      <c r="AF27" s="3714"/>
      <c r="AG27" s="1345"/>
      <c r="AH27" s="1345"/>
      <c r="AI27" s="1345"/>
      <c r="AJ27" s="1345"/>
      <c r="AK27" s="1345"/>
      <c r="AL27" s="1345"/>
      <c r="AM27" s="1345"/>
      <c r="AN27" s="1343"/>
      <c r="AO27" s="1343"/>
      <c r="AP27" s="1343"/>
      <c r="AQ27" s="1343"/>
      <c r="AR27" s="1343"/>
      <c r="AS27" s="1343"/>
      <c r="AT27" s="1343"/>
      <c r="AU27" s="1343"/>
      <c r="AV27" s="1343"/>
      <c r="AW27" s="1343"/>
      <c r="AX27" s="1343"/>
      <c r="AY27" s="1343"/>
      <c r="AZ27" s="1343"/>
      <c r="BA27" s="1343"/>
    </row>
    <row r="28" spans="1:53" s="179" customFormat="1" ht="35.450000000000003" customHeight="1">
      <c r="A28" s="1343"/>
      <c r="B28" s="1344" t="s">
        <v>52</v>
      </c>
      <c r="C28" s="3714" t="s">
        <v>1858</v>
      </c>
      <c r="D28" s="3714"/>
      <c r="E28" s="3714"/>
      <c r="F28" s="3714"/>
      <c r="G28" s="3714"/>
      <c r="H28" s="3714"/>
      <c r="I28" s="3714"/>
      <c r="J28" s="3714"/>
      <c r="K28" s="3714"/>
      <c r="L28" s="3714"/>
      <c r="M28" s="3714"/>
      <c r="N28" s="3714"/>
      <c r="O28" s="3714"/>
      <c r="P28" s="3714"/>
      <c r="Q28" s="3714"/>
      <c r="R28" s="3714"/>
      <c r="S28" s="3714"/>
      <c r="T28" s="3714"/>
      <c r="U28" s="3714"/>
      <c r="V28" s="3714"/>
      <c r="W28" s="3714"/>
      <c r="X28" s="3714"/>
      <c r="Y28" s="3714"/>
      <c r="Z28" s="3714"/>
      <c r="AA28" s="3714"/>
      <c r="AB28" s="3714"/>
      <c r="AC28" s="3714"/>
      <c r="AD28" s="3714"/>
      <c r="AE28" s="3714"/>
      <c r="AF28" s="3714"/>
      <c r="AG28" s="1345"/>
      <c r="AH28" s="1345"/>
      <c r="AI28" s="1345"/>
      <c r="AJ28" s="1345"/>
      <c r="AK28" s="1345"/>
      <c r="AL28" s="1345"/>
      <c r="AM28" s="1345"/>
      <c r="AN28" s="1343"/>
      <c r="AO28" s="1343"/>
      <c r="AP28" s="1343"/>
      <c r="AQ28" s="1343"/>
      <c r="AR28" s="1343"/>
      <c r="AS28" s="1343"/>
      <c r="AT28" s="1343"/>
      <c r="AU28" s="1343"/>
      <c r="AV28" s="1343"/>
      <c r="AW28" s="1343"/>
      <c r="AX28" s="1343"/>
      <c r="AY28" s="1343"/>
      <c r="AZ28" s="1343"/>
      <c r="BA28" s="1343"/>
    </row>
    <row r="29" spans="1:53" s="179" customFormat="1" ht="32.450000000000003" customHeight="1">
      <c r="A29" s="1343"/>
      <c r="B29" s="1344" t="s">
        <v>53</v>
      </c>
      <c r="C29" s="3714" t="s">
        <v>1859</v>
      </c>
      <c r="D29" s="3714"/>
      <c r="E29" s="3714"/>
      <c r="F29" s="3714"/>
      <c r="G29" s="3714"/>
      <c r="H29" s="3714"/>
      <c r="I29" s="3714"/>
      <c r="J29" s="3714"/>
      <c r="K29" s="3714"/>
      <c r="L29" s="3714"/>
      <c r="M29" s="3714"/>
      <c r="N29" s="3714"/>
      <c r="O29" s="3714"/>
      <c r="P29" s="3714"/>
      <c r="Q29" s="3714"/>
      <c r="R29" s="3714"/>
      <c r="S29" s="3714"/>
      <c r="T29" s="3714"/>
      <c r="U29" s="3714"/>
      <c r="V29" s="3714"/>
      <c r="W29" s="3714"/>
      <c r="X29" s="3714"/>
      <c r="Y29" s="3714"/>
      <c r="Z29" s="3714"/>
      <c r="AA29" s="3714"/>
      <c r="AB29" s="3714"/>
      <c r="AC29" s="3714"/>
      <c r="AD29" s="3714"/>
      <c r="AE29" s="3714"/>
      <c r="AF29" s="3714"/>
      <c r="AG29" s="1345"/>
      <c r="AH29" s="1345"/>
      <c r="AI29" s="1345"/>
      <c r="AJ29" s="1345"/>
      <c r="AK29" s="1345"/>
      <c r="AL29" s="1345"/>
      <c r="AM29" s="1345"/>
      <c r="AN29" s="1343"/>
      <c r="AO29" s="1343"/>
      <c r="AP29" s="1343"/>
      <c r="AQ29" s="1343"/>
      <c r="AR29" s="1343"/>
      <c r="AS29" s="1343"/>
      <c r="AT29" s="1343"/>
      <c r="AU29" s="1343"/>
      <c r="AV29" s="1343"/>
      <c r="AW29" s="1343"/>
      <c r="AX29" s="1343"/>
      <c r="AY29" s="1343"/>
      <c r="AZ29" s="1343"/>
      <c r="BA29" s="1343"/>
    </row>
    <row r="30" spans="1:53" s="44" customFormat="1" ht="30.75" customHeight="1">
      <c r="A30" s="434"/>
      <c r="B30" s="434"/>
      <c r="C30" s="434"/>
      <c r="D30" s="434"/>
      <c r="E30" s="434"/>
      <c r="F30" s="434"/>
      <c r="G30" s="434"/>
      <c r="H30" s="434"/>
      <c r="I30" s="434"/>
      <c r="J30" s="434"/>
      <c r="K30" s="434"/>
      <c r="L30" s="434"/>
      <c r="M30" s="434"/>
      <c r="N30" s="434"/>
      <c r="O30" s="434"/>
      <c r="P30" s="434"/>
      <c r="Q30" s="434"/>
      <c r="R30" s="434"/>
      <c r="S30" s="434"/>
      <c r="T30" s="434"/>
      <c r="U30" s="434"/>
      <c r="V30" s="434"/>
      <c r="W30" s="434"/>
      <c r="X30" s="434"/>
      <c r="Y30" s="434"/>
      <c r="Z30" s="434"/>
      <c r="AA30" s="434"/>
      <c r="AB30" s="434"/>
      <c r="AC30" s="434"/>
      <c r="AD30" s="434"/>
      <c r="AE30" s="434"/>
      <c r="AF30" s="434"/>
      <c r="AG30" s="434"/>
      <c r="AH30" s="434"/>
      <c r="AI30" s="434"/>
      <c r="AJ30" s="434"/>
      <c r="AK30" s="434"/>
      <c r="AL30" s="434"/>
      <c r="AM30" s="434"/>
      <c r="AN30" s="434"/>
      <c r="AO30" s="434"/>
      <c r="AP30" s="434"/>
      <c r="AQ30" s="434"/>
      <c r="AR30" s="434"/>
      <c r="AS30" s="434"/>
      <c r="AT30" s="434"/>
      <c r="AU30" s="434"/>
      <c r="AV30" s="434"/>
      <c r="AW30" s="434"/>
      <c r="AX30" s="434"/>
      <c r="AY30" s="434"/>
      <c r="AZ30" s="434"/>
      <c r="BA30" s="434"/>
    </row>
    <row r="31" spans="1:53" s="37" customFormat="1" ht="15">
      <c r="A31" s="263"/>
      <c r="B31" s="332" t="s">
        <v>32</v>
      </c>
      <c r="C31" s="263"/>
      <c r="D31" s="263"/>
      <c r="E31" s="263"/>
      <c r="F31" s="263"/>
      <c r="G31" s="263"/>
      <c r="H31" s="263"/>
      <c r="I31" s="263"/>
      <c r="J31" s="263"/>
      <c r="K31" s="263"/>
      <c r="L31" s="263"/>
      <c r="M31" s="263"/>
      <c r="N31" s="263"/>
      <c r="O31" s="263"/>
      <c r="P31" s="263"/>
      <c r="Q31" s="263"/>
      <c r="R31" s="263"/>
      <c r="S31" s="263"/>
      <c r="T31" s="332" t="s">
        <v>856</v>
      </c>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row>
    <row r="32" spans="1:53" s="37" customFormat="1" ht="21.75" customHeight="1">
      <c r="A32" s="263"/>
      <c r="B32" s="332" t="s">
        <v>75</v>
      </c>
      <c r="C32" s="263"/>
      <c r="D32" s="263"/>
      <c r="E32" s="263"/>
      <c r="F32" s="2790" t="str">
        <f>activesheet!E21</f>
        <v>MELCHESIEDICK Q. BOLANIO / March 17, 2023</v>
      </c>
      <c r="G32" s="2790"/>
      <c r="H32" s="2790"/>
      <c r="I32" s="2790"/>
      <c r="J32" s="2790"/>
      <c r="K32" s="2790"/>
      <c r="L32" s="2790"/>
      <c r="M32" s="2790"/>
      <c r="N32" s="2790"/>
      <c r="O32" s="823"/>
      <c r="P32" s="823"/>
      <c r="Q32" s="823"/>
      <c r="R32" s="823"/>
      <c r="S32" s="823"/>
      <c r="T32" s="2790" t="str">
        <f>activesheet!E3344</f>
        <v>ELYN KENDRA D. DELA CRUZ / March 17, 2023</v>
      </c>
      <c r="U32" s="2790"/>
      <c r="V32" s="2790"/>
      <c r="W32" s="2790"/>
      <c r="X32" s="2790"/>
      <c r="Y32" s="2790"/>
      <c r="Z32" s="2790"/>
      <c r="AA32" s="2790"/>
      <c r="AB32" s="2790"/>
      <c r="AC32" s="2790"/>
      <c r="AD32" s="2790"/>
      <c r="AE32" s="2790"/>
      <c r="AF32" s="2790"/>
      <c r="AG32" s="263"/>
      <c r="AH32" s="263"/>
      <c r="AI32" s="263"/>
      <c r="AJ32" s="263"/>
      <c r="AK32" s="263"/>
      <c r="AL32" s="263"/>
      <c r="AM32" s="263"/>
      <c r="AN32" s="263"/>
      <c r="AO32" s="263"/>
      <c r="AP32" s="263"/>
      <c r="AQ32" s="263"/>
      <c r="AR32" s="263"/>
      <c r="AS32" s="263"/>
      <c r="AT32" s="263"/>
      <c r="AU32" s="263"/>
      <c r="AV32" s="263"/>
      <c r="AW32" s="263"/>
      <c r="AX32" s="263"/>
      <c r="AY32" s="263"/>
      <c r="AZ32" s="263"/>
      <c r="BA32" s="263"/>
    </row>
    <row r="33" spans="1:53" s="39" customFormat="1" ht="14.1" customHeight="1">
      <c r="A33" s="280"/>
      <c r="B33" s="228"/>
      <c r="C33" s="280"/>
      <c r="D33" s="280"/>
      <c r="E33" s="280"/>
      <c r="F33" s="1807" t="s">
        <v>37</v>
      </c>
      <c r="G33" s="1807"/>
      <c r="H33" s="1807"/>
      <c r="I33" s="1807"/>
      <c r="J33" s="1807"/>
      <c r="K33" s="1807"/>
      <c r="L33" s="1807"/>
      <c r="M33" s="1807"/>
      <c r="N33" s="1807"/>
      <c r="O33" s="321"/>
      <c r="P33" s="321"/>
      <c r="Q33" s="321"/>
      <c r="R33" s="321"/>
      <c r="S33" s="321"/>
      <c r="T33" s="1807" t="s">
        <v>37</v>
      </c>
      <c r="U33" s="1807"/>
      <c r="V33" s="1807"/>
      <c r="W33" s="1807"/>
      <c r="X33" s="1807"/>
      <c r="Y33" s="1807"/>
      <c r="Z33" s="1807"/>
      <c r="AA33" s="1807"/>
      <c r="AB33" s="1807"/>
      <c r="AC33" s="1807"/>
      <c r="AD33" s="1807"/>
      <c r="AE33" s="1807"/>
      <c r="AF33" s="1807"/>
      <c r="AG33" s="280"/>
      <c r="AH33" s="280"/>
      <c r="AI33" s="280"/>
      <c r="AJ33" s="280"/>
      <c r="AK33" s="280"/>
      <c r="AL33" s="280"/>
      <c r="AM33" s="280"/>
      <c r="AN33" s="280"/>
      <c r="AO33" s="280"/>
      <c r="AP33" s="280"/>
      <c r="AQ33" s="280"/>
      <c r="AR33" s="280"/>
      <c r="AS33" s="280"/>
      <c r="AT33" s="280"/>
      <c r="AU33" s="280"/>
      <c r="AV33" s="280"/>
      <c r="AW33" s="280"/>
      <c r="AX33" s="280"/>
      <c r="AY33" s="280"/>
      <c r="AZ33" s="280"/>
      <c r="BA33" s="280"/>
    </row>
    <row r="34" spans="1:53" s="37" customFormat="1" ht="21.75" customHeight="1">
      <c r="A34" s="263"/>
      <c r="B34" s="332" t="s">
        <v>58</v>
      </c>
      <c r="C34" s="263"/>
      <c r="D34" s="263"/>
      <c r="E34" s="263"/>
      <c r="F34" s="2790" t="str">
        <f>activesheet!E22</f>
        <v>SECONDARY SCHOOL PRINCIPAL IV</v>
      </c>
      <c r="G34" s="2790"/>
      <c r="H34" s="2790"/>
      <c r="I34" s="2790"/>
      <c r="J34" s="2790"/>
      <c r="K34" s="2790"/>
      <c r="L34" s="2790"/>
      <c r="M34" s="2790"/>
      <c r="N34" s="2790"/>
      <c r="O34" s="823"/>
      <c r="P34" s="823"/>
      <c r="Q34" s="823"/>
      <c r="R34" s="823"/>
      <c r="S34" s="823"/>
      <c r="T34" s="332" t="s">
        <v>58</v>
      </c>
      <c r="U34" s="263"/>
      <c r="V34" s="263"/>
      <c r="W34" s="263"/>
      <c r="X34" s="2790" t="str">
        <f>activesheet!E3345</f>
        <v>PROJECT DEVELOPMENT OFFICER II</v>
      </c>
      <c r="Y34" s="2790"/>
      <c r="Z34" s="2790"/>
      <c r="AA34" s="2790"/>
      <c r="AB34" s="2790"/>
      <c r="AC34" s="2790"/>
      <c r="AD34" s="2790"/>
      <c r="AE34" s="2790"/>
      <c r="AF34" s="2790"/>
      <c r="AG34" s="263"/>
      <c r="AH34" s="263"/>
      <c r="AI34" s="263"/>
      <c r="AJ34" s="263"/>
      <c r="AK34" s="263"/>
      <c r="AL34" s="263"/>
      <c r="AM34" s="263"/>
      <c r="AN34" s="263"/>
      <c r="AO34" s="263"/>
      <c r="AP34" s="263"/>
      <c r="AQ34" s="263"/>
      <c r="AR34" s="263"/>
      <c r="AS34" s="263"/>
      <c r="AT34" s="263"/>
      <c r="AU34" s="263"/>
      <c r="AV34" s="263"/>
      <c r="AW34" s="263"/>
      <c r="AX34" s="263"/>
      <c r="AY34" s="263"/>
      <c r="AZ34" s="263"/>
      <c r="BA34" s="263"/>
    </row>
    <row r="35" spans="1:53" s="44" customFormat="1" ht="30.75" customHeight="1">
      <c r="A35" s="434"/>
      <c r="B35" s="434"/>
      <c r="C35" s="434"/>
      <c r="D35" s="434"/>
      <c r="E35" s="434"/>
      <c r="F35" s="434"/>
      <c r="G35" s="434"/>
      <c r="H35" s="434"/>
      <c r="I35" s="434"/>
      <c r="J35" s="434"/>
      <c r="K35" s="434"/>
      <c r="L35" s="434"/>
      <c r="M35" s="434"/>
      <c r="N35" s="434"/>
      <c r="O35" s="434"/>
      <c r="P35" s="434"/>
      <c r="Q35" s="434"/>
      <c r="R35" s="434"/>
      <c r="S35" s="434"/>
      <c r="T35" s="434"/>
      <c r="U35" s="434"/>
      <c r="V35" s="434"/>
      <c r="W35" s="434"/>
      <c r="X35" s="434"/>
      <c r="Y35" s="434"/>
      <c r="Z35" s="434"/>
      <c r="AA35" s="434"/>
      <c r="AB35" s="434"/>
      <c r="AC35" s="434"/>
      <c r="AD35" s="434"/>
      <c r="AE35" s="434"/>
      <c r="AF35" s="434"/>
      <c r="AG35" s="434"/>
      <c r="AH35" s="434"/>
      <c r="AI35" s="434"/>
      <c r="AJ35" s="434"/>
      <c r="AK35" s="434"/>
      <c r="AL35" s="434"/>
      <c r="AM35" s="434"/>
      <c r="AN35" s="434"/>
      <c r="AO35" s="434"/>
      <c r="AP35" s="434"/>
      <c r="AQ35" s="434"/>
      <c r="AR35" s="434"/>
      <c r="AS35" s="434"/>
      <c r="AT35" s="434"/>
      <c r="AU35" s="434"/>
      <c r="AV35" s="434"/>
      <c r="AW35" s="434"/>
      <c r="AX35" s="434"/>
      <c r="AY35" s="434"/>
      <c r="AZ35" s="434"/>
      <c r="BA35" s="434"/>
    </row>
    <row r="36" spans="1:53" s="37" customFormat="1" ht="15">
      <c r="A36" s="263"/>
      <c r="B36" s="263"/>
      <c r="C36" s="263"/>
      <c r="D36" s="263"/>
      <c r="E36" s="263"/>
      <c r="F36" s="263"/>
      <c r="G36" s="263"/>
      <c r="H36" s="263"/>
      <c r="I36" s="263"/>
      <c r="J36" s="263"/>
      <c r="K36" s="332" t="s">
        <v>33</v>
      </c>
      <c r="L36" s="263"/>
      <c r="M36" s="263"/>
      <c r="N36" s="263"/>
      <c r="O36" s="263"/>
      <c r="P36" s="263"/>
      <c r="Q36" s="263"/>
      <c r="R36" s="263"/>
      <c r="S36" s="263"/>
      <c r="T36" s="263"/>
      <c r="U36" s="263"/>
      <c r="V36" s="263"/>
      <c r="W36" s="263"/>
      <c r="X36" s="263"/>
      <c r="Y36" s="263"/>
      <c r="Z36" s="263"/>
      <c r="AA36" s="263"/>
      <c r="AB36" s="263"/>
      <c r="AC36" s="263"/>
      <c r="AD36" s="263"/>
      <c r="AE36" s="263"/>
      <c r="AF36" s="263"/>
      <c r="AG36" s="263"/>
      <c r="AH36" s="263"/>
      <c r="AI36" s="263"/>
      <c r="AJ36" s="263"/>
      <c r="AK36" s="263"/>
      <c r="AL36" s="263"/>
      <c r="AM36" s="263"/>
      <c r="AN36" s="263"/>
      <c r="AO36" s="263"/>
      <c r="AP36" s="263"/>
      <c r="AQ36" s="263"/>
      <c r="AR36" s="263"/>
      <c r="AS36" s="263"/>
      <c r="AT36" s="263"/>
      <c r="AU36" s="263"/>
      <c r="AV36" s="263"/>
      <c r="AW36" s="263"/>
      <c r="AX36" s="263"/>
      <c r="AY36" s="263"/>
      <c r="AZ36" s="263"/>
      <c r="BA36" s="263"/>
    </row>
    <row r="37" spans="1:53" s="37" customFormat="1" ht="21.75" customHeight="1">
      <c r="A37" s="263"/>
      <c r="B37" s="263"/>
      <c r="C37" s="263"/>
      <c r="D37" s="263"/>
      <c r="E37" s="263"/>
      <c r="F37" s="263"/>
      <c r="G37" s="263"/>
      <c r="H37" s="263"/>
      <c r="I37" s="263"/>
      <c r="J37" s="263"/>
      <c r="K37" s="1819" t="str">
        <f>activesheet!E25</f>
        <v>MICHAEL T. JAMIS / March 17, 2023</v>
      </c>
      <c r="L37" s="1819"/>
      <c r="M37" s="1819"/>
      <c r="N37" s="1819"/>
      <c r="O37" s="1819"/>
      <c r="P37" s="1819"/>
      <c r="Q37" s="1819"/>
      <c r="R37" s="1819"/>
      <c r="S37" s="1819"/>
      <c r="T37" s="1819"/>
      <c r="U37" s="1819"/>
      <c r="V37" s="1819"/>
      <c r="W37" s="1819"/>
      <c r="X37" s="263"/>
      <c r="Y37" s="263"/>
      <c r="Z37" s="263"/>
      <c r="AA37" s="263"/>
      <c r="AB37" s="263"/>
      <c r="AC37" s="263"/>
      <c r="AD37" s="263"/>
      <c r="AE37" s="263"/>
      <c r="AF37" s="263"/>
      <c r="AG37" s="263"/>
      <c r="AH37" s="263"/>
      <c r="AI37" s="263"/>
      <c r="AJ37" s="263"/>
      <c r="AK37" s="263"/>
      <c r="AL37" s="263"/>
      <c r="AM37" s="263"/>
      <c r="AN37" s="263"/>
      <c r="AO37" s="263"/>
      <c r="AP37" s="263"/>
      <c r="AQ37" s="263"/>
      <c r="AR37" s="263"/>
      <c r="AS37" s="263"/>
      <c r="AT37" s="263"/>
      <c r="AU37" s="263"/>
      <c r="AV37" s="263"/>
      <c r="AW37" s="263"/>
      <c r="AX37" s="263"/>
      <c r="AY37" s="263"/>
      <c r="AZ37" s="263"/>
      <c r="BA37" s="263"/>
    </row>
    <row r="38" spans="1:53" s="39" customFormat="1" ht="14.1" customHeight="1">
      <c r="A38" s="280"/>
      <c r="B38" s="280"/>
      <c r="C38" s="280"/>
      <c r="D38" s="280"/>
      <c r="E38" s="280"/>
      <c r="F38" s="280"/>
      <c r="G38" s="280"/>
      <c r="H38" s="280"/>
      <c r="I38" s="280"/>
      <c r="J38" s="280"/>
      <c r="K38" s="1820"/>
      <c r="L38" s="1820"/>
      <c r="M38" s="1820"/>
      <c r="N38" s="1820"/>
      <c r="O38" s="1820"/>
      <c r="P38" s="1820"/>
      <c r="Q38" s="1820"/>
      <c r="R38" s="1820"/>
      <c r="S38" s="1820"/>
      <c r="T38" s="1820"/>
      <c r="U38" s="1820"/>
      <c r="V38" s="1820"/>
      <c r="W38" s="182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280"/>
      <c r="AT38" s="280"/>
      <c r="AU38" s="280"/>
      <c r="AV38" s="280"/>
      <c r="AW38" s="280"/>
      <c r="AX38" s="280"/>
      <c r="AY38" s="280"/>
      <c r="AZ38" s="280"/>
      <c r="BA38" s="280"/>
    </row>
    <row r="39" spans="1:53" s="37" customFormat="1" ht="21.75" customHeight="1">
      <c r="A39" s="263"/>
      <c r="B39" s="263"/>
      <c r="C39" s="263"/>
      <c r="D39" s="263"/>
      <c r="E39" s="263"/>
      <c r="F39" s="263"/>
      <c r="G39" s="263"/>
      <c r="H39" s="263"/>
      <c r="I39" s="263"/>
      <c r="J39" s="263"/>
      <c r="K39" s="1807" t="s">
        <v>37</v>
      </c>
      <c r="L39" s="1807"/>
      <c r="M39" s="1807"/>
      <c r="N39" s="1807"/>
      <c r="O39" s="1807"/>
      <c r="P39" s="1807"/>
      <c r="Q39" s="1807"/>
      <c r="R39" s="1807"/>
      <c r="S39" s="1807"/>
      <c r="T39" s="1807"/>
      <c r="U39" s="1807"/>
      <c r="V39" s="1807"/>
      <c r="W39" s="1807"/>
      <c r="X39" s="263"/>
      <c r="Y39" s="263"/>
      <c r="Z39" s="263"/>
      <c r="AA39" s="263"/>
      <c r="AB39" s="263"/>
      <c r="AC39" s="263"/>
      <c r="AD39" s="263"/>
      <c r="AE39" s="263"/>
      <c r="AF39" s="263"/>
      <c r="AG39" s="263"/>
      <c r="AH39" s="263"/>
      <c r="AI39" s="263"/>
      <c r="AJ39" s="263"/>
      <c r="AK39" s="263"/>
      <c r="AL39" s="263"/>
      <c r="AM39" s="263"/>
      <c r="AN39" s="263"/>
      <c r="AO39" s="263"/>
      <c r="AP39" s="263"/>
      <c r="AQ39" s="263"/>
      <c r="AR39" s="263"/>
      <c r="AS39" s="263"/>
      <c r="AT39" s="263"/>
      <c r="AU39" s="263"/>
      <c r="AV39" s="263"/>
      <c r="AW39" s="263"/>
      <c r="AX39" s="263"/>
      <c r="AY39" s="263"/>
      <c r="AZ39" s="263"/>
      <c r="BA39" s="263"/>
    </row>
    <row r="40" spans="1:53">
      <c r="A40" s="1262"/>
      <c r="B40" s="1262"/>
      <c r="C40" s="1262"/>
      <c r="D40" s="1262"/>
      <c r="E40" s="1262"/>
      <c r="F40" s="1262"/>
      <c r="G40" s="1262"/>
      <c r="H40" s="1262"/>
      <c r="I40" s="1262"/>
      <c r="J40" s="1263"/>
      <c r="K40" s="1263"/>
      <c r="L40" s="1262"/>
      <c r="M40" s="1262"/>
      <c r="N40" s="1262"/>
      <c r="O40" s="1262"/>
      <c r="P40" s="1262"/>
      <c r="Q40" s="1262"/>
      <c r="R40" s="1262"/>
      <c r="S40" s="1262"/>
      <c r="T40" s="1262"/>
      <c r="U40" s="1262"/>
      <c r="V40" s="1262"/>
      <c r="W40" s="1263"/>
      <c r="X40" s="1263"/>
      <c r="Y40" s="1262"/>
      <c r="Z40" s="1262"/>
      <c r="AA40" s="1262"/>
      <c r="AB40" s="1262"/>
      <c r="AC40" s="1262"/>
      <c r="AD40" s="1262"/>
      <c r="AE40" s="1262"/>
      <c r="AF40" s="1262"/>
      <c r="AG40" s="1262"/>
      <c r="AH40" s="1262"/>
      <c r="AI40" s="1262"/>
      <c r="AJ40" s="1262"/>
      <c r="AK40" s="1262"/>
      <c r="AL40" s="1262"/>
      <c r="AM40" s="1262"/>
      <c r="AN40" s="1262"/>
      <c r="AO40" s="1262"/>
      <c r="AP40" s="1262"/>
      <c r="AQ40" s="1262"/>
      <c r="AR40" s="1262"/>
      <c r="AS40" s="1262"/>
    </row>
    <row r="41" spans="1:53">
      <c r="A41" s="1262"/>
      <c r="B41" s="1263"/>
      <c r="C41" s="1263"/>
      <c r="D41" s="1263"/>
      <c r="E41" s="1263"/>
      <c r="F41" s="1263"/>
      <c r="G41" s="1263"/>
      <c r="H41" s="1263"/>
      <c r="I41" s="1263"/>
      <c r="J41" s="1263"/>
      <c r="K41" s="1263"/>
      <c r="L41" s="1263"/>
      <c r="M41" s="1263"/>
      <c r="N41" s="1263"/>
      <c r="O41" s="1263"/>
      <c r="P41" s="1263"/>
      <c r="Q41" s="1263"/>
      <c r="R41" s="1263"/>
      <c r="S41" s="1263"/>
      <c r="T41" s="1263"/>
      <c r="U41" s="1263"/>
      <c r="V41" s="1263"/>
      <c r="W41" s="1263"/>
      <c r="X41" s="1263"/>
      <c r="Y41" s="1263"/>
      <c r="Z41" s="1263"/>
      <c r="AA41" s="1263"/>
      <c r="AB41" s="1263"/>
      <c r="AC41" s="1263"/>
      <c r="AD41" s="1263"/>
      <c r="AE41" s="1262"/>
      <c r="AF41" s="1262"/>
      <c r="AG41" s="1262"/>
      <c r="AH41" s="1262"/>
      <c r="AI41" s="1262"/>
      <c r="AJ41" s="1262"/>
      <c r="AK41" s="1262"/>
      <c r="AL41" s="1262"/>
      <c r="AM41" s="1262"/>
      <c r="AN41" s="1262"/>
      <c r="AO41" s="1262"/>
      <c r="AP41" s="1262"/>
      <c r="AQ41" s="1262"/>
      <c r="AR41" s="1262"/>
      <c r="AS41" s="1262"/>
    </row>
    <row r="42" spans="1:53">
      <c r="A42" s="1262"/>
      <c r="B42" s="1263"/>
      <c r="C42" s="1263"/>
      <c r="D42" s="1263"/>
      <c r="E42" s="1263"/>
      <c r="F42" s="1263"/>
      <c r="G42" s="1263"/>
      <c r="H42" s="1263"/>
      <c r="I42" s="1263"/>
      <c r="J42" s="1263"/>
      <c r="K42" s="1263"/>
      <c r="L42" s="1263"/>
      <c r="M42" s="1263"/>
      <c r="N42" s="1263"/>
      <c r="O42" s="1263"/>
      <c r="P42" s="1263"/>
      <c r="Q42" s="1263"/>
      <c r="R42" s="1263"/>
      <c r="S42" s="1263"/>
      <c r="T42" s="1263"/>
      <c r="U42" s="1263"/>
      <c r="V42" s="1263"/>
      <c r="W42" s="1263"/>
      <c r="X42" s="1263"/>
      <c r="Y42" s="1263"/>
      <c r="Z42" s="1263"/>
      <c r="AA42" s="1263"/>
      <c r="AB42" s="1263"/>
      <c r="AC42" s="1263"/>
      <c r="AD42" s="1263"/>
      <c r="AE42" s="1262"/>
      <c r="AF42" s="1262"/>
      <c r="AG42" s="1262"/>
      <c r="AH42" s="1262"/>
      <c r="AI42" s="1262"/>
      <c r="AJ42" s="1262"/>
      <c r="AK42" s="1262"/>
      <c r="AL42" s="1262"/>
      <c r="AM42" s="1262"/>
      <c r="AN42" s="1262"/>
      <c r="AO42" s="1262"/>
      <c r="AP42" s="1262"/>
      <c r="AQ42" s="1262"/>
      <c r="AR42" s="1262"/>
      <c r="AS42" s="1262"/>
    </row>
    <row r="43" spans="1:53">
      <c r="A43" s="1262"/>
      <c r="B43" s="1263"/>
      <c r="C43" s="1263"/>
      <c r="D43" s="1263"/>
      <c r="E43" s="1263"/>
      <c r="F43" s="1263"/>
      <c r="G43" s="1263"/>
      <c r="H43" s="1263"/>
      <c r="I43" s="1263"/>
      <c r="J43" s="1263"/>
      <c r="K43" s="1263"/>
      <c r="L43" s="1263"/>
      <c r="M43" s="1263"/>
      <c r="N43" s="1263"/>
      <c r="O43" s="1263"/>
      <c r="P43" s="1263"/>
      <c r="Q43" s="1263"/>
      <c r="R43" s="1263"/>
      <c r="S43" s="1263"/>
      <c r="T43" s="1263"/>
      <c r="U43" s="1263"/>
      <c r="V43" s="1263"/>
      <c r="W43" s="1263"/>
      <c r="X43" s="1263"/>
      <c r="Y43" s="1263"/>
      <c r="Z43" s="1263"/>
      <c r="AA43" s="1263"/>
      <c r="AB43" s="1263"/>
      <c r="AC43" s="1263"/>
      <c r="AD43" s="1263"/>
      <c r="AE43" s="1262"/>
      <c r="AF43" s="1262"/>
      <c r="AG43" s="1262"/>
      <c r="AH43" s="1262"/>
      <c r="AI43" s="1262"/>
      <c r="AJ43" s="1262"/>
      <c r="AK43" s="1262"/>
      <c r="AL43" s="1262"/>
      <c r="AM43" s="1262"/>
      <c r="AN43" s="1262"/>
      <c r="AO43" s="1262"/>
      <c r="AP43" s="1262"/>
      <c r="AQ43" s="1262"/>
      <c r="AR43" s="1262"/>
      <c r="AS43" s="1262"/>
    </row>
    <row r="44" spans="1:53">
      <c r="A44" s="1262"/>
      <c r="B44" s="1263"/>
      <c r="C44" s="1263"/>
      <c r="D44" s="1263"/>
      <c r="E44" s="1263"/>
      <c r="F44" s="1263"/>
      <c r="G44" s="1263"/>
      <c r="H44" s="1263"/>
      <c r="I44" s="1263"/>
      <c r="J44" s="1263"/>
      <c r="K44" s="1263"/>
      <c r="L44" s="1263"/>
      <c r="M44" s="1263"/>
      <c r="N44" s="1263"/>
      <c r="O44" s="1263"/>
      <c r="P44" s="1263"/>
      <c r="Q44" s="1263"/>
      <c r="R44" s="1263"/>
      <c r="S44" s="1263"/>
      <c r="T44" s="1263"/>
      <c r="U44" s="1263"/>
      <c r="V44" s="1263"/>
      <c r="W44" s="1263"/>
      <c r="X44" s="1263"/>
      <c r="Y44" s="1263"/>
      <c r="Z44" s="1263"/>
      <c r="AA44" s="1263"/>
      <c r="AB44" s="1263"/>
      <c r="AC44" s="1263"/>
      <c r="AD44" s="1263"/>
      <c r="AE44" s="1262"/>
      <c r="AF44" s="1262"/>
      <c r="AG44" s="1262"/>
      <c r="AH44" s="1262"/>
      <c r="AI44" s="1262"/>
      <c r="AJ44" s="1262"/>
      <c r="AK44" s="1262"/>
      <c r="AL44" s="1262"/>
      <c r="AM44" s="1262"/>
      <c r="AN44" s="1262"/>
      <c r="AO44" s="1262"/>
      <c r="AP44" s="1262"/>
      <c r="AQ44" s="1262"/>
      <c r="AR44" s="1262"/>
      <c r="AS44" s="1262"/>
    </row>
    <row r="45" spans="1:53">
      <c r="A45" s="1262"/>
      <c r="B45" s="1263"/>
      <c r="C45" s="1263"/>
      <c r="D45" s="1263"/>
      <c r="E45" s="1263"/>
      <c r="F45" s="1263"/>
      <c r="G45" s="1263"/>
      <c r="H45" s="1263"/>
      <c r="I45" s="1263"/>
      <c r="J45" s="1263"/>
      <c r="K45" s="1263"/>
      <c r="L45" s="1263"/>
      <c r="M45" s="1263"/>
      <c r="N45" s="1263"/>
      <c r="O45" s="1263"/>
      <c r="P45" s="1263"/>
      <c r="Q45" s="1263"/>
      <c r="R45" s="1263"/>
      <c r="S45" s="1263"/>
      <c r="T45" s="1263"/>
      <c r="U45" s="1263"/>
      <c r="V45" s="1263"/>
      <c r="W45" s="1263"/>
      <c r="X45" s="1263"/>
      <c r="Y45" s="1263"/>
      <c r="Z45" s="1263"/>
      <c r="AA45" s="1263"/>
      <c r="AB45" s="1263"/>
      <c r="AC45" s="1263"/>
      <c r="AD45" s="1263"/>
      <c r="AE45" s="1262"/>
      <c r="AF45" s="1262"/>
      <c r="AG45" s="1262"/>
      <c r="AH45" s="1262"/>
      <c r="AI45" s="1262"/>
      <c r="AJ45" s="1262"/>
      <c r="AK45" s="1262"/>
      <c r="AL45" s="1262"/>
      <c r="AM45" s="1262"/>
      <c r="AN45" s="1262"/>
      <c r="AO45" s="1262"/>
      <c r="AP45" s="1262"/>
      <c r="AQ45" s="1262"/>
      <c r="AR45" s="1262"/>
      <c r="AS45" s="1262"/>
    </row>
    <row r="46" spans="1:53">
      <c r="A46" s="1262"/>
      <c r="B46" s="1263"/>
      <c r="C46" s="1263"/>
      <c r="D46" s="1263"/>
      <c r="E46" s="1263"/>
      <c r="F46" s="1263"/>
      <c r="G46" s="1263"/>
      <c r="H46" s="1263"/>
      <c r="I46" s="1263"/>
      <c r="J46" s="1263"/>
      <c r="K46" s="1263"/>
      <c r="L46" s="1263"/>
      <c r="M46" s="1263"/>
      <c r="N46" s="1263"/>
      <c r="O46" s="1263"/>
      <c r="P46" s="1263"/>
      <c r="Q46" s="1263"/>
      <c r="R46" s="1263"/>
      <c r="S46" s="1263"/>
      <c r="T46" s="1263"/>
      <c r="U46" s="1263"/>
      <c r="V46" s="1263"/>
      <c r="W46" s="1263"/>
      <c r="X46" s="1263"/>
      <c r="Y46" s="1263"/>
      <c r="Z46" s="1263"/>
      <c r="AA46" s="1263"/>
      <c r="AB46" s="1263"/>
      <c r="AC46" s="1263"/>
      <c r="AD46" s="1263"/>
      <c r="AE46" s="1262"/>
      <c r="AF46" s="1262"/>
      <c r="AG46" s="1262"/>
      <c r="AH46" s="1262"/>
      <c r="AI46" s="1262"/>
      <c r="AJ46" s="1262"/>
      <c r="AK46" s="1262"/>
      <c r="AL46" s="1262"/>
      <c r="AM46" s="1262"/>
      <c r="AN46" s="1262"/>
      <c r="AO46" s="1262"/>
      <c r="AP46" s="1262"/>
      <c r="AQ46" s="1262"/>
      <c r="AR46" s="1262"/>
      <c r="AS46" s="1262"/>
    </row>
    <row r="47" spans="1:53">
      <c r="A47" s="1262"/>
      <c r="B47" s="1263"/>
      <c r="C47" s="1263"/>
      <c r="D47" s="1263"/>
      <c r="E47" s="1263"/>
      <c r="F47" s="1263"/>
      <c r="G47" s="1263"/>
      <c r="H47" s="1263"/>
      <c r="I47" s="1263"/>
      <c r="J47" s="1263"/>
      <c r="K47" s="1263"/>
      <c r="L47" s="1263"/>
      <c r="M47" s="1263"/>
      <c r="N47" s="1263"/>
      <c r="O47" s="1263"/>
      <c r="P47" s="1263"/>
      <c r="Q47" s="1263"/>
      <c r="R47" s="1263"/>
      <c r="S47" s="1263"/>
      <c r="T47" s="1263"/>
      <c r="U47" s="1263"/>
      <c r="V47" s="1263"/>
      <c r="W47" s="1263"/>
      <c r="X47" s="1263"/>
      <c r="Y47" s="1263"/>
      <c r="Z47" s="1263"/>
      <c r="AA47" s="1263"/>
      <c r="AB47" s="1263"/>
      <c r="AC47" s="1263"/>
      <c r="AD47" s="1263"/>
      <c r="AE47" s="1262"/>
      <c r="AF47" s="1262"/>
      <c r="AG47" s="1262"/>
      <c r="AH47" s="1262"/>
      <c r="AI47" s="1262"/>
      <c r="AJ47" s="1262"/>
      <c r="AK47" s="1262"/>
      <c r="AL47" s="1262"/>
      <c r="AM47" s="1262"/>
      <c r="AN47" s="1262"/>
      <c r="AO47" s="1262"/>
      <c r="AP47" s="1262"/>
      <c r="AQ47" s="1262"/>
      <c r="AR47" s="1262"/>
      <c r="AS47" s="1262"/>
    </row>
    <row r="48" spans="1:53">
      <c r="A48" s="1262"/>
      <c r="B48" s="1263"/>
      <c r="C48" s="1263"/>
      <c r="D48" s="1263"/>
      <c r="E48" s="1263"/>
      <c r="F48" s="1263"/>
      <c r="G48" s="1263"/>
      <c r="H48" s="1263"/>
      <c r="I48" s="1263"/>
      <c r="J48" s="1263"/>
      <c r="K48" s="1263"/>
      <c r="L48" s="1263"/>
      <c r="M48" s="1263"/>
      <c r="N48" s="1263"/>
      <c r="O48" s="1263"/>
      <c r="P48" s="1263"/>
      <c r="Q48" s="1263"/>
      <c r="R48" s="1263"/>
      <c r="S48" s="1263"/>
      <c r="T48" s="1263"/>
      <c r="U48" s="1263"/>
      <c r="V48" s="1263"/>
      <c r="W48" s="1263"/>
      <c r="X48" s="1263"/>
      <c r="Y48" s="1263"/>
      <c r="Z48" s="1263"/>
      <c r="AA48" s="1263"/>
      <c r="AB48" s="1263"/>
      <c r="AC48" s="1263"/>
      <c r="AD48" s="1263"/>
      <c r="AE48" s="1262"/>
      <c r="AF48" s="1262"/>
      <c r="AG48" s="1262"/>
      <c r="AH48" s="1262"/>
      <c r="AI48" s="1262"/>
      <c r="AJ48" s="1262"/>
      <c r="AK48" s="1262"/>
      <c r="AL48" s="1262"/>
      <c r="AM48" s="1262"/>
      <c r="AN48" s="1262"/>
      <c r="AO48" s="1262"/>
      <c r="AP48" s="1262"/>
      <c r="AQ48" s="1262"/>
      <c r="AR48" s="1262"/>
      <c r="AS48" s="1262"/>
    </row>
    <row r="49" spans="1:45">
      <c r="A49" s="1262"/>
      <c r="B49" s="1263"/>
      <c r="C49" s="1263"/>
      <c r="D49" s="1263"/>
      <c r="E49" s="1263"/>
      <c r="F49" s="1263"/>
      <c r="G49" s="1263"/>
      <c r="H49" s="1263"/>
      <c r="I49" s="1263"/>
      <c r="J49" s="1263"/>
      <c r="K49" s="1263"/>
      <c r="L49" s="1263"/>
      <c r="M49" s="1263"/>
      <c r="N49" s="1263"/>
      <c r="O49" s="1263"/>
      <c r="P49" s="1263"/>
      <c r="Q49" s="1263"/>
      <c r="R49" s="1263"/>
      <c r="S49" s="1263"/>
      <c r="T49" s="1263"/>
      <c r="U49" s="1263"/>
      <c r="V49" s="1263"/>
      <c r="W49" s="1263"/>
      <c r="X49" s="1263"/>
      <c r="Y49" s="1263"/>
      <c r="Z49" s="1263"/>
      <c r="AA49" s="1263"/>
      <c r="AB49" s="1263"/>
      <c r="AC49" s="1263"/>
      <c r="AD49" s="1263"/>
      <c r="AE49" s="1262"/>
      <c r="AF49" s="1262"/>
      <c r="AG49" s="1262"/>
      <c r="AH49" s="1262"/>
      <c r="AI49" s="1262"/>
      <c r="AJ49" s="1262"/>
      <c r="AK49" s="1262"/>
      <c r="AL49" s="1262"/>
      <c r="AM49" s="1262"/>
      <c r="AN49" s="1262"/>
      <c r="AO49" s="1262"/>
      <c r="AP49" s="1262"/>
      <c r="AQ49" s="1262"/>
      <c r="AR49" s="1262"/>
      <c r="AS49" s="1262"/>
    </row>
    <row r="50" spans="1:45">
      <c r="A50" s="1262"/>
      <c r="B50" s="1263"/>
      <c r="C50" s="1263"/>
      <c r="D50" s="1263"/>
      <c r="E50" s="1263"/>
      <c r="F50" s="1263"/>
      <c r="G50" s="1263"/>
      <c r="H50" s="1263"/>
      <c r="I50" s="1263"/>
      <c r="J50" s="1263"/>
      <c r="K50" s="1263"/>
      <c r="L50" s="1263"/>
      <c r="M50" s="1263"/>
      <c r="N50" s="1263"/>
      <c r="O50" s="1263"/>
      <c r="P50" s="1263"/>
      <c r="Q50" s="1263"/>
      <c r="R50" s="1263"/>
      <c r="S50" s="1263"/>
      <c r="T50" s="1263"/>
      <c r="U50" s="1263"/>
      <c r="V50" s="1263"/>
      <c r="W50" s="1263"/>
      <c r="X50" s="1263"/>
      <c r="Y50" s="1263"/>
      <c r="Z50" s="1263"/>
      <c r="AA50" s="1263"/>
      <c r="AB50" s="1263"/>
      <c r="AC50" s="1263"/>
      <c r="AD50" s="1263"/>
      <c r="AE50" s="1262"/>
      <c r="AF50" s="1262"/>
      <c r="AG50" s="1262"/>
      <c r="AH50" s="1262"/>
      <c r="AI50" s="1262"/>
      <c r="AJ50" s="1262"/>
      <c r="AK50" s="1262"/>
      <c r="AL50" s="1262"/>
      <c r="AM50" s="1262"/>
      <c r="AN50" s="1262"/>
      <c r="AO50" s="1262"/>
      <c r="AP50" s="1262"/>
      <c r="AQ50" s="1262"/>
      <c r="AR50" s="1262"/>
      <c r="AS50" s="1262"/>
    </row>
    <row r="51" spans="1:45">
      <c r="A51" s="1262"/>
      <c r="B51" s="1263"/>
      <c r="C51" s="1263"/>
      <c r="D51" s="1263"/>
      <c r="E51" s="1263"/>
      <c r="F51" s="1263"/>
      <c r="G51" s="1263"/>
      <c r="H51" s="1263"/>
      <c r="I51" s="1263"/>
      <c r="J51" s="1263"/>
      <c r="K51" s="1263"/>
      <c r="L51" s="1263"/>
      <c r="M51" s="1263"/>
      <c r="N51" s="1263"/>
      <c r="O51" s="1263"/>
      <c r="P51" s="1263"/>
      <c r="Q51" s="1263"/>
      <c r="R51" s="1263"/>
      <c r="S51" s="1263"/>
      <c r="T51" s="1263"/>
      <c r="U51" s="1263"/>
      <c r="V51" s="1263"/>
      <c r="W51" s="1263"/>
      <c r="X51" s="1263"/>
      <c r="Y51" s="1263"/>
      <c r="Z51" s="1263"/>
      <c r="AA51" s="1263"/>
      <c r="AB51" s="1263"/>
      <c r="AC51" s="1263"/>
      <c r="AD51" s="1263"/>
      <c r="AE51" s="1262"/>
      <c r="AF51" s="1262"/>
      <c r="AG51" s="1262"/>
      <c r="AH51" s="1262"/>
      <c r="AI51" s="1262"/>
      <c r="AJ51" s="1262"/>
      <c r="AK51" s="1262"/>
      <c r="AL51" s="1262"/>
      <c r="AM51" s="1262"/>
      <c r="AN51" s="1262"/>
      <c r="AO51" s="1262"/>
      <c r="AP51" s="1262"/>
      <c r="AQ51" s="1262"/>
      <c r="AR51" s="1262"/>
      <c r="AS51" s="1262"/>
    </row>
    <row r="52" spans="1:45">
      <c r="A52" s="1262"/>
      <c r="B52" s="1263"/>
      <c r="C52" s="1263"/>
      <c r="D52" s="1263"/>
      <c r="E52" s="1263"/>
      <c r="F52" s="1263"/>
      <c r="G52" s="1263"/>
      <c r="H52" s="1263"/>
      <c r="I52" s="1263"/>
      <c r="J52" s="1263"/>
      <c r="K52" s="1263"/>
      <c r="L52" s="1263"/>
      <c r="M52" s="1263"/>
      <c r="N52" s="1263"/>
      <c r="O52" s="1263"/>
      <c r="P52" s="1263"/>
      <c r="Q52" s="1263"/>
      <c r="R52" s="1263"/>
      <c r="S52" s="1263"/>
      <c r="T52" s="1263"/>
      <c r="U52" s="1263"/>
      <c r="V52" s="1263"/>
      <c r="W52" s="1263"/>
      <c r="X52" s="1263"/>
      <c r="Y52" s="1263"/>
      <c r="Z52" s="1263"/>
      <c r="AA52" s="1263"/>
      <c r="AB52" s="1263"/>
      <c r="AC52" s="1263"/>
      <c r="AD52" s="1263"/>
      <c r="AE52" s="1262"/>
      <c r="AF52" s="1262"/>
      <c r="AG52" s="1262"/>
      <c r="AH52" s="1262"/>
      <c r="AI52" s="1262"/>
      <c r="AJ52" s="1262"/>
      <c r="AK52" s="1262"/>
      <c r="AL52" s="1262"/>
      <c r="AM52" s="1262"/>
      <c r="AN52" s="1262"/>
      <c r="AO52" s="1262"/>
      <c r="AP52" s="1262"/>
      <c r="AQ52" s="1262"/>
      <c r="AR52" s="1262"/>
      <c r="AS52" s="1262"/>
    </row>
    <row r="53" spans="1:45">
      <c r="A53" s="1262"/>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2"/>
      <c r="AF53" s="1262"/>
      <c r="AG53" s="1262"/>
      <c r="AH53" s="1262"/>
      <c r="AI53" s="1262"/>
      <c r="AJ53" s="1262"/>
      <c r="AK53" s="1262"/>
      <c r="AL53" s="1262"/>
      <c r="AM53" s="1262"/>
      <c r="AN53" s="1262"/>
      <c r="AO53" s="1262"/>
      <c r="AP53" s="1262"/>
      <c r="AQ53" s="1262"/>
      <c r="AR53" s="1262"/>
      <c r="AS53" s="1262"/>
    </row>
    <row r="54" spans="1:45">
      <c r="A54" s="1262"/>
      <c r="B54" s="1263"/>
      <c r="C54" s="1263"/>
      <c r="D54" s="1263"/>
      <c r="E54" s="1263"/>
      <c r="F54" s="1263"/>
      <c r="G54" s="1263"/>
      <c r="H54" s="1263"/>
      <c r="I54" s="1263"/>
      <c r="J54" s="1263"/>
      <c r="K54" s="1263"/>
      <c r="L54" s="1263"/>
      <c r="M54" s="1263"/>
      <c r="N54" s="1263"/>
      <c r="O54" s="1263"/>
      <c r="P54" s="1263"/>
      <c r="Q54" s="1263"/>
      <c r="R54" s="1263"/>
      <c r="S54" s="1263"/>
      <c r="T54" s="1263"/>
      <c r="U54" s="1263"/>
      <c r="V54" s="1263"/>
      <c r="W54" s="1263"/>
      <c r="X54" s="1263"/>
      <c r="Y54" s="1263"/>
      <c r="Z54" s="1263"/>
      <c r="AA54" s="1263"/>
      <c r="AB54" s="1263"/>
      <c r="AC54" s="1263"/>
      <c r="AD54" s="1263"/>
      <c r="AE54" s="1262"/>
      <c r="AF54" s="1262"/>
      <c r="AG54" s="1262"/>
      <c r="AH54" s="1262"/>
      <c r="AI54" s="1262"/>
      <c r="AJ54" s="1262"/>
      <c r="AK54" s="1262"/>
      <c r="AL54" s="1262"/>
      <c r="AM54" s="1262"/>
      <c r="AN54" s="1262"/>
      <c r="AO54" s="1262"/>
      <c r="AP54" s="1262"/>
      <c r="AQ54" s="1262"/>
      <c r="AR54" s="1262"/>
      <c r="AS54" s="1262"/>
    </row>
    <row r="55" spans="1:45">
      <c r="A55" s="1262"/>
      <c r="B55" s="1263"/>
      <c r="C55" s="1263"/>
      <c r="D55" s="1263"/>
      <c r="E55" s="1263"/>
      <c r="F55" s="1263"/>
      <c r="G55" s="1263"/>
      <c r="H55" s="1263"/>
      <c r="I55" s="1263"/>
      <c r="J55" s="1263"/>
      <c r="K55" s="1263"/>
      <c r="L55" s="1263"/>
      <c r="M55" s="1263"/>
      <c r="N55" s="1263"/>
      <c r="O55" s="1263"/>
      <c r="P55" s="1263"/>
      <c r="Q55" s="1263"/>
      <c r="R55" s="1263"/>
      <c r="S55" s="1263"/>
      <c r="T55" s="1263"/>
      <c r="U55" s="1263"/>
      <c r="V55" s="1263"/>
      <c r="W55" s="1263"/>
      <c r="X55" s="1263"/>
      <c r="Y55" s="1263"/>
      <c r="Z55" s="1263"/>
      <c r="AA55" s="1263"/>
      <c r="AB55" s="1263"/>
      <c r="AC55" s="1263"/>
      <c r="AD55" s="1263"/>
      <c r="AE55" s="1262"/>
      <c r="AF55" s="1262"/>
      <c r="AG55" s="1262"/>
      <c r="AH55" s="1262"/>
      <c r="AI55" s="1262"/>
      <c r="AJ55" s="1262"/>
      <c r="AK55" s="1262"/>
      <c r="AL55" s="1262"/>
      <c r="AM55" s="1262"/>
      <c r="AN55" s="1262"/>
      <c r="AO55" s="1262"/>
      <c r="AP55" s="1262"/>
      <c r="AQ55" s="1262"/>
      <c r="AR55" s="1262"/>
      <c r="AS55" s="1262"/>
    </row>
    <row r="56" spans="1:45">
      <c r="A56" s="1262"/>
      <c r="B56" s="1263"/>
      <c r="C56" s="1263"/>
      <c r="D56" s="1263"/>
      <c r="E56" s="1263"/>
      <c r="F56" s="1263"/>
      <c r="G56" s="1263"/>
      <c r="H56" s="1263"/>
      <c r="I56" s="1263"/>
      <c r="J56" s="1263"/>
      <c r="K56" s="1263"/>
      <c r="L56" s="1263"/>
      <c r="M56" s="1263"/>
      <c r="N56" s="1263"/>
      <c r="O56" s="1263"/>
      <c r="P56" s="1263"/>
      <c r="Q56" s="1263"/>
      <c r="R56" s="1263"/>
      <c r="S56" s="1263"/>
      <c r="T56" s="1263"/>
      <c r="U56" s="1263"/>
      <c r="V56" s="1263"/>
      <c r="W56" s="1263"/>
      <c r="X56" s="1263"/>
      <c r="Y56" s="1263"/>
      <c r="Z56" s="1263"/>
      <c r="AA56" s="1263"/>
      <c r="AB56" s="1263"/>
      <c r="AC56" s="1263"/>
      <c r="AD56" s="1263"/>
      <c r="AE56" s="1262"/>
      <c r="AF56" s="1262"/>
      <c r="AG56" s="1262"/>
      <c r="AH56" s="1262"/>
      <c r="AI56" s="1262"/>
      <c r="AJ56" s="1262"/>
      <c r="AK56" s="1262"/>
      <c r="AL56" s="1262"/>
      <c r="AM56" s="1262"/>
      <c r="AN56" s="1262"/>
      <c r="AO56" s="1262"/>
      <c r="AP56" s="1262"/>
      <c r="AQ56" s="1262"/>
      <c r="AR56" s="1262"/>
      <c r="AS56" s="1262"/>
    </row>
    <row r="57" spans="1:45">
      <c r="A57" s="1262"/>
      <c r="B57" s="1263"/>
      <c r="C57" s="1263"/>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c r="AB57" s="1263"/>
      <c r="AC57" s="1263"/>
      <c r="AD57" s="1263"/>
      <c r="AE57" s="1262"/>
      <c r="AF57" s="1262"/>
      <c r="AG57" s="1262"/>
      <c r="AH57" s="1262"/>
      <c r="AI57" s="1262"/>
      <c r="AJ57" s="1262"/>
      <c r="AK57" s="1262"/>
      <c r="AL57" s="1262"/>
      <c r="AM57" s="1262"/>
      <c r="AN57" s="1262"/>
      <c r="AO57" s="1262"/>
      <c r="AP57" s="1262"/>
      <c r="AQ57" s="1262"/>
      <c r="AR57" s="1262"/>
      <c r="AS57" s="1262"/>
    </row>
    <row r="58" spans="1:45">
      <c r="A58" s="1262"/>
      <c r="B58" s="1263"/>
      <c r="C58" s="1263"/>
      <c r="D58" s="1263"/>
      <c r="E58" s="1263"/>
      <c r="F58" s="1263"/>
      <c r="G58" s="1263"/>
      <c r="H58" s="1263"/>
      <c r="I58" s="1263"/>
      <c r="J58" s="1263"/>
      <c r="K58" s="1263"/>
      <c r="L58" s="1263"/>
      <c r="M58" s="1263"/>
      <c r="N58" s="1263"/>
      <c r="O58" s="1263"/>
      <c r="P58" s="1263"/>
      <c r="Q58" s="1263"/>
      <c r="R58" s="1263"/>
      <c r="S58" s="1263"/>
      <c r="T58" s="1263"/>
      <c r="U58" s="1263"/>
      <c r="V58" s="1263"/>
      <c r="W58" s="1263"/>
      <c r="X58" s="1263"/>
      <c r="Y58" s="1263"/>
      <c r="Z58" s="1263"/>
      <c r="AA58" s="1263"/>
      <c r="AB58" s="1263"/>
      <c r="AC58" s="1263"/>
      <c r="AD58" s="1263"/>
      <c r="AE58" s="1262"/>
      <c r="AF58" s="1262"/>
      <c r="AG58" s="1262"/>
      <c r="AH58" s="1262"/>
      <c r="AI58" s="1262"/>
      <c r="AJ58" s="1262"/>
      <c r="AK58" s="1262"/>
      <c r="AL58" s="1262"/>
      <c r="AM58" s="1262"/>
      <c r="AN58" s="1262"/>
      <c r="AO58" s="1262"/>
      <c r="AP58" s="1262"/>
      <c r="AQ58" s="1262"/>
      <c r="AR58" s="1262"/>
      <c r="AS58" s="1262"/>
    </row>
    <row r="59" spans="1:45">
      <c r="A59" s="1262"/>
      <c r="B59" s="1263"/>
      <c r="C59" s="1263"/>
      <c r="D59" s="1263"/>
      <c r="E59" s="1263"/>
      <c r="F59" s="1263"/>
      <c r="G59" s="1263"/>
      <c r="H59" s="1263"/>
      <c r="I59" s="1263"/>
      <c r="J59" s="1263"/>
      <c r="K59" s="1263"/>
      <c r="L59" s="1263"/>
      <c r="M59" s="1263"/>
      <c r="N59" s="1263"/>
      <c r="O59" s="1263"/>
      <c r="P59" s="1263"/>
      <c r="Q59" s="1263"/>
      <c r="R59" s="1263"/>
      <c r="S59" s="1263"/>
      <c r="T59" s="1263"/>
      <c r="U59" s="1263"/>
      <c r="V59" s="1263"/>
      <c r="W59" s="1263"/>
      <c r="X59" s="1263"/>
      <c r="Y59" s="1263"/>
      <c r="Z59" s="1263"/>
      <c r="AA59" s="1263"/>
      <c r="AB59" s="1263"/>
      <c r="AC59" s="1263"/>
      <c r="AD59" s="1263"/>
      <c r="AE59" s="1262"/>
      <c r="AF59" s="1262"/>
      <c r="AG59" s="1262"/>
      <c r="AH59" s="1262"/>
      <c r="AI59" s="1262"/>
      <c r="AJ59" s="1262"/>
      <c r="AK59" s="1262"/>
      <c r="AL59" s="1262"/>
      <c r="AM59" s="1262"/>
      <c r="AN59" s="1262"/>
      <c r="AO59" s="1262"/>
      <c r="AP59" s="1262"/>
      <c r="AQ59" s="1262"/>
      <c r="AR59" s="1262"/>
      <c r="AS59" s="1262"/>
    </row>
    <row r="60" spans="1:45">
      <c r="A60" s="1262"/>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2"/>
      <c r="AF60" s="1262"/>
      <c r="AG60" s="1262"/>
      <c r="AH60" s="1262"/>
      <c r="AI60" s="1262"/>
      <c r="AJ60" s="1262"/>
      <c r="AK60" s="1262"/>
      <c r="AL60" s="1262"/>
      <c r="AM60" s="1262"/>
      <c r="AN60" s="1262"/>
      <c r="AO60" s="1262"/>
      <c r="AP60" s="1262"/>
      <c r="AQ60" s="1262"/>
      <c r="AR60" s="1262"/>
      <c r="AS60" s="1262"/>
    </row>
    <row r="61" spans="1:45">
      <c r="A61" s="1262"/>
      <c r="B61" s="1263"/>
      <c r="C61" s="1263"/>
      <c r="D61" s="1263"/>
      <c r="E61" s="1263"/>
      <c r="F61" s="1263"/>
      <c r="G61" s="1263"/>
      <c r="H61" s="1263"/>
      <c r="I61" s="1263"/>
      <c r="J61" s="1263"/>
      <c r="K61" s="1263"/>
      <c r="L61" s="1263"/>
      <c r="M61" s="1263"/>
      <c r="N61" s="1263"/>
      <c r="O61" s="1263"/>
      <c r="P61" s="1263"/>
      <c r="Q61" s="1263"/>
      <c r="R61" s="1263"/>
      <c r="S61" s="1263"/>
      <c r="T61" s="1263"/>
      <c r="U61" s="1263"/>
      <c r="V61" s="1263"/>
      <c r="W61" s="1263"/>
      <c r="X61" s="1263"/>
      <c r="Y61" s="1263"/>
      <c r="Z61" s="1263"/>
      <c r="AA61" s="1263"/>
      <c r="AB61" s="1263"/>
      <c r="AC61" s="1263"/>
      <c r="AD61" s="1263"/>
      <c r="AE61" s="1262"/>
      <c r="AF61" s="1262"/>
      <c r="AG61" s="1262"/>
      <c r="AH61" s="1262"/>
      <c r="AI61" s="1262"/>
      <c r="AJ61" s="1262"/>
      <c r="AK61" s="1262"/>
      <c r="AL61" s="1262"/>
      <c r="AM61" s="1262"/>
      <c r="AN61" s="1262"/>
      <c r="AO61" s="1262"/>
      <c r="AP61" s="1262"/>
      <c r="AQ61" s="1262"/>
      <c r="AR61" s="1262"/>
      <c r="AS61" s="1262"/>
    </row>
  </sheetData>
  <sheetProtection algorithmName="SHA-512" hashValue="dBIb84J7WgQUWAgQg1hGkm2p9qfDBcA4cOX/qCeXa5Ohr/kTlAZBHaep28TB8CTXG6T9T+6PeFzAjlRyEwZDfw==" saltValue="HG0qT/SFKtc6t5HePb7IPQ==" spinCount="100000" sheet="1" objects="1" scenarios="1"/>
  <customSheetViews>
    <customSheetView guid="{6EFEFCA0-BF14-457A-85A3-29CBF2A862A5}" showGridLines="0" fitToPage="1">
      <selection sqref="A1:AJ41"/>
      <pageMargins left="0.23622047244094491" right="0.23622047244094491" top="0.39370078740157483" bottom="0.78740157480314965" header="0" footer="0.11811023622047245"/>
      <printOptions horizontalCentered="1" verticalCentered="1"/>
      <pageSetup paperSize="5" scale="76" orientation="portrait" r:id="rId1"/>
      <headerFooter>
        <oddFooter>&amp;L&amp;10&amp;F &amp;A&amp;R&amp;10Page 48 of 61</oddFooter>
      </headerFooter>
    </customSheetView>
  </customSheetViews>
  <mergeCells count="31">
    <mergeCell ref="E4:AD5"/>
    <mergeCell ref="E6:AD7"/>
    <mergeCell ref="D9:Z9"/>
    <mergeCell ref="D11:I12"/>
    <mergeCell ref="J11:O11"/>
    <mergeCell ref="P11:U11"/>
    <mergeCell ref="V11:AA11"/>
    <mergeCell ref="J12:O12"/>
    <mergeCell ref="P12:U12"/>
    <mergeCell ref="V12:X12"/>
    <mergeCell ref="C28:AF28"/>
    <mergeCell ref="Y12:AA12"/>
    <mergeCell ref="D14:Z14"/>
    <mergeCell ref="AB14:AD14"/>
    <mergeCell ref="C17:AF17"/>
    <mergeCell ref="C19:AF19"/>
    <mergeCell ref="C21:AF21"/>
    <mergeCell ref="C23:AF23"/>
    <mergeCell ref="C24:AF24"/>
    <mergeCell ref="C25:AF25"/>
    <mergeCell ref="C26:AF26"/>
    <mergeCell ref="C27:AF27"/>
    <mergeCell ref="K37:W38"/>
    <mergeCell ref="K39:W39"/>
    <mergeCell ref="C29:AF29"/>
    <mergeCell ref="F32:N32"/>
    <mergeCell ref="T32:AF32"/>
    <mergeCell ref="F33:N33"/>
    <mergeCell ref="T33:AF33"/>
    <mergeCell ref="F34:N34"/>
    <mergeCell ref="X34:AF34"/>
  </mergeCells>
  <dataValidations count="1">
    <dataValidation type="whole" allowBlank="1" showInputMessage="1" showErrorMessage="1" errorTitle="GSHSP SY 2022-2023" error="Please enter valid number between 0-999." sqref="AB14:AD14 J12:U12" xr:uid="{0F351DF5-6A8D-49AB-AB73-5DA035607468}">
      <formula1>0</formula1>
      <formula2>999</formula2>
    </dataValidation>
  </dataValidations>
  <printOptions horizontalCentered="1" verticalCentered="1"/>
  <pageMargins left="0.23622047244094491" right="0.23622047244094491" top="0.39370078740157483" bottom="0.78740157480314965" header="0" footer="0.11811023622047245"/>
  <pageSetup paperSize="5" scale="76" orientation="portrait" r:id="rId2"/>
  <headerFooter>
    <oddFooter>&amp;L&amp;10&amp;F &amp;A&amp;R&amp;10Page 48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88065" r:id="rId5" name="Check Box 1">
              <controlPr defaultSize="0" autoFill="0" autoLine="0" autoPict="0">
                <anchor moveWithCells="1">
                  <from>
                    <xdr:col>3</xdr:col>
                    <xdr:colOff>28575</xdr:colOff>
                    <xdr:row>2</xdr:row>
                    <xdr:rowOff>47625</xdr:rowOff>
                  </from>
                  <to>
                    <xdr:col>4</xdr:col>
                    <xdr:colOff>28575</xdr:colOff>
                    <xdr:row>4</xdr:row>
                    <xdr:rowOff>9525</xdr:rowOff>
                  </to>
                </anchor>
              </controlPr>
            </control>
          </mc:Choice>
        </mc:AlternateContent>
        <mc:AlternateContent xmlns:mc="http://schemas.openxmlformats.org/markup-compatibility/2006">
          <mc:Choice Requires="x14">
            <control shapeId="88066" r:id="rId6" name="Check Box 2">
              <controlPr defaultSize="0" autoFill="0" autoLine="0" autoPict="0">
                <anchor moveWithCells="1">
                  <from>
                    <xdr:col>3</xdr:col>
                    <xdr:colOff>28575</xdr:colOff>
                    <xdr:row>4</xdr:row>
                    <xdr:rowOff>180975</xdr:rowOff>
                  </from>
                  <to>
                    <xdr:col>4</xdr:col>
                    <xdr:colOff>9525</xdr:colOff>
                    <xdr:row>6</xdr:row>
                    <xdr:rowOff>28575</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69C67-D438-48F3-A333-DAA3D1E8D3FA}">
  <sheetPr codeName="Sheet51">
    <tabColor rgb="FFFFFF00"/>
    <pageSetUpPr fitToPage="1"/>
  </sheetPr>
  <dimension ref="A1:BA67"/>
  <sheetViews>
    <sheetView showGridLines="0" topLeftCell="A44" zoomScaleNormal="100" zoomScaleSheetLayoutView="100" workbookViewId="0">
      <selection sqref="A1:AL52"/>
    </sheetView>
  </sheetViews>
  <sheetFormatPr defaultColWidth="8" defaultRowHeight="15.75"/>
  <cols>
    <col min="1" max="1" width="2.125" style="176" customWidth="1"/>
    <col min="2" max="30" width="3.625" style="175" customWidth="1"/>
    <col min="31" max="32" width="3.625" style="176" customWidth="1"/>
    <col min="33" max="33" width="2.125" style="176" customWidth="1"/>
    <col min="34" max="52" width="3.625" style="176" customWidth="1"/>
    <col min="53" max="53" width="3.625" style="1262" customWidth="1"/>
    <col min="54" max="165" width="3.625" style="176" customWidth="1"/>
    <col min="166" max="16384" width="8" style="176"/>
  </cols>
  <sheetData>
    <row r="1" spans="1:53" ht="12" customHeight="1">
      <c r="A1" s="1262"/>
      <c r="B1" s="1263"/>
      <c r="C1" s="1263"/>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2"/>
      <c r="AF1" s="1262"/>
      <c r="AG1" s="1262"/>
      <c r="AH1" s="1262"/>
      <c r="AI1" s="1262"/>
      <c r="AJ1" s="1262"/>
      <c r="AK1" s="1262"/>
      <c r="AL1" s="1262"/>
      <c r="AM1" s="1262"/>
      <c r="AN1" s="1262"/>
      <c r="AO1" s="1262"/>
      <c r="AP1" s="1262"/>
      <c r="AQ1" s="1262"/>
      <c r="AR1" s="1262"/>
      <c r="AS1" s="1262"/>
      <c r="AT1" s="1262"/>
      <c r="AU1" s="1262"/>
      <c r="AV1" s="1262"/>
      <c r="AW1" s="1262"/>
      <c r="AX1" s="1262"/>
      <c r="AY1" s="1262"/>
      <c r="AZ1" s="1262"/>
    </row>
    <row r="2" spans="1:53" ht="16.5">
      <c r="A2" s="1262"/>
      <c r="B2" s="1264" t="s">
        <v>11437</v>
      </c>
      <c r="C2" s="1262"/>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c r="AS2" s="1262"/>
      <c r="AT2" s="1262"/>
      <c r="AU2" s="1262"/>
      <c r="AV2" s="1262"/>
      <c r="AW2" s="1262"/>
      <c r="AX2" s="1262"/>
      <c r="AY2" s="1262"/>
      <c r="AZ2" s="1262"/>
    </row>
    <row r="3" spans="1:53" ht="17.25">
      <c r="A3" s="1262"/>
      <c r="B3" s="1265" t="s">
        <v>1483</v>
      </c>
      <c r="C3" s="1262"/>
      <c r="D3" s="1262"/>
      <c r="E3" s="1262"/>
      <c r="F3" s="1262"/>
      <c r="G3" s="1262"/>
      <c r="H3" s="1262"/>
      <c r="I3" s="1262"/>
      <c r="J3" s="1262"/>
      <c r="K3" s="1262"/>
      <c r="L3" s="1262"/>
      <c r="M3" s="1262"/>
      <c r="N3" s="1262"/>
      <c r="O3" s="1262"/>
      <c r="P3" s="1262"/>
      <c r="Q3" s="1262"/>
      <c r="R3" s="1262"/>
      <c r="S3" s="1262"/>
      <c r="T3" s="1262"/>
      <c r="U3" s="1262"/>
      <c r="V3" s="1262"/>
      <c r="W3" s="1262"/>
      <c r="X3" s="1262"/>
      <c r="Y3" s="1262"/>
      <c r="Z3" s="1262"/>
      <c r="AA3" s="1262"/>
      <c r="AB3" s="1262"/>
      <c r="AC3" s="1262"/>
      <c r="AD3" s="1262"/>
      <c r="AE3" s="1262"/>
      <c r="AF3" s="1262"/>
      <c r="AG3" s="1262"/>
      <c r="AH3" s="1262"/>
      <c r="AI3" s="1262"/>
      <c r="AJ3" s="1262"/>
      <c r="AK3" s="1262"/>
      <c r="AL3" s="1262"/>
      <c r="AM3" s="1262"/>
      <c r="AN3" s="1262"/>
      <c r="AO3" s="1262"/>
      <c r="AP3" s="1262"/>
      <c r="AQ3" s="1262"/>
      <c r="AR3" s="1262"/>
      <c r="AS3" s="1262"/>
      <c r="AT3" s="1262"/>
      <c r="AU3" s="1262"/>
      <c r="AV3" s="1262"/>
      <c r="AW3" s="1262"/>
      <c r="AX3" s="1262"/>
      <c r="AY3" s="1262"/>
      <c r="AZ3" s="1262"/>
    </row>
    <row r="4" spans="1:53" ht="17.25">
      <c r="A4" s="1262"/>
      <c r="B4" s="1265"/>
      <c r="C4" s="1262"/>
      <c r="D4" s="1262"/>
      <c r="E4" s="1262"/>
      <c r="F4" s="1262"/>
      <c r="G4" s="1262"/>
      <c r="H4" s="1262"/>
      <c r="I4" s="1262"/>
      <c r="J4" s="1262"/>
      <c r="K4" s="1262"/>
      <c r="L4" s="1262"/>
      <c r="M4" s="1262"/>
      <c r="N4" s="1262"/>
      <c r="O4" s="1262"/>
      <c r="P4" s="1262"/>
      <c r="Q4" s="1262"/>
      <c r="R4" s="1262"/>
      <c r="S4" s="1262"/>
      <c r="T4" s="1262"/>
      <c r="U4" s="1262"/>
      <c r="V4" s="1262"/>
      <c r="W4" s="1262"/>
      <c r="X4" s="1262"/>
      <c r="Y4" s="1262"/>
      <c r="Z4" s="1262"/>
      <c r="AA4" s="1262"/>
      <c r="AB4" s="1262"/>
      <c r="AC4" s="1262"/>
      <c r="AD4" s="1262"/>
      <c r="AE4" s="1262"/>
      <c r="AF4" s="1262"/>
      <c r="AG4" s="1262"/>
      <c r="AH4" s="1262"/>
      <c r="AI4" s="1262"/>
      <c r="AJ4" s="1262"/>
      <c r="AK4" s="1262"/>
      <c r="AL4" s="1262"/>
      <c r="AM4" s="1262"/>
      <c r="AN4" s="1262"/>
      <c r="AO4" s="1262"/>
      <c r="AP4" s="1262"/>
      <c r="AQ4" s="1262"/>
      <c r="AR4" s="1262"/>
      <c r="AS4" s="1262"/>
      <c r="AT4" s="1262"/>
      <c r="AU4" s="1262"/>
      <c r="AV4" s="1262"/>
      <c r="AW4" s="1262"/>
      <c r="AX4" s="1262"/>
      <c r="AY4" s="1262"/>
      <c r="AZ4" s="1262"/>
    </row>
    <row r="5" spans="1:53" ht="17.25" thickBot="1">
      <c r="A5" s="1262"/>
      <c r="B5" s="1264" t="s">
        <v>1484</v>
      </c>
      <c r="C5" s="1262"/>
      <c r="D5" s="1262"/>
      <c r="E5" s="1262"/>
      <c r="F5" s="1262"/>
      <c r="G5" s="1262"/>
      <c r="H5" s="1262"/>
      <c r="I5" s="1262"/>
      <c r="J5" s="1262"/>
      <c r="K5" s="1262"/>
      <c r="L5" s="1262"/>
      <c r="M5" s="1262"/>
      <c r="N5" s="1262"/>
      <c r="O5" s="1262"/>
      <c r="P5" s="1262"/>
      <c r="Q5" s="1262"/>
      <c r="R5" s="1262"/>
      <c r="S5" s="1262"/>
      <c r="T5" s="1262"/>
      <c r="U5" s="1262"/>
      <c r="V5" s="1262"/>
      <c r="W5" s="1262"/>
      <c r="X5" s="1262"/>
      <c r="Y5" s="1262"/>
      <c r="Z5" s="1262"/>
      <c r="AA5" s="1262"/>
      <c r="AB5" s="1262"/>
      <c r="AC5" s="1262"/>
      <c r="AD5" s="1262"/>
      <c r="AE5" s="1262"/>
      <c r="AF5" s="1262"/>
      <c r="AG5" s="1262"/>
      <c r="AH5" s="1262"/>
      <c r="AI5" s="1262"/>
      <c r="AJ5" s="1262"/>
      <c r="AK5" s="1262"/>
      <c r="AL5" s="1262"/>
      <c r="AM5" s="1262"/>
      <c r="AN5" s="1262"/>
      <c r="AO5" s="1262"/>
      <c r="AP5" s="1262"/>
      <c r="AQ5" s="1262"/>
      <c r="AR5" s="1262"/>
      <c r="AS5" s="1262"/>
      <c r="AT5" s="1262"/>
      <c r="AU5" s="1262"/>
      <c r="AV5" s="1262"/>
      <c r="AW5" s="1262"/>
      <c r="AX5" s="1262"/>
      <c r="AY5" s="1262"/>
      <c r="AZ5" s="1262"/>
    </row>
    <row r="6" spans="1:53" ht="5.0999999999999996" customHeight="1" thickTop="1">
      <c r="A6" s="1262"/>
      <c r="B6" s="1266"/>
      <c r="C6" s="1267"/>
      <c r="D6" s="1267"/>
      <c r="E6" s="1267"/>
      <c r="F6" s="1267"/>
      <c r="G6" s="1267"/>
      <c r="H6" s="1267"/>
      <c r="I6" s="1267"/>
      <c r="J6" s="1267"/>
      <c r="K6" s="1267"/>
      <c r="L6" s="1267"/>
      <c r="M6" s="1267"/>
      <c r="N6" s="1267"/>
      <c r="O6" s="1267"/>
      <c r="P6" s="1267"/>
      <c r="Q6" s="1267"/>
      <c r="R6" s="1267"/>
      <c r="S6" s="1267"/>
      <c r="T6" s="1267"/>
      <c r="U6" s="1267"/>
      <c r="V6" s="1267"/>
      <c r="W6" s="1267"/>
      <c r="X6" s="1267"/>
      <c r="Y6" s="1267"/>
      <c r="Z6" s="1267"/>
      <c r="AA6" s="1267"/>
      <c r="AB6" s="1267"/>
      <c r="AC6" s="1267"/>
      <c r="AD6" s="1267"/>
      <c r="AE6" s="1267"/>
      <c r="AF6" s="1268"/>
      <c r="AG6" s="1262"/>
      <c r="AH6" s="1262"/>
      <c r="AI6" s="1262"/>
      <c r="AJ6" s="1262"/>
      <c r="AK6" s="1262"/>
      <c r="AL6" s="1262"/>
      <c r="AM6" s="1262"/>
      <c r="AN6" s="1262"/>
      <c r="AO6" s="1262"/>
      <c r="AP6" s="1262"/>
      <c r="AQ6" s="1262"/>
      <c r="AR6" s="1262"/>
      <c r="AS6" s="1262"/>
      <c r="AT6" s="1262"/>
      <c r="AU6" s="1262"/>
      <c r="AV6" s="1262"/>
      <c r="AW6" s="1262"/>
      <c r="AX6" s="1262"/>
      <c r="AY6" s="1262"/>
      <c r="AZ6" s="1262"/>
    </row>
    <row r="7" spans="1:53" ht="15.6" customHeight="1">
      <c r="A7" s="1262"/>
      <c r="B7" s="1269"/>
      <c r="C7" s="1301" t="s">
        <v>47</v>
      </c>
      <c r="D7" s="3666" t="s">
        <v>1485</v>
      </c>
      <c r="E7" s="3666"/>
      <c r="F7" s="3666"/>
      <c r="G7" s="3666"/>
      <c r="H7" s="3666"/>
      <c r="I7" s="3666"/>
      <c r="J7" s="3666"/>
      <c r="K7" s="3666"/>
      <c r="L7" s="3666"/>
      <c r="M7" s="3666"/>
      <c r="N7" s="3666"/>
      <c r="O7" s="3666"/>
      <c r="P7" s="3666"/>
      <c r="Q7" s="3666"/>
      <c r="R7" s="3666"/>
      <c r="S7" s="3666"/>
      <c r="T7" s="3666"/>
      <c r="U7" s="3666"/>
      <c r="V7" s="3666"/>
      <c r="W7" s="3666"/>
      <c r="X7" s="3666"/>
      <c r="Y7" s="3666"/>
      <c r="Z7" s="3666"/>
      <c r="AA7" s="1309"/>
      <c r="AB7" s="1309"/>
      <c r="AC7" s="1309"/>
      <c r="AD7" s="1302"/>
      <c r="AE7" s="1271"/>
      <c r="AF7" s="1272"/>
      <c r="AG7" s="1262"/>
      <c r="AH7" s="1262"/>
      <c r="AI7" s="1262"/>
      <c r="AJ7" s="1262"/>
      <c r="AK7" s="1262"/>
      <c r="AL7" s="1262"/>
      <c r="AM7" s="1262"/>
      <c r="AN7" s="1262"/>
      <c r="AO7" s="1262"/>
      <c r="AP7" s="1262"/>
      <c r="AQ7" s="1262"/>
      <c r="AR7" s="1262"/>
      <c r="AS7" s="1262"/>
      <c r="AT7" s="1262"/>
      <c r="AU7" s="1262"/>
      <c r="AV7" s="1262"/>
      <c r="AW7" s="1262"/>
      <c r="AX7" s="1262"/>
      <c r="AY7" s="1262"/>
      <c r="AZ7" s="1262"/>
    </row>
    <row r="8" spans="1:53" ht="5.0999999999999996" customHeight="1" thickBot="1">
      <c r="A8" s="1262"/>
      <c r="B8" s="1303"/>
      <c r="C8" s="1327"/>
      <c r="D8" s="1327"/>
      <c r="E8" s="1327"/>
      <c r="F8" s="1327"/>
      <c r="G8" s="1327"/>
      <c r="H8" s="1327"/>
      <c r="I8" s="1327"/>
      <c r="J8" s="1327"/>
      <c r="K8" s="1327"/>
      <c r="L8" s="1327"/>
      <c r="M8" s="1327"/>
      <c r="N8" s="1327"/>
      <c r="O8" s="1327"/>
      <c r="P8" s="1327"/>
      <c r="Q8" s="1327"/>
      <c r="R8" s="1327"/>
      <c r="S8" s="1327"/>
      <c r="T8" s="1327"/>
      <c r="U8" s="1327"/>
      <c r="V8" s="1327"/>
      <c r="W8" s="1327"/>
      <c r="X8" s="1327"/>
      <c r="Y8" s="1327"/>
      <c r="Z8" s="1327"/>
      <c r="AA8" s="1327"/>
      <c r="AB8" s="1327"/>
      <c r="AC8" s="1327"/>
      <c r="AD8" s="1327"/>
      <c r="AE8" s="1327"/>
      <c r="AF8" s="1277"/>
      <c r="AG8" s="1262"/>
      <c r="AH8" s="1262"/>
      <c r="AI8" s="1262"/>
      <c r="AJ8" s="1262"/>
      <c r="AK8" s="1262"/>
      <c r="AL8" s="1262"/>
      <c r="AM8" s="1262"/>
      <c r="AN8" s="1262"/>
      <c r="AO8" s="1262"/>
      <c r="AP8" s="1262"/>
      <c r="AQ8" s="1262"/>
      <c r="AR8" s="1262"/>
      <c r="AS8" s="1262"/>
      <c r="AT8" s="1262"/>
      <c r="AU8" s="1262"/>
      <c r="AV8" s="1262"/>
      <c r="AW8" s="1262"/>
      <c r="AX8" s="1262"/>
      <c r="AY8" s="1262"/>
      <c r="AZ8" s="1262"/>
    </row>
    <row r="9" spans="1:53" s="175" customFormat="1" ht="30" customHeight="1" thickTop="1" thickBot="1">
      <c r="A9" s="1263"/>
      <c r="B9" s="1303"/>
      <c r="C9" s="1304"/>
      <c r="D9" s="3654" t="s">
        <v>1486</v>
      </c>
      <c r="E9" s="3655"/>
      <c r="F9" s="3655"/>
      <c r="G9" s="3655"/>
      <c r="H9" s="3655"/>
      <c r="I9" s="3655"/>
      <c r="J9" s="3658"/>
      <c r="K9" s="3654" t="s">
        <v>1487</v>
      </c>
      <c r="L9" s="3655"/>
      <c r="M9" s="3655"/>
      <c r="N9" s="3655"/>
      <c r="O9" s="3655"/>
      <c r="P9" s="3657"/>
      <c r="Q9" s="3655" t="s">
        <v>1488</v>
      </c>
      <c r="R9" s="3655"/>
      <c r="S9" s="3655"/>
      <c r="T9" s="3655"/>
      <c r="U9" s="3655"/>
      <c r="V9" s="3658"/>
      <c r="W9" s="3723"/>
      <c r="X9" s="3723"/>
      <c r="Y9" s="3723"/>
      <c r="Z9" s="3723"/>
      <c r="AA9" s="3723"/>
      <c r="AB9" s="3723"/>
      <c r="AC9" s="1304"/>
      <c r="AD9" s="1304"/>
      <c r="AE9" s="1304"/>
      <c r="AF9" s="1305"/>
      <c r="AG9" s="1263"/>
      <c r="AH9" s="1263"/>
      <c r="AI9" s="1263"/>
      <c r="AJ9" s="1263"/>
      <c r="AK9" s="1263"/>
      <c r="AL9" s="1263"/>
      <c r="AM9" s="1263"/>
      <c r="AN9" s="1263"/>
      <c r="AO9" s="1263"/>
      <c r="AP9" s="1263"/>
      <c r="AQ9" s="1263"/>
      <c r="AR9" s="1263"/>
      <c r="AS9" s="1263"/>
      <c r="AT9" s="1263"/>
      <c r="AU9" s="1263"/>
      <c r="AV9" s="1263"/>
      <c r="AW9" s="1263"/>
      <c r="AX9" s="1263"/>
      <c r="AY9" s="1263"/>
      <c r="AZ9" s="1263"/>
      <c r="BA9" s="1263"/>
    </row>
    <row r="10" spans="1:53" s="175" customFormat="1" ht="30" customHeight="1" thickTop="1">
      <c r="A10" s="1263"/>
      <c r="B10" s="1303"/>
      <c r="C10" s="1304"/>
      <c r="D10" s="3748" t="s">
        <v>1489</v>
      </c>
      <c r="E10" s="3749"/>
      <c r="F10" s="3749"/>
      <c r="G10" s="3749"/>
      <c r="H10" s="3749"/>
      <c r="I10" s="3749"/>
      <c r="J10" s="3750"/>
      <c r="K10" s="3754">
        <v>0</v>
      </c>
      <c r="L10" s="3755"/>
      <c r="M10" s="3755"/>
      <c r="N10" s="3755"/>
      <c r="O10" s="3755"/>
      <c r="P10" s="3756"/>
      <c r="Q10" s="3757">
        <v>0</v>
      </c>
      <c r="R10" s="3755"/>
      <c r="S10" s="3755"/>
      <c r="T10" s="3755"/>
      <c r="U10" s="3755"/>
      <c r="V10" s="3758"/>
      <c r="W10" s="1342"/>
      <c r="X10" s="1342"/>
      <c r="Y10" s="1342"/>
      <c r="Z10" s="1342"/>
      <c r="AA10" s="1342"/>
      <c r="AB10" s="1342"/>
      <c r="AC10" s="1304"/>
      <c r="AD10" s="1304"/>
      <c r="AE10" s="1304"/>
      <c r="AF10" s="1305"/>
      <c r="AG10" s="1263"/>
      <c r="AH10" s="1263"/>
      <c r="AI10" s="1263"/>
      <c r="AJ10" s="1263"/>
      <c r="AK10" s="1263"/>
      <c r="AL10" s="1263"/>
      <c r="AM10" s="1263"/>
      <c r="AN10" s="1263"/>
      <c r="AO10" s="1263"/>
      <c r="AP10" s="1263"/>
      <c r="AQ10" s="1263"/>
      <c r="AR10" s="1263"/>
      <c r="AS10" s="1263"/>
      <c r="AT10" s="1263"/>
      <c r="AU10" s="1263"/>
      <c r="AV10" s="1263"/>
      <c r="AW10" s="1263"/>
      <c r="AX10" s="1263"/>
      <c r="AY10" s="1263"/>
      <c r="AZ10" s="1263"/>
      <c r="BA10" s="1263"/>
    </row>
    <row r="11" spans="1:53" s="175" customFormat="1" ht="30" customHeight="1" thickBot="1">
      <c r="A11" s="1263"/>
      <c r="B11" s="1273"/>
      <c r="C11" s="1274"/>
      <c r="D11" s="3751" t="s">
        <v>1490</v>
      </c>
      <c r="E11" s="3752"/>
      <c r="F11" s="3752"/>
      <c r="G11" s="3752"/>
      <c r="H11" s="3752"/>
      <c r="I11" s="3752"/>
      <c r="J11" s="3753"/>
      <c r="K11" s="3647">
        <v>0</v>
      </c>
      <c r="L11" s="3632"/>
      <c r="M11" s="3632"/>
      <c r="N11" s="3632"/>
      <c r="O11" s="3632"/>
      <c r="P11" s="3724"/>
      <c r="Q11" s="3632">
        <v>0</v>
      </c>
      <c r="R11" s="3632"/>
      <c r="S11" s="3632"/>
      <c r="T11" s="3632"/>
      <c r="U11" s="3632"/>
      <c r="V11" s="3652"/>
      <c r="W11" s="3725"/>
      <c r="X11" s="3725"/>
      <c r="Y11" s="3725"/>
      <c r="Z11" s="3715"/>
      <c r="AA11" s="3715"/>
      <c r="AB11" s="3715"/>
      <c r="AC11" s="1263"/>
      <c r="AD11" s="1263"/>
      <c r="AE11" s="1263"/>
      <c r="AF11" s="1284"/>
      <c r="AG11" s="1263"/>
      <c r="AH11" s="1263"/>
      <c r="AI11" s="1263"/>
      <c r="AJ11" s="1263"/>
      <c r="AK11" s="1263"/>
      <c r="AL11" s="1263"/>
      <c r="AM11" s="1263"/>
      <c r="AN11" s="1263"/>
      <c r="AO11" s="1263"/>
      <c r="AP11" s="1263"/>
      <c r="AQ11" s="1263"/>
      <c r="AR11" s="1263"/>
      <c r="AS11" s="1263"/>
      <c r="AT11" s="1263"/>
      <c r="AU11" s="1263"/>
      <c r="AV11" s="1263"/>
      <c r="AW11" s="1263"/>
      <c r="AX11" s="1263"/>
      <c r="AY11" s="1263"/>
      <c r="AZ11" s="1263"/>
      <c r="BA11" s="1263"/>
    </row>
    <row r="12" spans="1:53" ht="5.0999999999999996" customHeight="1" thickTop="1" thickBot="1">
      <c r="A12" s="1262"/>
      <c r="B12" s="1303"/>
      <c r="C12" s="1327"/>
      <c r="D12" s="1327"/>
      <c r="E12" s="1327"/>
      <c r="F12" s="1327"/>
      <c r="G12" s="1327"/>
      <c r="H12" s="1327"/>
      <c r="I12" s="1327"/>
      <c r="J12" s="1327"/>
      <c r="K12" s="1327"/>
      <c r="L12" s="1327"/>
      <c r="M12" s="1327"/>
      <c r="N12" s="1327"/>
      <c r="O12" s="1327"/>
      <c r="P12" s="1327"/>
      <c r="Q12" s="1327"/>
      <c r="R12" s="1327"/>
      <c r="S12" s="1327"/>
      <c r="T12" s="1327"/>
      <c r="U12" s="1327"/>
      <c r="V12" s="1327"/>
      <c r="W12" s="1327"/>
      <c r="X12" s="1327"/>
      <c r="Y12" s="1327"/>
      <c r="Z12" s="1327"/>
      <c r="AA12" s="1327"/>
      <c r="AB12" s="1327"/>
      <c r="AC12" s="1327"/>
      <c r="AD12" s="1327"/>
      <c r="AE12" s="1327"/>
      <c r="AF12" s="1277"/>
      <c r="AG12" s="1262"/>
      <c r="AH12" s="1262"/>
      <c r="AI12" s="1262"/>
      <c r="AJ12" s="1262"/>
      <c r="AK12" s="1262"/>
      <c r="AL12" s="1262"/>
      <c r="AM12" s="1262"/>
      <c r="AN12" s="1262"/>
      <c r="AO12" s="1262"/>
      <c r="AP12" s="1262"/>
      <c r="AQ12" s="1262"/>
      <c r="AR12" s="1262"/>
      <c r="AS12" s="1262"/>
      <c r="AT12" s="1262"/>
      <c r="AU12" s="1262"/>
      <c r="AV12" s="1262"/>
      <c r="AW12" s="1262"/>
      <c r="AX12" s="1262"/>
      <c r="AY12" s="1262"/>
      <c r="AZ12" s="1262"/>
    </row>
    <row r="13" spans="1:53" ht="30" customHeight="1" thickBot="1">
      <c r="A13" s="1262"/>
      <c r="B13" s="1269"/>
      <c r="C13" s="1326" t="s">
        <v>48</v>
      </c>
      <c r="D13" s="3667" t="s">
        <v>1491</v>
      </c>
      <c r="E13" s="3667"/>
      <c r="F13" s="3667"/>
      <c r="G13" s="3667"/>
      <c r="H13" s="3667"/>
      <c r="I13" s="3667"/>
      <c r="J13" s="3667"/>
      <c r="K13" s="3667"/>
      <c r="L13" s="3667"/>
      <c r="M13" s="3667"/>
      <c r="N13" s="3667"/>
      <c r="O13" s="3667"/>
      <c r="P13" s="3667"/>
      <c r="Q13" s="3667"/>
      <c r="R13" s="3667"/>
      <c r="S13" s="3667"/>
      <c r="T13" s="3667"/>
      <c r="U13" s="3667"/>
      <c r="V13" s="3667"/>
      <c r="W13" s="3667"/>
      <c r="X13" s="3667"/>
      <c r="Y13" s="3667"/>
      <c r="Z13" s="3667"/>
      <c r="AA13" s="1337"/>
      <c r="AB13" s="3744">
        <v>0</v>
      </c>
      <c r="AC13" s="3745"/>
      <c r="AD13" s="3746"/>
      <c r="AE13" s="1271"/>
      <c r="AF13" s="1272"/>
      <c r="AG13" s="1262"/>
      <c r="AH13" s="1262"/>
      <c r="AI13" s="1262"/>
      <c r="AJ13" s="1262"/>
      <c r="AK13" s="1262"/>
      <c r="AL13" s="1262"/>
      <c r="AM13" s="1262"/>
      <c r="AN13" s="1262"/>
      <c r="AO13" s="1262"/>
      <c r="AP13" s="1262"/>
      <c r="AQ13" s="1262"/>
      <c r="AR13" s="1262"/>
      <c r="AS13" s="1262"/>
      <c r="AT13" s="1262"/>
      <c r="AU13" s="1262"/>
      <c r="AV13" s="1262"/>
      <c r="AW13" s="1262"/>
      <c r="AX13" s="1262"/>
      <c r="AY13" s="1262"/>
      <c r="AZ13" s="1262"/>
    </row>
    <row r="14" spans="1:53" ht="5.0999999999999996" customHeight="1" thickBot="1">
      <c r="A14" s="1262"/>
      <c r="B14" s="1303"/>
      <c r="C14" s="1327"/>
      <c r="D14" s="1327"/>
      <c r="E14" s="1327"/>
      <c r="F14" s="1327"/>
      <c r="G14" s="1327"/>
      <c r="H14" s="1327"/>
      <c r="I14" s="1327"/>
      <c r="J14" s="1327"/>
      <c r="K14" s="1327"/>
      <c r="L14" s="1327"/>
      <c r="M14" s="1327"/>
      <c r="N14" s="1327"/>
      <c r="O14" s="1327"/>
      <c r="P14" s="1327"/>
      <c r="Q14" s="1327"/>
      <c r="R14" s="1327"/>
      <c r="S14" s="1327"/>
      <c r="T14" s="1327"/>
      <c r="U14" s="1327"/>
      <c r="V14" s="1327"/>
      <c r="W14" s="1327"/>
      <c r="X14" s="1327"/>
      <c r="Y14" s="1327"/>
      <c r="Z14" s="1327"/>
      <c r="AA14" s="1327"/>
      <c r="AB14" s="1327"/>
      <c r="AC14" s="1327"/>
      <c r="AD14" s="1327"/>
      <c r="AE14" s="1327"/>
      <c r="AF14" s="1277"/>
      <c r="AG14" s="1262"/>
      <c r="AH14" s="1262"/>
      <c r="AI14" s="1262"/>
      <c r="AJ14" s="1262"/>
      <c r="AK14" s="1262"/>
      <c r="AL14" s="1262"/>
      <c r="AM14" s="1262"/>
      <c r="AN14" s="1262"/>
      <c r="AO14" s="1262"/>
      <c r="AP14" s="1262"/>
      <c r="AQ14" s="1262"/>
      <c r="AR14" s="1262"/>
      <c r="AS14" s="1262"/>
      <c r="AT14" s="1262"/>
      <c r="AU14" s="1262"/>
      <c r="AV14" s="1262"/>
      <c r="AW14" s="1262"/>
      <c r="AX14" s="1262"/>
      <c r="AY14" s="1262"/>
      <c r="AZ14" s="1262"/>
    </row>
    <row r="15" spans="1:53" ht="30" customHeight="1" thickBot="1">
      <c r="A15" s="1262"/>
      <c r="B15" s="1269"/>
      <c r="C15" s="1326" t="s">
        <v>49</v>
      </c>
      <c r="D15" s="3667" t="s">
        <v>1492</v>
      </c>
      <c r="E15" s="3667"/>
      <c r="F15" s="3667"/>
      <c r="G15" s="3667"/>
      <c r="H15" s="3667"/>
      <c r="I15" s="3667"/>
      <c r="J15" s="3667"/>
      <c r="K15" s="3667"/>
      <c r="L15" s="3667"/>
      <c r="M15" s="3667"/>
      <c r="N15" s="3667"/>
      <c r="O15" s="3667"/>
      <c r="P15" s="3667"/>
      <c r="Q15" s="3667"/>
      <c r="R15" s="3667"/>
      <c r="S15" s="3667"/>
      <c r="T15" s="3667"/>
      <c r="U15" s="3667"/>
      <c r="V15" s="3667"/>
      <c r="W15" s="3667"/>
      <c r="X15" s="3667"/>
      <c r="Y15" s="3667"/>
      <c r="Z15" s="3667"/>
      <c r="AA15" s="1337"/>
      <c r="AB15" s="3744">
        <v>0</v>
      </c>
      <c r="AC15" s="3745"/>
      <c r="AD15" s="3746"/>
      <c r="AE15" s="1271"/>
      <c r="AF15" s="1272"/>
      <c r="AG15" s="1262"/>
      <c r="AH15" s="1262"/>
      <c r="AI15" s="1262"/>
      <c r="AJ15" s="1262"/>
      <c r="AK15" s="1262"/>
      <c r="AL15" s="1262"/>
      <c r="AM15" s="1262"/>
      <c r="AN15" s="1262"/>
      <c r="AO15" s="1262"/>
      <c r="AP15" s="1262"/>
      <c r="AQ15" s="1262"/>
      <c r="AR15" s="1262"/>
      <c r="AS15" s="1262"/>
      <c r="AT15" s="1262"/>
      <c r="AU15" s="1262"/>
      <c r="AV15" s="1262"/>
      <c r="AW15" s="1262"/>
      <c r="AX15" s="1262"/>
      <c r="AY15" s="1262"/>
      <c r="AZ15" s="1262"/>
    </row>
    <row r="16" spans="1:53" ht="5.0999999999999996" customHeight="1" thickBot="1">
      <c r="A16" s="1262"/>
      <c r="B16" s="1303"/>
      <c r="C16" s="1327"/>
      <c r="D16" s="1327"/>
      <c r="E16" s="1327"/>
      <c r="F16" s="1327"/>
      <c r="G16" s="1327"/>
      <c r="H16" s="1327"/>
      <c r="I16" s="1327"/>
      <c r="J16" s="1327"/>
      <c r="K16" s="1327"/>
      <c r="L16" s="1327"/>
      <c r="M16" s="1327"/>
      <c r="N16" s="1327"/>
      <c r="O16" s="1327"/>
      <c r="P16" s="1327"/>
      <c r="Q16" s="1327"/>
      <c r="R16" s="1327"/>
      <c r="S16" s="1327"/>
      <c r="T16" s="1327"/>
      <c r="U16" s="1327"/>
      <c r="V16" s="1327"/>
      <c r="W16" s="1327"/>
      <c r="X16" s="1327"/>
      <c r="Y16" s="1327"/>
      <c r="Z16" s="1327"/>
      <c r="AA16" s="1327"/>
      <c r="AB16" s="1327"/>
      <c r="AC16" s="1327"/>
      <c r="AD16" s="1327"/>
      <c r="AE16" s="1327"/>
      <c r="AF16" s="1277"/>
      <c r="AG16" s="1262"/>
      <c r="AH16" s="1262"/>
      <c r="AI16" s="1262"/>
      <c r="AJ16" s="1262"/>
      <c r="AK16" s="1262"/>
      <c r="AL16" s="1262"/>
      <c r="AM16" s="1262"/>
      <c r="AN16" s="1262"/>
      <c r="AO16" s="1262"/>
      <c r="AP16" s="1262"/>
      <c r="AQ16" s="1262"/>
      <c r="AR16" s="1262"/>
      <c r="AS16" s="1262"/>
      <c r="AT16" s="1262"/>
      <c r="AU16" s="1262"/>
      <c r="AV16" s="1262"/>
      <c r="AW16" s="1262"/>
      <c r="AX16" s="1262"/>
      <c r="AY16" s="1262"/>
      <c r="AZ16" s="1262"/>
    </row>
    <row r="17" spans="1:53" ht="30" customHeight="1" thickBot="1">
      <c r="A17" s="1262"/>
      <c r="B17" s="1269"/>
      <c r="C17" s="1326" t="s">
        <v>50</v>
      </c>
      <c r="D17" s="3667" t="s">
        <v>1493</v>
      </c>
      <c r="E17" s="3667"/>
      <c r="F17" s="3667"/>
      <c r="G17" s="3667"/>
      <c r="H17" s="3667"/>
      <c r="I17" s="3667"/>
      <c r="J17" s="3667"/>
      <c r="K17" s="3667"/>
      <c r="L17" s="3667"/>
      <c r="M17" s="3667"/>
      <c r="N17" s="3667"/>
      <c r="O17" s="3667"/>
      <c r="P17" s="3667"/>
      <c r="Q17" s="3667"/>
      <c r="R17" s="3667"/>
      <c r="S17" s="3667"/>
      <c r="T17" s="3667"/>
      <c r="U17" s="3667"/>
      <c r="V17" s="3667"/>
      <c r="W17" s="3667"/>
      <c r="X17" s="3667"/>
      <c r="Y17" s="3667"/>
      <c r="Z17" s="3667"/>
      <c r="AA17" s="1337"/>
      <c r="AB17" s="3744">
        <v>0</v>
      </c>
      <c r="AC17" s="3745"/>
      <c r="AD17" s="3746"/>
      <c r="AE17" s="1271"/>
      <c r="AF17" s="1272"/>
      <c r="AG17" s="1262"/>
      <c r="AH17" s="1262"/>
      <c r="AI17" s="1262"/>
      <c r="AJ17" s="1262"/>
      <c r="AK17" s="1262"/>
      <c r="AL17" s="1262"/>
      <c r="AM17" s="1262"/>
      <c r="AN17" s="1262"/>
      <c r="AO17" s="1262"/>
      <c r="AP17" s="1262"/>
      <c r="AQ17" s="1262"/>
      <c r="AR17" s="1262"/>
      <c r="AS17" s="1262"/>
      <c r="AT17" s="1262"/>
      <c r="AU17" s="1262"/>
      <c r="AV17" s="1262"/>
      <c r="AW17" s="1262"/>
      <c r="AX17" s="1262"/>
      <c r="AY17" s="1262"/>
      <c r="AZ17" s="1262"/>
    </row>
    <row r="18" spans="1:53" ht="5.0999999999999996" customHeight="1" thickBot="1">
      <c r="A18" s="1262"/>
      <c r="B18" s="1303"/>
      <c r="C18" s="1327"/>
      <c r="D18" s="1327"/>
      <c r="E18" s="1327"/>
      <c r="F18" s="1327"/>
      <c r="G18" s="1327"/>
      <c r="H18" s="1327"/>
      <c r="I18" s="1327"/>
      <c r="J18" s="1327"/>
      <c r="K18" s="1327"/>
      <c r="L18" s="1327"/>
      <c r="M18" s="1327"/>
      <c r="N18" s="1327"/>
      <c r="O18" s="1327"/>
      <c r="P18" s="1327"/>
      <c r="Q18" s="1327"/>
      <c r="R18" s="1327"/>
      <c r="S18" s="1327"/>
      <c r="T18" s="1327"/>
      <c r="U18" s="1327"/>
      <c r="V18" s="1327"/>
      <c r="W18" s="1327"/>
      <c r="X18" s="1327"/>
      <c r="Y18" s="1327"/>
      <c r="Z18" s="1327"/>
      <c r="AA18" s="1327"/>
      <c r="AB18" s="1327"/>
      <c r="AC18" s="1327"/>
      <c r="AD18" s="1327"/>
      <c r="AE18" s="1327"/>
      <c r="AF18" s="1277"/>
      <c r="AG18" s="1262"/>
      <c r="AH18" s="1262"/>
      <c r="AI18" s="1262"/>
      <c r="AJ18" s="1262"/>
      <c r="AK18" s="1262"/>
      <c r="AL18" s="1262"/>
      <c r="AM18" s="1262"/>
      <c r="AN18" s="1262"/>
      <c r="AO18" s="1262"/>
      <c r="AP18" s="1262"/>
      <c r="AQ18" s="1262"/>
      <c r="AR18" s="1262"/>
      <c r="AS18" s="1262"/>
      <c r="AT18" s="1262"/>
      <c r="AU18" s="1262"/>
      <c r="AV18" s="1262"/>
      <c r="AW18" s="1262"/>
      <c r="AX18" s="1262"/>
      <c r="AY18" s="1262"/>
      <c r="AZ18" s="1262"/>
    </row>
    <row r="19" spans="1:53" ht="30" customHeight="1" thickBot="1">
      <c r="A19" s="1262"/>
      <c r="B19" s="1269"/>
      <c r="C19" s="1326" t="s">
        <v>51</v>
      </c>
      <c r="D19" s="3667" t="s">
        <v>1494</v>
      </c>
      <c r="E19" s="3667"/>
      <c r="F19" s="3667"/>
      <c r="G19" s="3667"/>
      <c r="H19" s="3667"/>
      <c r="I19" s="3667"/>
      <c r="J19" s="3667"/>
      <c r="K19" s="3667"/>
      <c r="L19" s="3667"/>
      <c r="M19" s="3667"/>
      <c r="N19" s="3667"/>
      <c r="O19" s="3667"/>
      <c r="P19" s="3667"/>
      <c r="Q19" s="3667"/>
      <c r="R19" s="3667"/>
      <c r="S19" s="3667"/>
      <c r="T19" s="3667"/>
      <c r="U19" s="3667"/>
      <c r="V19" s="3667"/>
      <c r="W19" s="3667"/>
      <c r="X19" s="3667"/>
      <c r="Y19" s="3667"/>
      <c r="Z19" s="3667"/>
      <c r="AA19" s="1337"/>
      <c r="AB19" s="3744">
        <v>0</v>
      </c>
      <c r="AC19" s="3745"/>
      <c r="AD19" s="3746"/>
      <c r="AE19" s="1271"/>
      <c r="AF19" s="1272"/>
      <c r="AG19" s="1262"/>
      <c r="AH19" s="1262"/>
      <c r="AI19" s="1262"/>
      <c r="AJ19" s="1262"/>
      <c r="AK19" s="1262"/>
      <c r="AL19" s="1262"/>
      <c r="AM19" s="1262"/>
      <c r="AN19" s="1262"/>
      <c r="AO19" s="1262"/>
      <c r="AP19" s="1262"/>
      <c r="AQ19" s="1262"/>
      <c r="AR19" s="1262"/>
      <c r="AS19" s="1262"/>
      <c r="AT19" s="1262"/>
      <c r="AU19" s="1262"/>
      <c r="AV19" s="1262"/>
      <c r="AW19" s="1262"/>
      <c r="AX19" s="1262"/>
      <c r="AY19" s="1262"/>
      <c r="AZ19" s="1262"/>
    </row>
    <row r="20" spans="1:53" ht="5.0999999999999996" customHeight="1">
      <c r="A20" s="1262"/>
      <c r="B20" s="1303"/>
      <c r="C20" s="1327"/>
      <c r="D20" s="1327"/>
      <c r="E20" s="1327"/>
      <c r="F20" s="1327"/>
      <c r="G20" s="1327"/>
      <c r="H20" s="1327"/>
      <c r="I20" s="1327"/>
      <c r="J20" s="1327"/>
      <c r="K20" s="1327"/>
      <c r="L20" s="1327"/>
      <c r="M20" s="1327"/>
      <c r="N20" s="1327"/>
      <c r="O20" s="1327"/>
      <c r="P20" s="1327"/>
      <c r="Q20" s="1327"/>
      <c r="R20" s="1327"/>
      <c r="S20" s="1327"/>
      <c r="T20" s="1327"/>
      <c r="U20" s="1327"/>
      <c r="V20" s="1327"/>
      <c r="W20" s="1327"/>
      <c r="X20" s="1327"/>
      <c r="Y20" s="1327"/>
      <c r="Z20" s="1327"/>
      <c r="AA20" s="1327"/>
      <c r="AB20" s="1327"/>
      <c r="AC20" s="1327"/>
      <c r="AD20" s="1327"/>
      <c r="AE20" s="1327"/>
      <c r="AF20" s="1277"/>
      <c r="AG20" s="1262"/>
      <c r="AH20" s="1262"/>
      <c r="AI20" s="1262"/>
      <c r="AJ20" s="1262"/>
      <c r="AK20" s="1262"/>
      <c r="AL20" s="1262"/>
      <c r="AM20" s="1262"/>
      <c r="AN20" s="1262"/>
      <c r="AO20" s="1262"/>
      <c r="AP20" s="1262"/>
      <c r="AQ20" s="1262"/>
      <c r="AR20" s="1262"/>
      <c r="AS20" s="1262"/>
      <c r="AT20" s="1262"/>
      <c r="AU20" s="1262"/>
      <c r="AV20" s="1262"/>
      <c r="AW20" s="1262"/>
      <c r="AX20" s="1262"/>
      <c r="AY20" s="1262"/>
      <c r="AZ20" s="1262"/>
    </row>
    <row r="21" spans="1:53">
      <c r="A21" s="1262"/>
      <c r="B21" s="1269"/>
      <c r="C21" s="1301" t="s">
        <v>52</v>
      </c>
      <c r="D21" s="3666" t="s">
        <v>1860</v>
      </c>
      <c r="E21" s="3666"/>
      <c r="F21" s="3666"/>
      <c r="G21" s="3666"/>
      <c r="H21" s="3666"/>
      <c r="I21" s="3666"/>
      <c r="J21" s="3666"/>
      <c r="K21" s="3666"/>
      <c r="L21" s="3666"/>
      <c r="M21" s="3666"/>
      <c r="N21" s="3666"/>
      <c r="O21" s="3666"/>
      <c r="P21" s="3666"/>
      <c r="Q21" s="3666"/>
      <c r="R21" s="3666"/>
      <c r="S21" s="3666"/>
      <c r="T21" s="3666"/>
      <c r="U21" s="3666"/>
      <c r="V21" s="3666"/>
      <c r="W21" s="3666"/>
      <c r="X21" s="3666"/>
      <c r="Y21" s="3666"/>
      <c r="Z21" s="3666"/>
      <c r="AA21" s="3666"/>
      <c r="AB21" s="3666"/>
      <c r="AC21" s="3666"/>
      <c r="AD21" s="3666"/>
      <c r="AE21" s="1271"/>
      <c r="AF21" s="1272"/>
      <c r="AG21" s="1262"/>
      <c r="AH21" s="1262"/>
      <c r="AI21" s="1262"/>
      <c r="AJ21" s="1262"/>
      <c r="AK21" s="1262"/>
      <c r="AL21" s="1262"/>
      <c r="AM21" s="1262"/>
      <c r="AN21" s="1262"/>
      <c r="AO21" s="1262"/>
      <c r="AP21" s="1262"/>
      <c r="AQ21" s="1262"/>
      <c r="AR21" s="1262"/>
      <c r="AS21" s="1262"/>
      <c r="AT21" s="1262"/>
      <c r="AU21" s="1262"/>
      <c r="AV21" s="1262"/>
      <c r="AW21" s="1262"/>
      <c r="AX21" s="1262"/>
      <c r="AY21" s="1262"/>
      <c r="AZ21" s="1262"/>
    </row>
    <row r="22" spans="1:53" ht="19.5">
      <c r="A22" s="1262"/>
      <c r="B22" s="1269"/>
      <c r="C22" s="1301"/>
      <c r="D22" s="1262"/>
      <c r="E22" s="1262"/>
      <c r="F22" s="1262"/>
      <c r="G22" s="1340" t="b">
        <v>0</v>
      </c>
      <c r="H22" s="1324" t="s">
        <v>1495</v>
      </c>
      <c r="I22" s="1325"/>
      <c r="J22" s="1325"/>
      <c r="K22" s="1325"/>
      <c r="L22" s="1262"/>
      <c r="M22" s="1262"/>
      <c r="N22" s="1321"/>
      <c r="O22" s="1324"/>
      <c r="P22" s="1262"/>
      <c r="Q22" s="1262"/>
      <c r="R22" s="1262"/>
      <c r="S22" s="1340" t="b">
        <v>0</v>
      </c>
      <c r="T22" s="1324" t="s">
        <v>1498</v>
      </c>
      <c r="U22" s="1325"/>
      <c r="V22" s="1325"/>
      <c r="W22" s="625"/>
      <c r="X22" s="874"/>
      <c r="Y22" s="757"/>
      <c r="Z22" s="1325"/>
      <c r="AA22" s="1262"/>
      <c r="AB22" s="1262"/>
      <c r="AC22" s="1347"/>
      <c r="AD22" s="1347"/>
      <c r="AE22" s="1271"/>
      <c r="AF22" s="1272"/>
      <c r="AG22" s="1262"/>
      <c r="AH22" s="1262"/>
      <c r="AI22" s="1262"/>
      <c r="AJ22" s="1262"/>
      <c r="AK22" s="1262"/>
      <c r="AL22" s="1262"/>
      <c r="AM22" s="1262"/>
      <c r="AN22" s="1262"/>
      <c r="AO22" s="1262"/>
      <c r="AP22" s="1262"/>
      <c r="AQ22" s="1262"/>
      <c r="AR22" s="1262"/>
      <c r="AS22" s="1262"/>
      <c r="AT22" s="1262"/>
      <c r="AU22" s="1262"/>
      <c r="AV22" s="1262"/>
      <c r="AW22" s="1262"/>
      <c r="AX22" s="1262"/>
      <c r="AY22" s="1262"/>
      <c r="AZ22" s="1262"/>
    </row>
    <row r="23" spans="1:53" ht="19.5">
      <c r="A23" s="1262"/>
      <c r="B23" s="1269"/>
      <c r="C23" s="1301"/>
      <c r="D23" s="1262"/>
      <c r="E23" s="1262"/>
      <c r="F23" s="1262"/>
      <c r="G23" s="1340" t="b">
        <v>0</v>
      </c>
      <c r="H23" s="1324" t="s">
        <v>1496</v>
      </c>
      <c r="I23" s="1325"/>
      <c r="J23" s="1325"/>
      <c r="K23" s="1325"/>
      <c r="L23" s="1262"/>
      <c r="M23" s="1262"/>
      <c r="N23" s="1321"/>
      <c r="O23" s="757"/>
      <c r="P23" s="1262"/>
      <c r="Q23" s="1262"/>
      <c r="R23" s="1262"/>
      <c r="S23" s="1340" t="b">
        <v>0</v>
      </c>
      <c r="T23" s="757" t="s">
        <v>1021</v>
      </c>
      <c r="U23" s="1325"/>
      <c r="V23" s="1262"/>
      <c r="W23" s="1262"/>
      <c r="X23" s="3747"/>
      <c r="Y23" s="3747"/>
      <c r="Z23" s="3747"/>
      <c r="AA23" s="3747"/>
      <c r="AB23" s="3747"/>
      <c r="AC23" s="3747"/>
      <c r="AD23" s="3747"/>
      <c r="AE23" s="1271"/>
      <c r="AF23" s="1272"/>
      <c r="AG23" s="1262"/>
      <c r="AH23" s="1262"/>
      <c r="AI23" s="1262"/>
      <c r="AJ23" s="1262"/>
      <c r="AK23" s="1262"/>
      <c r="AL23" s="1262"/>
      <c r="AM23" s="1262"/>
      <c r="AN23" s="1262"/>
      <c r="AO23" s="1262"/>
      <c r="AP23" s="1262"/>
      <c r="AQ23" s="1262"/>
      <c r="AR23" s="1262"/>
      <c r="AS23" s="1262"/>
      <c r="AT23" s="1262"/>
      <c r="AU23" s="1262"/>
      <c r="AV23" s="1262"/>
      <c r="AW23" s="1262"/>
      <c r="AX23" s="1262"/>
      <c r="AY23" s="1262"/>
      <c r="AZ23" s="1262"/>
    </row>
    <row r="24" spans="1:53" ht="19.5">
      <c r="A24" s="1262"/>
      <c r="B24" s="1269"/>
      <c r="C24" s="1301"/>
      <c r="D24" s="1262"/>
      <c r="E24" s="1262"/>
      <c r="F24" s="1262"/>
      <c r="G24" s="1340" t="b">
        <v>0</v>
      </c>
      <c r="H24" s="1324" t="s">
        <v>1497</v>
      </c>
      <c r="I24" s="1325"/>
      <c r="J24" s="1325"/>
      <c r="K24" s="1325"/>
      <c r="L24" s="1262"/>
      <c r="M24" s="1262"/>
      <c r="N24" s="1321"/>
      <c r="O24" s="1324"/>
      <c r="P24" s="1325"/>
      <c r="Q24" s="1325"/>
      <c r="R24" s="1325"/>
      <c r="S24" s="1321"/>
      <c r="T24" s="1324"/>
      <c r="U24" s="1325"/>
      <c r="V24" s="1321"/>
      <c r="W24" s="1262"/>
      <c r="X24" s="1749" t="str">
        <f>IF(AND(safelearn_facilities_structural_hazard_mit_others=TRUE,ISBLANK(safelearn_facilities_structural_hazard_mit_others_specify)),"Please specify.",IF(AND(safelearn_facilities_structural_hazard_mit_others=FALSE,safelearn_facilities_structural_hazard_mit_others_specify&gt;0),"Please check Others if you have entries.",""))</f>
        <v/>
      </c>
      <c r="Y24" s="1262"/>
      <c r="Z24" s="1262"/>
      <c r="AA24" s="1262"/>
      <c r="AB24" s="1262"/>
      <c r="AC24" s="1325"/>
      <c r="AD24" s="1325"/>
      <c r="AE24" s="1271"/>
      <c r="AF24" s="1272"/>
      <c r="AG24" s="1262"/>
      <c r="AH24" s="1262"/>
      <c r="AI24" s="1262"/>
      <c r="AJ24" s="1262"/>
      <c r="AK24" s="1262"/>
      <c r="AL24" s="1262"/>
      <c r="AM24" s="1262"/>
      <c r="AN24" s="1262"/>
      <c r="AO24" s="1262"/>
      <c r="AP24" s="1262"/>
      <c r="AQ24" s="1262"/>
      <c r="AR24" s="1262"/>
      <c r="AS24" s="1262"/>
      <c r="AT24" s="1262"/>
      <c r="AU24" s="1262"/>
      <c r="AV24" s="1262"/>
      <c r="AW24" s="1262"/>
      <c r="AX24" s="1262"/>
      <c r="AY24" s="1262"/>
      <c r="AZ24" s="1262"/>
    </row>
    <row r="25" spans="1:53">
      <c r="A25" s="1262"/>
      <c r="B25" s="1269"/>
      <c r="C25" s="1301" t="s">
        <v>53</v>
      </c>
      <c r="D25" s="3666" t="s">
        <v>1861</v>
      </c>
      <c r="E25" s="3666"/>
      <c r="F25" s="3666"/>
      <c r="G25" s="3666"/>
      <c r="H25" s="3666"/>
      <c r="I25" s="3666"/>
      <c r="J25" s="3666"/>
      <c r="K25" s="3666"/>
      <c r="L25" s="3666"/>
      <c r="M25" s="3666"/>
      <c r="N25" s="3666"/>
      <c r="O25" s="3666"/>
      <c r="P25" s="3666"/>
      <c r="Q25" s="3666"/>
      <c r="R25" s="3666"/>
      <c r="S25" s="3666"/>
      <c r="T25" s="3666"/>
      <c r="U25" s="3666"/>
      <c r="V25" s="3666"/>
      <c r="W25" s="3666"/>
      <c r="X25" s="3666"/>
      <c r="Y25" s="3666"/>
      <c r="Z25" s="3666"/>
      <c r="AA25" s="3666"/>
      <c r="AB25" s="3666"/>
      <c r="AC25" s="3666"/>
      <c r="AD25" s="3666"/>
      <c r="AE25" s="1271"/>
      <c r="AF25" s="1272"/>
      <c r="AG25" s="1262"/>
      <c r="AH25" s="1262"/>
      <c r="AI25" s="1262"/>
      <c r="AJ25" s="1262"/>
      <c r="AK25" s="1262"/>
      <c r="AL25" s="1262"/>
      <c r="AM25" s="1262"/>
      <c r="AN25" s="1262"/>
      <c r="AO25" s="1262"/>
      <c r="AP25" s="1262"/>
      <c r="AQ25" s="1262"/>
      <c r="AR25" s="1262"/>
      <c r="AS25" s="1262"/>
      <c r="AT25" s="1262"/>
      <c r="AU25" s="1262"/>
      <c r="AV25" s="1262"/>
      <c r="AW25" s="1262"/>
      <c r="AX25" s="1262"/>
      <c r="AY25" s="1262"/>
      <c r="AZ25" s="1262"/>
    </row>
    <row r="26" spans="1:53" ht="19.5">
      <c r="A26" s="1262"/>
      <c r="B26" s="1269"/>
      <c r="C26" s="1301"/>
      <c r="D26" s="1262"/>
      <c r="E26" s="1262"/>
      <c r="F26" s="1262"/>
      <c r="G26" s="1340" t="b">
        <v>0</v>
      </c>
      <c r="H26" s="1324" t="s">
        <v>1499</v>
      </c>
      <c r="I26" s="1325"/>
      <c r="J26" s="1325"/>
      <c r="K26" s="1325"/>
      <c r="L26" s="1262"/>
      <c r="M26" s="1262"/>
      <c r="N26" s="1262"/>
      <c r="O26" s="1262"/>
      <c r="P26" s="1262"/>
      <c r="Q26" s="1262"/>
      <c r="R26" s="1262"/>
      <c r="S26" s="1340" t="b">
        <v>0</v>
      </c>
      <c r="T26" s="1324" t="s">
        <v>1502</v>
      </c>
      <c r="U26" s="1325"/>
      <c r="V26" s="1325"/>
      <c r="W26" s="625"/>
      <c r="X26" s="1348"/>
      <c r="Y26" s="757"/>
      <c r="Z26" s="1325"/>
      <c r="AA26" s="1262"/>
      <c r="AB26" s="1262"/>
      <c r="AC26" s="1347"/>
      <c r="AD26" s="1347"/>
      <c r="AE26" s="1271"/>
      <c r="AF26" s="1272"/>
      <c r="AG26" s="1262"/>
      <c r="AH26" s="1262"/>
      <c r="AI26" s="1262"/>
      <c r="AJ26" s="1262"/>
      <c r="AK26" s="1262"/>
      <c r="AL26" s="1262"/>
      <c r="AM26" s="1262"/>
      <c r="AN26" s="1262"/>
      <c r="AO26" s="1262"/>
      <c r="AP26" s="1262"/>
      <c r="AQ26" s="1262"/>
      <c r="AR26" s="1262"/>
      <c r="AS26" s="1262"/>
      <c r="AT26" s="1262"/>
      <c r="AU26" s="1262"/>
      <c r="AV26" s="1262"/>
      <c r="AW26" s="1262"/>
      <c r="AX26" s="1262"/>
      <c r="AY26" s="1262"/>
      <c r="AZ26" s="1262"/>
    </row>
    <row r="27" spans="1:53" ht="19.5">
      <c r="A27" s="1262"/>
      <c r="B27" s="1269"/>
      <c r="C27" s="1301"/>
      <c r="D27" s="1262"/>
      <c r="E27" s="1262"/>
      <c r="F27" s="1262"/>
      <c r="G27" s="1340" t="b">
        <v>0</v>
      </c>
      <c r="H27" s="1324" t="s">
        <v>1500</v>
      </c>
      <c r="I27" s="1325"/>
      <c r="J27" s="1325"/>
      <c r="K27" s="1325"/>
      <c r="L27" s="1262"/>
      <c r="M27" s="1262"/>
      <c r="N27" s="1262"/>
      <c r="O27" s="1262"/>
      <c r="P27" s="1262"/>
      <c r="Q27" s="1262"/>
      <c r="R27" s="1262"/>
      <c r="S27" s="1340" t="b">
        <v>0</v>
      </c>
      <c r="T27" s="757" t="s">
        <v>1021</v>
      </c>
      <c r="U27" s="1325"/>
      <c r="V27" s="1262"/>
      <c r="W27" s="1262"/>
      <c r="X27" s="3747"/>
      <c r="Y27" s="3747"/>
      <c r="Z27" s="3747"/>
      <c r="AA27" s="3747"/>
      <c r="AB27" s="3747"/>
      <c r="AC27" s="3747"/>
      <c r="AD27" s="3747"/>
      <c r="AE27" s="1271"/>
      <c r="AF27" s="1272"/>
      <c r="AG27" s="1262"/>
      <c r="AH27" s="1262"/>
      <c r="AI27" s="1262"/>
      <c r="AJ27" s="1262"/>
      <c r="AK27" s="1262"/>
      <c r="AL27" s="1262"/>
      <c r="AM27" s="1262"/>
      <c r="AN27" s="1262"/>
      <c r="AO27" s="1262"/>
      <c r="AP27" s="1262"/>
      <c r="AQ27" s="1262"/>
      <c r="AR27" s="1262"/>
      <c r="AS27" s="1262"/>
      <c r="AT27" s="1262"/>
      <c r="AU27" s="1262"/>
      <c r="AV27" s="1262"/>
      <c r="AW27" s="1262"/>
      <c r="AX27" s="1262"/>
      <c r="AY27" s="1262"/>
      <c r="AZ27" s="1262"/>
    </row>
    <row r="28" spans="1:53" ht="19.5">
      <c r="A28" s="1262"/>
      <c r="B28" s="1269"/>
      <c r="C28" s="1301"/>
      <c r="D28" s="1262"/>
      <c r="E28" s="1262"/>
      <c r="F28" s="1262"/>
      <c r="G28" s="1340" t="b">
        <v>0</v>
      </c>
      <c r="H28" s="1324" t="s">
        <v>1501</v>
      </c>
      <c r="I28" s="1325"/>
      <c r="J28" s="1325"/>
      <c r="K28" s="1325"/>
      <c r="L28" s="1262"/>
      <c r="M28" s="1262"/>
      <c r="N28" s="1262"/>
      <c r="O28" s="1262"/>
      <c r="P28" s="1321"/>
      <c r="Q28" s="1324"/>
      <c r="R28" s="1325"/>
      <c r="S28" s="1321"/>
      <c r="T28" s="1324"/>
      <c r="U28" s="1325"/>
      <c r="V28" s="1321"/>
      <c r="W28" s="1262"/>
      <c r="X28" s="1749" t="str">
        <f>IF(AND(safelearn_facilities_nonstructural_hazard_mit_others=TRUE,ISBLANK(safelearn_facilities_nonstructural_hazard_mit_others_specify)),"Please specify.",IF(AND(safelearn_facilities_nonstructural_hazard_mit_others=FALSE,safelearn_facilities_nonstructural_hazard_mit_others_specify&gt;0),"Please check Others if you have entries.",""))</f>
        <v/>
      </c>
      <c r="Y28" s="1262"/>
      <c r="Z28" s="1262"/>
      <c r="AA28" s="1262"/>
      <c r="AB28" s="1262"/>
      <c r="AC28" s="1325"/>
      <c r="AD28" s="1325"/>
      <c r="AE28" s="1271"/>
      <c r="AF28" s="1272"/>
      <c r="AG28" s="1262"/>
      <c r="AH28" s="1262"/>
      <c r="AI28" s="1262"/>
      <c r="AJ28" s="1262"/>
      <c r="AK28" s="1262"/>
      <c r="AL28" s="1262"/>
      <c r="AM28" s="1262"/>
      <c r="AN28" s="1262"/>
      <c r="AO28" s="1262"/>
      <c r="AP28" s="1262"/>
      <c r="AQ28" s="1262"/>
      <c r="AR28" s="1262"/>
      <c r="AS28" s="1262"/>
      <c r="AT28" s="1262"/>
      <c r="AU28" s="1262"/>
      <c r="AV28" s="1262"/>
      <c r="AW28" s="1262"/>
      <c r="AX28" s="1262"/>
      <c r="AY28" s="1262"/>
      <c r="AZ28" s="1262"/>
    </row>
    <row r="29" spans="1:53" s="177" customFormat="1" ht="24.75" customHeight="1">
      <c r="A29" s="1319"/>
      <c r="B29" s="1320"/>
      <c r="C29" s="1326" t="s">
        <v>54</v>
      </c>
      <c r="D29" s="1340" t="b">
        <v>0</v>
      </c>
      <c r="E29" s="3708" t="s">
        <v>1503</v>
      </c>
      <c r="F29" s="3708"/>
      <c r="G29" s="3708"/>
      <c r="H29" s="3708"/>
      <c r="I29" s="3708"/>
      <c r="J29" s="3708"/>
      <c r="K29" s="3708"/>
      <c r="L29" s="3708"/>
      <c r="M29" s="3708"/>
      <c r="N29" s="3708"/>
      <c r="O29" s="3708"/>
      <c r="P29" s="3708"/>
      <c r="Q29" s="3708"/>
      <c r="R29" s="3708"/>
      <c r="S29" s="3708"/>
      <c r="T29" s="3708"/>
      <c r="U29" s="3708"/>
      <c r="V29" s="3708"/>
      <c r="W29" s="3708"/>
      <c r="X29" s="3708"/>
      <c r="Y29" s="3708"/>
      <c r="Z29" s="3708"/>
      <c r="AA29" s="3708"/>
      <c r="AB29" s="3708"/>
      <c r="AC29" s="3708"/>
      <c r="AD29" s="3708"/>
      <c r="AE29" s="1322"/>
      <c r="AF29" s="1323"/>
      <c r="AG29" s="1322"/>
      <c r="AH29" s="1322"/>
      <c r="AI29" s="1322"/>
      <c r="AJ29" s="1322"/>
      <c r="AK29" s="1322"/>
      <c r="AL29" s="1322"/>
      <c r="AM29" s="1322"/>
      <c r="AN29" s="1322"/>
      <c r="AO29" s="1322"/>
      <c r="AP29" s="1319"/>
      <c r="AQ29" s="1319"/>
      <c r="AR29" s="1319"/>
      <c r="AS29" s="1319"/>
      <c r="AT29" s="1319"/>
      <c r="AU29" s="1319"/>
      <c r="AV29" s="1319"/>
      <c r="AW29" s="1319"/>
      <c r="AX29" s="1319"/>
      <c r="AY29" s="1319"/>
      <c r="AZ29" s="1319"/>
      <c r="BA29" s="1319"/>
    </row>
    <row r="30" spans="1:53" s="177" customFormat="1" ht="24.75" customHeight="1">
      <c r="A30" s="1319"/>
      <c r="B30" s="1320"/>
      <c r="C30" s="1326" t="s">
        <v>55</v>
      </c>
      <c r="D30" s="1340" t="b">
        <v>1</v>
      </c>
      <c r="E30" s="3708" t="s">
        <v>1504</v>
      </c>
      <c r="F30" s="3708"/>
      <c r="G30" s="3708"/>
      <c r="H30" s="3708"/>
      <c r="I30" s="3708"/>
      <c r="J30" s="3708"/>
      <c r="K30" s="3708"/>
      <c r="L30" s="3708"/>
      <c r="M30" s="3708"/>
      <c r="N30" s="3708"/>
      <c r="O30" s="3708"/>
      <c r="P30" s="3708"/>
      <c r="Q30" s="3708"/>
      <c r="R30" s="3708"/>
      <c r="S30" s="3708"/>
      <c r="T30" s="3708"/>
      <c r="U30" s="3708"/>
      <c r="V30" s="3708"/>
      <c r="W30" s="3708"/>
      <c r="X30" s="3708"/>
      <c r="Y30" s="3708"/>
      <c r="Z30" s="3708"/>
      <c r="AA30" s="3708"/>
      <c r="AB30" s="3708"/>
      <c r="AC30" s="3708"/>
      <c r="AD30" s="3708"/>
      <c r="AE30" s="1322"/>
      <c r="AF30" s="1323"/>
      <c r="AG30" s="1322"/>
      <c r="AH30" s="1322"/>
      <c r="AI30" s="1322"/>
      <c r="AJ30" s="1322"/>
      <c r="AK30" s="1322"/>
      <c r="AL30" s="1322"/>
      <c r="AM30" s="1322"/>
      <c r="AN30" s="1322"/>
      <c r="AO30" s="1322"/>
      <c r="AP30" s="1319"/>
      <c r="AQ30" s="1319"/>
      <c r="AR30" s="1319"/>
      <c r="AS30" s="1319"/>
      <c r="AT30" s="1319"/>
      <c r="AU30" s="1319"/>
      <c r="AV30" s="1319"/>
      <c r="AW30" s="1319"/>
      <c r="AX30" s="1319"/>
      <c r="AY30" s="1319"/>
      <c r="AZ30" s="1319"/>
      <c r="BA30" s="1319"/>
    </row>
    <row r="31" spans="1:53" s="177" customFormat="1" ht="24.75" customHeight="1">
      <c r="A31" s="1319"/>
      <c r="B31" s="1320"/>
      <c r="C31" s="1326" t="s">
        <v>56</v>
      </c>
      <c r="D31" s="1340" t="b">
        <v>1</v>
      </c>
      <c r="E31" s="3708" t="s">
        <v>1505</v>
      </c>
      <c r="F31" s="3708"/>
      <c r="G31" s="3708"/>
      <c r="H31" s="3708"/>
      <c r="I31" s="3708"/>
      <c r="J31" s="3708"/>
      <c r="K31" s="3708"/>
      <c r="L31" s="3708"/>
      <c r="M31" s="3708"/>
      <c r="N31" s="3708"/>
      <c r="O31" s="3708"/>
      <c r="P31" s="3708"/>
      <c r="Q31" s="3708"/>
      <c r="R31" s="3708"/>
      <c r="S31" s="3708"/>
      <c r="T31" s="3708"/>
      <c r="U31" s="3708"/>
      <c r="V31" s="3708"/>
      <c r="W31" s="3708"/>
      <c r="X31" s="3708"/>
      <c r="Y31" s="3708"/>
      <c r="Z31" s="3708"/>
      <c r="AA31" s="3708"/>
      <c r="AB31" s="3708"/>
      <c r="AC31" s="3708"/>
      <c r="AD31" s="3708"/>
      <c r="AE31" s="1322"/>
      <c r="AF31" s="1323"/>
      <c r="AG31" s="1322"/>
      <c r="AH31" s="1322"/>
      <c r="AI31" s="1322"/>
      <c r="AJ31" s="1322"/>
      <c r="AK31" s="1322"/>
      <c r="AL31" s="1322"/>
      <c r="AM31" s="1322"/>
      <c r="AN31" s="1322"/>
      <c r="AO31" s="1322"/>
      <c r="AP31" s="1319"/>
      <c r="AQ31" s="1319"/>
      <c r="AR31" s="1319"/>
      <c r="AS31" s="1319"/>
      <c r="AT31" s="1319"/>
      <c r="AU31" s="1319"/>
      <c r="AV31" s="1319"/>
      <c r="AW31" s="1319"/>
      <c r="AX31" s="1319"/>
      <c r="AY31" s="1319"/>
      <c r="AZ31" s="1319"/>
      <c r="BA31" s="1319"/>
    </row>
    <row r="32" spans="1:53" ht="5.0999999999999996" customHeight="1">
      <c r="A32" s="1262"/>
      <c r="B32" s="1269"/>
      <c r="C32" s="1301"/>
      <c r="D32" s="1349"/>
      <c r="E32" s="1302"/>
      <c r="F32" s="1302"/>
      <c r="G32" s="1302"/>
      <c r="H32" s="1302"/>
      <c r="I32" s="1302"/>
      <c r="J32" s="1302"/>
      <c r="K32" s="1302"/>
      <c r="L32" s="1302"/>
      <c r="M32" s="1302"/>
      <c r="N32" s="1302"/>
      <c r="O32" s="1302"/>
      <c r="P32" s="1302"/>
      <c r="Q32" s="1302"/>
      <c r="R32" s="1302"/>
      <c r="S32" s="1302"/>
      <c r="T32" s="1302"/>
      <c r="U32" s="1302"/>
      <c r="V32" s="1302"/>
      <c r="W32" s="1302"/>
      <c r="X32" s="1302"/>
      <c r="Y32" s="1302"/>
      <c r="Z32" s="1302"/>
      <c r="AA32" s="1302"/>
      <c r="AB32" s="1302"/>
      <c r="AC32" s="1302"/>
      <c r="AD32" s="1302"/>
      <c r="AE32" s="1271"/>
      <c r="AF32" s="1272"/>
      <c r="AG32" s="1262"/>
      <c r="AH32" s="1262"/>
      <c r="AI32" s="1262"/>
      <c r="AJ32" s="1262"/>
      <c r="AK32" s="1262"/>
      <c r="AL32" s="1262"/>
      <c r="AM32" s="1262"/>
      <c r="AN32" s="1262"/>
      <c r="AO32" s="1262"/>
      <c r="AP32" s="1262"/>
      <c r="AQ32" s="1262"/>
      <c r="AR32" s="1262"/>
      <c r="AS32" s="1262"/>
      <c r="AT32" s="1262"/>
      <c r="AU32" s="1262"/>
      <c r="AV32" s="1262"/>
      <c r="AW32" s="1262"/>
      <c r="AX32" s="1262"/>
      <c r="AY32" s="1262"/>
      <c r="AZ32" s="1262"/>
    </row>
    <row r="33" spans="1:53">
      <c r="A33" s="1262"/>
      <c r="B33" s="1269"/>
      <c r="C33" s="1301" t="s">
        <v>57</v>
      </c>
      <c r="D33" s="3666" t="s">
        <v>1862</v>
      </c>
      <c r="E33" s="3666"/>
      <c r="F33" s="3666"/>
      <c r="G33" s="3666"/>
      <c r="H33" s="3666"/>
      <c r="I33" s="3666"/>
      <c r="J33" s="3666"/>
      <c r="K33" s="3666"/>
      <c r="L33" s="3666"/>
      <c r="M33" s="3666"/>
      <c r="N33" s="3666"/>
      <c r="O33" s="3666"/>
      <c r="P33" s="3666"/>
      <c r="Q33" s="3666"/>
      <c r="R33" s="3666"/>
      <c r="S33" s="3666"/>
      <c r="T33" s="3666"/>
      <c r="U33" s="3666"/>
      <c r="V33" s="3666"/>
      <c r="W33" s="3666"/>
      <c r="X33" s="3666"/>
      <c r="Y33" s="3666"/>
      <c r="Z33" s="3666"/>
      <c r="AA33" s="3666"/>
      <c r="AB33" s="3666"/>
      <c r="AC33" s="3666"/>
      <c r="AD33" s="1302"/>
      <c r="AE33" s="1271"/>
      <c r="AF33" s="1272"/>
      <c r="AG33" s="1262"/>
      <c r="AH33" s="1262"/>
      <c r="AI33" s="1262"/>
      <c r="AJ33" s="1262"/>
      <c r="AK33" s="1262"/>
      <c r="AL33" s="1262"/>
      <c r="AM33" s="1262"/>
      <c r="AN33" s="1262"/>
      <c r="AO33" s="1262"/>
      <c r="AP33" s="1262"/>
      <c r="AQ33" s="1262"/>
      <c r="AR33" s="1262"/>
      <c r="AS33" s="1262"/>
      <c r="AT33" s="1262"/>
      <c r="AU33" s="1262"/>
      <c r="AV33" s="1262"/>
      <c r="AW33" s="1262"/>
      <c r="AX33" s="1262"/>
      <c r="AY33" s="1262"/>
      <c r="AZ33" s="1262"/>
    </row>
    <row r="34" spans="1:53" ht="5.0999999999999996" customHeight="1" thickBot="1">
      <c r="A34" s="1262"/>
      <c r="B34" s="1269"/>
      <c r="C34" s="1301"/>
      <c r="D34" s="1302"/>
      <c r="E34" s="1302"/>
      <c r="F34" s="1302"/>
      <c r="G34" s="1302"/>
      <c r="H34" s="1302"/>
      <c r="I34" s="1302"/>
      <c r="J34" s="1302"/>
      <c r="K34" s="1302"/>
      <c r="L34" s="1302"/>
      <c r="M34" s="1302"/>
      <c r="N34" s="1302"/>
      <c r="O34" s="1302"/>
      <c r="P34" s="1302"/>
      <c r="Q34" s="1302"/>
      <c r="R34" s="1302"/>
      <c r="S34" s="1302"/>
      <c r="T34" s="1302"/>
      <c r="U34" s="1302"/>
      <c r="V34" s="1302"/>
      <c r="W34" s="1302"/>
      <c r="X34" s="1302"/>
      <c r="Y34" s="1302"/>
      <c r="Z34" s="1302"/>
      <c r="AA34" s="1302"/>
      <c r="AB34" s="1302"/>
      <c r="AC34" s="1302"/>
      <c r="AD34" s="1302"/>
      <c r="AE34" s="1271"/>
      <c r="AF34" s="1272"/>
      <c r="AG34" s="1262"/>
      <c r="AH34" s="1262"/>
      <c r="AI34" s="1262"/>
      <c r="AJ34" s="1262"/>
      <c r="AK34" s="1262"/>
      <c r="AL34" s="1262"/>
      <c r="AM34" s="1262"/>
      <c r="AN34" s="1262"/>
      <c r="AO34" s="1262"/>
      <c r="AP34" s="1262"/>
      <c r="AQ34" s="1262"/>
      <c r="AR34" s="1262"/>
      <c r="AS34" s="1262"/>
      <c r="AT34" s="1262"/>
      <c r="AU34" s="1262"/>
      <c r="AV34" s="1262"/>
      <c r="AW34" s="1262"/>
      <c r="AX34" s="1262"/>
      <c r="AY34" s="1262"/>
      <c r="AZ34" s="1262"/>
    </row>
    <row r="35" spans="1:53" s="181" customFormat="1" ht="15.6" customHeight="1" thickTop="1">
      <c r="A35" s="1350"/>
      <c r="B35" s="1303"/>
      <c r="C35" s="1327"/>
      <c r="D35" s="3654" t="s">
        <v>11438</v>
      </c>
      <c r="E35" s="3655"/>
      <c r="F35" s="3655"/>
      <c r="G35" s="3655"/>
      <c r="H35" s="3655"/>
      <c r="I35" s="3655"/>
      <c r="J35" s="3655"/>
      <c r="K35" s="3655"/>
      <c r="L35" s="3658"/>
      <c r="M35" s="3735" t="s">
        <v>835</v>
      </c>
      <c r="N35" s="3735"/>
      <c r="O35" s="3735"/>
      <c r="P35" s="3736" t="s">
        <v>836</v>
      </c>
      <c r="Q35" s="3735"/>
      <c r="R35" s="3737"/>
      <c r="S35" s="3735" t="s">
        <v>837</v>
      </c>
      <c r="T35" s="3735"/>
      <c r="U35" s="3735"/>
      <c r="V35" s="3736" t="s">
        <v>1393</v>
      </c>
      <c r="W35" s="3735"/>
      <c r="X35" s="3737"/>
      <c r="Y35" s="3736" t="s">
        <v>839</v>
      </c>
      <c r="Z35" s="3735"/>
      <c r="AA35" s="3737"/>
      <c r="AB35" s="3735" t="s">
        <v>828</v>
      </c>
      <c r="AC35" s="3735"/>
      <c r="AD35" s="3738"/>
      <c r="AE35" s="1327"/>
      <c r="AF35" s="1277"/>
      <c r="AG35" s="1350"/>
      <c r="AH35" s="1350"/>
      <c r="AI35" s="1350"/>
      <c r="AJ35" s="1350"/>
      <c r="AK35" s="1350"/>
      <c r="AL35" s="1350"/>
      <c r="AM35" s="1350"/>
      <c r="AN35" s="1350"/>
      <c r="AO35" s="1350"/>
      <c r="AP35" s="1350"/>
      <c r="AQ35" s="1350"/>
      <c r="AR35" s="1350"/>
      <c r="AS35" s="1350"/>
      <c r="AT35" s="1350"/>
      <c r="AU35" s="1350"/>
      <c r="AV35" s="1350"/>
      <c r="AW35" s="1350"/>
      <c r="AX35" s="1350"/>
      <c r="AY35" s="1350"/>
      <c r="AZ35" s="1350"/>
      <c r="BA35" s="1350"/>
    </row>
    <row r="36" spans="1:53" s="182" customFormat="1" ht="25.5" customHeight="1">
      <c r="A36" s="1351"/>
      <c r="B36" s="1352"/>
      <c r="C36" s="1353"/>
      <c r="D36" s="3733"/>
      <c r="E36" s="3723"/>
      <c r="F36" s="3723"/>
      <c r="G36" s="3723"/>
      <c r="H36" s="3723"/>
      <c r="I36" s="3723"/>
      <c r="J36" s="3723"/>
      <c r="K36" s="3723"/>
      <c r="L36" s="3734"/>
      <c r="M36" s="3739" t="b">
        <v>0</v>
      </c>
      <c r="N36" s="3739"/>
      <c r="O36" s="3739"/>
      <c r="P36" s="3740" t="b">
        <v>0</v>
      </c>
      <c r="Q36" s="3739"/>
      <c r="R36" s="3741"/>
      <c r="S36" s="3739" t="b">
        <v>0</v>
      </c>
      <c r="T36" s="3739"/>
      <c r="U36" s="3739"/>
      <c r="V36" s="3740" t="b">
        <v>0</v>
      </c>
      <c r="W36" s="3739"/>
      <c r="X36" s="3741"/>
      <c r="Y36" s="3740" t="b">
        <v>0</v>
      </c>
      <c r="Z36" s="3739"/>
      <c r="AA36" s="3741"/>
      <c r="AB36" s="3739" t="b">
        <v>1</v>
      </c>
      <c r="AC36" s="3739"/>
      <c r="AD36" s="3742"/>
      <c r="AE36" s="1353"/>
      <c r="AF36" s="1354"/>
      <c r="AG36" s="1351"/>
      <c r="AH36" s="1351"/>
      <c r="AI36" s="1351"/>
      <c r="AJ36" s="1351"/>
      <c r="AK36" s="1351"/>
      <c r="AL36" s="1351"/>
      <c r="AM36" s="1351"/>
      <c r="AN36" s="1351"/>
      <c r="AO36" s="1351"/>
      <c r="AP36" s="1351"/>
      <c r="AQ36" s="1351"/>
      <c r="AR36" s="1351"/>
      <c r="AS36" s="1351"/>
      <c r="AT36" s="1351"/>
      <c r="AU36" s="1351"/>
      <c r="AV36" s="1351"/>
      <c r="AW36" s="1351"/>
      <c r="AX36" s="1351"/>
      <c r="AY36" s="1351"/>
      <c r="AZ36" s="1351"/>
      <c r="BA36" s="1351"/>
    </row>
    <row r="37" spans="1:53" s="181" customFormat="1">
      <c r="A37" s="1350"/>
      <c r="B37" s="1303"/>
      <c r="C37" s="1327"/>
      <c r="D37" s="3733"/>
      <c r="E37" s="3723"/>
      <c r="F37" s="3723"/>
      <c r="G37" s="3723"/>
      <c r="H37" s="3723"/>
      <c r="I37" s="3723"/>
      <c r="J37" s="3723"/>
      <c r="K37" s="3723"/>
      <c r="L37" s="3734"/>
      <c r="M37" s="3728" t="s">
        <v>829</v>
      </c>
      <c r="N37" s="3728"/>
      <c r="O37" s="3728"/>
      <c r="P37" s="3729" t="s">
        <v>830</v>
      </c>
      <c r="Q37" s="3728"/>
      <c r="R37" s="3730"/>
      <c r="S37" s="3728" t="s">
        <v>831</v>
      </c>
      <c r="T37" s="3728"/>
      <c r="U37" s="3728"/>
      <c r="V37" s="3729" t="s">
        <v>832</v>
      </c>
      <c r="W37" s="3728"/>
      <c r="X37" s="3730"/>
      <c r="Y37" s="3729" t="s">
        <v>833</v>
      </c>
      <c r="Z37" s="3728"/>
      <c r="AA37" s="3730"/>
      <c r="AB37" s="3728" t="s">
        <v>834</v>
      </c>
      <c r="AC37" s="3728"/>
      <c r="AD37" s="3743"/>
      <c r="AE37" s="1327"/>
      <c r="AF37" s="1277"/>
      <c r="AG37" s="1350"/>
      <c r="AH37" s="1350"/>
      <c r="AI37" s="1350"/>
      <c r="AJ37" s="1350"/>
      <c r="AK37" s="1350"/>
      <c r="AL37" s="1350"/>
      <c r="AM37" s="1350"/>
      <c r="AN37" s="1350"/>
      <c r="AO37" s="1350"/>
      <c r="AP37" s="1350"/>
      <c r="AQ37" s="1350"/>
      <c r="AR37" s="1350"/>
      <c r="AS37" s="1350"/>
      <c r="AT37" s="1350"/>
      <c r="AU37" s="1350"/>
      <c r="AV37" s="1350"/>
      <c r="AW37" s="1350"/>
      <c r="AX37" s="1350"/>
      <c r="AY37" s="1350"/>
      <c r="AZ37" s="1350"/>
      <c r="BA37" s="1350"/>
    </row>
    <row r="38" spans="1:53" s="182" customFormat="1" ht="25.5" customHeight="1" thickBot="1">
      <c r="A38" s="1351"/>
      <c r="B38" s="1352"/>
      <c r="C38" s="1353"/>
      <c r="D38" s="3719"/>
      <c r="E38" s="3720"/>
      <c r="F38" s="3720"/>
      <c r="G38" s="3720"/>
      <c r="H38" s="3720"/>
      <c r="I38" s="3720"/>
      <c r="J38" s="3720"/>
      <c r="K38" s="3720"/>
      <c r="L38" s="3721"/>
      <c r="M38" s="3726" t="b">
        <v>1</v>
      </c>
      <c r="N38" s="3726"/>
      <c r="O38" s="3726"/>
      <c r="P38" s="3731" t="b">
        <v>0</v>
      </c>
      <c r="Q38" s="3726"/>
      <c r="R38" s="3732"/>
      <c r="S38" s="3726" t="b">
        <v>0</v>
      </c>
      <c r="T38" s="3726"/>
      <c r="U38" s="3726"/>
      <c r="V38" s="3731" t="b">
        <v>0</v>
      </c>
      <c r="W38" s="3726"/>
      <c r="X38" s="3732"/>
      <c r="Y38" s="3731" t="b">
        <v>0</v>
      </c>
      <c r="Z38" s="3726"/>
      <c r="AA38" s="3732"/>
      <c r="AB38" s="3726" t="b">
        <v>0</v>
      </c>
      <c r="AC38" s="3726"/>
      <c r="AD38" s="3727"/>
      <c r="AE38" s="1353"/>
      <c r="AF38" s="1354"/>
      <c r="AG38" s="1351"/>
      <c r="AH38" s="1351"/>
      <c r="AI38" s="1351"/>
      <c r="AJ38" s="1351"/>
      <c r="AK38" s="1351"/>
      <c r="AL38" s="1351"/>
      <c r="AM38" s="1351"/>
      <c r="AN38" s="1351"/>
      <c r="AO38" s="1351"/>
      <c r="AP38" s="1351"/>
      <c r="AQ38" s="1351"/>
      <c r="AR38" s="1351"/>
      <c r="AS38" s="1351"/>
      <c r="AT38" s="1351"/>
      <c r="AU38" s="1351"/>
      <c r="AV38" s="1351"/>
      <c r="AW38" s="1351"/>
      <c r="AX38" s="1351"/>
      <c r="AY38" s="1351"/>
      <c r="AZ38" s="1351"/>
      <c r="BA38" s="1351"/>
    </row>
    <row r="39" spans="1:53" ht="9.9499999999999993" customHeight="1" thickTop="1" thickBot="1">
      <c r="A39" s="1262"/>
      <c r="B39" s="1310"/>
      <c r="C39" s="1311"/>
      <c r="D39" s="1297"/>
      <c r="E39" s="1312"/>
      <c r="F39" s="1312"/>
      <c r="G39" s="1312"/>
      <c r="H39" s="1312"/>
      <c r="I39" s="1312"/>
      <c r="J39" s="1312"/>
      <c r="K39" s="1313"/>
      <c r="L39" s="1313"/>
      <c r="M39" s="1313"/>
      <c r="N39" s="1313"/>
      <c r="O39" s="1313"/>
      <c r="P39" s="1313"/>
      <c r="Q39" s="1313"/>
      <c r="R39" s="1313"/>
      <c r="S39" s="1313"/>
      <c r="T39" s="1313"/>
      <c r="U39" s="1313"/>
      <c r="V39" s="1313"/>
      <c r="W39" s="1313"/>
      <c r="X39" s="1313"/>
      <c r="Y39" s="1313"/>
      <c r="Z39" s="1313"/>
      <c r="AA39" s="1313"/>
      <c r="AB39" s="1313"/>
      <c r="AC39" s="1313"/>
      <c r="AD39" s="1313"/>
      <c r="AE39" s="1313"/>
      <c r="AF39" s="1314"/>
      <c r="AG39" s="1262"/>
      <c r="AH39" s="1262"/>
      <c r="AI39" s="1262"/>
      <c r="AJ39" s="1262"/>
      <c r="AK39" s="1262"/>
      <c r="AL39" s="1262"/>
      <c r="AM39" s="1262"/>
      <c r="AN39" s="1262"/>
      <c r="AO39" s="1262"/>
      <c r="AP39" s="1262"/>
      <c r="AQ39" s="1262"/>
      <c r="AR39" s="1262"/>
      <c r="AS39" s="1262"/>
      <c r="AT39" s="1262"/>
      <c r="AU39" s="1262"/>
      <c r="AV39" s="1262"/>
      <c r="AW39" s="1262"/>
      <c r="AX39" s="1262"/>
      <c r="AY39" s="1262"/>
      <c r="AZ39" s="1262"/>
    </row>
    <row r="40" spans="1:53" ht="9.9499999999999993" customHeight="1" thickTop="1">
      <c r="A40" s="1262"/>
      <c r="B40" s="1339"/>
      <c r="C40" s="1321"/>
      <c r="D40" s="1263"/>
      <c r="E40" s="1271"/>
      <c r="F40" s="1271"/>
      <c r="G40" s="1271"/>
      <c r="H40" s="1271"/>
      <c r="I40" s="1271"/>
      <c r="J40" s="1271"/>
      <c r="K40" s="1262"/>
      <c r="L40" s="1262"/>
      <c r="M40" s="1262"/>
      <c r="N40" s="1262"/>
      <c r="O40" s="1262"/>
      <c r="P40" s="1262"/>
      <c r="Q40" s="1262"/>
      <c r="R40" s="1262"/>
      <c r="S40" s="1262"/>
      <c r="T40" s="1262"/>
      <c r="U40" s="1262"/>
      <c r="V40" s="1262"/>
      <c r="W40" s="1262"/>
      <c r="X40" s="1262"/>
      <c r="Y40" s="1262"/>
      <c r="Z40" s="1262"/>
      <c r="AA40" s="1262"/>
      <c r="AB40" s="1262"/>
      <c r="AC40" s="1262"/>
      <c r="AD40" s="1262"/>
      <c r="AE40" s="1262"/>
      <c r="AF40" s="1262"/>
      <c r="AG40" s="1262"/>
      <c r="AH40" s="1262"/>
      <c r="AI40" s="1262"/>
      <c r="AJ40" s="1262"/>
      <c r="AK40" s="1262"/>
      <c r="AL40" s="1262"/>
      <c r="AM40" s="1262"/>
      <c r="AN40" s="1262"/>
      <c r="AO40" s="1262"/>
      <c r="AP40" s="1262"/>
      <c r="AQ40" s="1262"/>
      <c r="AR40" s="1262"/>
      <c r="AS40" s="1262"/>
      <c r="AT40" s="1262"/>
      <c r="AU40" s="1262"/>
      <c r="AV40" s="1262"/>
      <c r="AW40" s="1262"/>
      <c r="AX40" s="1262"/>
      <c r="AY40" s="1262"/>
      <c r="AZ40" s="1262"/>
    </row>
    <row r="41" spans="1:53" s="102" customFormat="1" ht="17.25">
      <c r="A41" s="599"/>
      <c r="B41" s="227" t="s">
        <v>1195</v>
      </c>
      <c r="C41" s="1227"/>
      <c r="D41" s="1235"/>
      <c r="E41" s="1235"/>
      <c r="F41" s="1235"/>
      <c r="G41" s="1235"/>
      <c r="H41" s="1235"/>
      <c r="I41" s="1235"/>
      <c r="J41" s="1235"/>
      <c r="K41" s="1235"/>
      <c r="L41" s="1235"/>
      <c r="M41" s="1235"/>
      <c r="N41" s="1235"/>
      <c r="O41" s="1235"/>
      <c r="P41" s="1235"/>
      <c r="Q41" s="1235"/>
      <c r="R41" s="1235"/>
      <c r="S41" s="1235"/>
      <c r="T41" s="1235"/>
      <c r="U41" s="599"/>
      <c r="V41" s="599"/>
      <c r="W41" s="599"/>
      <c r="X41" s="599"/>
      <c r="Y41" s="599"/>
      <c r="Z41" s="599"/>
      <c r="AA41" s="599"/>
      <c r="AB41" s="599"/>
      <c r="AC41" s="599"/>
      <c r="AD41" s="599"/>
      <c r="AE41" s="599"/>
      <c r="AF41" s="599"/>
      <c r="AG41" s="599"/>
      <c r="AH41" s="599"/>
      <c r="AI41" s="599"/>
      <c r="AJ41" s="599"/>
      <c r="AK41" s="599"/>
      <c r="AL41" s="599"/>
      <c r="AM41" s="599"/>
      <c r="AN41" s="599"/>
      <c r="AO41" s="599"/>
      <c r="AP41" s="599"/>
      <c r="AQ41" s="599"/>
      <c r="AR41" s="599"/>
      <c r="AS41" s="599"/>
      <c r="AT41" s="599"/>
      <c r="AU41" s="599"/>
      <c r="AV41" s="599"/>
      <c r="AW41" s="599"/>
      <c r="AX41" s="599"/>
      <c r="AY41" s="599"/>
      <c r="AZ41" s="599"/>
      <c r="BA41" s="599"/>
    </row>
    <row r="42" spans="1:53" s="44" customFormat="1" ht="30.75" customHeight="1">
      <c r="A42" s="434"/>
      <c r="B42" s="434"/>
      <c r="C42" s="434"/>
      <c r="D42" s="434"/>
      <c r="E42" s="434"/>
      <c r="F42" s="434"/>
      <c r="G42" s="434"/>
      <c r="H42" s="434"/>
      <c r="I42" s="434"/>
      <c r="J42" s="434"/>
      <c r="K42" s="434"/>
      <c r="L42" s="434"/>
      <c r="M42" s="434"/>
      <c r="N42" s="434"/>
      <c r="O42" s="434"/>
      <c r="P42" s="434"/>
      <c r="Q42" s="434"/>
      <c r="R42" s="434"/>
      <c r="S42" s="434"/>
      <c r="T42" s="434"/>
      <c r="U42" s="434"/>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4"/>
      <c r="AU42" s="434"/>
      <c r="AV42" s="434"/>
      <c r="AW42" s="434"/>
      <c r="AX42" s="434"/>
      <c r="AY42" s="434"/>
      <c r="AZ42" s="434"/>
      <c r="BA42" s="434"/>
    </row>
    <row r="43" spans="1:53" s="37" customFormat="1" ht="15">
      <c r="A43" s="263"/>
      <c r="B43" s="332" t="s">
        <v>32</v>
      </c>
      <c r="C43" s="263"/>
      <c r="D43" s="263"/>
      <c r="E43" s="263"/>
      <c r="F43" s="263"/>
      <c r="G43" s="263"/>
      <c r="H43" s="263"/>
      <c r="I43" s="263"/>
      <c r="J43" s="263"/>
      <c r="K43" s="263"/>
      <c r="L43" s="263"/>
      <c r="M43" s="263"/>
      <c r="N43" s="263"/>
      <c r="O43" s="263"/>
      <c r="P43" s="263"/>
      <c r="Q43" s="263"/>
      <c r="R43" s="263"/>
      <c r="S43" s="263"/>
      <c r="T43" s="332" t="s">
        <v>856</v>
      </c>
      <c r="U43" s="263"/>
      <c r="V43" s="263"/>
      <c r="W43" s="263"/>
      <c r="X43" s="263"/>
      <c r="Y43" s="263"/>
      <c r="Z43" s="263"/>
      <c r="AA43" s="263"/>
      <c r="AB43" s="263"/>
      <c r="AC43" s="263"/>
      <c r="AD43" s="263"/>
      <c r="AE43" s="263"/>
      <c r="AF43" s="263"/>
      <c r="AG43" s="263"/>
      <c r="AH43" s="263"/>
      <c r="AI43" s="263"/>
      <c r="AJ43" s="263"/>
      <c r="AK43" s="263"/>
      <c r="AL43" s="263"/>
      <c r="AM43" s="263"/>
      <c r="AN43" s="263"/>
      <c r="AO43" s="263"/>
      <c r="AP43" s="263"/>
      <c r="AQ43" s="263"/>
      <c r="AR43" s="263"/>
      <c r="AS43" s="263"/>
      <c r="AT43" s="263"/>
      <c r="AU43" s="263"/>
      <c r="AV43" s="263"/>
      <c r="AW43" s="263"/>
      <c r="AX43" s="263"/>
      <c r="AY43" s="263"/>
      <c r="AZ43" s="263"/>
      <c r="BA43" s="263"/>
    </row>
    <row r="44" spans="1:53" s="37" customFormat="1" ht="21.75" customHeight="1">
      <c r="A44" s="263"/>
      <c r="B44" s="332" t="s">
        <v>75</v>
      </c>
      <c r="C44" s="263"/>
      <c r="D44" s="263"/>
      <c r="E44" s="263"/>
      <c r="F44" s="2790" t="str">
        <f>activesheet!E21</f>
        <v>MELCHESIEDICK Q. BOLANIO / March 17, 2023</v>
      </c>
      <c r="G44" s="2790"/>
      <c r="H44" s="2790"/>
      <c r="I44" s="2790"/>
      <c r="J44" s="2790"/>
      <c r="K44" s="2790"/>
      <c r="L44" s="2790"/>
      <c r="M44" s="2790"/>
      <c r="N44" s="2790"/>
      <c r="O44" s="823"/>
      <c r="P44" s="823"/>
      <c r="Q44" s="823"/>
      <c r="R44" s="823"/>
      <c r="S44" s="823"/>
      <c r="T44" s="2790" t="str">
        <f>activesheet!E3344</f>
        <v>ELYN KENDRA D. DELA CRUZ / March 17, 2023</v>
      </c>
      <c r="U44" s="2790"/>
      <c r="V44" s="2790"/>
      <c r="W44" s="2790"/>
      <c r="X44" s="2790"/>
      <c r="Y44" s="2790"/>
      <c r="Z44" s="2790"/>
      <c r="AA44" s="2790"/>
      <c r="AB44" s="2790"/>
      <c r="AC44" s="2790"/>
      <c r="AD44" s="2790"/>
      <c r="AE44" s="2790"/>
      <c r="AF44" s="2790"/>
      <c r="AG44" s="263"/>
      <c r="AH44" s="263"/>
      <c r="AI44" s="263"/>
      <c r="AJ44" s="263"/>
      <c r="AK44" s="263"/>
      <c r="AL44" s="263"/>
      <c r="AM44" s="263"/>
      <c r="AN44" s="263"/>
      <c r="AO44" s="263"/>
      <c r="AP44" s="263"/>
      <c r="AQ44" s="263"/>
      <c r="AR44" s="263"/>
      <c r="AS44" s="263"/>
      <c r="AT44" s="263"/>
      <c r="AU44" s="263"/>
      <c r="AV44" s="263"/>
      <c r="AW44" s="263"/>
      <c r="AX44" s="263"/>
      <c r="AY44" s="263"/>
      <c r="AZ44" s="263"/>
      <c r="BA44" s="263"/>
    </row>
    <row r="45" spans="1:53" s="39" customFormat="1" ht="14.1" customHeight="1">
      <c r="A45" s="280"/>
      <c r="B45" s="228"/>
      <c r="C45" s="280"/>
      <c r="D45" s="280"/>
      <c r="E45" s="280"/>
      <c r="F45" s="1807" t="s">
        <v>37</v>
      </c>
      <c r="G45" s="1807"/>
      <c r="H45" s="1807"/>
      <c r="I45" s="1807"/>
      <c r="J45" s="1807"/>
      <c r="K45" s="1807"/>
      <c r="L45" s="1807"/>
      <c r="M45" s="1807"/>
      <c r="N45" s="1807"/>
      <c r="O45" s="321"/>
      <c r="P45" s="321"/>
      <c r="Q45" s="321"/>
      <c r="R45" s="321"/>
      <c r="S45" s="321"/>
      <c r="T45" s="1807" t="s">
        <v>37</v>
      </c>
      <c r="U45" s="1807"/>
      <c r="V45" s="1807"/>
      <c r="W45" s="1807"/>
      <c r="X45" s="1807"/>
      <c r="Y45" s="1807"/>
      <c r="Z45" s="1807"/>
      <c r="AA45" s="1807"/>
      <c r="AB45" s="1807"/>
      <c r="AC45" s="1807"/>
      <c r="AD45" s="1807"/>
      <c r="AE45" s="1807"/>
      <c r="AF45" s="1807"/>
      <c r="AG45" s="280"/>
      <c r="AH45" s="280"/>
      <c r="AI45" s="280"/>
      <c r="AJ45" s="280"/>
      <c r="AK45" s="280"/>
      <c r="AL45" s="280"/>
      <c r="AM45" s="280"/>
      <c r="AN45" s="280"/>
      <c r="AO45" s="280"/>
      <c r="AP45" s="280"/>
      <c r="AQ45" s="280"/>
      <c r="AR45" s="280"/>
      <c r="AS45" s="280"/>
      <c r="AT45" s="280"/>
      <c r="AU45" s="280"/>
      <c r="AV45" s="280"/>
      <c r="AW45" s="280"/>
      <c r="AX45" s="280"/>
      <c r="AY45" s="280"/>
      <c r="AZ45" s="280"/>
      <c r="BA45" s="280"/>
    </row>
    <row r="46" spans="1:53" s="37" customFormat="1" ht="21.75" customHeight="1">
      <c r="A46" s="263"/>
      <c r="B46" s="332" t="s">
        <v>58</v>
      </c>
      <c r="C46" s="263"/>
      <c r="D46" s="263"/>
      <c r="E46" s="263"/>
      <c r="F46" s="2790" t="str">
        <f>activesheet!E22</f>
        <v>SECONDARY SCHOOL PRINCIPAL IV</v>
      </c>
      <c r="G46" s="2790"/>
      <c r="H46" s="2790"/>
      <c r="I46" s="2790"/>
      <c r="J46" s="2790"/>
      <c r="K46" s="2790"/>
      <c r="L46" s="2790"/>
      <c r="M46" s="2790"/>
      <c r="N46" s="2790"/>
      <c r="O46" s="823"/>
      <c r="P46" s="823"/>
      <c r="Q46" s="823"/>
      <c r="R46" s="823"/>
      <c r="S46" s="823"/>
      <c r="T46" s="332" t="s">
        <v>58</v>
      </c>
      <c r="U46" s="263"/>
      <c r="V46" s="263"/>
      <c r="W46" s="263"/>
      <c r="X46" s="2790" t="str">
        <f>activesheet!E3345</f>
        <v>PROJECT DEVELOPMENT OFFICER II</v>
      </c>
      <c r="Y46" s="2790"/>
      <c r="Z46" s="2790"/>
      <c r="AA46" s="2790"/>
      <c r="AB46" s="2790"/>
      <c r="AC46" s="2790"/>
      <c r="AD46" s="2790"/>
      <c r="AE46" s="2790"/>
      <c r="AF46" s="2790"/>
      <c r="AG46" s="263"/>
      <c r="AH46" s="263"/>
      <c r="AI46" s="263"/>
      <c r="AJ46" s="263"/>
      <c r="AK46" s="263"/>
      <c r="AL46" s="263"/>
      <c r="AM46" s="263"/>
      <c r="AN46" s="263"/>
      <c r="AO46" s="263"/>
      <c r="AP46" s="263"/>
      <c r="AQ46" s="263"/>
      <c r="AR46" s="263"/>
      <c r="AS46" s="263"/>
      <c r="AT46" s="263"/>
      <c r="AU46" s="263"/>
      <c r="AV46" s="263"/>
      <c r="AW46" s="263"/>
      <c r="AX46" s="263"/>
      <c r="AY46" s="263"/>
      <c r="AZ46" s="263"/>
      <c r="BA46" s="263"/>
    </row>
    <row r="47" spans="1:53" s="44" customFormat="1" ht="30.75" customHeight="1">
      <c r="A47" s="434"/>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4"/>
      <c r="AU47" s="434"/>
      <c r="AV47" s="434"/>
      <c r="AW47" s="434"/>
      <c r="AX47" s="434"/>
      <c r="AY47" s="434"/>
      <c r="AZ47" s="434"/>
      <c r="BA47" s="434"/>
    </row>
    <row r="48" spans="1:53" s="37" customFormat="1" ht="15">
      <c r="A48" s="263"/>
      <c r="B48" s="263"/>
      <c r="C48" s="263"/>
      <c r="D48" s="263"/>
      <c r="E48" s="263"/>
      <c r="F48" s="263"/>
      <c r="G48" s="263"/>
      <c r="H48" s="263"/>
      <c r="I48" s="263"/>
      <c r="J48" s="263"/>
      <c r="K48" s="332" t="s">
        <v>33</v>
      </c>
      <c r="L48" s="263"/>
      <c r="M48" s="263"/>
      <c r="N48" s="263"/>
      <c r="O48" s="263"/>
      <c r="P48" s="263"/>
      <c r="Q48" s="263"/>
      <c r="R48" s="263"/>
      <c r="S48" s="263"/>
      <c r="T48" s="263"/>
      <c r="U48" s="263"/>
      <c r="V48" s="263"/>
      <c r="W48" s="263"/>
      <c r="X48" s="263"/>
      <c r="Y48" s="263"/>
      <c r="Z48" s="263"/>
      <c r="AA48" s="263"/>
      <c r="AB48" s="263"/>
      <c r="AC48" s="263"/>
      <c r="AD48" s="263"/>
      <c r="AE48" s="263"/>
      <c r="AF48" s="263"/>
      <c r="AG48" s="263"/>
      <c r="AH48" s="263"/>
      <c r="AI48" s="263"/>
      <c r="AJ48" s="263"/>
      <c r="AK48" s="263"/>
      <c r="AL48" s="263"/>
      <c r="AM48" s="263"/>
      <c r="AN48" s="263"/>
      <c r="AO48" s="263"/>
      <c r="AP48" s="263"/>
      <c r="AQ48" s="263"/>
      <c r="AR48" s="263"/>
      <c r="AS48" s="263"/>
      <c r="AT48" s="263"/>
      <c r="AU48" s="263"/>
      <c r="AV48" s="263"/>
      <c r="AW48" s="263"/>
      <c r="AX48" s="263"/>
      <c r="AY48" s="263"/>
      <c r="AZ48" s="263"/>
      <c r="BA48" s="263"/>
    </row>
    <row r="49" spans="1:53" s="37" customFormat="1" ht="21.75" customHeight="1">
      <c r="A49" s="263"/>
      <c r="B49" s="263"/>
      <c r="C49" s="263"/>
      <c r="D49" s="263"/>
      <c r="E49" s="263"/>
      <c r="F49" s="263"/>
      <c r="G49" s="263"/>
      <c r="H49" s="263"/>
      <c r="I49" s="263"/>
      <c r="J49" s="263"/>
      <c r="K49" s="1819" t="str">
        <f>activesheet!E25</f>
        <v>MICHAEL T. JAMIS / March 17, 2023</v>
      </c>
      <c r="L49" s="1819"/>
      <c r="M49" s="1819"/>
      <c r="N49" s="1819"/>
      <c r="O49" s="1819"/>
      <c r="P49" s="1819"/>
      <c r="Q49" s="1819"/>
      <c r="R49" s="1819"/>
      <c r="S49" s="1819"/>
      <c r="T49" s="1819"/>
      <c r="U49" s="1819"/>
      <c r="V49" s="1819"/>
      <c r="W49" s="1819"/>
      <c r="X49" s="263"/>
      <c r="Y49" s="263"/>
      <c r="Z49" s="263"/>
      <c r="AA49" s="263"/>
      <c r="AB49" s="263"/>
      <c r="AC49" s="263"/>
      <c r="AD49" s="263"/>
      <c r="AE49" s="263"/>
      <c r="AF49" s="263"/>
      <c r="AG49" s="263"/>
      <c r="AH49" s="263"/>
      <c r="AI49" s="263"/>
      <c r="AJ49" s="263"/>
      <c r="AK49" s="263"/>
      <c r="AL49" s="263"/>
      <c r="AM49" s="263"/>
      <c r="AN49" s="263"/>
      <c r="AO49" s="263"/>
      <c r="AP49" s="263"/>
      <c r="AQ49" s="263"/>
      <c r="AR49" s="263"/>
      <c r="AS49" s="263"/>
      <c r="AT49" s="263"/>
      <c r="AU49" s="263"/>
      <c r="AV49" s="263"/>
      <c r="AW49" s="263"/>
      <c r="AX49" s="263"/>
      <c r="AY49" s="263"/>
      <c r="AZ49" s="263"/>
      <c r="BA49" s="263"/>
    </row>
    <row r="50" spans="1:53" s="39" customFormat="1" ht="14.1" customHeight="1">
      <c r="A50" s="280"/>
      <c r="B50" s="280"/>
      <c r="C50" s="280"/>
      <c r="D50" s="280"/>
      <c r="E50" s="280"/>
      <c r="F50" s="280"/>
      <c r="G50" s="280"/>
      <c r="H50" s="280"/>
      <c r="I50" s="280"/>
      <c r="J50" s="280"/>
      <c r="K50" s="1820"/>
      <c r="L50" s="1820"/>
      <c r="M50" s="1820"/>
      <c r="N50" s="1820"/>
      <c r="O50" s="1820"/>
      <c r="P50" s="1820"/>
      <c r="Q50" s="1820"/>
      <c r="R50" s="1820"/>
      <c r="S50" s="1820"/>
      <c r="T50" s="1820"/>
      <c r="U50" s="1820"/>
      <c r="V50" s="1820"/>
      <c r="W50" s="1820"/>
      <c r="X50" s="280"/>
      <c r="Y50" s="280"/>
      <c r="Z50" s="280"/>
      <c r="AA50" s="280"/>
      <c r="AB50" s="280"/>
      <c r="AC50" s="280"/>
      <c r="AD50" s="280"/>
      <c r="AE50" s="280"/>
      <c r="AF50" s="280"/>
      <c r="AG50" s="280"/>
      <c r="AH50" s="280"/>
      <c r="AI50" s="280"/>
      <c r="AJ50" s="280"/>
      <c r="AK50" s="280"/>
      <c r="AL50" s="280"/>
      <c r="AM50" s="280"/>
      <c r="AN50" s="280"/>
      <c r="AO50" s="280"/>
      <c r="AP50" s="280"/>
      <c r="AQ50" s="280"/>
      <c r="AR50" s="280"/>
      <c r="AS50" s="280"/>
      <c r="AT50" s="280"/>
      <c r="AU50" s="280"/>
      <c r="AV50" s="280"/>
      <c r="AW50" s="280"/>
      <c r="AX50" s="280"/>
      <c r="AY50" s="280"/>
      <c r="AZ50" s="280"/>
      <c r="BA50" s="280"/>
    </row>
    <row r="51" spans="1:53" s="37" customFormat="1" ht="21.75" customHeight="1">
      <c r="A51" s="263"/>
      <c r="B51" s="263"/>
      <c r="C51" s="263"/>
      <c r="D51" s="263"/>
      <c r="E51" s="263"/>
      <c r="F51" s="263"/>
      <c r="G51" s="263"/>
      <c r="H51" s="263"/>
      <c r="I51" s="263"/>
      <c r="J51" s="263"/>
      <c r="K51" s="1807" t="s">
        <v>37</v>
      </c>
      <c r="L51" s="1807"/>
      <c r="M51" s="1807"/>
      <c r="N51" s="1807"/>
      <c r="O51" s="1807"/>
      <c r="P51" s="1807"/>
      <c r="Q51" s="1807"/>
      <c r="R51" s="1807"/>
      <c r="S51" s="1807"/>
      <c r="T51" s="1807"/>
      <c r="U51" s="1807"/>
      <c r="V51" s="1807"/>
      <c r="W51" s="1807"/>
      <c r="X51" s="263"/>
      <c r="Y51" s="263"/>
      <c r="Z51" s="263"/>
      <c r="AA51" s="263"/>
      <c r="AB51" s="263"/>
      <c r="AC51" s="263"/>
      <c r="AD51" s="263"/>
      <c r="AE51" s="263"/>
      <c r="AF51" s="263"/>
      <c r="AG51" s="263"/>
      <c r="AH51" s="263"/>
      <c r="AI51" s="263"/>
      <c r="AJ51" s="263"/>
      <c r="AK51" s="263"/>
      <c r="AL51" s="263"/>
      <c r="AM51" s="263"/>
      <c r="AN51" s="263"/>
      <c r="AO51" s="263"/>
      <c r="AP51" s="263"/>
      <c r="AQ51" s="263"/>
      <c r="AR51" s="263"/>
      <c r="AS51" s="263"/>
      <c r="AT51" s="263"/>
      <c r="AU51" s="263"/>
      <c r="AV51" s="263"/>
      <c r="AW51" s="263"/>
      <c r="AX51" s="263"/>
      <c r="AY51" s="263"/>
      <c r="AZ51" s="263"/>
      <c r="BA51" s="263"/>
    </row>
    <row r="52" spans="1:53">
      <c r="A52" s="1262"/>
      <c r="B52" s="1262"/>
      <c r="C52" s="1262"/>
      <c r="D52" s="1262"/>
      <c r="E52" s="1262"/>
      <c r="F52" s="1262"/>
      <c r="G52" s="1262"/>
      <c r="H52" s="1262"/>
      <c r="I52" s="1262"/>
      <c r="J52" s="1263"/>
      <c r="K52" s="1263"/>
      <c r="L52" s="1262"/>
      <c r="M52" s="1262"/>
      <c r="N52" s="1262"/>
      <c r="O52" s="1262"/>
      <c r="P52" s="1262"/>
      <c r="Q52" s="1262"/>
      <c r="R52" s="1262"/>
      <c r="S52" s="1262"/>
      <c r="T52" s="1262"/>
      <c r="U52" s="1262"/>
      <c r="V52" s="1262"/>
      <c r="W52" s="1263"/>
      <c r="X52" s="1263"/>
      <c r="Y52" s="1262"/>
      <c r="Z52" s="1262"/>
      <c r="AA52" s="1262"/>
      <c r="AB52" s="1262"/>
      <c r="AC52" s="1262"/>
      <c r="AD52" s="1262"/>
      <c r="AE52" s="1262"/>
      <c r="AF52" s="1262"/>
      <c r="AG52" s="1262"/>
      <c r="AH52" s="1262"/>
      <c r="AI52" s="1262"/>
      <c r="AJ52" s="1262"/>
      <c r="AK52" s="1262"/>
      <c r="AL52" s="1262"/>
      <c r="AM52" s="1262"/>
      <c r="AN52" s="1262"/>
      <c r="AO52" s="1262"/>
      <c r="AP52" s="1262"/>
      <c r="AQ52" s="1262"/>
      <c r="AR52" s="1262"/>
      <c r="AS52" s="1262"/>
      <c r="AT52" s="1262"/>
      <c r="AU52" s="1262"/>
      <c r="AV52" s="1262"/>
      <c r="AW52" s="1262"/>
      <c r="AX52" s="1262"/>
      <c r="AY52" s="1262"/>
      <c r="AZ52" s="1262"/>
    </row>
    <row r="53" spans="1:53">
      <c r="A53" s="1262"/>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2"/>
      <c r="AF53" s="1262"/>
      <c r="AG53" s="1262"/>
      <c r="AH53" s="1262"/>
      <c r="AI53" s="1262"/>
      <c r="AJ53" s="1262"/>
      <c r="AK53" s="1262"/>
      <c r="AL53" s="1262"/>
      <c r="AM53" s="1262"/>
      <c r="AN53" s="1262"/>
      <c r="AO53" s="1262"/>
      <c r="AP53" s="1262"/>
      <c r="AQ53" s="1262"/>
      <c r="AR53" s="1262"/>
      <c r="AS53" s="1262"/>
      <c r="AT53" s="1262"/>
      <c r="AU53" s="1262"/>
      <c r="AV53" s="1262"/>
      <c r="AW53" s="1262"/>
      <c r="AX53" s="1262"/>
      <c r="AY53" s="1262"/>
      <c r="AZ53" s="1262"/>
    </row>
    <row r="54" spans="1:53">
      <c r="A54" s="1262"/>
      <c r="B54" s="1263"/>
      <c r="C54" s="1263"/>
      <c r="D54" s="1263"/>
      <c r="E54" s="1263"/>
      <c r="F54" s="1263"/>
      <c r="G54" s="1263"/>
      <c r="H54" s="1263"/>
      <c r="I54" s="1263"/>
      <c r="J54" s="1263"/>
      <c r="K54" s="1263"/>
      <c r="L54" s="1263"/>
      <c r="M54" s="1263"/>
      <c r="N54" s="1263"/>
      <c r="O54" s="1263"/>
      <c r="P54" s="1263"/>
      <c r="Q54" s="1263"/>
      <c r="R54" s="1263"/>
      <c r="S54" s="1263"/>
      <c r="T54" s="1263"/>
      <c r="U54" s="1263"/>
      <c r="V54" s="1263"/>
      <c r="W54" s="1263"/>
      <c r="X54" s="1263"/>
      <c r="Y54" s="1263"/>
      <c r="Z54" s="1263"/>
      <c r="AA54" s="1263"/>
      <c r="AB54" s="1263"/>
      <c r="AC54" s="1263"/>
      <c r="AD54" s="1263"/>
      <c r="AE54" s="1262"/>
      <c r="AF54" s="1262"/>
      <c r="AG54" s="1262"/>
      <c r="AH54" s="1262"/>
      <c r="AI54" s="1262"/>
      <c r="AJ54" s="1262"/>
      <c r="AK54" s="1262"/>
      <c r="AL54" s="1262"/>
      <c r="AM54" s="1262"/>
      <c r="AN54" s="1262"/>
      <c r="AO54" s="1262"/>
      <c r="AP54" s="1262"/>
      <c r="AQ54" s="1262"/>
      <c r="AR54" s="1262"/>
      <c r="AS54" s="1262"/>
      <c r="AT54" s="1262"/>
      <c r="AU54" s="1262"/>
      <c r="AV54" s="1262"/>
      <c r="AW54" s="1262"/>
      <c r="AX54" s="1262"/>
      <c r="AY54" s="1262"/>
      <c r="AZ54" s="1262"/>
    </row>
    <row r="55" spans="1:53">
      <c r="A55" s="1262"/>
      <c r="B55" s="1263"/>
      <c r="C55" s="1263"/>
      <c r="D55" s="1263"/>
      <c r="E55" s="1263"/>
      <c r="F55" s="1263"/>
      <c r="G55" s="1263"/>
      <c r="H55" s="1263"/>
      <c r="I55" s="1263"/>
      <c r="J55" s="1263"/>
      <c r="K55" s="1263"/>
      <c r="L55" s="1263"/>
      <c r="M55" s="1263"/>
      <c r="N55" s="1263"/>
      <c r="O55" s="1263"/>
      <c r="P55" s="1263"/>
      <c r="Q55" s="1263"/>
      <c r="R55" s="1263"/>
      <c r="S55" s="1263"/>
      <c r="T55" s="1263"/>
      <c r="U55" s="1263"/>
      <c r="V55" s="1263"/>
      <c r="W55" s="1263"/>
      <c r="X55" s="1263"/>
      <c r="Y55" s="1263"/>
      <c r="Z55" s="1263"/>
      <c r="AA55" s="1263"/>
      <c r="AB55" s="1263"/>
      <c r="AC55" s="1263"/>
      <c r="AD55" s="1263"/>
      <c r="AE55" s="1262"/>
      <c r="AF55" s="1262"/>
      <c r="AG55" s="1262"/>
      <c r="AH55" s="1262"/>
      <c r="AI55" s="1262"/>
      <c r="AJ55" s="1262"/>
      <c r="AK55" s="1262"/>
      <c r="AL55" s="1262"/>
      <c r="AM55" s="1262"/>
      <c r="AN55" s="1262"/>
      <c r="AO55" s="1262"/>
      <c r="AP55" s="1262"/>
      <c r="AQ55" s="1262"/>
      <c r="AR55" s="1262"/>
      <c r="AS55" s="1262"/>
      <c r="AT55" s="1262"/>
      <c r="AU55" s="1262"/>
      <c r="AV55" s="1262"/>
      <c r="AW55" s="1262"/>
      <c r="AX55" s="1262"/>
      <c r="AY55" s="1262"/>
      <c r="AZ55" s="1262"/>
    </row>
    <row r="56" spans="1:53">
      <c r="A56" s="1262"/>
      <c r="B56" s="1263"/>
      <c r="C56" s="1263"/>
      <c r="D56" s="1263"/>
      <c r="E56" s="1263"/>
      <c r="F56" s="1263"/>
      <c r="G56" s="1263"/>
      <c r="H56" s="1263"/>
      <c r="I56" s="1263"/>
      <c r="J56" s="1263"/>
      <c r="K56" s="1263"/>
      <c r="L56" s="1263"/>
      <c r="M56" s="1263"/>
      <c r="N56" s="1263"/>
      <c r="O56" s="1263"/>
      <c r="P56" s="1263"/>
      <c r="Q56" s="1263"/>
      <c r="R56" s="1263"/>
      <c r="S56" s="1263"/>
      <c r="T56" s="1263"/>
      <c r="U56" s="1263"/>
      <c r="V56" s="1263"/>
      <c r="W56" s="1263"/>
      <c r="X56" s="1263"/>
      <c r="Y56" s="1263"/>
      <c r="Z56" s="1263"/>
      <c r="AA56" s="1263"/>
      <c r="AB56" s="1263"/>
      <c r="AC56" s="1263"/>
      <c r="AD56" s="1263"/>
      <c r="AE56" s="1262"/>
      <c r="AF56" s="1262"/>
      <c r="AG56" s="1262"/>
      <c r="AH56" s="1262"/>
      <c r="AI56" s="1262"/>
      <c r="AJ56" s="1262"/>
      <c r="AK56" s="1262"/>
      <c r="AL56" s="1262"/>
      <c r="AM56" s="1262"/>
      <c r="AN56" s="1262"/>
      <c r="AO56" s="1262"/>
      <c r="AP56" s="1262"/>
      <c r="AQ56" s="1262"/>
      <c r="AR56" s="1262"/>
      <c r="AS56" s="1262"/>
      <c r="AT56" s="1262"/>
      <c r="AU56" s="1262"/>
      <c r="AV56" s="1262"/>
      <c r="AW56" s="1262"/>
      <c r="AX56" s="1262"/>
      <c r="AY56" s="1262"/>
      <c r="AZ56" s="1262"/>
    </row>
    <row r="57" spans="1:53">
      <c r="A57" s="1262"/>
      <c r="B57" s="1263"/>
      <c r="C57" s="1263"/>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c r="AB57" s="1263"/>
      <c r="AC57" s="1263"/>
      <c r="AD57" s="1263"/>
      <c r="AE57" s="1262"/>
      <c r="AF57" s="1262"/>
      <c r="AG57" s="1262"/>
      <c r="AH57" s="1262"/>
      <c r="AI57" s="1262"/>
      <c r="AJ57" s="1262"/>
      <c r="AK57" s="1262"/>
      <c r="AL57" s="1262"/>
      <c r="AM57" s="1262"/>
      <c r="AN57" s="1262"/>
      <c r="AO57" s="1262"/>
      <c r="AP57" s="1262"/>
      <c r="AQ57" s="1262"/>
      <c r="AR57" s="1262"/>
      <c r="AS57" s="1262"/>
      <c r="AT57" s="1262"/>
      <c r="AU57" s="1262"/>
      <c r="AV57" s="1262"/>
      <c r="AW57" s="1262"/>
      <c r="AX57" s="1262"/>
      <c r="AY57" s="1262"/>
      <c r="AZ57" s="1262"/>
    </row>
    <row r="58" spans="1:53">
      <c r="A58" s="1262"/>
      <c r="B58" s="1263"/>
      <c r="C58" s="1263"/>
      <c r="D58" s="1263"/>
      <c r="E58" s="1263"/>
      <c r="F58" s="1263"/>
      <c r="G58" s="1263"/>
      <c r="H58" s="1263"/>
      <c r="I58" s="1263"/>
      <c r="J58" s="1263"/>
      <c r="K58" s="1263"/>
      <c r="L58" s="1263"/>
      <c r="M58" s="1263"/>
      <c r="N58" s="1263"/>
      <c r="O58" s="1263"/>
      <c r="P58" s="1263"/>
      <c r="Q58" s="1263"/>
      <c r="R58" s="1263"/>
      <c r="S58" s="1263"/>
      <c r="T58" s="1263"/>
      <c r="U58" s="1263"/>
      <c r="V58" s="1263"/>
      <c r="W58" s="1263"/>
      <c r="X58" s="1263"/>
      <c r="Y58" s="1263"/>
      <c r="Z58" s="1263"/>
      <c r="AA58" s="1263"/>
      <c r="AB58" s="1263"/>
      <c r="AC58" s="1263"/>
      <c r="AD58" s="1263"/>
      <c r="AE58" s="1262"/>
      <c r="AF58" s="1262"/>
      <c r="AG58" s="1262"/>
      <c r="AH58" s="1262"/>
      <c r="AI58" s="1262"/>
      <c r="AJ58" s="1262"/>
      <c r="AK58" s="1262"/>
      <c r="AL58" s="1262"/>
      <c r="AM58" s="1262"/>
      <c r="AN58" s="1262"/>
      <c r="AO58" s="1262"/>
      <c r="AP58" s="1262"/>
      <c r="AQ58" s="1262"/>
      <c r="AR58" s="1262"/>
      <c r="AS58" s="1262"/>
      <c r="AT58" s="1262"/>
      <c r="AU58" s="1262"/>
      <c r="AV58" s="1262"/>
      <c r="AW58" s="1262"/>
      <c r="AX58" s="1262"/>
      <c r="AY58" s="1262"/>
      <c r="AZ58" s="1262"/>
    </row>
    <row r="59" spans="1:53">
      <c r="A59" s="1262"/>
      <c r="B59" s="1263"/>
      <c r="C59" s="1263"/>
      <c r="D59" s="1263"/>
      <c r="E59" s="1263"/>
      <c r="F59" s="1263"/>
      <c r="G59" s="1263"/>
      <c r="H59" s="1263"/>
      <c r="I59" s="1263"/>
      <c r="J59" s="1263"/>
      <c r="K59" s="1263"/>
      <c r="L59" s="1263"/>
      <c r="M59" s="1263"/>
      <c r="N59" s="1263"/>
      <c r="O59" s="1263"/>
      <c r="P59" s="1263"/>
      <c r="Q59" s="1263"/>
      <c r="R59" s="1263"/>
      <c r="S59" s="1263"/>
      <c r="T59" s="1263"/>
      <c r="U59" s="1263"/>
      <c r="V59" s="1263"/>
      <c r="W59" s="1263"/>
      <c r="X59" s="1263"/>
      <c r="Y59" s="1263"/>
      <c r="Z59" s="1263"/>
      <c r="AA59" s="1263"/>
      <c r="AB59" s="1263"/>
      <c r="AC59" s="1263"/>
      <c r="AD59" s="1263"/>
      <c r="AE59" s="1262"/>
      <c r="AF59" s="1262"/>
      <c r="AG59" s="1262"/>
      <c r="AH59" s="1262"/>
      <c r="AI59" s="1262"/>
      <c r="AJ59" s="1262"/>
      <c r="AK59" s="1262"/>
      <c r="AL59" s="1262"/>
      <c r="AM59" s="1262"/>
      <c r="AN59" s="1262"/>
      <c r="AO59" s="1262"/>
      <c r="AP59" s="1262"/>
      <c r="AQ59" s="1262"/>
      <c r="AR59" s="1262"/>
      <c r="AS59" s="1262"/>
      <c r="AT59" s="1262"/>
      <c r="AU59" s="1262"/>
      <c r="AV59" s="1262"/>
      <c r="AW59" s="1262"/>
      <c r="AX59" s="1262"/>
      <c r="AY59" s="1262"/>
      <c r="AZ59" s="1262"/>
    </row>
    <row r="60" spans="1:53">
      <c r="A60" s="1262"/>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2"/>
      <c r="AF60" s="1262"/>
      <c r="AG60" s="1262"/>
      <c r="AH60" s="1262"/>
      <c r="AI60" s="1262"/>
      <c r="AJ60" s="1262"/>
      <c r="AK60" s="1262"/>
      <c r="AL60" s="1262"/>
      <c r="AM60" s="1262"/>
      <c r="AN60" s="1262"/>
      <c r="AO60" s="1262"/>
      <c r="AP60" s="1262"/>
      <c r="AQ60" s="1262"/>
      <c r="AR60" s="1262"/>
      <c r="AS60" s="1262"/>
      <c r="AT60" s="1262"/>
      <c r="AU60" s="1262"/>
      <c r="AV60" s="1262"/>
      <c r="AW60" s="1262"/>
      <c r="AX60" s="1262"/>
      <c r="AY60" s="1262"/>
      <c r="AZ60" s="1262"/>
    </row>
    <row r="61" spans="1:53">
      <c r="A61" s="1262"/>
      <c r="B61" s="1263"/>
      <c r="C61" s="1263"/>
      <c r="D61" s="1263"/>
      <c r="E61" s="1263"/>
      <c r="F61" s="1263"/>
      <c r="G61" s="1263"/>
      <c r="H61" s="1263"/>
      <c r="I61" s="1263"/>
      <c r="J61" s="1263"/>
      <c r="K61" s="1263"/>
      <c r="L61" s="1263"/>
      <c r="M61" s="1263"/>
      <c r="N61" s="1263"/>
      <c r="O61" s="1263"/>
      <c r="P61" s="1263"/>
      <c r="Q61" s="1263"/>
      <c r="R61" s="1263"/>
      <c r="S61" s="1263"/>
      <c r="T61" s="1263"/>
      <c r="U61" s="1263"/>
      <c r="V61" s="1263"/>
      <c r="W61" s="1263"/>
      <c r="X61" s="1263"/>
      <c r="Y61" s="1263"/>
      <c r="Z61" s="1263"/>
      <c r="AA61" s="1263"/>
      <c r="AB61" s="1263"/>
      <c r="AC61" s="1263"/>
      <c r="AD61" s="1263"/>
      <c r="AE61" s="1262"/>
      <c r="AF61" s="1262"/>
      <c r="AG61" s="1262"/>
      <c r="AH61" s="1262"/>
      <c r="AI61" s="1262"/>
      <c r="AJ61" s="1262"/>
      <c r="AK61" s="1262"/>
      <c r="AL61" s="1262"/>
      <c r="AM61" s="1262"/>
      <c r="AN61" s="1262"/>
      <c r="AO61" s="1262"/>
      <c r="AP61" s="1262"/>
      <c r="AQ61" s="1262"/>
      <c r="AR61" s="1262"/>
      <c r="AS61" s="1262"/>
      <c r="AT61" s="1262"/>
      <c r="AU61" s="1262"/>
      <c r="AV61" s="1262"/>
      <c r="AW61" s="1262"/>
      <c r="AX61" s="1262"/>
      <c r="AY61" s="1262"/>
      <c r="AZ61" s="1262"/>
    </row>
    <row r="62" spans="1:53">
      <c r="A62" s="1262"/>
      <c r="B62" s="1263"/>
      <c r="C62" s="1263"/>
      <c r="D62" s="1263"/>
      <c r="E62" s="1263"/>
      <c r="F62" s="1263"/>
      <c r="G62" s="1263"/>
      <c r="H62" s="1263"/>
      <c r="I62" s="1263"/>
      <c r="J62" s="1263"/>
      <c r="K62" s="1263"/>
      <c r="L62" s="1263"/>
      <c r="M62" s="1263"/>
      <c r="N62" s="1263"/>
      <c r="O62" s="1263"/>
      <c r="P62" s="1263"/>
      <c r="Q62" s="1263"/>
      <c r="R62" s="1263"/>
      <c r="S62" s="1263"/>
      <c r="T62" s="1263"/>
      <c r="U62" s="1263"/>
      <c r="V62" s="1263"/>
      <c r="W62" s="1263"/>
      <c r="X62" s="1263"/>
      <c r="Y62" s="1263"/>
      <c r="Z62" s="1263"/>
      <c r="AA62" s="1263"/>
      <c r="AB62" s="1263"/>
      <c r="AC62" s="1263"/>
      <c r="AD62" s="1263"/>
      <c r="AE62" s="1262"/>
      <c r="AF62" s="1262"/>
      <c r="AG62" s="1262"/>
      <c r="AH62" s="1262"/>
      <c r="AI62" s="1262"/>
      <c r="AJ62" s="1262"/>
      <c r="AK62" s="1262"/>
      <c r="AL62" s="1262"/>
      <c r="AM62" s="1262"/>
      <c r="AN62" s="1262"/>
      <c r="AO62" s="1262"/>
      <c r="AP62" s="1262"/>
      <c r="AQ62" s="1262"/>
      <c r="AR62" s="1262"/>
      <c r="AS62" s="1262"/>
      <c r="AT62" s="1262"/>
      <c r="AU62" s="1262"/>
      <c r="AV62" s="1262"/>
      <c r="AW62" s="1262"/>
      <c r="AX62" s="1262"/>
      <c r="AY62" s="1262"/>
      <c r="AZ62" s="1262"/>
    </row>
    <row r="63" spans="1:53">
      <c r="A63" s="1262"/>
      <c r="B63" s="1263"/>
      <c r="C63" s="1263"/>
      <c r="D63" s="1263"/>
      <c r="E63" s="1263"/>
      <c r="F63" s="1263"/>
      <c r="G63" s="1263"/>
      <c r="H63" s="1263"/>
      <c r="I63" s="1263"/>
      <c r="J63" s="1263"/>
      <c r="K63" s="1263"/>
      <c r="L63" s="1263"/>
      <c r="M63" s="1263"/>
      <c r="N63" s="1263"/>
      <c r="O63" s="1263"/>
      <c r="P63" s="1263"/>
      <c r="Q63" s="1263"/>
      <c r="R63" s="1263"/>
      <c r="S63" s="1263"/>
      <c r="T63" s="1263"/>
      <c r="U63" s="1263"/>
      <c r="V63" s="1263"/>
      <c r="W63" s="1263"/>
      <c r="X63" s="1263"/>
      <c r="Y63" s="1263"/>
      <c r="Z63" s="1263"/>
      <c r="AA63" s="1263"/>
      <c r="AB63" s="1263"/>
      <c r="AC63" s="1263"/>
      <c r="AD63" s="1263"/>
      <c r="AE63" s="1262"/>
      <c r="AF63" s="1262"/>
      <c r="AG63" s="1262"/>
      <c r="AH63" s="1262"/>
      <c r="AI63" s="1262"/>
      <c r="AJ63" s="1262"/>
      <c r="AK63" s="1262"/>
      <c r="AL63" s="1262"/>
      <c r="AM63" s="1262"/>
      <c r="AN63" s="1262"/>
      <c r="AO63" s="1262"/>
      <c r="AP63" s="1262"/>
      <c r="AQ63" s="1262"/>
      <c r="AR63" s="1262"/>
      <c r="AS63" s="1262"/>
      <c r="AT63" s="1262"/>
      <c r="AU63" s="1262"/>
      <c r="AV63" s="1262"/>
      <c r="AW63" s="1262"/>
      <c r="AX63" s="1262"/>
      <c r="AY63" s="1262"/>
      <c r="AZ63" s="1262"/>
    </row>
    <row r="64" spans="1:53">
      <c r="A64" s="1262"/>
      <c r="B64" s="1263"/>
      <c r="C64" s="1263"/>
      <c r="D64" s="1263"/>
      <c r="E64" s="1263"/>
      <c r="F64" s="1263"/>
      <c r="G64" s="1263"/>
      <c r="H64" s="1263"/>
      <c r="I64" s="1263"/>
      <c r="J64" s="1263"/>
      <c r="K64" s="1263"/>
      <c r="L64" s="1263"/>
      <c r="M64" s="1263"/>
      <c r="N64" s="1263"/>
      <c r="O64" s="1263"/>
      <c r="P64" s="1263"/>
      <c r="Q64" s="1263"/>
      <c r="R64" s="1263"/>
      <c r="S64" s="1263"/>
      <c r="T64" s="1263"/>
      <c r="U64" s="1263"/>
      <c r="V64" s="1263"/>
      <c r="W64" s="1263"/>
      <c r="X64" s="1263"/>
      <c r="Y64" s="1263"/>
      <c r="Z64" s="1263"/>
      <c r="AA64" s="1263"/>
      <c r="AB64" s="1263"/>
      <c r="AC64" s="1263"/>
      <c r="AD64" s="1263"/>
      <c r="AE64" s="1262"/>
      <c r="AF64" s="1262"/>
      <c r="AG64" s="1262"/>
      <c r="AH64" s="1262"/>
      <c r="AI64" s="1262"/>
      <c r="AJ64" s="1262"/>
      <c r="AK64" s="1262"/>
      <c r="AL64" s="1262"/>
      <c r="AM64" s="1262"/>
      <c r="AN64" s="1262"/>
      <c r="AO64" s="1262"/>
      <c r="AP64" s="1262"/>
      <c r="AQ64" s="1262"/>
      <c r="AR64" s="1262"/>
      <c r="AS64" s="1262"/>
      <c r="AT64" s="1262"/>
      <c r="AU64" s="1262"/>
      <c r="AV64" s="1262"/>
      <c r="AW64" s="1262"/>
      <c r="AX64" s="1262"/>
      <c r="AY64" s="1262"/>
      <c r="AZ64" s="1262"/>
    </row>
    <row r="65" spans="1:52">
      <c r="A65" s="1262"/>
      <c r="B65" s="1263"/>
      <c r="C65" s="1263"/>
      <c r="D65" s="1263"/>
      <c r="E65" s="1263"/>
      <c r="F65" s="1263"/>
      <c r="G65" s="1263"/>
      <c r="H65" s="1263"/>
      <c r="I65" s="1263"/>
      <c r="J65" s="1263"/>
      <c r="K65" s="1263"/>
      <c r="L65" s="1263"/>
      <c r="M65" s="1263"/>
      <c r="N65" s="1263"/>
      <c r="O65" s="1263"/>
      <c r="P65" s="1263"/>
      <c r="Q65" s="1263"/>
      <c r="R65" s="1263"/>
      <c r="S65" s="1263"/>
      <c r="T65" s="1263"/>
      <c r="U65" s="1263"/>
      <c r="V65" s="1263"/>
      <c r="W65" s="1263"/>
      <c r="X65" s="1263"/>
      <c r="Y65" s="1263"/>
      <c r="Z65" s="1263"/>
      <c r="AA65" s="1263"/>
      <c r="AB65" s="1263"/>
      <c r="AC65" s="1263"/>
      <c r="AD65" s="1263"/>
      <c r="AE65" s="1262"/>
      <c r="AF65" s="1262"/>
      <c r="AG65" s="1262"/>
      <c r="AH65" s="1262"/>
      <c r="AI65" s="1262"/>
      <c r="AJ65" s="1262"/>
      <c r="AK65" s="1262"/>
      <c r="AL65" s="1262"/>
      <c r="AM65" s="1262"/>
      <c r="AN65" s="1262"/>
      <c r="AO65" s="1262"/>
      <c r="AP65" s="1262"/>
      <c r="AQ65" s="1262"/>
      <c r="AR65" s="1262"/>
      <c r="AS65" s="1262"/>
      <c r="AT65" s="1262"/>
      <c r="AU65" s="1262"/>
      <c r="AV65" s="1262"/>
      <c r="AW65" s="1262"/>
      <c r="AX65" s="1262"/>
      <c r="AY65" s="1262"/>
      <c r="AZ65" s="1262"/>
    </row>
    <row r="66" spans="1:52">
      <c r="A66" s="1262"/>
      <c r="B66" s="1263"/>
      <c r="C66" s="1263"/>
      <c r="D66" s="1263"/>
      <c r="E66" s="1263"/>
      <c r="F66" s="1263"/>
      <c r="G66" s="1263"/>
      <c r="H66" s="1263"/>
      <c r="I66" s="1263"/>
      <c r="J66" s="1263"/>
      <c r="K66" s="1263"/>
      <c r="L66" s="1263"/>
      <c r="M66" s="1263"/>
      <c r="N66" s="1263"/>
      <c r="O66" s="1263"/>
      <c r="P66" s="1263"/>
      <c r="Q66" s="1263"/>
      <c r="R66" s="1263"/>
      <c r="S66" s="1263"/>
      <c r="T66" s="1263"/>
      <c r="U66" s="1263"/>
      <c r="V66" s="1263"/>
      <c r="W66" s="1263"/>
      <c r="X66" s="1263"/>
      <c r="Y66" s="1263"/>
      <c r="Z66" s="1263"/>
      <c r="AA66" s="1263"/>
      <c r="AB66" s="1263"/>
      <c r="AC66" s="1263"/>
      <c r="AD66" s="1263"/>
      <c r="AE66" s="1262"/>
      <c r="AF66" s="1262"/>
      <c r="AG66" s="1262"/>
      <c r="AH66" s="1262"/>
      <c r="AI66" s="1262"/>
      <c r="AJ66" s="1262"/>
      <c r="AK66" s="1262"/>
      <c r="AL66" s="1262"/>
      <c r="AM66" s="1262"/>
      <c r="AN66" s="1262"/>
      <c r="AO66" s="1262"/>
      <c r="AP66" s="1262"/>
      <c r="AQ66" s="1262"/>
      <c r="AR66" s="1262"/>
      <c r="AS66" s="1262"/>
      <c r="AT66" s="1262"/>
      <c r="AU66" s="1262"/>
      <c r="AV66" s="1262"/>
      <c r="AW66" s="1262"/>
      <c r="AX66" s="1262"/>
      <c r="AY66" s="1262"/>
      <c r="AZ66" s="1262"/>
    </row>
    <row r="67" spans="1:52">
      <c r="A67" s="1262"/>
      <c r="B67" s="1263"/>
      <c r="C67" s="1263"/>
      <c r="D67" s="1263"/>
      <c r="E67" s="1263"/>
      <c r="F67" s="1263"/>
      <c r="G67" s="1263"/>
      <c r="H67" s="1263"/>
      <c r="I67" s="1263"/>
      <c r="J67" s="1263"/>
      <c r="K67" s="1263"/>
      <c r="L67" s="1263"/>
      <c r="M67" s="1263"/>
      <c r="N67" s="1263"/>
      <c r="O67" s="1263"/>
      <c r="P67" s="1263"/>
      <c r="Q67" s="1263"/>
      <c r="R67" s="1263"/>
      <c r="S67" s="1263"/>
      <c r="T67" s="1263"/>
      <c r="U67" s="1263"/>
      <c r="V67" s="1263"/>
      <c r="W67" s="1263"/>
      <c r="X67" s="1263"/>
      <c r="Y67" s="1263"/>
      <c r="Z67" s="1263"/>
      <c r="AA67" s="1263"/>
      <c r="AB67" s="1263"/>
      <c r="AC67" s="1263"/>
      <c r="AD67" s="1263"/>
      <c r="AE67" s="1262"/>
      <c r="AF67" s="1262"/>
      <c r="AG67" s="1262"/>
      <c r="AH67" s="1262"/>
      <c r="AI67" s="1262"/>
      <c r="AJ67" s="1262"/>
      <c r="AK67" s="1262"/>
      <c r="AL67" s="1262"/>
      <c r="AM67" s="1262"/>
      <c r="AN67" s="1262"/>
      <c r="AO67" s="1262"/>
      <c r="AP67" s="1262"/>
      <c r="AQ67" s="1262"/>
      <c r="AR67" s="1262"/>
      <c r="AS67" s="1262"/>
      <c r="AT67" s="1262"/>
      <c r="AU67" s="1262"/>
      <c r="AV67" s="1262"/>
      <c r="AW67" s="1262"/>
      <c r="AX67" s="1262"/>
      <c r="AY67" s="1262"/>
      <c r="AZ67" s="1262"/>
    </row>
  </sheetData>
  <sheetProtection algorithmName="SHA-512" hashValue="1YCDQH7bJyXyY+XIskijybXtFDuSOaJIP8euof4K6gkwsGHcvm5Km07ab6mXofQvVYLc83blZZ1ic9OJ3xKSyg==" saltValue="XsDSPPSiz9KOJzh/J8a8FA==" spinCount="100000" sheet="1" objects="1" scenarios="1"/>
  <customSheetViews>
    <customSheetView guid="{6EFEFCA0-BF14-457A-85A3-29CBF2A862A5}" showGridLines="0" fitToPage="1">
      <selection sqref="A1:AL52"/>
      <pageMargins left="0.23622047244094491" right="0.23622047244094491" top="0.19685039370078741" bottom="0.19685039370078741" header="0" footer="0.11811023622047245"/>
      <printOptions horizontalCentered="1" verticalCentered="1"/>
      <pageSetup paperSize="9" scale="69" orientation="portrait" r:id="rId1"/>
      <headerFooter>
        <oddFooter>&amp;L&amp;10&amp;F &amp;A&amp;R&amp;10Page 49 of 61</oddFooter>
      </headerFooter>
    </customSheetView>
  </customSheetViews>
  <mergeCells count="62">
    <mergeCell ref="D13:Z13"/>
    <mergeCell ref="AB13:AD13"/>
    <mergeCell ref="D7:Z7"/>
    <mergeCell ref="D9:J9"/>
    <mergeCell ref="K9:P9"/>
    <mergeCell ref="Q9:V9"/>
    <mergeCell ref="W9:AB9"/>
    <mergeCell ref="D10:J10"/>
    <mergeCell ref="D11:J11"/>
    <mergeCell ref="K11:P11"/>
    <mergeCell ref="Q11:V11"/>
    <mergeCell ref="W11:Y11"/>
    <mergeCell ref="Z11:AB11"/>
    <mergeCell ref="K10:P10"/>
    <mergeCell ref="Q10:V10"/>
    <mergeCell ref="E30:AD30"/>
    <mergeCell ref="D15:Z15"/>
    <mergeCell ref="AB15:AD15"/>
    <mergeCell ref="D17:Z17"/>
    <mergeCell ref="AB17:AD17"/>
    <mergeCell ref="D19:Z19"/>
    <mergeCell ref="AB19:AD19"/>
    <mergeCell ref="D21:AD21"/>
    <mergeCell ref="X23:AD23"/>
    <mergeCell ref="D25:AD25"/>
    <mergeCell ref="X27:AD27"/>
    <mergeCell ref="E29:AD29"/>
    <mergeCell ref="E31:AD31"/>
    <mergeCell ref="D33:AC33"/>
    <mergeCell ref="D35:L38"/>
    <mergeCell ref="M35:O35"/>
    <mergeCell ref="P35:R35"/>
    <mergeCell ref="S35:U35"/>
    <mergeCell ref="V35:X35"/>
    <mergeCell ref="Y35:AA35"/>
    <mergeCell ref="AB35:AD35"/>
    <mergeCell ref="M36:O36"/>
    <mergeCell ref="P36:R36"/>
    <mergeCell ref="S36:U36"/>
    <mergeCell ref="V36:X36"/>
    <mergeCell ref="Y36:AA36"/>
    <mergeCell ref="AB36:AD36"/>
    <mergeCell ref="AB37:AD37"/>
    <mergeCell ref="AB38:AD38"/>
    <mergeCell ref="M37:O37"/>
    <mergeCell ref="P37:R37"/>
    <mergeCell ref="S37:U37"/>
    <mergeCell ref="V37:X37"/>
    <mergeCell ref="Y37:AA37"/>
    <mergeCell ref="M38:O38"/>
    <mergeCell ref="P38:R38"/>
    <mergeCell ref="S38:U38"/>
    <mergeCell ref="V38:X38"/>
    <mergeCell ref="Y38:AA38"/>
    <mergeCell ref="K49:W50"/>
    <mergeCell ref="K51:W51"/>
    <mergeCell ref="F44:N44"/>
    <mergeCell ref="T44:AF44"/>
    <mergeCell ref="F45:N45"/>
    <mergeCell ref="T45:AF45"/>
    <mergeCell ref="F46:N46"/>
    <mergeCell ref="X46:AF46"/>
  </mergeCells>
  <dataValidations count="1">
    <dataValidation type="whole" allowBlank="1" showInputMessage="1" showErrorMessage="1" errorTitle="GSHSP SY 2022-2023" error="Please enter valid number between 0-999." sqref="K10:V11 AB13:AD13 AB15:AD15 AB17:AD17 AB19:AD19" xr:uid="{8387B2AC-4F4B-4A0E-929F-394A32E59EE4}">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9" orientation="portrait" r:id="rId2"/>
  <headerFooter>
    <oddFooter>&amp;L&amp;10&amp;F &amp;A&amp;R&amp;10Page 49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89089" r:id="rId5" name="Check Box 1">
              <controlPr defaultSize="0" autoFill="0" autoLine="0" autoPict="0">
                <anchor moveWithCells="1">
                  <from>
                    <xdr:col>6</xdr:col>
                    <xdr:colOff>38100</xdr:colOff>
                    <xdr:row>21</xdr:row>
                    <xdr:rowOff>28575</xdr:rowOff>
                  </from>
                  <to>
                    <xdr:col>6</xdr:col>
                    <xdr:colOff>257175</xdr:colOff>
                    <xdr:row>21</xdr:row>
                    <xdr:rowOff>238125</xdr:rowOff>
                  </to>
                </anchor>
              </controlPr>
            </control>
          </mc:Choice>
        </mc:AlternateContent>
        <mc:AlternateContent xmlns:mc="http://schemas.openxmlformats.org/markup-compatibility/2006">
          <mc:Choice Requires="x14">
            <control shapeId="89090" r:id="rId6" name="Check Box 2">
              <controlPr defaultSize="0" autoFill="0" autoLine="0" autoPict="0">
                <anchor moveWithCells="1">
                  <from>
                    <xdr:col>6</xdr:col>
                    <xdr:colOff>38100</xdr:colOff>
                    <xdr:row>22</xdr:row>
                    <xdr:rowOff>9525</xdr:rowOff>
                  </from>
                  <to>
                    <xdr:col>6</xdr:col>
                    <xdr:colOff>257175</xdr:colOff>
                    <xdr:row>22</xdr:row>
                    <xdr:rowOff>238125</xdr:rowOff>
                  </to>
                </anchor>
              </controlPr>
            </control>
          </mc:Choice>
        </mc:AlternateContent>
        <mc:AlternateContent xmlns:mc="http://schemas.openxmlformats.org/markup-compatibility/2006">
          <mc:Choice Requires="x14">
            <control shapeId="89091" r:id="rId7" name="Check Box 3">
              <controlPr defaultSize="0" autoFill="0" autoLine="0" autoPict="0">
                <anchor moveWithCells="1">
                  <from>
                    <xdr:col>6</xdr:col>
                    <xdr:colOff>38100</xdr:colOff>
                    <xdr:row>23</xdr:row>
                    <xdr:rowOff>0</xdr:rowOff>
                  </from>
                  <to>
                    <xdr:col>7</xdr:col>
                    <xdr:colOff>9525</xdr:colOff>
                    <xdr:row>24</xdr:row>
                    <xdr:rowOff>0</xdr:rowOff>
                  </to>
                </anchor>
              </controlPr>
            </control>
          </mc:Choice>
        </mc:AlternateContent>
        <mc:AlternateContent xmlns:mc="http://schemas.openxmlformats.org/markup-compatibility/2006">
          <mc:Choice Requires="x14">
            <control shapeId="89092" r:id="rId8" name="Check Box 4">
              <controlPr defaultSize="0" autoFill="0" autoLine="0" autoPict="0">
                <anchor moveWithCells="1">
                  <from>
                    <xdr:col>18</xdr:col>
                    <xdr:colOff>28575</xdr:colOff>
                    <xdr:row>21</xdr:row>
                    <xdr:rowOff>28575</xdr:rowOff>
                  </from>
                  <to>
                    <xdr:col>18</xdr:col>
                    <xdr:colOff>257175</xdr:colOff>
                    <xdr:row>21</xdr:row>
                    <xdr:rowOff>257175</xdr:rowOff>
                  </to>
                </anchor>
              </controlPr>
            </control>
          </mc:Choice>
        </mc:AlternateContent>
        <mc:AlternateContent xmlns:mc="http://schemas.openxmlformats.org/markup-compatibility/2006">
          <mc:Choice Requires="x14">
            <control shapeId="89093" r:id="rId9" name="Check Box 5">
              <controlPr defaultSize="0" autoFill="0" autoLine="0" autoPict="0">
                <anchor moveWithCells="1">
                  <from>
                    <xdr:col>18</xdr:col>
                    <xdr:colOff>28575</xdr:colOff>
                    <xdr:row>22</xdr:row>
                    <xdr:rowOff>28575</xdr:rowOff>
                  </from>
                  <to>
                    <xdr:col>19</xdr:col>
                    <xdr:colOff>0</xdr:colOff>
                    <xdr:row>23</xdr:row>
                    <xdr:rowOff>9525</xdr:rowOff>
                  </to>
                </anchor>
              </controlPr>
            </control>
          </mc:Choice>
        </mc:AlternateContent>
        <mc:AlternateContent xmlns:mc="http://schemas.openxmlformats.org/markup-compatibility/2006">
          <mc:Choice Requires="x14">
            <control shapeId="89094" r:id="rId10" name="Check Box 6">
              <controlPr defaultSize="0" autoFill="0" autoLine="0" autoPict="0">
                <anchor moveWithCells="1">
                  <from>
                    <xdr:col>6</xdr:col>
                    <xdr:colOff>28575</xdr:colOff>
                    <xdr:row>25</xdr:row>
                    <xdr:rowOff>9525</xdr:rowOff>
                  </from>
                  <to>
                    <xdr:col>6</xdr:col>
                    <xdr:colOff>266700</xdr:colOff>
                    <xdr:row>26</xdr:row>
                    <xdr:rowOff>9525</xdr:rowOff>
                  </to>
                </anchor>
              </controlPr>
            </control>
          </mc:Choice>
        </mc:AlternateContent>
        <mc:AlternateContent xmlns:mc="http://schemas.openxmlformats.org/markup-compatibility/2006">
          <mc:Choice Requires="x14">
            <control shapeId="89095" r:id="rId11" name="Check Box 7">
              <controlPr defaultSize="0" autoFill="0" autoLine="0" autoPict="0">
                <anchor moveWithCells="1">
                  <from>
                    <xdr:col>6</xdr:col>
                    <xdr:colOff>28575</xdr:colOff>
                    <xdr:row>26</xdr:row>
                    <xdr:rowOff>0</xdr:rowOff>
                  </from>
                  <to>
                    <xdr:col>7</xdr:col>
                    <xdr:colOff>28575</xdr:colOff>
                    <xdr:row>26</xdr:row>
                    <xdr:rowOff>238125</xdr:rowOff>
                  </to>
                </anchor>
              </controlPr>
            </control>
          </mc:Choice>
        </mc:AlternateContent>
        <mc:AlternateContent xmlns:mc="http://schemas.openxmlformats.org/markup-compatibility/2006">
          <mc:Choice Requires="x14">
            <control shapeId="89096" r:id="rId12" name="Check Box 8">
              <controlPr defaultSize="0" autoFill="0" autoLine="0" autoPict="0">
                <anchor moveWithCells="1">
                  <from>
                    <xdr:col>6</xdr:col>
                    <xdr:colOff>28575</xdr:colOff>
                    <xdr:row>26</xdr:row>
                    <xdr:rowOff>238125</xdr:rowOff>
                  </from>
                  <to>
                    <xdr:col>7</xdr:col>
                    <xdr:colOff>9525</xdr:colOff>
                    <xdr:row>27</xdr:row>
                    <xdr:rowOff>219075</xdr:rowOff>
                  </to>
                </anchor>
              </controlPr>
            </control>
          </mc:Choice>
        </mc:AlternateContent>
        <mc:AlternateContent xmlns:mc="http://schemas.openxmlformats.org/markup-compatibility/2006">
          <mc:Choice Requires="x14">
            <control shapeId="89097" r:id="rId13" name="Check Box 9">
              <controlPr defaultSize="0" autoFill="0" autoLine="0" autoPict="0">
                <anchor moveWithCells="1">
                  <from>
                    <xdr:col>18</xdr:col>
                    <xdr:colOff>28575</xdr:colOff>
                    <xdr:row>25</xdr:row>
                    <xdr:rowOff>9525</xdr:rowOff>
                  </from>
                  <to>
                    <xdr:col>18</xdr:col>
                    <xdr:colOff>238125</xdr:colOff>
                    <xdr:row>25</xdr:row>
                    <xdr:rowOff>257175</xdr:rowOff>
                  </to>
                </anchor>
              </controlPr>
            </control>
          </mc:Choice>
        </mc:AlternateContent>
        <mc:AlternateContent xmlns:mc="http://schemas.openxmlformats.org/markup-compatibility/2006">
          <mc:Choice Requires="x14">
            <control shapeId="89098" r:id="rId14" name="Check Box 10">
              <controlPr defaultSize="0" autoFill="0" autoLine="0" autoPict="0">
                <anchor moveWithCells="1">
                  <from>
                    <xdr:col>18</xdr:col>
                    <xdr:colOff>28575</xdr:colOff>
                    <xdr:row>26</xdr:row>
                    <xdr:rowOff>9525</xdr:rowOff>
                  </from>
                  <to>
                    <xdr:col>19</xdr:col>
                    <xdr:colOff>0</xdr:colOff>
                    <xdr:row>27</xdr:row>
                    <xdr:rowOff>9525</xdr:rowOff>
                  </to>
                </anchor>
              </controlPr>
            </control>
          </mc:Choice>
        </mc:AlternateContent>
        <mc:AlternateContent xmlns:mc="http://schemas.openxmlformats.org/markup-compatibility/2006">
          <mc:Choice Requires="x14">
            <control shapeId="89099" r:id="rId15" name="Check Box 11">
              <controlPr defaultSize="0" autoFill="0" autoLine="0" autoPict="0">
                <anchor moveWithCells="1">
                  <from>
                    <xdr:col>3</xdr:col>
                    <xdr:colOff>47625</xdr:colOff>
                    <xdr:row>28</xdr:row>
                    <xdr:rowOff>66675</xdr:rowOff>
                  </from>
                  <to>
                    <xdr:col>3</xdr:col>
                    <xdr:colOff>238125</xdr:colOff>
                    <xdr:row>28</xdr:row>
                    <xdr:rowOff>257175</xdr:rowOff>
                  </to>
                </anchor>
              </controlPr>
            </control>
          </mc:Choice>
        </mc:AlternateContent>
        <mc:AlternateContent xmlns:mc="http://schemas.openxmlformats.org/markup-compatibility/2006">
          <mc:Choice Requires="x14">
            <control shapeId="89100" r:id="rId16" name="Check Box 12">
              <controlPr defaultSize="0" autoFill="0" autoLine="0" autoPict="0">
                <anchor moveWithCells="1">
                  <from>
                    <xdr:col>3</xdr:col>
                    <xdr:colOff>38100</xdr:colOff>
                    <xdr:row>29</xdr:row>
                    <xdr:rowOff>28575</xdr:rowOff>
                  </from>
                  <to>
                    <xdr:col>4</xdr:col>
                    <xdr:colOff>28575</xdr:colOff>
                    <xdr:row>29</xdr:row>
                    <xdr:rowOff>276225</xdr:rowOff>
                  </to>
                </anchor>
              </controlPr>
            </control>
          </mc:Choice>
        </mc:AlternateContent>
        <mc:AlternateContent xmlns:mc="http://schemas.openxmlformats.org/markup-compatibility/2006">
          <mc:Choice Requires="x14">
            <control shapeId="89101" r:id="rId17" name="Check Box 13">
              <controlPr defaultSize="0" autoFill="0" autoLine="0" autoPict="0">
                <anchor moveWithCells="1">
                  <from>
                    <xdr:col>3</xdr:col>
                    <xdr:colOff>38100</xdr:colOff>
                    <xdr:row>30</xdr:row>
                    <xdr:rowOff>38100</xdr:rowOff>
                  </from>
                  <to>
                    <xdr:col>3</xdr:col>
                    <xdr:colOff>257175</xdr:colOff>
                    <xdr:row>30</xdr:row>
                    <xdr:rowOff>266700</xdr:rowOff>
                  </to>
                </anchor>
              </controlPr>
            </control>
          </mc:Choice>
        </mc:AlternateContent>
        <mc:AlternateContent xmlns:mc="http://schemas.openxmlformats.org/markup-compatibility/2006">
          <mc:Choice Requires="x14">
            <control shapeId="89103" r:id="rId18" name="Check Box 15">
              <controlPr defaultSize="0" autoFill="0" autoLine="0" autoPict="0">
                <anchor moveWithCells="1">
                  <from>
                    <xdr:col>13</xdr:col>
                    <xdr:colOff>28575</xdr:colOff>
                    <xdr:row>35</xdr:row>
                    <xdr:rowOff>38100</xdr:rowOff>
                  </from>
                  <to>
                    <xdr:col>13</xdr:col>
                    <xdr:colOff>219075</xdr:colOff>
                    <xdr:row>35</xdr:row>
                    <xdr:rowOff>238125</xdr:rowOff>
                  </to>
                </anchor>
              </controlPr>
            </control>
          </mc:Choice>
        </mc:AlternateContent>
        <mc:AlternateContent xmlns:mc="http://schemas.openxmlformats.org/markup-compatibility/2006">
          <mc:Choice Requires="x14">
            <control shapeId="89104" r:id="rId19" name="Check Box 16">
              <controlPr defaultSize="0" autoFill="0" autoLine="0" autoPict="0">
                <anchor moveWithCells="1">
                  <from>
                    <xdr:col>16</xdr:col>
                    <xdr:colOff>9525</xdr:colOff>
                    <xdr:row>35</xdr:row>
                    <xdr:rowOff>38100</xdr:rowOff>
                  </from>
                  <to>
                    <xdr:col>16</xdr:col>
                    <xdr:colOff>219075</xdr:colOff>
                    <xdr:row>35</xdr:row>
                    <xdr:rowOff>257175</xdr:rowOff>
                  </to>
                </anchor>
              </controlPr>
            </control>
          </mc:Choice>
        </mc:AlternateContent>
        <mc:AlternateContent xmlns:mc="http://schemas.openxmlformats.org/markup-compatibility/2006">
          <mc:Choice Requires="x14">
            <control shapeId="89105" r:id="rId20" name="Check Box 17">
              <controlPr defaultSize="0" autoFill="0" autoLine="0" autoPict="0">
                <anchor moveWithCells="1">
                  <from>
                    <xdr:col>19</xdr:col>
                    <xdr:colOff>28575</xdr:colOff>
                    <xdr:row>35</xdr:row>
                    <xdr:rowOff>28575</xdr:rowOff>
                  </from>
                  <to>
                    <xdr:col>19</xdr:col>
                    <xdr:colOff>228600</xdr:colOff>
                    <xdr:row>35</xdr:row>
                    <xdr:rowOff>257175</xdr:rowOff>
                  </to>
                </anchor>
              </controlPr>
            </control>
          </mc:Choice>
        </mc:AlternateContent>
        <mc:AlternateContent xmlns:mc="http://schemas.openxmlformats.org/markup-compatibility/2006">
          <mc:Choice Requires="x14">
            <control shapeId="89106" r:id="rId21" name="Check Box 18">
              <controlPr defaultSize="0" autoFill="0" autoLine="0" autoPict="0">
                <anchor moveWithCells="1">
                  <from>
                    <xdr:col>22</xdr:col>
                    <xdr:colOff>47625</xdr:colOff>
                    <xdr:row>35</xdr:row>
                    <xdr:rowOff>28575</xdr:rowOff>
                  </from>
                  <to>
                    <xdr:col>22</xdr:col>
                    <xdr:colOff>219075</xdr:colOff>
                    <xdr:row>35</xdr:row>
                    <xdr:rowOff>228600</xdr:rowOff>
                  </to>
                </anchor>
              </controlPr>
            </control>
          </mc:Choice>
        </mc:AlternateContent>
        <mc:AlternateContent xmlns:mc="http://schemas.openxmlformats.org/markup-compatibility/2006">
          <mc:Choice Requires="x14">
            <control shapeId="89107" r:id="rId22" name="Check Box 19">
              <controlPr defaultSize="0" autoFill="0" autoLine="0" autoPict="0">
                <anchor moveWithCells="1">
                  <from>
                    <xdr:col>25</xdr:col>
                    <xdr:colOff>28575</xdr:colOff>
                    <xdr:row>35</xdr:row>
                    <xdr:rowOff>28575</xdr:rowOff>
                  </from>
                  <to>
                    <xdr:col>25</xdr:col>
                    <xdr:colOff>257175</xdr:colOff>
                    <xdr:row>35</xdr:row>
                    <xdr:rowOff>276225</xdr:rowOff>
                  </to>
                </anchor>
              </controlPr>
            </control>
          </mc:Choice>
        </mc:AlternateContent>
        <mc:AlternateContent xmlns:mc="http://schemas.openxmlformats.org/markup-compatibility/2006">
          <mc:Choice Requires="x14">
            <control shapeId="89108" r:id="rId23" name="Check Box 20">
              <controlPr defaultSize="0" autoFill="0" autoLine="0" autoPict="0">
                <anchor moveWithCells="1">
                  <from>
                    <xdr:col>28</xdr:col>
                    <xdr:colOff>38100</xdr:colOff>
                    <xdr:row>35</xdr:row>
                    <xdr:rowOff>47625</xdr:rowOff>
                  </from>
                  <to>
                    <xdr:col>28</xdr:col>
                    <xdr:colOff>219075</xdr:colOff>
                    <xdr:row>35</xdr:row>
                    <xdr:rowOff>257175</xdr:rowOff>
                  </to>
                </anchor>
              </controlPr>
            </control>
          </mc:Choice>
        </mc:AlternateContent>
        <mc:AlternateContent xmlns:mc="http://schemas.openxmlformats.org/markup-compatibility/2006">
          <mc:Choice Requires="x14">
            <control shapeId="89109" r:id="rId24" name="Check Box 21">
              <controlPr defaultSize="0" autoFill="0" autoLine="0" autoPict="0">
                <anchor moveWithCells="1">
                  <from>
                    <xdr:col>13</xdr:col>
                    <xdr:colOff>0</xdr:colOff>
                    <xdr:row>37</xdr:row>
                    <xdr:rowOff>9525</xdr:rowOff>
                  </from>
                  <to>
                    <xdr:col>14</xdr:col>
                    <xdr:colOff>0</xdr:colOff>
                    <xdr:row>37</xdr:row>
                    <xdr:rowOff>257175</xdr:rowOff>
                  </to>
                </anchor>
              </controlPr>
            </control>
          </mc:Choice>
        </mc:AlternateContent>
        <mc:AlternateContent xmlns:mc="http://schemas.openxmlformats.org/markup-compatibility/2006">
          <mc:Choice Requires="x14">
            <control shapeId="89110" r:id="rId25" name="Check Box 22">
              <controlPr defaultSize="0" autoFill="0" autoLine="0" autoPict="0">
                <anchor moveWithCells="1">
                  <from>
                    <xdr:col>16</xdr:col>
                    <xdr:colOff>9525</xdr:colOff>
                    <xdr:row>37</xdr:row>
                    <xdr:rowOff>9525</xdr:rowOff>
                  </from>
                  <to>
                    <xdr:col>16</xdr:col>
                    <xdr:colOff>238125</xdr:colOff>
                    <xdr:row>37</xdr:row>
                    <xdr:rowOff>257175</xdr:rowOff>
                  </to>
                </anchor>
              </controlPr>
            </control>
          </mc:Choice>
        </mc:AlternateContent>
        <mc:AlternateContent xmlns:mc="http://schemas.openxmlformats.org/markup-compatibility/2006">
          <mc:Choice Requires="x14">
            <control shapeId="89111" r:id="rId26" name="Check Box 23">
              <controlPr defaultSize="0" autoFill="0" autoLine="0" autoPict="0">
                <anchor moveWithCells="1">
                  <from>
                    <xdr:col>19</xdr:col>
                    <xdr:colOff>0</xdr:colOff>
                    <xdr:row>37</xdr:row>
                    <xdr:rowOff>28575</xdr:rowOff>
                  </from>
                  <to>
                    <xdr:col>19</xdr:col>
                    <xdr:colOff>180975</xdr:colOff>
                    <xdr:row>37</xdr:row>
                    <xdr:rowOff>238125</xdr:rowOff>
                  </to>
                </anchor>
              </controlPr>
            </control>
          </mc:Choice>
        </mc:AlternateContent>
        <mc:AlternateContent xmlns:mc="http://schemas.openxmlformats.org/markup-compatibility/2006">
          <mc:Choice Requires="x14">
            <control shapeId="89112" r:id="rId27" name="Check Box 24">
              <controlPr defaultSize="0" autoFill="0" autoLine="0" autoPict="0">
                <anchor moveWithCells="1">
                  <from>
                    <xdr:col>22</xdr:col>
                    <xdr:colOff>0</xdr:colOff>
                    <xdr:row>37</xdr:row>
                    <xdr:rowOff>9525</xdr:rowOff>
                  </from>
                  <to>
                    <xdr:col>22</xdr:col>
                    <xdr:colOff>219075</xdr:colOff>
                    <xdr:row>37</xdr:row>
                    <xdr:rowOff>238125</xdr:rowOff>
                  </to>
                </anchor>
              </controlPr>
            </control>
          </mc:Choice>
        </mc:AlternateContent>
        <mc:AlternateContent xmlns:mc="http://schemas.openxmlformats.org/markup-compatibility/2006">
          <mc:Choice Requires="x14">
            <control shapeId="89113" r:id="rId28" name="Check Box 25">
              <controlPr defaultSize="0" autoFill="0" autoLine="0" autoPict="0">
                <anchor moveWithCells="1">
                  <from>
                    <xdr:col>25</xdr:col>
                    <xdr:colOff>28575</xdr:colOff>
                    <xdr:row>37</xdr:row>
                    <xdr:rowOff>28575</xdr:rowOff>
                  </from>
                  <to>
                    <xdr:col>25</xdr:col>
                    <xdr:colOff>238125</xdr:colOff>
                    <xdr:row>37</xdr:row>
                    <xdr:rowOff>257175</xdr:rowOff>
                  </to>
                </anchor>
              </controlPr>
            </control>
          </mc:Choice>
        </mc:AlternateContent>
        <mc:AlternateContent xmlns:mc="http://schemas.openxmlformats.org/markup-compatibility/2006">
          <mc:Choice Requires="x14">
            <control shapeId="89114" r:id="rId29" name="Check Box 26">
              <controlPr defaultSize="0" autoFill="0" autoLine="0" autoPict="0">
                <anchor moveWithCells="1">
                  <from>
                    <xdr:col>28</xdr:col>
                    <xdr:colOff>28575</xdr:colOff>
                    <xdr:row>37</xdr:row>
                    <xdr:rowOff>28575</xdr:rowOff>
                  </from>
                  <to>
                    <xdr:col>28</xdr:col>
                    <xdr:colOff>257175</xdr:colOff>
                    <xdr:row>37</xdr:row>
                    <xdr:rowOff>238125</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ECCAA-51C0-4768-97FF-4C99426F4E6C}">
  <sheetPr codeName="Sheet52">
    <tabColor rgb="FFFFFF00"/>
    <pageSetUpPr fitToPage="1"/>
  </sheetPr>
  <dimension ref="A1:BB52"/>
  <sheetViews>
    <sheetView showGridLines="0" zoomScaleNormal="100" zoomScaleSheetLayoutView="100" workbookViewId="0">
      <selection sqref="A1:AI36"/>
    </sheetView>
  </sheetViews>
  <sheetFormatPr defaultColWidth="8" defaultRowHeight="15.75"/>
  <cols>
    <col min="1" max="1" width="2.125" style="176" customWidth="1"/>
    <col min="2" max="30" width="3.625" style="175" customWidth="1"/>
    <col min="31" max="32" width="3.625" style="176" customWidth="1"/>
    <col min="33" max="33" width="2.125" style="176" customWidth="1"/>
    <col min="34" max="51" width="3.625" style="176" customWidth="1"/>
    <col min="52" max="54" width="3.625" style="1262" customWidth="1"/>
    <col min="55" max="165" width="3.625" style="176" customWidth="1"/>
    <col min="166" max="16384" width="8" style="176"/>
  </cols>
  <sheetData>
    <row r="1" spans="1:54" ht="12" customHeight="1">
      <c r="A1" s="1262"/>
      <c r="B1" s="1263"/>
      <c r="C1" s="1263"/>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2"/>
      <c r="AF1" s="1262"/>
      <c r="AG1" s="1262"/>
      <c r="AH1" s="1262"/>
      <c r="AI1" s="1262"/>
      <c r="AJ1" s="1262"/>
      <c r="AK1" s="1262"/>
      <c r="AL1" s="1262"/>
      <c r="AM1" s="1262"/>
      <c r="AN1" s="1262"/>
      <c r="AO1" s="1262"/>
      <c r="AP1" s="1262"/>
      <c r="AQ1" s="1262"/>
      <c r="AR1" s="1262"/>
      <c r="AS1" s="1262"/>
      <c r="AT1" s="1262"/>
      <c r="AU1" s="1262"/>
      <c r="AV1" s="1262"/>
      <c r="AW1" s="1262"/>
      <c r="AX1" s="1262"/>
      <c r="AY1" s="1262"/>
    </row>
    <row r="2" spans="1:54" ht="17.25" thickBot="1">
      <c r="A2" s="1262"/>
      <c r="B2" s="1264" t="s">
        <v>1506</v>
      </c>
      <c r="C2" s="1262"/>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c r="AS2" s="1262"/>
      <c r="AT2" s="1262"/>
      <c r="AU2" s="1262"/>
      <c r="AV2" s="1262"/>
      <c r="AW2" s="1262"/>
      <c r="AX2" s="1262"/>
      <c r="AY2" s="1262"/>
    </row>
    <row r="3" spans="1:54" ht="5.0999999999999996" customHeight="1" thickTop="1">
      <c r="A3" s="1262"/>
      <c r="B3" s="1266"/>
      <c r="C3" s="1267"/>
      <c r="D3" s="1267"/>
      <c r="E3" s="1267"/>
      <c r="F3" s="1267"/>
      <c r="G3" s="1267"/>
      <c r="H3" s="1267"/>
      <c r="I3" s="1267"/>
      <c r="J3" s="1267"/>
      <c r="K3" s="1267"/>
      <c r="L3" s="1267"/>
      <c r="M3" s="1267"/>
      <c r="N3" s="1267"/>
      <c r="O3" s="1267"/>
      <c r="P3" s="1267"/>
      <c r="Q3" s="1267"/>
      <c r="R3" s="1267"/>
      <c r="S3" s="1267"/>
      <c r="T3" s="1267"/>
      <c r="U3" s="1267"/>
      <c r="V3" s="1267"/>
      <c r="W3" s="1267"/>
      <c r="X3" s="1267"/>
      <c r="Y3" s="1267"/>
      <c r="Z3" s="1267"/>
      <c r="AA3" s="1267"/>
      <c r="AB3" s="1267"/>
      <c r="AC3" s="1267"/>
      <c r="AD3" s="1267"/>
      <c r="AE3" s="1267"/>
      <c r="AF3" s="1268"/>
      <c r="AG3" s="1262"/>
      <c r="AH3" s="1262"/>
      <c r="AI3" s="1262"/>
      <c r="AJ3" s="1262"/>
      <c r="AK3" s="1262"/>
      <c r="AL3" s="1262"/>
      <c r="AM3" s="1262"/>
      <c r="AN3" s="1262"/>
      <c r="AO3" s="1262"/>
      <c r="AP3" s="1262"/>
      <c r="AQ3" s="1262"/>
      <c r="AR3" s="1262"/>
      <c r="AS3" s="1262"/>
      <c r="AT3" s="1262"/>
      <c r="AU3" s="1262"/>
      <c r="AV3" s="1262"/>
      <c r="AW3" s="1262"/>
      <c r="AX3" s="1262"/>
      <c r="AY3" s="1262"/>
    </row>
    <row r="4" spans="1:54" s="177" customFormat="1" ht="24.75" customHeight="1">
      <c r="A4" s="1319"/>
      <c r="B4" s="1320"/>
      <c r="C4" s="1326" t="s">
        <v>47</v>
      </c>
      <c r="D4" s="1340" t="b">
        <v>1</v>
      </c>
      <c r="E4" s="3708" t="s">
        <v>1507</v>
      </c>
      <c r="F4" s="3708"/>
      <c r="G4" s="3708"/>
      <c r="H4" s="3708"/>
      <c r="I4" s="3708"/>
      <c r="J4" s="3708"/>
      <c r="K4" s="3708"/>
      <c r="L4" s="3708"/>
      <c r="M4" s="3708"/>
      <c r="N4" s="3708"/>
      <c r="O4" s="3708"/>
      <c r="P4" s="3708"/>
      <c r="Q4" s="3708"/>
      <c r="R4" s="3708"/>
      <c r="S4" s="3708"/>
      <c r="T4" s="3708"/>
      <c r="U4" s="3708"/>
      <c r="V4" s="3708"/>
      <c r="W4" s="3708"/>
      <c r="X4" s="3708"/>
      <c r="Y4" s="3708"/>
      <c r="Z4" s="3708"/>
      <c r="AA4" s="3708"/>
      <c r="AB4" s="3708"/>
      <c r="AC4" s="3708"/>
      <c r="AD4" s="3708"/>
      <c r="AE4" s="1322"/>
      <c r="AF4" s="1323"/>
      <c r="AG4" s="1322"/>
      <c r="AH4" s="1322"/>
      <c r="AI4" s="1322"/>
      <c r="AJ4" s="1322"/>
      <c r="AK4" s="1322"/>
      <c r="AL4" s="1322"/>
      <c r="AM4" s="1322"/>
      <c r="AN4" s="1322"/>
      <c r="AO4" s="1322"/>
      <c r="AP4" s="1319"/>
      <c r="AQ4" s="1319"/>
      <c r="AR4" s="1319"/>
      <c r="AS4" s="1319"/>
      <c r="AT4" s="1319"/>
      <c r="AU4" s="1319"/>
      <c r="AV4" s="1319"/>
      <c r="AW4" s="1319"/>
      <c r="AX4" s="1319"/>
      <c r="AY4" s="1319"/>
      <c r="AZ4" s="1319"/>
      <c r="BA4" s="1319"/>
      <c r="BB4" s="1319"/>
    </row>
    <row r="5" spans="1:54" ht="15.6" customHeight="1">
      <c r="A5" s="1262"/>
      <c r="B5" s="1269"/>
      <c r="C5" s="1301" t="s">
        <v>48</v>
      </c>
      <c r="D5" s="3666" t="s">
        <v>1863</v>
      </c>
      <c r="E5" s="3666"/>
      <c r="F5" s="3666"/>
      <c r="G5" s="3666"/>
      <c r="H5" s="3666"/>
      <c r="I5" s="3666"/>
      <c r="J5" s="3666"/>
      <c r="K5" s="3666"/>
      <c r="L5" s="3666"/>
      <c r="M5" s="3666"/>
      <c r="N5" s="3666"/>
      <c r="O5" s="3666"/>
      <c r="P5" s="3666"/>
      <c r="Q5" s="3666"/>
      <c r="R5" s="3666"/>
      <c r="S5" s="3666"/>
      <c r="T5" s="3666"/>
      <c r="U5" s="3666"/>
      <c r="V5" s="3666"/>
      <c r="W5" s="3666"/>
      <c r="X5" s="3666"/>
      <c r="Y5" s="3666"/>
      <c r="Z5" s="3666"/>
      <c r="AA5" s="1309"/>
      <c r="AB5" s="1309"/>
      <c r="AC5" s="1309"/>
      <c r="AD5" s="1302"/>
      <c r="AE5" s="1271"/>
      <c r="AF5" s="1272"/>
      <c r="AG5" s="1262"/>
      <c r="AH5" s="1262"/>
      <c r="AI5" s="1262"/>
      <c r="AJ5" s="1262"/>
      <c r="AK5" s="1262"/>
      <c r="AL5" s="1262"/>
      <c r="AM5" s="1262"/>
      <c r="AN5" s="1262"/>
      <c r="AO5" s="1262"/>
      <c r="AP5" s="1262"/>
      <c r="AQ5" s="1262"/>
      <c r="AR5" s="1262"/>
      <c r="AS5" s="1262"/>
      <c r="AT5" s="1262"/>
      <c r="AU5" s="1262"/>
      <c r="AV5" s="1262"/>
      <c r="AW5" s="1262"/>
      <c r="AX5" s="1262"/>
      <c r="AY5" s="1262"/>
    </row>
    <row r="6" spans="1:54" ht="5.0999999999999996" customHeight="1" thickBot="1">
      <c r="A6" s="1262"/>
      <c r="B6" s="1303"/>
      <c r="C6" s="1327"/>
      <c r="D6" s="1327"/>
      <c r="E6" s="1327"/>
      <c r="F6" s="1327"/>
      <c r="G6" s="1327"/>
      <c r="H6" s="1327"/>
      <c r="I6" s="1327"/>
      <c r="J6" s="1327"/>
      <c r="K6" s="1327"/>
      <c r="L6" s="1327"/>
      <c r="M6" s="1327"/>
      <c r="N6" s="1327"/>
      <c r="O6" s="1327"/>
      <c r="P6" s="1327"/>
      <c r="Q6" s="1327"/>
      <c r="R6" s="1327"/>
      <c r="S6" s="1327"/>
      <c r="T6" s="1327"/>
      <c r="U6" s="1327"/>
      <c r="V6" s="1327"/>
      <c r="W6" s="1327"/>
      <c r="X6" s="1327"/>
      <c r="Y6" s="1327"/>
      <c r="Z6" s="1327"/>
      <c r="AA6" s="1327"/>
      <c r="AB6" s="1327"/>
      <c r="AC6" s="1327"/>
      <c r="AD6" s="1327"/>
      <c r="AE6" s="1327"/>
      <c r="AF6" s="1277"/>
      <c r="AG6" s="1262"/>
      <c r="AH6" s="1262"/>
      <c r="AI6" s="1262"/>
      <c r="AJ6" s="1262"/>
      <c r="AK6" s="1262"/>
      <c r="AL6" s="1262"/>
      <c r="AM6" s="1262"/>
      <c r="AN6" s="1262"/>
      <c r="AO6" s="1262"/>
      <c r="AP6" s="1262"/>
      <c r="AQ6" s="1262"/>
      <c r="AR6" s="1262"/>
      <c r="AS6" s="1262"/>
      <c r="AT6" s="1262"/>
      <c r="AU6" s="1262"/>
      <c r="AV6" s="1262"/>
      <c r="AW6" s="1262"/>
      <c r="AX6" s="1262"/>
      <c r="AY6" s="1262"/>
    </row>
    <row r="7" spans="1:54" s="175" customFormat="1" ht="53.45" customHeight="1" thickTop="1" thickBot="1">
      <c r="A7" s="1263"/>
      <c r="B7" s="1273"/>
      <c r="C7" s="1274"/>
      <c r="D7" s="3639" t="s">
        <v>1486</v>
      </c>
      <c r="E7" s="3640"/>
      <c r="F7" s="3640"/>
      <c r="G7" s="3640"/>
      <c r="H7" s="3640"/>
      <c r="I7" s="3640"/>
      <c r="J7" s="3646"/>
      <c r="K7" s="3640" t="s">
        <v>1508</v>
      </c>
      <c r="L7" s="3640"/>
      <c r="M7" s="3640"/>
      <c r="N7" s="3640"/>
      <c r="O7" s="3640"/>
      <c r="P7" s="3641" t="s">
        <v>1509</v>
      </c>
      <c r="Q7" s="3642"/>
      <c r="R7" s="3642"/>
      <c r="S7" s="3642"/>
      <c r="T7" s="3643"/>
      <c r="U7" s="3641" t="s">
        <v>1510</v>
      </c>
      <c r="V7" s="3642"/>
      <c r="W7" s="3642"/>
      <c r="X7" s="3642"/>
      <c r="Y7" s="3643"/>
      <c r="Z7" s="3640" t="s">
        <v>1427</v>
      </c>
      <c r="AA7" s="3640"/>
      <c r="AB7" s="3640"/>
      <c r="AC7" s="3640"/>
      <c r="AD7" s="3646"/>
      <c r="AE7" s="1263"/>
      <c r="AF7" s="1284"/>
      <c r="AG7" s="1263"/>
      <c r="AH7" s="1263"/>
      <c r="AI7" s="1263"/>
      <c r="AJ7" s="1263"/>
      <c r="AK7" s="1263"/>
      <c r="AL7" s="1263"/>
      <c r="AM7" s="1263"/>
      <c r="AN7" s="1263"/>
      <c r="AO7" s="1263"/>
      <c r="AP7" s="1263"/>
      <c r="AQ7" s="1263"/>
      <c r="AR7" s="1263"/>
      <c r="AS7" s="1263"/>
      <c r="AT7" s="1263"/>
      <c r="AU7" s="1263"/>
      <c r="AV7" s="1263"/>
      <c r="AW7" s="1263"/>
      <c r="AX7" s="1263"/>
      <c r="AY7" s="1263"/>
      <c r="AZ7" s="1263"/>
      <c r="BA7" s="1263"/>
      <c r="BB7" s="1263"/>
    </row>
    <row r="8" spans="1:54" s="175" customFormat="1" ht="17.25" thickTop="1" thickBot="1">
      <c r="A8" s="1263"/>
      <c r="B8" s="1273"/>
      <c r="C8" s="1274"/>
      <c r="D8" s="3774" t="s">
        <v>1864</v>
      </c>
      <c r="E8" s="3775"/>
      <c r="F8" s="3775"/>
      <c r="G8" s="3775"/>
      <c r="H8" s="3775"/>
      <c r="I8" s="3775"/>
      <c r="J8" s="3776"/>
      <c r="K8" s="3709"/>
      <c r="L8" s="3710"/>
      <c r="M8" s="3710"/>
      <c r="N8" s="3710"/>
      <c r="O8" s="3710"/>
      <c r="P8" s="3710"/>
      <c r="Q8" s="3710"/>
      <c r="R8" s="3710"/>
      <c r="S8" s="3710"/>
      <c r="T8" s="3710"/>
      <c r="U8" s="3710"/>
      <c r="V8" s="3710"/>
      <c r="W8" s="3710"/>
      <c r="X8" s="3710"/>
      <c r="Y8" s="3710"/>
      <c r="Z8" s="3710"/>
      <c r="AA8" s="3710"/>
      <c r="AB8" s="3710"/>
      <c r="AC8" s="3710"/>
      <c r="AD8" s="3713"/>
      <c r="AE8" s="1263"/>
      <c r="AF8" s="1284"/>
      <c r="AG8" s="1263"/>
      <c r="AH8" s="1263"/>
      <c r="AI8" s="1263"/>
      <c r="AJ8" s="1263"/>
      <c r="AK8" s="1263"/>
      <c r="AL8" s="1263"/>
      <c r="AM8" s="1263"/>
      <c r="AN8" s="1263"/>
      <c r="AO8" s="1263"/>
      <c r="AP8" s="1263"/>
      <c r="AQ8" s="1263"/>
      <c r="AR8" s="1263"/>
      <c r="AS8" s="1263"/>
      <c r="AT8" s="1263"/>
      <c r="AU8" s="1263"/>
      <c r="AV8" s="1263"/>
      <c r="AW8" s="1263"/>
      <c r="AX8" s="1263"/>
      <c r="AY8" s="1263"/>
      <c r="AZ8" s="1263"/>
      <c r="BA8" s="1263"/>
      <c r="BB8" s="1263"/>
    </row>
    <row r="9" spans="1:54" s="175" customFormat="1" ht="30" customHeight="1">
      <c r="A9" s="1263"/>
      <c r="B9" s="1273"/>
      <c r="C9" s="1274"/>
      <c r="D9" s="3759" t="s">
        <v>1489</v>
      </c>
      <c r="E9" s="3760"/>
      <c r="F9" s="3760"/>
      <c r="G9" s="3760"/>
      <c r="H9" s="3760"/>
      <c r="I9" s="3760"/>
      <c r="J9" s="3761"/>
      <c r="K9" s="3762">
        <v>0</v>
      </c>
      <c r="L9" s="3762"/>
      <c r="M9" s="3762"/>
      <c r="N9" s="3762"/>
      <c r="O9" s="3762"/>
      <c r="P9" s="3763">
        <v>0</v>
      </c>
      <c r="Q9" s="3764"/>
      <c r="R9" s="3764"/>
      <c r="S9" s="3764"/>
      <c r="T9" s="3765"/>
      <c r="U9" s="3763">
        <v>0</v>
      </c>
      <c r="V9" s="3764"/>
      <c r="W9" s="3764"/>
      <c r="X9" s="3764"/>
      <c r="Y9" s="3765"/>
      <c r="Z9" s="3762">
        <v>0</v>
      </c>
      <c r="AA9" s="3762"/>
      <c r="AB9" s="3762"/>
      <c r="AC9" s="3762"/>
      <c r="AD9" s="3766"/>
      <c r="AE9" s="1263"/>
      <c r="AF9" s="1284"/>
      <c r="AG9" s="1263"/>
      <c r="AH9" s="1263"/>
      <c r="AI9" s="1263"/>
      <c r="AJ9" s="1263"/>
      <c r="AK9" s="1263"/>
      <c r="AL9" s="1263"/>
      <c r="AM9" s="1263"/>
      <c r="AN9" s="1263"/>
      <c r="AO9" s="1263"/>
      <c r="AP9" s="1263"/>
      <c r="AQ9" s="1263"/>
      <c r="AR9" s="1263"/>
      <c r="AS9" s="1263"/>
      <c r="AT9" s="1263"/>
      <c r="AU9" s="1263"/>
      <c r="AV9" s="1263"/>
      <c r="AW9" s="1263"/>
      <c r="AX9" s="1263"/>
      <c r="AY9" s="1263"/>
      <c r="AZ9" s="1263"/>
      <c r="BA9" s="1263"/>
      <c r="BB9" s="1263"/>
    </row>
    <row r="10" spans="1:54" s="175" customFormat="1" ht="30" customHeight="1" thickBot="1">
      <c r="A10" s="1263"/>
      <c r="B10" s="1273"/>
      <c r="C10" s="1274"/>
      <c r="D10" s="3767" t="s">
        <v>1490</v>
      </c>
      <c r="E10" s="3768"/>
      <c r="F10" s="3768"/>
      <c r="G10" s="3768"/>
      <c r="H10" s="3768"/>
      <c r="I10" s="3768"/>
      <c r="J10" s="3769"/>
      <c r="K10" s="3684">
        <v>0</v>
      </c>
      <c r="L10" s="3684"/>
      <c r="M10" s="3684"/>
      <c r="N10" s="3684"/>
      <c r="O10" s="3684"/>
      <c r="P10" s="3770">
        <v>0</v>
      </c>
      <c r="Q10" s="3771"/>
      <c r="R10" s="3771"/>
      <c r="S10" s="3771"/>
      <c r="T10" s="3772"/>
      <c r="U10" s="3770">
        <v>0</v>
      </c>
      <c r="V10" s="3771"/>
      <c r="W10" s="3771"/>
      <c r="X10" s="3771"/>
      <c r="Y10" s="3772"/>
      <c r="Z10" s="3684">
        <v>0</v>
      </c>
      <c r="AA10" s="3684"/>
      <c r="AB10" s="3684"/>
      <c r="AC10" s="3684"/>
      <c r="AD10" s="3773"/>
      <c r="AE10" s="1263"/>
      <c r="AF10" s="1284"/>
      <c r="AG10" s="1263"/>
      <c r="AH10" s="1263"/>
      <c r="AI10" s="1263"/>
      <c r="AJ10" s="1263"/>
      <c r="AK10" s="1263"/>
      <c r="AL10" s="1263"/>
      <c r="AM10" s="1263"/>
      <c r="AN10" s="1263"/>
      <c r="AO10" s="1263"/>
      <c r="AP10" s="1263"/>
      <c r="AQ10" s="1263"/>
      <c r="AR10" s="1263"/>
      <c r="AS10" s="1263"/>
      <c r="AT10" s="1263"/>
      <c r="AU10" s="1263"/>
      <c r="AV10" s="1263"/>
      <c r="AW10" s="1263"/>
      <c r="AX10" s="1263"/>
      <c r="AY10" s="1263"/>
      <c r="AZ10" s="1263"/>
      <c r="BA10" s="1263"/>
      <c r="BB10" s="1263"/>
    </row>
    <row r="11" spans="1:54" s="175" customFormat="1" ht="17.25" thickTop="1" thickBot="1">
      <c r="A11" s="1263"/>
      <c r="B11" s="1273"/>
      <c r="C11" s="1274"/>
      <c r="D11" s="3774" t="s">
        <v>1865</v>
      </c>
      <c r="E11" s="3775"/>
      <c r="F11" s="3775"/>
      <c r="G11" s="3775"/>
      <c r="H11" s="3775"/>
      <c r="I11" s="3775"/>
      <c r="J11" s="3776"/>
      <c r="K11" s="3709"/>
      <c r="L11" s="3710"/>
      <c r="M11" s="3710"/>
      <c r="N11" s="3710"/>
      <c r="O11" s="3710"/>
      <c r="P11" s="3710"/>
      <c r="Q11" s="3710"/>
      <c r="R11" s="3710"/>
      <c r="S11" s="3710"/>
      <c r="T11" s="3710"/>
      <c r="U11" s="3710"/>
      <c r="V11" s="3710"/>
      <c r="W11" s="3710"/>
      <c r="X11" s="3710"/>
      <c r="Y11" s="3710"/>
      <c r="Z11" s="3710"/>
      <c r="AA11" s="3710"/>
      <c r="AB11" s="3710"/>
      <c r="AC11" s="3710"/>
      <c r="AD11" s="3713"/>
      <c r="AE11" s="1263"/>
      <c r="AF11" s="1284"/>
      <c r="AG11" s="1263"/>
      <c r="AH11" s="1263"/>
      <c r="AI11" s="1263"/>
      <c r="AJ11" s="1263"/>
      <c r="AK11" s="1263"/>
      <c r="AL11" s="1263"/>
      <c r="AM11" s="1263"/>
      <c r="AN11" s="1263"/>
      <c r="AO11" s="1263"/>
      <c r="AP11" s="1263"/>
      <c r="AQ11" s="1263"/>
      <c r="AR11" s="1263"/>
      <c r="AS11" s="1263"/>
      <c r="AT11" s="1263"/>
      <c r="AU11" s="1263"/>
      <c r="AV11" s="1263"/>
      <c r="AW11" s="1263"/>
      <c r="AX11" s="1263"/>
      <c r="AY11" s="1263"/>
      <c r="AZ11" s="1263"/>
      <c r="BA11" s="1263"/>
      <c r="BB11" s="1263"/>
    </row>
    <row r="12" spans="1:54" s="175" customFormat="1" ht="30" customHeight="1">
      <c r="A12" s="1263"/>
      <c r="B12" s="1273"/>
      <c r="C12" s="1274"/>
      <c r="D12" s="3759" t="s">
        <v>1489</v>
      </c>
      <c r="E12" s="3760"/>
      <c r="F12" s="3760"/>
      <c r="G12" s="3760"/>
      <c r="H12" s="3760"/>
      <c r="I12" s="3760"/>
      <c r="J12" s="3761"/>
      <c r="K12" s="3762">
        <v>0</v>
      </c>
      <c r="L12" s="3762"/>
      <c r="M12" s="3762"/>
      <c r="N12" s="3762"/>
      <c r="O12" s="3762"/>
      <c r="P12" s="3763">
        <v>0</v>
      </c>
      <c r="Q12" s="3764"/>
      <c r="R12" s="3764"/>
      <c r="S12" s="3764"/>
      <c r="T12" s="3765"/>
      <c r="U12" s="3763">
        <v>0</v>
      </c>
      <c r="V12" s="3764"/>
      <c r="W12" s="3764"/>
      <c r="X12" s="3764"/>
      <c r="Y12" s="3765"/>
      <c r="Z12" s="3762">
        <v>0</v>
      </c>
      <c r="AA12" s="3762"/>
      <c r="AB12" s="3762"/>
      <c r="AC12" s="3762"/>
      <c r="AD12" s="3766"/>
      <c r="AE12" s="1263"/>
      <c r="AF12" s="1284"/>
      <c r="AG12" s="1263"/>
      <c r="AH12" s="1263"/>
      <c r="AI12" s="1263"/>
      <c r="AJ12" s="1263"/>
      <c r="AK12" s="1263"/>
      <c r="AL12" s="1263"/>
      <c r="AM12" s="1263"/>
      <c r="AN12" s="1263"/>
      <c r="AO12" s="1263"/>
      <c r="AP12" s="1263"/>
      <c r="AQ12" s="1263"/>
      <c r="AR12" s="1263"/>
      <c r="AS12" s="1263"/>
      <c r="AT12" s="1263"/>
      <c r="AU12" s="1263"/>
      <c r="AV12" s="1263"/>
      <c r="AW12" s="1263"/>
      <c r="AX12" s="1263"/>
      <c r="AY12" s="1263"/>
      <c r="AZ12" s="1263"/>
      <c r="BA12" s="1263"/>
      <c r="BB12" s="1263"/>
    </row>
    <row r="13" spans="1:54" s="175" customFormat="1" ht="30" customHeight="1" thickBot="1">
      <c r="A13" s="1263"/>
      <c r="B13" s="1273"/>
      <c r="C13" s="1274"/>
      <c r="D13" s="3767" t="s">
        <v>1490</v>
      </c>
      <c r="E13" s="3768"/>
      <c r="F13" s="3768"/>
      <c r="G13" s="3768"/>
      <c r="H13" s="3768"/>
      <c r="I13" s="3768"/>
      <c r="J13" s="3769"/>
      <c r="K13" s="3684">
        <v>0</v>
      </c>
      <c r="L13" s="3684"/>
      <c r="M13" s="3684"/>
      <c r="N13" s="3684"/>
      <c r="O13" s="3684"/>
      <c r="P13" s="3770">
        <v>0</v>
      </c>
      <c r="Q13" s="3771"/>
      <c r="R13" s="3771"/>
      <c r="S13" s="3771"/>
      <c r="T13" s="3772"/>
      <c r="U13" s="3770">
        <v>0</v>
      </c>
      <c r="V13" s="3771"/>
      <c r="W13" s="3771"/>
      <c r="X13" s="3771"/>
      <c r="Y13" s="3772"/>
      <c r="Z13" s="3684">
        <v>0</v>
      </c>
      <c r="AA13" s="3684"/>
      <c r="AB13" s="3684"/>
      <c r="AC13" s="3684"/>
      <c r="AD13" s="3773"/>
      <c r="AE13" s="1263"/>
      <c r="AF13" s="1284"/>
      <c r="AG13" s="1263"/>
      <c r="AH13" s="1263"/>
      <c r="AI13" s="1263"/>
      <c r="AJ13" s="1263"/>
      <c r="AK13" s="1263"/>
      <c r="AL13" s="1263"/>
      <c r="AM13" s="1263"/>
      <c r="AN13" s="1263"/>
      <c r="AO13" s="1263"/>
      <c r="AP13" s="1263"/>
      <c r="AQ13" s="1263"/>
      <c r="AR13" s="1263"/>
      <c r="AS13" s="1263"/>
      <c r="AT13" s="1263"/>
      <c r="AU13" s="1263"/>
      <c r="AV13" s="1263"/>
      <c r="AW13" s="1263"/>
      <c r="AX13" s="1263"/>
      <c r="AY13" s="1263"/>
      <c r="AZ13" s="1263"/>
      <c r="BA13" s="1263"/>
      <c r="BB13" s="1263"/>
    </row>
    <row r="14" spans="1:54" ht="9.9499999999999993" customHeight="1" thickTop="1" thickBot="1">
      <c r="A14" s="1262"/>
      <c r="B14" s="1310"/>
      <c r="C14" s="1311"/>
      <c r="D14" s="1297"/>
      <c r="E14" s="1312"/>
      <c r="F14" s="1312"/>
      <c r="G14" s="1312"/>
      <c r="H14" s="1312"/>
      <c r="I14" s="1312"/>
      <c r="J14" s="1312"/>
      <c r="K14" s="1313"/>
      <c r="L14" s="1313"/>
      <c r="M14" s="1313"/>
      <c r="N14" s="1313"/>
      <c r="O14" s="1313"/>
      <c r="P14" s="1313"/>
      <c r="Q14" s="1313"/>
      <c r="R14" s="1313"/>
      <c r="S14" s="1313"/>
      <c r="T14" s="1313"/>
      <c r="U14" s="1313"/>
      <c r="V14" s="1313"/>
      <c r="W14" s="1313"/>
      <c r="X14" s="1313"/>
      <c r="Y14" s="1313"/>
      <c r="Z14" s="1313"/>
      <c r="AA14" s="1313"/>
      <c r="AB14" s="1313"/>
      <c r="AC14" s="1313"/>
      <c r="AD14" s="1313"/>
      <c r="AE14" s="1313"/>
      <c r="AF14" s="1314"/>
      <c r="AG14" s="1262"/>
      <c r="AH14" s="1262"/>
      <c r="AI14" s="1262"/>
      <c r="AJ14" s="1262"/>
      <c r="AK14" s="1262"/>
      <c r="AL14" s="1262"/>
      <c r="AM14" s="1262"/>
      <c r="AN14" s="1262"/>
      <c r="AO14" s="1262"/>
      <c r="AP14" s="1262"/>
      <c r="AQ14" s="1262"/>
      <c r="AR14" s="1262"/>
      <c r="AS14" s="1262"/>
      <c r="AT14" s="1262"/>
      <c r="AU14" s="1262"/>
      <c r="AV14" s="1262"/>
      <c r="AW14" s="1262"/>
      <c r="AX14" s="1262"/>
      <c r="AY14" s="1262"/>
    </row>
    <row r="15" spans="1:54" ht="9.9499999999999993" customHeight="1" thickTop="1">
      <c r="A15" s="1262"/>
      <c r="B15" s="1339"/>
      <c r="C15" s="1321"/>
      <c r="D15" s="1263"/>
      <c r="E15" s="1271"/>
      <c r="F15" s="1271"/>
      <c r="G15" s="1271"/>
      <c r="H15" s="1271"/>
      <c r="I15" s="1271"/>
      <c r="J15" s="1271"/>
      <c r="K15" s="1262"/>
      <c r="L15" s="1262"/>
      <c r="M15" s="1262"/>
      <c r="N15" s="1262"/>
      <c r="O15" s="1262"/>
      <c r="P15" s="1262"/>
      <c r="Q15" s="1262"/>
      <c r="R15" s="1262"/>
      <c r="S15" s="1262"/>
      <c r="T15" s="1262"/>
      <c r="U15" s="1262"/>
      <c r="V15" s="1262"/>
      <c r="W15" s="1262"/>
      <c r="X15" s="1262"/>
      <c r="Y15" s="1262"/>
      <c r="Z15" s="1262"/>
      <c r="AA15" s="1262"/>
      <c r="AB15" s="1262"/>
      <c r="AC15" s="1262"/>
      <c r="AD15" s="1262"/>
      <c r="AE15" s="1262"/>
      <c r="AF15" s="1262"/>
      <c r="AG15" s="1262"/>
      <c r="AH15" s="1262"/>
      <c r="AI15" s="1262"/>
      <c r="AJ15" s="1262"/>
      <c r="AK15" s="1262"/>
      <c r="AL15" s="1262"/>
      <c r="AM15" s="1262"/>
      <c r="AN15" s="1262"/>
      <c r="AO15" s="1262"/>
      <c r="AP15" s="1262"/>
      <c r="AQ15" s="1262"/>
      <c r="AR15" s="1262"/>
      <c r="AS15" s="1262"/>
      <c r="AT15" s="1262"/>
      <c r="AU15" s="1262"/>
      <c r="AV15" s="1262"/>
      <c r="AW15" s="1262"/>
      <c r="AX15" s="1262"/>
      <c r="AY15" s="1262"/>
    </row>
    <row r="16" spans="1:54" s="179" customFormat="1" ht="48" customHeight="1">
      <c r="A16" s="1343"/>
      <c r="B16" s="1344" t="s">
        <v>47</v>
      </c>
      <c r="C16" s="3714" t="s">
        <v>1866</v>
      </c>
      <c r="D16" s="3714"/>
      <c r="E16" s="3714"/>
      <c r="F16" s="3714"/>
      <c r="G16" s="3714"/>
      <c r="H16" s="3714"/>
      <c r="I16" s="3714"/>
      <c r="J16" s="3714"/>
      <c r="K16" s="3714"/>
      <c r="L16" s="3714"/>
      <c r="M16" s="3714"/>
      <c r="N16" s="3714"/>
      <c r="O16" s="3714"/>
      <c r="P16" s="3714"/>
      <c r="Q16" s="3714"/>
      <c r="R16" s="3714"/>
      <c r="S16" s="3714"/>
      <c r="T16" s="3714"/>
      <c r="U16" s="3714"/>
      <c r="V16" s="3714"/>
      <c r="W16" s="3714"/>
      <c r="X16" s="3714"/>
      <c r="Y16" s="3714"/>
      <c r="Z16" s="3714"/>
      <c r="AA16" s="3714"/>
      <c r="AB16" s="3714"/>
      <c r="AC16" s="3714"/>
      <c r="AD16" s="3714"/>
      <c r="AE16" s="3714"/>
      <c r="AF16" s="3714"/>
      <c r="AG16" s="1345"/>
      <c r="AH16" s="1345"/>
      <c r="AI16" s="1345"/>
      <c r="AJ16" s="1345"/>
      <c r="AK16" s="1345"/>
      <c r="AL16" s="1345"/>
      <c r="AM16" s="1345"/>
      <c r="AN16" s="1343"/>
      <c r="AO16" s="1343"/>
      <c r="AP16" s="1343"/>
      <c r="AQ16" s="1343"/>
      <c r="AR16" s="1343"/>
      <c r="AS16" s="1343"/>
      <c r="AT16" s="1343"/>
      <c r="AU16" s="1343"/>
      <c r="AV16" s="1343"/>
      <c r="AW16" s="1343"/>
      <c r="AX16" s="1343"/>
      <c r="AY16" s="1343"/>
      <c r="AZ16" s="1343"/>
      <c r="BA16" s="1343"/>
      <c r="BB16" s="1343"/>
    </row>
    <row r="17" spans="1:54" s="179" customFormat="1" ht="119.45" customHeight="1">
      <c r="A17" s="1343"/>
      <c r="B17" s="1344" t="s">
        <v>48</v>
      </c>
      <c r="C17" s="3714" t="s">
        <v>1867</v>
      </c>
      <c r="D17" s="3714"/>
      <c r="E17" s="3714"/>
      <c r="F17" s="3714"/>
      <c r="G17" s="3714"/>
      <c r="H17" s="3714"/>
      <c r="I17" s="3714"/>
      <c r="J17" s="3714"/>
      <c r="K17" s="3714"/>
      <c r="L17" s="3714"/>
      <c r="M17" s="3714"/>
      <c r="N17" s="3714"/>
      <c r="O17" s="3714"/>
      <c r="P17" s="3714"/>
      <c r="Q17" s="3714"/>
      <c r="R17" s="3714"/>
      <c r="S17" s="3714"/>
      <c r="T17" s="3714"/>
      <c r="U17" s="3714"/>
      <c r="V17" s="3714"/>
      <c r="W17" s="3714"/>
      <c r="X17" s="3714"/>
      <c r="Y17" s="3714"/>
      <c r="Z17" s="3714"/>
      <c r="AA17" s="3714"/>
      <c r="AB17" s="3714"/>
      <c r="AC17" s="3714"/>
      <c r="AD17" s="3714"/>
      <c r="AE17" s="3714"/>
      <c r="AF17" s="3714"/>
      <c r="AG17" s="1345"/>
      <c r="AH17" s="1345"/>
      <c r="AI17" s="1345"/>
      <c r="AJ17" s="1345"/>
      <c r="AK17" s="1345"/>
      <c r="AL17" s="1345"/>
      <c r="AM17" s="1345"/>
      <c r="AN17" s="1343"/>
      <c r="AO17" s="1343"/>
      <c r="AP17" s="1343"/>
      <c r="AQ17" s="1343"/>
      <c r="AR17" s="1343"/>
      <c r="AS17" s="1343"/>
      <c r="AT17" s="1343"/>
      <c r="AU17" s="1343"/>
      <c r="AV17" s="1343"/>
      <c r="AW17" s="1343"/>
      <c r="AX17" s="1343"/>
      <c r="AY17" s="1343"/>
      <c r="AZ17" s="1343"/>
      <c r="BA17" s="1343"/>
      <c r="BB17" s="1343"/>
    </row>
    <row r="18" spans="1:54" s="179" customFormat="1" ht="104.45" customHeight="1">
      <c r="A18" s="1343"/>
      <c r="B18" s="1344" t="s">
        <v>49</v>
      </c>
      <c r="C18" s="3714" t="s">
        <v>1868</v>
      </c>
      <c r="D18" s="3714"/>
      <c r="E18" s="3714"/>
      <c r="F18" s="3714"/>
      <c r="G18" s="3714"/>
      <c r="H18" s="3714"/>
      <c r="I18" s="3714"/>
      <c r="J18" s="3714"/>
      <c r="K18" s="3714"/>
      <c r="L18" s="3714"/>
      <c r="M18" s="3714"/>
      <c r="N18" s="3714"/>
      <c r="O18" s="3714"/>
      <c r="P18" s="3714"/>
      <c r="Q18" s="3714"/>
      <c r="R18" s="3714"/>
      <c r="S18" s="3714"/>
      <c r="T18" s="3714"/>
      <c r="U18" s="3714"/>
      <c r="V18" s="3714"/>
      <c r="W18" s="3714"/>
      <c r="X18" s="3714"/>
      <c r="Y18" s="3714"/>
      <c r="Z18" s="3714"/>
      <c r="AA18" s="3714"/>
      <c r="AB18" s="3714"/>
      <c r="AC18" s="3714"/>
      <c r="AD18" s="3714"/>
      <c r="AE18" s="3714"/>
      <c r="AF18" s="3714"/>
      <c r="AG18" s="1345"/>
      <c r="AH18" s="1345"/>
      <c r="AI18" s="1345"/>
      <c r="AJ18" s="1345"/>
      <c r="AK18" s="1345"/>
      <c r="AL18" s="1345"/>
      <c r="AM18" s="1345"/>
      <c r="AN18" s="1343"/>
      <c r="AO18" s="1343"/>
      <c r="AP18" s="1343"/>
      <c r="AQ18" s="1343"/>
      <c r="AR18" s="1343"/>
      <c r="AS18" s="1343"/>
      <c r="AT18" s="1343"/>
      <c r="AU18" s="1343"/>
      <c r="AV18" s="1343"/>
      <c r="AW18" s="1343"/>
      <c r="AX18" s="1343"/>
      <c r="AY18" s="1343"/>
      <c r="AZ18" s="1343"/>
      <c r="BA18" s="1343"/>
      <c r="BB18" s="1343"/>
    </row>
    <row r="19" spans="1:54" s="179" customFormat="1" ht="132" customHeight="1">
      <c r="A19" s="1343"/>
      <c r="B19" s="1344" t="s">
        <v>50</v>
      </c>
      <c r="C19" s="3714" t="s">
        <v>1869</v>
      </c>
      <c r="D19" s="3714"/>
      <c r="E19" s="3714"/>
      <c r="F19" s="3714"/>
      <c r="G19" s="3714"/>
      <c r="H19" s="3714"/>
      <c r="I19" s="3714"/>
      <c r="J19" s="3714"/>
      <c r="K19" s="3714"/>
      <c r="L19" s="3714"/>
      <c r="M19" s="3714"/>
      <c r="N19" s="3714"/>
      <c r="O19" s="3714"/>
      <c r="P19" s="3714"/>
      <c r="Q19" s="3714"/>
      <c r="R19" s="3714"/>
      <c r="S19" s="3714"/>
      <c r="T19" s="3714"/>
      <c r="U19" s="3714"/>
      <c r="V19" s="3714"/>
      <c r="W19" s="3714"/>
      <c r="X19" s="3714"/>
      <c r="Y19" s="3714"/>
      <c r="Z19" s="3714"/>
      <c r="AA19" s="3714"/>
      <c r="AB19" s="3714"/>
      <c r="AC19" s="3714"/>
      <c r="AD19" s="3714"/>
      <c r="AE19" s="3714"/>
      <c r="AF19" s="3714"/>
      <c r="AG19" s="1345"/>
      <c r="AH19" s="1345"/>
      <c r="AI19" s="1345"/>
      <c r="AJ19" s="1345"/>
      <c r="AK19" s="1345"/>
      <c r="AL19" s="1345"/>
      <c r="AM19" s="1345"/>
      <c r="AN19" s="1343"/>
      <c r="AO19" s="1343"/>
      <c r="AP19" s="1343"/>
      <c r="AQ19" s="1343"/>
      <c r="AR19" s="1343"/>
      <c r="AS19" s="1343"/>
      <c r="AT19" s="1343"/>
      <c r="AU19" s="1343"/>
      <c r="AV19" s="1343"/>
      <c r="AW19" s="1343"/>
      <c r="AX19" s="1343"/>
      <c r="AY19" s="1343"/>
      <c r="AZ19" s="1343"/>
      <c r="BA19" s="1343"/>
      <c r="BB19" s="1343"/>
    </row>
    <row r="20" spans="1:54" s="179" customFormat="1" ht="50.1" customHeight="1">
      <c r="A20" s="1343"/>
      <c r="B20" s="1344" t="s">
        <v>51</v>
      </c>
      <c r="C20" s="3714" t="s">
        <v>1870</v>
      </c>
      <c r="D20" s="3714"/>
      <c r="E20" s="3714"/>
      <c r="F20" s="3714"/>
      <c r="G20" s="3714"/>
      <c r="H20" s="3714"/>
      <c r="I20" s="3714"/>
      <c r="J20" s="3714"/>
      <c r="K20" s="3714"/>
      <c r="L20" s="3714"/>
      <c r="M20" s="3714"/>
      <c r="N20" s="3714"/>
      <c r="O20" s="3714"/>
      <c r="P20" s="3714"/>
      <c r="Q20" s="3714"/>
      <c r="R20" s="3714"/>
      <c r="S20" s="3714"/>
      <c r="T20" s="3714"/>
      <c r="U20" s="3714"/>
      <c r="V20" s="3714"/>
      <c r="W20" s="3714"/>
      <c r="X20" s="3714"/>
      <c r="Y20" s="3714"/>
      <c r="Z20" s="3714"/>
      <c r="AA20" s="3714"/>
      <c r="AB20" s="3714"/>
      <c r="AC20" s="3714"/>
      <c r="AD20" s="3714"/>
      <c r="AE20" s="3714"/>
      <c r="AF20" s="3714"/>
      <c r="AG20" s="1345"/>
      <c r="AH20" s="1345"/>
      <c r="AI20" s="1345"/>
      <c r="AJ20" s="1345"/>
      <c r="AK20" s="1345"/>
      <c r="AL20" s="1345"/>
      <c r="AM20" s="1345"/>
      <c r="AN20" s="1343"/>
      <c r="AO20" s="1343"/>
      <c r="AP20" s="1343"/>
      <c r="AQ20" s="1343"/>
      <c r="AR20" s="1343"/>
      <c r="AS20" s="1343"/>
      <c r="AT20" s="1343"/>
      <c r="AU20" s="1343"/>
      <c r="AV20" s="1343"/>
      <c r="AW20" s="1343"/>
      <c r="AX20" s="1343"/>
      <c r="AY20" s="1343"/>
      <c r="AZ20" s="1343"/>
      <c r="BA20" s="1343"/>
      <c r="BB20" s="1343"/>
    </row>
    <row r="21" spans="1:54" s="179" customFormat="1" ht="45" customHeight="1">
      <c r="A21" s="1343"/>
      <c r="B21" s="1344" t="s">
        <v>52</v>
      </c>
      <c r="C21" s="3714" t="s">
        <v>1871</v>
      </c>
      <c r="D21" s="3714"/>
      <c r="E21" s="3714"/>
      <c r="F21" s="3714"/>
      <c r="G21" s="3714"/>
      <c r="H21" s="3714"/>
      <c r="I21" s="3714"/>
      <c r="J21" s="3714"/>
      <c r="K21" s="3714"/>
      <c r="L21" s="3714"/>
      <c r="M21" s="3714"/>
      <c r="N21" s="3714"/>
      <c r="O21" s="3714"/>
      <c r="P21" s="3714"/>
      <c r="Q21" s="3714"/>
      <c r="R21" s="3714"/>
      <c r="S21" s="3714"/>
      <c r="T21" s="3714"/>
      <c r="U21" s="3714"/>
      <c r="V21" s="3714"/>
      <c r="W21" s="3714"/>
      <c r="X21" s="3714"/>
      <c r="Y21" s="3714"/>
      <c r="Z21" s="3714"/>
      <c r="AA21" s="3714"/>
      <c r="AB21" s="3714"/>
      <c r="AC21" s="3714"/>
      <c r="AD21" s="3714"/>
      <c r="AE21" s="3714"/>
      <c r="AF21" s="3714"/>
      <c r="AG21" s="1345"/>
      <c r="AH21" s="1345"/>
      <c r="AI21" s="1345"/>
      <c r="AJ21" s="1345"/>
      <c r="AK21" s="1345"/>
      <c r="AL21" s="1345"/>
      <c r="AM21" s="1345"/>
      <c r="AN21" s="1343"/>
      <c r="AO21" s="1343"/>
      <c r="AP21" s="1343"/>
      <c r="AQ21" s="1343"/>
      <c r="AR21" s="1343"/>
      <c r="AS21" s="1343"/>
      <c r="AT21" s="1343"/>
      <c r="AU21" s="1343"/>
      <c r="AV21" s="1343"/>
      <c r="AW21" s="1343"/>
      <c r="AX21" s="1343"/>
      <c r="AY21" s="1343"/>
      <c r="AZ21" s="1343"/>
      <c r="BA21" s="1343"/>
      <c r="BB21" s="1343"/>
    </row>
    <row r="22" spans="1:54" s="179" customFormat="1" ht="45.6" customHeight="1">
      <c r="A22" s="1343"/>
      <c r="B22" s="1344" t="s">
        <v>53</v>
      </c>
      <c r="C22" s="3714" t="s">
        <v>1872</v>
      </c>
      <c r="D22" s="3714"/>
      <c r="E22" s="3714"/>
      <c r="F22" s="3714"/>
      <c r="G22" s="3714"/>
      <c r="H22" s="3714"/>
      <c r="I22" s="3714"/>
      <c r="J22" s="3714"/>
      <c r="K22" s="3714"/>
      <c r="L22" s="3714"/>
      <c r="M22" s="3714"/>
      <c r="N22" s="3714"/>
      <c r="O22" s="3714"/>
      <c r="P22" s="3714"/>
      <c r="Q22" s="3714"/>
      <c r="R22" s="3714"/>
      <c r="S22" s="3714"/>
      <c r="T22" s="3714"/>
      <c r="U22" s="3714"/>
      <c r="V22" s="3714"/>
      <c r="W22" s="3714"/>
      <c r="X22" s="3714"/>
      <c r="Y22" s="3714"/>
      <c r="Z22" s="3714"/>
      <c r="AA22" s="3714"/>
      <c r="AB22" s="3714"/>
      <c r="AC22" s="3714"/>
      <c r="AD22" s="3714"/>
      <c r="AE22" s="3714"/>
      <c r="AF22" s="3714"/>
      <c r="AG22" s="1345"/>
      <c r="AH22" s="1345"/>
      <c r="AI22" s="1345"/>
      <c r="AJ22" s="1345"/>
      <c r="AK22" s="1345"/>
      <c r="AL22" s="1345"/>
      <c r="AM22" s="1345"/>
      <c r="AN22" s="1343"/>
      <c r="AO22" s="1343"/>
      <c r="AP22" s="1343"/>
      <c r="AQ22" s="1343"/>
      <c r="AR22" s="1343"/>
      <c r="AS22" s="1343"/>
      <c r="AT22" s="1343"/>
      <c r="AU22" s="1343"/>
      <c r="AV22" s="1343"/>
      <c r="AW22" s="1343"/>
      <c r="AX22" s="1343"/>
      <c r="AY22" s="1343"/>
      <c r="AZ22" s="1343"/>
      <c r="BA22" s="1343"/>
      <c r="BB22" s="1343"/>
    </row>
    <row r="23" spans="1:54" s="179" customFormat="1" ht="30.6" customHeight="1">
      <c r="A23" s="1343"/>
      <c r="B23" s="1344" t="s">
        <v>54</v>
      </c>
      <c r="C23" s="3714" t="s">
        <v>1873</v>
      </c>
      <c r="D23" s="3714"/>
      <c r="E23" s="3714"/>
      <c r="F23" s="3714"/>
      <c r="G23" s="3714"/>
      <c r="H23" s="3714"/>
      <c r="I23" s="3714"/>
      <c r="J23" s="3714"/>
      <c r="K23" s="3714"/>
      <c r="L23" s="3714"/>
      <c r="M23" s="3714"/>
      <c r="N23" s="3714"/>
      <c r="O23" s="3714"/>
      <c r="P23" s="3714"/>
      <c r="Q23" s="3714"/>
      <c r="R23" s="3714"/>
      <c r="S23" s="3714"/>
      <c r="T23" s="3714"/>
      <c r="U23" s="3714"/>
      <c r="V23" s="3714"/>
      <c r="W23" s="3714"/>
      <c r="X23" s="3714"/>
      <c r="Y23" s="3714"/>
      <c r="Z23" s="3714"/>
      <c r="AA23" s="3714"/>
      <c r="AB23" s="3714"/>
      <c r="AC23" s="3714"/>
      <c r="AD23" s="3714"/>
      <c r="AE23" s="3714"/>
      <c r="AF23" s="3714"/>
      <c r="AG23" s="1345"/>
      <c r="AH23" s="1345"/>
      <c r="AI23" s="1345"/>
      <c r="AJ23" s="1345"/>
      <c r="AK23" s="1345"/>
      <c r="AL23" s="1345"/>
      <c r="AM23" s="1345"/>
      <c r="AN23" s="1343"/>
      <c r="AO23" s="1343"/>
      <c r="AP23" s="1343"/>
      <c r="AQ23" s="1343"/>
      <c r="AR23" s="1343"/>
      <c r="AS23" s="1343"/>
      <c r="AT23" s="1343"/>
      <c r="AU23" s="1343"/>
      <c r="AV23" s="1343"/>
      <c r="AW23" s="1343"/>
      <c r="AX23" s="1343"/>
      <c r="AY23" s="1343"/>
      <c r="AZ23" s="1343"/>
      <c r="BA23" s="1343"/>
      <c r="BB23" s="1343"/>
    </row>
    <row r="24" spans="1:54" s="179" customFormat="1" ht="47.1" customHeight="1">
      <c r="A24" s="1343"/>
      <c r="B24" s="1344" t="s">
        <v>55</v>
      </c>
      <c r="C24" s="3714" t="s">
        <v>1874</v>
      </c>
      <c r="D24" s="3714"/>
      <c r="E24" s="3714"/>
      <c r="F24" s="3714"/>
      <c r="G24" s="3714"/>
      <c r="H24" s="3714"/>
      <c r="I24" s="3714"/>
      <c r="J24" s="3714"/>
      <c r="K24" s="3714"/>
      <c r="L24" s="3714"/>
      <c r="M24" s="3714"/>
      <c r="N24" s="3714"/>
      <c r="O24" s="3714"/>
      <c r="P24" s="3714"/>
      <c r="Q24" s="3714"/>
      <c r="R24" s="3714"/>
      <c r="S24" s="3714"/>
      <c r="T24" s="3714"/>
      <c r="U24" s="3714"/>
      <c r="V24" s="3714"/>
      <c r="W24" s="3714"/>
      <c r="X24" s="3714"/>
      <c r="Y24" s="3714"/>
      <c r="Z24" s="3714"/>
      <c r="AA24" s="3714"/>
      <c r="AB24" s="3714"/>
      <c r="AC24" s="3714"/>
      <c r="AD24" s="3714"/>
      <c r="AE24" s="3714"/>
      <c r="AF24" s="3714"/>
      <c r="AG24" s="1345"/>
      <c r="AH24" s="1345"/>
      <c r="AI24" s="1345"/>
      <c r="AJ24" s="1345"/>
      <c r="AK24" s="1345"/>
      <c r="AL24" s="1345"/>
      <c r="AM24" s="1345"/>
      <c r="AN24" s="1343"/>
      <c r="AO24" s="1343"/>
      <c r="AP24" s="1343"/>
      <c r="AQ24" s="1343"/>
      <c r="AR24" s="1343"/>
      <c r="AS24" s="1343"/>
      <c r="AT24" s="1343"/>
      <c r="AU24" s="1343"/>
      <c r="AV24" s="1343"/>
      <c r="AW24" s="1343"/>
      <c r="AX24" s="1343"/>
      <c r="AY24" s="1343"/>
      <c r="AZ24" s="1343"/>
      <c r="BA24" s="1343"/>
      <c r="BB24" s="1343"/>
    </row>
    <row r="25" spans="1:54" s="179" customFormat="1" ht="33" customHeight="1">
      <c r="A25" s="1343"/>
      <c r="B25" s="1344" t="s">
        <v>56</v>
      </c>
      <c r="C25" s="3714" t="s">
        <v>1875</v>
      </c>
      <c r="D25" s="3714"/>
      <c r="E25" s="3714"/>
      <c r="F25" s="3714"/>
      <c r="G25" s="3714"/>
      <c r="H25" s="3714"/>
      <c r="I25" s="3714"/>
      <c r="J25" s="3714"/>
      <c r="K25" s="3714"/>
      <c r="L25" s="3714"/>
      <c r="M25" s="3714"/>
      <c r="N25" s="3714"/>
      <c r="O25" s="3714"/>
      <c r="P25" s="3714"/>
      <c r="Q25" s="3714"/>
      <c r="R25" s="3714"/>
      <c r="S25" s="3714"/>
      <c r="T25" s="3714"/>
      <c r="U25" s="3714"/>
      <c r="V25" s="3714"/>
      <c r="W25" s="3714"/>
      <c r="X25" s="3714"/>
      <c r="Y25" s="3714"/>
      <c r="Z25" s="3714"/>
      <c r="AA25" s="3714"/>
      <c r="AB25" s="3714"/>
      <c r="AC25" s="3714"/>
      <c r="AD25" s="3714"/>
      <c r="AE25" s="3714"/>
      <c r="AF25" s="3714"/>
      <c r="AG25" s="1345"/>
      <c r="AH25" s="1345"/>
      <c r="AI25" s="1345"/>
      <c r="AJ25" s="1345"/>
      <c r="AK25" s="1345"/>
      <c r="AL25" s="1345"/>
      <c r="AM25" s="1345"/>
      <c r="AN25" s="1343"/>
      <c r="AO25" s="1343"/>
      <c r="AP25" s="1343"/>
      <c r="AQ25" s="1343"/>
      <c r="AR25" s="1343"/>
      <c r="AS25" s="1343"/>
      <c r="AT25" s="1343"/>
      <c r="AU25" s="1343"/>
      <c r="AV25" s="1343"/>
      <c r="AW25" s="1343"/>
      <c r="AX25" s="1343"/>
      <c r="AY25" s="1343"/>
      <c r="AZ25" s="1343"/>
      <c r="BA25" s="1343"/>
      <c r="BB25" s="1343"/>
    </row>
    <row r="26" spans="1:54" s="44" customFormat="1" ht="30.75" customHeight="1">
      <c r="A26" s="434"/>
      <c r="B26" s="434"/>
      <c r="C26" s="434"/>
      <c r="D26" s="434"/>
      <c r="E26" s="434"/>
      <c r="F26" s="434"/>
      <c r="G26" s="434"/>
      <c r="H26" s="434"/>
      <c r="I26" s="434"/>
      <c r="J26" s="434"/>
      <c r="K26" s="434"/>
      <c r="L26" s="434"/>
      <c r="M26" s="434"/>
      <c r="N26" s="434"/>
      <c r="O26" s="434"/>
      <c r="P26" s="434"/>
      <c r="Q26" s="434"/>
      <c r="R26" s="434"/>
      <c r="S26" s="434"/>
      <c r="T26" s="434"/>
      <c r="U26" s="434"/>
      <c r="V26" s="434"/>
      <c r="W26" s="434"/>
      <c r="X26" s="434"/>
      <c r="Y26" s="434"/>
      <c r="Z26" s="434"/>
      <c r="AA26" s="434"/>
      <c r="AB26" s="434"/>
      <c r="AC26" s="434"/>
      <c r="AD26" s="434"/>
      <c r="AE26" s="434"/>
      <c r="AF26" s="434"/>
      <c r="AG26" s="434"/>
      <c r="AH26" s="434"/>
      <c r="AI26" s="434"/>
      <c r="AJ26" s="434"/>
      <c r="AK26" s="434"/>
      <c r="AL26" s="434"/>
      <c r="AM26" s="434"/>
      <c r="AN26" s="434"/>
      <c r="AO26" s="434"/>
      <c r="AP26" s="434"/>
      <c r="AQ26" s="434"/>
      <c r="AR26" s="434"/>
      <c r="AS26" s="434"/>
      <c r="AT26" s="434"/>
      <c r="AU26" s="434"/>
      <c r="AV26" s="434"/>
      <c r="AW26" s="434"/>
      <c r="AX26" s="434"/>
      <c r="AY26" s="434"/>
      <c r="AZ26" s="434"/>
      <c r="BA26" s="434"/>
      <c r="BB26" s="434"/>
    </row>
    <row r="27" spans="1:54" s="37" customFormat="1" ht="15">
      <c r="A27" s="263"/>
      <c r="B27" s="332" t="s">
        <v>32</v>
      </c>
      <c r="C27" s="263"/>
      <c r="D27" s="263"/>
      <c r="E27" s="263"/>
      <c r="F27" s="263"/>
      <c r="G27" s="263"/>
      <c r="H27" s="263"/>
      <c r="I27" s="263"/>
      <c r="J27" s="263"/>
      <c r="K27" s="263"/>
      <c r="L27" s="263"/>
      <c r="M27" s="263"/>
      <c r="N27" s="263"/>
      <c r="O27" s="263"/>
      <c r="P27" s="263"/>
      <c r="Q27" s="263"/>
      <c r="R27" s="263"/>
      <c r="S27" s="263"/>
      <c r="T27" s="332" t="s">
        <v>856</v>
      </c>
      <c r="U27" s="263"/>
      <c r="V27" s="263"/>
      <c r="W27" s="263"/>
      <c r="X27" s="263"/>
      <c r="Y27" s="263"/>
      <c r="Z27" s="263"/>
      <c r="AA27" s="263"/>
      <c r="AB27" s="263"/>
      <c r="AC27" s="263"/>
      <c r="AD27" s="263"/>
      <c r="AE27" s="263"/>
      <c r="AF27" s="263"/>
      <c r="AG27" s="263"/>
      <c r="AH27" s="263"/>
      <c r="AI27" s="263"/>
      <c r="AJ27" s="263"/>
      <c r="AK27" s="263"/>
      <c r="AL27" s="263"/>
      <c r="AM27" s="263"/>
      <c r="AN27" s="263"/>
      <c r="AO27" s="263"/>
      <c r="AP27" s="263"/>
      <c r="AQ27" s="263"/>
      <c r="AR27" s="263"/>
      <c r="AS27" s="263"/>
      <c r="AT27" s="263"/>
      <c r="AU27" s="263"/>
      <c r="AV27" s="263"/>
      <c r="AW27" s="263"/>
      <c r="AX27" s="263"/>
      <c r="AY27" s="263"/>
      <c r="AZ27" s="263"/>
      <c r="BA27" s="263"/>
      <c r="BB27" s="263"/>
    </row>
    <row r="28" spans="1:54" s="37" customFormat="1" ht="21.75" customHeight="1">
      <c r="A28" s="263"/>
      <c r="B28" s="332" t="s">
        <v>75</v>
      </c>
      <c r="C28" s="263"/>
      <c r="D28" s="263"/>
      <c r="E28" s="263"/>
      <c r="F28" s="2790" t="str">
        <f>activesheet!E21</f>
        <v>MELCHESIEDICK Q. BOLANIO / March 17, 2023</v>
      </c>
      <c r="G28" s="2790"/>
      <c r="H28" s="2790"/>
      <c r="I28" s="2790"/>
      <c r="J28" s="2790"/>
      <c r="K28" s="2790"/>
      <c r="L28" s="2790"/>
      <c r="M28" s="2790"/>
      <c r="N28" s="2790"/>
      <c r="O28" s="823"/>
      <c r="P28" s="823"/>
      <c r="Q28" s="823"/>
      <c r="R28" s="823"/>
      <c r="S28" s="823"/>
      <c r="T28" s="2790" t="str">
        <f>activesheet!E3344</f>
        <v>ELYN KENDRA D. DELA CRUZ / March 17, 2023</v>
      </c>
      <c r="U28" s="2790"/>
      <c r="V28" s="2790"/>
      <c r="W28" s="2790"/>
      <c r="X28" s="2790"/>
      <c r="Y28" s="2790"/>
      <c r="Z28" s="2790"/>
      <c r="AA28" s="2790"/>
      <c r="AB28" s="2790"/>
      <c r="AC28" s="2790"/>
      <c r="AD28" s="2790"/>
      <c r="AE28" s="2790"/>
      <c r="AF28" s="2790"/>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row>
    <row r="29" spans="1:54" s="39" customFormat="1" ht="14.1" customHeight="1">
      <c r="A29" s="280"/>
      <c r="B29" s="228"/>
      <c r="C29" s="280"/>
      <c r="D29" s="280"/>
      <c r="E29" s="280"/>
      <c r="F29" s="1807" t="s">
        <v>37</v>
      </c>
      <c r="G29" s="1807"/>
      <c r="H29" s="1807"/>
      <c r="I29" s="1807"/>
      <c r="J29" s="1807"/>
      <c r="K29" s="1807"/>
      <c r="L29" s="1807"/>
      <c r="M29" s="1807"/>
      <c r="N29" s="1807"/>
      <c r="O29" s="321"/>
      <c r="P29" s="321"/>
      <c r="Q29" s="321"/>
      <c r="R29" s="321"/>
      <c r="S29" s="321"/>
      <c r="T29" s="1807" t="s">
        <v>37</v>
      </c>
      <c r="U29" s="1807"/>
      <c r="V29" s="1807"/>
      <c r="W29" s="1807"/>
      <c r="X29" s="1807"/>
      <c r="Y29" s="1807"/>
      <c r="Z29" s="1807"/>
      <c r="AA29" s="1807"/>
      <c r="AB29" s="1807"/>
      <c r="AC29" s="1807"/>
      <c r="AD29" s="1807"/>
      <c r="AE29" s="1807"/>
      <c r="AF29" s="1807"/>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row>
    <row r="30" spans="1:54" s="37" customFormat="1" ht="21.75" customHeight="1">
      <c r="A30" s="263"/>
      <c r="B30" s="332" t="s">
        <v>58</v>
      </c>
      <c r="C30" s="263"/>
      <c r="D30" s="263"/>
      <c r="E30" s="263"/>
      <c r="F30" s="2790" t="str">
        <f>activesheet!E22</f>
        <v>SECONDARY SCHOOL PRINCIPAL IV</v>
      </c>
      <c r="G30" s="2790"/>
      <c r="H30" s="2790"/>
      <c r="I30" s="2790"/>
      <c r="J30" s="2790"/>
      <c r="K30" s="2790"/>
      <c r="L30" s="2790"/>
      <c r="M30" s="2790"/>
      <c r="N30" s="2790"/>
      <c r="O30" s="823"/>
      <c r="P30" s="823"/>
      <c r="Q30" s="823"/>
      <c r="R30" s="823"/>
      <c r="S30" s="823"/>
      <c r="T30" s="332" t="s">
        <v>58</v>
      </c>
      <c r="U30" s="263"/>
      <c r="V30" s="263"/>
      <c r="W30" s="263"/>
      <c r="X30" s="2790" t="str">
        <f>activesheet!E3345</f>
        <v>PROJECT DEVELOPMENT OFFICER II</v>
      </c>
      <c r="Y30" s="2790"/>
      <c r="Z30" s="2790"/>
      <c r="AA30" s="2790"/>
      <c r="AB30" s="2790"/>
      <c r="AC30" s="2790"/>
      <c r="AD30" s="2790"/>
      <c r="AE30" s="2790"/>
      <c r="AF30" s="2790"/>
      <c r="AG30" s="263"/>
      <c r="AH30" s="263"/>
      <c r="AI30" s="263"/>
      <c r="AJ30" s="263"/>
      <c r="AK30" s="263"/>
      <c r="AL30" s="263"/>
      <c r="AM30" s="263"/>
      <c r="AN30" s="263"/>
      <c r="AO30" s="263"/>
      <c r="AP30" s="263"/>
      <c r="AQ30" s="263"/>
      <c r="AR30" s="263"/>
      <c r="AS30" s="263"/>
      <c r="AT30" s="263"/>
      <c r="AU30" s="263"/>
      <c r="AV30" s="263"/>
      <c r="AW30" s="263"/>
      <c r="AX30" s="263"/>
      <c r="AY30" s="263"/>
      <c r="AZ30" s="263"/>
      <c r="BA30" s="263"/>
      <c r="BB30" s="263"/>
    </row>
    <row r="31" spans="1:54" s="44" customFormat="1" ht="30.75" customHeight="1">
      <c r="A31" s="434"/>
      <c r="B31" s="434"/>
      <c r="C31" s="434"/>
      <c r="D31" s="434"/>
      <c r="E31" s="434"/>
      <c r="F31" s="434"/>
      <c r="G31" s="434"/>
      <c r="H31" s="434"/>
      <c r="I31" s="434"/>
      <c r="J31" s="434"/>
      <c r="K31" s="434"/>
      <c r="L31" s="434"/>
      <c r="M31" s="434"/>
      <c r="N31" s="434"/>
      <c r="O31" s="434"/>
      <c r="P31" s="434"/>
      <c r="Q31" s="434"/>
      <c r="R31" s="434"/>
      <c r="S31" s="434"/>
      <c r="T31" s="434"/>
      <c r="U31" s="434"/>
      <c r="V31" s="434"/>
      <c r="W31" s="434"/>
      <c r="X31" s="434"/>
      <c r="Y31" s="434"/>
      <c r="Z31" s="434"/>
      <c r="AA31" s="434"/>
      <c r="AB31" s="434"/>
      <c r="AC31" s="434"/>
      <c r="AD31" s="434"/>
      <c r="AE31" s="434"/>
      <c r="AF31" s="434"/>
      <c r="AG31" s="434"/>
      <c r="AH31" s="434"/>
      <c r="AI31" s="434"/>
      <c r="AJ31" s="434"/>
      <c r="AK31" s="434"/>
      <c r="AL31" s="434"/>
      <c r="AM31" s="434"/>
      <c r="AN31" s="434"/>
      <c r="AO31" s="434"/>
      <c r="AP31" s="434"/>
      <c r="AQ31" s="434"/>
      <c r="AR31" s="434"/>
      <c r="AS31" s="434"/>
      <c r="AT31" s="434"/>
      <c r="AU31" s="434"/>
      <c r="AV31" s="434"/>
      <c r="AW31" s="434"/>
      <c r="AX31" s="434"/>
      <c r="AY31" s="434"/>
      <c r="AZ31" s="434"/>
      <c r="BA31" s="434"/>
      <c r="BB31" s="434"/>
    </row>
    <row r="32" spans="1:54" s="37" customFormat="1" ht="15">
      <c r="A32" s="263"/>
      <c r="B32" s="263"/>
      <c r="C32" s="263"/>
      <c r="D32" s="263"/>
      <c r="E32" s="263"/>
      <c r="F32" s="263"/>
      <c r="G32" s="263"/>
      <c r="H32" s="263"/>
      <c r="I32" s="263"/>
      <c r="J32" s="263"/>
      <c r="K32" s="332" t="s">
        <v>33</v>
      </c>
      <c r="L32" s="263"/>
      <c r="M32" s="263"/>
      <c r="N32" s="263"/>
      <c r="O32" s="263"/>
      <c r="P32" s="263"/>
      <c r="Q32" s="263"/>
      <c r="R32" s="263"/>
      <c r="S32" s="263"/>
      <c r="T32" s="263"/>
      <c r="U32" s="263"/>
      <c r="V32" s="263"/>
      <c r="W32" s="263"/>
      <c r="X32" s="263"/>
      <c r="Y32" s="263"/>
      <c r="Z32" s="263"/>
      <c r="AA32" s="263"/>
      <c r="AB32" s="263"/>
      <c r="AC32" s="263"/>
      <c r="AD32" s="263"/>
      <c r="AE32" s="263"/>
      <c r="AF32" s="263"/>
      <c r="AG32" s="263"/>
      <c r="AH32" s="263"/>
      <c r="AI32" s="263"/>
      <c r="AJ32" s="263"/>
      <c r="AK32" s="263"/>
      <c r="AL32" s="263"/>
      <c r="AM32" s="263"/>
      <c r="AN32" s="263"/>
      <c r="AO32" s="263"/>
      <c r="AP32" s="263"/>
      <c r="AQ32" s="263"/>
      <c r="AR32" s="263"/>
      <c r="AS32" s="263"/>
      <c r="AT32" s="263"/>
      <c r="AU32" s="263"/>
      <c r="AV32" s="263"/>
      <c r="AW32" s="263"/>
      <c r="AX32" s="263"/>
      <c r="AY32" s="263"/>
      <c r="AZ32" s="263"/>
      <c r="BA32" s="263"/>
      <c r="BB32" s="263"/>
    </row>
    <row r="33" spans="1:54" s="37" customFormat="1" ht="21.75" customHeight="1">
      <c r="A33" s="263"/>
      <c r="B33" s="263"/>
      <c r="C33" s="263"/>
      <c r="D33" s="263"/>
      <c r="E33" s="263"/>
      <c r="F33" s="263"/>
      <c r="G33" s="263"/>
      <c r="H33" s="263"/>
      <c r="I33" s="263"/>
      <c r="J33" s="263"/>
      <c r="K33" s="1819" t="str">
        <f>activesheet!E25</f>
        <v>MICHAEL T. JAMIS / March 17, 2023</v>
      </c>
      <c r="L33" s="1819"/>
      <c r="M33" s="1819"/>
      <c r="N33" s="1819"/>
      <c r="O33" s="1819"/>
      <c r="P33" s="1819"/>
      <c r="Q33" s="1819"/>
      <c r="R33" s="1819"/>
      <c r="S33" s="1819"/>
      <c r="T33" s="1819"/>
      <c r="U33" s="1819"/>
      <c r="V33" s="1819"/>
      <c r="W33" s="1819"/>
      <c r="X33" s="263"/>
      <c r="Y33" s="263"/>
      <c r="Z33" s="263"/>
      <c r="AA33" s="263"/>
      <c r="AB33" s="263"/>
      <c r="AC33" s="263"/>
      <c r="AD33" s="263"/>
      <c r="AE33" s="263"/>
      <c r="AF33" s="263"/>
      <c r="AG33" s="263"/>
      <c r="AH33" s="263"/>
      <c r="AI33" s="263"/>
      <c r="AJ33" s="263"/>
      <c r="AK33" s="263"/>
      <c r="AL33" s="263"/>
      <c r="AM33" s="263"/>
      <c r="AN33" s="263"/>
      <c r="AO33" s="263"/>
      <c r="AP33" s="263"/>
      <c r="AQ33" s="263"/>
      <c r="AR33" s="263"/>
      <c r="AS33" s="263"/>
      <c r="AT33" s="263"/>
      <c r="AU33" s="263"/>
      <c r="AV33" s="263"/>
      <c r="AW33" s="263"/>
      <c r="AX33" s="263"/>
      <c r="AY33" s="263"/>
      <c r="AZ33" s="263"/>
      <c r="BA33" s="263"/>
      <c r="BB33" s="263"/>
    </row>
    <row r="34" spans="1:54" s="39" customFormat="1" ht="14.1" customHeight="1">
      <c r="A34" s="280"/>
      <c r="B34" s="280"/>
      <c r="C34" s="280"/>
      <c r="D34" s="280"/>
      <c r="E34" s="280"/>
      <c r="F34" s="280"/>
      <c r="G34" s="280"/>
      <c r="H34" s="280"/>
      <c r="I34" s="280"/>
      <c r="J34" s="280"/>
      <c r="K34" s="1820"/>
      <c r="L34" s="1820"/>
      <c r="M34" s="1820"/>
      <c r="N34" s="1820"/>
      <c r="O34" s="1820"/>
      <c r="P34" s="1820"/>
      <c r="Q34" s="1820"/>
      <c r="R34" s="1820"/>
      <c r="S34" s="1820"/>
      <c r="T34" s="1820"/>
      <c r="U34" s="1820"/>
      <c r="V34" s="1820"/>
      <c r="W34" s="182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row>
    <row r="35" spans="1:54" s="37" customFormat="1" ht="21.75" customHeight="1">
      <c r="A35" s="263"/>
      <c r="B35" s="263"/>
      <c r="C35" s="263"/>
      <c r="D35" s="263"/>
      <c r="E35" s="263"/>
      <c r="F35" s="263"/>
      <c r="G35" s="263"/>
      <c r="H35" s="263"/>
      <c r="I35" s="263"/>
      <c r="J35" s="263"/>
      <c r="K35" s="1807" t="s">
        <v>37</v>
      </c>
      <c r="L35" s="1807"/>
      <c r="M35" s="1807"/>
      <c r="N35" s="1807"/>
      <c r="O35" s="1807"/>
      <c r="P35" s="1807"/>
      <c r="Q35" s="1807"/>
      <c r="R35" s="1807"/>
      <c r="S35" s="1807"/>
      <c r="T35" s="1807"/>
      <c r="U35" s="1807"/>
      <c r="V35" s="1807"/>
      <c r="W35" s="1807"/>
      <c r="X35" s="263"/>
      <c r="Y35" s="263"/>
      <c r="Z35" s="263"/>
      <c r="AA35" s="263"/>
      <c r="AB35" s="263"/>
      <c r="AC35" s="263"/>
      <c r="AD35" s="263"/>
      <c r="AE35" s="263"/>
      <c r="AF35" s="263"/>
      <c r="AG35" s="263"/>
      <c r="AH35" s="263"/>
      <c r="AI35" s="263"/>
      <c r="AJ35" s="263"/>
      <c r="AK35" s="263"/>
      <c r="AL35" s="263"/>
      <c r="AM35" s="263"/>
      <c r="AN35" s="263"/>
      <c r="AO35" s="263"/>
      <c r="AP35" s="263"/>
      <c r="AQ35" s="263"/>
      <c r="AR35" s="263"/>
      <c r="AS35" s="263"/>
      <c r="AT35" s="263"/>
      <c r="AU35" s="263"/>
      <c r="AV35" s="263"/>
      <c r="AW35" s="263"/>
      <c r="AX35" s="263"/>
      <c r="AY35" s="263"/>
      <c r="AZ35" s="263"/>
      <c r="BA35" s="263"/>
      <c r="BB35" s="263"/>
    </row>
    <row r="36" spans="1:54">
      <c r="A36" s="1262"/>
      <c r="B36" s="1262"/>
      <c r="C36" s="1262"/>
      <c r="D36" s="1262"/>
      <c r="E36" s="1262"/>
      <c r="F36" s="1262"/>
      <c r="G36" s="1262"/>
      <c r="H36" s="1262"/>
      <c r="I36" s="1262"/>
      <c r="J36" s="1263"/>
      <c r="K36" s="1263"/>
      <c r="L36" s="1262"/>
      <c r="M36" s="1262"/>
      <c r="N36" s="1262"/>
      <c r="O36" s="1262"/>
      <c r="P36" s="1262"/>
      <c r="Q36" s="1262"/>
      <c r="R36" s="1262"/>
      <c r="S36" s="1262"/>
      <c r="T36" s="1262"/>
      <c r="U36" s="1262"/>
      <c r="V36" s="1262"/>
      <c r="W36" s="1263"/>
      <c r="X36" s="1263"/>
      <c r="Y36" s="1262"/>
      <c r="Z36" s="1262"/>
      <c r="AA36" s="1262"/>
      <c r="AB36" s="1262"/>
      <c r="AC36" s="1262"/>
      <c r="AD36" s="1262"/>
      <c r="AE36" s="1262"/>
      <c r="AF36" s="1262"/>
      <c r="AG36" s="1262"/>
      <c r="AH36" s="1262"/>
      <c r="AI36" s="1262"/>
      <c r="AJ36" s="1262"/>
      <c r="AK36" s="1262"/>
      <c r="AL36" s="1262"/>
      <c r="AM36" s="1262"/>
      <c r="AN36" s="1262"/>
      <c r="AO36" s="1262"/>
      <c r="AP36" s="1262"/>
      <c r="AQ36" s="1262"/>
      <c r="AR36" s="1262"/>
      <c r="AS36" s="1262"/>
      <c r="AT36" s="1262"/>
      <c r="AU36" s="1262"/>
      <c r="AV36" s="1262"/>
      <c r="AW36" s="1262"/>
      <c r="AX36" s="1262"/>
      <c r="AY36" s="1262"/>
    </row>
    <row r="37" spans="1:54">
      <c r="A37" s="1262"/>
      <c r="B37" s="1263"/>
      <c r="C37" s="1263"/>
      <c r="D37" s="1263"/>
      <c r="E37" s="1263"/>
      <c r="F37" s="1263"/>
      <c r="G37" s="1263"/>
      <c r="H37" s="1263"/>
      <c r="I37" s="1263"/>
      <c r="J37" s="1263"/>
      <c r="K37" s="1263"/>
      <c r="L37" s="1263"/>
      <c r="M37" s="1263"/>
      <c r="N37" s="1263"/>
      <c r="O37" s="1263"/>
      <c r="P37" s="1263"/>
      <c r="Q37" s="1263"/>
      <c r="R37" s="1263"/>
      <c r="S37" s="1263"/>
      <c r="T37" s="1263"/>
      <c r="U37" s="1263"/>
      <c r="V37" s="1263"/>
      <c r="W37" s="1263"/>
      <c r="X37" s="1263"/>
      <c r="Y37" s="1263"/>
      <c r="Z37" s="1263"/>
      <c r="AA37" s="1263"/>
      <c r="AB37" s="1263"/>
      <c r="AC37" s="1263"/>
      <c r="AD37" s="1263"/>
      <c r="AE37" s="1262"/>
      <c r="AF37" s="1262"/>
      <c r="AG37" s="1262"/>
      <c r="AH37" s="1262"/>
      <c r="AI37" s="1262"/>
      <c r="AJ37" s="1262"/>
      <c r="AK37" s="1262"/>
      <c r="AL37" s="1262"/>
      <c r="AM37" s="1262"/>
      <c r="AN37" s="1262"/>
      <c r="AO37" s="1262"/>
      <c r="AP37" s="1262"/>
      <c r="AQ37" s="1262"/>
      <c r="AR37" s="1262"/>
      <c r="AS37" s="1262"/>
      <c r="AT37" s="1262"/>
      <c r="AU37" s="1262"/>
      <c r="AV37" s="1262"/>
      <c r="AW37" s="1262"/>
      <c r="AX37" s="1262"/>
      <c r="AY37" s="1262"/>
    </row>
    <row r="38" spans="1:54">
      <c r="A38" s="1262"/>
      <c r="B38" s="1263"/>
      <c r="C38" s="1263"/>
      <c r="D38" s="1263"/>
      <c r="E38" s="1263"/>
      <c r="F38" s="1263"/>
      <c r="G38" s="1263"/>
      <c r="H38" s="1263"/>
      <c r="I38" s="1263"/>
      <c r="J38" s="1263"/>
      <c r="K38" s="1263"/>
      <c r="L38" s="1263"/>
      <c r="M38" s="1263"/>
      <c r="N38" s="1263"/>
      <c r="O38" s="1263"/>
      <c r="P38" s="1263"/>
      <c r="Q38" s="1263"/>
      <c r="R38" s="1263"/>
      <c r="S38" s="1263"/>
      <c r="T38" s="1263"/>
      <c r="U38" s="1263"/>
      <c r="V38" s="1263"/>
      <c r="W38" s="1263"/>
      <c r="X38" s="1263"/>
      <c r="Y38" s="1263"/>
      <c r="Z38" s="1263"/>
      <c r="AA38" s="1263"/>
      <c r="AB38" s="1263"/>
      <c r="AC38" s="1263"/>
      <c r="AD38" s="1263"/>
      <c r="AE38" s="1262"/>
      <c r="AF38" s="1262"/>
      <c r="AG38" s="1262"/>
      <c r="AH38" s="1262"/>
      <c r="AI38" s="1262"/>
      <c r="AJ38" s="1262"/>
      <c r="AK38" s="1262"/>
      <c r="AL38" s="1262"/>
      <c r="AM38" s="1262"/>
      <c r="AN38" s="1262"/>
      <c r="AO38" s="1262"/>
      <c r="AP38" s="1262"/>
      <c r="AQ38" s="1262"/>
      <c r="AR38" s="1262"/>
      <c r="AS38" s="1262"/>
      <c r="AT38" s="1262"/>
      <c r="AU38" s="1262"/>
      <c r="AV38" s="1262"/>
      <c r="AW38" s="1262"/>
      <c r="AX38" s="1262"/>
      <c r="AY38" s="1262"/>
    </row>
    <row r="39" spans="1:54">
      <c r="A39" s="1262"/>
      <c r="B39" s="1263"/>
      <c r="C39" s="1263"/>
      <c r="D39" s="1263"/>
      <c r="E39" s="1263"/>
      <c r="F39" s="1263"/>
      <c r="G39" s="1263"/>
      <c r="H39" s="1263"/>
      <c r="I39" s="1263"/>
      <c r="J39" s="1263"/>
      <c r="K39" s="1263"/>
      <c r="L39" s="1263"/>
      <c r="M39" s="1263"/>
      <c r="N39" s="1263"/>
      <c r="O39" s="1263"/>
      <c r="P39" s="1263"/>
      <c r="Q39" s="1263"/>
      <c r="R39" s="1263"/>
      <c r="S39" s="1263"/>
      <c r="T39" s="1263"/>
      <c r="U39" s="1263"/>
      <c r="V39" s="1263"/>
      <c r="W39" s="1263"/>
      <c r="X39" s="1263"/>
      <c r="Y39" s="1263"/>
      <c r="Z39" s="1263"/>
      <c r="AA39" s="1263"/>
      <c r="AB39" s="1263"/>
      <c r="AC39" s="1263"/>
      <c r="AD39" s="1263"/>
      <c r="AE39" s="1262"/>
      <c r="AF39" s="1262"/>
      <c r="AG39" s="1262"/>
      <c r="AH39" s="1262"/>
      <c r="AI39" s="1262"/>
      <c r="AJ39" s="1262"/>
      <c r="AK39" s="1262"/>
      <c r="AL39" s="1262"/>
      <c r="AM39" s="1262"/>
      <c r="AN39" s="1262"/>
      <c r="AO39" s="1262"/>
      <c r="AP39" s="1262"/>
      <c r="AQ39" s="1262"/>
      <c r="AR39" s="1262"/>
      <c r="AS39" s="1262"/>
      <c r="AT39" s="1262"/>
      <c r="AU39" s="1262"/>
      <c r="AV39" s="1262"/>
      <c r="AW39" s="1262"/>
      <c r="AX39" s="1262"/>
      <c r="AY39" s="1262"/>
    </row>
    <row r="40" spans="1:54">
      <c r="A40" s="1262"/>
      <c r="B40" s="1263"/>
      <c r="C40" s="1263"/>
      <c r="D40" s="1263"/>
      <c r="E40" s="1263"/>
      <c r="F40" s="1263"/>
      <c r="G40" s="1263"/>
      <c r="H40" s="1263"/>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2"/>
      <c r="AF40" s="1262"/>
      <c r="AG40" s="1262"/>
      <c r="AH40" s="1262"/>
      <c r="AI40" s="1262"/>
      <c r="AJ40" s="1262"/>
      <c r="AK40" s="1262"/>
      <c r="AL40" s="1262"/>
      <c r="AM40" s="1262"/>
      <c r="AN40" s="1262"/>
      <c r="AO40" s="1262"/>
      <c r="AP40" s="1262"/>
      <c r="AQ40" s="1262"/>
      <c r="AR40" s="1262"/>
      <c r="AS40" s="1262"/>
      <c r="AT40" s="1262"/>
      <c r="AU40" s="1262"/>
      <c r="AV40" s="1262"/>
      <c r="AW40" s="1262"/>
      <c r="AX40" s="1262"/>
      <c r="AY40" s="1262"/>
    </row>
    <row r="41" spans="1:54">
      <c r="A41" s="1262"/>
      <c r="B41" s="1263"/>
      <c r="C41" s="1263"/>
      <c r="D41" s="1263"/>
      <c r="E41" s="1263"/>
      <c r="F41" s="1263"/>
      <c r="G41" s="1263"/>
      <c r="H41" s="1263"/>
      <c r="I41" s="1263"/>
      <c r="J41" s="1263"/>
      <c r="K41" s="1263"/>
      <c r="L41" s="1263"/>
      <c r="M41" s="1263"/>
      <c r="N41" s="1263"/>
      <c r="O41" s="1263"/>
      <c r="P41" s="1263"/>
      <c r="Q41" s="1263"/>
      <c r="R41" s="1263"/>
      <c r="S41" s="1263"/>
      <c r="T41" s="1263"/>
      <c r="U41" s="1263"/>
      <c r="V41" s="1263"/>
      <c r="W41" s="1263"/>
      <c r="X41" s="1263"/>
      <c r="Y41" s="1263"/>
      <c r="Z41" s="1263"/>
      <c r="AA41" s="1263"/>
      <c r="AB41" s="1263"/>
      <c r="AC41" s="1263"/>
      <c r="AD41" s="1263"/>
      <c r="AE41" s="1262"/>
      <c r="AF41" s="1262"/>
      <c r="AG41" s="1262"/>
      <c r="AH41" s="1262"/>
      <c r="AI41" s="1262"/>
      <c r="AJ41" s="1262"/>
      <c r="AK41" s="1262"/>
      <c r="AL41" s="1262"/>
      <c r="AM41" s="1262"/>
      <c r="AN41" s="1262"/>
      <c r="AO41" s="1262"/>
      <c r="AP41" s="1262"/>
      <c r="AQ41" s="1262"/>
      <c r="AR41" s="1262"/>
      <c r="AS41" s="1262"/>
      <c r="AT41" s="1262"/>
      <c r="AU41" s="1262"/>
      <c r="AV41" s="1262"/>
      <c r="AW41" s="1262"/>
      <c r="AX41" s="1262"/>
      <c r="AY41" s="1262"/>
    </row>
    <row r="42" spans="1:54">
      <c r="A42" s="1262"/>
      <c r="B42" s="1263"/>
      <c r="C42" s="1263"/>
      <c r="D42" s="1263"/>
      <c r="E42" s="1263"/>
      <c r="F42" s="1263"/>
      <c r="G42" s="1263"/>
      <c r="H42" s="1263"/>
      <c r="I42" s="1263"/>
      <c r="J42" s="1263"/>
      <c r="K42" s="1263"/>
      <c r="L42" s="1263"/>
      <c r="M42" s="1263"/>
      <c r="N42" s="1263"/>
      <c r="O42" s="1263"/>
      <c r="P42" s="1263"/>
      <c r="Q42" s="1263"/>
      <c r="R42" s="1263"/>
      <c r="S42" s="1263"/>
      <c r="T42" s="1263"/>
      <c r="U42" s="1263"/>
      <c r="V42" s="1263"/>
      <c r="W42" s="1263"/>
      <c r="X42" s="1263"/>
      <c r="Y42" s="1263"/>
      <c r="Z42" s="1263"/>
      <c r="AA42" s="1263"/>
      <c r="AB42" s="1263"/>
      <c r="AC42" s="1263"/>
      <c r="AD42" s="1263"/>
      <c r="AE42" s="1262"/>
      <c r="AF42" s="1262"/>
      <c r="AG42" s="1262"/>
      <c r="AH42" s="1262"/>
      <c r="AI42" s="1262"/>
      <c r="AJ42" s="1262"/>
      <c r="AK42" s="1262"/>
      <c r="AL42" s="1262"/>
      <c r="AM42" s="1262"/>
      <c r="AN42" s="1262"/>
      <c r="AO42" s="1262"/>
      <c r="AP42" s="1262"/>
      <c r="AQ42" s="1262"/>
      <c r="AR42" s="1262"/>
      <c r="AS42" s="1262"/>
      <c r="AT42" s="1262"/>
      <c r="AU42" s="1262"/>
      <c r="AV42" s="1262"/>
      <c r="AW42" s="1262"/>
      <c r="AX42" s="1262"/>
      <c r="AY42" s="1262"/>
    </row>
    <row r="43" spans="1:54">
      <c r="A43" s="1262"/>
      <c r="B43" s="1263"/>
      <c r="C43" s="1263"/>
      <c r="D43" s="1263"/>
      <c r="E43" s="1263"/>
      <c r="F43" s="1263"/>
      <c r="G43" s="1263"/>
      <c r="H43" s="1263"/>
      <c r="I43" s="1263"/>
      <c r="J43" s="1263"/>
      <c r="K43" s="1263"/>
      <c r="L43" s="1263"/>
      <c r="M43" s="1263"/>
      <c r="N43" s="1263"/>
      <c r="O43" s="1263"/>
      <c r="P43" s="1263"/>
      <c r="Q43" s="1263"/>
      <c r="R43" s="1263"/>
      <c r="S43" s="1263"/>
      <c r="T43" s="1263"/>
      <c r="U43" s="1263"/>
      <c r="V43" s="1263"/>
      <c r="W43" s="1263"/>
      <c r="X43" s="1263"/>
      <c r="Y43" s="1263"/>
      <c r="Z43" s="1263"/>
      <c r="AA43" s="1263"/>
      <c r="AB43" s="1263"/>
      <c r="AC43" s="1263"/>
      <c r="AD43" s="1263"/>
      <c r="AE43" s="1262"/>
      <c r="AF43" s="1262"/>
      <c r="AG43" s="1262"/>
      <c r="AH43" s="1262"/>
      <c r="AI43" s="1262"/>
      <c r="AJ43" s="1262"/>
      <c r="AK43" s="1262"/>
      <c r="AL43" s="1262"/>
      <c r="AM43" s="1262"/>
      <c r="AN43" s="1262"/>
      <c r="AO43" s="1262"/>
      <c r="AP43" s="1262"/>
      <c r="AQ43" s="1262"/>
      <c r="AR43" s="1262"/>
      <c r="AS43" s="1262"/>
      <c r="AT43" s="1262"/>
      <c r="AU43" s="1262"/>
      <c r="AV43" s="1262"/>
      <c r="AW43" s="1262"/>
      <c r="AX43" s="1262"/>
      <c r="AY43" s="1262"/>
    </row>
    <row r="44" spans="1:54">
      <c r="A44" s="1262"/>
      <c r="B44" s="1263"/>
      <c r="C44" s="1263"/>
      <c r="D44" s="1263"/>
      <c r="E44" s="1263"/>
      <c r="F44" s="1263"/>
      <c r="G44" s="1263"/>
      <c r="H44" s="1263"/>
      <c r="I44" s="1263"/>
      <c r="J44" s="1263"/>
      <c r="K44" s="1263"/>
      <c r="L44" s="1263"/>
      <c r="M44" s="1263"/>
      <c r="N44" s="1263"/>
      <c r="O44" s="1263"/>
      <c r="P44" s="1263"/>
      <c r="Q44" s="1263"/>
      <c r="R44" s="1263"/>
      <c r="S44" s="1263"/>
      <c r="T44" s="1263"/>
      <c r="U44" s="1263"/>
      <c r="V44" s="1263"/>
      <c r="W44" s="1263"/>
      <c r="X44" s="1263"/>
      <c r="Y44" s="1263"/>
      <c r="Z44" s="1263"/>
      <c r="AA44" s="1263"/>
      <c r="AB44" s="1263"/>
      <c r="AC44" s="1263"/>
      <c r="AD44" s="1263"/>
      <c r="AE44" s="1262"/>
      <c r="AF44" s="1262"/>
      <c r="AG44" s="1262"/>
      <c r="AH44" s="1262"/>
      <c r="AI44" s="1262"/>
      <c r="AJ44" s="1262"/>
      <c r="AK44" s="1262"/>
      <c r="AL44" s="1262"/>
      <c r="AM44" s="1262"/>
      <c r="AN44" s="1262"/>
      <c r="AO44" s="1262"/>
      <c r="AP44" s="1262"/>
      <c r="AQ44" s="1262"/>
      <c r="AR44" s="1262"/>
      <c r="AS44" s="1262"/>
      <c r="AT44" s="1262"/>
      <c r="AU44" s="1262"/>
      <c r="AV44" s="1262"/>
      <c r="AW44" s="1262"/>
      <c r="AX44" s="1262"/>
      <c r="AY44" s="1262"/>
    </row>
    <row r="45" spans="1:54">
      <c r="A45" s="1262"/>
      <c r="B45" s="1263"/>
      <c r="C45" s="1263"/>
      <c r="D45" s="1263"/>
      <c r="E45" s="1263"/>
      <c r="F45" s="1263"/>
      <c r="G45" s="1263"/>
      <c r="H45" s="1263"/>
      <c r="I45" s="1263"/>
      <c r="J45" s="1263"/>
      <c r="K45" s="1263"/>
      <c r="L45" s="1263"/>
      <c r="M45" s="1263"/>
      <c r="N45" s="1263"/>
      <c r="O45" s="1263"/>
      <c r="P45" s="1263"/>
      <c r="Q45" s="1263"/>
      <c r="R45" s="1263"/>
      <c r="S45" s="1263"/>
      <c r="T45" s="1263"/>
      <c r="U45" s="1263"/>
      <c r="V45" s="1263"/>
      <c r="W45" s="1263"/>
      <c r="X45" s="1263"/>
      <c r="Y45" s="1263"/>
      <c r="Z45" s="1263"/>
      <c r="AA45" s="1263"/>
      <c r="AB45" s="1263"/>
      <c r="AC45" s="1263"/>
      <c r="AD45" s="1263"/>
      <c r="AE45" s="1262"/>
      <c r="AF45" s="1262"/>
      <c r="AG45" s="1262"/>
      <c r="AH45" s="1262"/>
      <c r="AI45" s="1262"/>
      <c r="AJ45" s="1262"/>
      <c r="AK45" s="1262"/>
      <c r="AL45" s="1262"/>
      <c r="AM45" s="1262"/>
      <c r="AN45" s="1262"/>
      <c r="AO45" s="1262"/>
      <c r="AP45" s="1262"/>
      <c r="AQ45" s="1262"/>
      <c r="AR45" s="1262"/>
      <c r="AS45" s="1262"/>
      <c r="AT45" s="1262"/>
      <c r="AU45" s="1262"/>
      <c r="AV45" s="1262"/>
      <c r="AW45" s="1262"/>
      <c r="AX45" s="1262"/>
      <c r="AY45" s="1262"/>
    </row>
    <row r="46" spans="1:54">
      <c r="A46" s="1262"/>
      <c r="B46" s="1263"/>
      <c r="C46" s="1263"/>
      <c r="D46" s="1263"/>
      <c r="E46" s="1263"/>
      <c r="F46" s="1263"/>
      <c r="G46" s="1263"/>
      <c r="H46" s="1263"/>
      <c r="I46" s="1263"/>
      <c r="J46" s="1263"/>
      <c r="K46" s="1263"/>
      <c r="L46" s="1263"/>
      <c r="M46" s="1263"/>
      <c r="N46" s="1263"/>
      <c r="O46" s="1263"/>
      <c r="P46" s="1263"/>
      <c r="Q46" s="1263"/>
      <c r="R46" s="1263"/>
      <c r="S46" s="1263"/>
      <c r="T46" s="1263"/>
      <c r="U46" s="1263"/>
      <c r="V46" s="1263"/>
      <c r="W46" s="1263"/>
      <c r="X46" s="1263"/>
      <c r="Y46" s="1263"/>
      <c r="Z46" s="1263"/>
      <c r="AA46" s="1263"/>
      <c r="AB46" s="1263"/>
      <c r="AC46" s="1263"/>
      <c r="AD46" s="1263"/>
      <c r="AE46" s="1262"/>
      <c r="AF46" s="1262"/>
      <c r="AG46" s="1262"/>
      <c r="AH46" s="1262"/>
      <c r="AI46" s="1262"/>
      <c r="AJ46" s="1262"/>
      <c r="AK46" s="1262"/>
      <c r="AL46" s="1262"/>
      <c r="AM46" s="1262"/>
      <c r="AN46" s="1262"/>
      <c r="AO46" s="1262"/>
      <c r="AP46" s="1262"/>
      <c r="AQ46" s="1262"/>
      <c r="AR46" s="1262"/>
      <c r="AS46" s="1262"/>
      <c r="AT46" s="1262"/>
      <c r="AU46" s="1262"/>
      <c r="AV46" s="1262"/>
      <c r="AW46" s="1262"/>
      <c r="AX46" s="1262"/>
      <c r="AY46" s="1262"/>
    </row>
    <row r="47" spans="1:54">
      <c r="A47" s="1262"/>
      <c r="B47" s="1263"/>
      <c r="C47" s="1263"/>
      <c r="D47" s="1263"/>
      <c r="E47" s="1263"/>
      <c r="F47" s="1263"/>
      <c r="G47" s="1263"/>
      <c r="H47" s="1263"/>
      <c r="I47" s="1263"/>
      <c r="J47" s="1263"/>
      <c r="K47" s="1263"/>
      <c r="L47" s="1263"/>
      <c r="M47" s="1263"/>
      <c r="N47" s="1263"/>
      <c r="O47" s="1263"/>
      <c r="P47" s="1263"/>
      <c r="Q47" s="1263"/>
      <c r="R47" s="1263"/>
      <c r="S47" s="1263"/>
      <c r="T47" s="1263"/>
      <c r="U47" s="1263"/>
      <c r="V47" s="1263"/>
      <c r="W47" s="1263"/>
      <c r="X47" s="1263"/>
      <c r="Y47" s="1263"/>
      <c r="Z47" s="1263"/>
      <c r="AA47" s="1263"/>
      <c r="AB47" s="1263"/>
      <c r="AC47" s="1263"/>
      <c r="AD47" s="1263"/>
      <c r="AE47" s="1262"/>
      <c r="AF47" s="1262"/>
      <c r="AG47" s="1262"/>
      <c r="AH47" s="1262"/>
      <c r="AI47" s="1262"/>
      <c r="AJ47" s="1262"/>
      <c r="AK47" s="1262"/>
      <c r="AL47" s="1262"/>
      <c r="AM47" s="1262"/>
      <c r="AN47" s="1262"/>
      <c r="AO47" s="1262"/>
      <c r="AP47" s="1262"/>
      <c r="AQ47" s="1262"/>
      <c r="AR47" s="1262"/>
      <c r="AS47" s="1262"/>
      <c r="AT47" s="1262"/>
      <c r="AU47" s="1262"/>
      <c r="AV47" s="1262"/>
      <c r="AW47" s="1262"/>
      <c r="AX47" s="1262"/>
      <c r="AY47" s="1262"/>
    </row>
    <row r="48" spans="1:54">
      <c r="A48" s="1262"/>
      <c r="B48" s="1263"/>
      <c r="C48" s="1263"/>
      <c r="D48" s="1263"/>
      <c r="E48" s="1263"/>
      <c r="F48" s="1263"/>
      <c r="G48" s="1263"/>
      <c r="H48" s="1263"/>
      <c r="I48" s="1263"/>
      <c r="J48" s="1263"/>
      <c r="K48" s="1263"/>
      <c r="L48" s="1263"/>
      <c r="M48" s="1263"/>
      <c r="N48" s="1263"/>
      <c r="O48" s="1263"/>
      <c r="P48" s="1263"/>
      <c r="Q48" s="1263"/>
      <c r="R48" s="1263"/>
      <c r="S48" s="1263"/>
      <c r="T48" s="1263"/>
      <c r="U48" s="1263"/>
      <c r="V48" s="1263"/>
      <c r="W48" s="1263"/>
      <c r="X48" s="1263"/>
      <c r="Y48" s="1263"/>
      <c r="Z48" s="1263"/>
      <c r="AA48" s="1263"/>
      <c r="AB48" s="1263"/>
      <c r="AC48" s="1263"/>
      <c r="AD48" s="1263"/>
      <c r="AE48" s="1262"/>
      <c r="AF48" s="1262"/>
      <c r="AG48" s="1262"/>
      <c r="AH48" s="1262"/>
      <c r="AI48" s="1262"/>
      <c r="AJ48" s="1262"/>
      <c r="AK48" s="1262"/>
      <c r="AL48" s="1262"/>
      <c r="AM48" s="1262"/>
      <c r="AN48" s="1262"/>
      <c r="AO48" s="1262"/>
      <c r="AP48" s="1262"/>
      <c r="AQ48" s="1262"/>
      <c r="AR48" s="1262"/>
      <c r="AS48" s="1262"/>
      <c r="AT48" s="1262"/>
      <c r="AU48" s="1262"/>
      <c r="AV48" s="1262"/>
      <c r="AW48" s="1262"/>
      <c r="AX48" s="1262"/>
      <c r="AY48" s="1262"/>
    </row>
    <row r="49" spans="1:51">
      <c r="A49" s="1262"/>
      <c r="B49" s="1263"/>
      <c r="C49" s="1263"/>
      <c r="D49" s="1263"/>
      <c r="E49" s="1263"/>
      <c r="F49" s="1263"/>
      <c r="G49" s="1263"/>
      <c r="H49" s="1263"/>
      <c r="I49" s="1263"/>
      <c r="J49" s="1263"/>
      <c r="K49" s="1263"/>
      <c r="L49" s="1263"/>
      <c r="M49" s="1263"/>
      <c r="N49" s="1263"/>
      <c r="O49" s="1263"/>
      <c r="P49" s="1263"/>
      <c r="Q49" s="1263"/>
      <c r="R49" s="1263"/>
      <c r="S49" s="1263"/>
      <c r="T49" s="1263"/>
      <c r="U49" s="1263"/>
      <c r="V49" s="1263"/>
      <c r="W49" s="1263"/>
      <c r="X49" s="1263"/>
      <c r="Y49" s="1263"/>
      <c r="Z49" s="1263"/>
      <c r="AA49" s="1263"/>
      <c r="AB49" s="1263"/>
      <c r="AC49" s="1263"/>
      <c r="AD49" s="1263"/>
      <c r="AE49" s="1262"/>
      <c r="AF49" s="1262"/>
      <c r="AG49" s="1262"/>
      <c r="AH49" s="1262"/>
      <c r="AI49" s="1262"/>
      <c r="AJ49" s="1262"/>
      <c r="AK49" s="1262"/>
      <c r="AL49" s="1262"/>
      <c r="AM49" s="1262"/>
      <c r="AN49" s="1262"/>
      <c r="AO49" s="1262"/>
      <c r="AP49" s="1262"/>
      <c r="AQ49" s="1262"/>
      <c r="AR49" s="1262"/>
      <c r="AS49" s="1262"/>
      <c r="AT49" s="1262"/>
      <c r="AU49" s="1262"/>
      <c r="AV49" s="1262"/>
      <c r="AW49" s="1262"/>
      <c r="AX49" s="1262"/>
      <c r="AY49" s="1262"/>
    </row>
    <row r="50" spans="1:51">
      <c r="A50" s="1262"/>
      <c r="B50" s="1263"/>
      <c r="C50" s="1263"/>
      <c r="D50" s="1263"/>
      <c r="E50" s="1263"/>
      <c r="F50" s="1263"/>
      <c r="G50" s="1263"/>
      <c r="H50" s="1263"/>
      <c r="I50" s="1263"/>
      <c r="J50" s="1263"/>
      <c r="K50" s="1263"/>
      <c r="L50" s="1263"/>
      <c r="M50" s="1263"/>
      <c r="N50" s="1263"/>
      <c r="O50" s="1263"/>
      <c r="P50" s="1263"/>
      <c r="Q50" s="1263"/>
      <c r="R50" s="1263"/>
      <c r="S50" s="1263"/>
      <c r="T50" s="1263"/>
      <c r="U50" s="1263"/>
      <c r="V50" s="1263"/>
      <c r="W50" s="1263"/>
      <c r="X50" s="1263"/>
      <c r="Y50" s="1263"/>
      <c r="Z50" s="1263"/>
      <c r="AA50" s="1263"/>
      <c r="AB50" s="1263"/>
      <c r="AC50" s="1263"/>
      <c r="AD50" s="1263"/>
      <c r="AE50" s="1262"/>
      <c r="AF50" s="1262"/>
      <c r="AG50" s="1262"/>
      <c r="AH50" s="1262"/>
      <c r="AI50" s="1262"/>
      <c r="AJ50" s="1262"/>
      <c r="AK50" s="1262"/>
      <c r="AL50" s="1262"/>
      <c r="AM50" s="1262"/>
      <c r="AN50" s="1262"/>
      <c r="AO50" s="1262"/>
      <c r="AP50" s="1262"/>
      <c r="AQ50" s="1262"/>
      <c r="AR50" s="1262"/>
      <c r="AS50" s="1262"/>
      <c r="AT50" s="1262"/>
      <c r="AU50" s="1262"/>
      <c r="AV50" s="1262"/>
      <c r="AW50" s="1262"/>
      <c r="AX50" s="1262"/>
      <c r="AY50" s="1262"/>
    </row>
    <row r="51" spans="1:51">
      <c r="A51" s="1262"/>
      <c r="B51" s="1263"/>
      <c r="C51" s="1263"/>
      <c r="D51" s="1263"/>
      <c r="E51" s="1263"/>
      <c r="F51" s="1263"/>
      <c r="G51" s="1263"/>
      <c r="H51" s="1263"/>
      <c r="I51" s="1263"/>
      <c r="J51" s="1263"/>
      <c r="K51" s="1263"/>
      <c r="L51" s="1263"/>
      <c r="M51" s="1263"/>
      <c r="N51" s="1263"/>
      <c r="O51" s="1263"/>
      <c r="P51" s="1263"/>
      <c r="Q51" s="1263"/>
      <c r="R51" s="1263"/>
      <c r="S51" s="1263"/>
      <c r="T51" s="1263"/>
      <c r="U51" s="1263"/>
      <c r="V51" s="1263"/>
      <c r="W51" s="1263"/>
      <c r="X51" s="1263"/>
      <c r="Y51" s="1263"/>
      <c r="Z51" s="1263"/>
      <c r="AA51" s="1263"/>
      <c r="AB51" s="1263"/>
      <c r="AC51" s="1263"/>
      <c r="AD51" s="1263"/>
      <c r="AE51" s="1262"/>
      <c r="AF51" s="1262"/>
      <c r="AG51" s="1262"/>
      <c r="AH51" s="1262"/>
      <c r="AI51" s="1262"/>
      <c r="AJ51" s="1262"/>
      <c r="AK51" s="1262"/>
      <c r="AL51" s="1262"/>
      <c r="AM51" s="1262"/>
      <c r="AN51" s="1262"/>
      <c r="AO51" s="1262"/>
      <c r="AP51" s="1262"/>
      <c r="AQ51" s="1262"/>
      <c r="AR51" s="1262"/>
      <c r="AS51" s="1262"/>
      <c r="AT51" s="1262"/>
      <c r="AU51" s="1262"/>
      <c r="AV51" s="1262"/>
      <c r="AW51" s="1262"/>
      <c r="AX51" s="1262"/>
      <c r="AY51" s="1262"/>
    </row>
    <row r="52" spans="1:51">
      <c r="A52" s="1262"/>
      <c r="B52" s="1263"/>
      <c r="C52" s="1263"/>
      <c r="D52" s="1263"/>
      <c r="E52" s="1263"/>
      <c r="F52" s="1263"/>
      <c r="G52" s="1263"/>
      <c r="H52" s="1263"/>
      <c r="I52" s="1263"/>
      <c r="J52" s="1263"/>
      <c r="K52" s="1263"/>
      <c r="L52" s="1263"/>
      <c r="M52" s="1263"/>
      <c r="N52" s="1263"/>
      <c r="O52" s="1263"/>
      <c r="P52" s="1263"/>
      <c r="Q52" s="1263"/>
      <c r="R52" s="1263"/>
      <c r="S52" s="1263"/>
      <c r="T52" s="1263"/>
      <c r="U52" s="1263"/>
      <c r="V52" s="1263"/>
      <c r="W52" s="1263"/>
      <c r="X52" s="1263"/>
      <c r="Y52" s="1263"/>
      <c r="Z52" s="1263"/>
      <c r="AA52" s="1263"/>
      <c r="AB52" s="1263"/>
      <c r="AC52" s="1263"/>
      <c r="AD52" s="1263"/>
      <c r="AE52" s="1262"/>
      <c r="AF52" s="1262"/>
      <c r="AG52" s="1262"/>
      <c r="AH52" s="1262"/>
      <c r="AI52" s="1262"/>
      <c r="AJ52" s="1262"/>
      <c r="AK52" s="1262"/>
      <c r="AL52" s="1262"/>
      <c r="AM52" s="1262"/>
      <c r="AN52" s="1262"/>
      <c r="AO52" s="1262"/>
      <c r="AP52" s="1262"/>
      <c r="AQ52" s="1262"/>
      <c r="AR52" s="1262"/>
      <c r="AS52" s="1262"/>
      <c r="AT52" s="1262"/>
      <c r="AU52" s="1262"/>
      <c r="AV52" s="1262"/>
      <c r="AW52" s="1262"/>
      <c r="AX52" s="1262"/>
      <c r="AY52" s="1262"/>
    </row>
  </sheetData>
  <sheetProtection algorithmName="SHA-512" hashValue="ihibkOjqi1FG7BkQK17OWY7u7W9fZz3hGqIUi1Nu+iK4kwBMN555uvQsQe5RRK3YOb3VZljbfvlW9SE1fznGmg==" saltValue="isom8xBWrU8390IUujsRRQ==" spinCount="100000" sheet="1" objects="1" scenarios="1"/>
  <customSheetViews>
    <customSheetView guid="{6EFEFCA0-BF14-457A-85A3-29CBF2A862A5}" showGridLines="0" fitToPage="1">
      <selection sqref="A1:AI36"/>
      <pageMargins left="0.23622047244094491" right="0.23622047244094491" top="0.19685039370078741" bottom="0.19685039370078741" header="0" footer="0.11811023622047245"/>
      <printOptions horizontalCentered="1" verticalCentered="1"/>
      <pageSetup paperSize="9" scale="70" orientation="portrait" r:id="rId1"/>
      <headerFooter>
        <oddFooter>&amp;L&amp;10&amp;F &amp;A&amp;R&amp;10Page 50 of 61</oddFooter>
      </headerFooter>
    </customSheetView>
  </customSheetViews>
  <mergeCells count="49">
    <mergeCell ref="E4:AD4"/>
    <mergeCell ref="D5:Z5"/>
    <mergeCell ref="D7:J7"/>
    <mergeCell ref="K7:O7"/>
    <mergeCell ref="P7:T7"/>
    <mergeCell ref="U7:Y7"/>
    <mergeCell ref="Z7:AD7"/>
    <mergeCell ref="D11:J11"/>
    <mergeCell ref="K11:AD11"/>
    <mergeCell ref="D8:J8"/>
    <mergeCell ref="K8:AD8"/>
    <mergeCell ref="D9:J9"/>
    <mergeCell ref="K9:O9"/>
    <mergeCell ref="P9:T9"/>
    <mergeCell ref="U9:Y9"/>
    <mergeCell ref="Z9:AD9"/>
    <mergeCell ref="D10:J10"/>
    <mergeCell ref="K10:O10"/>
    <mergeCell ref="P10:T10"/>
    <mergeCell ref="U10:Y10"/>
    <mergeCell ref="Z10:AD10"/>
    <mergeCell ref="C21:AF21"/>
    <mergeCell ref="D12:J12"/>
    <mergeCell ref="K12:O12"/>
    <mergeCell ref="P12:T12"/>
    <mergeCell ref="U12:Y12"/>
    <mergeCell ref="Z12:AD12"/>
    <mergeCell ref="D13:J13"/>
    <mergeCell ref="K13:O13"/>
    <mergeCell ref="P13:T13"/>
    <mergeCell ref="U13:Y13"/>
    <mergeCell ref="Z13:AD13"/>
    <mergeCell ref="C16:AF16"/>
    <mergeCell ref="C17:AF17"/>
    <mergeCell ref="C18:AF18"/>
    <mergeCell ref="C19:AF19"/>
    <mergeCell ref="C20:AF20"/>
    <mergeCell ref="K35:W35"/>
    <mergeCell ref="C22:AF22"/>
    <mergeCell ref="C23:AF23"/>
    <mergeCell ref="C24:AF24"/>
    <mergeCell ref="C25:AF25"/>
    <mergeCell ref="F28:N28"/>
    <mergeCell ref="T28:AF28"/>
    <mergeCell ref="F29:N29"/>
    <mergeCell ref="T29:AF29"/>
    <mergeCell ref="F30:N30"/>
    <mergeCell ref="X30:AF30"/>
    <mergeCell ref="K33:W34"/>
  </mergeCells>
  <dataValidations count="1">
    <dataValidation type="whole" allowBlank="1" showInputMessage="1" showErrorMessage="1" errorTitle="GSHSP SY 2022-2023" error="Please enter valid number between 0-999." sqref="K9:AD10 K12:AD13" xr:uid="{F0E61086-1C26-41F3-9DDA-8EA01A36BD10}">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70" orientation="portrait" r:id="rId2"/>
  <headerFooter>
    <oddFooter>&amp;L&amp;10&amp;F &amp;A&amp;R&amp;10Page 50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90113" r:id="rId5" name="Check Box 1">
              <controlPr defaultSize="0" autoFill="0" autoLine="0" autoPict="0">
                <anchor moveWithCells="1">
                  <from>
                    <xdr:col>3</xdr:col>
                    <xdr:colOff>28575</xdr:colOff>
                    <xdr:row>3</xdr:row>
                    <xdr:rowOff>28575</xdr:rowOff>
                  </from>
                  <to>
                    <xdr:col>4</xdr:col>
                    <xdr:colOff>28575</xdr:colOff>
                    <xdr:row>3</xdr:row>
                    <xdr:rowOff>276225</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CCD94-56C2-4EC1-BD1A-B556B8F7BC00}">
  <sheetPr codeName="Sheet53">
    <tabColor rgb="FFFFFF00"/>
    <pageSetUpPr fitToPage="1"/>
  </sheetPr>
  <dimension ref="A1:BC91"/>
  <sheetViews>
    <sheetView showGridLines="0" zoomScaleNormal="100" zoomScaleSheetLayoutView="100" workbookViewId="0">
      <selection sqref="A1:AL77"/>
    </sheetView>
  </sheetViews>
  <sheetFormatPr defaultColWidth="8" defaultRowHeight="15.75"/>
  <cols>
    <col min="1" max="1" width="2.125" style="176" customWidth="1"/>
    <col min="2" max="32" width="3.625" style="175" customWidth="1"/>
    <col min="33" max="34" width="3.625" style="176" customWidth="1"/>
    <col min="35" max="35" width="2.125" style="176" customWidth="1"/>
    <col min="36" max="51" width="3.625" style="176" customWidth="1"/>
    <col min="52" max="55" width="3.625" style="1262" customWidth="1"/>
    <col min="56" max="167" width="3.625" style="176" customWidth="1"/>
    <col min="168" max="16384" width="8" style="176"/>
  </cols>
  <sheetData>
    <row r="1" spans="1:55" ht="12" customHeight="1">
      <c r="A1" s="1262"/>
      <c r="B1" s="1263"/>
      <c r="C1" s="1263"/>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3"/>
      <c r="AF1" s="1263"/>
      <c r="AG1" s="1262"/>
      <c r="AH1" s="1262"/>
      <c r="AI1" s="1262"/>
      <c r="AJ1" s="1262"/>
      <c r="AK1" s="1262"/>
      <c r="AL1" s="1262"/>
      <c r="AM1" s="1262"/>
      <c r="AN1" s="1262"/>
      <c r="AO1" s="1262"/>
      <c r="AP1" s="1262"/>
      <c r="AQ1" s="1262"/>
      <c r="AR1" s="1262"/>
      <c r="AS1" s="1262"/>
      <c r="AT1" s="1262"/>
      <c r="AU1" s="1262"/>
      <c r="AV1" s="1262"/>
      <c r="AW1" s="1262"/>
      <c r="AX1" s="1262"/>
      <c r="AY1" s="1262"/>
    </row>
    <row r="2" spans="1:55" ht="16.5">
      <c r="A2" s="1262"/>
      <c r="B2" s="1264" t="s">
        <v>11439</v>
      </c>
      <c r="C2" s="1262"/>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c r="AS2" s="1262"/>
      <c r="AT2" s="1262"/>
      <c r="AU2" s="1262"/>
      <c r="AV2" s="1262"/>
      <c r="AW2" s="1262"/>
      <c r="AX2" s="1262"/>
      <c r="AY2" s="1262"/>
    </row>
    <row r="3" spans="1:55" ht="17.25">
      <c r="A3" s="1262"/>
      <c r="B3" s="1265" t="s">
        <v>1483</v>
      </c>
      <c r="C3" s="1262"/>
      <c r="D3" s="1262"/>
      <c r="E3" s="1262"/>
      <c r="F3" s="1262"/>
      <c r="G3" s="1262"/>
      <c r="H3" s="1262"/>
      <c r="I3" s="1262"/>
      <c r="J3" s="1262"/>
      <c r="K3" s="1262"/>
      <c r="L3" s="1262"/>
      <c r="M3" s="1262"/>
      <c r="N3" s="1262"/>
      <c r="O3" s="1262"/>
      <c r="P3" s="1262"/>
      <c r="Q3" s="1262"/>
      <c r="R3" s="1262"/>
      <c r="S3" s="1262"/>
      <c r="T3" s="1262"/>
      <c r="U3" s="1262"/>
      <c r="V3" s="1262"/>
      <c r="W3" s="1262"/>
      <c r="X3" s="1262"/>
      <c r="Y3" s="1262"/>
      <c r="Z3" s="1262"/>
      <c r="AA3" s="1262"/>
      <c r="AB3" s="1262"/>
      <c r="AC3" s="1262"/>
      <c r="AD3" s="1262"/>
      <c r="AE3" s="1262"/>
      <c r="AF3" s="1262"/>
      <c r="AG3" s="1262"/>
      <c r="AH3" s="1262"/>
      <c r="AI3" s="1262"/>
      <c r="AJ3" s="1262"/>
      <c r="AK3" s="1262"/>
      <c r="AL3" s="1262"/>
      <c r="AM3" s="1262"/>
      <c r="AN3" s="1262"/>
      <c r="AO3" s="1262"/>
      <c r="AP3" s="1262"/>
      <c r="AQ3" s="1262"/>
      <c r="AR3" s="1262"/>
      <c r="AS3" s="1262"/>
      <c r="AT3" s="1262"/>
      <c r="AU3" s="1262"/>
      <c r="AV3" s="1262"/>
      <c r="AW3" s="1262"/>
      <c r="AX3" s="1262"/>
      <c r="AY3" s="1262"/>
    </row>
    <row r="4" spans="1:55" ht="17.25">
      <c r="A4" s="1262"/>
      <c r="B4" s="1265"/>
      <c r="C4" s="1262"/>
      <c r="D4" s="1262"/>
      <c r="E4" s="1262"/>
      <c r="F4" s="1262"/>
      <c r="G4" s="1262"/>
      <c r="H4" s="1262"/>
      <c r="I4" s="1262"/>
      <c r="J4" s="1262"/>
      <c r="K4" s="1262"/>
      <c r="L4" s="1262"/>
      <c r="M4" s="1262"/>
      <c r="N4" s="1262"/>
      <c r="O4" s="1262"/>
      <c r="P4" s="1262"/>
      <c r="Q4" s="1262"/>
      <c r="R4" s="1262"/>
      <c r="S4" s="1262"/>
      <c r="T4" s="1262"/>
      <c r="U4" s="1262"/>
      <c r="V4" s="1262"/>
      <c r="W4" s="1262"/>
      <c r="X4" s="1262"/>
      <c r="Y4" s="1262"/>
      <c r="Z4" s="1262"/>
      <c r="AA4" s="1262"/>
      <c r="AB4" s="1262"/>
      <c r="AC4" s="1262"/>
      <c r="AD4" s="1262"/>
      <c r="AE4" s="1262"/>
      <c r="AF4" s="1262"/>
      <c r="AG4" s="1262"/>
      <c r="AH4" s="1262"/>
      <c r="AI4" s="1262"/>
      <c r="AJ4" s="1262"/>
      <c r="AK4" s="1262"/>
      <c r="AL4" s="1262"/>
      <c r="AM4" s="1262"/>
      <c r="AN4" s="1262"/>
      <c r="AO4" s="1262"/>
      <c r="AP4" s="1262"/>
      <c r="AQ4" s="1262"/>
      <c r="AR4" s="1262"/>
      <c r="AS4" s="1262"/>
      <c r="AT4" s="1262"/>
      <c r="AU4" s="1262"/>
      <c r="AV4" s="1262"/>
      <c r="AW4" s="1262"/>
      <c r="AX4" s="1262"/>
      <c r="AY4" s="1262"/>
    </row>
    <row r="5" spans="1:55" ht="17.25" thickBot="1">
      <c r="A5" s="1262"/>
      <c r="B5" s="1264" t="s">
        <v>1511</v>
      </c>
      <c r="C5" s="1262"/>
      <c r="D5" s="1262"/>
      <c r="E5" s="1262"/>
      <c r="F5" s="1262"/>
      <c r="G5" s="1262"/>
      <c r="H5" s="1262"/>
      <c r="I5" s="1262"/>
      <c r="J5" s="1262"/>
      <c r="K5" s="1262"/>
      <c r="L5" s="1262"/>
      <c r="M5" s="1262"/>
      <c r="N5" s="1262"/>
      <c r="O5" s="1262"/>
      <c r="P5" s="1262"/>
      <c r="Q5" s="1262"/>
      <c r="R5" s="1262"/>
      <c r="S5" s="1262"/>
      <c r="T5" s="1262"/>
      <c r="U5" s="1262"/>
      <c r="V5" s="1262"/>
      <c r="W5" s="1262"/>
      <c r="X5" s="1262"/>
      <c r="Y5" s="1262"/>
      <c r="Z5" s="1262"/>
      <c r="AA5" s="1262"/>
      <c r="AB5" s="1262"/>
      <c r="AC5" s="1262"/>
      <c r="AD5" s="1262"/>
      <c r="AE5" s="1262"/>
      <c r="AF5" s="1262"/>
      <c r="AG5" s="1262"/>
      <c r="AH5" s="1262"/>
      <c r="AI5" s="1262"/>
      <c r="AJ5" s="1262"/>
      <c r="AK5" s="1262"/>
      <c r="AL5" s="1262"/>
      <c r="AM5" s="1262"/>
      <c r="AN5" s="1262"/>
      <c r="AO5" s="1262"/>
      <c r="AP5" s="1262"/>
      <c r="AQ5" s="1262"/>
      <c r="AR5" s="1262"/>
      <c r="AS5" s="1262"/>
      <c r="AT5" s="1262"/>
      <c r="AU5" s="1262"/>
      <c r="AV5" s="1262"/>
      <c r="AW5" s="1262"/>
      <c r="AX5" s="1262"/>
      <c r="AY5" s="1262"/>
    </row>
    <row r="6" spans="1:55" ht="5.0999999999999996" customHeight="1" thickTop="1">
      <c r="A6" s="1262"/>
      <c r="B6" s="1266"/>
      <c r="C6" s="1267"/>
      <c r="D6" s="1267"/>
      <c r="E6" s="1267"/>
      <c r="F6" s="1267"/>
      <c r="G6" s="1267"/>
      <c r="H6" s="1267"/>
      <c r="I6" s="1267"/>
      <c r="J6" s="1267"/>
      <c r="K6" s="1267"/>
      <c r="L6" s="1267"/>
      <c r="M6" s="1267"/>
      <c r="N6" s="1267"/>
      <c r="O6" s="1267"/>
      <c r="P6" s="1267"/>
      <c r="Q6" s="1267"/>
      <c r="R6" s="1267"/>
      <c r="S6" s="1267"/>
      <c r="T6" s="1267"/>
      <c r="U6" s="1267"/>
      <c r="V6" s="1267"/>
      <c r="W6" s="1267"/>
      <c r="X6" s="1267"/>
      <c r="Y6" s="1267"/>
      <c r="Z6" s="1267"/>
      <c r="AA6" s="1267"/>
      <c r="AB6" s="1267"/>
      <c r="AC6" s="1267"/>
      <c r="AD6" s="1267"/>
      <c r="AE6" s="1267"/>
      <c r="AF6" s="1267"/>
      <c r="AG6" s="1267"/>
      <c r="AH6" s="1268"/>
      <c r="AI6" s="1262"/>
      <c r="AJ6" s="1262"/>
      <c r="AK6" s="1262"/>
      <c r="AL6" s="1262"/>
      <c r="AM6" s="1262"/>
      <c r="AN6" s="1262"/>
      <c r="AO6" s="1262"/>
      <c r="AP6" s="1262"/>
      <c r="AQ6" s="1262"/>
      <c r="AR6" s="1262"/>
      <c r="AS6" s="1262"/>
      <c r="AT6" s="1262"/>
      <c r="AU6" s="1262"/>
      <c r="AV6" s="1262"/>
      <c r="AW6" s="1262"/>
      <c r="AX6" s="1262"/>
      <c r="AY6" s="1262"/>
    </row>
    <row r="7" spans="1:55" s="177" customFormat="1" ht="24.75" customHeight="1">
      <c r="A7" s="1319"/>
      <c r="B7" s="1320"/>
      <c r="C7" s="1326" t="s">
        <v>47</v>
      </c>
      <c r="D7" s="1340" t="b">
        <v>1</v>
      </c>
      <c r="E7" s="3708" t="s">
        <v>1512</v>
      </c>
      <c r="F7" s="3708"/>
      <c r="G7" s="3708"/>
      <c r="H7" s="3708"/>
      <c r="I7" s="3708"/>
      <c r="J7" s="3708"/>
      <c r="K7" s="3708"/>
      <c r="L7" s="3708"/>
      <c r="M7" s="3708"/>
      <c r="N7" s="3708"/>
      <c r="O7" s="3708"/>
      <c r="P7" s="3708"/>
      <c r="Q7" s="3708"/>
      <c r="R7" s="3708"/>
      <c r="S7" s="3708"/>
      <c r="T7" s="3708"/>
      <c r="U7" s="3708"/>
      <c r="V7" s="3708"/>
      <c r="W7" s="3708"/>
      <c r="X7" s="3708"/>
      <c r="Y7" s="3708"/>
      <c r="Z7" s="3708"/>
      <c r="AA7" s="3708"/>
      <c r="AB7" s="3708"/>
      <c r="AC7" s="3708"/>
      <c r="AD7" s="3708"/>
      <c r="AE7" s="3708"/>
      <c r="AF7" s="3708"/>
      <c r="AG7" s="1322"/>
      <c r="AH7" s="1323"/>
      <c r="AI7" s="1322"/>
      <c r="AJ7" s="1322"/>
      <c r="AK7" s="1322"/>
      <c r="AL7" s="1322"/>
      <c r="AM7" s="1322"/>
      <c r="AN7" s="1322"/>
      <c r="AO7" s="1322"/>
      <c r="AP7" s="1322"/>
      <c r="AQ7" s="1322"/>
      <c r="AR7" s="1319"/>
      <c r="AS7" s="1319"/>
      <c r="AT7" s="1319"/>
      <c r="AU7" s="1319"/>
      <c r="AV7" s="1319"/>
      <c r="AW7" s="1319"/>
      <c r="AX7" s="1319"/>
      <c r="AY7" s="1319"/>
      <c r="AZ7" s="1319"/>
      <c r="BA7" s="1319"/>
      <c r="BB7" s="1319"/>
      <c r="BC7" s="1319"/>
    </row>
    <row r="8" spans="1:55" s="177" customFormat="1" ht="15.95" customHeight="1">
      <c r="A8" s="1319"/>
      <c r="B8" s="1320"/>
      <c r="C8" s="1301" t="s">
        <v>48</v>
      </c>
      <c r="D8" s="1340" t="b">
        <v>1</v>
      </c>
      <c r="E8" s="3676" t="s">
        <v>1513</v>
      </c>
      <c r="F8" s="3676"/>
      <c r="G8" s="3676"/>
      <c r="H8" s="3676"/>
      <c r="I8" s="3676"/>
      <c r="J8" s="3676"/>
      <c r="K8" s="3676"/>
      <c r="L8" s="3676"/>
      <c r="M8" s="3676"/>
      <c r="N8" s="3676"/>
      <c r="O8" s="3676"/>
      <c r="P8" s="3676"/>
      <c r="Q8" s="3676"/>
      <c r="R8" s="3676"/>
      <c r="S8" s="3676"/>
      <c r="T8" s="3676"/>
      <c r="U8" s="3676"/>
      <c r="V8" s="3676"/>
      <c r="W8" s="3676"/>
      <c r="X8" s="3676"/>
      <c r="Y8" s="3676"/>
      <c r="Z8" s="3676"/>
      <c r="AA8" s="3676"/>
      <c r="AB8" s="3676"/>
      <c r="AC8" s="3676"/>
      <c r="AD8" s="3676"/>
      <c r="AE8" s="3676"/>
      <c r="AF8" s="3676"/>
      <c r="AG8" s="1322"/>
      <c r="AH8" s="1323"/>
      <c r="AI8" s="1322"/>
      <c r="AJ8" s="1322"/>
      <c r="AK8" s="1322"/>
      <c r="AL8" s="1322"/>
      <c r="AM8" s="1322"/>
      <c r="AN8" s="1322"/>
      <c r="AO8" s="1322"/>
      <c r="AP8" s="1322"/>
      <c r="AQ8" s="1322"/>
      <c r="AR8" s="1319"/>
      <c r="AS8" s="1319"/>
      <c r="AT8" s="1319"/>
      <c r="AU8" s="1319"/>
      <c r="AV8" s="1319"/>
      <c r="AW8" s="1319"/>
      <c r="AX8" s="1319"/>
      <c r="AY8" s="1319"/>
      <c r="AZ8" s="1319"/>
      <c r="BA8" s="1319"/>
      <c r="BB8" s="1319"/>
      <c r="BC8" s="1319"/>
    </row>
    <row r="9" spans="1:55" s="177" customFormat="1" ht="15.95" customHeight="1">
      <c r="A9" s="1319"/>
      <c r="B9" s="1320"/>
      <c r="C9" s="1301"/>
      <c r="D9" s="1341"/>
      <c r="E9" s="3676"/>
      <c r="F9" s="3676"/>
      <c r="G9" s="3676"/>
      <c r="H9" s="3676"/>
      <c r="I9" s="3676"/>
      <c r="J9" s="3676"/>
      <c r="K9" s="3676"/>
      <c r="L9" s="3676"/>
      <c r="M9" s="3676"/>
      <c r="N9" s="3676"/>
      <c r="O9" s="3676"/>
      <c r="P9" s="3676"/>
      <c r="Q9" s="3676"/>
      <c r="R9" s="3676"/>
      <c r="S9" s="3676"/>
      <c r="T9" s="3676"/>
      <c r="U9" s="3676"/>
      <c r="V9" s="3676"/>
      <c r="W9" s="3676"/>
      <c r="X9" s="3676"/>
      <c r="Y9" s="3676"/>
      <c r="Z9" s="3676"/>
      <c r="AA9" s="3676"/>
      <c r="AB9" s="3676"/>
      <c r="AC9" s="3676"/>
      <c r="AD9" s="3676"/>
      <c r="AE9" s="3676"/>
      <c r="AF9" s="3676"/>
      <c r="AG9" s="1322"/>
      <c r="AH9" s="1323"/>
      <c r="AI9" s="1322"/>
      <c r="AJ9" s="1322"/>
      <c r="AK9" s="1322"/>
      <c r="AL9" s="1322"/>
      <c r="AM9" s="1322"/>
      <c r="AN9" s="1322"/>
      <c r="AO9" s="1322"/>
      <c r="AP9" s="1322"/>
      <c r="AQ9" s="1322"/>
      <c r="AR9" s="1319"/>
      <c r="AS9" s="1319"/>
      <c r="AT9" s="1319"/>
      <c r="AU9" s="1319"/>
      <c r="AV9" s="1319"/>
      <c r="AW9" s="1319"/>
      <c r="AX9" s="1319"/>
      <c r="AY9" s="1319"/>
      <c r="AZ9" s="1319"/>
      <c r="BA9" s="1319"/>
      <c r="BB9" s="1319"/>
      <c r="BC9" s="1319"/>
    </row>
    <row r="10" spans="1:55" s="177" customFormat="1" ht="15.95" customHeight="1">
      <c r="A10" s="1319"/>
      <c r="B10" s="1320"/>
      <c r="C10" s="1301" t="s">
        <v>49</v>
      </c>
      <c r="D10" s="1340" t="b">
        <v>0</v>
      </c>
      <c r="E10" s="3676" t="s">
        <v>1514</v>
      </c>
      <c r="F10" s="3676"/>
      <c r="G10" s="3676"/>
      <c r="H10" s="3676"/>
      <c r="I10" s="3676"/>
      <c r="J10" s="3676"/>
      <c r="K10" s="3676"/>
      <c r="L10" s="3676"/>
      <c r="M10" s="3676"/>
      <c r="N10" s="3676"/>
      <c r="O10" s="3676"/>
      <c r="P10" s="3676"/>
      <c r="Q10" s="3676"/>
      <c r="R10" s="3676"/>
      <c r="S10" s="3676"/>
      <c r="T10" s="3676"/>
      <c r="U10" s="3676"/>
      <c r="V10" s="3676"/>
      <c r="W10" s="3676"/>
      <c r="X10" s="3676"/>
      <c r="Y10" s="3676"/>
      <c r="Z10" s="3676"/>
      <c r="AA10" s="3676"/>
      <c r="AB10" s="3676"/>
      <c r="AC10" s="3676"/>
      <c r="AD10" s="3676"/>
      <c r="AE10" s="3676"/>
      <c r="AF10" s="3676"/>
      <c r="AG10" s="1322"/>
      <c r="AH10" s="1323"/>
      <c r="AI10" s="1322"/>
      <c r="AJ10" s="1322"/>
      <c r="AK10" s="1322"/>
      <c r="AL10" s="1322"/>
      <c r="AM10" s="1322"/>
      <c r="AN10" s="1322"/>
      <c r="AO10" s="1322"/>
      <c r="AP10" s="1322"/>
      <c r="AQ10" s="1322"/>
      <c r="AR10" s="1319"/>
      <c r="AS10" s="1319"/>
      <c r="AT10" s="1319"/>
      <c r="AU10" s="1319"/>
      <c r="AV10" s="1319"/>
      <c r="AW10" s="1319"/>
      <c r="AX10" s="1319"/>
      <c r="AY10" s="1319"/>
      <c r="AZ10" s="1319"/>
      <c r="BA10" s="1319"/>
      <c r="BB10" s="1319"/>
      <c r="BC10" s="1319"/>
    </row>
    <row r="11" spans="1:55" s="177" customFormat="1" ht="15.95" customHeight="1">
      <c r="A11" s="1319"/>
      <c r="B11" s="1320"/>
      <c r="C11" s="1301"/>
      <c r="D11" s="1341"/>
      <c r="E11" s="3676"/>
      <c r="F11" s="3676"/>
      <c r="G11" s="3676"/>
      <c r="H11" s="3676"/>
      <c r="I11" s="3676"/>
      <c r="J11" s="3676"/>
      <c r="K11" s="3676"/>
      <c r="L11" s="3676"/>
      <c r="M11" s="3676"/>
      <c r="N11" s="3676"/>
      <c r="O11" s="3676"/>
      <c r="P11" s="3676"/>
      <c r="Q11" s="3676"/>
      <c r="R11" s="3676"/>
      <c r="S11" s="3676"/>
      <c r="T11" s="3676"/>
      <c r="U11" s="3676"/>
      <c r="V11" s="3676"/>
      <c r="W11" s="3676"/>
      <c r="X11" s="3676"/>
      <c r="Y11" s="3676"/>
      <c r="Z11" s="3676"/>
      <c r="AA11" s="3676"/>
      <c r="AB11" s="3676"/>
      <c r="AC11" s="3676"/>
      <c r="AD11" s="3676"/>
      <c r="AE11" s="3676"/>
      <c r="AF11" s="3676"/>
      <c r="AG11" s="1322"/>
      <c r="AH11" s="1323"/>
      <c r="AI11" s="1322"/>
      <c r="AJ11" s="1322"/>
      <c r="AK11" s="1322"/>
      <c r="AL11" s="1322"/>
      <c r="AM11" s="1322"/>
      <c r="AN11" s="1322"/>
      <c r="AO11" s="1322"/>
      <c r="AP11" s="1322"/>
      <c r="AQ11" s="1322"/>
      <c r="AR11" s="1319"/>
      <c r="AS11" s="1319"/>
      <c r="AT11" s="1319"/>
      <c r="AU11" s="1319"/>
      <c r="AV11" s="1319"/>
      <c r="AW11" s="1319"/>
      <c r="AX11" s="1319"/>
      <c r="AY11" s="1319"/>
      <c r="AZ11" s="1319"/>
      <c r="BA11" s="1319"/>
      <c r="BB11" s="1319"/>
      <c r="BC11" s="1319"/>
    </row>
    <row r="12" spans="1:55" s="177" customFormat="1" ht="15.95" customHeight="1">
      <c r="A12" s="1319"/>
      <c r="B12" s="1320"/>
      <c r="C12" s="1301" t="s">
        <v>50</v>
      </c>
      <c r="D12" s="1340" t="b">
        <v>1</v>
      </c>
      <c r="E12" s="3676" t="s">
        <v>1515</v>
      </c>
      <c r="F12" s="3676"/>
      <c r="G12" s="3676"/>
      <c r="H12" s="3676"/>
      <c r="I12" s="3676"/>
      <c r="J12" s="3676"/>
      <c r="K12" s="3676"/>
      <c r="L12" s="3676"/>
      <c r="M12" s="3676"/>
      <c r="N12" s="3676"/>
      <c r="O12" s="3676"/>
      <c r="P12" s="3676"/>
      <c r="Q12" s="3676"/>
      <c r="R12" s="3676"/>
      <c r="S12" s="3676"/>
      <c r="T12" s="3676"/>
      <c r="U12" s="3676"/>
      <c r="V12" s="3676"/>
      <c r="W12" s="3676"/>
      <c r="X12" s="3676"/>
      <c r="Y12" s="3676"/>
      <c r="Z12" s="3676"/>
      <c r="AA12" s="3676"/>
      <c r="AB12" s="3676"/>
      <c r="AC12" s="3676"/>
      <c r="AD12" s="3676"/>
      <c r="AE12" s="3676"/>
      <c r="AF12" s="3676"/>
      <c r="AG12" s="1322"/>
      <c r="AH12" s="1323"/>
      <c r="AI12" s="1322"/>
      <c r="AJ12" s="1322"/>
      <c r="AK12" s="1322"/>
      <c r="AL12" s="1322"/>
      <c r="AM12" s="1322"/>
      <c r="AN12" s="1322"/>
      <c r="AO12" s="1322"/>
      <c r="AP12" s="1322"/>
      <c r="AQ12" s="1322"/>
      <c r="AR12" s="1319"/>
      <c r="AS12" s="1319"/>
      <c r="AT12" s="1319"/>
      <c r="AU12" s="1319"/>
      <c r="AV12" s="1319"/>
      <c r="AW12" s="1319"/>
      <c r="AX12" s="1319"/>
      <c r="AY12" s="1319"/>
      <c r="AZ12" s="1319"/>
      <c r="BA12" s="1319"/>
      <c r="BB12" s="1319"/>
      <c r="BC12" s="1319"/>
    </row>
    <row r="13" spans="1:55" s="177" customFormat="1" ht="15.95" customHeight="1">
      <c r="A13" s="1319"/>
      <c r="B13" s="1320"/>
      <c r="C13" s="1301"/>
      <c r="D13" s="1341"/>
      <c r="E13" s="3676"/>
      <c r="F13" s="3676"/>
      <c r="G13" s="3676"/>
      <c r="H13" s="3676"/>
      <c r="I13" s="3676"/>
      <c r="J13" s="3676"/>
      <c r="K13" s="3676"/>
      <c r="L13" s="3676"/>
      <c r="M13" s="3676"/>
      <c r="N13" s="3676"/>
      <c r="O13" s="3676"/>
      <c r="P13" s="3676"/>
      <c r="Q13" s="3676"/>
      <c r="R13" s="3676"/>
      <c r="S13" s="3676"/>
      <c r="T13" s="3676"/>
      <c r="U13" s="3676"/>
      <c r="V13" s="3676"/>
      <c r="W13" s="3676"/>
      <c r="X13" s="3676"/>
      <c r="Y13" s="3676"/>
      <c r="Z13" s="3676"/>
      <c r="AA13" s="3676"/>
      <c r="AB13" s="3676"/>
      <c r="AC13" s="3676"/>
      <c r="AD13" s="3676"/>
      <c r="AE13" s="3676"/>
      <c r="AF13" s="3676"/>
      <c r="AG13" s="1368"/>
      <c r="AH13" s="1323"/>
      <c r="AI13" s="1322"/>
      <c r="AJ13" s="1322"/>
      <c r="AK13" s="1322"/>
      <c r="AL13" s="1322"/>
      <c r="AM13" s="1322"/>
      <c r="AN13" s="1322"/>
      <c r="AO13" s="1322"/>
      <c r="AP13" s="1322"/>
      <c r="AQ13" s="1322"/>
      <c r="AR13" s="1319"/>
      <c r="AS13" s="1319"/>
      <c r="AT13" s="1319"/>
      <c r="AU13" s="1319"/>
      <c r="AV13" s="1319"/>
      <c r="AW13" s="1319"/>
      <c r="AX13" s="1319"/>
      <c r="AY13" s="1319"/>
      <c r="AZ13" s="1319"/>
      <c r="BA13" s="1319"/>
      <c r="BB13" s="1319"/>
      <c r="BC13" s="1319"/>
    </row>
    <row r="14" spans="1:55" s="177" customFormat="1" ht="15.95" customHeight="1">
      <c r="A14" s="1319"/>
      <c r="B14" s="1320"/>
      <c r="C14" s="1301" t="s">
        <v>51</v>
      </c>
      <c r="D14" s="1340" t="b">
        <v>0</v>
      </c>
      <c r="E14" s="3676" t="s">
        <v>1516</v>
      </c>
      <c r="F14" s="3676"/>
      <c r="G14" s="3676"/>
      <c r="H14" s="3676"/>
      <c r="I14" s="3676"/>
      <c r="J14" s="3676"/>
      <c r="K14" s="3676"/>
      <c r="L14" s="3676"/>
      <c r="M14" s="3676"/>
      <c r="N14" s="3676"/>
      <c r="O14" s="3676"/>
      <c r="P14" s="3676"/>
      <c r="Q14" s="3676"/>
      <c r="R14" s="3676"/>
      <c r="S14" s="3676"/>
      <c r="T14" s="3676"/>
      <c r="U14" s="3676"/>
      <c r="V14" s="3676"/>
      <c r="W14" s="3676"/>
      <c r="X14" s="3676"/>
      <c r="Y14" s="3676"/>
      <c r="Z14" s="3676"/>
      <c r="AA14" s="3676"/>
      <c r="AB14" s="3676"/>
      <c r="AC14" s="3676"/>
      <c r="AD14" s="3676"/>
      <c r="AE14" s="3676"/>
      <c r="AF14" s="3676"/>
      <c r="AG14" s="1322"/>
      <c r="AH14" s="1323"/>
      <c r="AI14" s="1322"/>
      <c r="AJ14" s="1322"/>
      <c r="AK14" s="1322"/>
      <c r="AL14" s="1322"/>
      <c r="AM14" s="1322"/>
      <c r="AN14" s="1322"/>
      <c r="AO14" s="1322"/>
      <c r="AP14" s="1322"/>
      <c r="AQ14" s="1322"/>
      <c r="AR14" s="1319"/>
      <c r="AS14" s="1319"/>
      <c r="AT14" s="1319"/>
      <c r="AU14" s="1319"/>
      <c r="AV14" s="1319"/>
      <c r="AW14" s="1319"/>
      <c r="AX14" s="1319"/>
      <c r="AY14" s="1319"/>
      <c r="AZ14" s="1319"/>
      <c r="BA14" s="1319"/>
      <c r="BB14" s="1319"/>
      <c r="BC14" s="1319"/>
    </row>
    <row r="15" spans="1:55" s="177" customFormat="1" ht="15.95" customHeight="1">
      <c r="A15" s="1319"/>
      <c r="B15" s="1320"/>
      <c r="C15" s="1301"/>
      <c r="D15" s="1341"/>
      <c r="E15" s="3676"/>
      <c r="F15" s="3676"/>
      <c r="G15" s="3676"/>
      <c r="H15" s="3676"/>
      <c r="I15" s="3676"/>
      <c r="J15" s="3676"/>
      <c r="K15" s="3676"/>
      <c r="L15" s="3676"/>
      <c r="M15" s="3676"/>
      <c r="N15" s="3676"/>
      <c r="O15" s="3676"/>
      <c r="P15" s="3676"/>
      <c r="Q15" s="3676"/>
      <c r="R15" s="3676"/>
      <c r="S15" s="3676"/>
      <c r="T15" s="3676"/>
      <c r="U15" s="3676"/>
      <c r="V15" s="3676"/>
      <c r="W15" s="3676"/>
      <c r="X15" s="3676"/>
      <c r="Y15" s="3676"/>
      <c r="Z15" s="3676"/>
      <c r="AA15" s="3676"/>
      <c r="AB15" s="3676"/>
      <c r="AC15" s="3676"/>
      <c r="AD15" s="3676"/>
      <c r="AE15" s="3676"/>
      <c r="AF15" s="3676"/>
      <c r="AG15" s="1322"/>
      <c r="AH15" s="1323"/>
      <c r="AI15" s="1322"/>
      <c r="AJ15" s="1322"/>
      <c r="AK15" s="1322"/>
      <c r="AL15" s="1322"/>
      <c r="AM15" s="1322"/>
      <c r="AN15" s="1322"/>
      <c r="AO15" s="1322"/>
      <c r="AP15" s="1322"/>
      <c r="AQ15" s="1322"/>
      <c r="AR15" s="1319"/>
      <c r="AS15" s="1319"/>
      <c r="AT15" s="1319"/>
      <c r="AU15" s="1319"/>
      <c r="AV15" s="1319"/>
      <c r="AW15" s="1319"/>
      <c r="AX15" s="1319"/>
      <c r="AY15" s="1319"/>
      <c r="AZ15" s="1319"/>
      <c r="BA15" s="1319"/>
      <c r="BB15" s="1319"/>
      <c r="BC15" s="1319"/>
    </row>
    <row r="16" spans="1:55">
      <c r="A16" s="1262"/>
      <c r="B16" s="1269"/>
      <c r="C16" s="1301" t="s">
        <v>52</v>
      </c>
      <c r="D16" s="3638" t="s">
        <v>1876</v>
      </c>
      <c r="E16" s="3638"/>
      <c r="F16" s="3638"/>
      <c r="G16" s="3638"/>
      <c r="H16" s="3638"/>
      <c r="I16" s="3638"/>
      <c r="J16" s="3638"/>
      <c r="K16" s="3638"/>
      <c r="L16" s="3638"/>
      <c r="M16" s="3638"/>
      <c r="N16" s="3638"/>
      <c r="O16" s="3638"/>
      <c r="P16" s="3638"/>
      <c r="Q16" s="3638"/>
      <c r="R16" s="3638"/>
      <c r="S16" s="3638"/>
      <c r="T16" s="3638"/>
      <c r="U16" s="3638"/>
      <c r="V16" s="3638"/>
      <c r="W16" s="3638"/>
      <c r="X16" s="3638"/>
      <c r="Y16" s="3638"/>
      <c r="Z16" s="3638"/>
      <c r="AA16" s="3638"/>
      <c r="AB16" s="3638"/>
      <c r="AC16" s="3638"/>
      <c r="AD16" s="3638"/>
      <c r="AE16" s="3638"/>
      <c r="AF16" s="3638"/>
      <c r="AG16" s="1271"/>
      <c r="AH16" s="1272"/>
      <c r="AI16" s="1262"/>
      <c r="AJ16" s="1262"/>
      <c r="AK16" s="1262"/>
      <c r="AL16" s="1262"/>
      <c r="AM16" s="1262"/>
      <c r="AN16" s="1262"/>
      <c r="AO16" s="1262"/>
      <c r="AP16" s="1262"/>
      <c r="AQ16" s="1262"/>
      <c r="AR16" s="1262"/>
      <c r="AS16" s="1262"/>
      <c r="AT16" s="1262"/>
      <c r="AU16" s="1262"/>
      <c r="AV16" s="1262"/>
      <c r="AW16" s="1262"/>
      <c r="AX16" s="1262"/>
      <c r="AY16" s="1262"/>
    </row>
    <row r="17" spans="1:55" s="180" customFormat="1" ht="19.7" customHeight="1">
      <c r="A17" s="1347"/>
      <c r="B17" s="1355"/>
      <c r="C17" s="1347"/>
      <c r="D17" s="1356" t="s">
        <v>1877</v>
      </c>
      <c r="E17" s="1357"/>
      <c r="F17" s="1347"/>
      <c r="G17" s="1347"/>
      <c r="H17" s="1357"/>
      <c r="I17" s="1347"/>
      <c r="J17" s="1347"/>
      <c r="K17" s="1347"/>
      <c r="L17" s="1357"/>
      <c r="M17" s="1357"/>
      <c r="N17" s="1357"/>
      <c r="O17" s="1357"/>
      <c r="P17" s="1357"/>
      <c r="Q17" s="1357"/>
      <c r="R17" s="1357"/>
      <c r="S17" s="1357"/>
      <c r="T17" s="1347"/>
      <c r="U17" s="1347"/>
      <c r="V17" s="604" t="s">
        <v>1878</v>
      </c>
      <c r="W17" s="1358"/>
      <c r="X17" s="1347"/>
      <c r="Y17" s="1347"/>
      <c r="Z17" s="1347"/>
      <c r="AA17" s="1347"/>
      <c r="AB17" s="1347"/>
      <c r="AC17" s="1347"/>
      <c r="AD17" s="1347"/>
      <c r="AE17" s="1347"/>
      <c r="AF17" s="1347"/>
      <c r="AG17" s="1347"/>
      <c r="AH17" s="1359"/>
      <c r="AI17" s="1347"/>
      <c r="AJ17" s="1347"/>
      <c r="AK17" s="1347"/>
      <c r="AL17" s="1347"/>
      <c r="AM17" s="1347"/>
      <c r="AN17" s="1347"/>
      <c r="AO17" s="1347"/>
      <c r="AP17" s="1347"/>
      <c r="AQ17" s="1347"/>
      <c r="AR17" s="1347"/>
      <c r="AS17" s="1347"/>
      <c r="AT17" s="1347"/>
      <c r="AU17" s="1347"/>
      <c r="AV17" s="1347"/>
      <c r="AW17" s="1347"/>
      <c r="AX17" s="1347"/>
      <c r="AY17" s="1347"/>
      <c r="AZ17" s="1347"/>
      <c r="BA17" s="1347"/>
      <c r="BB17" s="1347"/>
      <c r="BC17" s="1347"/>
    </row>
    <row r="18" spans="1:55" s="180" customFormat="1" ht="19.7" customHeight="1">
      <c r="A18" s="1347"/>
      <c r="B18" s="1355"/>
      <c r="C18" s="1347"/>
      <c r="D18" s="1369" t="b">
        <v>0</v>
      </c>
      <c r="E18" s="1319" t="s">
        <v>908</v>
      </c>
      <c r="F18" s="1347"/>
      <c r="G18" s="1347"/>
      <c r="H18" s="1347"/>
      <c r="I18" s="1347"/>
      <c r="J18" s="1369" t="b">
        <v>1</v>
      </c>
      <c r="K18" s="1361" t="s">
        <v>841</v>
      </c>
      <c r="L18" s="1362"/>
      <c r="M18" s="1362"/>
      <c r="N18" s="1360"/>
      <c r="O18" s="1319"/>
      <c r="P18" s="1362"/>
      <c r="Q18" s="1362"/>
      <c r="R18" s="1362"/>
      <c r="S18" s="1362"/>
      <c r="T18" s="1347"/>
      <c r="U18" s="1347"/>
      <c r="V18" s="1369" t="b">
        <v>0</v>
      </c>
      <c r="W18" s="1319" t="s">
        <v>857</v>
      </c>
      <c r="X18" s="1347"/>
      <c r="Y18" s="1347"/>
      <c r="Z18" s="1347"/>
      <c r="AA18" s="1347"/>
      <c r="AB18" s="1347"/>
      <c r="AC18" s="1347"/>
      <c r="AD18" s="1360"/>
      <c r="AE18" s="1360"/>
      <c r="AF18" s="1360"/>
      <c r="AG18" s="1319"/>
      <c r="AH18" s="1363"/>
      <c r="AI18" s="1347"/>
      <c r="AJ18" s="1347"/>
      <c r="AK18" s="1347"/>
      <c r="AL18" s="1347"/>
      <c r="AM18" s="1347"/>
      <c r="AN18" s="1347"/>
      <c r="AO18" s="1347"/>
      <c r="AP18" s="1347"/>
      <c r="AQ18" s="1347"/>
      <c r="AR18" s="1347"/>
      <c r="AS18" s="1347"/>
      <c r="AT18" s="1347"/>
      <c r="AU18" s="1347"/>
      <c r="AV18" s="1347"/>
      <c r="AW18" s="1347"/>
      <c r="AX18" s="1347"/>
      <c r="AY18" s="1347"/>
      <c r="AZ18" s="1347"/>
      <c r="BA18" s="1347"/>
      <c r="BB18" s="1347"/>
      <c r="BC18" s="1347"/>
    </row>
    <row r="19" spans="1:55" s="180" customFormat="1" ht="19.7" customHeight="1">
      <c r="A19" s="1347"/>
      <c r="B19" s="1355"/>
      <c r="C19" s="1347"/>
      <c r="D19" s="1369" t="b">
        <v>0</v>
      </c>
      <c r="E19" s="1361" t="s">
        <v>844</v>
      </c>
      <c r="F19" s="1347"/>
      <c r="G19" s="1347"/>
      <c r="H19" s="1347"/>
      <c r="I19" s="1347"/>
      <c r="J19" s="1369" t="b">
        <v>0</v>
      </c>
      <c r="K19" s="1361" t="s">
        <v>846</v>
      </c>
      <c r="L19" s="1362"/>
      <c r="M19" s="1362"/>
      <c r="N19" s="1360"/>
      <c r="O19" s="1319"/>
      <c r="P19" s="1362"/>
      <c r="Q19" s="1362"/>
      <c r="R19" s="1362"/>
      <c r="S19" s="1362"/>
      <c r="T19" s="1347"/>
      <c r="U19" s="1347"/>
      <c r="V19" s="1369" t="b">
        <v>0</v>
      </c>
      <c r="W19" s="1319" t="s">
        <v>907</v>
      </c>
      <c r="X19" s="1347"/>
      <c r="Y19" s="1347"/>
      <c r="Z19" s="1347"/>
      <c r="AA19" s="1347"/>
      <c r="AB19" s="1347"/>
      <c r="AC19" s="1347"/>
      <c r="AD19" s="1360"/>
      <c r="AE19" s="1360"/>
      <c r="AF19" s="1360"/>
      <c r="AG19" s="1319"/>
      <c r="AH19" s="1363"/>
      <c r="AI19" s="1347"/>
      <c r="AJ19" s="1347"/>
      <c r="AK19" s="1347"/>
      <c r="AL19" s="1347"/>
      <c r="AM19" s="1347"/>
      <c r="AN19" s="1347"/>
      <c r="AO19" s="1347"/>
      <c r="AP19" s="1347"/>
      <c r="AQ19" s="1347"/>
      <c r="AR19" s="1347"/>
      <c r="AS19" s="1347"/>
      <c r="AT19" s="1347"/>
      <c r="AU19" s="1347"/>
      <c r="AV19" s="1347"/>
      <c r="AW19" s="1347"/>
      <c r="AX19" s="1347"/>
      <c r="AY19" s="1347"/>
      <c r="AZ19" s="1347"/>
      <c r="BA19" s="1347"/>
      <c r="BB19" s="1347"/>
      <c r="BC19" s="1347"/>
    </row>
    <row r="20" spans="1:55" s="180" customFormat="1" ht="19.7" customHeight="1">
      <c r="A20" s="1347"/>
      <c r="B20" s="1355"/>
      <c r="C20" s="1347"/>
      <c r="D20" s="1369" t="b">
        <v>1</v>
      </c>
      <c r="E20" s="1319" t="s">
        <v>842</v>
      </c>
      <c r="F20" s="1347"/>
      <c r="G20" s="1347"/>
      <c r="H20" s="1347"/>
      <c r="I20" s="1347"/>
      <c r="J20" s="1369" t="b">
        <v>0</v>
      </c>
      <c r="K20" s="1361" t="s">
        <v>845</v>
      </c>
      <c r="L20" s="1362"/>
      <c r="M20" s="3783"/>
      <c r="N20" s="3783"/>
      <c r="O20" s="3783"/>
      <c r="P20" s="3783"/>
      <c r="Q20" s="3783"/>
      <c r="R20" s="3783"/>
      <c r="S20" s="3783"/>
      <c r="T20" s="3783"/>
      <c r="U20" s="3783"/>
      <c r="V20" s="1369" t="b">
        <v>0</v>
      </c>
      <c r="W20" s="1319" t="s">
        <v>909</v>
      </c>
      <c r="X20" s="1347"/>
      <c r="Y20" s="1347"/>
      <c r="Z20" s="1347"/>
      <c r="AA20" s="1347"/>
      <c r="AB20" s="1347"/>
      <c r="AC20" s="1347"/>
      <c r="AD20" s="1347"/>
      <c r="AE20" s="1347"/>
      <c r="AF20" s="1347"/>
      <c r="AG20" s="582"/>
      <c r="AH20" s="1364"/>
      <c r="AI20" s="1347"/>
      <c r="AJ20" s="1347"/>
      <c r="AK20" s="1347"/>
      <c r="AL20" s="1347"/>
      <c r="AM20" s="1347"/>
      <c r="AN20" s="1347"/>
      <c r="AO20" s="1347"/>
      <c r="AP20" s="1347"/>
      <c r="AQ20" s="1347"/>
      <c r="AR20" s="1347"/>
      <c r="AS20" s="1347"/>
      <c r="AT20" s="1347"/>
      <c r="AU20" s="1347"/>
      <c r="AV20" s="1347"/>
      <c r="AW20" s="1347"/>
      <c r="AX20" s="1347"/>
      <c r="AY20" s="1347"/>
      <c r="AZ20" s="1347"/>
      <c r="BA20" s="1347"/>
      <c r="BB20" s="1347"/>
      <c r="BC20" s="1347"/>
    </row>
    <row r="21" spans="1:55" s="180" customFormat="1" ht="19.7" customHeight="1">
      <c r="A21" s="1347"/>
      <c r="B21" s="1355"/>
      <c r="C21" s="1347"/>
      <c r="D21" s="1369" t="b">
        <v>0</v>
      </c>
      <c r="E21" s="1361" t="s">
        <v>840</v>
      </c>
      <c r="F21" s="1347"/>
      <c r="G21" s="1347"/>
      <c r="H21" s="1347"/>
      <c r="I21" s="1347"/>
      <c r="J21" s="1369" t="b">
        <v>1</v>
      </c>
      <c r="K21" s="1361" t="s">
        <v>906</v>
      </c>
      <c r="L21" s="1347"/>
      <c r="M21" s="3782"/>
      <c r="N21" s="3782"/>
      <c r="O21" s="3782"/>
      <c r="P21" s="3782"/>
      <c r="Q21" s="3782"/>
      <c r="R21" s="3782"/>
      <c r="S21" s="1362"/>
      <c r="T21" s="1347"/>
      <c r="U21" s="1347"/>
      <c r="V21" s="1369" t="b">
        <v>0</v>
      </c>
      <c r="W21" s="1361" t="s">
        <v>906</v>
      </c>
      <c r="X21" s="1347"/>
      <c r="Y21" s="1365"/>
      <c r="Z21" s="1347"/>
      <c r="AA21" s="1347"/>
      <c r="AB21" s="1347"/>
      <c r="AC21" s="1365"/>
      <c r="AD21" s="1360"/>
      <c r="AE21" s="1360"/>
      <c r="AF21" s="1360"/>
      <c r="AG21" s="1319"/>
      <c r="AH21" s="1363"/>
      <c r="AI21" s="1347"/>
      <c r="AJ21" s="1347"/>
      <c r="AK21" s="1347"/>
      <c r="AL21" s="1347"/>
      <c r="AM21" s="1347"/>
      <c r="AN21" s="1347"/>
      <c r="AO21" s="1347"/>
      <c r="AP21" s="1347"/>
      <c r="AQ21" s="1347"/>
      <c r="AR21" s="1347"/>
      <c r="AS21" s="1347"/>
      <c r="AT21" s="1347"/>
      <c r="AU21" s="1347"/>
      <c r="AV21" s="1347"/>
      <c r="AW21" s="1347"/>
      <c r="AX21" s="1347"/>
      <c r="AY21" s="1347"/>
      <c r="AZ21" s="1347"/>
      <c r="BA21" s="1347"/>
      <c r="BB21" s="1347"/>
      <c r="BC21" s="1347"/>
    </row>
    <row r="22" spans="1:55" s="180" customFormat="1" ht="19.7" customHeight="1">
      <c r="A22" s="1347"/>
      <c r="B22" s="1355"/>
      <c r="C22" s="1347"/>
      <c r="D22" s="1340" t="b">
        <v>0</v>
      </c>
      <c r="E22" s="1319" t="s">
        <v>843</v>
      </c>
      <c r="F22" s="1347"/>
      <c r="G22" s="1347"/>
      <c r="H22" s="1347"/>
      <c r="I22" s="1347"/>
      <c r="J22" s="1340" t="b">
        <v>0</v>
      </c>
      <c r="K22" s="757" t="s">
        <v>1021</v>
      </c>
      <c r="L22" s="1325"/>
      <c r="M22" s="1262"/>
      <c r="N22" s="1262"/>
      <c r="O22" s="3747"/>
      <c r="P22" s="3747"/>
      <c r="Q22" s="3747"/>
      <c r="R22" s="3747"/>
      <c r="S22" s="3747"/>
      <c r="T22" s="3747"/>
      <c r="U22" s="1347"/>
      <c r="V22" s="1369" t="b">
        <v>0</v>
      </c>
      <c r="W22" s="757" t="s">
        <v>1021</v>
      </c>
      <c r="X22" s="1325"/>
      <c r="Y22" s="1262"/>
      <c r="Z22" s="1262"/>
      <c r="AA22" s="3747"/>
      <c r="AB22" s="3747"/>
      <c r="AC22" s="3747"/>
      <c r="AD22" s="3747"/>
      <c r="AE22" s="3747"/>
      <c r="AF22" s="3747"/>
      <c r="AG22" s="1366"/>
      <c r="AH22" s="1359"/>
      <c r="AI22" s="1347"/>
      <c r="AJ22" s="1347"/>
      <c r="AK22" s="1347"/>
      <c r="AL22" s="1347"/>
      <c r="AM22" s="1347"/>
      <c r="AN22" s="1347"/>
      <c r="AO22" s="1347"/>
      <c r="AP22" s="1347"/>
      <c r="AQ22" s="1347"/>
      <c r="AR22" s="1347"/>
      <c r="AS22" s="1347"/>
      <c r="AT22" s="1347"/>
      <c r="AU22" s="1347"/>
      <c r="AV22" s="1347"/>
      <c r="AW22" s="1347"/>
      <c r="AX22" s="1347"/>
      <c r="AY22" s="1347"/>
      <c r="AZ22" s="1347"/>
      <c r="BA22" s="1347"/>
      <c r="BB22" s="1347"/>
      <c r="BC22" s="1347"/>
    </row>
    <row r="23" spans="1:55" s="180" customFormat="1" ht="15" customHeight="1">
      <c r="A23" s="1347"/>
      <c r="B23" s="1355"/>
      <c r="C23" s="1347"/>
      <c r="D23" s="1321"/>
      <c r="E23" s="1319"/>
      <c r="F23" s="1347"/>
      <c r="G23" s="1347"/>
      <c r="H23" s="1347"/>
      <c r="I23" s="1347"/>
      <c r="J23" s="1321"/>
      <c r="K23" s="757"/>
      <c r="L23" s="1325"/>
      <c r="M23" s="1262"/>
      <c r="N23" s="1262"/>
      <c r="O23" s="1750" t="str">
        <f>IF(AND(sch_watch_nat_hazard_others=TRUE,ISBLANK(sch_watch_nat_hazard_others_specify)),"Please specify.",IF(AND(sch_watch_nat_hazard_others=FALSE,sch_watch_nat_hazard_others_specify&gt;0),"Please check Others if you have entries.",""))</f>
        <v/>
      </c>
      <c r="P23" s="1366"/>
      <c r="Q23" s="1366"/>
      <c r="R23" s="1366"/>
      <c r="S23" s="1366"/>
      <c r="T23" s="1366"/>
      <c r="U23" s="1347"/>
      <c r="V23" s="1360"/>
      <c r="W23" s="757"/>
      <c r="X23" s="1325"/>
      <c r="Y23" s="1262"/>
      <c r="Z23" s="1262"/>
      <c r="AA23" s="1750" t="str">
        <f>IF(AND(sch_watch_human_induce_hazard_others=TRUE,ISBLANK(sch_watch_human_induce_hazard_othrs_specify)),"Please specify.",IF(AND(sch_watch_human_induce_hazard_others=FALSE,sch_watch_human_induce_hazard_othrs_specify&gt;0),"Please check Others if you have entries.",""))</f>
        <v/>
      </c>
      <c r="AB23" s="1366"/>
      <c r="AC23" s="1366"/>
      <c r="AD23" s="1366"/>
      <c r="AE23" s="1366"/>
      <c r="AF23" s="1366"/>
      <c r="AG23" s="1366"/>
      <c r="AH23" s="1359"/>
      <c r="AI23" s="1347"/>
      <c r="AJ23" s="1347"/>
      <c r="AK23" s="1347"/>
      <c r="AL23" s="1347"/>
      <c r="AM23" s="1347"/>
      <c r="AN23" s="1347"/>
      <c r="AO23" s="1347"/>
      <c r="AP23" s="1347"/>
      <c r="AQ23" s="1347"/>
      <c r="AR23" s="1347"/>
      <c r="AS23" s="1347"/>
      <c r="AT23" s="1347"/>
      <c r="AU23" s="1347"/>
      <c r="AV23" s="1347"/>
      <c r="AW23" s="1347"/>
      <c r="AX23" s="1347"/>
      <c r="AY23" s="1347"/>
      <c r="AZ23" s="1347"/>
      <c r="BA23" s="1347"/>
      <c r="BB23" s="1347"/>
      <c r="BC23" s="1347"/>
    </row>
    <row r="24" spans="1:55" ht="15.6" customHeight="1">
      <c r="A24" s="1262"/>
      <c r="B24" s="1269"/>
      <c r="C24" s="1301" t="s">
        <v>53</v>
      </c>
      <c r="D24" s="3638" t="s">
        <v>1879</v>
      </c>
      <c r="E24" s="3638"/>
      <c r="F24" s="3638"/>
      <c r="G24" s="3638"/>
      <c r="H24" s="3638"/>
      <c r="I24" s="3638"/>
      <c r="J24" s="3638"/>
      <c r="K24" s="3638"/>
      <c r="L24" s="3638"/>
      <c r="M24" s="3638"/>
      <c r="N24" s="3638"/>
      <c r="O24" s="3638"/>
      <c r="P24" s="3638"/>
      <c r="Q24" s="3638"/>
      <c r="R24" s="3638"/>
      <c r="S24" s="3638"/>
      <c r="T24" s="3638"/>
      <c r="U24" s="3638"/>
      <c r="V24" s="3638"/>
      <c r="W24" s="3638"/>
      <c r="X24" s="3638"/>
      <c r="Y24" s="3638"/>
      <c r="Z24" s="3638"/>
      <c r="AA24" s="3638"/>
      <c r="AB24" s="3638"/>
      <c r="AC24" s="3638"/>
      <c r="AD24" s="3638"/>
      <c r="AE24" s="3638"/>
      <c r="AF24" s="3638"/>
      <c r="AG24" s="1271"/>
      <c r="AH24" s="1272"/>
      <c r="AI24" s="1262"/>
      <c r="AJ24" s="1262"/>
      <c r="AK24" s="1262"/>
      <c r="AL24" s="1262"/>
      <c r="AM24" s="1262"/>
      <c r="AN24" s="1262"/>
      <c r="AO24" s="1262"/>
      <c r="AP24" s="1262"/>
      <c r="AQ24" s="1262"/>
      <c r="AR24" s="1262"/>
      <c r="AS24" s="1262"/>
      <c r="AT24" s="1262"/>
      <c r="AU24" s="1262"/>
      <c r="AV24" s="1262"/>
      <c r="AW24" s="1262"/>
      <c r="AX24" s="1262"/>
      <c r="AY24" s="1262"/>
    </row>
    <row r="25" spans="1:55" s="180" customFormat="1" ht="19.7" customHeight="1">
      <c r="A25" s="1347"/>
      <c r="B25" s="1355"/>
      <c r="C25" s="1347"/>
      <c r="D25" s="1356" t="s">
        <v>1517</v>
      </c>
      <c r="E25" s="1357"/>
      <c r="F25" s="1347"/>
      <c r="G25" s="1347"/>
      <c r="H25" s="1357"/>
      <c r="I25" s="1347"/>
      <c r="J25" s="1347"/>
      <c r="K25" s="1347"/>
      <c r="L25" s="1357"/>
      <c r="M25" s="1357"/>
      <c r="N25" s="1357"/>
      <c r="O25" s="1357"/>
      <c r="P25" s="1357"/>
      <c r="Q25" s="1357"/>
      <c r="R25" s="1357"/>
      <c r="S25" s="1357"/>
      <c r="T25" s="1347"/>
      <c r="U25" s="1347"/>
      <c r="V25" s="604"/>
      <c r="W25" s="1358"/>
      <c r="X25" s="1347"/>
      <c r="Y25" s="1347"/>
      <c r="Z25" s="1347"/>
      <c r="AA25" s="1347"/>
      <c r="AB25" s="1347"/>
      <c r="AC25" s="1347"/>
      <c r="AD25" s="1347"/>
      <c r="AE25" s="1347"/>
      <c r="AF25" s="1347"/>
      <c r="AG25" s="1347"/>
      <c r="AH25" s="1359"/>
      <c r="AI25" s="1347"/>
      <c r="AJ25" s="1347"/>
      <c r="AK25" s="1347"/>
      <c r="AL25" s="1347"/>
      <c r="AM25" s="1347"/>
      <c r="AN25" s="1347"/>
      <c r="AO25" s="1347"/>
      <c r="AP25" s="1347"/>
      <c r="AQ25" s="1347"/>
      <c r="AR25" s="1347"/>
      <c r="AS25" s="1347"/>
      <c r="AT25" s="1347"/>
      <c r="AU25" s="1347"/>
      <c r="AV25" s="1347"/>
      <c r="AW25" s="1347"/>
      <c r="AX25" s="1347"/>
      <c r="AY25" s="1347"/>
      <c r="AZ25" s="1347"/>
      <c r="BA25" s="1347"/>
      <c r="BB25" s="1347"/>
      <c r="BC25" s="1347"/>
    </row>
    <row r="26" spans="1:55" s="180" customFormat="1" ht="17.100000000000001" customHeight="1">
      <c r="A26" s="1347"/>
      <c r="B26" s="1355"/>
      <c r="C26" s="1347"/>
      <c r="D26" s="1369" t="b">
        <v>0</v>
      </c>
      <c r="E26" s="3781" t="s">
        <v>1518</v>
      </c>
      <c r="F26" s="3781"/>
      <c r="G26" s="3781"/>
      <c r="H26" s="3781"/>
      <c r="I26" s="3781"/>
      <c r="J26" s="3781"/>
      <c r="K26" s="3781"/>
      <c r="L26" s="3781"/>
      <c r="M26" s="3781"/>
      <c r="N26" s="3781"/>
      <c r="O26" s="3781"/>
      <c r="P26" s="3781"/>
      <c r="Q26" s="1362"/>
      <c r="R26" s="1362"/>
      <c r="S26" s="1362"/>
      <c r="T26" s="1369" t="b">
        <v>1</v>
      </c>
      <c r="U26" s="3781" t="s">
        <v>1525</v>
      </c>
      <c r="V26" s="3781"/>
      <c r="W26" s="3781"/>
      <c r="X26" s="3781"/>
      <c r="Y26" s="3781"/>
      <c r="Z26" s="3781"/>
      <c r="AA26" s="3781"/>
      <c r="AB26" s="3781"/>
      <c r="AC26" s="3781"/>
      <c r="AD26" s="3781"/>
      <c r="AE26" s="3781"/>
      <c r="AF26" s="3781"/>
      <c r="AG26" s="1319"/>
      <c r="AH26" s="1363"/>
      <c r="AI26" s="1347"/>
      <c r="AJ26" s="1347"/>
      <c r="AK26" s="1347"/>
      <c r="AL26" s="1347"/>
      <c r="AM26" s="1347"/>
      <c r="AN26" s="1347"/>
      <c r="AO26" s="1347"/>
      <c r="AP26" s="1347"/>
      <c r="AQ26" s="1347"/>
      <c r="AR26" s="1347"/>
      <c r="AS26" s="1347"/>
      <c r="AT26" s="1347"/>
      <c r="AU26" s="1347"/>
      <c r="AV26" s="1347"/>
      <c r="AW26" s="1347"/>
      <c r="AX26" s="1347"/>
      <c r="AY26" s="1347"/>
      <c r="AZ26" s="1347"/>
      <c r="BA26" s="1347"/>
      <c r="BB26" s="1347"/>
      <c r="BC26" s="1347"/>
    </row>
    <row r="27" spans="1:55" s="180" customFormat="1" ht="17.100000000000001" customHeight="1">
      <c r="A27" s="1347"/>
      <c r="B27" s="1355"/>
      <c r="C27" s="1347"/>
      <c r="D27" s="1367"/>
      <c r="E27" s="3781"/>
      <c r="F27" s="3781"/>
      <c r="G27" s="3781"/>
      <c r="H27" s="3781"/>
      <c r="I27" s="3781"/>
      <c r="J27" s="3781"/>
      <c r="K27" s="3781"/>
      <c r="L27" s="3781"/>
      <c r="M27" s="3781"/>
      <c r="N27" s="3781"/>
      <c r="O27" s="3781"/>
      <c r="P27" s="3781"/>
      <c r="Q27" s="1362"/>
      <c r="R27" s="1362"/>
      <c r="S27" s="1362"/>
      <c r="T27" s="1360"/>
      <c r="U27" s="3781"/>
      <c r="V27" s="3781"/>
      <c r="W27" s="3781"/>
      <c r="X27" s="3781"/>
      <c r="Y27" s="3781"/>
      <c r="Z27" s="3781"/>
      <c r="AA27" s="3781"/>
      <c r="AB27" s="3781"/>
      <c r="AC27" s="3781"/>
      <c r="AD27" s="3781"/>
      <c r="AE27" s="3781"/>
      <c r="AF27" s="3781"/>
      <c r="AG27" s="1319"/>
      <c r="AH27" s="1363"/>
      <c r="AI27" s="1347"/>
      <c r="AJ27" s="1347"/>
      <c r="AK27" s="1347"/>
      <c r="AL27" s="1347"/>
      <c r="AM27" s="1347"/>
      <c r="AN27" s="1347"/>
      <c r="AO27" s="1347"/>
      <c r="AP27" s="1347"/>
      <c r="AQ27" s="1347"/>
      <c r="AR27" s="1347"/>
      <c r="AS27" s="1347"/>
      <c r="AT27" s="1347"/>
      <c r="AU27" s="1347"/>
      <c r="AV27" s="1347"/>
      <c r="AW27" s="1347"/>
      <c r="AX27" s="1347"/>
      <c r="AY27" s="1347"/>
      <c r="AZ27" s="1347"/>
      <c r="BA27" s="1347"/>
      <c r="BB27" s="1347"/>
      <c r="BC27" s="1347"/>
    </row>
    <row r="28" spans="1:55" s="180" customFormat="1" ht="17.100000000000001" customHeight="1">
      <c r="A28" s="1347"/>
      <c r="B28" s="1355"/>
      <c r="C28" s="1347"/>
      <c r="D28" s="1369" t="b">
        <v>1</v>
      </c>
      <c r="E28" s="3780" t="s">
        <v>1519</v>
      </c>
      <c r="F28" s="3780"/>
      <c r="G28" s="3780"/>
      <c r="H28" s="3780"/>
      <c r="I28" s="3780"/>
      <c r="J28" s="3780"/>
      <c r="K28" s="3780"/>
      <c r="L28" s="3780"/>
      <c r="M28" s="3780"/>
      <c r="N28" s="3780"/>
      <c r="O28" s="3780"/>
      <c r="P28" s="3780"/>
      <c r="Q28" s="1362"/>
      <c r="R28" s="1362"/>
      <c r="S28" s="1362"/>
      <c r="T28" s="1360"/>
      <c r="U28" s="3781"/>
      <c r="V28" s="3781"/>
      <c r="W28" s="3781"/>
      <c r="X28" s="3781"/>
      <c r="Y28" s="3781"/>
      <c r="Z28" s="3781"/>
      <c r="AA28" s="3781"/>
      <c r="AB28" s="3781"/>
      <c r="AC28" s="3781"/>
      <c r="AD28" s="3781"/>
      <c r="AE28" s="3781"/>
      <c r="AF28" s="3781"/>
      <c r="AG28" s="1319"/>
      <c r="AH28" s="1363"/>
      <c r="AI28" s="1347"/>
      <c r="AJ28" s="1347"/>
      <c r="AK28" s="1347"/>
      <c r="AL28" s="1347"/>
      <c r="AM28" s="1347"/>
      <c r="AN28" s="1347"/>
      <c r="AO28" s="1347"/>
      <c r="AP28" s="1347"/>
      <c r="AQ28" s="1347"/>
      <c r="AR28" s="1347"/>
      <c r="AS28" s="1347"/>
      <c r="AT28" s="1347"/>
      <c r="AU28" s="1347"/>
      <c r="AV28" s="1347"/>
      <c r="AW28" s="1347"/>
      <c r="AX28" s="1347"/>
      <c r="AY28" s="1347"/>
      <c r="AZ28" s="1347"/>
      <c r="BA28" s="1347"/>
      <c r="BB28" s="1347"/>
      <c r="BC28" s="1347"/>
    </row>
    <row r="29" spans="1:55" s="180" customFormat="1" ht="17.100000000000001" customHeight="1">
      <c r="A29" s="1347"/>
      <c r="B29" s="1355"/>
      <c r="C29" s="1347"/>
      <c r="D29" s="1369" t="b">
        <v>1</v>
      </c>
      <c r="E29" s="3780" t="s">
        <v>1520</v>
      </c>
      <c r="F29" s="3780"/>
      <c r="G29" s="3780"/>
      <c r="H29" s="3780"/>
      <c r="I29" s="3780"/>
      <c r="J29" s="3780"/>
      <c r="K29" s="3780"/>
      <c r="L29" s="3780"/>
      <c r="M29" s="3780"/>
      <c r="N29" s="3780"/>
      <c r="O29" s="3780"/>
      <c r="P29" s="3780"/>
      <c r="Q29" s="1362"/>
      <c r="R29" s="1362"/>
      <c r="S29" s="1362"/>
      <c r="T29" s="1369" t="b">
        <v>0</v>
      </c>
      <c r="U29" s="3780" t="s">
        <v>1526</v>
      </c>
      <c r="V29" s="3780"/>
      <c r="W29" s="3780"/>
      <c r="X29" s="3780"/>
      <c r="Y29" s="3780"/>
      <c r="Z29" s="3780"/>
      <c r="AA29" s="3780"/>
      <c r="AB29" s="3780"/>
      <c r="AC29" s="3780"/>
      <c r="AD29" s="3780"/>
      <c r="AE29" s="3780"/>
      <c r="AF29" s="3780"/>
      <c r="AG29" s="1319"/>
      <c r="AH29" s="1363"/>
      <c r="AI29" s="1347"/>
      <c r="AJ29" s="1347"/>
      <c r="AK29" s="1347"/>
      <c r="AL29" s="1347"/>
      <c r="AM29" s="1347"/>
      <c r="AN29" s="1347"/>
      <c r="AO29" s="1347"/>
      <c r="AP29" s="1347"/>
      <c r="AQ29" s="1347"/>
      <c r="AR29" s="1347"/>
      <c r="AS29" s="1347"/>
      <c r="AT29" s="1347"/>
      <c r="AU29" s="1347"/>
      <c r="AV29" s="1347"/>
      <c r="AW29" s="1347"/>
      <c r="AX29" s="1347"/>
      <c r="AY29" s="1347"/>
      <c r="AZ29" s="1347"/>
      <c r="BA29" s="1347"/>
      <c r="BB29" s="1347"/>
      <c r="BC29" s="1347"/>
    </row>
    <row r="30" spans="1:55" s="180" customFormat="1" ht="17.100000000000001" customHeight="1">
      <c r="A30" s="1347"/>
      <c r="B30" s="1355"/>
      <c r="C30" s="1347"/>
      <c r="D30" s="1360"/>
      <c r="E30" s="3780"/>
      <c r="F30" s="3780"/>
      <c r="G30" s="3780"/>
      <c r="H30" s="3780"/>
      <c r="I30" s="3780"/>
      <c r="J30" s="3780"/>
      <c r="K30" s="3780"/>
      <c r="L30" s="3780"/>
      <c r="M30" s="3780"/>
      <c r="N30" s="3780"/>
      <c r="O30" s="3780"/>
      <c r="P30" s="3780"/>
      <c r="Q30" s="1362"/>
      <c r="R30" s="1362"/>
      <c r="S30" s="1362"/>
      <c r="T30" s="1369" t="b">
        <v>0</v>
      </c>
      <c r="U30" s="3780" t="s">
        <v>1527</v>
      </c>
      <c r="V30" s="3780"/>
      <c r="W30" s="3780"/>
      <c r="X30" s="3780"/>
      <c r="Y30" s="3780"/>
      <c r="Z30" s="3780"/>
      <c r="AA30" s="3780"/>
      <c r="AB30" s="3780"/>
      <c r="AC30" s="3780"/>
      <c r="AD30" s="3780"/>
      <c r="AE30" s="3780"/>
      <c r="AF30" s="3780"/>
      <c r="AG30" s="1319"/>
      <c r="AH30" s="1363"/>
      <c r="AI30" s="1347"/>
      <c r="AJ30" s="1347"/>
      <c r="AK30" s="1347"/>
      <c r="AL30" s="1347"/>
      <c r="AM30" s="1347"/>
      <c r="AN30" s="1347"/>
      <c r="AO30" s="1347"/>
      <c r="AP30" s="1347"/>
      <c r="AQ30" s="1347"/>
      <c r="AR30" s="1347"/>
      <c r="AS30" s="1347"/>
      <c r="AT30" s="1347"/>
      <c r="AU30" s="1347"/>
      <c r="AV30" s="1347"/>
      <c r="AW30" s="1347"/>
      <c r="AX30" s="1347"/>
      <c r="AY30" s="1347"/>
      <c r="AZ30" s="1347"/>
      <c r="BA30" s="1347"/>
      <c r="BB30" s="1347"/>
      <c r="BC30" s="1347"/>
    </row>
    <row r="31" spans="1:55" s="180" customFormat="1" ht="17.100000000000001" customHeight="1">
      <c r="A31" s="1347"/>
      <c r="B31" s="1355"/>
      <c r="C31" s="1347"/>
      <c r="D31" s="1369" t="b">
        <v>0</v>
      </c>
      <c r="E31" s="3780" t="s">
        <v>1521</v>
      </c>
      <c r="F31" s="3780"/>
      <c r="G31" s="3780"/>
      <c r="H31" s="3780"/>
      <c r="I31" s="3780"/>
      <c r="J31" s="3780"/>
      <c r="K31" s="3780"/>
      <c r="L31" s="3780"/>
      <c r="M31" s="3780"/>
      <c r="N31" s="3780"/>
      <c r="O31" s="3780"/>
      <c r="P31" s="3780"/>
      <c r="Q31" s="1362"/>
      <c r="R31" s="1362"/>
      <c r="S31" s="1362"/>
      <c r="T31" s="1360"/>
      <c r="U31" s="3780"/>
      <c r="V31" s="3780"/>
      <c r="W31" s="3780"/>
      <c r="X31" s="3780"/>
      <c r="Y31" s="3780"/>
      <c r="Z31" s="3780"/>
      <c r="AA31" s="3780"/>
      <c r="AB31" s="3780"/>
      <c r="AC31" s="3780"/>
      <c r="AD31" s="3780"/>
      <c r="AE31" s="3780"/>
      <c r="AF31" s="3780"/>
      <c r="AG31" s="1319"/>
      <c r="AH31" s="1363"/>
      <c r="AI31" s="1347"/>
      <c r="AJ31" s="1347"/>
      <c r="AK31" s="1347"/>
      <c r="AL31" s="1347"/>
      <c r="AM31" s="1347"/>
      <c r="AN31" s="1347"/>
      <c r="AO31" s="1347"/>
      <c r="AP31" s="1347"/>
      <c r="AQ31" s="1347"/>
      <c r="AR31" s="1347"/>
      <c r="AS31" s="1347"/>
      <c r="AT31" s="1347"/>
      <c r="AU31" s="1347"/>
      <c r="AV31" s="1347"/>
      <c r="AW31" s="1347"/>
      <c r="AX31" s="1347"/>
      <c r="AY31" s="1347"/>
      <c r="AZ31" s="1347"/>
      <c r="BA31" s="1347"/>
      <c r="BB31" s="1347"/>
      <c r="BC31" s="1347"/>
    </row>
    <row r="32" spans="1:55" s="180" customFormat="1" ht="17.100000000000001" customHeight="1">
      <c r="A32" s="1347"/>
      <c r="B32" s="1355"/>
      <c r="C32" s="1347"/>
      <c r="D32" s="1360"/>
      <c r="E32" s="3780"/>
      <c r="F32" s="3780"/>
      <c r="G32" s="3780"/>
      <c r="H32" s="3780"/>
      <c r="I32" s="3780"/>
      <c r="J32" s="3780"/>
      <c r="K32" s="3780"/>
      <c r="L32" s="3780"/>
      <c r="M32" s="3780"/>
      <c r="N32" s="3780"/>
      <c r="O32" s="3780"/>
      <c r="P32" s="3780"/>
      <c r="Q32" s="1362"/>
      <c r="R32" s="1362"/>
      <c r="S32" s="1362"/>
      <c r="T32" s="1369" t="b">
        <v>0</v>
      </c>
      <c r="U32" s="3780" t="s">
        <v>1528</v>
      </c>
      <c r="V32" s="3780"/>
      <c r="W32" s="3780"/>
      <c r="X32" s="3780"/>
      <c r="Y32" s="3780"/>
      <c r="Z32" s="3780"/>
      <c r="AA32" s="3780"/>
      <c r="AB32" s="3780"/>
      <c r="AC32" s="3780"/>
      <c r="AD32" s="3780"/>
      <c r="AE32" s="3780"/>
      <c r="AF32" s="3780"/>
      <c r="AG32" s="1319"/>
      <c r="AH32" s="1363"/>
      <c r="AI32" s="1347"/>
      <c r="AJ32" s="1347"/>
      <c r="AK32" s="1347"/>
      <c r="AL32" s="1347"/>
      <c r="AM32" s="1347"/>
      <c r="AN32" s="1347"/>
      <c r="AO32" s="1347"/>
      <c r="AP32" s="1347"/>
      <c r="AQ32" s="1347"/>
      <c r="AR32" s="1347"/>
      <c r="AS32" s="1347"/>
      <c r="AT32" s="1347"/>
      <c r="AU32" s="1347"/>
      <c r="AV32" s="1347"/>
      <c r="AW32" s="1347"/>
      <c r="AX32" s="1347"/>
      <c r="AY32" s="1347"/>
      <c r="AZ32" s="1347"/>
      <c r="BA32" s="1347"/>
      <c r="BB32" s="1347"/>
      <c r="BC32" s="1347"/>
    </row>
    <row r="33" spans="1:55" s="180" customFormat="1" ht="17.100000000000001" customHeight="1">
      <c r="A33" s="1347"/>
      <c r="B33" s="1355"/>
      <c r="C33" s="1347"/>
      <c r="D33" s="1369" t="b">
        <v>0</v>
      </c>
      <c r="E33" s="3780" t="s">
        <v>1522</v>
      </c>
      <c r="F33" s="3780"/>
      <c r="G33" s="3780"/>
      <c r="H33" s="3780"/>
      <c r="I33" s="3780"/>
      <c r="J33" s="3780"/>
      <c r="K33" s="3780"/>
      <c r="L33" s="3780"/>
      <c r="M33" s="3780"/>
      <c r="N33" s="3780"/>
      <c r="O33" s="3780"/>
      <c r="P33" s="3780"/>
      <c r="Q33" s="1362"/>
      <c r="R33" s="1362"/>
      <c r="S33" s="1362"/>
      <c r="T33" s="1360"/>
      <c r="U33" s="3780"/>
      <c r="V33" s="3780"/>
      <c r="W33" s="3780"/>
      <c r="X33" s="3780"/>
      <c r="Y33" s="3780"/>
      <c r="Z33" s="3780"/>
      <c r="AA33" s="3780"/>
      <c r="AB33" s="3780"/>
      <c r="AC33" s="3780"/>
      <c r="AD33" s="3780"/>
      <c r="AE33" s="3780"/>
      <c r="AF33" s="3780"/>
      <c r="AG33" s="1319"/>
      <c r="AH33" s="1363"/>
      <c r="AI33" s="1347"/>
      <c r="AJ33" s="1347"/>
      <c r="AK33" s="1347"/>
      <c r="AL33" s="1347"/>
      <c r="AM33" s="1347"/>
      <c r="AN33" s="1347"/>
      <c r="AO33" s="1347"/>
      <c r="AP33" s="1347"/>
      <c r="AQ33" s="1347"/>
      <c r="AR33" s="1347"/>
      <c r="AS33" s="1347"/>
      <c r="AT33" s="1347"/>
      <c r="AU33" s="1347"/>
      <c r="AV33" s="1347"/>
      <c r="AW33" s="1347"/>
      <c r="AX33" s="1347"/>
      <c r="AY33" s="1347"/>
      <c r="AZ33" s="1347"/>
      <c r="BA33" s="1347"/>
      <c r="BB33" s="1347"/>
      <c r="BC33" s="1347"/>
    </row>
    <row r="34" spans="1:55" s="180" customFormat="1" ht="17.100000000000001" customHeight="1">
      <c r="A34" s="1347"/>
      <c r="B34" s="1355"/>
      <c r="C34" s="1347"/>
      <c r="D34" s="1369" t="b">
        <v>1</v>
      </c>
      <c r="E34" s="3780" t="s">
        <v>1523</v>
      </c>
      <c r="F34" s="3780"/>
      <c r="G34" s="3780"/>
      <c r="H34" s="3780"/>
      <c r="I34" s="3780"/>
      <c r="J34" s="3780"/>
      <c r="K34" s="3780"/>
      <c r="L34" s="3780"/>
      <c r="M34" s="3780"/>
      <c r="N34" s="3780"/>
      <c r="O34" s="3780"/>
      <c r="P34" s="3780"/>
      <c r="Q34" s="1362"/>
      <c r="R34" s="1362"/>
      <c r="S34" s="1362"/>
      <c r="T34" s="1369" t="b">
        <v>0</v>
      </c>
      <c r="U34" s="3780" t="s">
        <v>1529</v>
      </c>
      <c r="V34" s="3780"/>
      <c r="W34" s="3780"/>
      <c r="X34" s="3780"/>
      <c r="Y34" s="3780"/>
      <c r="Z34" s="3780"/>
      <c r="AA34" s="3780"/>
      <c r="AB34" s="3780"/>
      <c r="AC34" s="3780"/>
      <c r="AD34" s="3780"/>
      <c r="AE34" s="3780"/>
      <c r="AF34" s="3780"/>
      <c r="AG34" s="1319"/>
      <c r="AH34" s="1363"/>
      <c r="AI34" s="1347"/>
      <c r="AJ34" s="1347"/>
      <c r="AK34" s="1347"/>
      <c r="AL34" s="1347"/>
      <c r="AM34" s="1347"/>
      <c r="AN34" s="1347"/>
      <c r="AO34" s="1347"/>
      <c r="AP34" s="1347"/>
      <c r="AQ34" s="1347"/>
      <c r="AR34" s="1347"/>
      <c r="AS34" s="1347"/>
      <c r="AT34" s="1347"/>
      <c r="AU34" s="1347"/>
      <c r="AV34" s="1347"/>
      <c r="AW34" s="1347"/>
      <c r="AX34" s="1347"/>
      <c r="AY34" s="1347"/>
      <c r="AZ34" s="1347"/>
      <c r="BA34" s="1347"/>
      <c r="BB34" s="1347"/>
      <c r="BC34" s="1347"/>
    </row>
    <row r="35" spans="1:55" s="180" customFormat="1" ht="17.100000000000001" customHeight="1">
      <c r="A35" s="1347"/>
      <c r="B35" s="1355"/>
      <c r="C35" s="1347"/>
      <c r="D35" s="1360"/>
      <c r="E35" s="3780"/>
      <c r="F35" s="3780"/>
      <c r="G35" s="3780"/>
      <c r="H35" s="3780"/>
      <c r="I35" s="3780"/>
      <c r="J35" s="3780"/>
      <c r="K35" s="3780"/>
      <c r="L35" s="3780"/>
      <c r="M35" s="3780"/>
      <c r="N35" s="3780"/>
      <c r="O35" s="3780"/>
      <c r="P35" s="3780"/>
      <c r="Q35" s="1362"/>
      <c r="R35" s="1362"/>
      <c r="S35" s="1362"/>
      <c r="T35" s="1360"/>
      <c r="U35" s="3780"/>
      <c r="V35" s="3780"/>
      <c r="W35" s="3780"/>
      <c r="X35" s="3780"/>
      <c r="Y35" s="3780"/>
      <c r="Z35" s="3780"/>
      <c r="AA35" s="3780"/>
      <c r="AB35" s="3780"/>
      <c r="AC35" s="3780"/>
      <c r="AD35" s="3780"/>
      <c r="AE35" s="3780"/>
      <c r="AF35" s="3780"/>
      <c r="AG35" s="1319"/>
      <c r="AH35" s="1363"/>
      <c r="AI35" s="1347"/>
      <c r="AJ35" s="1347"/>
      <c r="AK35" s="1347"/>
      <c r="AL35" s="1347"/>
      <c r="AM35" s="1347"/>
      <c r="AN35" s="1347"/>
      <c r="AO35" s="1347"/>
      <c r="AP35" s="1347"/>
      <c r="AQ35" s="1347"/>
      <c r="AR35" s="1347"/>
      <c r="AS35" s="1347"/>
      <c r="AT35" s="1347"/>
      <c r="AU35" s="1347"/>
      <c r="AV35" s="1347"/>
      <c r="AW35" s="1347"/>
      <c r="AX35" s="1347"/>
      <c r="AY35" s="1347"/>
      <c r="AZ35" s="1347"/>
      <c r="BA35" s="1347"/>
      <c r="BB35" s="1347"/>
      <c r="BC35" s="1347"/>
    </row>
    <row r="36" spans="1:55" s="180" customFormat="1" ht="17.100000000000001" customHeight="1">
      <c r="A36" s="1347"/>
      <c r="B36" s="1355"/>
      <c r="C36" s="1347"/>
      <c r="D36" s="1369" t="b">
        <v>1</v>
      </c>
      <c r="E36" s="3780" t="s">
        <v>1524</v>
      </c>
      <c r="F36" s="3780"/>
      <c r="G36" s="3780"/>
      <c r="H36" s="3780"/>
      <c r="I36" s="3780"/>
      <c r="J36" s="3780"/>
      <c r="K36" s="3780"/>
      <c r="L36" s="3780"/>
      <c r="M36" s="3780"/>
      <c r="N36" s="3780"/>
      <c r="O36" s="3780"/>
      <c r="P36" s="3780"/>
      <c r="Q36" s="1362"/>
      <c r="R36" s="1362"/>
      <c r="S36" s="1362"/>
      <c r="T36" s="1369" t="b">
        <v>0</v>
      </c>
      <c r="U36" s="3780" t="s">
        <v>1530</v>
      </c>
      <c r="V36" s="3780"/>
      <c r="W36" s="3780"/>
      <c r="X36" s="3780"/>
      <c r="Y36" s="3780"/>
      <c r="Z36" s="3780"/>
      <c r="AA36" s="3780"/>
      <c r="AB36" s="3780"/>
      <c r="AC36" s="3780"/>
      <c r="AD36" s="3780"/>
      <c r="AE36" s="3780"/>
      <c r="AF36" s="3780"/>
      <c r="AG36" s="1319"/>
      <c r="AH36" s="1363"/>
      <c r="AI36" s="1347"/>
      <c r="AJ36" s="1347"/>
      <c r="AK36" s="1347"/>
      <c r="AL36" s="1347"/>
      <c r="AM36" s="1347"/>
      <c r="AN36" s="1347"/>
      <c r="AO36" s="1347"/>
      <c r="AP36" s="1347"/>
      <c r="AQ36" s="1347"/>
      <c r="AR36" s="1347"/>
      <c r="AS36" s="1347"/>
      <c r="AT36" s="1347"/>
      <c r="AU36" s="1347"/>
      <c r="AV36" s="1347"/>
      <c r="AW36" s="1347"/>
      <c r="AX36" s="1347"/>
      <c r="AY36" s="1347"/>
      <c r="AZ36" s="1347"/>
      <c r="BA36" s="1347"/>
      <c r="BB36" s="1347"/>
      <c r="BC36" s="1347"/>
    </row>
    <row r="37" spans="1:55" s="180" customFormat="1" ht="12" customHeight="1">
      <c r="A37" s="1347"/>
      <c r="B37" s="1355"/>
      <c r="C37" s="1347"/>
      <c r="D37" s="1321"/>
      <c r="E37" s="1319"/>
      <c r="F37" s="1347"/>
      <c r="G37" s="1347"/>
      <c r="H37" s="1347"/>
      <c r="I37" s="1347"/>
      <c r="J37" s="1321"/>
      <c r="K37" s="757"/>
      <c r="L37" s="1325"/>
      <c r="M37" s="1262"/>
      <c r="N37" s="1262"/>
      <c r="O37" s="1366"/>
      <c r="P37" s="1366"/>
      <c r="Q37" s="1366"/>
      <c r="R37" s="1366"/>
      <c r="S37" s="1366"/>
      <c r="T37" s="1366"/>
      <c r="U37" s="1347"/>
      <c r="V37" s="1360"/>
      <c r="W37" s="757"/>
      <c r="X37" s="1325"/>
      <c r="Y37" s="1262"/>
      <c r="Z37" s="1262"/>
      <c r="AA37" s="1366"/>
      <c r="AB37" s="1366"/>
      <c r="AC37" s="1366"/>
      <c r="AD37" s="1366"/>
      <c r="AE37" s="1366"/>
      <c r="AF37" s="1366"/>
      <c r="AG37" s="1366"/>
      <c r="AH37" s="1359"/>
      <c r="AI37" s="1347"/>
      <c r="AJ37" s="1347"/>
      <c r="AK37" s="1347"/>
      <c r="AL37" s="1347"/>
      <c r="AM37" s="1347"/>
      <c r="AN37" s="1347"/>
      <c r="AO37" s="1347"/>
      <c r="AP37" s="1347"/>
      <c r="AQ37" s="1347"/>
      <c r="AR37" s="1347"/>
      <c r="AS37" s="1347"/>
      <c r="AT37" s="1347"/>
      <c r="AU37" s="1347"/>
      <c r="AV37" s="1347"/>
      <c r="AW37" s="1347"/>
      <c r="AX37" s="1347"/>
      <c r="AY37" s="1347"/>
      <c r="AZ37" s="1347"/>
      <c r="BA37" s="1347"/>
      <c r="BB37" s="1347"/>
      <c r="BC37" s="1347"/>
    </row>
    <row r="38" spans="1:55" s="180" customFormat="1" ht="19.7" customHeight="1">
      <c r="A38" s="1347"/>
      <c r="B38" s="1355"/>
      <c r="C38" s="1347"/>
      <c r="D38" s="1356" t="s">
        <v>1531</v>
      </c>
      <c r="E38" s="1357"/>
      <c r="F38" s="1347"/>
      <c r="G38" s="1347"/>
      <c r="H38" s="1357"/>
      <c r="I38" s="1347"/>
      <c r="J38" s="1347"/>
      <c r="K38" s="1347"/>
      <c r="L38" s="1357"/>
      <c r="M38" s="1357"/>
      <c r="N38" s="1357"/>
      <c r="O38" s="1357"/>
      <c r="P38" s="1357"/>
      <c r="Q38" s="1357"/>
      <c r="R38" s="1357"/>
      <c r="S38" s="1357"/>
      <c r="T38" s="1347"/>
      <c r="U38" s="1347"/>
      <c r="V38" s="604"/>
      <c r="W38" s="1358"/>
      <c r="X38" s="1347"/>
      <c r="Y38" s="1347"/>
      <c r="Z38" s="1347"/>
      <c r="AA38" s="1347"/>
      <c r="AB38" s="1347"/>
      <c r="AC38" s="1347"/>
      <c r="AD38" s="1347"/>
      <c r="AE38" s="1347"/>
      <c r="AF38" s="1347"/>
      <c r="AG38" s="1347"/>
      <c r="AH38" s="1359"/>
      <c r="AI38" s="1347"/>
      <c r="AJ38" s="1347"/>
      <c r="AK38" s="1347"/>
      <c r="AL38" s="1347"/>
      <c r="AM38" s="1347"/>
      <c r="AN38" s="1347"/>
      <c r="AO38" s="1347"/>
      <c r="AP38" s="1347"/>
      <c r="AQ38" s="1347"/>
      <c r="AR38" s="1347"/>
      <c r="AS38" s="1347"/>
      <c r="AT38" s="1347"/>
      <c r="AU38" s="1347"/>
      <c r="AV38" s="1347"/>
      <c r="AW38" s="1347"/>
      <c r="AX38" s="1347"/>
      <c r="AY38" s="1347"/>
      <c r="AZ38" s="1347"/>
      <c r="BA38" s="1347"/>
      <c r="BB38" s="1347"/>
      <c r="BC38" s="1347"/>
    </row>
    <row r="39" spans="1:55" s="180" customFormat="1" ht="17.100000000000001" customHeight="1">
      <c r="A39" s="1347"/>
      <c r="B39" s="1355"/>
      <c r="C39" s="1347"/>
      <c r="D39" s="1369" t="b">
        <v>1</v>
      </c>
      <c r="E39" s="3780" t="s">
        <v>1532</v>
      </c>
      <c r="F39" s="3780"/>
      <c r="G39" s="3780"/>
      <c r="H39" s="3780"/>
      <c r="I39" s="3780"/>
      <c r="J39" s="3780"/>
      <c r="K39" s="3780"/>
      <c r="L39" s="3780"/>
      <c r="M39" s="3780"/>
      <c r="N39" s="3780"/>
      <c r="O39" s="3780"/>
      <c r="P39" s="3780"/>
      <c r="Q39" s="1362"/>
      <c r="R39" s="1362"/>
      <c r="S39" s="1362"/>
      <c r="T39" s="1369" t="b">
        <v>0</v>
      </c>
      <c r="U39" s="3780" t="s">
        <v>1534</v>
      </c>
      <c r="V39" s="3780"/>
      <c r="W39" s="3780"/>
      <c r="X39" s="3780"/>
      <c r="Y39" s="3780"/>
      <c r="Z39" s="3780"/>
      <c r="AA39" s="3780"/>
      <c r="AB39" s="3780"/>
      <c r="AC39" s="3780"/>
      <c r="AD39" s="3780"/>
      <c r="AE39" s="3780"/>
      <c r="AF39" s="3780"/>
      <c r="AG39" s="1319"/>
      <c r="AH39" s="1363"/>
      <c r="AI39" s="1347"/>
      <c r="AJ39" s="1347"/>
      <c r="AK39" s="1347"/>
      <c r="AL39" s="1347"/>
      <c r="AM39" s="1347"/>
      <c r="AN39" s="1347"/>
      <c r="AO39" s="1347"/>
      <c r="AP39" s="1347"/>
      <c r="AQ39" s="1347"/>
      <c r="AR39" s="1347"/>
      <c r="AS39" s="1347"/>
      <c r="AT39" s="1347"/>
      <c r="AU39" s="1347"/>
      <c r="AV39" s="1347"/>
      <c r="AW39" s="1347"/>
      <c r="AX39" s="1347"/>
      <c r="AY39" s="1347"/>
      <c r="AZ39" s="1347"/>
      <c r="BA39" s="1347"/>
      <c r="BB39" s="1347"/>
      <c r="BC39" s="1347"/>
    </row>
    <row r="40" spans="1:55" s="180" customFormat="1" ht="17.100000000000001" customHeight="1">
      <c r="A40" s="1347"/>
      <c r="B40" s="1355"/>
      <c r="C40" s="1347"/>
      <c r="D40" s="1360"/>
      <c r="E40" s="3780"/>
      <c r="F40" s="3780"/>
      <c r="G40" s="3780"/>
      <c r="H40" s="3780"/>
      <c r="I40" s="3780"/>
      <c r="J40" s="3780"/>
      <c r="K40" s="3780"/>
      <c r="L40" s="3780"/>
      <c r="M40" s="3780"/>
      <c r="N40" s="3780"/>
      <c r="O40" s="3780"/>
      <c r="P40" s="3780"/>
      <c r="Q40" s="1362"/>
      <c r="R40" s="1362"/>
      <c r="S40" s="1362"/>
      <c r="T40" s="1360"/>
      <c r="U40" s="3780"/>
      <c r="V40" s="3780"/>
      <c r="W40" s="3780"/>
      <c r="X40" s="3780"/>
      <c r="Y40" s="3780"/>
      <c r="Z40" s="3780"/>
      <c r="AA40" s="3780"/>
      <c r="AB40" s="3780"/>
      <c r="AC40" s="3780"/>
      <c r="AD40" s="3780"/>
      <c r="AE40" s="3780"/>
      <c r="AF40" s="3780"/>
      <c r="AG40" s="1319"/>
      <c r="AH40" s="1363"/>
      <c r="AI40" s="1347"/>
      <c r="AJ40" s="1347"/>
      <c r="AK40" s="1347"/>
      <c r="AL40" s="1347"/>
      <c r="AM40" s="1347"/>
      <c r="AN40" s="1347"/>
      <c r="AO40" s="1347"/>
      <c r="AP40" s="1347"/>
      <c r="AQ40" s="1347"/>
      <c r="AR40" s="1347"/>
      <c r="AS40" s="1347"/>
      <c r="AT40" s="1347"/>
      <c r="AU40" s="1347"/>
      <c r="AV40" s="1347"/>
      <c r="AW40" s="1347"/>
      <c r="AX40" s="1347"/>
      <c r="AY40" s="1347"/>
      <c r="AZ40" s="1347"/>
      <c r="BA40" s="1347"/>
      <c r="BB40" s="1347"/>
      <c r="BC40" s="1347"/>
    </row>
    <row r="41" spans="1:55" s="180" customFormat="1" ht="17.100000000000001" customHeight="1">
      <c r="A41" s="1347"/>
      <c r="B41" s="1355"/>
      <c r="C41" s="1347"/>
      <c r="D41" s="1360"/>
      <c r="E41" s="3780"/>
      <c r="F41" s="3780"/>
      <c r="G41" s="3780"/>
      <c r="H41" s="3780"/>
      <c r="I41" s="3780"/>
      <c r="J41" s="3780"/>
      <c r="K41" s="3780"/>
      <c r="L41" s="3780"/>
      <c r="M41" s="3780"/>
      <c r="N41" s="3780"/>
      <c r="O41" s="3780"/>
      <c r="P41" s="3780"/>
      <c r="Q41" s="1362"/>
      <c r="R41" s="1362"/>
      <c r="S41" s="1362"/>
      <c r="T41" s="1369" t="b">
        <v>1</v>
      </c>
      <c r="U41" s="3780" t="s">
        <v>1535</v>
      </c>
      <c r="V41" s="3780"/>
      <c r="W41" s="3780"/>
      <c r="X41" s="3780"/>
      <c r="Y41" s="3780"/>
      <c r="Z41" s="3780"/>
      <c r="AA41" s="3780"/>
      <c r="AB41" s="3780"/>
      <c r="AC41" s="3780"/>
      <c r="AD41" s="3780"/>
      <c r="AE41" s="3780"/>
      <c r="AF41" s="3780"/>
      <c r="AG41" s="1319"/>
      <c r="AH41" s="1363"/>
      <c r="AI41" s="1347"/>
      <c r="AJ41" s="1347"/>
      <c r="AK41" s="1347"/>
      <c r="AL41" s="1347"/>
      <c r="AM41" s="1347"/>
      <c r="AN41" s="1347"/>
      <c r="AO41" s="1347"/>
      <c r="AP41" s="1347"/>
      <c r="AQ41" s="1347"/>
      <c r="AR41" s="1347"/>
      <c r="AS41" s="1347"/>
      <c r="AT41" s="1347"/>
      <c r="AU41" s="1347"/>
      <c r="AV41" s="1347"/>
      <c r="AW41" s="1347"/>
      <c r="AX41" s="1347"/>
      <c r="AY41" s="1347"/>
      <c r="AZ41" s="1347"/>
      <c r="BA41" s="1347"/>
      <c r="BB41" s="1347"/>
      <c r="BC41" s="1347"/>
    </row>
    <row r="42" spans="1:55" s="180" customFormat="1" ht="17.100000000000001" customHeight="1">
      <c r="A42" s="1347"/>
      <c r="B42" s="1355"/>
      <c r="C42" s="1347"/>
      <c r="D42" s="1369" t="b">
        <v>1</v>
      </c>
      <c r="E42" s="3780" t="s">
        <v>1533</v>
      </c>
      <c r="F42" s="3780"/>
      <c r="G42" s="3780"/>
      <c r="H42" s="3780"/>
      <c r="I42" s="3780"/>
      <c r="J42" s="3780"/>
      <c r="K42" s="3780"/>
      <c r="L42" s="3780"/>
      <c r="M42" s="3780"/>
      <c r="N42" s="3780"/>
      <c r="O42" s="3780"/>
      <c r="P42" s="3780"/>
      <c r="Q42" s="1362"/>
      <c r="R42" s="1362"/>
      <c r="S42" s="1362"/>
      <c r="T42" s="1360"/>
      <c r="U42" s="3780"/>
      <c r="V42" s="3780"/>
      <c r="W42" s="3780"/>
      <c r="X42" s="3780"/>
      <c r="Y42" s="3780"/>
      <c r="Z42" s="3780"/>
      <c r="AA42" s="3780"/>
      <c r="AB42" s="3780"/>
      <c r="AC42" s="3780"/>
      <c r="AD42" s="3780"/>
      <c r="AE42" s="3780"/>
      <c r="AF42" s="3780"/>
      <c r="AG42" s="1319"/>
      <c r="AH42" s="1363"/>
      <c r="AI42" s="1347"/>
      <c r="AJ42" s="1347"/>
      <c r="AK42" s="1347"/>
      <c r="AL42" s="1347"/>
      <c r="AM42" s="1347"/>
      <c r="AN42" s="1347"/>
      <c r="AO42" s="1347"/>
      <c r="AP42" s="1347"/>
      <c r="AQ42" s="1347"/>
      <c r="AR42" s="1347"/>
      <c r="AS42" s="1347"/>
      <c r="AT42" s="1347"/>
      <c r="AU42" s="1347"/>
      <c r="AV42" s="1347"/>
      <c r="AW42" s="1347"/>
      <c r="AX42" s="1347"/>
      <c r="AY42" s="1347"/>
      <c r="AZ42" s="1347"/>
      <c r="BA42" s="1347"/>
      <c r="BB42" s="1347"/>
      <c r="BC42" s="1347"/>
    </row>
    <row r="43" spans="1:55" s="180" customFormat="1" ht="5.0999999999999996" customHeight="1">
      <c r="A43" s="1347"/>
      <c r="B43" s="1355"/>
      <c r="C43" s="1347"/>
      <c r="D43" s="1321"/>
      <c r="E43" s="1319"/>
      <c r="F43" s="1347"/>
      <c r="G43" s="1347"/>
      <c r="H43" s="1347"/>
      <c r="I43" s="1347"/>
      <c r="J43" s="1321"/>
      <c r="K43" s="757"/>
      <c r="L43" s="1325"/>
      <c r="M43" s="1262"/>
      <c r="N43" s="1262"/>
      <c r="O43" s="1366"/>
      <c r="P43" s="1366"/>
      <c r="Q43" s="1366"/>
      <c r="R43" s="1366"/>
      <c r="S43" s="1366"/>
      <c r="T43" s="1366"/>
      <c r="U43" s="1347"/>
      <c r="V43" s="1360"/>
      <c r="W43" s="757"/>
      <c r="X43" s="1325"/>
      <c r="Y43" s="1262"/>
      <c r="Z43" s="1262"/>
      <c r="AA43" s="1366"/>
      <c r="AB43" s="1366"/>
      <c r="AC43" s="1366"/>
      <c r="AD43" s="1366"/>
      <c r="AE43" s="1366"/>
      <c r="AF43" s="1366"/>
      <c r="AG43" s="1366"/>
      <c r="AH43" s="1359"/>
      <c r="AI43" s="1347"/>
      <c r="AJ43" s="1347"/>
      <c r="AK43" s="1347"/>
      <c r="AL43" s="1347"/>
      <c r="AM43" s="1347"/>
      <c r="AN43" s="1347"/>
      <c r="AO43" s="1347"/>
      <c r="AP43" s="1347"/>
      <c r="AQ43" s="1347"/>
      <c r="AR43" s="1347"/>
      <c r="AS43" s="1347"/>
      <c r="AT43" s="1347"/>
      <c r="AU43" s="1347"/>
      <c r="AV43" s="1347"/>
      <c r="AW43" s="1347"/>
      <c r="AX43" s="1347"/>
      <c r="AY43" s="1347"/>
      <c r="AZ43" s="1347"/>
      <c r="BA43" s="1347"/>
      <c r="BB43" s="1347"/>
      <c r="BC43" s="1347"/>
    </row>
    <row r="44" spans="1:55" ht="19.5" customHeight="1">
      <c r="A44" s="1262"/>
      <c r="B44" s="1269"/>
      <c r="C44" s="1301" t="s">
        <v>54</v>
      </c>
      <c r="D44" s="3638" t="s">
        <v>1880</v>
      </c>
      <c r="E44" s="3638"/>
      <c r="F44" s="3638"/>
      <c r="G44" s="3638"/>
      <c r="H44" s="3638"/>
      <c r="I44" s="3638"/>
      <c r="J44" s="3638"/>
      <c r="K44" s="3638"/>
      <c r="L44" s="3638"/>
      <c r="M44" s="3638"/>
      <c r="N44" s="3638"/>
      <c r="O44" s="3638"/>
      <c r="P44" s="3638"/>
      <c r="Q44" s="3638"/>
      <c r="R44" s="3638"/>
      <c r="S44" s="3638"/>
      <c r="T44" s="3638"/>
      <c r="U44" s="3638"/>
      <c r="V44" s="3638"/>
      <c r="W44" s="3638"/>
      <c r="X44" s="3638"/>
      <c r="Y44" s="3638"/>
      <c r="Z44" s="3638"/>
      <c r="AA44" s="3638"/>
      <c r="AB44" s="3638"/>
      <c r="AC44" s="3638"/>
      <c r="AD44" s="3638"/>
      <c r="AE44" s="3638"/>
      <c r="AF44" s="3638"/>
      <c r="AG44" s="1271"/>
      <c r="AH44" s="1272"/>
      <c r="AI44" s="1262"/>
      <c r="AJ44" s="1262"/>
      <c r="AK44" s="1262"/>
      <c r="AL44" s="1262"/>
      <c r="AM44" s="1262"/>
      <c r="AN44" s="1262"/>
      <c r="AO44" s="1262"/>
      <c r="AP44" s="1262"/>
      <c r="AQ44" s="1262"/>
      <c r="AR44" s="1262"/>
      <c r="AS44" s="1262"/>
      <c r="AT44" s="1262"/>
      <c r="AU44" s="1262"/>
      <c r="AV44" s="1262"/>
      <c r="AW44" s="1262"/>
      <c r="AX44" s="1262"/>
      <c r="AY44" s="1262"/>
    </row>
    <row r="45" spans="1:55" ht="19.5">
      <c r="A45" s="1262"/>
      <c r="B45" s="1269"/>
      <c r="C45" s="1301"/>
      <c r="D45" s="1262"/>
      <c r="E45" s="1262"/>
      <c r="F45" s="1262"/>
      <c r="G45" s="1340" t="b">
        <v>1</v>
      </c>
      <c r="H45" s="1324" t="s">
        <v>910</v>
      </c>
      <c r="I45" s="1262"/>
      <c r="J45" s="1262"/>
      <c r="K45" s="1262"/>
      <c r="L45" s="1340" t="b">
        <v>1</v>
      </c>
      <c r="M45" s="1324" t="s">
        <v>912</v>
      </c>
      <c r="N45" s="1262"/>
      <c r="O45" s="1262"/>
      <c r="P45" s="1262"/>
      <c r="Q45" s="1325"/>
      <c r="R45" s="1340" t="b">
        <v>1</v>
      </c>
      <c r="S45" s="1324" t="s">
        <v>726</v>
      </c>
      <c r="T45" s="1325"/>
      <c r="U45" s="1325"/>
      <c r="V45" s="1262"/>
      <c r="W45" s="1340" t="b">
        <v>1</v>
      </c>
      <c r="X45" s="1324" t="s">
        <v>417</v>
      </c>
      <c r="Y45" s="1325"/>
      <c r="Z45" s="1325"/>
      <c r="AA45" s="1262"/>
      <c r="AB45" s="1340" t="b">
        <v>1</v>
      </c>
      <c r="AC45" s="1324" t="s">
        <v>911</v>
      </c>
      <c r="AD45" s="1325"/>
      <c r="AE45" s="1325"/>
      <c r="AF45" s="1325"/>
      <c r="AG45" s="1271"/>
      <c r="AH45" s="1272"/>
      <c r="AI45" s="1262"/>
      <c r="AJ45" s="1262"/>
      <c r="AK45" s="1262"/>
      <c r="AL45" s="1262"/>
      <c r="AM45" s="1262"/>
      <c r="AN45" s="1262"/>
      <c r="AO45" s="1262"/>
      <c r="AP45" s="1262"/>
      <c r="AQ45" s="1262"/>
      <c r="AR45" s="1262"/>
      <c r="AS45" s="1262"/>
      <c r="AT45" s="1262"/>
      <c r="AU45" s="1262"/>
      <c r="AV45" s="1262"/>
      <c r="AW45" s="1262"/>
      <c r="AX45" s="1262"/>
      <c r="AY45" s="1262"/>
    </row>
    <row r="46" spans="1:55" s="177" customFormat="1" ht="15.95" customHeight="1">
      <c r="A46" s="1319"/>
      <c r="B46" s="1320"/>
      <c r="C46" s="1301" t="s">
        <v>55</v>
      </c>
      <c r="D46" s="1340" t="b">
        <v>0</v>
      </c>
      <c r="E46" s="3676" t="s">
        <v>1827</v>
      </c>
      <c r="F46" s="3676"/>
      <c r="G46" s="3676"/>
      <c r="H46" s="3676"/>
      <c r="I46" s="3676"/>
      <c r="J46" s="3676"/>
      <c r="K46" s="3676"/>
      <c r="L46" s="3676"/>
      <c r="M46" s="3676"/>
      <c r="N46" s="3676"/>
      <c r="O46" s="3676"/>
      <c r="P46" s="3676"/>
      <c r="Q46" s="3676"/>
      <c r="R46" s="3676"/>
      <c r="S46" s="3676"/>
      <c r="T46" s="3676"/>
      <c r="U46" s="3676"/>
      <c r="V46" s="3676"/>
      <c r="W46" s="3676"/>
      <c r="X46" s="3676"/>
      <c r="Y46" s="3676"/>
      <c r="Z46" s="3676"/>
      <c r="AA46" s="3676"/>
      <c r="AB46" s="3676"/>
      <c r="AC46" s="3676"/>
      <c r="AD46" s="3676"/>
      <c r="AE46" s="3676"/>
      <c r="AF46" s="3676"/>
      <c r="AG46" s="1322"/>
      <c r="AH46" s="1323"/>
      <c r="AI46" s="1322"/>
      <c r="AJ46" s="1322"/>
      <c r="AK46" s="1322"/>
      <c r="AL46" s="1322"/>
      <c r="AM46" s="1322"/>
      <c r="AN46" s="1322"/>
      <c r="AO46" s="1322"/>
      <c r="AP46" s="1322"/>
      <c r="AQ46" s="1322"/>
      <c r="AR46" s="1319"/>
      <c r="AS46" s="1319"/>
      <c r="AT46" s="1319"/>
      <c r="AU46" s="1319"/>
      <c r="AV46" s="1319"/>
      <c r="AW46" s="1319"/>
      <c r="AX46" s="1319"/>
      <c r="AY46" s="1319"/>
      <c r="AZ46" s="1319"/>
      <c r="BA46" s="1319"/>
      <c r="BB46" s="1319"/>
      <c r="BC46" s="1319"/>
    </row>
    <row r="47" spans="1:55" s="177" customFormat="1" ht="15.95" customHeight="1">
      <c r="A47" s="1319"/>
      <c r="B47" s="1320"/>
      <c r="C47" s="1301"/>
      <c r="D47" s="1341"/>
      <c r="E47" s="3676"/>
      <c r="F47" s="3676"/>
      <c r="G47" s="3676"/>
      <c r="H47" s="3676"/>
      <c r="I47" s="3676"/>
      <c r="J47" s="3676"/>
      <c r="K47" s="3676"/>
      <c r="L47" s="3676"/>
      <c r="M47" s="3676"/>
      <c r="N47" s="3676"/>
      <c r="O47" s="3676"/>
      <c r="P47" s="3676"/>
      <c r="Q47" s="3676"/>
      <c r="R47" s="3676"/>
      <c r="S47" s="3676"/>
      <c r="T47" s="3676"/>
      <c r="U47" s="3676"/>
      <c r="V47" s="3676"/>
      <c r="W47" s="3676"/>
      <c r="X47" s="3676"/>
      <c r="Y47" s="3676"/>
      <c r="Z47" s="3676"/>
      <c r="AA47" s="3676"/>
      <c r="AB47" s="3676"/>
      <c r="AC47" s="3676"/>
      <c r="AD47" s="3676"/>
      <c r="AE47" s="3676"/>
      <c r="AF47" s="3676"/>
      <c r="AG47" s="1322"/>
      <c r="AH47" s="1323"/>
      <c r="AI47" s="1322"/>
      <c r="AJ47" s="1322"/>
      <c r="AK47" s="1322"/>
      <c r="AL47" s="1322"/>
      <c r="AM47" s="1322"/>
      <c r="AN47" s="1322"/>
      <c r="AO47" s="1322"/>
      <c r="AP47" s="1322"/>
      <c r="AQ47" s="1322"/>
      <c r="AR47" s="1319"/>
      <c r="AS47" s="1319"/>
      <c r="AT47" s="1319"/>
      <c r="AU47" s="1319"/>
      <c r="AV47" s="1319"/>
      <c r="AW47" s="1319"/>
      <c r="AX47" s="1319"/>
      <c r="AY47" s="1319"/>
      <c r="AZ47" s="1319"/>
      <c r="BA47" s="1319"/>
      <c r="BB47" s="1319"/>
      <c r="BC47" s="1319"/>
    </row>
    <row r="48" spans="1:55" s="177" customFormat="1" ht="15.95" customHeight="1">
      <c r="A48" s="1319"/>
      <c r="B48" s="1320"/>
      <c r="C48" s="1301" t="s">
        <v>56</v>
      </c>
      <c r="D48" s="1340" t="b">
        <v>1</v>
      </c>
      <c r="E48" s="3676" t="s">
        <v>1536</v>
      </c>
      <c r="F48" s="3676"/>
      <c r="G48" s="3676"/>
      <c r="H48" s="3676"/>
      <c r="I48" s="3676"/>
      <c r="J48" s="3676"/>
      <c r="K48" s="3676"/>
      <c r="L48" s="3676"/>
      <c r="M48" s="3676"/>
      <c r="N48" s="3676"/>
      <c r="O48" s="3676"/>
      <c r="P48" s="3676"/>
      <c r="Q48" s="3676"/>
      <c r="R48" s="3676"/>
      <c r="S48" s="3676"/>
      <c r="T48" s="3676"/>
      <c r="U48" s="3676"/>
      <c r="V48" s="3676"/>
      <c r="W48" s="3676"/>
      <c r="X48" s="3676"/>
      <c r="Y48" s="3676"/>
      <c r="Z48" s="3676"/>
      <c r="AA48" s="3676"/>
      <c r="AB48" s="3676"/>
      <c r="AC48" s="3676"/>
      <c r="AD48" s="3676"/>
      <c r="AE48" s="3676"/>
      <c r="AF48" s="3676"/>
      <c r="AG48" s="1322"/>
      <c r="AH48" s="1323"/>
      <c r="AI48" s="1322"/>
      <c r="AJ48" s="1322"/>
      <c r="AK48" s="1322"/>
      <c r="AL48" s="1322"/>
      <c r="AM48" s="1322"/>
      <c r="AN48" s="1322"/>
      <c r="AO48" s="1322"/>
      <c r="AP48" s="1322"/>
      <c r="AQ48" s="1322"/>
      <c r="AR48" s="1319"/>
      <c r="AS48" s="1319"/>
      <c r="AT48" s="1319"/>
      <c r="AU48" s="1319"/>
      <c r="AV48" s="1319"/>
      <c r="AW48" s="1319"/>
      <c r="AX48" s="1319"/>
      <c r="AY48" s="1319"/>
      <c r="AZ48" s="1319"/>
      <c r="BA48" s="1319"/>
      <c r="BB48" s="1319"/>
      <c r="BC48" s="1319"/>
    </row>
    <row r="49" spans="1:55" s="177" customFormat="1" ht="15.95" customHeight="1">
      <c r="A49" s="1319"/>
      <c r="B49" s="1320"/>
      <c r="C49" s="1301"/>
      <c r="D49" s="1341"/>
      <c r="E49" s="3676"/>
      <c r="F49" s="3676"/>
      <c r="G49" s="3676"/>
      <c r="H49" s="3676"/>
      <c r="I49" s="3676"/>
      <c r="J49" s="3676"/>
      <c r="K49" s="3676"/>
      <c r="L49" s="3676"/>
      <c r="M49" s="3676"/>
      <c r="N49" s="3676"/>
      <c r="O49" s="3676"/>
      <c r="P49" s="3676"/>
      <c r="Q49" s="3676"/>
      <c r="R49" s="3676"/>
      <c r="S49" s="3676"/>
      <c r="T49" s="3676"/>
      <c r="U49" s="3676"/>
      <c r="V49" s="3676"/>
      <c r="W49" s="3676"/>
      <c r="X49" s="3676"/>
      <c r="Y49" s="3676"/>
      <c r="Z49" s="3676"/>
      <c r="AA49" s="3676"/>
      <c r="AB49" s="3676"/>
      <c r="AC49" s="3676"/>
      <c r="AD49" s="3676"/>
      <c r="AE49" s="3676"/>
      <c r="AF49" s="3676"/>
      <c r="AG49" s="1322"/>
      <c r="AH49" s="1323"/>
      <c r="AI49" s="1322"/>
      <c r="AJ49" s="1322"/>
      <c r="AK49" s="1322"/>
      <c r="AL49" s="1322"/>
      <c r="AM49" s="1322"/>
      <c r="AN49" s="1322"/>
      <c r="AO49" s="1322"/>
      <c r="AP49" s="1322"/>
      <c r="AQ49" s="1322"/>
      <c r="AR49" s="1319"/>
      <c r="AS49" s="1319"/>
      <c r="AT49" s="1319"/>
      <c r="AU49" s="1319"/>
      <c r="AV49" s="1319"/>
      <c r="AW49" s="1319"/>
      <c r="AX49" s="1319"/>
      <c r="AY49" s="1319"/>
      <c r="AZ49" s="1319"/>
      <c r="BA49" s="1319"/>
      <c r="BB49" s="1319"/>
      <c r="BC49" s="1319"/>
    </row>
    <row r="50" spans="1:55" s="177" customFormat="1" ht="19.5">
      <c r="A50" s="1319"/>
      <c r="B50" s="1320"/>
      <c r="C50" s="1326" t="s">
        <v>57</v>
      </c>
      <c r="D50" s="1340" t="b">
        <v>1</v>
      </c>
      <c r="E50" s="3779" t="s">
        <v>1537</v>
      </c>
      <c r="F50" s="3779"/>
      <c r="G50" s="3779"/>
      <c r="H50" s="3779"/>
      <c r="I50" s="3779"/>
      <c r="J50" s="3779"/>
      <c r="K50" s="3779"/>
      <c r="L50" s="3779"/>
      <c r="M50" s="3779"/>
      <c r="N50" s="3779"/>
      <c r="O50" s="3779"/>
      <c r="P50" s="3779"/>
      <c r="Q50" s="3779"/>
      <c r="R50" s="3779"/>
      <c r="S50" s="3779"/>
      <c r="T50" s="3779"/>
      <c r="U50" s="3779"/>
      <c r="V50" s="3779"/>
      <c r="W50" s="3779"/>
      <c r="X50" s="3779"/>
      <c r="Y50" s="3779"/>
      <c r="Z50" s="3779"/>
      <c r="AA50" s="3779"/>
      <c r="AB50" s="3779"/>
      <c r="AC50" s="3779"/>
      <c r="AD50" s="3779"/>
      <c r="AE50" s="3779"/>
      <c r="AF50" s="3779"/>
      <c r="AG50" s="1322"/>
      <c r="AH50" s="1323"/>
      <c r="AI50" s="1322"/>
      <c r="AJ50" s="1322"/>
      <c r="AK50" s="1322"/>
      <c r="AL50" s="1322"/>
      <c r="AM50" s="1322"/>
      <c r="AN50" s="1322"/>
      <c r="AO50" s="1322"/>
      <c r="AP50" s="1322"/>
      <c r="AQ50" s="1322"/>
      <c r="AR50" s="1319"/>
      <c r="AS50" s="1319"/>
      <c r="AT50" s="1319"/>
      <c r="AU50" s="1319"/>
      <c r="AV50" s="1319"/>
      <c r="AW50" s="1319"/>
      <c r="AX50" s="1319"/>
      <c r="AY50" s="1319"/>
      <c r="AZ50" s="1319"/>
      <c r="BA50" s="1319"/>
      <c r="BB50" s="1319"/>
      <c r="BC50" s="1319"/>
    </row>
    <row r="51" spans="1:55" s="177" customFormat="1" ht="19.5">
      <c r="A51" s="1319"/>
      <c r="B51" s="1320"/>
      <c r="C51" s="1326" t="s">
        <v>752</v>
      </c>
      <c r="D51" s="1340" t="b">
        <v>1</v>
      </c>
      <c r="E51" s="3779" t="s">
        <v>924</v>
      </c>
      <c r="F51" s="3779"/>
      <c r="G51" s="3779"/>
      <c r="H51" s="3779"/>
      <c r="I51" s="3779"/>
      <c r="J51" s="3779"/>
      <c r="K51" s="3779"/>
      <c r="L51" s="3779"/>
      <c r="M51" s="3779"/>
      <c r="N51" s="3779"/>
      <c r="O51" s="3779"/>
      <c r="P51" s="3779"/>
      <c r="Q51" s="3779"/>
      <c r="R51" s="3779"/>
      <c r="S51" s="3779"/>
      <c r="T51" s="3779"/>
      <c r="U51" s="3779"/>
      <c r="V51" s="3779"/>
      <c r="W51" s="3779"/>
      <c r="X51" s="3779"/>
      <c r="Y51" s="3779"/>
      <c r="Z51" s="3779"/>
      <c r="AA51" s="3779"/>
      <c r="AB51" s="3779"/>
      <c r="AC51" s="3779"/>
      <c r="AD51" s="3779"/>
      <c r="AE51" s="3779"/>
      <c r="AF51" s="3779"/>
      <c r="AG51" s="1322"/>
      <c r="AH51" s="1323"/>
      <c r="AI51" s="1322"/>
      <c r="AJ51" s="1322"/>
      <c r="AK51" s="1322"/>
      <c r="AL51" s="1322"/>
      <c r="AM51" s="1322"/>
      <c r="AN51" s="1322"/>
      <c r="AO51" s="1322"/>
      <c r="AP51" s="1322"/>
      <c r="AQ51" s="1322"/>
      <c r="AR51" s="1319"/>
      <c r="AS51" s="1319"/>
      <c r="AT51" s="1319"/>
      <c r="AU51" s="1319"/>
      <c r="AV51" s="1319"/>
      <c r="AW51" s="1319"/>
      <c r="AX51" s="1319"/>
      <c r="AY51" s="1319"/>
      <c r="AZ51" s="1319"/>
      <c r="BA51" s="1319"/>
      <c r="BB51" s="1319"/>
      <c r="BC51" s="1319"/>
    </row>
    <row r="52" spans="1:55" s="177" customFormat="1" ht="19.5">
      <c r="A52" s="1319"/>
      <c r="B52" s="1320"/>
      <c r="C52" s="1326" t="s">
        <v>811</v>
      </c>
      <c r="D52" s="1340" t="b">
        <v>0</v>
      </c>
      <c r="E52" s="3779" t="s">
        <v>1538</v>
      </c>
      <c r="F52" s="3779"/>
      <c r="G52" s="3779"/>
      <c r="H52" s="3779"/>
      <c r="I52" s="3779"/>
      <c r="J52" s="3779"/>
      <c r="K52" s="3779"/>
      <c r="L52" s="3779"/>
      <c r="M52" s="3779"/>
      <c r="N52" s="3779"/>
      <c r="O52" s="3779"/>
      <c r="P52" s="3779"/>
      <c r="Q52" s="3779"/>
      <c r="R52" s="3779"/>
      <c r="S52" s="3779"/>
      <c r="T52" s="3779"/>
      <c r="U52" s="3779"/>
      <c r="V52" s="3779"/>
      <c r="W52" s="3779"/>
      <c r="X52" s="3779"/>
      <c r="Y52" s="3779"/>
      <c r="Z52" s="3779"/>
      <c r="AA52" s="3779"/>
      <c r="AB52" s="3779"/>
      <c r="AC52" s="3779"/>
      <c r="AD52" s="3779"/>
      <c r="AE52" s="3779"/>
      <c r="AF52" s="3779"/>
      <c r="AG52" s="1322"/>
      <c r="AH52" s="1323"/>
      <c r="AI52" s="1322"/>
      <c r="AJ52" s="1322"/>
      <c r="AK52" s="1322"/>
      <c r="AL52" s="1322"/>
      <c r="AM52" s="1322"/>
      <c r="AN52" s="1322"/>
      <c r="AO52" s="1322"/>
      <c r="AP52" s="1322"/>
      <c r="AQ52" s="1322"/>
      <c r="AR52" s="1319"/>
      <c r="AS52" s="1319"/>
      <c r="AT52" s="1319"/>
      <c r="AU52" s="1319"/>
      <c r="AV52" s="1319"/>
      <c r="AW52" s="1319"/>
      <c r="AX52" s="1319"/>
      <c r="AY52" s="1319"/>
      <c r="AZ52" s="1319"/>
      <c r="BA52" s="1319"/>
      <c r="BB52" s="1319"/>
      <c r="BC52" s="1319"/>
    </row>
    <row r="53" spans="1:55" s="177" customFormat="1" ht="19.5">
      <c r="A53" s="1319"/>
      <c r="B53" s="1320"/>
      <c r="C53" s="1326" t="s">
        <v>815</v>
      </c>
      <c r="D53" s="1340" t="b">
        <v>0</v>
      </c>
      <c r="E53" s="3779" t="s">
        <v>1539</v>
      </c>
      <c r="F53" s="3779"/>
      <c r="G53" s="3779"/>
      <c r="H53" s="3779"/>
      <c r="I53" s="3779"/>
      <c r="J53" s="3779"/>
      <c r="K53" s="3779"/>
      <c r="L53" s="3779"/>
      <c r="M53" s="3779"/>
      <c r="N53" s="3779"/>
      <c r="O53" s="3779"/>
      <c r="P53" s="3779"/>
      <c r="Q53" s="3779"/>
      <c r="R53" s="3779"/>
      <c r="S53" s="3779"/>
      <c r="T53" s="3779"/>
      <c r="U53" s="3779"/>
      <c r="V53" s="3779"/>
      <c r="W53" s="3779"/>
      <c r="X53" s="3779"/>
      <c r="Y53" s="3779"/>
      <c r="Z53" s="3779"/>
      <c r="AA53" s="3779"/>
      <c r="AB53" s="3779"/>
      <c r="AC53" s="3779"/>
      <c r="AD53" s="3779"/>
      <c r="AE53" s="3779"/>
      <c r="AF53" s="3779"/>
      <c r="AG53" s="1322"/>
      <c r="AH53" s="1323"/>
      <c r="AI53" s="1322"/>
      <c r="AJ53" s="1322"/>
      <c r="AK53" s="1322"/>
      <c r="AL53" s="1322"/>
      <c r="AM53" s="1322"/>
      <c r="AN53" s="1322"/>
      <c r="AO53" s="1322"/>
      <c r="AP53" s="1322"/>
      <c r="AQ53" s="1322"/>
      <c r="AR53" s="1319"/>
      <c r="AS53" s="1319"/>
      <c r="AT53" s="1319"/>
      <c r="AU53" s="1319"/>
      <c r="AV53" s="1319"/>
      <c r="AW53" s="1319"/>
      <c r="AX53" s="1319"/>
      <c r="AY53" s="1319"/>
      <c r="AZ53" s="1319"/>
      <c r="BA53" s="1319"/>
      <c r="BB53" s="1319"/>
      <c r="BC53" s="1319"/>
    </row>
    <row r="54" spans="1:55" s="177" customFormat="1" ht="19.5">
      <c r="A54" s="1319"/>
      <c r="B54" s="1320"/>
      <c r="C54" s="1326" t="s">
        <v>819</v>
      </c>
      <c r="D54" s="1340" t="b">
        <v>0</v>
      </c>
      <c r="E54" s="3779" t="s">
        <v>1540</v>
      </c>
      <c r="F54" s="3779"/>
      <c r="G54" s="3779"/>
      <c r="H54" s="3779"/>
      <c r="I54" s="3779"/>
      <c r="J54" s="3779"/>
      <c r="K54" s="3779"/>
      <c r="L54" s="3779"/>
      <c r="M54" s="3779"/>
      <c r="N54" s="3779"/>
      <c r="O54" s="3779"/>
      <c r="P54" s="3779"/>
      <c r="Q54" s="3779"/>
      <c r="R54" s="3779"/>
      <c r="S54" s="3779"/>
      <c r="T54" s="3779"/>
      <c r="U54" s="3779"/>
      <c r="V54" s="3779"/>
      <c r="W54" s="3779"/>
      <c r="X54" s="3779"/>
      <c r="Y54" s="3779"/>
      <c r="Z54" s="3779"/>
      <c r="AA54" s="3779"/>
      <c r="AB54" s="3779"/>
      <c r="AC54" s="3779"/>
      <c r="AD54" s="3779"/>
      <c r="AE54" s="3779"/>
      <c r="AF54" s="3779"/>
      <c r="AG54" s="1322"/>
      <c r="AH54" s="1323"/>
      <c r="AI54" s="1322"/>
      <c r="AJ54" s="1322"/>
      <c r="AK54" s="1322"/>
      <c r="AL54" s="1322"/>
      <c r="AM54" s="1322"/>
      <c r="AN54" s="1322"/>
      <c r="AO54" s="1322"/>
      <c r="AP54" s="1322"/>
      <c r="AQ54" s="1322"/>
      <c r="AR54" s="1319"/>
      <c r="AS54" s="1319"/>
      <c r="AT54" s="1319"/>
      <c r="AU54" s="1319"/>
      <c r="AV54" s="1319"/>
      <c r="AW54" s="1319"/>
      <c r="AX54" s="1319"/>
      <c r="AY54" s="1319"/>
      <c r="AZ54" s="1319"/>
      <c r="BA54" s="1319"/>
      <c r="BB54" s="1319"/>
      <c r="BC54" s="1319"/>
    </row>
    <row r="55" spans="1:55" ht="5.0999999999999996" customHeight="1" thickBot="1">
      <c r="A55" s="1262"/>
      <c r="B55" s="1303"/>
      <c r="C55" s="1327"/>
      <c r="D55" s="1327"/>
      <c r="E55" s="1327"/>
      <c r="F55" s="1327"/>
      <c r="G55" s="1327"/>
      <c r="H55" s="1327"/>
      <c r="I55" s="1327"/>
      <c r="J55" s="1327"/>
      <c r="K55" s="1327"/>
      <c r="L55" s="1327"/>
      <c r="M55" s="1327"/>
      <c r="N55" s="1327"/>
      <c r="O55" s="1327"/>
      <c r="P55" s="1327"/>
      <c r="Q55" s="1327"/>
      <c r="R55" s="1327"/>
      <c r="S55" s="1327"/>
      <c r="T55" s="1327"/>
      <c r="U55" s="1327"/>
      <c r="V55" s="1327"/>
      <c r="W55" s="1327"/>
      <c r="X55" s="1327"/>
      <c r="Y55" s="1327"/>
      <c r="Z55" s="1327"/>
      <c r="AA55" s="1327"/>
      <c r="AB55" s="1327"/>
      <c r="AC55" s="1327"/>
      <c r="AD55" s="1327"/>
      <c r="AE55" s="1327"/>
      <c r="AF55" s="1327"/>
      <c r="AG55" s="1327"/>
      <c r="AH55" s="1277"/>
      <c r="AI55" s="1262"/>
      <c r="AJ55" s="1262"/>
      <c r="AK55" s="1262"/>
      <c r="AL55" s="1262"/>
      <c r="AM55" s="1262"/>
      <c r="AN55" s="1262"/>
      <c r="AO55" s="1262"/>
      <c r="AP55" s="1262"/>
      <c r="AQ55" s="1262"/>
      <c r="AR55" s="1262"/>
      <c r="AS55" s="1262"/>
      <c r="AT55" s="1262"/>
      <c r="AU55" s="1262"/>
      <c r="AV55" s="1262"/>
      <c r="AW55" s="1262"/>
      <c r="AX55" s="1262"/>
      <c r="AY55" s="1262"/>
    </row>
    <row r="56" spans="1:55" ht="30" customHeight="1" thickBot="1">
      <c r="A56" s="1262"/>
      <c r="B56" s="1269"/>
      <c r="C56" s="1301" t="s">
        <v>776</v>
      </c>
      <c r="D56" s="3777" t="s">
        <v>1541</v>
      </c>
      <c r="E56" s="3777"/>
      <c r="F56" s="3777"/>
      <c r="G56" s="3777"/>
      <c r="H56" s="3777"/>
      <c r="I56" s="3777"/>
      <c r="J56" s="3777"/>
      <c r="K56" s="3777"/>
      <c r="L56" s="3777"/>
      <c r="M56" s="3777"/>
      <c r="N56" s="3777"/>
      <c r="O56" s="3777"/>
      <c r="P56" s="3777"/>
      <c r="Q56" s="3777"/>
      <c r="R56" s="3777"/>
      <c r="S56" s="3777"/>
      <c r="T56" s="3777"/>
      <c r="U56" s="3777"/>
      <c r="V56" s="3777"/>
      <c r="W56" s="3777"/>
      <c r="X56" s="3777"/>
      <c r="Y56" s="3777"/>
      <c r="Z56" s="3777"/>
      <c r="AA56" s="3777"/>
      <c r="AB56" s="3777"/>
      <c r="AC56" s="1337"/>
      <c r="AD56" s="3673"/>
      <c r="AE56" s="3674"/>
      <c r="AF56" s="3675"/>
      <c r="AG56" s="1271"/>
      <c r="AH56" s="1272"/>
      <c r="AI56" s="1262"/>
      <c r="AJ56" s="1262"/>
      <c r="AK56" s="1262"/>
      <c r="AL56" s="1262"/>
      <c r="AM56" s="1262"/>
      <c r="AN56" s="1262"/>
      <c r="AO56" s="1262"/>
      <c r="AP56" s="1262"/>
      <c r="AQ56" s="1262"/>
      <c r="AR56" s="1262"/>
      <c r="AS56" s="1262"/>
      <c r="AT56" s="1262"/>
      <c r="AU56" s="1262"/>
      <c r="AV56" s="1262"/>
      <c r="AW56" s="1262"/>
      <c r="AX56" s="1262"/>
      <c r="AY56" s="1262"/>
    </row>
    <row r="57" spans="1:55" ht="5.0999999999999996" customHeight="1" thickBot="1">
      <c r="A57" s="1262"/>
      <c r="B57" s="1303"/>
      <c r="C57" s="1327"/>
      <c r="D57" s="1327"/>
      <c r="E57" s="1327"/>
      <c r="F57" s="1327"/>
      <c r="G57" s="1327"/>
      <c r="H57" s="1327"/>
      <c r="I57" s="1327"/>
      <c r="J57" s="1327"/>
      <c r="K57" s="1327"/>
      <c r="L57" s="1327"/>
      <c r="M57" s="1327"/>
      <c r="N57" s="1327"/>
      <c r="O57" s="1327"/>
      <c r="P57" s="1327"/>
      <c r="Q57" s="1327"/>
      <c r="R57" s="1327"/>
      <c r="S57" s="1327"/>
      <c r="T57" s="1327"/>
      <c r="U57" s="1327"/>
      <c r="V57" s="1327"/>
      <c r="W57" s="1327"/>
      <c r="X57" s="1327"/>
      <c r="Y57" s="1327"/>
      <c r="Z57" s="1327"/>
      <c r="AA57" s="1327"/>
      <c r="AB57" s="1327"/>
      <c r="AC57" s="1327"/>
      <c r="AD57" s="1327"/>
      <c r="AE57" s="1327"/>
      <c r="AF57" s="1327"/>
      <c r="AG57" s="1327"/>
      <c r="AH57" s="1277"/>
      <c r="AI57" s="1262"/>
      <c r="AJ57" s="1262"/>
      <c r="AK57" s="1262"/>
      <c r="AL57" s="1262"/>
      <c r="AM57" s="1262"/>
      <c r="AN57" s="1262"/>
      <c r="AO57" s="1262"/>
      <c r="AP57" s="1262"/>
      <c r="AQ57" s="1262"/>
      <c r="AR57" s="1262"/>
      <c r="AS57" s="1262"/>
      <c r="AT57" s="1262"/>
      <c r="AU57" s="1262"/>
      <c r="AV57" s="1262"/>
      <c r="AW57" s="1262"/>
      <c r="AX57" s="1262"/>
      <c r="AY57" s="1262"/>
    </row>
    <row r="58" spans="1:55" ht="30" customHeight="1" thickBot="1">
      <c r="A58" s="1262"/>
      <c r="B58" s="1269"/>
      <c r="C58" s="1301" t="s">
        <v>779</v>
      </c>
      <c r="D58" s="3638" t="s">
        <v>1542</v>
      </c>
      <c r="E58" s="3638"/>
      <c r="F58" s="3638"/>
      <c r="G58" s="3638"/>
      <c r="H58" s="3638"/>
      <c r="I58" s="3638"/>
      <c r="J58" s="3638"/>
      <c r="K58" s="3638"/>
      <c r="L58" s="3638"/>
      <c r="M58" s="3638"/>
      <c r="N58" s="3638"/>
      <c r="O58" s="3638"/>
      <c r="P58" s="3638"/>
      <c r="Q58" s="3638"/>
      <c r="R58" s="3638"/>
      <c r="S58" s="3638"/>
      <c r="T58" s="3638"/>
      <c r="U58" s="3638"/>
      <c r="V58" s="3638"/>
      <c r="W58" s="3638"/>
      <c r="X58" s="3638"/>
      <c r="Y58" s="3638"/>
      <c r="Z58" s="3638"/>
      <c r="AA58" s="3638"/>
      <c r="AB58" s="3638"/>
      <c r="AC58" s="1309"/>
      <c r="AD58" s="3673"/>
      <c r="AE58" s="3674"/>
      <c r="AF58" s="3675"/>
      <c r="AG58" s="1271"/>
      <c r="AH58" s="1272"/>
      <c r="AI58" s="1262"/>
      <c r="AJ58" s="1262"/>
      <c r="AK58" s="1262"/>
      <c r="AL58" s="1262"/>
      <c r="AM58" s="1262"/>
      <c r="AN58" s="1262"/>
      <c r="AO58" s="1262"/>
      <c r="AP58" s="1262"/>
      <c r="AQ58" s="1262"/>
      <c r="AR58" s="1262"/>
      <c r="AS58" s="1262"/>
      <c r="AT58" s="1262"/>
      <c r="AU58" s="1262"/>
      <c r="AV58" s="1262"/>
      <c r="AW58" s="1262"/>
      <c r="AX58" s="1262"/>
      <c r="AY58" s="1262"/>
    </row>
    <row r="59" spans="1:55" ht="5.0999999999999996" customHeight="1" thickBot="1">
      <c r="A59" s="1262"/>
      <c r="B59" s="1303"/>
      <c r="C59" s="1327"/>
      <c r="D59" s="1327"/>
      <c r="E59" s="1327"/>
      <c r="F59" s="1327"/>
      <c r="G59" s="1327"/>
      <c r="H59" s="1327"/>
      <c r="I59" s="1327"/>
      <c r="J59" s="1327"/>
      <c r="K59" s="1327"/>
      <c r="L59" s="1327"/>
      <c r="M59" s="1327"/>
      <c r="N59" s="1327"/>
      <c r="O59" s="1327"/>
      <c r="P59" s="1327"/>
      <c r="Q59" s="1327"/>
      <c r="R59" s="1327"/>
      <c r="S59" s="1327"/>
      <c r="T59" s="1327"/>
      <c r="U59" s="1327"/>
      <c r="V59" s="1327"/>
      <c r="W59" s="1327"/>
      <c r="X59" s="1327"/>
      <c r="Y59" s="1327"/>
      <c r="Z59" s="1327"/>
      <c r="AA59" s="1327"/>
      <c r="AB59" s="1327"/>
      <c r="AC59" s="1327"/>
      <c r="AD59" s="1327"/>
      <c r="AE59" s="1327"/>
      <c r="AF59" s="1327"/>
      <c r="AG59" s="1327"/>
      <c r="AH59" s="1277"/>
      <c r="AI59" s="1262"/>
      <c r="AJ59" s="1262"/>
      <c r="AK59" s="1262"/>
      <c r="AL59" s="1262"/>
      <c r="AM59" s="1262"/>
      <c r="AN59" s="1262"/>
      <c r="AO59" s="1262"/>
      <c r="AP59" s="1262"/>
      <c r="AQ59" s="1262"/>
      <c r="AR59" s="1262"/>
      <c r="AS59" s="1262"/>
      <c r="AT59" s="1262"/>
      <c r="AU59" s="1262"/>
      <c r="AV59" s="1262"/>
      <c r="AW59" s="1262"/>
      <c r="AX59" s="1262"/>
      <c r="AY59" s="1262"/>
    </row>
    <row r="60" spans="1:55" ht="30" customHeight="1" thickBot="1">
      <c r="A60" s="1262"/>
      <c r="B60" s="1269"/>
      <c r="C60" s="1326" t="s">
        <v>782</v>
      </c>
      <c r="D60" s="3777" t="s">
        <v>1543</v>
      </c>
      <c r="E60" s="3777"/>
      <c r="F60" s="3777"/>
      <c r="G60" s="3777"/>
      <c r="H60" s="3777"/>
      <c r="I60" s="3777"/>
      <c r="J60" s="3777"/>
      <c r="K60" s="3777"/>
      <c r="L60" s="3777"/>
      <c r="M60" s="3777"/>
      <c r="N60" s="3777"/>
      <c r="O60" s="3777"/>
      <c r="P60" s="3777"/>
      <c r="Q60" s="3777"/>
      <c r="R60" s="3777"/>
      <c r="S60" s="3777"/>
      <c r="T60" s="3777"/>
      <c r="U60" s="3777"/>
      <c r="V60" s="3777"/>
      <c r="W60" s="3777"/>
      <c r="X60" s="3777"/>
      <c r="Y60" s="3777"/>
      <c r="Z60" s="3777"/>
      <c r="AA60" s="3777"/>
      <c r="AB60" s="3777"/>
      <c r="AC60" s="1337"/>
      <c r="AD60" s="3673"/>
      <c r="AE60" s="3674"/>
      <c r="AF60" s="3675"/>
      <c r="AG60" s="1271"/>
      <c r="AH60" s="1272"/>
      <c r="AI60" s="1262"/>
      <c r="AJ60" s="1262"/>
      <c r="AK60" s="1262"/>
      <c r="AL60" s="1262"/>
      <c r="AM60" s="1262"/>
      <c r="AN60" s="1262"/>
      <c r="AO60" s="1262"/>
      <c r="AP60" s="1262"/>
      <c r="AQ60" s="1262"/>
      <c r="AR60" s="1262"/>
      <c r="AS60" s="1262"/>
      <c r="AT60" s="1262"/>
      <c r="AU60" s="1262"/>
      <c r="AV60" s="1262"/>
      <c r="AW60" s="1262"/>
      <c r="AX60" s="1262"/>
      <c r="AY60" s="1262"/>
    </row>
    <row r="61" spans="1:55" ht="5.0999999999999996" customHeight="1" thickBot="1">
      <c r="A61" s="1262"/>
      <c r="B61" s="1303"/>
      <c r="C61" s="1327"/>
      <c r="D61" s="1327"/>
      <c r="E61" s="1327"/>
      <c r="F61" s="1327"/>
      <c r="G61" s="1327"/>
      <c r="H61" s="1327"/>
      <c r="I61" s="1327"/>
      <c r="J61" s="1327"/>
      <c r="K61" s="1327"/>
      <c r="L61" s="1327"/>
      <c r="M61" s="1327"/>
      <c r="N61" s="1327"/>
      <c r="O61" s="1327"/>
      <c r="P61" s="1327"/>
      <c r="Q61" s="1327"/>
      <c r="R61" s="1327"/>
      <c r="S61" s="1327"/>
      <c r="T61" s="1327"/>
      <c r="U61" s="1327"/>
      <c r="V61" s="1327"/>
      <c r="W61" s="1327"/>
      <c r="X61" s="1327"/>
      <c r="Y61" s="1327"/>
      <c r="Z61" s="1327"/>
      <c r="AA61" s="1327"/>
      <c r="AB61" s="1327"/>
      <c r="AC61" s="1327"/>
      <c r="AD61" s="1327"/>
      <c r="AE61" s="1327"/>
      <c r="AF61" s="1327"/>
      <c r="AG61" s="1327"/>
      <c r="AH61" s="1277"/>
      <c r="AI61" s="1262"/>
      <c r="AJ61" s="1262"/>
      <c r="AK61" s="1262"/>
      <c r="AL61" s="1262"/>
      <c r="AM61" s="1262"/>
      <c r="AN61" s="1262"/>
      <c r="AO61" s="1262"/>
      <c r="AP61" s="1262"/>
      <c r="AQ61" s="1262"/>
      <c r="AR61" s="1262"/>
      <c r="AS61" s="1262"/>
      <c r="AT61" s="1262"/>
      <c r="AU61" s="1262"/>
      <c r="AV61" s="1262"/>
      <c r="AW61" s="1262"/>
      <c r="AX61" s="1262"/>
      <c r="AY61" s="1262"/>
    </row>
    <row r="62" spans="1:55" ht="30" customHeight="1" thickBot="1">
      <c r="A62" s="1262"/>
      <c r="B62" s="1269"/>
      <c r="C62" s="1301" t="s">
        <v>785</v>
      </c>
      <c r="D62" s="3638" t="s">
        <v>1544</v>
      </c>
      <c r="E62" s="3638"/>
      <c r="F62" s="3638"/>
      <c r="G62" s="3638"/>
      <c r="H62" s="3638"/>
      <c r="I62" s="3638"/>
      <c r="J62" s="3638"/>
      <c r="K62" s="3638"/>
      <c r="L62" s="3638"/>
      <c r="M62" s="3638"/>
      <c r="N62" s="3638"/>
      <c r="O62" s="3638"/>
      <c r="P62" s="3638"/>
      <c r="Q62" s="3638"/>
      <c r="R62" s="3638"/>
      <c r="S62" s="3638"/>
      <c r="T62" s="3638"/>
      <c r="U62" s="3638"/>
      <c r="V62" s="3638"/>
      <c r="W62" s="3638"/>
      <c r="X62" s="3638"/>
      <c r="Y62" s="3638"/>
      <c r="Z62" s="3638"/>
      <c r="AA62" s="3638"/>
      <c r="AB62" s="3638"/>
      <c r="AC62" s="1309"/>
      <c r="AD62" s="3673"/>
      <c r="AE62" s="3674"/>
      <c r="AF62" s="3675"/>
      <c r="AG62" s="1271"/>
      <c r="AH62" s="1272"/>
      <c r="AI62" s="1262"/>
      <c r="AJ62" s="1262"/>
      <c r="AK62" s="1262"/>
      <c r="AL62" s="1262"/>
      <c r="AM62" s="1262"/>
      <c r="AN62" s="1262"/>
      <c r="AO62" s="1262"/>
      <c r="AP62" s="1262"/>
      <c r="AQ62" s="1262"/>
      <c r="AR62" s="1262"/>
      <c r="AS62" s="1262"/>
      <c r="AT62" s="1262"/>
      <c r="AU62" s="1262"/>
      <c r="AV62" s="1262"/>
      <c r="AW62" s="1262"/>
      <c r="AX62" s="1262"/>
      <c r="AY62" s="1262"/>
    </row>
    <row r="63" spans="1:55" ht="9.9499999999999993" customHeight="1" thickBot="1">
      <c r="A63" s="1262"/>
      <c r="B63" s="1310"/>
      <c r="C63" s="1311"/>
      <c r="D63" s="1297"/>
      <c r="E63" s="1312"/>
      <c r="F63" s="1312"/>
      <c r="G63" s="1312"/>
      <c r="H63" s="1312"/>
      <c r="I63" s="1312"/>
      <c r="J63" s="1312"/>
      <c r="K63" s="1313"/>
      <c r="L63" s="1313"/>
      <c r="M63" s="1313"/>
      <c r="N63" s="1313"/>
      <c r="O63" s="1313"/>
      <c r="P63" s="1313"/>
      <c r="Q63" s="1313"/>
      <c r="R63" s="1313"/>
      <c r="S63" s="1313"/>
      <c r="T63" s="1313"/>
      <c r="U63" s="1313"/>
      <c r="V63" s="1313"/>
      <c r="W63" s="1313"/>
      <c r="X63" s="1313"/>
      <c r="Y63" s="1313"/>
      <c r="Z63" s="1313"/>
      <c r="AA63" s="1313"/>
      <c r="AB63" s="1313"/>
      <c r="AC63" s="1313"/>
      <c r="AD63" s="1313"/>
      <c r="AE63" s="1313"/>
      <c r="AF63" s="1313"/>
      <c r="AG63" s="1313"/>
      <c r="AH63" s="1314"/>
      <c r="AI63" s="1262"/>
      <c r="AJ63" s="1262"/>
      <c r="AK63" s="1347"/>
      <c r="AL63" s="1262"/>
      <c r="AM63" s="1262"/>
      <c r="AN63" s="1262"/>
      <c r="AO63" s="1262"/>
      <c r="AP63" s="1262"/>
      <c r="AQ63" s="1262"/>
      <c r="AR63" s="1262"/>
      <c r="AS63" s="1262"/>
      <c r="AT63" s="1262"/>
      <c r="AU63" s="1262"/>
      <c r="AV63" s="1262"/>
      <c r="AW63" s="1262"/>
      <c r="AX63" s="1262"/>
      <c r="AY63" s="1262"/>
    </row>
    <row r="64" spans="1:55" ht="9.9499999999999993" customHeight="1" thickTop="1">
      <c r="A64" s="1262"/>
      <c r="B64" s="1339"/>
      <c r="C64" s="1321"/>
      <c r="D64" s="1263"/>
      <c r="E64" s="1271"/>
      <c r="F64" s="1271"/>
      <c r="G64" s="1271"/>
      <c r="H64" s="1271"/>
      <c r="I64" s="1271"/>
      <c r="J64" s="1271"/>
      <c r="K64" s="1262"/>
      <c r="L64" s="1262"/>
      <c r="M64" s="1262"/>
      <c r="N64" s="1262"/>
      <c r="O64" s="1262"/>
      <c r="P64" s="1262"/>
      <c r="Q64" s="1262"/>
      <c r="R64" s="1262"/>
      <c r="S64" s="1262"/>
      <c r="T64" s="1262"/>
      <c r="U64" s="1262"/>
      <c r="V64" s="1262"/>
      <c r="W64" s="1262"/>
      <c r="X64" s="1262"/>
      <c r="Y64" s="1262"/>
      <c r="Z64" s="1262"/>
      <c r="AA64" s="1262"/>
      <c r="AB64" s="1262"/>
      <c r="AC64" s="1262"/>
      <c r="AD64" s="1262"/>
      <c r="AE64" s="1262"/>
      <c r="AF64" s="1262"/>
      <c r="AG64" s="1262"/>
      <c r="AH64" s="1262"/>
      <c r="AI64" s="1262"/>
      <c r="AJ64" s="1262"/>
      <c r="AK64" s="1262"/>
      <c r="AL64" s="1262"/>
      <c r="AM64" s="1262"/>
      <c r="AN64" s="1262"/>
      <c r="AO64" s="1262"/>
      <c r="AP64" s="1262"/>
      <c r="AQ64" s="1262"/>
      <c r="AR64" s="1262"/>
      <c r="AS64" s="1262"/>
      <c r="AT64" s="1262"/>
      <c r="AU64" s="1262"/>
      <c r="AV64" s="1262"/>
      <c r="AW64" s="1262"/>
      <c r="AX64" s="1262"/>
      <c r="AY64" s="1262"/>
    </row>
    <row r="65" spans="1:55" s="51" customFormat="1" ht="17.25" customHeight="1">
      <c r="A65" s="238"/>
      <c r="B65" s="3778" t="s">
        <v>1881</v>
      </c>
      <c r="C65" s="3778"/>
      <c r="D65" s="3778"/>
      <c r="E65" s="3778"/>
      <c r="F65" s="3778"/>
      <c r="G65" s="3778"/>
      <c r="H65" s="3778"/>
      <c r="I65" s="3778"/>
      <c r="J65" s="3778"/>
      <c r="K65" s="3778"/>
      <c r="L65" s="3778"/>
      <c r="M65" s="3778"/>
      <c r="N65" s="3778"/>
      <c r="O65" s="3778"/>
      <c r="P65" s="3778"/>
      <c r="Q65" s="3778"/>
      <c r="R65" s="3778"/>
      <c r="S65" s="3778"/>
      <c r="T65" s="3778"/>
      <c r="U65" s="3778"/>
      <c r="V65" s="3778"/>
      <c r="W65" s="3778"/>
      <c r="X65" s="3778"/>
      <c r="Y65" s="3778"/>
      <c r="Z65" s="3778"/>
      <c r="AA65" s="3778"/>
      <c r="AB65" s="3778"/>
      <c r="AC65" s="3778"/>
      <c r="AD65" s="3778"/>
      <c r="AE65" s="238"/>
      <c r="AF65" s="238"/>
      <c r="AG65" s="238"/>
      <c r="AH65" s="238"/>
      <c r="AI65" s="238"/>
      <c r="AJ65" s="238"/>
      <c r="AK65" s="238"/>
      <c r="AL65" s="238"/>
      <c r="AM65" s="238"/>
      <c r="AN65" s="238"/>
      <c r="AO65" s="238"/>
      <c r="AP65" s="238"/>
      <c r="AQ65" s="238"/>
      <c r="AR65" s="238"/>
      <c r="AS65" s="238"/>
      <c r="AT65" s="238"/>
      <c r="AU65" s="238"/>
      <c r="AV65" s="238"/>
      <c r="AW65" s="238"/>
      <c r="AX65" s="238"/>
      <c r="AY65" s="238"/>
      <c r="AZ65" s="238"/>
      <c r="BA65" s="238"/>
      <c r="BB65" s="238"/>
      <c r="BC65" s="238"/>
    </row>
    <row r="66" spans="1:55" s="44" customFormat="1" ht="30.75" customHeight="1">
      <c r="A66" s="434"/>
      <c r="B66" s="434"/>
      <c r="C66" s="434"/>
      <c r="D66" s="434"/>
      <c r="E66" s="434"/>
      <c r="F66" s="434"/>
      <c r="G66" s="434"/>
      <c r="H66" s="434"/>
      <c r="I66" s="434"/>
      <c r="J66" s="434"/>
      <c r="K66" s="434"/>
      <c r="L66" s="434"/>
      <c r="M66" s="434"/>
      <c r="N66" s="434"/>
      <c r="O66" s="434"/>
      <c r="P66" s="434"/>
      <c r="Q66" s="434"/>
      <c r="R66" s="434"/>
      <c r="S66" s="434"/>
      <c r="T66" s="434"/>
      <c r="U66" s="434"/>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4"/>
      <c r="AU66" s="434"/>
      <c r="AV66" s="434"/>
      <c r="AW66" s="434"/>
      <c r="AX66" s="434"/>
      <c r="AY66" s="434"/>
      <c r="AZ66" s="434"/>
      <c r="BA66" s="434"/>
      <c r="BB66" s="434"/>
      <c r="BC66" s="434"/>
    </row>
    <row r="67" spans="1:55" s="37" customFormat="1" ht="15">
      <c r="A67" s="263"/>
      <c r="B67" s="332" t="s">
        <v>32</v>
      </c>
      <c r="C67" s="263"/>
      <c r="D67" s="263"/>
      <c r="E67" s="263"/>
      <c r="F67" s="263"/>
      <c r="G67" s="263"/>
      <c r="H67" s="263"/>
      <c r="I67" s="263"/>
      <c r="J67" s="263"/>
      <c r="K67" s="263"/>
      <c r="L67" s="263"/>
      <c r="M67" s="263"/>
      <c r="N67" s="263"/>
      <c r="O67" s="263"/>
      <c r="P67" s="263"/>
      <c r="Q67" s="263"/>
      <c r="R67" s="263"/>
      <c r="S67" s="263"/>
      <c r="T67" s="263"/>
      <c r="U67" s="263"/>
      <c r="V67" s="332" t="s">
        <v>856</v>
      </c>
      <c r="W67" s="263"/>
      <c r="X67" s="263"/>
      <c r="Y67" s="263"/>
      <c r="Z67" s="263"/>
      <c r="AA67" s="263"/>
      <c r="AB67" s="263"/>
      <c r="AC67" s="263"/>
      <c r="AD67" s="263"/>
      <c r="AE67" s="263"/>
      <c r="AF67" s="263"/>
      <c r="AG67" s="263"/>
      <c r="AH67" s="263"/>
      <c r="AI67" s="263"/>
      <c r="AJ67" s="263"/>
      <c r="AK67" s="263"/>
      <c r="AL67" s="263"/>
      <c r="AM67" s="263"/>
      <c r="AN67" s="263"/>
      <c r="AO67" s="263"/>
      <c r="AP67" s="263"/>
      <c r="AQ67" s="263"/>
      <c r="AR67" s="263"/>
      <c r="AS67" s="263"/>
      <c r="AT67" s="263"/>
      <c r="AU67" s="263"/>
      <c r="AV67" s="263"/>
      <c r="AW67" s="263"/>
      <c r="AX67" s="263"/>
      <c r="AY67" s="263"/>
      <c r="AZ67" s="263"/>
      <c r="BA67" s="263"/>
      <c r="BB67" s="263"/>
      <c r="BC67" s="263"/>
    </row>
    <row r="68" spans="1:55" s="37" customFormat="1" ht="21.75" customHeight="1">
      <c r="A68" s="263"/>
      <c r="B68" s="332" t="s">
        <v>75</v>
      </c>
      <c r="C68" s="263"/>
      <c r="D68" s="263"/>
      <c r="E68" s="263"/>
      <c r="F68" s="2790" t="str">
        <f>activesheet!E21</f>
        <v>MELCHESIEDICK Q. BOLANIO / March 17, 2023</v>
      </c>
      <c r="G68" s="2790"/>
      <c r="H68" s="2790"/>
      <c r="I68" s="2790"/>
      <c r="J68" s="2790"/>
      <c r="K68" s="2790"/>
      <c r="L68" s="2790"/>
      <c r="M68" s="2790"/>
      <c r="N68" s="2790"/>
      <c r="O68" s="823"/>
      <c r="P68" s="823"/>
      <c r="Q68" s="823"/>
      <c r="R68" s="823"/>
      <c r="S68" s="823"/>
      <c r="T68" s="823"/>
      <c r="U68" s="823"/>
      <c r="V68" s="2790" t="str">
        <f>activesheet!E3344</f>
        <v>ELYN KENDRA D. DELA CRUZ / March 17, 2023</v>
      </c>
      <c r="W68" s="2790"/>
      <c r="X68" s="2790"/>
      <c r="Y68" s="2790"/>
      <c r="Z68" s="2790"/>
      <c r="AA68" s="2790"/>
      <c r="AB68" s="2790"/>
      <c r="AC68" s="2790"/>
      <c r="AD68" s="2790"/>
      <c r="AE68" s="2790"/>
      <c r="AF68" s="2790"/>
      <c r="AG68" s="2790"/>
      <c r="AH68" s="2790"/>
      <c r="AI68" s="263"/>
      <c r="AJ68" s="263"/>
      <c r="AK68" s="263"/>
      <c r="AL68" s="263"/>
      <c r="AM68" s="263"/>
      <c r="AN68" s="263"/>
      <c r="AO68" s="263"/>
      <c r="AP68" s="263"/>
      <c r="AQ68" s="263"/>
      <c r="AR68" s="263"/>
      <c r="AS68" s="263"/>
      <c r="AT68" s="263"/>
      <c r="AU68" s="263"/>
      <c r="AV68" s="263"/>
      <c r="AW68" s="263"/>
      <c r="AX68" s="263"/>
      <c r="AY68" s="263"/>
      <c r="AZ68" s="263"/>
      <c r="BA68" s="263"/>
      <c r="BB68" s="263"/>
      <c r="BC68" s="263"/>
    </row>
    <row r="69" spans="1:55" s="39" customFormat="1" ht="14.1" customHeight="1">
      <c r="A69" s="280"/>
      <c r="B69" s="228"/>
      <c r="C69" s="280"/>
      <c r="D69" s="280"/>
      <c r="E69" s="280"/>
      <c r="F69" s="1807" t="s">
        <v>37</v>
      </c>
      <c r="G69" s="1807"/>
      <c r="H69" s="1807"/>
      <c r="I69" s="1807"/>
      <c r="J69" s="1807"/>
      <c r="K69" s="1807"/>
      <c r="L69" s="1807"/>
      <c r="M69" s="1807"/>
      <c r="N69" s="1807"/>
      <c r="O69" s="321"/>
      <c r="P69" s="321"/>
      <c r="Q69" s="321"/>
      <c r="R69" s="321"/>
      <c r="S69" s="321"/>
      <c r="T69" s="321"/>
      <c r="U69" s="321"/>
      <c r="V69" s="1807" t="s">
        <v>37</v>
      </c>
      <c r="W69" s="1807"/>
      <c r="X69" s="1807"/>
      <c r="Y69" s="1807"/>
      <c r="Z69" s="1807"/>
      <c r="AA69" s="1807"/>
      <c r="AB69" s="1807"/>
      <c r="AC69" s="1807"/>
      <c r="AD69" s="1807"/>
      <c r="AE69" s="1807"/>
      <c r="AF69" s="1807"/>
      <c r="AG69" s="1807"/>
      <c r="AH69" s="1807"/>
      <c r="AI69" s="322"/>
      <c r="AJ69" s="322"/>
      <c r="AK69" s="280"/>
      <c r="AL69" s="280"/>
      <c r="AM69" s="280"/>
      <c r="AN69" s="280"/>
      <c r="AO69" s="280"/>
      <c r="AP69" s="280"/>
      <c r="AQ69" s="280"/>
      <c r="AR69" s="280"/>
      <c r="AS69" s="280"/>
      <c r="AT69" s="280"/>
      <c r="AU69" s="280"/>
      <c r="AV69" s="280"/>
      <c r="AW69" s="280"/>
      <c r="AX69" s="280"/>
      <c r="AY69" s="280"/>
      <c r="AZ69" s="280"/>
      <c r="BA69" s="280"/>
      <c r="BB69" s="280"/>
      <c r="BC69" s="280"/>
    </row>
    <row r="70" spans="1:55" s="37" customFormat="1" ht="21.75" customHeight="1">
      <c r="A70" s="263"/>
      <c r="B70" s="332" t="s">
        <v>58</v>
      </c>
      <c r="C70" s="263"/>
      <c r="D70" s="263"/>
      <c r="E70" s="263"/>
      <c r="F70" s="2790" t="str">
        <f>activesheet!E22</f>
        <v>SECONDARY SCHOOL PRINCIPAL IV</v>
      </c>
      <c r="G70" s="2790"/>
      <c r="H70" s="2790"/>
      <c r="I70" s="2790"/>
      <c r="J70" s="2790"/>
      <c r="K70" s="2790"/>
      <c r="L70" s="2790"/>
      <c r="M70" s="2790"/>
      <c r="N70" s="2790"/>
      <c r="O70" s="823"/>
      <c r="P70" s="823"/>
      <c r="Q70" s="823"/>
      <c r="R70" s="823"/>
      <c r="S70" s="823"/>
      <c r="T70" s="823"/>
      <c r="U70" s="823"/>
      <c r="V70" s="332" t="s">
        <v>58</v>
      </c>
      <c r="W70" s="263"/>
      <c r="X70" s="263"/>
      <c r="Y70" s="263"/>
      <c r="Z70" s="2790" t="str">
        <f>activesheet!E3345</f>
        <v>PROJECT DEVELOPMENT OFFICER II</v>
      </c>
      <c r="AA70" s="2790"/>
      <c r="AB70" s="2790"/>
      <c r="AC70" s="2790"/>
      <c r="AD70" s="2790"/>
      <c r="AE70" s="2790"/>
      <c r="AF70" s="2790"/>
      <c r="AG70" s="2790"/>
      <c r="AH70" s="2790"/>
      <c r="AI70" s="263"/>
      <c r="AJ70" s="263"/>
      <c r="AK70" s="263"/>
      <c r="AL70" s="263"/>
      <c r="AM70" s="263"/>
      <c r="AN70" s="263"/>
      <c r="AO70" s="263"/>
      <c r="AP70" s="263"/>
      <c r="AQ70" s="263"/>
      <c r="AR70" s="263"/>
      <c r="AS70" s="263"/>
      <c r="AT70" s="263"/>
      <c r="AU70" s="263"/>
      <c r="AV70" s="263"/>
      <c r="AW70" s="263"/>
      <c r="AX70" s="263"/>
      <c r="AY70" s="263"/>
      <c r="AZ70" s="263"/>
      <c r="BA70" s="263"/>
      <c r="BB70" s="263"/>
      <c r="BC70" s="263"/>
    </row>
    <row r="71" spans="1:55" s="44" customFormat="1" ht="30.75" customHeight="1">
      <c r="A71" s="434"/>
      <c r="B71" s="434"/>
      <c r="C71" s="434"/>
      <c r="D71" s="434"/>
      <c r="E71" s="434"/>
      <c r="F71" s="434"/>
      <c r="G71" s="434"/>
      <c r="H71" s="434"/>
      <c r="I71" s="434"/>
      <c r="J71" s="434"/>
      <c r="K71" s="434"/>
      <c r="L71" s="434"/>
      <c r="M71" s="434"/>
      <c r="N71" s="434"/>
      <c r="O71" s="434"/>
      <c r="P71" s="434"/>
      <c r="Q71" s="434"/>
      <c r="R71" s="434"/>
      <c r="S71" s="434"/>
      <c r="T71" s="434"/>
      <c r="U71" s="434"/>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4"/>
      <c r="AS71" s="434"/>
      <c r="AT71" s="434"/>
      <c r="AU71" s="434"/>
      <c r="AV71" s="434"/>
      <c r="AW71" s="434"/>
      <c r="AX71" s="434"/>
      <c r="AY71" s="434"/>
      <c r="AZ71" s="434"/>
      <c r="BA71" s="434"/>
      <c r="BB71" s="434"/>
      <c r="BC71" s="434"/>
    </row>
    <row r="72" spans="1:55" s="37" customFormat="1" ht="15">
      <c r="A72" s="263"/>
      <c r="B72" s="263"/>
      <c r="C72" s="263"/>
      <c r="D72" s="263"/>
      <c r="E72" s="263"/>
      <c r="F72" s="263"/>
      <c r="G72" s="263"/>
      <c r="H72" s="263"/>
      <c r="I72" s="263"/>
      <c r="J72" s="263"/>
      <c r="K72" s="263"/>
      <c r="L72" s="332" t="s">
        <v>33</v>
      </c>
      <c r="M72" s="263"/>
      <c r="N72" s="263"/>
      <c r="O72" s="263"/>
      <c r="P72" s="263"/>
      <c r="Q72" s="263"/>
      <c r="R72" s="263"/>
      <c r="S72" s="263"/>
      <c r="T72" s="263"/>
      <c r="U72" s="263"/>
      <c r="V72" s="263"/>
      <c r="W72" s="263"/>
      <c r="X72" s="263"/>
      <c r="Y72" s="263"/>
      <c r="Z72" s="263"/>
      <c r="AA72" s="263"/>
      <c r="AB72" s="263"/>
      <c r="AC72" s="263"/>
      <c r="AD72" s="263"/>
      <c r="AE72" s="263"/>
      <c r="AF72" s="263"/>
      <c r="AG72" s="263"/>
      <c r="AH72" s="263"/>
      <c r="AI72" s="263"/>
      <c r="AJ72" s="263"/>
      <c r="AK72" s="263"/>
      <c r="AL72" s="263"/>
      <c r="AM72" s="263"/>
      <c r="AN72" s="263"/>
      <c r="AO72" s="263"/>
      <c r="AP72" s="263"/>
      <c r="AQ72" s="263"/>
      <c r="AR72" s="263"/>
      <c r="AS72" s="263"/>
      <c r="AT72" s="263"/>
      <c r="AU72" s="263"/>
      <c r="AV72" s="263"/>
      <c r="AW72" s="263"/>
      <c r="AX72" s="263"/>
      <c r="AY72" s="263"/>
      <c r="AZ72" s="263"/>
      <c r="BA72" s="263"/>
      <c r="BB72" s="263"/>
      <c r="BC72" s="263"/>
    </row>
    <row r="73" spans="1:55" s="37" customFormat="1" ht="21.75" customHeight="1">
      <c r="A73" s="263"/>
      <c r="B73" s="263"/>
      <c r="C73" s="263"/>
      <c r="D73" s="263"/>
      <c r="E73" s="263"/>
      <c r="F73" s="263"/>
      <c r="G73" s="263"/>
      <c r="H73" s="263"/>
      <c r="I73" s="263"/>
      <c r="J73" s="263"/>
      <c r="K73" s="263"/>
      <c r="L73" s="1819" t="str">
        <f>activesheet!E25</f>
        <v>MICHAEL T. JAMIS / March 17, 2023</v>
      </c>
      <c r="M73" s="1819"/>
      <c r="N73" s="1819"/>
      <c r="O73" s="1819"/>
      <c r="P73" s="1819"/>
      <c r="Q73" s="1819"/>
      <c r="R73" s="1819"/>
      <c r="S73" s="1819"/>
      <c r="T73" s="1819"/>
      <c r="U73" s="1819"/>
      <c r="V73" s="1819"/>
      <c r="W73" s="1819"/>
      <c r="X73" s="1819"/>
      <c r="Y73" s="263"/>
      <c r="Z73" s="263"/>
      <c r="AA73" s="263"/>
      <c r="AB73" s="263"/>
      <c r="AC73" s="263"/>
      <c r="AD73" s="263"/>
      <c r="AE73" s="263"/>
      <c r="AF73" s="263"/>
      <c r="AG73" s="263"/>
      <c r="AH73" s="263"/>
      <c r="AI73" s="263"/>
      <c r="AJ73" s="263"/>
      <c r="AK73" s="263"/>
      <c r="AL73" s="263"/>
      <c r="AM73" s="263"/>
      <c r="AN73" s="263"/>
      <c r="AO73" s="263"/>
      <c r="AP73" s="263"/>
      <c r="AQ73" s="263"/>
      <c r="AR73" s="263"/>
      <c r="AS73" s="263"/>
      <c r="AT73" s="263"/>
      <c r="AU73" s="263"/>
      <c r="AV73" s="263"/>
      <c r="AW73" s="263"/>
      <c r="AX73" s="263"/>
      <c r="AY73" s="263"/>
      <c r="AZ73" s="263"/>
      <c r="BA73" s="263"/>
      <c r="BB73" s="263"/>
      <c r="BC73" s="263"/>
    </row>
    <row r="74" spans="1:55" s="39" customFormat="1" ht="14.1" customHeight="1">
      <c r="A74" s="280"/>
      <c r="B74" s="280"/>
      <c r="C74" s="280"/>
      <c r="D74" s="280"/>
      <c r="E74" s="280"/>
      <c r="F74" s="280"/>
      <c r="G74" s="280"/>
      <c r="H74" s="280"/>
      <c r="I74" s="280"/>
      <c r="J74" s="280"/>
      <c r="K74" s="280"/>
      <c r="L74" s="1820"/>
      <c r="M74" s="1820"/>
      <c r="N74" s="1820"/>
      <c r="O74" s="1820"/>
      <c r="P74" s="1820"/>
      <c r="Q74" s="1820"/>
      <c r="R74" s="1820"/>
      <c r="S74" s="1820"/>
      <c r="T74" s="1820"/>
      <c r="U74" s="1820"/>
      <c r="V74" s="1820"/>
      <c r="W74" s="1820"/>
      <c r="X74" s="1820"/>
      <c r="Y74" s="280"/>
      <c r="Z74" s="280"/>
      <c r="AA74" s="280"/>
      <c r="AB74" s="280"/>
      <c r="AC74" s="280"/>
      <c r="AD74" s="280"/>
      <c r="AE74" s="280"/>
      <c r="AF74" s="280"/>
      <c r="AG74" s="280"/>
      <c r="AH74" s="280"/>
      <c r="AI74" s="280"/>
      <c r="AJ74" s="280"/>
      <c r="AK74" s="280"/>
      <c r="AL74" s="280"/>
      <c r="AM74" s="280"/>
      <c r="AN74" s="280"/>
      <c r="AO74" s="280"/>
      <c r="AP74" s="280"/>
      <c r="AQ74" s="280"/>
      <c r="AR74" s="280"/>
      <c r="AS74" s="280"/>
      <c r="AT74" s="280"/>
      <c r="AU74" s="280"/>
      <c r="AV74" s="280"/>
      <c r="AW74" s="280"/>
      <c r="AX74" s="280"/>
      <c r="AY74" s="280"/>
      <c r="AZ74" s="280"/>
      <c r="BA74" s="280"/>
      <c r="BB74" s="280"/>
      <c r="BC74" s="280"/>
    </row>
    <row r="75" spans="1:55" s="37" customFormat="1" ht="21.75" customHeight="1">
      <c r="A75" s="263"/>
      <c r="B75" s="263"/>
      <c r="C75" s="263"/>
      <c r="D75" s="263"/>
      <c r="E75" s="263"/>
      <c r="F75" s="263"/>
      <c r="G75" s="263"/>
      <c r="H75" s="263"/>
      <c r="I75" s="263"/>
      <c r="J75" s="263"/>
      <c r="K75" s="263"/>
      <c r="L75" s="1807" t="s">
        <v>37</v>
      </c>
      <c r="M75" s="1807"/>
      <c r="N75" s="1807"/>
      <c r="O75" s="1807"/>
      <c r="P75" s="1807"/>
      <c r="Q75" s="1807"/>
      <c r="R75" s="1807"/>
      <c r="S75" s="1807"/>
      <c r="T75" s="1807"/>
      <c r="U75" s="1807"/>
      <c r="V75" s="1807"/>
      <c r="W75" s="1807"/>
      <c r="X75" s="1807"/>
      <c r="Y75" s="263"/>
      <c r="Z75" s="263"/>
      <c r="AA75" s="263"/>
      <c r="AB75" s="263"/>
      <c r="AC75" s="263"/>
      <c r="AD75" s="263"/>
      <c r="AE75" s="263"/>
      <c r="AF75" s="263"/>
      <c r="AG75" s="263"/>
      <c r="AH75" s="263"/>
      <c r="AI75" s="263"/>
      <c r="AJ75" s="263"/>
      <c r="AK75" s="263"/>
      <c r="AL75" s="263"/>
      <c r="AM75" s="263"/>
      <c r="AN75" s="263"/>
      <c r="AO75" s="263"/>
      <c r="AP75" s="263"/>
      <c r="AQ75" s="263"/>
      <c r="AR75" s="263"/>
      <c r="AS75" s="263"/>
      <c r="AT75" s="263"/>
      <c r="AU75" s="263"/>
      <c r="AV75" s="263"/>
      <c r="AW75" s="263"/>
      <c r="AX75" s="263"/>
      <c r="AY75" s="263"/>
      <c r="AZ75" s="263"/>
      <c r="BA75" s="263"/>
      <c r="BB75" s="263"/>
      <c r="BC75" s="263"/>
    </row>
    <row r="76" spans="1:55">
      <c r="A76" s="1262"/>
      <c r="B76" s="434"/>
      <c r="C76" s="434"/>
      <c r="D76" s="434"/>
      <c r="E76" s="434"/>
      <c r="F76" s="434"/>
      <c r="G76" s="434"/>
      <c r="H76" s="434"/>
      <c r="I76" s="434"/>
      <c r="J76" s="434"/>
      <c r="K76" s="434"/>
      <c r="L76" s="434"/>
      <c r="M76" s="434"/>
      <c r="N76" s="434"/>
      <c r="O76" s="434"/>
      <c r="P76" s="434"/>
      <c r="Q76" s="434"/>
      <c r="R76" s="434"/>
      <c r="S76" s="434"/>
      <c r="T76" s="434"/>
      <c r="U76" s="434"/>
      <c r="V76" s="434"/>
      <c r="W76" s="434"/>
      <c r="X76" s="434"/>
      <c r="Y76" s="434"/>
      <c r="Z76" s="434"/>
      <c r="AA76" s="434"/>
      <c r="AB76" s="434"/>
      <c r="AC76" s="434"/>
      <c r="AD76" s="434"/>
      <c r="AE76" s="434"/>
      <c r="AF76" s="434"/>
      <c r="AG76" s="434"/>
      <c r="AH76" s="434"/>
      <c r="AI76" s="1262"/>
      <c r="AJ76" s="1262"/>
      <c r="AK76" s="1262"/>
      <c r="AL76" s="1262"/>
      <c r="AM76" s="1262"/>
      <c r="AN76" s="1262"/>
      <c r="AO76" s="1262"/>
      <c r="AP76" s="1262"/>
      <c r="AQ76" s="1262"/>
      <c r="AR76" s="1262"/>
      <c r="AS76" s="1262"/>
      <c r="AT76" s="1262"/>
      <c r="AU76" s="1262"/>
      <c r="AV76" s="1262"/>
      <c r="AW76" s="1262"/>
      <c r="AX76" s="1262"/>
      <c r="AY76" s="1262"/>
    </row>
    <row r="77" spans="1:55">
      <c r="A77" s="1262"/>
      <c r="B77" s="1263"/>
      <c r="C77" s="1263"/>
      <c r="D77" s="1263"/>
      <c r="E77" s="1263"/>
      <c r="F77" s="1263"/>
      <c r="G77" s="1263"/>
      <c r="H77" s="1263"/>
      <c r="I77" s="1263"/>
      <c r="J77" s="1263"/>
      <c r="K77" s="1263"/>
      <c r="L77" s="1263"/>
      <c r="M77" s="1263"/>
      <c r="N77" s="1263"/>
      <c r="O77" s="1263"/>
      <c r="P77" s="1263"/>
      <c r="Q77" s="1263"/>
      <c r="R77" s="1263"/>
      <c r="S77" s="1263"/>
      <c r="T77" s="1263"/>
      <c r="U77" s="1263"/>
      <c r="V77" s="1263"/>
      <c r="W77" s="1263"/>
      <c r="X77" s="1263"/>
      <c r="Y77" s="1263"/>
      <c r="Z77" s="1263"/>
      <c r="AA77" s="1263"/>
      <c r="AB77" s="1263"/>
      <c r="AC77" s="1263"/>
      <c r="AD77" s="1263"/>
      <c r="AE77" s="1263"/>
      <c r="AF77" s="1263"/>
      <c r="AG77" s="1262"/>
      <c r="AH77" s="1262"/>
      <c r="AI77" s="1262"/>
      <c r="AJ77" s="1262"/>
      <c r="AK77" s="1262"/>
      <c r="AL77" s="1262"/>
      <c r="AM77" s="1262"/>
      <c r="AN77" s="1262"/>
      <c r="AO77" s="1262"/>
      <c r="AP77" s="1262"/>
      <c r="AQ77" s="1262"/>
      <c r="AR77" s="1262"/>
      <c r="AS77" s="1262"/>
      <c r="AT77" s="1262"/>
      <c r="AU77" s="1262"/>
      <c r="AV77" s="1262"/>
      <c r="AW77" s="1262"/>
      <c r="AX77" s="1262"/>
      <c r="AY77" s="1262"/>
    </row>
    <row r="78" spans="1:55">
      <c r="A78" s="1262"/>
      <c r="B78" s="1263"/>
      <c r="C78" s="1263"/>
      <c r="D78" s="1263"/>
      <c r="E78" s="1263"/>
      <c r="F78" s="1263"/>
      <c r="G78" s="1263"/>
      <c r="H78" s="1263"/>
      <c r="I78" s="1263"/>
      <c r="J78" s="1263"/>
      <c r="K78" s="1263"/>
      <c r="L78" s="1263"/>
      <c r="M78" s="1263"/>
      <c r="N78" s="1263"/>
      <c r="O78" s="1263"/>
      <c r="P78" s="1263"/>
      <c r="Q78" s="1263"/>
      <c r="R78" s="1263"/>
      <c r="S78" s="1263"/>
      <c r="T78" s="1263"/>
      <c r="U78" s="1263"/>
      <c r="V78" s="1263"/>
      <c r="W78" s="1263"/>
      <c r="X78" s="1263"/>
      <c r="Y78" s="1263"/>
      <c r="Z78" s="1263"/>
      <c r="AA78" s="1263"/>
      <c r="AB78" s="1263"/>
      <c r="AC78" s="1263"/>
      <c r="AD78" s="1263"/>
      <c r="AE78" s="1263"/>
      <c r="AF78" s="1263"/>
      <c r="AG78" s="1262"/>
      <c r="AH78" s="1262"/>
      <c r="AI78" s="1262"/>
      <c r="AJ78" s="1262"/>
      <c r="AK78" s="1262"/>
      <c r="AL78" s="1262"/>
      <c r="AM78" s="1262"/>
      <c r="AN78" s="1262"/>
      <c r="AO78" s="1262"/>
      <c r="AP78" s="1262"/>
      <c r="AQ78" s="1262"/>
      <c r="AR78" s="1262"/>
      <c r="AS78" s="1262"/>
      <c r="AT78" s="1262"/>
      <c r="AU78" s="1262"/>
      <c r="AV78" s="1262"/>
      <c r="AW78" s="1262"/>
      <c r="AX78" s="1262"/>
      <c r="AY78" s="1262"/>
    </row>
    <row r="79" spans="1:55">
      <c r="A79" s="1262"/>
      <c r="B79" s="1263"/>
      <c r="C79" s="1263"/>
      <c r="D79" s="1263"/>
      <c r="E79" s="1263"/>
      <c r="F79" s="1263"/>
      <c r="G79" s="1263"/>
      <c r="H79" s="1263"/>
      <c r="I79" s="1263"/>
      <c r="J79" s="1263"/>
      <c r="K79" s="1263"/>
      <c r="L79" s="1263"/>
      <c r="M79" s="1263"/>
      <c r="N79" s="1263"/>
      <c r="O79" s="1263"/>
      <c r="P79" s="1263"/>
      <c r="Q79" s="1263"/>
      <c r="R79" s="1263"/>
      <c r="S79" s="1263"/>
      <c r="T79" s="1263"/>
      <c r="U79" s="1263"/>
      <c r="V79" s="1263"/>
      <c r="W79" s="1263"/>
      <c r="X79" s="1263"/>
      <c r="Y79" s="1263"/>
      <c r="Z79" s="1263"/>
      <c r="AA79" s="1263"/>
      <c r="AB79" s="1263"/>
      <c r="AC79" s="1263"/>
      <c r="AD79" s="1263"/>
      <c r="AE79" s="1263"/>
      <c r="AF79" s="1263"/>
      <c r="AG79" s="1262"/>
      <c r="AH79" s="1262"/>
      <c r="AI79" s="1262"/>
      <c r="AJ79" s="1262"/>
      <c r="AK79" s="1262"/>
      <c r="AL79" s="1262"/>
      <c r="AM79" s="1262"/>
      <c r="AN79" s="1262"/>
      <c r="AO79" s="1262"/>
      <c r="AP79" s="1262"/>
      <c r="AQ79" s="1262"/>
      <c r="AR79" s="1262"/>
      <c r="AS79" s="1262"/>
      <c r="AT79" s="1262"/>
      <c r="AU79" s="1262"/>
      <c r="AV79" s="1262"/>
      <c r="AW79" s="1262"/>
      <c r="AX79" s="1262"/>
      <c r="AY79" s="1262"/>
    </row>
    <row r="80" spans="1:55">
      <c r="A80" s="1262"/>
      <c r="B80" s="1263"/>
      <c r="C80" s="1263"/>
      <c r="D80" s="1263"/>
      <c r="E80" s="1263"/>
      <c r="F80" s="1263"/>
      <c r="G80" s="1263"/>
      <c r="H80" s="1263"/>
      <c r="I80" s="1263"/>
      <c r="J80" s="1263"/>
      <c r="K80" s="1263"/>
      <c r="L80" s="1263"/>
      <c r="M80" s="1263"/>
      <c r="N80" s="1263"/>
      <c r="O80" s="1263"/>
      <c r="P80" s="1263"/>
      <c r="Q80" s="1263"/>
      <c r="R80" s="1263"/>
      <c r="S80" s="1263"/>
      <c r="T80" s="1263"/>
      <c r="U80" s="1263"/>
      <c r="V80" s="1263"/>
      <c r="W80" s="1263"/>
      <c r="X80" s="1263"/>
      <c r="Y80" s="1263"/>
      <c r="Z80" s="1263"/>
      <c r="AA80" s="1263"/>
      <c r="AB80" s="1263"/>
      <c r="AC80" s="1263"/>
      <c r="AD80" s="1263"/>
      <c r="AE80" s="1263"/>
      <c r="AF80" s="1263"/>
      <c r="AG80" s="1262"/>
      <c r="AH80" s="1262"/>
      <c r="AI80" s="1262"/>
      <c r="AJ80" s="1262"/>
      <c r="AK80" s="1262"/>
      <c r="AL80" s="1262"/>
      <c r="AM80" s="1262"/>
      <c r="AN80" s="1262"/>
      <c r="AO80" s="1262"/>
      <c r="AP80" s="1262"/>
      <c r="AQ80" s="1262"/>
      <c r="AR80" s="1262"/>
      <c r="AS80" s="1262"/>
      <c r="AT80" s="1262"/>
      <c r="AU80" s="1262"/>
      <c r="AV80" s="1262"/>
      <c r="AW80" s="1262"/>
      <c r="AX80" s="1262"/>
      <c r="AY80" s="1262"/>
    </row>
    <row r="81" spans="1:51">
      <c r="A81" s="1262"/>
      <c r="B81" s="1263"/>
      <c r="C81" s="1263"/>
      <c r="D81" s="1263"/>
      <c r="E81" s="1263"/>
      <c r="F81" s="1263"/>
      <c r="G81" s="1263"/>
      <c r="H81" s="1263"/>
      <c r="I81" s="1263"/>
      <c r="J81" s="1263"/>
      <c r="K81" s="1263"/>
      <c r="L81" s="1263"/>
      <c r="M81" s="1263"/>
      <c r="N81" s="1263"/>
      <c r="O81" s="1263"/>
      <c r="P81" s="1263"/>
      <c r="Q81" s="1263"/>
      <c r="R81" s="1263"/>
      <c r="S81" s="1263"/>
      <c r="T81" s="1263"/>
      <c r="U81" s="1263"/>
      <c r="V81" s="1263"/>
      <c r="W81" s="1263"/>
      <c r="X81" s="1263"/>
      <c r="Y81" s="1263"/>
      <c r="Z81" s="1263"/>
      <c r="AA81" s="1263"/>
      <c r="AB81" s="1263"/>
      <c r="AC81" s="1263"/>
      <c r="AD81" s="1263"/>
      <c r="AE81" s="1263"/>
      <c r="AF81" s="1263"/>
      <c r="AG81" s="1262"/>
      <c r="AH81" s="1262"/>
      <c r="AI81" s="1262"/>
      <c r="AJ81" s="1262"/>
      <c r="AK81" s="1262"/>
      <c r="AL81" s="1262"/>
      <c r="AM81" s="1262"/>
      <c r="AN81" s="1262"/>
      <c r="AO81" s="1262"/>
      <c r="AP81" s="1262"/>
      <c r="AQ81" s="1262"/>
      <c r="AR81" s="1262"/>
      <c r="AS81" s="1262"/>
      <c r="AT81" s="1262"/>
      <c r="AU81" s="1262"/>
      <c r="AV81" s="1262"/>
      <c r="AW81" s="1262"/>
      <c r="AX81" s="1262"/>
      <c r="AY81" s="1262"/>
    </row>
    <row r="82" spans="1:51">
      <c r="A82" s="1262"/>
      <c r="B82" s="1263"/>
      <c r="C82" s="1263"/>
      <c r="D82" s="1263"/>
      <c r="E82" s="1263"/>
      <c r="F82" s="1263"/>
      <c r="G82" s="1263"/>
      <c r="H82" s="1263"/>
      <c r="I82" s="1263"/>
      <c r="J82" s="1263"/>
      <c r="K82" s="1263"/>
      <c r="L82" s="1263"/>
      <c r="M82" s="1263"/>
      <c r="N82" s="1263"/>
      <c r="O82" s="1263"/>
      <c r="P82" s="1263"/>
      <c r="Q82" s="1263"/>
      <c r="R82" s="1263"/>
      <c r="S82" s="1263"/>
      <c r="T82" s="1263"/>
      <c r="U82" s="1263"/>
      <c r="V82" s="1263"/>
      <c r="W82" s="1263"/>
      <c r="X82" s="1263"/>
      <c r="Y82" s="1263"/>
      <c r="Z82" s="1263"/>
      <c r="AA82" s="1263"/>
      <c r="AB82" s="1263"/>
      <c r="AC82" s="1263"/>
      <c r="AD82" s="1263"/>
      <c r="AE82" s="1263"/>
      <c r="AF82" s="1263"/>
      <c r="AG82" s="1262"/>
      <c r="AH82" s="1262"/>
      <c r="AI82" s="1262"/>
      <c r="AJ82" s="1262"/>
      <c r="AK82" s="1262"/>
      <c r="AL82" s="1262"/>
      <c r="AM82" s="1262"/>
      <c r="AN82" s="1262"/>
      <c r="AO82" s="1262"/>
      <c r="AP82" s="1262"/>
      <c r="AQ82" s="1262"/>
      <c r="AR82" s="1262"/>
      <c r="AS82" s="1262"/>
      <c r="AT82" s="1262"/>
      <c r="AU82" s="1262"/>
      <c r="AV82" s="1262"/>
      <c r="AW82" s="1262"/>
      <c r="AX82" s="1262"/>
      <c r="AY82" s="1262"/>
    </row>
    <row r="83" spans="1:51">
      <c r="A83" s="1262"/>
      <c r="B83" s="1263"/>
      <c r="C83" s="1263"/>
      <c r="D83" s="1263"/>
      <c r="E83" s="1263"/>
      <c r="F83" s="1263"/>
      <c r="G83" s="1263"/>
      <c r="H83" s="1263"/>
      <c r="I83" s="1263"/>
      <c r="J83" s="1263"/>
      <c r="K83" s="1263"/>
      <c r="L83" s="1263"/>
      <c r="M83" s="1263"/>
      <c r="N83" s="1263"/>
      <c r="O83" s="1263"/>
      <c r="P83" s="1263"/>
      <c r="Q83" s="1263"/>
      <c r="R83" s="1263"/>
      <c r="S83" s="1263"/>
      <c r="T83" s="1263"/>
      <c r="U83" s="1263"/>
      <c r="V83" s="1263"/>
      <c r="W83" s="1263"/>
      <c r="X83" s="1263"/>
      <c r="Y83" s="1263"/>
      <c r="Z83" s="1263"/>
      <c r="AA83" s="1263"/>
      <c r="AB83" s="1263"/>
      <c r="AC83" s="1263"/>
      <c r="AD83" s="1263"/>
      <c r="AE83" s="1263"/>
      <c r="AF83" s="1263"/>
      <c r="AG83" s="1262"/>
      <c r="AH83" s="1262"/>
      <c r="AI83" s="1262"/>
      <c r="AJ83" s="1262"/>
      <c r="AK83" s="1262"/>
      <c r="AL83" s="1262"/>
      <c r="AM83" s="1262"/>
      <c r="AN83" s="1262"/>
      <c r="AO83" s="1262"/>
      <c r="AP83" s="1262"/>
      <c r="AQ83" s="1262"/>
      <c r="AR83" s="1262"/>
      <c r="AS83" s="1262"/>
      <c r="AT83" s="1262"/>
      <c r="AU83" s="1262"/>
      <c r="AV83" s="1262"/>
      <c r="AW83" s="1262"/>
      <c r="AX83" s="1262"/>
      <c r="AY83" s="1262"/>
    </row>
    <row r="84" spans="1:51">
      <c r="A84" s="1262"/>
      <c r="B84" s="1263"/>
      <c r="C84" s="1263"/>
      <c r="D84" s="1263"/>
      <c r="E84" s="1263"/>
      <c r="F84" s="1263"/>
      <c r="G84" s="1263"/>
      <c r="H84" s="1263"/>
      <c r="I84" s="1263"/>
      <c r="J84" s="1263"/>
      <c r="K84" s="1263"/>
      <c r="L84" s="1263"/>
      <c r="M84" s="1263"/>
      <c r="N84" s="1263"/>
      <c r="O84" s="1263"/>
      <c r="P84" s="1263"/>
      <c r="Q84" s="1263"/>
      <c r="R84" s="1263"/>
      <c r="S84" s="1263"/>
      <c r="T84" s="1263"/>
      <c r="U84" s="1263"/>
      <c r="V84" s="1263"/>
      <c r="W84" s="1263"/>
      <c r="X84" s="1263"/>
      <c r="Y84" s="1263"/>
      <c r="Z84" s="1263"/>
      <c r="AA84" s="1263"/>
      <c r="AB84" s="1263"/>
      <c r="AC84" s="1263"/>
      <c r="AD84" s="1263"/>
      <c r="AE84" s="1263"/>
      <c r="AF84" s="1263"/>
      <c r="AG84" s="1262"/>
      <c r="AH84" s="1262"/>
      <c r="AI84" s="1262"/>
      <c r="AJ84" s="1262"/>
      <c r="AK84" s="1262"/>
      <c r="AL84" s="1262"/>
      <c r="AM84" s="1262"/>
      <c r="AN84" s="1262"/>
      <c r="AO84" s="1262"/>
      <c r="AP84" s="1262"/>
      <c r="AQ84" s="1262"/>
      <c r="AR84" s="1262"/>
      <c r="AS84" s="1262"/>
      <c r="AT84" s="1262"/>
      <c r="AU84" s="1262"/>
      <c r="AV84" s="1262"/>
      <c r="AW84" s="1262"/>
      <c r="AX84" s="1262"/>
      <c r="AY84" s="1262"/>
    </row>
    <row r="85" spans="1:51">
      <c r="A85" s="1262"/>
      <c r="B85" s="1263"/>
      <c r="C85" s="1263"/>
      <c r="D85" s="1263"/>
      <c r="E85" s="1263"/>
      <c r="F85" s="1263"/>
      <c r="G85" s="1263"/>
      <c r="H85" s="1263"/>
      <c r="I85" s="1263"/>
      <c r="J85" s="1263"/>
      <c r="K85" s="1263"/>
      <c r="L85" s="1263"/>
      <c r="M85" s="1263"/>
      <c r="N85" s="1263"/>
      <c r="O85" s="1263"/>
      <c r="P85" s="1263"/>
      <c r="Q85" s="1263"/>
      <c r="R85" s="1263"/>
      <c r="S85" s="1263"/>
      <c r="T85" s="1263"/>
      <c r="U85" s="1263"/>
      <c r="V85" s="1263"/>
      <c r="W85" s="1263"/>
      <c r="X85" s="1263"/>
      <c r="Y85" s="1263"/>
      <c r="Z85" s="1263"/>
      <c r="AA85" s="1263"/>
      <c r="AB85" s="1263"/>
      <c r="AC85" s="1263"/>
      <c r="AD85" s="1263"/>
      <c r="AE85" s="1263"/>
      <c r="AF85" s="1263"/>
      <c r="AG85" s="1262"/>
      <c r="AH85" s="1262"/>
      <c r="AI85" s="1262"/>
      <c r="AJ85" s="1262"/>
      <c r="AK85" s="1262"/>
      <c r="AL85" s="1262"/>
      <c r="AM85" s="1262"/>
      <c r="AN85" s="1262"/>
      <c r="AO85" s="1262"/>
      <c r="AP85" s="1262"/>
      <c r="AQ85" s="1262"/>
      <c r="AR85" s="1262"/>
      <c r="AS85" s="1262"/>
      <c r="AT85" s="1262"/>
      <c r="AU85" s="1262"/>
      <c r="AV85" s="1262"/>
      <c r="AW85" s="1262"/>
      <c r="AX85" s="1262"/>
      <c r="AY85" s="1262"/>
    </row>
    <row r="86" spans="1:51">
      <c r="A86" s="1262"/>
      <c r="B86" s="1263"/>
      <c r="C86" s="1263"/>
      <c r="D86" s="1263"/>
      <c r="E86" s="1263"/>
      <c r="F86" s="1263"/>
      <c r="G86" s="1263"/>
      <c r="H86" s="1263"/>
      <c r="I86" s="1263"/>
      <c r="J86" s="1263"/>
      <c r="K86" s="1263"/>
      <c r="L86" s="1263"/>
      <c r="M86" s="1263"/>
      <c r="N86" s="1263"/>
      <c r="O86" s="1263"/>
      <c r="P86" s="1263"/>
      <c r="Q86" s="1263"/>
      <c r="R86" s="1263"/>
      <c r="S86" s="1263"/>
      <c r="T86" s="1263"/>
      <c r="U86" s="1263"/>
      <c r="V86" s="1263"/>
      <c r="W86" s="1263"/>
      <c r="X86" s="1263"/>
      <c r="Y86" s="1263"/>
      <c r="Z86" s="1263"/>
      <c r="AA86" s="1263"/>
      <c r="AB86" s="1263"/>
      <c r="AC86" s="1263"/>
      <c r="AD86" s="1263"/>
      <c r="AE86" s="1263"/>
      <c r="AF86" s="1263"/>
      <c r="AG86" s="1262"/>
      <c r="AH86" s="1262"/>
      <c r="AI86" s="1262"/>
      <c r="AJ86" s="1262"/>
      <c r="AK86" s="1262"/>
      <c r="AL86" s="1262"/>
      <c r="AM86" s="1262"/>
      <c r="AN86" s="1262"/>
      <c r="AO86" s="1262"/>
      <c r="AP86" s="1262"/>
      <c r="AQ86" s="1262"/>
      <c r="AR86" s="1262"/>
      <c r="AS86" s="1262"/>
      <c r="AT86" s="1262"/>
      <c r="AU86" s="1262"/>
      <c r="AV86" s="1262"/>
      <c r="AW86" s="1262"/>
      <c r="AX86" s="1262"/>
      <c r="AY86" s="1262"/>
    </row>
    <row r="87" spans="1:51">
      <c r="A87" s="1262"/>
      <c r="B87" s="1263"/>
      <c r="C87" s="1263"/>
      <c r="D87" s="1263"/>
      <c r="E87" s="1263"/>
      <c r="F87" s="1263"/>
      <c r="G87" s="1263"/>
      <c r="H87" s="1263"/>
      <c r="I87" s="1263"/>
      <c r="J87" s="1263"/>
      <c r="K87" s="1263"/>
      <c r="L87" s="1263"/>
      <c r="M87" s="1263"/>
      <c r="N87" s="1263"/>
      <c r="O87" s="1263"/>
      <c r="P87" s="1263"/>
      <c r="Q87" s="1263"/>
      <c r="R87" s="1263"/>
      <c r="S87" s="1263"/>
      <c r="T87" s="1263"/>
      <c r="U87" s="1263"/>
      <c r="V87" s="1263"/>
      <c r="W87" s="1263"/>
      <c r="X87" s="1263"/>
      <c r="Y87" s="1263"/>
      <c r="Z87" s="1263"/>
      <c r="AA87" s="1263"/>
      <c r="AB87" s="1263"/>
      <c r="AC87" s="1263"/>
      <c r="AD87" s="1263"/>
      <c r="AE87" s="1263"/>
      <c r="AF87" s="1263"/>
      <c r="AG87" s="1262"/>
      <c r="AH87" s="1262"/>
      <c r="AI87" s="1262"/>
      <c r="AJ87" s="1262"/>
      <c r="AK87" s="1262"/>
      <c r="AL87" s="1262"/>
      <c r="AM87" s="1262"/>
      <c r="AN87" s="1262"/>
      <c r="AO87" s="1262"/>
      <c r="AP87" s="1262"/>
      <c r="AQ87" s="1262"/>
      <c r="AR87" s="1262"/>
      <c r="AS87" s="1262"/>
      <c r="AT87" s="1262"/>
      <c r="AU87" s="1262"/>
      <c r="AV87" s="1262"/>
      <c r="AW87" s="1262"/>
      <c r="AX87" s="1262"/>
      <c r="AY87" s="1262"/>
    </row>
    <row r="88" spans="1:51">
      <c r="A88" s="1262"/>
      <c r="B88" s="1263"/>
      <c r="C88" s="1263"/>
      <c r="D88" s="1263"/>
      <c r="E88" s="1263"/>
      <c r="F88" s="1263"/>
      <c r="G88" s="1263"/>
      <c r="H88" s="1263"/>
      <c r="I88" s="1263"/>
      <c r="J88" s="1263"/>
      <c r="K88" s="1263"/>
      <c r="L88" s="1263"/>
      <c r="M88" s="1263"/>
      <c r="N88" s="1263"/>
      <c r="O88" s="1263"/>
      <c r="P88" s="1263"/>
      <c r="Q88" s="1263"/>
      <c r="R88" s="1263"/>
      <c r="S88" s="1263"/>
      <c r="T88" s="1263"/>
      <c r="U88" s="1263"/>
      <c r="V88" s="1263"/>
      <c r="W88" s="1263"/>
      <c r="X88" s="1263"/>
      <c r="Y88" s="1263"/>
      <c r="Z88" s="1263"/>
      <c r="AA88" s="1263"/>
      <c r="AB88" s="1263"/>
      <c r="AC88" s="1263"/>
      <c r="AD88" s="1263"/>
      <c r="AE88" s="1263"/>
      <c r="AF88" s="1263"/>
      <c r="AG88" s="1262"/>
      <c r="AH88" s="1262"/>
      <c r="AI88" s="1262"/>
      <c r="AJ88" s="1262"/>
      <c r="AK88" s="1262"/>
      <c r="AL88" s="1262"/>
      <c r="AM88" s="1262"/>
      <c r="AN88" s="1262"/>
      <c r="AO88" s="1262"/>
      <c r="AP88" s="1262"/>
      <c r="AQ88" s="1262"/>
      <c r="AR88" s="1262"/>
      <c r="AS88" s="1262"/>
      <c r="AT88" s="1262"/>
      <c r="AU88" s="1262"/>
      <c r="AV88" s="1262"/>
      <c r="AW88" s="1262"/>
      <c r="AX88" s="1262"/>
      <c r="AY88" s="1262"/>
    </row>
    <row r="89" spans="1:51">
      <c r="A89" s="1262"/>
      <c r="B89" s="1263"/>
      <c r="C89" s="1263"/>
      <c r="D89" s="1263"/>
      <c r="E89" s="1263"/>
      <c r="F89" s="1263"/>
      <c r="G89" s="1263"/>
      <c r="H89" s="1263"/>
      <c r="I89" s="1263"/>
      <c r="J89" s="1263"/>
      <c r="K89" s="1263"/>
      <c r="L89" s="1263"/>
      <c r="M89" s="1263"/>
      <c r="N89" s="1263"/>
      <c r="O89" s="1263"/>
      <c r="P89" s="1263"/>
      <c r="Q89" s="1263"/>
      <c r="R89" s="1263"/>
      <c r="S89" s="1263"/>
      <c r="T89" s="1263"/>
      <c r="U89" s="1263"/>
      <c r="V89" s="1263"/>
      <c r="W89" s="1263"/>
      <c r="X89" s="1263"/>
      <c r="Y89" s="1263"/>
      <c r="Z89" s="1263"/>
      <c r="AA89" s="1263"/>
      <c r="AB89" s="1263"/>
      <c r="AC89" s="1263"/>
      <c r="AD89" s="1263"/>
      <c r="AE89" s="1263"/>
      <c r="AF89" s="1263"/>
      <c r="AG89" s="1262"/>
      <c r="AH89" s="1262"/>
      <c r="AI89" s="1262"/>
      <c r="AJ89" s="1262"/>
      <c r="AK89" s="1262"/>
      <c r="AL89" s="1262"/>
      <c r="AM89" s="1262"/>
      <c r="AN89" s="1262"/>
      <c r="AO89" s="1262"/>
      <c r="AP89" s="1262"/>
      <c r="AQ89" s="1262"/>
      <c r="AR89" s="1262"/>
      <c r="AS89" s="1262"/>
      <c r="AT89" s="1262"/>
      <c r="AU89" s="1262"/>
      <c r="AV89" s="1262"/>
      <c r="AW89" s="1262"/>
      <c r="AX89" s="1262"/>
      <c r="AY89" s="1262"/>
    </row>
    <row r="90" spans="1:51">
      <c r="A90" s="1262"/>
      <c r="B90" s="1263"/>
      <c r="C90" s="1263"/>
      <c r="D90" s="1263"/>
      <c r="E90" s="1263"/>
      <c r="F90" s="1263"/>
      <c r="G90" s="1263"/>
      <c r="H90" s="1263"/>
      <c r="I90" s="1263"/>
      <c r="J90" s="1263"/>
      <c r="K90" s="1263"/>
      <c r="L90" s="1263"/>
      <c r="M90" s="1263"/>
      <c r="N90" s="1263"/>
      <c r="O90" s="1263"/>
      <c r="P90" s="1263"/>
      <c r="Q90" s="1263"/>
      <c r="R90" s="1263"/>
      <c r="S90" s="1263"/>
      <c r="T90" s="1263"/>
      <c r="U90" s="1263"/>
      <c r="V90" s="1263"/>
      <c r="W90" s="1263"/>
      <c r="X90" s="1263"/>
      <c r="Y90" s="1263"/>
      <c r="Z90" s="1263"/>
      <c r="AA90" s="1263"/>
      <c r="AB90" s="1263"/>
      <c r="AC90" s="1263"/>
      <c r="AD90" s="1263"/>
      <c r="AE90" s="1263"/>
      <c r="AF90" s="1263"/>
      <c r="AG90" s="1262"/>
      <c r="AH90" s="1262"/>
      <c r="AI90" s="1262"/>
      <c r="AJ90" s="1262"/>
      <c r="AK90" s="1262"/>
      <c r="AL90" s="1262"/>
      <c r="AM90" s="1262"/>
      <c r="AN90" s="1262"/>
      <c r="AO90" s="1262"/>
      <c r="AP90" s="1262"/>
      <c r="AQ90" s="1262"/>
      <c r="AR90" s="1262"/>
      <c r="AS90" s="1262"/>
      <c r="AT90" s="1262"/>
      <c r="AU90" s="1262"/>
      <c r="AV90" s="1262"/>
      <c r="AW90" s="1262"/>
      <c r="AX90" s="1262"/>
      <c r="AY90" s="1262"/>
    </row>
    <row r="91" spans="1:51">
      <c r="A91" s="1262"/>
      <c r="B91" s="1263"/>
      <c r="C91" s="1263"/>
      <c r="D91" s="1263"/>
      <c r="E91" s="1263"/>
      <c r="F91" s="1263"/>
      <c r="G91" s="1263"/>
      <c r="H91" s="1263"/>
      <c r="I91" s="1263"/>
      <c r="J91" s="1263"/>
      <c r="K91" s="1263"/>
      <c r="L91" s="1263"/>
      <c r="M91" s="1263"/>
      <c r="N91" s="1263"/>
      <c r="O91" s="1263"/>
      <c r="P91" s="1263"/>
      <c r="Q91" s="1263"/>
      <c r="R91" s="1263"/>
      <c r="S91" s="1263"/>
      <c r="T91" s="1263"/>
      <c r="U91" s="1263"/>
      <c r="V91" s="1263"/>
      <c r="W91" s="1263"/>
      <c r="X91" s="1263"/>
      <c r="Y91" s="1263"/>
      <c r="Z91" s="1263"/>
      <c r="AA91" s="1263"/>
      <c r="AB91" s="1263"/>
      <c r="AC91" s="1263"/>
      <c r="AD91" s="1263"/>
      <c r="AE91" s="1263"/>
      <c r="AF91" s="1263"/>
      <c r="AG91" s="1262"/>
      <c r="AH91" s="1262"/>
      <c r="AI91" s="1262"/>
      <c r="AJ91" s="1262"/>
      <c r="AK91" s="1262"/>
      <c r="AL91" s="1262"/>
      <c r="AM91" s="1262"/>
      <c r="AN91" s="1262"/>
      <c r="AO91" s="1262"/>
      <c r="AP91" s="1262"/>
      <c r="AQ91" s="1262"/>
      <c r="AR91" s="1262"/>
      <c r="AS91" s="1262"/>
      <c r="AT91" s="1262"/>
      <c r="AU91" s="1262"/>
      <c r="AV91" s="1262"/>
      <c r="AW91" s="1262"/>
      <c r="AX91" s="1262"/>
      <c r="AY91" s="1262"/>
    </row>
  </sheetData>
  <sheetProtection algorithmName="SHA-512" hashValue="Ug7yO9ZWHPn6Scf+6Mo4gaMdBNgE+xHbtFPWTs3sj3a6869pToP8Ho/7AG4IyhdeqRR24x/eqTziEUqCGOwKIg==" saltValue="jUUBinrcd2M6slaZ4qYVng==" spinCount="100000" sheet="1" objects="1" scenarios="1"/>
  <customSheetViews>
    <customSheetView guid="{6EFEFCA0-BF14-457A-85A3-29CBF2A862A5}" showGridLines="0" fitToPage="1">
      <selection sqref="A1:AL77"/>
      <pageMargins left="0.23622047244094491" right="0.23622047244094491" top="0.19685039370078741" bottom="0.19685039370078741" header="0" footer="0.11811023622047245"/>
      <printOptions horizontalCentered="1" verticalCentered="1"/>
      <pageSetup paperSize="9" scale="62" orientation="portrait" r:id="rId1"/>
      <headerFooter>
        <oddFooter>&amp;L&amp;10&amp;F &amp;A&amp;R&amp;10Page 51 of 61</oddFooter>
      </headerFooter>
    </customSheetView>
  </customSheetViews>
  <mergeCells count="53">
    <mergeCell ref="M21:R21"/>
    <mergeCell ref="M20:U20"/>
    <mergeCell ref="D16:AF16"/>
    <mergeCell ref="E7:AF7"/>
    <mergeCell ref="E8:AF9"/>
    <mergeCell ref="E10:AF11"/>
    <mergeCell ref="E12:AF13"/>
    <mergeCell ref="E14:AF15"/>
    <mergeCell ref="O22:T22"/>
    <mergeCell ref="AA22:AF22"/>
    <mergeCell ref="D24:AF24"/>
    <mergeCell ref="E26:P27"/>
    <mergeCell ref="U26:AF28"/>
    <mergeCell ref="E28:P28"/>
    <mergeCell ref="E29:P30"/>
    <mergeCell ref="U29:AF29"/>
    <mergeCell ref="U30:AF31"/>
    <mergeCell ref="E31:P32"/>
    <mergeCell ref="U32:AF33"/>
    <mergeCell ref="E33:P33"/>
    <mergeCell ref="E52:AF52"/>
    <mergeCell ref="E34:P35"/>
    <mergeCell ref="U34:AF35"/>
    <mergeCell ref="E36:P36"/>
    <mergeCell ref="U36:AF36"/>
    <mergeCell ref="E39:P41"/>
    <mergeCell ref="U39:AF40"/>
    <mergeCell ref="U41:AF42"/>
    <mergeCell ref="E42:P42"/>
    <mergeCell ref="D44:AF44"/>
    <mergeCell ref="E46:AF47"/>
    <mergeCell ref="E48:AF49"/>
    <mergeCell ref="E50:AF50"/>
    <mergeCell ref="E51:AF51"/>
    <mergeCell ref="E53:AF53"/>
    <mergeCell ref="E54:AF54"/>
    <mergeCell ref="D56:AB56"/>
    <mergeCell ref="AD56:AF56"/>
    <mergeCell ref="D58:AB58"/>
    <mergeCell ref="AD58:AF58"/>
    <mergeCell ref="L75:X75"/>
    <mergeCell ref="D60:AB60"/>
    <mergeCell ref="AD60:AF60"/>
    <mergeCell ref="D62:AB62"/>
    <mergeCell ref="AD62:AF62"/>
    <mergeCell ref="B65:AD65"/>
    <mergeCell ref="F68:N68"/>
    <mergeCell ref="V68:AH68"/>
    <mergeCell ref="F69:N69"/>
    <mergeCell ref="V69:AH69"/>
    <mergeCell ref="F70:N70"/>
    <mergeCell ref="Z70:AH70"/>
    <mergeCell ref="L73:X74"/>
  </mergeCells>
  <dataValidations count="1">
    <dataValidation type="whole" allowBlank="1" showInputMessage="1" showErrorMessage="1" errorTitle="GSHSP SY 2022-2023" error="Please enter valid number between 0-999." sqref="AD56:AF56 AD58:AF58 AD60:AF60 AD62:AF62" xr:uid="{5D2273E6-B8C4-4A86-AD35-A45338D0D254}">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2" orientation="portrait" r:id="rId2"/>
  <headerFooter>
    <oddFooter>&amp;L&amp;10&amp;F &amp;A&amp;R&amp;10Page 51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91137" r:id="rId5" name="Check Box 1">
              <controlPr defaultSize="0" autoFill="0" autoLine="0" autoPict="0">
                <anchor moveWithCells="1">
                  <from>
                    <xdr:col>3</xdr:col>
                    <xdr:colOff>28575</xdr:colOff>
                    <xdr:row>6</xdr:row>
                    <xdr:rowOff>38100</xdr:rowOff>
                  </from>
                  <to>
                    <xdr:col>3</xdr:col>
                    <xdr:colOff>266700</xdr:colOff>
                    <xdr:row>6</xdr:row>
                    <xdr:rowOff>257175</xdr:rowOff>
                  </to>
                </anchor>
              </controlPr>
            </control>
          </mc:Choice>
        </mc:AlternateContent>
        <mc:AlternateContent xmlns:mc="http://schemas.openxmlformats.org/markup-compatibility/2006">
          <mc:Choice Requires="x14">
            <control shapeId="91138" r:id="rId6" name="Check Box 2">
              <controlPr defaultSize="0" autoFill="0" autoLine="0" autoPict="0">
                <anchor moveWithCells="1">
                  <from>
                    <xdr:col>3</xdr:col>
                    <xdr:colOff>28575</xdr:colOff>
                    <xdr:row>6</xdr:row>
                    <xdr:rowOff>295275</xdr:rowOff>
                  </from>
                  <to>
                    <xdr:col>4</xdr:col>
                    <xdr:colOff>28575</xdr:colOff>
                    <xdr:row>7</xdr:row>
                    <xdr:rowOff>180975</xdr:rowOff>
                  </to>
                </anchor>
              </controlPr>
            </control>
          </mc:Choice>
        </mc:AlternateContent>
        <mc:AlternateContent xmlns:mc="http://schemas.openxmlformats.org/markup-compatibility/2006">
          <mc:Choice Requires="x14">
            <control shapeId="91139" r:id="rId7" name="Check Box 3">
              <controlPr defaultSize="0" autoFill="0" autoLine="0" autoPict="0">
                <anchor moveWithCells="1">
                  <from>
                    <xdr:col>3</xdr:col>
                    <xdr:colOff>28575</xdr:colOff>
                    <xdr:row>8</xdr:row>
                    <xdr:rowOff>180975</xdr:rowOff>
                  </from>
                  <to>
                    <xdr:col>3</xdr:col>
                    <xdr:colOff>257175</xdr:colOff>
                    <xdr:row>10</xdr:row>
                    <xdr:rowOff>9525</xdr:rowOff>
                  </to>
                </anchor>
              </controlPr>
            </control>
          </mc:Choice>
        </mc:AlternateContent>
        <mc:AlternateContent xmlns:mc="http://schemas.openxmlformats.org/markup-compatibility/2006">
          <mc:Choice Requires="x14">
            <control shapeId="91140" r:id="rId8" name="Check Box 4">
              <controlPr defaultSize="0" autoFill="0" autoLine="0" autoPict="0">
                <anchor moveWithCells="1">
                  <from>
                    <xdr:col>3</xdr:col>
                    <xdr:colOff>28575</xdr:colOff>
                    <xdr:row>10</xdr:row>
                    <xdr:rowOff>180975</xdr:rowOff>
                  </from>
                  <to>
                    <xdr:col>3</xdr:col>
                    <xdr:colOff>238125</xdr:colOff>
                    <xdr:row>12</xdr:row>
                    <xdr:rowOff>28575</xdr:rowOff>
                  </to>
                </anchor>
              </controlPr>
            </control>
          </mc:Choice>
        </mc:AlternateContent>
        <mc:AlternateContent xmlns:mc="http://schemas.openxmlformats.org/markup-compatibility/2006">
          <mc:Choice Requires="x14">
            <control shapeId="91141" r:id="rId9" name="Check Box 5">
              <controlPr defaultSize="0" autoFill="0" autoLine="0" autoPict="0">
                <anchor moveWithCells="1">
                  <from>
                    <xdr:col>3</xdr:col>
                    <xdr:colOff>28575</xdr:colOff>
                    <xdr:row>12</xdr:row>
                    <xdr:rowOff>190500</xdr:rowOff>
                  </from>
                  <to>
                    <xdr:col>4</xdr:col>
                    <xdr:colOff>0</xdr:colOff>
                    <xdr:row>14</xdr:row>
                    <xdr:rowOff>28575</xdr:rowOff>
                  </to>
                </anchor>
              </controlPr>
            </control>
          </mc:Choice>
        </mc:AlternateContent>
        <mc:AlternateContent xmlns:mc="http://schemas.openxmlformats.org/markup-compatibility/2006">
          <mc:Choice Requires="x14">
            <control shapeId="91142" r:id="rId10" name="Check Box 6">
              <controlPr defaultSize="0" autoFill="0" autoLine="0" autoPict="0">
                <anchor moveWithCells="1">
                  <from>
                    <xdr:col>3</xdr:col>
                    <xdr:colOff>28575</xdr:colOff>
                    <xdr:row>17</xdr:row>
                    <xdr:rowOff>9525</xdr:rowOff>
                  </from>
                  <to>
                    <xdr:col>3</xdr:col>
                    <xdr:colOff>219075</xdr:colOff>
                    <xdr:row>17</xdr:row>
                    <xdr:rowOff>219075</xdr:rowOff>
                  </to>
                </anchor>
              </controlPr>
            </control>
          </mc:Choice>
        </mc:AlternateContent>
        <mc:AlternateContent xmlns:mc="http://schemas.openxmlformats.org/markup-compatibility/2006">
          <mc:Choice Requires="x14">
            <control shapeId="91143" r:id="rId11" name="Check Box 7">
              <controlPr defaultSize="0" autoFill="0" autoLine="0" autoPict="0">
                <anchor moveWithCells="1">
                  <from>
                    <xdr:col>3</xdr:col>
                    <xdr:colOff>38100</xdr:colOff>
                    <xdr:row>18</xdr:row>
                    <xdr:rowOff>9525</xdr:rowOff>
                  </from>
                  <to>
                    <xdr:col>3</xdr:col>
                    <xdr:colOff>238125</xdr:colOff>
                    <xdr:row>18</xdr:row>
                    <xdr:rowOff>219075</xdr:rowOff>
                  </to>
                </anchor>
              </controlPr>
            </control>
          </mc:Choice>
        </mc:AlternateContent>
        <mc:AlternateContent xmlns:mc="http://schemas.openxmlformats.org/markup-compatibility/2006">
          <mc:Choice Requires="x14">
            <control shapeId="91144" r:id="rId12" name="Check Box 8">
              <controlPr defaultSize="0" autoFill="0" autoLine="0" autoPict="0">
                <anchor moveWithCells="1">
                  <from>
                    <xdr:col>3</xdr:col>
                    <xdr:colOff>38100</xdr:colOff>
                    <xdr:row>19</xdr:row>
                    <xdr:rowOff>9525</xdr:rowOff>
                  </from>
                  <to>
                    <xdr:col>4</xdr:col>
                    <xdr:colOff>28575</xdr:colOff>
                    <xdr:row>19</xdr:row>
                    <xdr:rowOff>219075</xdr:rowOff>
                  </to>
                </anchor>
              </controlPr>
            </control>
          </mc:Choice>
        </mc:AlternateContent>
        <mc:AlternateContent xmlns:mc="http://schemas.openxmlformats.org/markup-compatibility/2006">
          <mc:Choice Requires="x14">
            <control shapeId="91145" r:id="rId13" name="Check Box 9">
              <controlPr defaultSize="0" autoFill="0" autoLine="0" autoPict="0">
                <anchor moveWithCells="1">
                  <from>
                    <xdr:col>3</xdr:col>
                    <xdr:colOff>28575</xdr:colOff>
                    <xdr:row>20</xdr:row>
                    <xdr:rowOff>9525</xdr:rowOff>
                  </from>
                  <to>
                    <xdr:col>4</xdr:col>
                    <xdr:colOff>9525</xdr:colOff>
                    <xdr:row>20</xdr:row>
                    <xdr:rowOff>219075</xdr:rowOff>
                  </to>
                </anchor>
              </controlPr>
            </control>
          </mc:Choice>
        </mc:AlternateContent>
        <mc:AlternateContent xmlns:mc="http://schemas.openxmlformats.org/markup-compatibility/2006">
          <mc:Choice Requires="x14">
            <control shapeId="91146" r:id="rId14" name="Check Box 10">
              <controlPr defaultSize="0" autoFill="0" autoLine="0" autoPict="0">
                <anchor moveWithCells="1">
                  <from>
                    <xdr:col>3</xdr:col>
                    <xdr:colOff>28575</xdr:colOff>
                    <xdr:row>21</xdr:row>
                    <xdr:rowOff>9525</xdr:rowOff>
                  </from>
                  <to>
                    <xdr:col>4</xdr:col>
                    <xdr:colOff>28575</xdr:colOff>
                    <xdr:row>21</xdr:row>
                    <xdr:rowOff>219075</xdr:rowOff>
                  </to>
                </anchor>
              </controlPr>
            </control>
          </mc:Choice>
        </mc:AlternateContent>
        <mc:AlternateContent xmlns:mc="http://schemas.openxmlformats.org/markup-compatibility/2006">
          <mc:Choice Requires="x14">
            <control shapeId="91147" r:id="rId15" name="Check Box 11">
              <controlPr defaultSize="0" autoFill="0" autoLine="0" autoPict="0">
                <anchor moveWithCells="1">
                  <from>
                    <xdr:col>9</xdr:col>
                    <xdr:colOff>38100</xdr:colOff>
                    <xdr:row>17</xdr:row>
                    <xdr:rowOff>38100</xdr:rowOff>
                  </from>
                  <to>
                    <xdr:col>9</xdr:col>
                    <xdr:colOff>238125</xdr:colOff>
                    <xdr:row>17</xdr:row>
                    <xdr:rowOff>219075</xdr:rowOff>
                  </to>
                </anchor>
              </controlPr>
            </control>
          </mc:Choice>
        </mc:AlternateContent>
        <mc:AlternateContent xmlns:mc="http://schemas.openxmlformats.org/markup-compatibility/2006">
          <mc:Choice Requires="x14">
            <control shapeId="91148" r:id="rId16" name="Check Box 12">
              <controlPr defaultSize="0" autoFill="0" autoLine="0" autoPict="0">
                <anchor moveWithCells="1">
                  <from>
                    <xdr:col>9</xdr:col>
                    <xdr:colOff>38100</xdr:colOff>
                    <xdr:row>18</xdr:row>
                    <xdr:rowOff>28575</xdr:rowOff>
                  </from>
                  <to>
                    <xdr:col>10</xdr:col>
                    <xdr:colOff>9525</xdr:colOff>
                    <xdr:row>19</xdr:row>
                    <xdr:rowOff>9525</xdr:rowOff>
                  </to>
                </anchor>
              </controlPr>
            </control>
          </mc:Choice>
        </mc:AlternateContent>
        <mc:AlternateContent xmlns:mc="http://schemas.openxmlformats.org/markup-compatibility/2006">
          <mc:Choice Requires="x14">
            <control shapeId="91149" r:id="rId17" name="Check Box 13">
              <controlPr defaultSize="0" autoFill="0" autoLine="0" autoPict="0">
                <anchor moveWithCells="1">
                  <from>
                    <xdr:col>9</xdr:col>
                    <xdr:colOff>38100</xdr:colOff>
                    <xdr:row>19</xdr:row>
                    <xdr:rowOff>28575</xdr:rowOff>
                  </from>
                  <to>
                    <xdr:col>9</xdr:col>
                    <xdr:colOff>257175</xdr:colOff>
                    <xdr:row>19</xdr:row>
                    <xdr:rowOff>238125</xdr:rowOff>
                  </to>
                </anchor>
              </controlPr>
            </control>
          </mc:Choice>
        </mc:AlternateContent>
        <mc:AlternateContent xmlns:mc="http://schemas.openxmlformats.org/markup-compatibility/2006">
          <mc:Choice Requires="x14">
            <control shapeId="91150" r:id="rId18" name="Check Box 14">
              <controlPr defaultSize="0" autoFill="0" autoLine="0" autoPict="0">
                <anchor moveWithCells="1">
                  <from>
                    <xdr:col>9</xdr:col>
                    <xdr:colOff>28575</xdr:colOff>
                    <xdr:row>20</xdr:row>
                    <xdr:rowOff>28575</xdr:rowOff>
                  </from>
                  <to>
                    <xdr:col>10</xdr:col>
                    <xdr:colOff>28575</xdr:colOff>
                    <xdr:row>20</xdr:row>
                    <xdr:rowOff>238125</xdr:rowOff>
                  </to>
                </anchor>
              </controlPr>
            </control>
          </mc:Choice>
        </mc:AlternateContent>
        <mc:AlternateContent xmlns:mc="http://schemas.openxmlformats.org/markup-compatibility/2006">
          <mc:Choice Requires="x14">
            <control shapeId="91151" r:id="rId19" name="Check Box 15">
              <controlPr defaultSize="0" autoFill="0" autoLine="0" autoPict="0">
                <anchor moveWithCells="1">
                  <from>
                    <xdr:col>9</xdr:col>
                    <xdr:colOff>28575</xdr:colOff>
                    <xdr:row>20</xdr:row>
                    <xdr:rowOff>238125</xdr:rowOff>
                  </from>
                  <to>
                    <xdr:col>9</xdr:col>
                    <xdr:colOff>257175</xdr:colOff>
                    <xdr:row>22</xdr:row>
                    <xdr:rowOff>0</xdr:rowOff>
                  </to>
                </anchor>
              </controlPr>
            </control>
          </mc:Choice>
        </mc:AlternateContent>
        <mc:AlternateContent xmlns:mc="http://schemas.openxmlformats.org/markup-compatibility/2006">
          <mc:Choice Requires="x14">
            <control shapeId="91152" r:id="rId20" name="Check Box 16">
              <controlPr defaultSize="0" autoFill="0" autoLine="0" autoPict="0">
                <anchor moveWithCells="1">
                  <from>
                    <xdr:col>21</xdr:col>
                    <xdr:colOff>38100</xdr:colOff>
                    <xdr:row>17</xdr:row>
                    <xdr:rowOff>28575</xdr:rowOff>
                  </from>
                  <to>
                    <xdr:col>21</xdr:col>
                    <xdr:colOff>257175</xdr:colOff>
                    <xdr:row>17</xdr:row>
                    <xdr:rowOff>219075</xdr:rowOff>
                  </to>
                </anchor>
              </controlPr>
            </control>
          </mc:Choice>
        </mc:AlternateContent>
        <mc:AlternateContent xmlns:mc="http://schemas.openxmlformats.org/markup-compatibility/2006">
          <mc:Choice Requires="x14">
            <control shapeId="91153" r:id="rId21" name="Check Box 17">
              <controlPr defaultSize="0" autoFill="0" autoLine="0" autoPict="0">
                <anchor moveWithCells="1">
                  <from>
                    <xdr:col>21</xdr:col>
                    <xdr:colOff>38100</xdr:colOff>
                    <xdr:row>18</xdr:row>
                    <xdr:rowOff>28575</xdr:rowOff>
                  </from>
                  <to>
                    <xdr:col>22</xdr:col>
                    <xdr:colOff>0</xdr:colOff>
                    <xdr:row>18</xdr:row>
                    <xdr:rowOff>228600</xdr:rowOff>
                  </to>
                </anchor>
              </controlPr>
            </control>
          </mc:Choice>
        </mc:AlternateContent>
        <mc:AlternateContent xmlns:mc="http://schemas.openxmlformats.org/markup-compatibility/2006">
          <mc:Choice Requires="x14">
            <control shapeId="91154" r:id="rId22" name="Check Box 18">
              <controlPr defaultSize="0" autoFill="0" autoLine="0" autoPict="0">
                <anchor moveWithCells="1">
                  <from>
                    <xdr:col>21</xdr:col>
                    <xdr:colOff>28575</xdr:colOff>
                    <xdr:row>19</xdr:row>
                    <xdr:rowOff>9525</xdr:rowOff>
                  </from>
                  <to>
                    <xdr:col>21</xdr:col>
                    <xdr:colOff>238125</xdr:colOff>
                    <xdr:row>19</xdr:row>
                    <xdr:rowOff>228600</xdr:rowOff>
                  </to>
                </anchor>
              </controlPr>
            </control>
          </mc:Choice>
        </mc:AlternateContent>
        <mc:AlternateContent xmlns:mc="http://schemas.openxmlformats.org/markup-compatibility/2006">
          <mc:Choice Requires="x14">
            <control shapeId="91155" r:id="rId23" name="Check Box 19">
              <controlPr defaultSize="0" autoFill="0" autoLine="0" autoPict="0">
                <anchor moveWithCells="1">
                  <from>
                    <xdr:col>21</xdr:col>
                    <xdr:colOff>28575</xdr:colOff>
                    <xdr:row>20</xdr:row>
                    <xdr:rowOff>0</xdr:rowOff>
                  </from>
                  <to>
                    <xdr:col>21</xdr:col>
                    <xdr:colOff>257175</xdr:colOff>
                    <xdr:row>20</xdr:row>
                    <xdr:rowOff>219075</xdr:rowOff>
                  </to>
                </anchor>
              </controlPr>
            </control>
          </mc:Choice>
        </mc:AlternateContent>
        <mc:AlternateContent xmlns:mc="http://schemas.openxmlformats.org/markup-compatibility/2006">
          <mc:Choice Requires="x14">
            <control shapeId="91156" r:id="rId24" name="Check Box 20">
              <controlPr defaultSize="0" autoFill="0" autoLine="0" autoPict="0">
                <anchor moveWithCells="1">
                  <from>
                    <xdr:col>21</xdr:col>
                    <xdr:colOff>28575</xdr:colOff>
                    <xdr:row>21</xdr:row>
                    <xdr:rowOff>0</xdr:rowOff>
                  </from>
                  <to>
                    <xdr:col>22</xdr:col>
                    <xdr:colOff>9525</xdr:colOff>
                    <xdr:row>21</xdr:row>
                    <xdr:rowOff>219075</xdr:rowOff>
                  </to>
                </anchor>
              </controlPr>
            </control>
          </mc:Choice>
        </mc:AlternateContent>
        <mc:AlternateContent xmlns:mc="http://schemas.openxmlformats.org/markup-compatibility/2006">
          <mc:Choice Requires="x14">
            <control shapeId="91157" r:id="rId25" name="Check Box 21">
              <controlPr defaultSize="0" autoFill="0" autoLine="0" autoPict="0">
                <anchor moveWithCells="1">
                  <from>
                    <xdr:col>3</xdr:col>
                    <xdr:colOff>28575</xdr:colOff>
                    <xdr:row>25</xdr:row>
                    <xdr:rowOff>9525</xdr:rowOff>
                  </from>
                  <to>
                    <xdr:col>3</xdr:col>
                    <xdr:colOff>266700</xdr:colOff>
                    <xdr:row>26</xdr:row>
                    <xdr:rowOff>0</xdr:rowOff>
                  </to>
                </anchor>
              </controlPr>
            </control>
          </mc:Choice>
        </mc:AlternateContent>
        <mc:AlternateContent xmlns:mc="http://schemas.openxmlformats.org/markup-compatibility/2006">
          <mc:Choice Requires="x14">
            <control shapeId="91158" r:id="rId26" name="Check Box 22">
              <controlPr defaultSize="0" autoFill="0" autoLine="0" autoPict="0">
                <anchor moveWithCells="1">
                  <from>
                    <xdr:col>3</xdr:col>
                    <xdr:colOff>28575</xdr:colOff>
                    <xdr:row>27</xdr:row>
                    <xdr:rowOff>0</xdr:rowOff>
                  </from>
                  <to>
                    <xdr:col>3</xdr:col>
                    <xdr:colOff>257175</xdr:colOff>
                    <xdr:row>28</xdr:row>
                    <xdr:rowOff>9525</xdr:rowOff>
                  </to>
                </anchor>
              </controlPr>
            </control>
          </mc:Choice>
        </mc:AlternateContent>
        <mc:AlternateContent xmlns:mc="http://schemas.openxmlformats.org/markup-compatibility/2006">
          <mc:Choice Requires="x14">
            <control shapeId="91159" r:id="rId27" name="Check Box 23">
              <controlPr defaultSize="0" autoFill="0" autoLine="0" autoPict="0">
                <anchor moveWithCells="1">
                  <from>
                    <xdr:col>3</xdr:col>
                    <xdr:colOff>28575</xdr:colOff>
                    <xdr:row>28</xdr:row>
                    <xdr:rowOff>28575</xdr:rowOff>
                  </from>
                  <to>
                    <xdr:col>3</xdr:col>
                    <xdr:colOff>238125</xdr:colOff>
                    <xdr:row>28</xdr:row>
                    <xdr:rowOff>190500</xdr:rowOff>
                  </to>
                </anchor>
              </controlPr>
            </control>
          </mc:Choice>
        </mc:AlternateContent>
        <mc:AlternateContent xmlns:mc="http://schemas.openxmlformats.org/markup-compatibility/2006">
          <mc:Choice Requires="x14">
            <control shapeId="91160" r:id="rId28" name="Check Box 24">
              <controlPr defaultSize="0" autoFill="0" autoLine="0" autoPict="0">
                <anchor moveWithCells="1">
                  <from>
                    <xdr:col>3</xdr:col>
                    <xdr:colOff>28575</xdr:colOff>
                    <xdr:row>29</xdr:row>
                    <xdr:rowOff>200025</xdr:rowOff>
                  </from>
                  <to>
                    <xdr:col>3</xdr:col>
                    <xdr:colOff>257175</xdr:colOff>
                    <xdr:row>31</xdr:row>
                    <xdr:rowOff>0</xdr:rowOff>
                  </to>
                </anchor>
              </controlPr>
            </control>
          </mc:Choice>
        </mc:AlternateContent>
        <mc:AlternateContent xmlns:mc="http://schemas.openxmlformats.org/markup-compatibility/2006">
          <mc:Choice Requires="x14">
            <control shapeId="91161" r:id="rId29" name="Check Box 25">
              <controlPr defaultSize="0" autoFill="0" autoLine="0" autoPict="0">
                <anchor moveWithCells="1">
                  <from>
                    <xdr:col>3</xdr:col>
                    <xdr:colOff>28575</xdr:colOff>
                    <xdr:row>32</xdr:row>
                    <xdr:rowOff>0</xdr:rowOff>
                  </from>
                  <to>
                    <xdr:col>3</xdr:col>
                    <xdr:colOff>238125</xdr:colOff>
                    <xdr:row>33</xdr:row>
                    <xdr:rowOff>9525</xdr:rowOff>
                  </to>
                </anchor>
              </controlPr>
            </control>
          </mc:Choice>
        </mc:AlternateContent>
        <mc:AlternateContent xmlns:mc="http://schemas.openxmlformats.org/markup-compatibility/2006">
          <mc:Choice Requires="x14">
            <control shapeId="91162" r:id="rId30" name="Check Box 26">
              <controlPr defaultSize="0" autoFill="0" autoLine="0" autoPict="0">
                <anchor moveWithCells="1">
                  <from>
                    <xdr:col>3</xdr:col>
                    <xdr:colOff>28575</xdr:colOff>
                    <xdr:row>32</xdr:row>
                    <xdr:rowOff>180975</xdr:rowOff>
                  </from>
                  <to>
                    <xdr:col>4</xdr:col>
                    <xdr:colOff>0</xdr:colOff>
                    <xdr:row>34</xdr:row>
                    <xdr:rowOff>28575</xdr:rowOff>
                  </to>
                </anchor>
              </controlPr>
            </control>
          </mc:Choice>
        </mc:AlternateContent>
        <mc:AlternateContent xmlns:mc="http://schemas.openxmlformats.org/markup-compatibility/2006">
          <mc:Choice Requires="x14">
            <control shapeId="91163" r:id="rId31" name="Check Box 27">
              <controlPr defaultSize="0" autoFill="0" autoLine="0" autoPict="0">
                <anchor moveWithCells="1">
                  <from>
                    <xdr:col>3</xdr:col>
                    <xdr:colOff>28575</xdr:colOff>
                    <xdr:row>34</xdr:row>
                    <xdr:rowOff>180975</xdr:rowOff>
                  </from>
                  <to>
                    <xdr:col>4</xdr:col>
                    <xdr:colOff>28575</xdr:colOff>
                    <xdr:row>36</xdr:row>
                    <xdr:rowOff>28575</xdr:rowOff>
                  </to>
                </anchor>
              </controlPr>
            </control>
          </mc:Choice>
        </mc:AlternateContent>
        <mc:AlternateContent xmlns:mc="http://schemas.openxmlformats.org/markup-compatibility/2006">
          <mc:Choice Requires="x14">
            <control shapeId="91164" r:id="rId32" name="Check Box 28">
              <controlPr defaultSize="0" autoFill="0" autoLine="0" autoPict="0">
                <anchor moveWithCells="1">
                  <from>
                    <xdr:col>19</xdr:col>
                    <xdr:colOff>28575</xdr:colOff>
                    <xdr:row>25</xdr:row>
                    <xdr:rowOff>9525</xdr:rowOff>
                  </from>
                  <to>
                    <xdr:col>19</xdr:col>
                    <xdr:colOff>219075</xdr:colOff>
                    <xdr:row>25</xdr:row>
                    <xdr:rowOff>200025</xdr:rowOff>
                  </to>
                </anchor>
              </controlPr>
            </control>
          </mc:Choice>
        </mc:AlternateContent>
        <mc:AlternateContent xmlns:mc="http://schemas.openxmlformats.org/markup-compatibility/2006">
          <mc:Choice Requires="x14">
            <control shapeId="91165" r:id="rId33" name="Check Box 29">
              <controlPr defaultSize="0" autoFill="0" autoLine="0" autoPict="0">
                <anchor moveWithCells="1">
                  <from>
                    <xdr:col>19</xdr:col>
                    <xdr:colOff>28575</xdr:colOff>
                    <xdr:row>27</xdr:row>
                    <xdr:rowOff>219075</xdr:rowOff>
                  </from>
                  <to>
                    <xdr:col>19</xdr:col>
                    <xdr:colOff>257175</xdr:colOff>
                    <xdr:row>29</xdr:row>
                    <xdr:rowOff>9525</xdr:rowOff>
                  </to>
                </anchor>
              </controlPr>
            </control>
          </mc:Choice>
        </mc:AlternateContent>
        <mc:AlternateContent xmlns:mc="http://schemas.openxmlformats.org/markup-compatibility/2006">
          <mc:Choice Requires="x14">
            <control shapeId="91166" r:id="rId34" name="Check Box 30">
              <controlPr defaultSize="0" autoFill="0" autoLine="0" autoPict="0">
                <anchor moveWithCells="1">
                  <from>
                    <xdr:col>19</xdr:col>
                    <xdr:colOff>38100</xdr:colOff>
                    <xdr:row>28</xdr:row>
                    <xdr:rowOff>200025</xdr:rowOff>
                  </from>
                  <to>
                    <xdr:col>20</xdr:col>
                    <xdr:colOff>9525</xdr:colOff>
                    <xdr:row>30</xdr:row>
                    <xdr:rowOff>9525</xdr:rowOff>
                  </to>
                </anchor>
              </controlPr>
            </control>
          </mc:Choice>
        </mc:AlternateContent>
        <mc:AlternateContent xmlns:mc="http://schemas.openxmlformats.org/markup-compatibility/2006">
          <mc:Choice Requires="x14">
            <control shapeId="91167" r:id="rId35" name="Check Box 31">
              <controlPr defaultSize="0" autoFill="0" autoLine="0" autoPict="0">
                <anchor moveWithCells="1">
                  <from>
                    <xdr:col>19</xdr:col>
                    <xdr:colOff>28575</xdr:colOff>
                    <xdr:row>30</xdr:row>
                    <xdr:rowOff>219075</xdr:rowOff>
                  </from>
                  <to>
                    <xdr:col>19</xdr:col>
                    <xdr:colOff>266700</xdr:colOff>
                    <xdr:row>32</xdr:row>
                    <xdr:rowOff>0</xdr:rowOff>
                  </to>
                </anchor>
              </controlPr>
            </control>
          </mc:Choice>
        </mc:AlternateContent>
        <mc:AlternateContent xmlns:mc="http://schemas.openxmlformats.org/markup-compatibility/2006">
          <mc:Choice Requires="x14">
            <control shapeId="91168" r:id="rId36" name="Check Box 32">
              <controlPr defaultSize="0" autoFill="0" autoLine="0" autoPict="0">
                <anchor moveWithCells="1">
                  <from>
                    <xdr:col>19</xdr:col>
                    <xdr:colOff>38100</xdr:colOff>
                    <xdr:row>32</xdr:row>
                    <xdr:rowOff>200025</xdr:rowOff>
                  </from>
                  <to>
                    <xdr:col>20</xdr:col>
                    <xdr:colOff>28575</xdr:colOff>
                    <xdr:row>34</xdr:row>
                    <xdr:rowOff>28575</xdr:rowOff>
                  </to>
                </anchor>
              </controlPr>
            </control>
          </mc:Choice>
        </mc:AlternateContent>
        <mc:AlternateContent xmlns:mc="http://schemas.openxmlformats.org/markup-compatibility/2006">
          <mc:Choice Requires="x14">
            <control shapeId="91169" r:id="rId37" name="Check Box 33">
              <controlPr defaultSize="0" autoFill="0" autoLine="0" autoPict="0">
                <anchor moveWithCells="1">
                  <from>
                    <xdr:col>19</xdr:col>
                    <xdr:colOff>28575</xdr:colOff>
                    <xdr:row>34</xdr:row>
                    <xdr:rowOff>219075</xdr:rowOff>
                  </from>
                  <to>
                    <xdr:col>20</xdr:col>
                    <xdr:colOff>0</xdr:colOff>
                    <xdr:row>36</xdr:row>
                    <xdr:rowOff>9525</xdr:rowOff>
                  </to>
                </anchor>
              </controlPr>
            </control>
          </mc:Choice>
        </mc:AlternateContent>
        <mc:AlternateContent xmlns:mc="http://schemas.openxmlformats.org/markup-compatibility/2006">
          <mc:Choice Requires="x14">
            <control shapeId="91170" r:id="rId38" name="Check Box 34">
              <controlPr defaultSize="0" autoFill="0" autoLine="0" autoPict="0">
                <anchor moveWithCells="1">
                  <from>
                    <xdr:col>19</xdr:col>
                    <xdr:colOff>28575</xdr:colOff>
                    <xdr:row>37</xdr:row>
                    <xdr:rowOff>238125</xdr:rowOff>
                  </from>
                  <to>
                    <xdr:col>20</xdr:col>
                    <xdr:colOff>28575</xdr:colOff>
                    <xdr:row>39</xdr:row>
                    <xdr:rowOff>9525</xdr:rowOff>
                  </to>
                </anchor>
              </controlPr>
            </control>
          </mc:Choice>
        </mc:AlternateContent>
        <mc:AlternateContent xmlns:mc="http://schemas.openxmlformats.org/markup-compatibility/2006">
          <mc:Choice Requires="x14">
            <control shapeId="91171" r:id="rId39" name="Check Box 35">
              <controlPr defaultSize="0" autoFill="0" autoLine="0" autoPict="0">
                <anchor moveWithCells="1">
                  <from>
                    <xdr:col>19</xdr:col>
                    <xdr:colOff>38100</xdr:colOff>
                    <xdr:row>40</xdr:row>
                    <xdr:rowOff>9525</xdr:rowOff>
                  </from>
                  <to>
                    <xdr:col>20</xdr:col>
                    <xdr:colOff>0</xdr:colOff>
                    <xdr:row>40</xdr:row>
                    <xdr:rowOff>200025</xdr:rowOff>
                  </to>
                </anchor>
              </controlPr>
            </control>
          </mc:Choice>
        </mc:AlternateContent>
        <mc:AlternateContent xmlns:mc="http://schemas.openxmlformats.org/markup-compatibility/2006">
          <mc:Choice Requires="x14">
            <control shapeId="91172" r:id="rId40" name="Check Box 36">
              <controlPr defaultSize="0" autoFill="0" autoLine="0" autoPict="0">
                <anchor moveWithCells="1">
                  <from>
                    <xdr:col>6</xdr:col>
                    <xdr:colOff>38100</xdr:colOff>
                    <xdr:row>44</xdr:row>
                    <xdr:rowOff>38100</xdr:rowOff>
                  </from>
                  <to>
                    <xdr:col>6</xdr:col>
                    <xdr:colOff>266700</xdr:colOff>
                    <xdr:row>44</xdr:row>
                    <xdr:rowOff>228600</xdr:rowOff>
                  </to>
                </anchor>
              </controlPr>
            </control>
          </mc:Choice>
        </mc:AlternateContent>
        <mc:AlternateContent xmlns:mc="http://schemas.openxmlformats.org/markup-compatibility/2006">
          <mc:Choice Requires="x14">
            <control shapeId="91173" r:id="rId41" name="Check Box 37">
              <controlPr defaultSize="0" autoFill="0" autoLine="0" autoPict="0">
                <anchor moveWithCells="1">
                  <from>
                    <xdr:col>11</xdr:col>
                    <xdr:colOff>38100</xdr:colOff>
                    <xdr:row>44</xdr:row>
                    <xdr:rowOff>28575</xdr:rowOff>
                  </from>
                  <to>
                    <xdr:col>11</xdr:col>
                    <xdr:colOff>238125</xdr:colOff>
                    <xdr:row>44</xdr:row>
                    <xdr:rowOff>219075</xdr:rowOff>
                  </to>
                </anchor>
              </controlPr>
            </control>
          </mc:Choice>
        </mc:AlternateContent>
        <mc:AlternateContent xmlns:mc="http://schemas.openxmlformats.org/markup-compatibility/2006">
          <mc:Choice Requires="x14">
            <control shapeId="91174" r:id="rId42" name="Check Box 38">
              <controlPr defaultSize="0" autoFill="0" autoLine="0" autoPict="0">
                <anchor moveWithCells="1">
                  <from>
                    <xdr:col>17</xdr:col>
                    <xdr:colOff>38100</xdr:colOff>
                    <xdr:row>44</xdr:row>
                    <xdr:rowOff>28575</xdr:rowOff>
                  </from>
                  <to>
                    <xdr:col>18</xdr:col>
                    <xdr:colOff>0</xdr:colOff>
                    <xdr:row>44</xdr:row>
                    <xdr:rowOff>219075</xdr:rowOff>
                  </to>
                </anchor>
              </controlPr>
            </control>
          </mc:Choice>
        </mc:AlternateContent>
        <mc:AlternateContent xmlns:mc="http://schemas.openxmlformats.org/markup-compatibility/2006">
          <mc:Choice Requires="x14">
            <control shapeId="91175" r:id="rId43" name="Check Box 39">
              <controlPr defaultSize="0" autoFill="0" autoLine="0" autoPict="0">
                <anchor moveWithCells="1">
                  <from>
                    <xdr:col>22</xdr:col>
                    <xdr:colOff>28575</xdr:colOff>
                    <xdr:row>44</xdr:row>
                    <xdr:rowOff>9525</xdr:rowOff>
                  </from>
                  <to>
                    <xdr:col>22</xdr:col>
                    <xdr:colOff>266700</xdr:colOff>
                    <xdr:row>44</xdr:row>
                    <xdr:rowOff>238125</xdr:rowOff>
                  </to>
                </anchor>
              </controlPr>
            </control>
          </mc:Choice>
        </mc:AlternateContent>
        <mc:AlternateContent xmlns:mc="http://schemas.openxmlformats.org/markup-compatibility/2006">
          <mc:Choice Requires="x14">
            <control shapeId="91176" r:id="rId44" name="Check Box 40">
              <controlPr defaultSize="0" autoFill="0" autoLine="0" autoPict="0">
                <anchor moveWithCells="1">
                  <from>
                    <xdr:col>27</xdr:col>
                    <xdr:colOff>38100</xdr:colOff>
                    <xdr:row>44</xdr:row>
                    <xdr:rowOff>9525</xdr:rowOff>
                  </from>
                  <to>
                    <xdr:col>27</xdr:col>
                    <xdr:colOff>228600</xdr:colOff>
                    <xdr:row>44</xdr:row>
                    <xdr:rowOff>238125</xdr:rowOff>
                  </to>
                </anchor>
              </controlPr>
            </control>
          </mc:Choice>
        </mc:AlternateContent>
        <mc:AlternateContent xmlns:mc="http://schemas.openxmlformats.org/markup-compatibility/2006">
          <mc:Choice Requires="x14">
            <control shapeId="91177" r:id="rId45" name="Check Box 41">
              <controlPr defaultSize="0" autoFill="0" autoLine="0" autoPict="0">
                <anchor moveWithCells="1">
                  <from>
                    <xdr:col>3</xdr:col>
                    <xdr:colOff>38100</xdr:colOff>
                    <xdr:row>44</xdr:row>
                    <xdr:rowOff>238125</xdr:rowOff>
                  </from>
                  <to>
                    <xdr:col>3</xdr:col>
                    <xdr:colOff>257175</xdr:colOff>
                    <xdr:row>46</xdr:row>
                    <xdr:rowOff>9525</xdr:rowOff>
                  </to>
                </anchor>
              </controlPr>
            </control>
          </mc:Choice>
        </mc:AlternateContent>
        <mc:AlternateContent xmlns:mc="http://schemas.openxmlformats.org/markup-compatibility/2006">
          <mc:Choice Requires="x14">
            <control shapeId="91178" r:id="rId46" name="Check Box 42">
              <controlPr defaultSize="0" autoFill="0" autoLine="0" autoPict="0">
                <anchor moveWithCells="1">
                  <from>
                    <xdr:col>3</xdr:col>
                    <xdr:colOff>28575</xdr:colOff>
                    <xdr:row>46</xdr:row>
                    <xdr:rowOff>180975</xdr:rowOff>
                  </from>
                  <to>
                    <xdr:col>3</xdr:col>
                    <xdr:colOff>257175</xdr:colOff>
                    <xdr:row>48</xdr:row>
                    <xdr:rowOff>28575</xdr:rowOff>
                  </to>
                </anchor>
              </controlPr>
            </control>
          </mc:Choice>
        </mc:AlternateContent>
        <mc:AlternateContent xmlns:mc="http://schemas.openxmlformats.org/markup-compatibility/2006">
          <mc:Choice Requires="x14">
            <control shapeId="91179" r:id="rId47" name="Check Box 43">
              <controlPr defaultSize="0" autoFill="0" autoLine="0" autoPict="0">
                <anchor moveWithCells="1">
                  <from>
                    <xdr:col>3</xdr:col>
                    <xdr:colOff>38100</xdr:colOff>
                    <xdr:row>49</xdr:row>
                    <xdr:rowOff>28575</xdr:rowOff>
                  </from>
                  <to>
                    <xdr:col>3</xdr:col>
                    <xdr:colOff>257175</xdr:colOff>
                    <xdr:row>49</xdr:row>
                    <xdr:rowOff>228600</xdr:rowOff>
                  </to>
                </anchor>
              </controlPr>
            </control>
          </mc:Choice>
        </mc:AlternateContent>
        <mc:AlternateContent xmlns:mc="http://schemas.openxmlformats.org/markup-compatibility/2006">
          <mc:Choice Requires="x14">
            <control shapeId="91180" r:id="rId48" name="Check Box 44">
              <controlPr defaultSize="0" autoFill="0" autoLine="0" autoPict="0">
                <anchor moveWithCells="1">
                  <from>
                    <xdr:col>3</xdr:col>
                    <xdr:colOff>38100</xdr:colOff>
                    <xdr:row>50</xdr:row>
                    <xdr:rowOff>38100</xdr:rowOff>
                  </from>
                  <to>
                    <xdr:col>4</xdr:col>
                    <xdr:colOff>9525</xdr:colOff>
                    <xdr:row>50</xdr:row>
                    <xdr:rowOff>228600</xdr:rowOff>
                  </to>
                </anchor>
              </controlPr>
            </control>
          </mc:Choice>
        </mc:AlternateContent>
        <mc:AlternateContent xmlns:mc="http://schemas.openxmlformats.org/markup-compatibility/2006">
          <mc:Choice Requires="x14">
            <control shapeId="91181" r:id="rId49" name="Check Box 45">
              <controlPr defaultSize="0" autoFill="0" autoLine="0" autoPict="0">
                <anchor moveWithCells="1">
                  <from>
                    <xdr:col>3</xdr:col>
                    <xdr:colOff>28575</xdr:colOff>
                    <xdr:row>51</xdr:row>
                    <xdr:rowOff>28575</xdr:rowOff>
                  </from>
                  <to>
                    <xdr:col>3</xdr:col>
                    <xdr:colOff>257175</xdr:colOff>
                    <xdr:row>51</xdr:row>
                    <xdr:rowOff>257175</xdr:rowOff>
                  </to>
                </anchor>
              </controlPr>
            </control>
          </mc:Choice>
        </mc:AlternateContent>
        <mc:AlternateContent xmlns:mc="http://schemas.openxmlformats.org/markup-compatibility/2006">
          <mc:Choice Requires="x14">
            <control shapeId="91182" r:id="rId50" name="Check Box 46">
              <controlPr defaultSize="0" autoFill="0" autoLine="0" autoPict="0">
                <anchor moveWithCells="1">
                  <from>
                    <xdr:col>3</xdr:col>
                    <xdr:colOff>28575</xdr:colOff>
                    <xdr:row>52</xdr:row>
                    <xdr:rowOff>38100</xdr:rowOff>
                  </from>
                  <to>
                    <xdr:col>3</xdr:col>
                    <xdr:colOff>257175</xdr:colOff>
                    <xdr:row>52</xdr:row>
                    <xdr:rowOff>238125</xdr:rowOff>
                  </to>
                </anchor>
              </controlPr>
            </control>
          </mc:Choice>
        </mc:AlternateContent>
        <mc:AlternateContent xmlns:mc="http://schemas.openxmlformats.org/markup-compatibility/2006">
          <mc:Choice Requires="x14">
            <control shapeId="91183" r:id="rId51" name="Check Box 47">
              <controlPr defaultSize="0" autoFill="0" autoLine="0" autoPict="0">
                <anchor moveWithCells="1">
                  <from>
                    <xdr:col>3</xdr:col>
                    <xdr:colOff>28575</xdr:colOff>
                    <xdr:row>53</xdr:row>
                    <xdr:rowOff>28575</xdr:rowOff>
                  </from>
                  <to>
                    <xdr:col>4</xdr:col>
                    <xdr:colOff>9525</xdr:colOff>
                    <xdr:row>53</xdr:row>
                    <xdr:rowOff>257175</xdr:rowOff>
                  </to>
                </anchor>
              </controlPr>
            </control>
          </mc:Choice>
        </mc:AlternateContent>
        <mc:AlternateContent xmlns:mc="http://schemas.openxmlformats.org/markup-compatibility/2006">
          <mc:Choice Requires="x14">
            <control shapeId="91184" r:id="rId52" name="Check Box 48">
              <controlPr defaultSize="0" autoFill="0" autoLine="0" autoPict="0">
                <anchor moveWithCells="1">
                  <from>
                    <xdr:col>3</xdr:col>
                    <xdr:colOff>28575</xdr:colOff>
                    <xdr:row>38</xdr:row>
                    <xdr:rowOff>28575</xdr:rowOff>
                  </from>
                  <to>
                    <xdr:col>3</xdr:col>
                    <xdr:colOff>219075</xdr:colOff>
                    <xdr:row>38</xdr:row>
                    <xdr:rowOff>200025</xdr:rowOff>
                  </to>
                </anchor>
              </controlPr>
            </control>
          </mc:Choice>
        </mc:AlternateContent>
        <mc:AlternateContent xmlns:mc="http://schemas.openxmlformats.org/markup-compatibility/2006">
          <mc:Choice Requires="x14">
            <control shapeId="91185" r:id="rId53" name="Check Box 49">
              <controlPr defaultSize="0" autoFill="0" autoLine="0" autoPict="0">
                <anchor moveWithCells="1">
                  <from>
                    <xdr:col>3</xdr:col>
                    <xdr:colOff>28575</xdr:colOff>
                    <xdr:row>40</xdr:row>
                    <xdr:rowOff>200025</xdr:rowOff>
                  </from>
                  <to>
                    <xdr:col>3</xdr:col>
                    <xdr:colOff>238125</xdr:colOff>
                    <xdr:row>42</xdr:row>
                    <xdr:rowOff>9525</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3FF3F-CE2E-4B61-9DF6-F50E466B8771}">
  <sheetPr codeName="Sheet54">
    <tabColor rgb="FFFFFF00"/>
    <pageSetUpPr fitToPage="1"/>
  </sheetPr>
  <dimension ref="A1:BB87"/>
  <sheetViews>
    <sheetView showGridLines="0" zoomScaleNormal="100" zoomScaleSheetLayoutView="100" workbookViewId="0">
      <selection sqref="A1:AS77"/>
    </sheetView>
  </sheetViews>
  <sheetFormatPr defaultColWidth="8" defaultRowHeight="15.75"/>
  <cols>
    <col min="1" max="1" width="2.125" style="176" customWidth="1"/>
    <col min="2" max="3" width="3.625" style="176" customWidth="1"/>
    <col min="4" max="37" width="3.625" style="175" customWidth="1"/>
    <col min="38" max="41" width="3.625" style="176" customWidth="1"/>
    <col min="42" max="42" width="2.125" style="176" customWidth="1"/>
    <col min="43" max="174" width="3.625" style="176" customWidth="1"/>
    <col min="175" max="16384" width="8" style="176"/>
  </cols>
  <sheetData>
    <row r="1" spans="1:54" ht="12" customHeight="1">
      <c r="A1" s="1262"/>
      <c r="B1" s="1262"/>
      <c r="C1" s="1262"/>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3"/>
      <c r="AF1" s="1263"/>
      <c r="AG1" s="1263"/>
      <c r="AH1" s="1263"/>
      <c r="AI1" s="1263"/>
      <c r="AJ1" s="1263"/>
      <c r="AK1" s="1263"/>
      <c r="AL1" s="1262"/>
      <c r="AM1" s="1262"/>
      <c r="AN1" s="1262"/>
      <c r="AO1" s="1262"/>
      <c r="AP1" s="1262"/>
      <c r="AQ1" s="1262"/>
      <c r="AR1" s="1262"/>
      <c r="AS1" s="1262"/>
      <c r="AT1" s="1262"/>
      <c r="AU1" s="1262"/>
      <c r="AV1" s="1262"/>
      <c r="AW1" s="1262"/>
      <c r="AX1" s="1262"/>
      <c r="AY1" s="1262"/>
      <c r="AZ1" s="1262"/>
      <c r="BA1" s="1262"/>
      <c r="BB1" s="1262"/>
    </row>
    <row r="2" spans="1:54" ht="17.25" thickBot="1">
      <c r="A2" s="1262"/>
      <c r="B2" s="1262"/>
      <c r="C2" s="1262"/>
      <c r="D2" s="1264" t="s">
        <v>1545</v>
      </c>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c r="AS2" s="1262"/>
      <c r="AT2" s="1262"/>
      <c r="AU2" s="1262"/>
      <c r="AV2" s="1262"/>
      <c r="AW2" s="1262"/>
      <c r="AX2" s="1262"/>
      <c r="AY2" s="1262"/>
      <c r="AZ2" s="1262"/>
      <c r="BA2" s="1262"/>
      <c r="BB2" s="1262"/>
    </row>
    <row r="3" spans="1:54" ht="5.0999999999999996" customHeight="1" thickTop="1">
      <c r="A3" s="1262"/>
      <c r="B3" s="1262"/>
      <c r="C3" s="1262"/>
      <c r="D3" s="1266"/>
      <c r="E3" s="1267"/>
      <c r="F3" s="1267"/>
      <c r="G3" s="1267"/>
      <c r="H3" s="1267"/>
      <c r="I3" s="1267"/>
      <c r="J3" s="1267"/>
      <c r="K3" s="1267"/>
      <c r="L3" s="1267"/>
      <c r="M3" s="1267"/>
      <c r="N3" s="1267"/>
      <c r="O3" s="1267"/>
      <c r="P3" s="1267"/>
      <c r="Q3" s="1267"/>
      <c r="R3" s="1267"/>
      <c r="S3" s="1267"/>
      <c r="T3" s="1267"/>
      <c r="U3" s="1267"/>
      <c r="V3" s="1267"/>
      <c r="W3" s="1267"/>
      <c r="X3" s="1267"/>
      <c r="Y3" s="1267"/>
      <c r="Z3" s="1267"/>
      <c r="AA3" s="1267"/>
      <c r="AB3" s="1267"/>
      <c r="AC3" s="1267"/>
      <c r="AD3" s="1267"/>
      <c r="AE3" s="1267"/>
      <c r="AF3" s="1267"/>
      <c r="AG3" s="1267"/>
      <c r="AH3" s="1267"/>
      <c r="AI3" s="1267"/>
      <c r="AJ3" s="1267"/>
      <c r="AK3" s="1267"/>
      <c r="AL3" s="1267"/>
      <c r="AM3" s="1268"/>
      <c r="AN3" s="1327"/>
      <c r="AO3" s="1327"/>
      <c r="AP3" s="1262"/>
      <c r="AQ3" s="1262"/>
      <c r="AR3" s="1262"/>
      <c r="AS3" s="1262"/>
      <c r="AT3" s="1262"/>
      <c r="AU3" s="1262"/>
      <c r="AV3" s="1262"/>
      <c r="AW3" s="1262"/>
      <c r="AX3" s="1262"/>
      <c r="AY3" s="1262"/>
      <c r="AZ3" s="1262"/>
      <c r="BA3" s="1262"/>
      <c r="BB3" s="1262"/>
    </row>
    <row r="4" spans="1:54" s="177" customFormat="1" ht="24.75" customHeight="1">
      <c r="A4" s="1319"/>
      <c r="B4" s="1319"/>
      <c r="C4" s="1319"/>
      <c r="D4" s="1320"/>
      <c r="E4" s="1326" t="s">
        <v>47</v>
      </c>
      <c r="F4" s="1340" t="b">
        <v>1</v>
      </c>
      <c r="G4" s="3708" t="s">
        <v>1546</v>
      </c>
      <c r="H4" s="3708"/>
      <c r="I4" s="3708"/>
      <c r="J4" s="3708"/>
      <c r="K4" s="3708"/>
      <c r="L4" s="3708"/>
      <c r="M4" s="3708"/>
      <c r="N4" s="3708"/>
      <c r="O4" s="3708"/>
      <c r="P4" s="3708"/>
      <c r="Q4" s="3708"/>
      <c r="R4" s="3708"/>
      <c r="S4" s="3708"/>
      <c r="T4" s="3708"/>
      <c r="U4" s="3708"/>
      <c r="V4" s="3708"/>
      <c r="W4" s="3708"/>
      <c r="X4" s="3708"/>
      <c r="Y4" s="3708"/>
      <c r="Z4" s="3708"/>
      <c r="AA4" s="3708"/>
      <c r="AB4" s="3708"/>
      <c r="AC4" s="3708"/>
      <c r="AD4" s="3708"/>
      <c r="AE4" s="3708"/>
      <c r="AF4" s="3708"/>
      <c r="AG4" s="3708"/>
      <c r="AH4" s="3708"/>
      <c r="AI4" s="3708"/>
      <c r="AJ4" s="3708"/>
      <c r="AK4" s="3708"/>
      <c r="AL4" s="1322"/>
      <c r="AM4" s="1323"/>
      <c r="AN4" s="1322"/>
      <c r="AO4" s="1322"/>
      <c r="AP4" s="1322"/>
      <c r="AQ4" s="1322"/>
      <c r="AR4" s="1322"/>
      <c r="AS4" s="1322"/>
      <c r="AT4" s="1322"/>
      <c r="AU4" s="1322"/>
      <c r="AV4" s="1322"/>
      <c r="AW4" s="1322"/>
      <c r="AX4" s="1322"/>
      <c r="AY4" s="1319"/>
      <c r="AZ4" s="1319"/>
      <c r="BA4" s="1319"/>
      <c r="BB4" s="1319"/>
    </row>
    <row r="5" spans="1:54" s="177" customFormat="1" ht="15.95" customHeight="1">
      <c r="A5" s="1319"/>
      <c r="B5" s="1319"/>
      <c r="C5" s="1319"/>
      <c r="D5" s="1320"/>
      <c r="E5" s="1301" t="s">
        <v>48</v>
      </c>
      <c r="F5" s="1340" t="b">
        <v>1</v>
      </c>
      <c r="G5" s="3676" t="s">
        <v>1882</v>
      </c>
      <c r="H5" s="3676"/>
      <c r="I5" s="3676"/>
      <c r="J5" s="3676"/>
      <c r="K5" s="3676"/>
      <c r="L5" s="3676"/>
      <c r="M5" s="3676"/>
      <c r="N5" s="3676"/>
      <c r="O5" s="3676"/>
      <c r="P5" s="3676"/>
      <c r="Q5" s="3676"/>
      <c r="R5" s="3676"/>
      <c r="S5" s="3676"/>
      <c r="T5" s="3676"/>
      <c r="U5" s="3676"/>
      <c r="V5" s="3676"/>
      <c r="W5" s="3676"/>
      <c r="X5" s="3676"/>
      <c r="Y5" s="3676"/>
      <c r="Z5" s="3676"/>
      <c r="AA5" s="3676"/>
      <c r="AB5" s="3676"/>
      <c r="AC5" s="3676"/>
      <c r="AD5" s="3676"/>
      <c r="AE5" s="3676"/>
      <c r="AF5" s="3676"/>
      <c r="AG5" s="3676"/>
      <c r="AH5" s="3676"/>
      <c r="AI5" s="3676"/>
      <c r="AJ5" s="3676"/>
      <c r="AK5" s="3676"/>
      <c r="AL5" s="1322"/>
      <c r="AM5" s="1323"/>
      <c r="AN5" s="1322"/>
      <c r="AO5" s="1322"/>
      <c r="AP5" s="1322"/>
      <c r="AQ5" s="1322"/>
      <c r="AR5" s="1322"/>
      <c r="AS5" s="1322"/>
      <c r="AT5" s="1322"/>
      <c r="AU5" s="1322"/>
      <c r="AV5" s="1322"/>
      <c r="AW5" s="1322"/>
      <c r="AX5" s="1322"/>
      <c r="AY5" s="1319"/>
      <c r="AZ5" s="1319"/>
      <c r="BA5" s="1319"/>
      <c r="BB5" s="1319"/>
    </row>
    <row r="6" spans="1:54" s="177" customFormat="1" ht="15.95" customHeight="1">
      <c r="A6" s="1319"/>
      <c r="B6" s="1319"/>
      <c r="C6" s="1319"/>
      <c r="D6" s="1320"/>
      <c r="E6" s="1301"/>
      <c r="F6" s="1341"/>
      <c r="G6" s="3676"/>
      <c r="H6" s="3676"/>
      <c r="I6" s="3676"/>
      <c r="J6" s="3676"/>
      <c r="K6" s="3676"/>
      <c r="L6" s="3676"/>
      <c r="M6" s="3676"/>
      <c r="N6" s="3676"/>
      <c r="O6" s="3676"/>
      <c r="P6" s="3676"/>
      <c r="Q6" s="3676"/>
      <c r="R6" s="3676"/>
      <c r="S6" s="3676"/>
      <c r="T6" s="3676"/>
      <c r="U6" s="3676"/>
      <c r="V6" s="3676"/>
      <c r="W6" s="3676"/>
      <c r="X6" s="3676"/>
      <c r="Y6" s="3676"/>
      <c r="Z6" s="3676"/>
      <c r="AA6" s="3676"/>
      <c r="AB6" s="3676"/>
      <c r="AC6" s="3676"/>
      <c r="AD6" s="3676"/>
      <c r="AE6" s="3676"/>
      <c r="AF6" s="3676"/>
      <c r="AG6" s="3676"/>
      <c r="AH6" s="3676"/>
      <c r="AI6" s="3676"/>
      <c r="AJ6" s="3676"/>
      <c r="AK6" s="3676"/>
      <c r="AL6" s="1322"/>
      <c r="AM6" s="1323"/>
      <c r="AN6" s="1322"/>
      <c r="AO6" s="1322"/>
      <c r="AP6" s="1322"/>
      <c r="AQ6" s="1322"/>
      <c r="AR6" s="1322"/>
      <c r="AS6" s="1322"/>
      <c r="AT6" s="1322"/>
      <c r="AU6" s="1322"/>
      <c r="AV6" s="1322"/>
      <c r="AW6" s="1322"/>
      <c r="AX6" s="1322"/>
      <c r="AY6" s="1319"/>
      <c r="AZ6" s="1319"/>
      <c r="BA6" s="1319"/>
      <c r="BB6" s="1319"/>
    </row>
    <row r="7" spans="1:54" s="177" customFormat="1" ht="24.75" customHeight="1">
      <c r="A7" s="1319"/>
      <c r="B7" s="1319"/>
      <c r="C7" s="1319"/>
      <c r="D7" s="1320"/>
      <c r="E7" s="1326" t="s">
        <v>49</v>
      </c>
      <c r="F7" s="1340" t="b">
        <v>0</v>
      </c>
      <c r="G7" s="3708" t="s">
        <v>1547</v>
      </c>
      <c r="H7" s="3708"/>
      <c r="I7" s="3708"/>
      <c r="J7" s="3708"/>
      <c r="K7" s="3708"/>
      <c r="L7" s="3708"/>
      <c r="M7" s="3708"/>
      <c r="N7" s="3708"/>
      <c r="O7" s="3708"/>
      <c r="P7" s="3708"/>
      <c r="Q7" s="3708"/>
      <c r="R7" s="3708"/>
      <c r="S7" s="3708"/>
      <c r="T7" s="3708"/>
      <c r="U7" s="3708"/>
      <c r="V7" s="3708"/>
      <c r="W7" s="3708"/>
      <c r="X7" s="3708"/>
      <c r="Y7" s="3708"/>
      <c r="Z7" s="3708"/>
      <c r="AA7" s="3708"/>
      <c r="AB7" s="3708"/>
      <c r="AC7" s="3708"/>
      <c r="AD7" s="3708"/>
      <c r="AE7" s="3708"/>
      <c r="AF7" s="3708"/>
      <c r="AG7" s="3708"/>
      <c r="AH7" s="3708"/>
      <c r="AI7" s="3708"/>
      <c r="AJ7" s="3708"/>
      <c r="AK7" s="3708"/>
      <c r="AL7" s="1322"/>
      <c r="AM7" s="1323"/>
      <c r="AN7" s="1322"/>
      <c r="AO7" s="1322"/>
      <c r="AP7" s="1322"/>
      <c r="AQ7" s="1322"/>
      <c r="AR7" s="1322"/>
      <c r="AS7" s="1322"/>
      <c r="AT7" s="1322"/>
      <c r="AU7" s="1322"/>
      <c r="AV7" s="1322"/>
      <c r="AW7" s="1322"/>
      <c r="AX7" s="1322"/>
      <c r="AY7" s="1319"/>
      <c r="AZ7" s="1319"/>
      <c r="BA7" s="1319"/>
      <c r="BB7" s="1319"/>
    </row>
    <row r="8" spans="1:54" ht="15.6" customHeight="1">
      <c r="A8" s="1262"/>
      <c r="B8" s="1262"/>
      <c r="C8" s="1262"/>
      <c r="D8" s="1269"/>
      <c r="E8" s="1301" t="s">
        <v>50</v>
      </c>
      <c r="F8" s="3638" t="s">
        <v>1548</v>
      </c>
      <c r="G8" s="3638"/>
      <c r="H8" s="3638"/>
      <c r="I8" s="3638"/>
      <c r="J8" s="3638"/>
      <c r="K8" s="3638"/>
      <c r="L8" s="3638"/>
      <c r="M8" s="3638"/>
      <c r="N8" s="3638"/>
      <c r="O8" s="3638"/>
      <c r="P8" s="3638"/>
      <c r="Q8" s="3638"/>
      <c r="R8" s="3638"/>
      <c r="S8" s="3638"/>
      <c r="T8" s="3638"/>
      <c r="U8" s="3638"/>
      <c r="V8" s="3638"/>
      <c r="W8" s="3638"/>
      <c r="X8" s="3638"/>
      <c r="Y8" s="3638"/>
      <c r="Z8" s="3638"/>
      <c r="AA8" s="3638"/>
      <c r="AB8" s="3638"/>
      <c r="AC8" s="3638"/>
      <c r="AD8" s="3638"/>
      <c r="AE8" s="3638"/>
      <c r="AF8" s="3638"/>
      <c r="AG8" s="3638"/>
      <c r="AH8" s="3638"/>
      <c r="AI8" s="3638"/>
      <c r="AJ8" s="3638"/>
      <c r="AK8" s="3638"/>
      <c r="AL8" s="1262"/>
      <c r="AM8" s="1292"/>
      <c r="AN8" s="1262"/>
      <c r="AO8" s="1262"/>
      <c r="AP8" s="1262"/>
      <c r="AQ8" s="1262"/>
      <c r="AR8" s="1262"/>
      <c r="AS8" s="1262"/>
      <c r="AT8" s="1262"/>
      <c r="AU8" s="1262"/>
      <c r="AV8" s="1262"/>
      <c r="AW8" s="1262"/>
      <c r="AX8" s="1262"/>
      <c r="AY8" s="1262"/>
      <c r="AZ8" s="1262"/>
      <c r="BA8" s="1262"/>
      <c r="BB8" s="1262"/>
    </row>
    <row r="9" spans="1:54" ht="5.0999999999999996" customHeight="1" thickBot="1">
      <c r="A9" s="1262"/>
      <c r="B9" s="1262"/>
      <c r="C9" s="1262"/>
      <c r="D9" s="1303"/>
      <c r="E9" s="1327"/>
      <c r="F9" s="1327"/>
      <c r="G9" s="1327"/>
      <c r="H9" s="1327"/>
      <c r="I9" s="1327"/>
      <c r="J9" s="1327"/>
      <c r="K9" s="1327"/>
      <c r="L9" s="1327"/>
      <c r="M9" s="1327"/>
      <c r="N9" s="1327"/>
      <c r="O9" s="1327"/>
      <c r="P9" s="1327"/>
      <c r="Q9" s="1327"/>
      <c r="R9" s="1327"/>
      <c r="S9" s="1327"/>
      <c r="T9" s="1327"/>
      <c r="U9" s="1327"/>
      <c r="V9" s="1327"/>
      <c r="W9" s="1327"/>
      <c r="X9" s="1327"/>
      <c r="Y9" s="1327"/>
      <c r="Z9" s="1327"/>
      <c r="AA9" s="1327"/>
      <c r="AB9" s="1327"/>
      <c r="AC9" s="1327"/>
      <c r="AD9" s="1327"/>
      <c r="AE9" s="1327"/>
      <c r="AF9" s="1327"/>
      <c r="AG9" s="1327"/>
      <c r="AH9" s="1327"/>
      <c r="AI9" s="1327"/>
      <c r="AJ9" s="1327"/>
      <c r="AK9" s="1327"/>
      <c r="AL9" s="1262"/>
      <c r="AM9" s="1292"/>
      <c r="AN9" s="1262"/>
      <c r="AO9" s="1262"/>
      <c r="AP9" s="1262"/>
      <c r="AQ9" s="1262"/>
      <c r="AR9" s="1262"/>
      <c r="AS9" s="1262"/>
      <c r="AT9" s="1262"/>
      <c r="AU9" s="1262"/>
      <c r="AV9" s="1262"/>
      <c r="AW9" s="1262"/>
      <c r="AX9" s="1262"/>
      <c r="AY9" s="1262"/>
      <c r="AZ9" s="1262"/>
      <c r="BA9" s="1262"/>
      <c r="BB9" s="1262"/>
    </row>
    <row r="10" spans="1:54" s="175" customFormat="1" ht="35.1" customHeight="1" thickTop="1" thickBot="1">
      <c r="A10" s="1263"/>
      <c r="B10" s="1263"/>
      <c r="C10" s="1263"/>
      <c r="D10" s="1303"/>
      <c r="E10" s="1304"/>
      <c r="F10" s="1370" t="s">
        <v>1883</v>
      </c>
      <c r="G10" s="3830" t="s">
        <v>1884</v>
      </c>
      <c r="H10" s="3830"/>
      <c r="I10" s="3830"/>
      <c r="J10" s="3830"/>
      <c r="K10" s="3830"/>
      <c r="L10" s="3830"/>
      <c r="M10" s="3830"/>
      <c r="N10" s="3654" t="s">
        <v>482</v>
      </c>
      <c r="O10" s="3655"/>
      <c r="P10" s="3657"/>
      <c r="Q10" s="3655" t="s">
        <v>911</v>
      </c>
      <c r="R10" s="3655"/>
      <c r="S10" s="3658"/>
      <c r="T10" s="1333"/>
      <c r="U10" s="1333"/>
      <c r="V10" s="1333"/>
      <c r="W10" s="1333"/>
      <c r="X10" s="1370" t="s">
        <v>1885</v>
      </c>
      <c r="Y10" s="3830" t="s">
        <v>1886</v>
      </c>
      <c r="Z10" s="3830"/>
      <c r="AA10" s="3830"/>
      <c r="AB10" s="3830"/>
      <c r="AC10" s="3830"/>
      <c r="AD10" s="3830"/>
      <c r="AE10" s="3830"/>
      <c r="AF10" s="3654" t="s">
        <v>482</v>
      </c>
      <c r="AG10" s="3655"/>
      <c r="AH10" s="3657"/>
      <c r="AI10" s="3655" t="s">
        <v>911</v>
      </c>
      <c r="AJ10" s="3655"/>
      <c r="AK10" s="3658"/>
      <c r="AL10" s="1263"/>
      <c r="AM10" s="1284"/>
      <c r="AN10" s="1263"/>
      <c r="AO10" s="1263"/>
      <c r="AP10" s="1263"/>
      <c r="AQ10" s="1263"/>
      <c r="AR10" s="1263"/>
      <c r="AS10" s="1263"/>
      <c r="AT10" s="1263"/>
      <c r="AU10" s="1263"/>
      <c r="AV10" s="1263"/>
      <c r="AW10" s="1263"/>
      <c r="AX10" s="1263"/>
      <c r="AY10" s="1263"/>
      <c r="AZ10" s="1263"/>
      <c r="BA10" s="1263"/>
      <c r="BB10" s="1263"/>
    </row>
    <row r="11" spans="1:54" s="175" customFormat="1" ht="19.5" customHeight="1" thickTop="1">
      <c r="A11" s="1263"/>
      <c r="B11" s="1263"/>
      <c r="C11" s="1263"/>
      <c r="D11" s="1303"/>
      <c r="E11" s="1304"/>
      <c r="F11" s="3748" t="s">
        <v>1549</v>
      </c>
      <c r="G11" s="3749"/>
      <c r="H11" s="3749"/>
      <c r="I11" s="3749"/>
      <c r="J11" s="3749"/>
      <c r="K11" s="3749"/>
      <c r="L11" s="3749"/>
      <c r="M11" s="3749"/>
      <c r="N11" s="3826">
        <v>0</v>
      </c>
      <c r="O11" s="3827"/>
      <c r="P11" s="3828"/>
      <c r="Q11" s="3827">
        <v>0</v>
      </c>
      <c r="R11" s="3827"/>
      <c r="S11" s="3829"/>
      <c r="T11" s="1342"/>
      <c r="U11" s="1342"/>
      <c r="V11" s="1342"/>
      <c r="W11" s="1333"/>
      <c r="X11" s="3748" t="s">
        <v>1565</v>
      </c>
      <c r="Y11" s="3749"/>
      <c r="Z11" s="3749"/>
      <c r="AA11" s="3749"/>
      <c r="AB11" s="3749"/>
      <c r="AC11" s="3749"/>
      <c r="AD11" s="3749"/>
      <c r="AE11" s="3749"/>
      <c r="AF11" s="3826">
        <v>0</v>
      </c>
      <c r="AG11" s="3827"/>
      <c r="AH11" s="3828"/>
      <c r="AI11" s="3827">
        <v>0</v>
      </c>
      <c r="AJ11" s="3827"/>
      <c r="AK11" s="3829"/>
      <c r="AL11" s="1263"/>
      <c r="AM11" s="1284"/>
      <c r="AN11" s="1263"/>
      <c r="AO11" s="1263"/>
      <c r="AP11" s="1263"/>
      <c r="AQ11" s="1263"/>
      <c r="AR11" s="1263"/>
      <c r="AS11" s="1263"/>
      <c r="AT11" s="1263"/>
      <c r="AU11" s="1263"/>
      <c r="AV11" s="1263"/>
      <c r="AW11" s="1263"/>
      <c r="AX11" s="1263"/>
      <c r="AY11" s="1263"/>
      <c r="AZ11" s="1263"/>
      <c r="BA11" s="1263"/>
      <c r="BB11" s="1263"/>
    </row>
    <row r="12" spans="1:54" s="175" customFormat="1" ht="19.5" customHeight="1">
      <c r="A12" s="1263"/>
      <c r="B12" s="1263"/>
      <c r="C12" s="1263"/>
      <c r="D12" s="1273"/>
      <c r="E12" s="1274"/>
      <c r="F12" s="3819" t="s">
        <v>1550</v>
      </c>
      <c r="G12" s="3820"/>
      <c r="H12" s="3820"/>
      <c r="I12" s="3820"/>
      <c r="J12" s="3820"/>
      <c r="K12" s="3820"/>
      <c r="L12" s="3820"/>
      <c r="M12" s="3820"/>
      <c r="N12" s="3821">
        <v>0</v>
      </c>
      <c r="O12" s="3822"/>
      <c r="P12" s="3823"/>
      <c r="Q12" s="3822">
        <v>0</v>
      </c>
      <c r="R12" s="3822"/>
      <c r="S12" s="3824"/>
      <c r="T12" s="1335"/>
      <c r="U12" s="1335"/>
      <c r="V12" s="1335"/>
      <c r="W12" s="1333"/>
      <c r="X12" s="3819" t="s">
        <v>1566</v>
      </c>
      <c r="Y12" s="3820"/>
      <c r="Z12" s="3820"/>
      <c r="AA12" s="3820"/>
      <c r="AB12" s="3820"/>
      <c r="AC12" s="3820"/>
      <c r="AD12" s="3820"/>
      <c r="AE12" s="3820"/>
      <c r="AF12" s="3821">
        <v>0</v>
      </c>
      <c r="AG12" s="3822"/>
      <c r="AH12" s="3823"/>
      <c r="AI12" s="3822">
        <v>0</v>
      </c>
      <c r="AJ12" s="3822"/>
      <c r="AK12" s="3824"/>
      <c r="AL12" s="1263"/>
      <c r="AM12" s="1284"/>
      <c r="AN12" s="1263"/>
      <c r="AO12" s="1263"/>
      <c r="AP12" s="1263"/>
      <c r="AQ12" s="1263"/>
      <c r="AR12" s="1263"/>
      <c r="AS12" s="1263"/>
      <c r="AT12" s="1263"/>
      <c r="AU12" s="1263"/>
      <c r="AV12" s="1263"/>
      <c r="AW12" s="1263"/>
      <c r="AX12" s="1263"/>
      <c r="AY12" s="1263"/>
      <c r="AZ12" s="1263"/>
      <c r="BA12" s="1263"/>
      <c r="BB12" s="1263"/>
    </row>
    <row r="13" spans="1:54" s="175" customFormat="1" ht="19.5" customHeight="1">
      <c r="A13" s="1263"/>
      <c r="B13" s="1263"/>
      <c r="C13" s="1263"/>
      <c r="D13" s="1273"/>
      <c r="E13" s="1274"/>
      <c r="F13" s="3819" t="s">
        <v>913</v>
      </c>
      <c r="G13" s="3820"/>
      <c r="H13" s="3820"/>
      <c r="I13" s="3820"/>
      <c r="J13" s="3820"/>
      <c r="K13" s="3820"/>
      <c r="L13" s="3820"/>
      <c r="M13" s="3820"/>
      <c r="N13" s="3821">
        <v>0</v>
      </c>
      <c r="O13" s="3822"/>
      <c r="P13" s="3823"/>
      <c r="Q13" s="3822">
        <v>0</v>
      </c>
      <c r="R13" s="3822"/>
      <c r="S13" s="3824"/>
      <c r="T13" s="1335"/>
      <c r="U13" s="1335"/>
      <c r="V13" s="1335"/>
      <c r="W13" s="1333"/>
      <c r="X13" s="3819" t="s">
        <v>919</v>
      </c>
      <c r="Y13" s="3820"/>
      <c r="Z13" s="3820"/>
      <c r="AA13" s="3820"/>
      <c r="AB13" s="3820"/>
      <c r="AC13" s="3820"/>
      <c r="AD13" s="3820"/>
      <c r="AE13" s="3820"/>
      <c r="AF13" s="3821">
        <v>0</v>
      </c>
      <c r="AG13" s="3822"/>
      <c r="AH13" s="3823"/>
      <c r="AI13" s="3822">
        <v>0</v>
      </c>
      <c r="AJ13" s="3822"/>
      <c r="AK13" s="3824"/>
      <c r="AL13" s="1263"/>
      <c r="AM13" s="1284"/>
      <c r="AN13" s="1263"/>
      <c r="AO13" s="1263"/>
      <c r="AP13" s="1263"/>
      <c r="AQ13" s="1263"/>
      <c r="AR13" s="1263"/>
      <c r="AS13" s="1263"/>
      <c r="AT13" s="1263"/>
      <c r="AU13" s="1263"/>
      <c r="AV13" s="1263"/>
      <c r="AW13" s="1263"/>
      <c r="AX13" s="1263"/>
      <c r="AY13" s="1263"/>
      <c r="AZ13" s="1263"/>
      <c r="BA13" s="1263"/>
      <c r="BB13" s="1263"/>
    </row>
    <row r="14" spans="1:54" s="175" customFormat="1" ht="19.5" customHeight="1">
      <c r="A14" s="1263"/>
      <c r="B14" s="1263"/>
      <c r="C14" s="1263"/>
      <c r="D14" s="1273"/>
      <c r="E14" s="1274"/>
      <c r="F14" s="3819" t="s">
        <v>1551</v>
      </c>
      <c r="G14" s="3820"/>
      <c r="H14" s="3820"/>
      <c r="I14" s="3820"/>
      <c r="J14" s="3820"/>
      <c r="K14" s="3820"/>
      <c r="L14" s="3820"/>
      <c r="M14" s="3820"/>
      <c r="N14" s="3821">
        <v>0</v>
      </c>
      <c r="O14" s="3822"/>
      <c r="P14" s="3823"/>
      <c r="Q14" s="3822">
        <v>0</v>
      </c>
      <c r="R14" s="3822"/>
      <c r="S14" s="3824"/>
      <c r="T14" s="1335"/>
      <c r="U14" s="1335"/>
      <c r="V14" s="1335"/>
      <c r="W14" s="1333"/>
      <c r="X14" s="3819" t="s">
        <v>1567</v>
      </c>
      <c r="Y14" s="3820"/>
      <c r="Z14" s="3820"/>
      <c r="AA14" s="3820"/>
      <c r="AB14" s="3820"/>
      <c r="AC14" s="3820"/>
      <c r="AD14" s="3820"/>
      <c r="AE14" s="3820"/>
      <c r="AF14" s="3821">
        <v>6</v>
      </c>
      <c r="AG14" s="3822"/>
      <c r="AH14" s="3823"/>
      <c r="AI14" s="3822">
        <v>0</v>
      </c>
      <c r="AJ14" s="3822"/>
      <c r="AK14" s="3824"/>
      <c r="AL14" s="1263"/>
      <c r="AM14" s="1284"/>
      <c r="AN14" s="1263"/>
      <c r="AO14" s="1263"/>
      <c r="AP14" s="1263"/>
      <c r="AQ14" s="1263"/>
      <c r="AR14" s="1263"/>
      <c r="AS14" s="1263"/>
      <c r="AT14" s="1263"/>
      <c r="AU14" s="1263"/>
      <c r="AV14" s="1263"/>
      <c r="AW14" s="1263"/>
      <c r="AX14" s="1263"/>
      <c r="AY14" s="1263"/>
      <c r="AZ14" s="1263"/>
      <c r="BA14" s="1263"/>
      <c r="BB14" s="1263"/>
    </row>
    <row r="15" spans="1:54" s="175" customFormat="1" ht="19.5" customHeight="1">
      <c r="A15" s="1263"/>
      <c r="B15" s="1263"/>
      <c r="C15" s="1263"/>
      <c r="D15" s="1273"/>
      <c r="E15" s="1274"/>
      <c r="F15" s="3819" t="s">
        <v>1552</v>
      </c>
      <c r="G15" s="3820"/>
      <c r="H15" s="3820"/>
      <c r="I15" s="3820"/>
      <c r="J15" s="3820"/>
      <c r="K15" s="3820"/>
      <c r="L15" s="3820"/>
      <c r="M15" s="3820"/>
      <c r="N15" s="3821">
        <v>0</v>
      </c>
      <c r="O15" s="3822"/>
      <c r="P15" s="3823"/>
      <c r="Q15" s="3822">
        <v>0</v>
      </c>
      <c r="R15" s="3822"/>
      <c r="S15" s="3824"/>
      <c r="T15" s="1335"/>
      <c r="U15" s="1335"/>
      <c r="V15" s="1335"/>
      <c r="W15" s="1333"/>
      <c r="X15" s="3819" t="s">
        <v>1568</v>
      </c>
      <c r="Y15" s="3820"/>
      <c r="Z15" s="3820"/>
      <c r="AA15" s="3820"/>
      <c r="AB15" s="3820"/>
      <c r="AC15" s="3820"/>
      <c r="AD15" s="3820"/>
      <c r="AE15" s="3820"/>
      <c r="AF15" s="3821">
        <v>0</v>
      </c>
      <c r="AG15" s="3822"/>
      <c r="AH15" s="3823"/>
      <c r="AI15" s="3822">
        <v>0</v>
      </c>
      <c r="AJ15" s="3822"/>
      <c r="AK15" s="3824"/>
      <c r="AL15" s="1263"/>
      <c r="AM15" s="1284"/>
      <c r="AN15" s="1263"/>
      <c r="AO15" s="1263"/>
      <c r="AP15" s="1263"/>
      <c r="AQ15" s="1263"/>
      <c r="AR15" s="1263"/>
      <c r="AS15" s="1263"/>
      <c r="AT15" s="1263"/>
      <c r="AU15" s="1263"/>
      <c r="AV15" s="1263"/>
      <c r="AW15" s="1263"/>
      <c r="AX15" s="1263"/>
      <c r="AY15" s="1263"/>
      <c r="AZ15" s="1263"/>
      <c r="BA15" s="1263"/>
      <c r="BB15" s="1263"/>
    </row>
    <row r="16" spans="1:54" s="175" customFormat="1" ht="19.5" customHeight="1">
      <c r="A16" s="1263"/>
      <c r="B16" s="1263"/>
      <c r="C16" s="1263"/>
      <c r="D16" s="1273"/>
      <c r="E16" s="1274"/>
      <c r="F16" s="3819" t="s">
        <v>915</v>
      </c>
      <c r="G16" s="3820"/>
      <c r="H16" s="3820"/>
      <c r="I16" s="3820"/>
      <c r="J16" s="3820"/>
      <c r="K16" s="3820"/>
      <c r="L16" s="3820"/>
      <c r="M16" s="3820"/>
      <c r="N16" s="3821">
        <v>0</v>
      </c>
      <c r="O16" s="3822"/>
      <c r="P16" s="3823"/>
      <c r="Q16" s="3822">
        <v>0</v>
      </c>
      <c r="R16" s="3822"/>
      <c r="S16" s="3824"/>
      <c r="T16" s="1335"/>
      <c r="U16" s="1335"/>
      <c r="V16" s="1335"/>
      <c r="W16" s="1333"/>
      <c r="X16" s="3819"/>
      <c r="Y16" s="3820"/>
      <c r="Z16" s="3820"/>
      <c r="AA16" s="3820"/>
      <c r="AB16" s="3820"/>
      <c r="AC16" s="3820"/>
      <c r="AD16" s="3820"/>
      <c r="AE16" s="3820"/>
      <c r="AF16" s="3821"/>
      <c r="AG16" s="3822"/>
      <c r="AH16" s="3823"/>
      <c r="AI16" s="3822"/>
      <c r="AJ16" s="3822"/>
      <c r="AK16" s="3824"/>
      <c r="AL16" s="1263"/>
      <c r="AM16" s="1284"/>
      <c r="AN16" s="1263"/>
      <c r="AO16" s="1263"/>
      <c r="AP16" s="1263"/>
      <c r="AQ16" s="1263"/>
      <c r="AR16" s="1263"/>
      <c r="AS16" s="1263"/>
      <c r="AT16" s="1263"/>
      <c r="AU16" s="1263"/>
      <c r="AV16" s="1263"/>
      <c r="AW16" s="1263"/>
      <c r="AX16" s="1263"/>
      <c r="AY16" s="1263"/>
      <c r="AZ16" s="1263"/>
      <c r="BA16" s="1263"/>
      <c r="BB16" s="1263"/>
    </row>
    <row r="17" spans="1:54" s="175" customFormat="1" ht="19.5" customHeight="1">
      <c r="A17" s="1263"/>
      <c r="B17" s="1263"/>
      <c r="C17" s="1263"/>
      <c r="D17" s="1273"/>
      <c r="E17" s="1274"/>
      <c r="F17" s="3819" t="s">
        <v>917</v>
      </c>
      <c r="G17" s="3820"/>
      <c r="H17" s="3820"/>
      <c r="I17" s="3820"/>
      <c r="J17" s="3820"/>
      <c r="K17" s="3820"/>
      <c r="L17" s="3820"/>
      <c r="M17" s="3820"/>
      <c r="N17" s="3821">
        <v>0</v>
      </c>
      <c r="O17" s="3822"/>
      <c r="P17" s="3823"/>
      <c r="Q17" s="3822">
        <v>0</v>
      </c>
      <c r="R17" s="3822"/>
      <c r="S17" s="3824"/>
      <c r="T17" s="1335"/>
      <c r="U17" s="1335"/>
      <c r="V17" s="1335"/>
      <c r="W17" s="1333"/>
      <c r="X17" s="3819" t="s">
        <v>1569</v>
      </c>
      <c r="Y17" s="3820"/>
      <c r="Z17" s="3820"/>
      <c r="AA17" s="3820"/>
      <c r="AB17" s="3820"/>
      <c r="AC17" s="3820"/>
      <c r="AD17" s="3820"/>
      <c r="AE17" s="3820"/>
      <c r="AF17" s="3821">
        <v>0</v>
      </c>
      <c r="AG17" s="3822"/>
      <c r="AH17" s="3823"/>
      <c r="AI17" s="3822">
        <v>0</v>
      </c>
      <c r="AJ17" s="3822"/>
      <c r="AK17" s="3824"/>
      <c r="AL17" s="1263"/>
      <c r="AM17" s="1284"/>
      <c r="AN17" s="1263"/>
      <c r="AO17" s="1263"/>
      <c r="AP17" s="1263"/>
      <c r="AQ17" s="1263"/>
      <c r="AR17" s="1263"/>
      <c r="AS17" s="1263"/>
      <c r="AT17" s="1263"/>
      <c r="AU17" s="1263"/>
      <c r="AV17" s="1263"/>
      <c r="AW17" s="1263"/>
      <c r="AX17" s="1263"/>
      <c r="AY17" s="1263"/>
      <c r="AZ17" s="1263"/>
      <c r="BA17" s="1263"/>
      <c r="BB17" s="1263"/>
    </row>
    <row r="18" spans="1:54" s="175" customFormat="1" ht="19.5" customHeight="1">
      <c r="A18" s="1263"/>
      <c r="B18" s="1263"/>
      <c r="C18" s="1263"/>
      <c r="D18" s="1273"/>
      <c r="E18" s="1274"/>
      <c r="F18" s="3819" t="s">
        <v>919</v>
      </c>
      <c r="G18" s="3820"/>
      <c r="H18" s="3820"/>
      <c r="I18" s="3820"/>
      <c r="J18" s="3820"/>
      <c r="K18" s="3820"/>
      <c r="L18" s="3820"/>
      <c r="M18" s="3820"/>
      <c r="N18" s="3821">
        <v>0</v>
      </c>
      <c r="O18" s="3822"/>
      <c r="P18" s="3823"/>
      <c r="Q18" s="3822">
        <v>0</v>
      </c>
      <c r="R18" s="3822"/>
      <c r="S18" s="3824"/>
      <c r="T18" s="1335"/>
      <c r="U18" s="1335"/>
      <c r="V18" s="1335"/>
      <c r="W18" s="1333"/>
      <c r="X18" s="3819"/>
      <c r="Y18" s="3820"/>
      <c r="Z18" s="3820"/>
      <c r="AA18" s="3820"/>
      <c r="AB18" s="3820"/>
      <c r="AC18" s="3820"/>
      <c r="AD18" s="3820"/>
      <c r="AE18" s="3820"/>
      <c r="AF18" s="3821"/>
      <c r="AG18" s="3822"/>
      <c r="AH18" s="3823"/>
      <c r="AI18" s="3822"/>
      <c r="AJ18" s="3822"/>
      <c r="AK18" s="3824"/>
      <c r="AL18" s="1263"/>
      <c r="AM18" s="1284"/>
      <c r="AN18" s="1263"/>
      <c r="AO18" s="1263"/>
      <c r="AP18" s="1263"/>
      <c r="AQ18" s="1263"/>
      <c r="AR18" s="1263"/>
      <c r="AS18" s="1263"/>
      <c r="AT18" s="1263"/>
      <c r="AU18" s="1263"/>
      <c r="AV18" s="1263"/>
      <c r="AW18" s="1263"/>
      <c r="AX18" s="1263"/>
      <c r="AY18" s="1263"/>
      <c r="AZ18" s="1263"/>
      <c r="BA18" s="1263"/>
      <c r="BB18" s="1263"/>
    </row>
    <row r="19" spans="1:54" s="175" customFormat="1" ht="19.5" customHeight="1" thickBot="1">
      <c r="A19" s="1263"/>
      <c r="B19" s="1263"/>
      <c r="C19" s="1263"/>
      <c r="D19" s="1273"/>
      <c r="E19" s="1274"/>
      <c r="F19" s="3819" t="s">
        <v>1553</v>
      </c>
      <c r="G19" s="3820"/>
      <c r="H19" s="3820"/>
      <c r="I19" s="3820"/>
      <c r="J19" s="3820"/>
      <c r="K19" s="3820"/>
      <c r="L19" s="3820"/>
      <c r="M19" s="3820"/>
      <c r="N19" s="3821">
        <v>0</v>
      </c>
      <c r="O19" s="3822"/>
      <c r="P19" s="3823"/>
      <c r="Q19" s="3822">
        <v>0</v>
      </c>
      <c r="R19" s="3822"/>
      <c r="S19" s="3824"/>
      <c r="T19" s="1335"/>
      <c r="U19" s="1335"/>
      <c r="V19" s="1335"/>
      <c r="W19" s="1333"/>
      <c r="X19" s="3751" t="s">
        <v>1570</v>
      </c>
      <c r="Y19" s="3752"/>
      <c r="Z19" s="3752"/>
      <c r="AA19" s="3752"/>
      <c r="AB19" s="3752"/>
      <c r="AC19" s="3752"/>
      <c r="AD19" s="3752"/>
      <c r="AE19" s="3752"/>
      <c r="AF19" s="3683">
        <v>0</v>
      </c>
      <c r="AG19" s="3684"/>
      <c r="AH19" s="3825"/>
      <c r="AI19" s="3684">
        <v>0</v>
      </c>
      <c r="AJ19" s="3684"/>
      <c r="AK19" s="3773"/>
      <c r="AL19" s="1263"/>
      <c r="AM19" s="1284"/>
      <c r="AN19" s="1263"/>
      <c r="AO19" s="1263"/>
      <c r="AP19" s="1263"/>
      <c r="AQ19" s="1263"/>
      <c r="AR19" s="1263"/>
      <c r="AS19" s="1263"/>
      <c r="AT19" s="1263"/>
      <c r="AU19" s="1263"/>
      <c r="AV19" s="1263"/>
      <c r="AW19" s="1263"/>
      <c r="AX19" s="1263"/>
      <c r="AY19" s="1263"/>
      <c r="AZ19" s="1263"/>
      <c r="BA19" s="1263"/>
      <c r="BB19" s="1263"/>
    </row>
    <row r="20" spans="1:54" s="175" customFormat="1" ht="19.5" customHeight="1" thickTop="1">
      <c r="A20" s="1263"/>
      <c r="B20" s="1263"/>
      <c r="C20" s="1263"/>
      <c r="D20" s="1273"/>
      <c r="E20" s="1274"/>
      <c r="F20" s="3819" t="s">
        <v>1887</v>
      </c>
      <c r="G20" s="3820"/>
      <c r="H20" s="3820"/>
      <c r="I20" s="3820"/>
      <c r="J20" s="3820"/>
      <c r="K20" s="3820"/>
      <c r="L20" s="3820"/>
      <c r="M20" s="3820"/>
      <c r="N20" s="3821">
        <v>0</v>
      </c>
      <c r="O20" s="3822"/>
      <c r="P20" s="3823"/>
      <c r="Q20" s="3822">
        <v>0</v>
      </c>
      <c r="R20" s="3822"/>
      <c r="S20" s="3824"/>
      <c r="T20" s="1335"/>
      <c r="U20" s="1335"/>
      <c r="V20" s="1335"/>
      <c r="W20" s="1333"/>
      <c r="X20" s="1333"/>
      <c r="Y20" s="1333"/>
      <c r="Z20" s="1333"/>
      <c r="AA20" s="1333"/>
      <c r="AB20" s="1333"/>
      <c r="AC20" s="1333"/>
      <c r="AD20" s="1333"/>
      <c r="AE20" s="1333"/>
      <c r="AF20" s="1335"/>
      <c r="AG20" s="1335"/>
      <c r="AH20" s="1335"/>
      <c r="AI20" s="1335"/>
      <c r="AJ20" s="1335"/>
      <c r="AK20" s="1335"/>
      <c r="AL20" s="1263"/>
      <c r="AM20" s="1284"/>
      <c r="AN20" s="1263"/>
      <c r="AO20" s="1263"/>
      <c r="AP20" s="1263"/>
      <c r="AQ20" s="1263"/>
      <c r="AR20" s="1263"/>
      <c r="AS20" s="1263"/>
      <c r="AT20" s="1263"/>
      <c r="AU20" s="1263"/>
      <c r="AV20" s="1263"/>
      <c r="AW20" s="1263"/>
      <c r="AX20" s="1263"/>
      <c r="AY20" s="1263"/>
      <c r="AZ20" s="1263"/>
      <c r="BA20" s="1263"/>
      <c r="BB20" s="1263"/>
    </row>
    <row r="21" spans="1:54" s="175" customFormat="1" ht="19.5" customHeight="1">
      <c r="A21" s="1263"/>
      <c r="B21" s="1263"/>
      <c r="C21" s="1263"/>
      <c r="D21" s="1273"/>
      <c r="E21" s="1274"/>
      <c r="F21" s="3819"/>
      <c r="G21" s="3820"/>
      <c r="H21" s="3820"/>
      <c r="I21" s="3820"/>
      <c r="J21" s="3820"/>
      <c r="K21" s="3820"/>
      <c r="L21" s="3820"/>
      <c r="M21" s="3820"/>
      <c r="N21" s="3821"/>
      <c r="O21" s="3822"/>
      <c r="P21" s="3823"/>
      <c r="Q21" s="3822"/>
      <c r="R21" s="3822"/>
      <c r="S21" s="3824"/>
      <c r="T21" s="1335"/>
      <c r="U21" s="1335"/>
      <c r="V21" s="1335"/>
      <c r="W21" s="1333"/>
      <c r="X21" s="1333"/>
      <c r="Y21" s="1333"/>
      <c r="Z21" s="1333"/>
      <c r="AA21" s="1333"/>
      <c r="AB21" s="1333"/>
      <c r="AC21" s="1333"/>
      <c r="AD21" s="1333"/>
      <c r="AE21" s="1333"/>
      <c r="AF21" s="1335"/>
      <c r="AG21" s="1335"/>
      <c r="AH21" s="1335"/>
      <c r="AI21" s="1335"/>
      <c r="AJ21" s="1335"/>
      <c r="AK21" s="1335"/>
      <c r="AL21" s="1263"/>
      <c r="AM21" s="1284"/>
      <c r="AN21" s="1263"/>
      <c r="AO21" s="1263"/>
      <c r="AP21" s="1263"/>
      <c r="AQ21" s="1263"/>
      <c r="AR21" s="1263"/>
      <c r="AS21" s="1263"/>
      <c r="AT21" s="1263"/>
      <c r="AU21" s="1263"/>
      <c r="AV21" s="1263"/>
      <c r="AW21" s="1263"/>
      <c r="AX21" s="1263"/>
      <c r="AY21" s="1263"/>
      <c r="AZ21" s="1263"/>
      <c r="BA21" s="1263"/>
      <c r="BB21" s="1263"/>
    </row>
    <row r="22" spans="1:54" s="175" customFormat="1" ht="19.5" customHeight="1">
      <c r="A22" s="1263"/>
      <c r="B22" s="1263"/>
      <c r="C22" s="1263"/>
      <c r="D22" s="1273"/>
      <c r="E22" s="1274"/>
      <c r="F22" s="3819" t="s">
        <v>1888</v>
      </c>
      <c r="G22" s="3820"/>
      <c r="H22" s="3820"/>
      <c r="I22" s="3820"/>
      <c r="J22" s="3820"/>
      <c r="K22" s="3820"/>
      <c r="L22" s="3820"/>
      <c r="M22" s="3820"/>
      <c r="N22" s="3821">
        <v>0</v>
      </c>
      <c r="O22" s="3822"/>
      <c r="P22" s="3823"/>
      <c r="Q22" s="3822">
        <v>0</v>
      </c>
      <c r="R22" s="3822"/>
      <c r="S22" s="3824"/>
      <c r="T22" s="1335"/>
      <c r="U22" s="1335"/>
      <c r="V22" s="1335"/>
      <c r="W22" s="1333"/>
      <c r="X22" s="1333"/>
      <c r="Y22" s="1333"/>
      <c r="Z22" s="1333"/>
      <c r="AA22" s="1333"/>
      <c r="AB22" s="1333"/>
      <c r="AC22" s="1333"/>
      <c r="AD22" s="1333"/>
      <c r="AE22" s="1333"/>
      <c r="AF22" s="1335"/>
      <c r="AG22" s="1335"/>
      <c r="AH22" s="1335"/>
      <c r="AI22" s="1335"/>
      <c r="AJ22" s="1335"/>
      <c r="AK22" s="1335"/>
      <c r="AL22" s="1263"/>
      <c r="AM22" s="1284"/>
      <c r="AN22" s="1263"/>
      <c r="AO22" s="1263"/>
      <c r="AP22" s="1263"/>
      <c r="AQ22" s="1263"/>
      <c r="AR22" s="1263"/>
      <c r="AS22" s="1263"/>
      <c r="AT22" s="1263"/>
      <c r="AU22" s="1263"/>
      <c r="AV22" s="1263"/>
      <c r="AW22" s="1263"/>
      <c r="AX22" s="1263"/>
      <c r="AY22" s="1263"/>
      <c r="AZ22" s="1263"/>
      <c r="BA22" s="1263"/>
      <c r="BB22" s="1263"/>
    </row>
    <row r="23" spans="1:54" s="175" customFormat="1" ht="19.5" customHeight="1">
      <c r="A23" s="1263"/>
      <c r="B23" s="1263"/>
      <c r="C23" s="1263"/>
      <c r="D23" s="1273"/>
      <c r="E23" s="1274"/>
      <c r="F23" s="3819"/>
      <c r="G23" s="3820"/>
      <c r="H23" s="3820"/>
      <c r="I23" s="3820"/>
      <c r="J23" s="3820"/>
      <c r="K23" s="3820"/>
      <c r="L23" s="3820"/>
      <c r="M23" s="3820"/>
      <c r="N23" s="3821"/>
      <c r="O23" s="3822"/>
      <c r="P23" s="3823"/>
      <c r="Q23" s="3822"/>
      <c r="R23" s="3822"/>
      <c r="S23" s="3824"/>
      <c r="T23" s="1335"/>
      <c r="U23" s="1335"/>
      <c r="V23" s="1335"/>
      <c r="W23" s="1333"/>
      <c r="X23" s="1333"/>
      <c r="Y23" s="1333"/>
      <c r="Z23" s="1333"/>
      <c r="AA23" s="1333"/>
      <c r="AB23" s="1333"/>
      <c r="AC23" s="1333"/>
      <c r="AD23" s="1333"/>
      <c r="AE23" s="1333"/>
      <c r="AF23" s="1335"/>
      <c r="AG23" s="1335"/>
      <c r="AH23" s="1335"/>
      <c r="AI23" s="1335"/>
      <c r="AJ23" s="1335"/>
      <c r="AK23" s="1335"/>
      <c r="AL23" s="1263"/>
      <c r="AM23" s="1284"/>
      <c r="AN23" s="1263"/>
      <c r="AO23" s="1263"/>
      <c r="AP23" s="1263"/>
      <c r="AQ23" s="1263"/>
      <c r="AR23" s="1263"/>
      <c r="AS23" s="1263"/>
      <c r="AT23" s="1263"/>
      <c r="AU23" s="1263"/>
      <c r="AV23" s="1263"/>
      <c r="AW23" s="1263"/>
      <c r="AX23" s="1263"/>
      <c r="AY23" s="1263"/>
      <c r="AZ23" s="1263"/>
      <c r="BA23" s="1263"/>
      <c r="BB23" s="1263"/>
    </row>
    <row r="24" spans="1:54" s="175" customFormat="1" ht="19.5" customHeight="1">
      <c r="A24" s="1263"/>
      <c r="B24" s="1263"/>
      <c r="C24" s="1263"/>
      <c r="D24" s="1273"/>
      <c r="E24" s="1274"/>
      <c r="F24" s="3819" t="s">
        <v>1889</v>
      </c>
      <c r="G24" s="3820"/>
      <c r="H24" s="3820"/>
      <c r="I24" s="3820"/>
      <c r="J24" s="3820"/>
      <c r="K24" s="3820"/>
      <c r="L24" s="3820"/>
      <c r="M24" s="3820"/>
      <c r="N24" s="3821">
        <v>0</v>
      </c>
      <c r="O24" s="3822"/>
      <c r="P24" s="3823"/>
      <c r="Q24" s="3822">
        <v>0</v>
      </c>
      <c r="R24" s="3822"/>
      <c r="S24" s="3824"/>
      <c r="T24" s="1335"/>
      <c r="U24" s="1335"/>
      <c r="V24" s="1335"/>
      <c r="W24" s="1333"/>
      <c r="X24" s="1333"/>
      <c r="Y24" s="1333"/>
      <c r="Z24" s="1333"/>
      <c r="AA24" s="1333"/>
      <c r="AB24" s="1333"/>
      <c r="AC24" s="1333"/>
      <c r="AD24" s="1333"/>
      <c r="AE24" s="1333"/>
      <c r="AF24" s="1335"/>
      <c r="AG24" s="1335"/>
      <c r="AH24" s="1335"/>
      <c r="AI24" s="1335"/>
      <c r="AJ24" s="1335"/>
      <c r="AK24" s="1335"/>
      <c r="AL24" s="1263"/>
      <c r="AM24" s="1284"/>
      <c r="AN24" s="1263"/>
      <c r="AO24" s="1263"/>
      <c r="AP24" s="1263"/>
      <c r="AQ24" s="1263"/>
      <c r="AR24" s="1263"/>
      <c r="AS24" s="1263"/>
      <c r="AT24" s="1263"/>
      <c r="AU24" s="1263"/>
      <c r="AV24" s="1263"/>
      <c r="AW24" s="1263"/>
      <c r="AX24" s="1263"/>
      <c r="AY24" s="1263"/>
      <c r="AZ24" s="1263"/>
      <c r="BA24" s="1263"/>
      <c r="BB24" s="1263"/>
    </row>
    <row r="25" spans="1:54" s="175" customFormat="1" ht="19.5" customHeight="1">
      <c r="A25" s="1263"/>
      <c r="B25" s="1263"/>
      <c r="C25" s="1263"/>
      <c r="D25" s="1273"/>
      <c r="E25" s="1274"/>
      <c r="F25" s="3819"/>
      <c r="G25" s="3820"/>
      <c r="H25" s="3820"/>
      <c r="I25" s="3820"/>
      <c r="J25" s="3820"/>
      <c r="K25" s="3820"/>
      <c r="L25" s="3820"/>
      <c r="M25" s="3820"/>
      <c r="N25" s="3821"/>
      <c r="O25" s="3822"/>
      <c r="P25" s="3823"/>
      <c r="Q25" s="3822"/>
      <c r="R25" s="3822"/>
      <c r="S25" s="3824"/>
      <c r="T25" s="1335"/>
      <c r="U25" s="1335"/>
      <c r="V25" s="1335"/>
      <c r="W25" s="1333"/>
      <c r="X25" s="1333"/>
      <c r="Y25" s="1333"/>
      <c r="Z25" s="1333"/>
      <c r="AA25" s="1333"/>
      <c r="AB25" s="1333"/>
      <c r="AC25" s="1333"/>
      <c r="AD25" s="1333"/>
      <c r="AE25" s="1333"/>
      <c r="AF25" s="1335"/>
      <c r="AG25" s="1335"/>
      <c r="AH25" s="1335"/>
      <c r="AI25" s="1335"/>
      <c r="AJ25" s="1335"/>
      <c r="AK25" s="1335"/>
      <c r="AL25" s="1263"/>
      <c r="AM25" s="1284"/>
      <c r="AN25" s="1263"/>
      <c r="AO25" s="1263"/>
      <c r="AP25" s="1263"/>
      <c r="AQ25" s="1263"/>
      <c r="AR25" s="1263"/>
      <c r="AS25" s="1263"/>
      <c r="AT25" s="1263"/>
      <c r="AU25" s="1263"/>
      <c r="AV25" s="1263"/>
      <c r="AW25" s="1263"/>
      <c r="AX25" s="1263"/>
      <c r="AY25" s="1263"/>
      <c r="AZ25" s="1263"/>
      <c r="BA25" s="1263"/>
      <c r="BB25" s="1263"/>
    </row>
    <row r="26" spans="1:54" s="175" customFormat="1" ht="19.5" customHeight="1">
      <c r="A26" s="1263"/>
      <c r="B26" s="1263"/>
      <c r="C26" s="1263"/>
      <c r="D26" s="1273"/>
      <c r="E26" s="1274"/>
      <c r="F26" s="3819" t="s">
        <v>1554</v>
      </c>
      <c r="G26" s="3820"/>
      <c r="H26" s="3820"/>
      <c r="I26" s="3820"/>
      <c r="J26" s="3820"/>
      <c r="K26" s="3820"/>
      <c r="L26" s="3820"/>
      <c r="M26" s="3820"/>
      <c r="N26" s="3821">
        <v>0</v>
      </c>
      <c r="O26" s="3822"/>
      <c r="P26" s="3823"/>
      <c r="Q26" s="3822">
        <v>0</v>
      </c>
      <c r="R26" s="3822"/>
      <c r="S26" s="3824"/>
      <c r="T26" s="1335"/>
      <c r="U26" s="1335"/>
      <c r="V26" s="1335"/>
      <c r="W26" s="1333"/>
      <c r="X26" s="1333"/>
      <c r="Y26" s="1333"/>
      <c r="Z26" s="1333"/>
      <c r="AA26" s="1333"/>
      <c r="AB26" s="1333"/>
      <c r="AC26" s="1333"/>
      <c r="AD26" s="1333"/>
      <c r="AE26" s="1333"/>
      <c r="AF26" s="1335"/>
      <c r="AG26" s="1335"/>
      <c r="AH26" s="1335"/>
      <c r="AI26" s="1335"/>
      <c r="AJ26" s="1335"/>
      <c r="AK26" s="1335"/>
      <c r="AL26" s="1263"/>
      <c r="AM26" s="1284"/>
      <c r="AN26" s="1263"/>
      <c r="AO26" s="1263"/>
      <c r="AP26" s="1263"/>
      <c r="AQ26" s="1263"/>
      <c r="AR26" s="1263"/>
      <c r="AS26" s="1263"/>
      <c r="AT26" s="1263"/>
      <c r="AU26" s="1263"/>
      <c r="AV26" s="1263"/>
      <c r="AW26" s="1263"/>
      <c r="AX26" s="1263"/>
      <c r="AY26" s="1263"/>
      <c r="AZ26" s="1263"/>
      <c r="BA26" s="1263"/>
      <c r="BB26" s="1263"/>
    </row>
    <row r="27" spans="1:54" s="175" customFormat="1" ht="19.5" customHeight="1">
      <c r="A27" s="1263"/>
      <c r="B27" s="1263"/>
      <c r="C27" s="1263"/>
      <c r="D27" s="1273"/>
      <c r="E27" s="1274"/>
      <c r="F27" s="3819" t="s">
        <v>1555</v>
      </c>
      <c r="G27" s="3820"/>
      <c r="H27" s="3820"/>
      <c r="I27" s="3820"/>
      <c r="J27" s="3820"/>
      <c r="K27" s="3820"/>
      <c r="L27" s="3820"/>
      <c r="M27" s="3820"/>
      <c r="N27" s="3821">
        <v>0</v>
      </c>
      <c r="O27" s="3822"/>
      <c r="P27" s="3823"/>
      <c r="Q27" s="3822">
        <v>0</v>
      </c>
      <c r="R27" s="3822"/>
      <c r="S27" s="3824"/>
      <c r="T27" s="1335"/>
      <c r="U27" s="1335"/>
      <c r="V27" s="1335"/>
      <c r="W27" s="1333"/>
      <c r="X27" s="1333"/>
      <c r="Y27" s="1333"/>
      <c r="Z27" s="1333"/>
      <c r="AA27" s="1333"/>
      <c r="AB27" s="1333"/>
      <c r="AC27" s="1333"/>
      <c r="AD27" s="1333"/>
      <c r="AE27" s="1333"/>
      <c r="AF27" s="1335"/>
      <c r="AG27" s="1335"/>
      <c r="AH27" s="1335"/>
      <c r="AI27" s="1335"/>
      <c r="AJ27" s="1335"/>
      <c r="AK27" s="1335"/>
      <c r="AL27" s="1263"/>
      <c r="AM27" s="1284"/>
      <c r="AN27" s="1263"/>
      <c r="AO27" s="1263"/>
      <c r="AP27" s="1263"/>
      <c r="AQ27" s="1263"/>
      <c r="AR27" s="1263"/>
      <c r="AS27" s="1263"/>
      <c r="AT27" s="1263"/>
      <c r="AU27" s="1263"/>
      <c r="AV27" s="1263"/>
      <c r="AW27" s="1263"/>
      <c r="AX27" s="1263"/>
      <c r="AY27" s="1263"/>
      <c r="AZ27" s="1263"/>
      <c r="BA27" s="1263"/>
      <c r="BB27" s="1263"/>
    </row>
    <row r="28" spans="1:54" s="175" customFormat="1" ht="19.5" customHeight="1">
      <c r="A28" s="1263"/>
      <c r="B28" s="1263"/>
      <c r="C28" s="1263"/>
      <c r="D28" s="1273"/>
      <c r="E28" s="1274"/>
      <c r="F28" s="3819" t="s">
        <v>1556</v>
      </c>
      <c r="G28" s="3820"/>
      <c r="H28" s="3820"/>
      <c r="I28" s="3820"/>
      <c r="J28" s="3820"/>
      <c r="K28" s="3820"/>
      <c r="L28" s="3820"/>
      <c r="M28" s="3820"/>
      <c r="N28" s="3821">
        <v>0</v>
      </c>
      <c r="O28" s="3822"/>
      <c r="P28" s="3823"/>
      <c r="Q28" s="3822">
        <v>0</v>
      </c>
      <c r="R28" s="3822"/>
      <c r="S28" s="3824"/>
      <c r="T28" s="1335"/>
      <c r="U28" s="1335"/>
      <c r="V28" s="1335"/>
      <c r="W28" s="1333"/>
      <c r="X28" s="1333"/>
      <c r="Y28" s="1333"/>
      <c r="Z28" s="1333"/>
      <c r="AA28" s="1333"/>
      <c r="AB28" s="1333"/>
      <c r="AC28" s="1333"/>
      <c r="AD28" s="1333"/>
      <c r="AE28" s="1333"/>
      <c r="AF28" s="1335"/>
      <c r="AG28" s="1335"/>
      <c r="AH28" s="1335"/>
      <c r="AI28" s="1335"/>
      <c r="AJ28" s="1335"/>
      <c r="AK28" s="1335"/>
      <c r="AL28" s="1263"/>
      <c r="AM28" s="1284"/>
      <c r="AN28" s="1263"/>
      <c r="AO28" s="1263"/>
      <c r="AP28" s="1263"/>
      <c r="AQ28" s="1263"/>
      <c r="AR28" s="1263"/>
      <c r="AS28" s="1263"/>
      <c r="AT28" s="1263"/>
      <c r="AU28" s="1263"/>
      <c r="AV28" s="1263"/>
      <c r="AW28" s="1263"/>
      <c r="AX28" s="1263"/>
      <c r="AY28" s="1263"/>
      <c r="AZ28" s="1263"/>
      <c r="BA28" s="1263"/>
      <c r="BB28" s="1263"/>
    </row>
    <row r="29" spans="1:54" s="175" customFormat="1" ht="19.5" customHeight="1">
      <c r="A29" s="1263"/>
      <c r="B29" s="1263"/>
      <c r="C29" s="1263"/>
      <c r="D29" s="1273"/>
      <c r="E29" s="1274"/>
      <c r="F29" s="3819" t="s">
        <v>918</v>
      </c>
      <c r="G29" s="3820"/>
      <c r="H29" s="3820"/>
      <c r="I29" s="3820"/>
      <c r="J29" s="3820"/>
      <c r="K29" s="3820"/>
      <c r="L29" s="3820"/>
      <c r="M29" s="3820"/>
      <c r="N29" s="3821">
        <v>0</v>
      </c>
      <c r="O29" s="3822"/>
      <c r="P29" s="3823"/>
      <c r="Q29" s="3822">
        <v>0</v>
      </c>
      <c r="R29" s="3822"/>
      <c r="S29" s="3824"/>
      <c r="T29" s="1335"/>
      <c r="U29" s="1335"/>
      <c r="V29" s="1335"/>
      <c r="W29" s="1333"/>
      <c r="X29" s="1333"/>
      <c r="Y29" s="1333"/>
      <c r="Z29" s="1333"/>
      <c r="AA29" s="1333"/>
      <c r="AB29" s="1333"/>
      <c r="AC29" s="1333"/>
      <c r="AD29" s="1333"/>
      <c r="AE29" s="1333"/>
      <c r="AF29" s="1335"/>
      <c r="AG29" s="1335"/>
      <c r="AH29" s="1335"/>
      <c r="AI29" s="1335"/>
      <c r="AJ29" s="1335"/>
      <c r="AK29" s="1335"/>
      <c r="AL29" s="1263"/>
      <c r="AM29" s="1284"/>
      <c r="AN29" s="1263"/>
      <c r="AO29" s="1263"/>
      <c r="AP29" s="1263"/>
      <c r="AQ29" s="1263"/>
      <c r="AR29" s="1263"/>
      <c r="AS29" s="1263"/>
      <c r="AT29" s="1263"/>
      <c r="AU29" s="1263"/>
      <c r="AV29" s="1263"/>
      <c r="AW29" s="1263"/>
      <c r="AX29" s="1263"/>
      <c r="AY29" s="1263"/>
      <c r="AZ29" s="1263"/>
      <c r="BA29" s="1263"/>
      <c r="BB29" s="1263"/>
    </row>
    <row r="30" spans="1:54" s="175" customFormat="1" ht="19.5" customHeight="1">
      <c r="A30" s="1263"/>
      <c r="B30" s="1263"/>
      <c r="C30" s="1263"/>
      <c r="D30" s="1273"/>
      <c r="E30" s="1274"/>
      <c r="F30" s="3819" t="s">
        <v>1557</v>
      </c>
      <c r="G30" s="3820"/>
      <c r="H30" s="3820"/>
      <c r="I30" s="3820"/>
      <c r="J30" s="3820"/>
      <c r="K30" s="3820"/>
      <c r="L30" s="3820"/>
      <c r="M30" s="3820"/>
      <c r="N30" s="3821">
        <v>0</v>
      </c>
      <c r="O30" s="3822"/>
      <c r="P30" s="3823"/>
      <c r="Q30" s="3822">
        <v>0</v>
      </c>
      <c r="R30" s="3822"/>
      <c r="S30" s="3824"/>
      <c r="T30" s="1335"/>
      <c r="U30" s="1335"/>
      <c r="V30" s="1335"/>
      <c r="W30" s="1333"/>
      <c r="X30" s="1333"/>
      <c r="Y30" s="1333"/>
      <c r="Z30" s="1333"/>
      <c r="AA30" s="1333"/>
      <c r="AB30" s="1333"/>
      <c r="AC30" s="1333"/>
      <c r="AD30" s="1333"/>
      <c r="AE30" s="1333"/>
      <c r="AF30" s="1335"/>
      <c r="AG30" s="1335"/>
      <c r="AH30" s="1335"/>
      <c r="AI30" s="1335"/>
      <c r="AJ30" s="1335"/>
      <c r="AK30" s="1335"/>
      <c r="AL30" s="1263"/>
      <c r="AM30" s="1284"/>
      <c r="AN30" s="1263"/>
      <c r="AO30" s="1263"/>
      <c r="AP30" s="1263"/>
      <c r="AQ30" s="1263"/>
      <c r="AR30" s="1263"/>
      <c r="AS30" s="1263"/>
      <c r="AT30" s="1263"/>
      <c r="AU30" s="1263"/>
      <c r="AV30" s="1263"/>
      <c r="AW30" s="1263"/>
      <c r="AX30" s="1263"/>
      <c r="AY30" s="1263"/>
      <c r="AZ30" s="1263"/>
      <c r="BA30" s="1263"/>
      <c r="BB30" s="1263"/>
    </row>
    <row r="31" spans="1:54" s="175" customFormat="1" ht="19.5" customHeight="1">
      <c r="A31" s="1263"/>
      <c r="B31" s="1263"/>
      <c r="C31" s="1263"/>
      <c r="D31" s="1273"/>
      <c r="E31" s="1274"/>
      <c r="F31" s="3819" t="s">
        <v>1890</v>
      </c>
      <c r="G31" s="3820"/>
      <c r="H31" s="3820"/>
      <c r="I31" s="3820"/>
      <c r="J31" s="3820"/>
      <c r="K31" s="3820"/>
      <c r="L31" s="3820"/>
      <c r="M31" s="3820"/>
      <c r="N31" s="3821">
        <v>0</v>
      </c>
      <c r="O31" s="3822"/>
      <c r="P31" s="3823"/>
      <c r="Q31" s="3822">
        <v>0</v>
      </c>
      <c r="R31" s="3822"/>
      <c r="S31" s="3824"/>
      <c r="T31" s="1335"/>
      <c r="U31" s="1335"/>
      <c r="V31" s="1335"/>
      <c r="W31" s="1333"/>
      <c r="X31" s="1333"/>
      <c r="Y31" s="1333"/>
      <c r="Z31" s="1333"/>
      <c r="AA31" s="1333"/>
      <c r="AB31" s="1333"/>
      <c r="AC31" s="1333"/>
      <c r="AD31" s="1333"/>
      <c r="AE31" s="1333"/>
      <c r="AF31" s="1335"/>
      <c r="AG31" s="1335"/>
      <c r="AH31" s="1335"/>
      <c r="AI31" s="1335"/>
      <c r="AJ31" s="1335"/>
      <c r="AK31" s="1335"/>
      <c r="AL31" s="1263"/>
      <c r="AM31" s="1284"/>
      <c r="AN31" s="1263"/>
      <c r="AO31" s="1263"/>
      <c r="AP31" s="1263"/>
      <c r="AQ31" s="1263"/>
      <c r="AR31" s="1263"/>
      <c r="AS31" s="1263"/>
      <c r="AT31" s="1263"/>
      <c r="AU31" s="1263"/>
      <c r="AV31" s="1263"/>
      <c r="AW31" s="1263"/>
      <c r="AX31" s="1263"/>
      <c r="AY31" s="1263"/>
      <c r="AZ31" s="1263"/>
      <c r="BA31" s="1263"/>
      <c r="BB31" s="1263"/>
    </row>
    <row r="32" spans="1:54" s="175" customFormat="1" ht="19.5" customHeight="1">
      <c r="A32" s="1263"/>
      <c r="B32" s="1263"/>
      <c r="C32" s="1263"/>
      <c r="D32" s="1273"/>
      <c r="E32" s="1274"/>
      <c r="F32" s="3819"/>
      <c r="G32" s="3820"/>
      <c r="H32" s="3820"/>
      <c r="I32" s="3820"/>
      <c r="J32" s="3820"/>
      <c r="K32" s="3820"/>
      <c r="L32" s="3820"/>
      <c r="M32" s="3820"/>
      <c r="N32" s="3821"/>
      <c r="O32" s="3822"/>
      <c r="P32" s="3823"/>
      <c r="Q32" s="3822"/>
      <c r="R32" s="3822"/>
      <c r="S32" s="3824"/>
      <c r="T32" s="1335"/>
      <c r="U32" s="1335"/>
      <c r="V32" s="1335"/>
      <c r="W32" s="1333"/>
      <c r="X32" s="1333"/>
      <c r="Y32" s="1333"/>
      <c r="Z32" s="1333"/>
      <c r="AA32" s="1333"/>
      <c r="AB32" s="1333"/>
      <c r="AC32" s="1333"/>
      <c r="AD32" s="1333"/>
      <c r="AE32" s="1333"/>
      <c r="AF32" s="1335"/>
      <c r="AG32" s="1335"/>
      <c r="AH32" s="1335"/>
      <c r="AI32" s="1335"/>
      <c r="AJ32" s="1335"/>
      <c r="AK32" s="1335"/>
      <c r="AL32" s="1263"/>
      <c r="AM32" s="1284"/>
      <c r="AN32" s="1263"/>
      <c r="AO32" s="1263"/>
      <c r="AP32" s="1263"/>
      <c r="AQ32" s="1263"/>
      <c r="AR32" s="1263"/>
      <c r="AS32" s="1263"/>
      <c r="AT32" s="1263"/>
      <c r="AU32" s="1263"/>
      <c r="AV32" s="1263"/>
      <c r="AW32" s="1263"/>
      <c r="AX32" s="1263"/>
      <c r="AY32" s="1263"/>
      <c r="AZ32" s="1263"/>
      <c r="BA32" s="1263"/>
      <c r="BB32" s="1263"/>
    </row>
    <row r="33" spans="1:54" s="175" customFormat="1" ht="19.5" customHeight="1">
      <c r="A33" s="1263"/>
      <c r="B33" s="1263"/>
      <c r="C33" s="1263"/>
      <c r="D33" s="1273"/>
      <c r="E33" s="1274"/>
      <c r="F33" s="3819" t="s">
        <v>1558</v>
      </c>
      <c r="G33" s="3820"/>
      <c r="H33" s="3820"/>
      <c r="I33" s="3820"/>
      <c r="J33" s="3820"/>
      <c r="K33" s="3820"/>
      <c r="L33" s="3820"/>
      <c r="M33" s="3820"/>
      <c r="N33" s="3821">
        <v>0</v>
      </c>
      <c r="O33" s="3822"/>
      <c r="P33" s="3823"/>
      <c r="Q33" s="3822">
        <v>0</v>
      </c>
      <c r="R33" s="3822"/>
      <c r="S33" s="3824"/>
      <c r="T33" s="1335"/>
      <c r="U33" s="1335"/>
      <c r="V33" s="1335"/>
      <c r="W33" s="1333"/>
      <c r="X33" s="1333"/>
      <c r="Y33" s="1333"/>
      <c r="Z33" s="1333"/>
      <c r="AA33" s="1333"/>
      <c r="AB33" s="1333"/>
      <c r="AC33" s="1333"/>
      <c r="AD33" s="1333"/>
      <c r="AE33" s="1333"/>
      <c r="AF33" s="1335"/>
      <c r="AG33" s="1335"/>
      <c r="AH33" s="1335"/>
      <c r="AI33" s="1335"/>
      <c r="AJ33" s="1335"/>
      <c r="AK33" s="1335"/>
      <c r="AL33" s="1263"/>
      <c r="AM33" s="1284"/>
      <c r="AN33" s="1263"/>
      <c r="AO33" s="1263"/>
      <c r="AP33" s="1263"/>
      <c r="AQ33" s="1263"/>
      <c r="AR33" s="1263"/>
      <c r="AS33" s="1263"/>
      <c r="AT33" s="1263"/>
      <c r="AU33" s="1263"/>
      <c r="AV33" s="1263"/>
      <c r="AW33" s="1263"/>
      <c r="AX33" s="1263"/>
      <c r="AY33" s="1263"/>
      <c r="AZ33" s="1263"/>
      <c r="BA33" s="1263"/>
      <c r="BB33" s="1263"/>
    </row>
    <row r="34" spans="1:54" s="175" customFormat="1" ht="19.5" customHeight="1">
      <c r="A34" s="1263"/>
      <c r="B34" s="1263"/>
      <c r="C34" s="1263"/>
      <c r="D34" s="1273"/>
      <c r="E34" s="1274"/>
      <c r="F34" s="3819" t="s">
        <v>920</v>
      </c>
      <c r="G34" s="3820"/>
      <c r="H34" s="3820"/>
      <c r="I34" s="3820"/>
      <c r="J34" s="3820"/>
      <c r="K34" s="3820"/>
      <c r="L34" s="3820"/>
      <c r="M34" s="3820"/>
      <c r="N34" s="3821">
        <v>0</v>
      </c>
      <c r="O34" s="3822"/>
      <c r="P34" s="3823"/>
      <c r="Q34" s="3822">
        <v>0</v>
      </c>
      <c r="R34" s="3822"/>
      <c r="S34" s="3824"/>
      <c r="T34" s="1335"/>
      <c r="U34" s="1335"/>
      <c r="V34" s="1335"/>
      <c r="W34" s="1333"/>
      <c r="X34" s="1333"/>
      <c r="Y34" s="1333"/>
      <c r="Z34" s="1333"/>
      <c r="AA34" s="1333"/>
      <c r="AB34" s="1333"/>
      <c r="AC34" s="1333"/>
      <c r="AD34" s="1333"/>
      <c r="AE34" s="1333"/>
      <c r="AF34" s="1335"/>
      <c r="AG34" s="1335"/>
      <c r="AH34" s="1335"/>
      <c r="AI34" s="1335"/>
      <c r="AJ34" s="1335"/>
      <c r="AK34" s="1335"/>
      <c r="AL34" s="1263"/>
      <c r="AM34" s="1284"/>
      <c r="AN34" s="1263"/>
      <c r="AO34" s="1263"/>
      <c r="AP34" s="1263"/>
      <c r="AQ34" s="1263"/>
      <c r="AR34" s="1263"/>
      <c r="AS34" s="1263"/>
      <c r="AT34" s="1263"/>
      <c r="AU34" s="1263"/>
      <c r="AV34" s="1263"/>
      <c r="AW34" s="1263"/>
      <c r="AX34" s="1263"/>
      <c r="AY34" s="1263"/>
      <c r="AZ34" s="1263"/>
      <c r="BA34" s="1263"/>
      <c r="BB34" s="1263"/>
    </row>
    <row r="35" spans="1:54" s="175" customFormat="1" ht="19.5" customHeight="1">
      <c r="A35" s="1263"/>
      <c r="B35" s="1263"/>
      <c r="C35" s="1263"/>
      <c r="D35" s="1273"/>
      <c r="E35" s="1274"/>
      <c r="F35" s="3819" t="s">
        <v>1559</v>
      </c>
      <c r="G35" s="3820"/>
      <c r="H35" s="3820"/>
      <c r="I35" s="3820"/>
      <c r="J35" s="3820"/>
      <c r="K35" s="3820"/>
      <c r="L35" s="3820"/>
      <c r="M35" s="3820"/>
      <c r="N35" s="3821">
        <v>0</v>
      </c>
      <c r="O35" s="3822"/>
      <c r="P35" s="3823"/>
      <c r="Q35" s="3822">
        <v>0</v>
      </c>
      <c r="R35" s="3822"/>
      <c r="S35" s="3824"/>
      <c r="T35" s="1335"/>
      <c r="U35" s="1335"/>
      <c r="V35" s="1335"/>
      <c r="W35" s="1333"/>
      <c r="X35" s="1333"/>
      <c r="Y35" s="1333"/>
      <c r="Z35" s="1333"/>
      <c r="AA35" s="1333"/>
      <c r="AB35" s="1333"/>
      <c r="AC35" s="1333"/>
      <c r="AD35" s="1333"/>
      <c r="AE35" s="1333"/>
      <c r="AF35" s="1335"/>
      <c r="AG35" s="1335"/>
      <c r="AH35" s="1335"/>
      <c r="AI35" s="1335"/>
      <c r="AJ35" s="1335"/>
      <c r="AK35" s="1335"/>
      <c r="AL35" s="1263"/>
      <c r="AM35" s="1284"/>
      <c r="AN35" s="1263"/>
      <c r="AO35" s="1263"/>
      <c r="AP35" s="1263"/>
      <c r="AQ35" s="1263"/>
      <c r="AR35" s="1263"/>
      <c r="AS35" s="1263"/>
      <c r="AT35" s="1263"/>
      <c r="AU35" s="1263"/>
      <c r="AV35" s="1263"/>
      <c r="AW35" s="1263"/>
      <c r="AX35" s="1263"/>
      <c r="AY35" s="1263"/>
      <c r="AZ35" s="1263"/>
      <c r="BA35" s="1263"/>
      <c r="BB35" s="1263"/>
    </row>
    <row r="36" spans="1:54" s="175" customFormat="1" ht="19.5" customHeight="1">
      <c r="A36" s="1263"/>
      <c r="B36" s="1263"/>
      <c r="C36" s="1263"/>
      <c r="D36" s="1273"/>
      <c r="E36" s="1274"/>
      <c r="F36" s="3819" t="s">
        <v>914</v>
      </c>
      <c r="G36" s="3820"/>
      <c r="H36" s="3820"/>
      <c r="I36" s="3820"/>
      <c r="J36" s="3820"/>
      <c r="K36" s="3820"/>
      <c r="L36" s="3820"/>
      <c r="M36" s="3820"/>
      <c r="N36" s="3821">
        <v>0</v>
      </c>
      <c r="O36" s="3822"/>
      <c r="P36" s="3823"/>
      <c r="Q36" s="3822">
        <v>0</v>
      </c>
      <c r="R36" s="3822"/>
      <c r="S36" s="3824"/>
      <c r="T36" s="1335"/>
      <c r="U36" s="1335"/>
      <c r="V36" s="1335"/>
      <c r="W36" s="1333"/>
      <c r="X36" s="1333"/>
      <c r="Y36" s="1333"/>
      <c r="Z36" s="1333"/>
      <c r="AA36" s="1333"/>
      <c r="AB36" s="1333"/>
      <c r="AC36" s="1333"/>
      <c r="AD36" s="1333"/>
      <c r="AE36" s="1333"/>
      <c r="AF36" s="1335"/>
      <c r="AG36" s="1335"/>
      <c r="AH36" s="1335"/>
      <c r="AI36" s="1335"/>
      <c r="AJ36" s="1335"/>
      <c r="AK36" s="1335"/>
      <c r="AL36" s="1263"/>
      <c r="AM36" s="1284"/>
      <c r="AN36" s="1263"/>
      <c r="AO36" s="1263"/>
      <c r="AP36" s="1263"/>
      <c r="AQ36" s="1263"/>
      <c r="AR36" s="1263"/>
      <c r="AS36" s="1263"/>
      <c r="AT36" s="1263"/>
      <c r="AU36" s="1263"/>
      <c r="AV36" s="1263"/>
      <c r="AW36" s="1263"/>
      <c r="AX36" s="1263"/>
      <c r="AY36" s="1263"/>
      <c r="AZ36" s="1263"/>
      <c r="BA36" s="1263"/>
      <c r="BB36" s="1263"/>
    </row>
    <row r="37" spans="1:54" s="175" customFormat="1" ht="19.5" customHeight="1">
      <c r="A37" s="1263"/>
      <c r="B37" s="1263"/>
      <c r="C37" s="1263"/>
      <c r="D37" s="1273"/>
      <c r="E37" s="1274"/>
      <c r="F37" s="3819" t="s">
        <v>916</v>
      </c>
      <c r="G37" s="3820"/>
      <c r="H37" s="3820"/>
      <c r="I37" s="3820"/>
      <c r="J37" s="3820"/>
      <c r="K37" s="3820"/>
      <c r="L37" s="3820"/>
      <c r="M37" s="3820"/>
      <c r="N37" s="3821">
        <v>0</v>
      </c>
      <c r="O37" s="3822"/>
      <c r="P37" s="3823"/>
      <c r="Q37" s="3822">
        <v>0</v>
      </c>
      <c r="R37" s="3822"/>
      <c r="S37" s="3824"/>
      <c r="T37" s="1335"/>
      <c r="U37" s="1335"/>
      <c r="V37" s="1335"/>
      <c r="W37" s="1333"/>
      <c r="X37" s="1333"/>
      <c r="Y37" s="1333"/>
      <c r="Z37" s="1333"/>
      <c r="AA37" s="1333"/>
      <c r="AB37" s="1333"/>
      <c r="AC37" s="1333"/>
      <c r="AD37" s="1333"/>
      <c r="AE37" s="1333"/>
      <c r="AF37" s="1335"/>
      <c r="AG37" s="1335"/>
      <c r="AH37" s="1335"/>
      <c r="AI37" s="1335"/>
      <c r="AJ37" s="1335"/>
      <c r="AK37" s="1335"/>
      <c r="AL37" s="1263"/>
      <c r="AM37" s="1284"/>
      <c r="AN37" s="1263"/>
      <c r="AO37" s="1263"/>
      <c r="AP37" s="1263"/>
      <c r="AQ37" s="1263"/>
      <c r="AR37" s="1263"/>
      <c r="AS37" s="1263"/>
      <c r="AT37" s="1263"/>
      <c r="AU37" s="1263"/>
      <c r="AV37" s="1263"/>
      <c r="AW37" s="1263"/>
      <c r="AX37" s="1263"/>
      <c r="AY37" s="1263"/>
      <c r="AZ37" s="1263"/>
      <c r="BA37" s="1263"/>
      <c r="BB37" s="1263"/>
    </row>
    <row r="38" spans="1:54" s="175" customFormat="1" ht="19.5" customHeight="1">
      <c r="A38" s="1263"/>
      <c r="B38" s="1263"/>
      <c r="C38" s="1263"/>
      <c r="D38" s="1273"/>
      <c r="E38" s="1274"/>
      <c r="F38" s="3819" t="s">
        <v>1560</v>
      </c>
      <c r="G38" s="3820"/>
      <c r="H38" s="3820"/>
      <c r="I38" s="3820"/>
      <c r="J38" s="3820"/>
      <c r="K38" s="3820"/>
      <c r="L38" s="3820"/>
      <c r="M38" s="3820"/>
      <c r="N38" s="3821">
        <v>0</v>
      </c>
      <c r="O38" s="3822"/>
      <c r="P38" s="3823"/>
      <c r="Q38" s="3822">
        <v>0</v>
      </c>
      <c r="R38" s="3822"/>
      <c r="S38" s="3824"/>
      <c r="T38" s="1335"/>
      <c r="U38" s="1335"/>
      <c r="V38" s="1335"/>
      <c r="W38" s="1333"/>
      <c r="X38" s="1333"/>
      <c r="Y38" s="1333"/>
      <c r="Z38" s="1333"/>
      <c r="AA38" s="1333"/>
      <c r="AB38" s="1333"/>
      <c r="AC38" s="1333"/>
      <c r="AD38" s="1333"/>
      <c r="AE38" s="1333"/>
      <c r="AF38" s="1335"/>
      <c r="AG38" s="1335"/>
      <c r="AH38" s="1335"/>
      <c r="AI38" s="1335"/>
      <c r="AJ38" s="1335"/>
      <c r="AK38" s="1335"/>
      <c r="AL38" s="1263"/>
      <c r="AM38" s="1284"/>
      <c r="AN38" s="1263"/>
      <c r="AO38" s="1263"/>
      <c r="AP38" s="1263"/>
      <c r="AQ38" s="1263"/>
      <c r="AR38" s="1263"/>
      <c r="AS38" s="1263"/>
      <c r="AT38" s="1263"/>
      <c r="AU38" s="1263"/>
      <c r="AV38" s="1263"/>
      <c r="AW38" s="1263"/>
      <c r="AX38" s="1263"/>
      <c r="AY38" s="1263"/>
      <c r="AZ38" s="1263"/>
      <c r="BA38" s="1263"/>
      <c r="BB38" s="1263"/>
    </row>
    <row r="39" spans="1:54" s="175" customFormat="1" ht="19.5" customHeight="1">
      <c r="A39" s="1263"/>
      <c r="B39" s="1263"/>
      <c r="C39" s="1263"/>
      <c r="D39" s="1273"/>
      <c r="E39" s="1274"/>
      <c r="F39" s="3819" t="s">
        <v>1561</v>
      </c>
      <c r="G39" s="3820"/>
      <c r="H39" s="3820"/>
      <c r="I39" s="3820"/>
      <c r="J39" s="3820"/>
      <c r="K39" s="3820"/>
      <c r="L39" s="3820"/>
      <c r="M39" s="3820"/>
      <c r="N39" s="3821">
        <v>0</v>
      </c>
      <c r="O39" s="3822"/>
      <c r="P39" s="3823"/>
      <c r="Q39" s="3822">
        <v>0</v>
      </c>
      <c r="R39" s="3822"/>
      <c r="S39" s="3824"/>
      <c r="T39" s="1335"/>
      <c r="U39" s="1335"/>
      <c r="V39" s="1335"/>
      <c r="W39" s="1333"/>
      <c r="X39" s="1333"/>
      <c r="Y39" s="1333"/>
      <c r="Z39" s="1333"/>
      <c r="AA39" s="1333"/>
      <c r="AB39" s="1333"/>
      <c r="AC39" s="1333"/>
      <c r="AD39" s="1333"/>
      <c r="AE39" s="1333"/>
      <c r="AF39" s="1335"/>
      <c r="AG39" s="1335"/>
      <c r="AH39" s="1335"/>
      <c r="AI39" s="1335"/>
      <c r="AJ39" s="1335"/>
      <c r="AK39" s="1335"/>
      <c r="AL39" s="1263"/>
      <c r="AM39" s="1284"/>
      <c r="AN39" s="1263"/>
      <c r="AO39" s="1263"/>
      <c r="AP39" s="1263"/>
      <c r="AQ39" s="1263"/>
      <c r="AR39" s="1263"/>
      <c r="AS39" s="1263"/>
      <c r="AT39" s="1263"/>
      <c r="AU39" s="1263"/>
      <c r="AV39" s="1263"/>
      <c r="AW39" s="1263"/>
      <c r="AX39" s="1263"/>
      <c r="AY39" s="1263"/>
      <c r="AZ39" s="1263"/>
      <c r="BA39" s="1263"/>
      <c r="BB39" s="1263"/>
    </row>
    <row r="40" spans="1:54" s="175" customFormat="1" ht="19.5" customHeight="1">
      <c r="A40" s="1263"/>
      <c r="B40" s="1263"/>
      <c r="C40" s="1263"/>
      <c r="D40" s="1273"/>
      <c r="E40" s="1274"/>
      <c r="F40" s="3819" t="s">
        <v>1562</v>
      </c>
      <c r="G40" s="3820"/>
      <c r="H40" s="3820"/>
      <c r="I40" s="3820"/>
      <c r="J40" s="3820"/>
      <c r="K40" s="3820"/>
      <c r="L40" s="3820"/>
      <c r="M40" s="3820"/>
      <c r="N40" s="3821">
        <v>0</v>
      </c>
      <c r="O40" s="3822"/>
      <c r="P40" s="3823"/>
      <c r="Q40" s="3822">
        <v>0</v>
      </c>
      <c r="R40" s="3822"/>
      <c r="S40" s="3824"/>
      <c r="T40" s="1335"/>
      <c r="U40" s="1335"/>
      <c r="V40" s="1335"/>
      <c r="W40" s="1333"/>
      <c r="X40" s="1333"/>
      <c r="Y40" s="1333"/>
      <c r="Z40" s="1333"/>
      <c r="AA40" s="1333"/>
      <c r="AB40" s="1333"/>
      <c r="AC40" s="1333"/>
      <c r="AD40" s="1333"/>
      <c r="AE40" s="1333"/>
      <c r="AF40" s="1335"/>
      <c r="AG40" s="1335"/>
      <c r="AH40" s="1335"/>
      <c r="AI40" s="1335"/>
      <c r="AJ40" s="1335"/>
      <c r="AK40" s="1335"/>
      <c r="AL40" s="1263"/>
      <c r="AM40" s="1284"/>
      <c r="AN40" s="1263"/>
      <c r="AO40" s="1263"/>
      <c r="AP40" s="1263"/>
      <c r="AQ40" s="1263"/>
      <c r="AR40" s="1263"/>
      <c r="AS40" s="1263"/>
      <c r="AT40" s="1263"/>
      <c r="AU40" s="1263"/>
      <c r="AV40" s="1263"/>
      <c r="AW40" s="1263"/>
      <c r="AX40" s="1263"/>
      <c r="AY40" s="1263"/>
      <c r="AZ40" s="1263"/>
      <c r="BA40" s="1263"/>
      <c r="BB40" s="1263"/>
    </row>
    <row r="41" spans="1:54" s="175" customFormat="1" ht="19.5" customHeight="1">
      <c r="A41" s="1263"/>
      <c r="B41" s="1263"/>
      <c r="C41" s="1263"/>
      <c r="D41" s="1273"/>
      <c r="E41" s="1274"/>
      <c r="F41" s="3819" t="s">
        <v>1563</v>
      </c>
      <c r="G41" s="3820"/>
      <c r="H41" s="3820"/>
      <c r="I41" s="3820"/>
      <c r="J41" s="3820"/>
      <c r="K41" s="3820"/>
      <c r="L41" s="3820"/>
      <c r="M41" s="3820"/>
      <c r="N41" s="3821">
        <v>0</v>
      </c>
      <c r="O41" s="3822"/>
      <c r="P41" s="3823"/>
      <c r="Q41" s="3822">
        <v>0</v>
      </c>
      <c r="R41" s="3822"/>
      <c r="S41" s="3824"/>
      <c r="T41" s="1335"/>
      <c r="U41" s="1335"/>
      <c r="V41" s="1335"/>
      <c r="W41" s="1333"/>
      <c r="X41" s="1333"/>
      <c r="Y41" s="1333"/>
      <c r="Z41" s="1333"/>
      <c r="AA41" s="1333"/>
      <c r="AB41" s="1333"/>
      <c r="AC41" s="1333"/>
      <c r="AD41" s="1333"/>
      <c r="AE41" s="1333"/>
      <c r="AF41" s="1335"/>
      <c r="AG41" s="1335"/>
      <c r="AH41" s="1335"/>
      <c r="AI41" s="1335"/>
      <c r="AJ41" s="1335"/>
      <c r="AK41" s="1335"/>
      <c r="AL41" s="1263"/>
      <c r="AM41" s="1284"/>
      <c r="AN41" s="1263"/>
      <c r="AO41" s="1263"/>
      <c r="AP41" s="1263"/>
      <c r="AQ41" s="1263"/>
      <c r="AR41" s="1263"/>
      <c r="AS41" s="1263"/>
      <c r="AT41" s="1263"/>
      <c r="AU41" s="1263"/>
      <c r="AV41" s="1263"/>
      <c r="AW41" s="1263"/>
      <c r="AX41" s="1263"/>
      <c r="AY41" s="1263"/>
      <c r="AZ41" s="1263"/>
      <c r="BA41" s="1263"/>
      <c r="BB41" s="1263"/>
    </row>
    <row r="42" spans="1:54" s="175" customFormat="1" ht="19.5" customHeight="1">
      <c r="A42" s="1263"/>
      <c r="B42" s="1263"/>
      <c r="C42" s="1263"/>
      <c r="D42" s="1273"/>
      <c r="E42" s="1274"/>
      <c r="F42" s="3819" t="s">
        <v>1891</v>
      </c>
      <c r="G42" s="3820"/>
      <c r="H42" s="3820"/>
      <c r="I42" s="3820"/>
      <c r="J42" s="3820"/>
      <c r="K42" s="3820"/>
      <c r="L42" s="3820"/>
      <c r="M42" s="3820"/>
      <c r="N42" s="3821">
        <v>0</v>
      </c>
      <c r="O42" s="3822"/>
      <c r="P42" s="3823"/>
      <c r="Q42" s="3822">
        <v>0</v>
      </c>
      <c r="R42" s="3822"/>
      <c r="S42" s="3824"/>
      <c r="T42" s="1335"/>
      <c r="U42" s="1335"/>
      <c r="V42" s="1335"/>
      <c r="W42" s="1333"/>
      <c r="X42" s="1333"/>
      <c r="Y42" s="1333"/>
      <c r="Z42" s="1333"/>
      <c r="AA42" s="1333"/>
      <c r="AB42" s="1333"/>
      <c r="AC42" s="1333"/>
      <c r="AD42" s="1333"/>
      <c r="AE42" s="1333"/>
      <c r="AF42" s="1335"/>
      <c r="AG42" s="1335"/>
      <c r="AH42" s="1335"/>
      <c r="AI42" s="1335"/>
      <c r="AJ42" s="1335"/>
      <c r="AK42" s="1335"/>
      <c r="AL42" s="1263"/>
      <c r="AM42" s="1284"/>
      <c r="AN42" s="1263"/>
      <c r="AO42" s="1263"/>
      <c r="AP42" s="1263"/>
      <c r="AQ42" s="1263"/>
      <c r="AR42" s="1263"/>
      <c r="AS42" s="1263"/>
      <c r="AT42" s="1263"/>
      <c r="AU42" s="1263"/>
      <c r="AV42" s="1263"/>
      <c r="AW42" s="1263"/>
      <c r="AX42" s="1263"/>
      <c r="AY42" s="1263"/>
      <c r="AZ42" s="1263"/>
      <c r="BA42" s="1263"/>
      <c r="BB42" s="1263"/>
    </row>
    <row r="43" spans="1:54" s="175" customFormat="1" ht="19.5" customHeight="1">
      <c r="A43" s="1263"/>
      <c r="B43" s="1263"/>
      <c r="C43" s="1263"/>
      <c r="D43" s="1273"/>
      <c r="E43" s="1274"/>
      <c r="F43" s="3819"/>
      <c r="G43" s="3820"/>
      <c r="H43" s="3820"/>
      <c r="I43" s="3820"/>
      <c r="J43" s="3820"/>
      <c r="K43" s="3820"/>
      <c r="L43" s="3820"/>
      <c r="M43" s="3820"/>
      <c r="N43" s="3821"/>
      <c r="O43" s="3822"/>
      <c r="P43" s="3823"/>
      <c r="Q43" s="3822"/>
      <c r="R43" s="3822"/>
      <c r="S43" s="3824"/>
      <c r="T43" s="1335"/>
      <c r="U43" s="1335"/>
      <c r="V43" s="1335"/>
      <c r="W43" s="1333"/>
      <c r="X43" s="1333"/>
      <c r="Y43" s="1333"/>
      <c r="Z43" s="1333"/>
      <c r="AA43" s="1333"/>
      <c r="AB43" s="1333"/>
      <c r="AC43" s="1333"/>
      <c r="AD43" s="1333"/>
      <c r="AE43" s="1333"/>
      <c r="AF43" s="1335"/>
      <c r="AG43" s="1335"/>
      <c r="AH43" s="1335"/>
      <c r="AI43" s="1335"/>
      <c r="AJ43" s="1335"/>
      <c r="AK43" s="1335"/>
      <c r="AL43" s="1263"/>
      <c r="AM43" s="1284"/>
      <c r="AN43" s="1263"/>
      <c r="AO43" s="1263"/>
      <c r="AP43" s="1263"/>
      <c r="AQ43" s="1263"/>
      <c r="AR43" s="1263"/>
      <c r="AS43" s="1263"/>
      <c r="AT43" s="1263"/>
      <c r="AU43" s="1263"/>
      <c r="AV43" s="1263"/>
      <c r="AW43" s="1263"/>
      <c r="AX43" s="1263"/>
      <c r="AY43" s="1263"/>
      <c r="AZ43" s="1263"/>
      <c r="BA43" s="1263"/>
      <c r="BB43" s="1263"/>
    </row>
    <row r="44" spans="1:54" s="175" customFormat="1" ht="19.5" customHeight="1" thickBot="1">
      <c r="A44" s="1263"/>
      <c r="B44" s="1263"/>
      <c r="C44" s="1263"/>
      <c r="D44" s="1273"/>
      <c r="E44" s="1274"/>
      <c r="F44" s="3751" t="s">
        <v>1564</v>
      </c>
      <c r="G44" s="3752"/>
      <c r="H44" s="3752"/>
      <c r="I44" s="3752"/>
      <c r="J44" s="3752"/>
      <c r="K44" s="3752"/>
      <c r="L44" s="3752"/>
      <c r="M44" s="3752"/>
      <c r="N44" s="3683">
        <v>0</v>
      </c>
      <c r="O44" s="3684"/>
      <c r="P44" s="3825"/>
      <c r="Q44" s="3684">
        <v>0</v>
      </c>
      <c r="R44" s="3684"/>
      <c r="S44" s="3773"/>
      <c r="T44" s="1335"/>
      <c r="U44" s="1335"/>
      <c r="V44" s="1335"/>
      <c r="W44" s="1333"/>
      <c r="X44" s="1333"/>
      <c r="Y44" s="1333"/>
      <c r="Z44" s="1333"/>
      <c r="AA44" s="1333"/>
      <c r="AB44" s="1333"/>
      <c r="AC44" s="1333"/>
      <c r="AD44" s="1333"/>
      <c r="AE44" s="1333"/>
      <c r="AF44" s="1335"/>
      <c r="AG44" s="1335"/>
      <c r="AH44" s="1335"/>
      <c r="AI44" s="1335"/>
      <c r="AJ44" s="1335"/>
      <c r="AK44" s="1335"/>
      <c r="AL44" s="1263"/>
      <c r="AM44" s="1284"/>
      <c r="AN44" s="1263"/>
      <c r="AO44" s="1263"/>
      <c r="AP44" s="1263"/>
      <c r="AQ44" s="1263"/>
      <c r="AR44" s="1263"/>
      <c r="AS44" s="1263"/>
      <c r="AT44" s="1263"/>
      <c r="AU44" s="1263"/>
      <c r="AV44" s="1263"/>
      <c r="AW44" s="1263"/>
      <c r="AX44" s="1263"/>
      <c r="AY44" s="1263"/>
      <c r="AZ44" s="1263"/>
      <c r="BA44" s="1263"/>
      <c r="BB44" s="1263"/>
    </row>
    <row r="45" spans="1:54" s="175" customFormat="1" ht="9.9499999999999993" customHeight="1" thickTop="1">
      <c r="A45" s="1263"/>
      <c r="B45" s="1263"/>
      <c r="C45" s="1263"/>
      <c r="D45" s="1273"/>
      <c r="E45" s="1274"/>
      <c r="F45" s="1333"/>
      <c r="G45" s="1333"/>
      <c r="H45" s="1333"/>
      <c r="I45" s="1333"/>
      <c r="J45" s="1333"/>
      <c r="K45" s="1333"/>
      <c r="L45" s="1333"/>
      <c r="M45" s="1333"/>
      <c r="N45" s="1333"/>
      <c r="O45" s="1335"/>
      <c r="P45" s="1335"/>
      <c r="Q45" s="1335"/>
      <c r="R45" s="1335"/>
      <c r="S45" s="1335"/>
      <c r="T45" s="1335"/>
      <c r="U45" s="1335"/>
      <c r="V45" s="1335"/>
      <c r="W45" s="1335"/>
      <c r="X45" s="1333"/>
      <c r="Y45" s="1333"/>
      <c r="Z45" s="1333"/>
      <c r="AA45" s="1333"/>
      <c r="AB45" s="1333"/>
      <c r="AC45" s="1333"/>
      <c r="AD45" s="1333"/>
      <c r="AE45" s="1333"/>
      <c r="AF45" s="1333"/>
      <c r="AG45" s="1335"/>
      <c r="AH45" s="1335"/>
      <c r="AI45" s="1335"/>
      <c r="AJ45" s="1335"/>
      <c r="AK45" s="1335"/>
      <c r="AL45" s="1335"/>
      <c r="AM45" s="1284"/>
      <c r="AN45" s="1263"/>
      <c r="AO45" s="1263"/>
      <c r="AP45" s="1263"/>
      <c r="AQ45" s="1263"/>
      <c r="AR45" s="1263"/>
      <c r="AS45" s="1263"/>
      <c r="AT45" s="1263"/>
      <c r="AU45" s="1263"/>
      <c r="AV45" s="1263"/>
      <c r="AW45" s="1263"/>
      <c r="AX45" s="1263"/>
      <c r="AY45" s="1263"/>
      <c r="AZ45" s="1263"/>
      <c r="BA45" s="1263"/>
      <c r="BB45" s="1263"/>
    </row>
    <row r="46" spans="1:54" s="183" customFormat="1" ht="35.450000000000003" customHeight="1" thickBot="1">
      <c r="A46" s="1371"/>
      <c r="B46" s="1371"/>
      <c r="C46" s="1371"/>
      <c r="D46" s="1372"/>
      <c r="E46" s="1373" t="s">
        <v>51</v>
      </c>
      <c r="F46" s="3810" t="s">
        <v>11440</v>
      </c>
      <c r="G46" s="3810"/>
      <c r="H46" s="3810"/>
      <c r="I46" s="3810"/>
      <c r="J46" s="3810"/>
      <c r="K46" s="3810"/>
      <c r="L46" s="3810"/>
      <c r="M46" s="3810"/>
      <c r="N46" s="3810"/>
      <c r="O46" s="3810"/>
      <c r="P46" s="3810"/>
      <c r="Q46" s="3810"/>
      <c r="R46" s="3810"/>
      <c r="S46" s="3810"/>
      <c r="T46" s="3810"/>
      <c r="U46" s="3810"/>
      <c r="V46" s="3810"/>
      <c r="W46" s="3810"/>
      <c r="X46" s="3810"/>
      <c r="Y46" s="3810"/>
      <c r="Z46" s="3810"/>
      <c r="AA46" s="3810"/>
      <c r="AB46" s="3810"/>
      <c r="AC46" s="3810"/>
      <c r="AD46" s="3810"/>
      <c r="AE46" s="3810"/>
      <c r="AF46" s="3810"/>
      <c r="AG46" s="3810"/>
      <c r="AH46" s="3810"/>
      <c r="AI46" s="3810"/>
      <c r="AJ46" s="3810"/>
      <c r="AK46" s="3810"/>
      <c r="AL46" s="1374"/>
      <c r="AM46" s="1375"/>
      <c r="AN46" s="1374"/>
      <c r="AO46" s="1374"/>
      <c r="AP46" s="1374"/>
      <c r="AQ46" s="1374"/>
      <c r="AR46" s="1374"/>
      <c r="AS46" s="1374"/>
      <c r="AT46" s="1374"/>
      <c r="AU46" s="1371"/>
      <c r="AV46" s="1371"/>
      <c r="AW46" s="1371"/>
      <c r="AX46" s="1371"/>
      <c r="AY46" s="1371"/>
      <c r="AZ46" s="1371"/>
      <c r="BA46" s="1371"/>
      <c r="BB46" s="1371"/>
    </row>
    <row r="47" spans="1:54" s="180" customFormat="1" ht="19.7" customHeight="1" thickTop="1" thickBot="1">
      <c r="A47" s="1347"/>
      <c r="B47" s="1347"/>
      <c r="C47" s="1347"/>
      <c r="D47" s="1355"/>
      <c r="E47" s="1376"/>
      <c r="F47" s="3811" t="s">
        <v>1571</v>
      </c>
      <c r="G47" s="3812"/>
      <c r="H47" s="3812"/>
      <c r="I47" s="3812"/>
      <c r="J47" s="3812"/>
      <c r="K47" s="3812"/>
      <c r="L47" s="3812"/>
      <c r="M47" s="3813"/>
      <c r="N47" s="3814" t="s">
        <v>835</v>
      </c>
      <c r="O47" s="3815" t="s">
        <v>836</v>
      </c>
      <c r="P47" s="3816" t="s">
        <v>836</v>
      </c>
      <c r="Q47" s="3817" t="s">
        <v>837</v>
      </c>
      <c r="R47" s="3814" t="s">
        <v>837</v>
      </c>
      <c r="S47" s="3815" t="s">
        <v>838</v>
      </c>
      <c r="T47" s="3816" t="s">
        <v>838</v>
      </c>
      <c r="U47" s="3817"/>
      <c r="V47" s="3814" t="s">
        <v>839</v>
      </c>
      <c r="W47" s="3815"/>
      <c r="X47" s="3816" t="s">
        <v>828</v>
      </c>
      <c r="Y47" s="3817"/>
      <c r="Z47" s="3814" t="s">
        <v>829</v>
      </c>
      <c r="AA47" s="3815"/>
      <c r="AB47" s="3816" t="s">
        <v>830</v>
      </c>
      <c r="AC47" s="3817"/>
      <c r="AD47" s="3814" t="s">
        <v>831</v>
      </c>
      <c r="AE47" s="3815"/>
      <c r="AF47" s="3816" t="s">
        <v>832</v>
      </c>
      <c r="AG47" s="3817"/>
      <c r="AH47" s="3816" t="s">
        <v>833</v>
      </c>
      <c r="AI47" s="3817"/>
      <c r="AJ47" s="3814" t="s">
        <v>834</v>
      </c>
      <c r="AK47" s="3818"/>
      <c r="AL47" s="1377"/>
      <c r="AM47" s="1359"/>
      <c r="AN47" s="1347"/>
      <c r="AO47" s="1347"/>
      <c r="AP47" s="1347"/>
      <c r="AQ47" s="1347"/>
      <c r="AR47" s="1347"/>
      <c r="AS47" s="1347"/>
      <c r="AT47" s="1347"/>
      <c r="AU47" s="1347"/>
      <c r="AV47" s="1347"/>
      <c r="AW47" s="1347"/>
      <c r="AX47" s="1347"/>
      <c r="AY47" s="1347"/>
      <c r="AZ47" s="1347"/>
      <c r="BA47" s="1347"/>
      <c r="BB47" s="1347"/>
    </row>
    <row r="48" spans="1:54" s="180" customFormat="1" ht="19.7" customHeight="1" thickTop="1">
      <c r="A48" s="1347"/>
      <c r="B48" s="1347"/>
      <c r="C48" s="1347"/>
      <c r="D48" s="1355"/>
      <c r="E48" s="1376"/>
      <c r="F48" s="3802" t="s">
        <v>925</v>
      </c>
      <c r="G48" s="3803"/>
      <c r="H48" s="3803"/>
      <c r="I48" s="3803"/>
      <c r="J48" s="3803"/>
      <c r="K48" s="3803"/>
      <c r="L48" s="3803"/>
      <c r="M48" s="3804"/>
      <c r="N48" s="3805">
        <v>0</v>
      </c>
      <c r="O48" s="3806"/>
      <c r="P48" s="3807">
        <v>0</v>
      </c>
      <c r="Q48" s="3808"/>
      <c r="R48" s="3805">
        <v>1</v>
      </c>
      <c r="S48" s="3806"/>
      <c r="T48" s="3807">
        <v>0</v>
      </c>
      <c r="U48" s="3808"/>
      <c r="V48" s="3805">
        <v>0</v>
      </c>
      <c r="W48" s="3806"/>
      <c r="X48" s="3807">
        <v>1</v>
      </c>
      <c r="Y48" s="3808"/>
      <c r="Z48" s="3805">
        <v>0</v>
      </c>
      <c r="AA48" s="3806"/>
      <c r="AB48" s="3807">
        <v>0</v>
      </c>
      <c r="AC48" s="3808"/>
      <c r="AD48" s="3805">
        <v>1</v>
      </c>
      <c r="AE48" s="3806"/>
      <c r="AF48" s="3807">
        <v>0</v>
      </c>
      <c r="AG48" s="3808"/>
      <c r="AH48" s="3807">
        <v>1</v>
      </c>
      <c r="AI48" s="3808"/>
      <c r="AJ48" s="3805">
        <v>0</v>
      </c>
      <c r="AK48" s="3809"/>
      <c r="AL48" s="1378"/>
      <c r="AM48" s="1359"/>
      <c r="AN48" s="1347"/>
      <c r="AO48" s="1347"/>
      <c r="AP48" s="1347"/>
      <c r="AQ48" s="1347"/>
      <c r="AR48" s="1347"/>
      <c r="AS48" s="1347"/>
      <c r="AT48" s="1347"/>
      <c r="AU48" s="1347"/>
      <c r="AV48" s="1347"/>
      <c r="AW48" s="1347"/>
      <c r="AX48" s="1347"/>
      <c r="AY48" s="1347"/>
      <c r="AZ48" s="1347"/>
      <c r="BA48" s="1347"/>
      <c r="BB48" s="1347"/>
    </row>
    <row r="49" spans="1:54" s="180" customFormat="1" ht="19.7" customHeight="1">
      <c r="A49" s="1347"/>
      <c r="B49" s="1347"/>
      <c r="C49" s="1347"/>
      <c r="D49" s="1355"/>
      <c r="E49" s="1376"/>
      <c r="F49" s="3799" t="s">
        <v>926</v>
      </c>
      <c r="G49" s="3800"/>
      <c r="H49" s="3800"/>
      <c r="I49" s="3800"/>
      <c r="J49" s="3800"/>
      <c r="K49" s="3800"/>
      <c r="L49" s="3800"/>
      <c r="M49" s="3801"/>
      <c r="N49" s="3791">
        <v>0</v>
      </c>
      <c r="O49" s="3798"/>
      <c r="P49" s="3796">
        <v>0</v>
      </c>
      <c r="Q49" s="3797"/>
      <c r="R49" s="3791">
        <v>1</v>
      </c>
      <c r="S49" s="3798"/>
      <c r="T49" s="3796">
        <v>0</v>
      </c>
      <c r="U49" s="3797"/>
      <c r="V49" s="3791">
        <v>0</v>
      </c>
      <c r="W49" s="3798"/>
      <c r="X49" s="3796">
        <v>1</v>
      </c>
      <c r="Y49" s="3797"/>
      <c r="Z49" s="3791">
        <v>0</v>
      </c>
      <c r="AA49" s="3798"/>
      <c r="AB49" s="3796">
        <v>0</v>
      </c>
      <c r="AC49" s="3797"/>
      <c r="AD49" s="3791">
        <v>1</v>
      </c>
      <c r="AE49" s="3798"/>
      <c r="AF49" s="3796">
        <v>0</v>
      </c>
      <c r="AG49" s="3797"/>
      <c r="AH49" s="3796">
        <v>1</v>
      </c>
      <c r="AI49" s="3797"/>
      <c r="AJ49" s="3791">
        <v>0</v>
      </c>
      <c r="AK49" s="3792"/>
      <c r="AL49" s="1378"/>
      <c r="AM49" s="1359"/>
      <c r="AN49" s="1347"/>
      <c r="AO49" s="1347"/>
      <c r="AP49" s="1347"/>
      <c r="AQ49" s="1347"/>
      <c r="AR49" s="1347"/>
      <c r="AS49" s="1347"/>
      <c r="AT49" s="1347"/>
      <c r="AU49" s="1347"/>
      <c r="AV49" s="1347"/>
      <c r="AW49" s="1347"/>
      <c r="AX49" s="1347"/>
      <c r="AY49" s="1347"/>
      <c r="AZ49" s="1347"/>
      <c r="BA49" s="1347"/>
      <c r="BB49" s="1347"/>
    </row>
    <row r="50" spans="1:54" s="180" customFormat="1" ht="19.7" customHeight="1">
      <c r="A50" s="1347"/>
      <c r="B50" s="1347"/>
      <c r="C50" s="1347"/>
      <c r="D50" s="1355"/>
      <c r="E50" s="1376"/>
      <c r="F50" s="3799" t="s">
        <v>927</v>
      </c>
      <c r="G50" s="3800"/>
      <c r="H50" s="3800"/>
      <c r="I50" s="3800"/>
      <c r="J50" s="3800"/>
      <c r="K50" s="3800"/>
      <c r="L50" s="3800"/>
      <c r="M50" s="3801"/>
      <c r="N50" s="3791">
        <v>0</v>
      </c>
      <c r="O50" s="3798"/>
      <c r="P50" s="3796">
        <v>0</v>
      </c>
      <c r="Q50" s="3797"/>
      <c r="R50" s="3791">
        <v>0</v>
      </c>
      <c r="S50" s="3798"/>
      <c r="T50" s="3796">
        <v>0</v>
      </c>
      <c r="U50" s="3797"/>
      <c r="V50" s="3791">
        <v>0</v>
      </c>
      <c r="W50" s="3798"/>
      <c r="X50" s="3796">
        <v>0</v>
      </c>
      <c r="Y50" s="3797"/>
      <c r="Z50" s="3791">
        <v>0</v>
      </c>
      <c r="AA50" s="3798"/>
      <c r="AB50" s="3796">
        <v>0</v>
      </c>
      <c r="AC50" s="3797"/>
      <c r="AD50" s="3791">
        <v>0</v>
      </c>
      <c r="AE50" s="3798"/>
      <c r="AF50" s="3796">
        <v>0</v>
      </c>
      <c r="AG50" s="3797"/>
      <c r="AH50" s="3796">
        <v>0</v>
      </c>
      <c r="AI50" s="3797"/>
      <c r="AJ50" s="3791">
        <v>0</v>
      </c>
      <c r="AK50" s="3792"/>
      <c r="AL50" s="1378"/>
      <c r="AM50" s="1359"/>
      <c r="AN50" s="1347"/>
      <c r="AO50" s="1347"/>
      <c r="AP50" s="1347"/>
      <c r="AQ50" s="1347"/>
      <c r="AR50" s="1347"/>
      <c r="AS50" s="1347"/>
      <c r="AT50" s="1347"/>
      <c r="AU50" s="1347"/>
      <c r="AV50" s="1347"/>
      <c r="AW50" s="1347"/>
      <c r="AX50" s="1347"/>
      <c r="AY50" s="1347"/>
      <c r="AZ50" s="1347"/>
      <c r="BA50" s="1347"/>
      <c r="BB50" s="1347"/>
    </row>
    <row r="51" spans="1:54" s="180" customFormat="1" ht="19.7" customHeight="1">
      <c r="A51" s="1347"/>
      <c r="B51" s="1347"/>
      <c r="C51" s="1347"/>
      <c r="D51" s="1355"/>
      <c r="E51" s="1376"/>
      <c r="F51" s="3799" t="s">
        <v>930</v>
      </c>
      <c r="G51" s="3800"/>
      <c r="H51" s="3800"/>
      <c r="I51" s="3800"/>
      <c r="J51" s="3800"/>
      <c r="K51" s="3800"/>
      <c r="L51" s="3800"/>
      <c r="M51" s="3801"/>
      <c r="N51" s="3791">
        <v>0</v>
      </c>
      <c r="O51" s="3798"/>
      <c r="P51" s="3796">
        <v>0</v>
      </c>
      <c r="Q51" s="3797"/>
      <c r="R51" s="3791">
        <v>0</v>
      </c>
      <c r="S51" s="3798"/>
      <c r="T51" s="3796">
        <v>0</v>
      </c>
      <c r="U51" s="3797"/>
      <c r="V51" s="3791">
        <v>0</v>
      </c>
      <c r="W51" s="3798"/>
      <c r="X51" s="3796">
        <v>0</v>
      </c>
      <c r="Y51" s="3797"/>
      <c r="Z51" s="3791">
        <v>0</v>
      </c>
      <c r="AA51" s="3798"/>
      <c r="AB51" s="3796">
        <v>0</v>
      </c>
      <c r="AC51" s="3797"/>
      <c r="AD51" s="3791">
        <v>0</v>
      </c>
      <c r="AE51" s="3798"/>
      <c r="AF51" s="3796">
        <v>0</v>
      </c>
      <c r="AG51" s="3797"/>
      <c r="AH51" s="3796">
        <v>0</v>
      </c>
      <c r="AI51" s="3797"/>
      <c r="AJ51" s="3791">
        <v>0</v>
      </c>
      <c r="AK51" s="3792"/>
      <c r="AL51" s="1378"/>
      <c r="AM51" s="1359"/>
      <c r="AN51" s="1347"/>
      <c r="AO51" s="1347"/>
      <c r="AP51" s="1347"/>
      <c r="AQ51" s="1347"/>
      <c r="AR51" s="1347"/>
      <c r="AS51" s="1347"/>
      <c r="AT51" s="1347"/>
      <c r="AU51" s="1347"/>
      <c r="AV51" s="1347"/>
      <c r="AW51" s="1347"/>
      <c r="AX51" s="1347"/>
      <c r="AY51" s="1347"/>
      <c r="AZ51" s="1347"/>
      <c r="BA51" s="1347"/>
      <c r="BB51" s="1347"/>
    </row>
    <row r="52" spans="1:54" s="180" customFormat="1" ht="19.7" customHeight="1">
      <c r="A52" s="1347"/>
      <c r="B52" s="1347"/>
      <c r="C52" s="1347"/>
      <c r="D52" s="1355"/>
      <c r="E52" s="1376"/>
      <c r="F52" s="3799" t="s">
        <v>929</v>
      </c>
      <c r="G52" s="3800"/>
      <c r="H52" s="3800"/>
      <c r="I52" s="3800"/>
      <c r="J52" s="3800"/>
      <c r="K52" s="3800"/>
      <c r="L52" s="3800"/>
      <c r="M52" s="3801"/>
      <c r="N52" s="3791">
        <v>0</v>
      </c>
      <c r="O52" s="3798"/>
      <c r="P52" s="3796">
        <v>0</v>
      </c>
      <c r="Q52" s="3797"/>
      <c r="R52" s="3791">
        <v>0</v>
      </c>
      <c r="S52" s="3798"/>
      <c r="T52" s="3796">
        <v>0</v>
      </c>
      <c r="U52" s="3797"/>
      <c r="V52" s="3791">
        <v>0</v>
      </c>
      <c r="W52" s="3798"/>
      <c r="X52" s="3796">
        <v>0</v>
      </c>
      <c r="Y52" s="3797"/>
      <c r="Z52" s="3791">
        <v>0</v>
      </c>
      <c r="AA52" s="3798"/>
      <c r="AB52" s="3796">
        <v>0</v>
      </c>
      <c r="AC52" s="3797"/>
      <c r="AD52" s="3791">
        <v>0</v>
      </c>
      <c r="AE52" s="3798"/>
      <c r="AF52" s="3796">
        <v>0</v>
      </c>
      <c r="AG52" s="3797"/>
      <c r="AH52" s="3796">
        <v>0</v>
      </c>
      <c r="AI52" s="3797"/>
      <c r="AJ52" s="3791">
        <v>0</v>
      </c>
      <c r="AK52" s="3792"/>
      <c r="AL52" s="1378"/>
      <c r="AM52" s="1359"/>
      <c r="AN52" s="1347"/>
      <c r="AO52" s="1347"/>
      <c r="AP52" s="1347"/>
      <c r="AQ52" s="1347"/>
      <c r="AR52" s="1347"/>
      <c r="AS52" s="1347"/>
      <c r="AT52" s="1347"/>
      <c r="AU52" s="1347"/>
      <c r="AV52" s="1347"/>
      <c r="AW52" s="1347"/>
      <c r="AX52" s="1347"/>
      <c r="AY52" s="1347"/>
      <c r="AZ52" s="1347"/>
      <c r="BA52" s="1347"/>
      <c r="BB52" s="1347"/>
    </row>
    <row r="53" spans="1:54" s="180" customFormat="1" ht="19.7" customHeight="1" thickBot="1">
      <c r="A53" s="1347"/>
      <c r="B53" s="1347"/>
      <c r="C53" s="1347"/>
      <c r="D53" s="1355"/>
      <c r="E53" s="1376"/>
      <c r="F53" s="3793" t="s">
        <v>928</v>
      </c>
      <c r="G53" s="3794"/>
      <c r="H53" s="3794"/>
      <c r="I53" s="3794"/>
      <c r="J53" s="3794"/>
      <c r="K53" s="3794"/>
      <c r="L53" s="3794"/>
      <c r="M53" s="3795"/>
      <c r="N53" s="3786">
        <v>0</v>
      </c>
      <c r="O53" s="3787"/>
      <c r="P53" s="3788">
        <v>0</v>
      </c>
      <c r="Q53" s="3789"/>
      <c r="R53" s="3786">
        <v>0</v>
      </c>
      <c r="S53" s="3787"/>
      <c r="T53" s="3788">
        <v>0</v>
      </c>
      <c r="U53" s="3789"/>
      <c r="V53" s="3786">
        <v>0</v>
      </c>
      <c r="W53" s="3787"/>
      <c r="X53" s="3788">
        <v>0</v>
      </c>
      <c r="Y53" s="3789"/>
      <c r="Z53" s="3786">
        <v>0</v>
      </c>
      <c r="AA53" s="3787"/>
      <c r="AB53" s="3788">
        <v>0</v>
      </c>
      <c r="AC53" s="3789"/>
      <c r="AD53" s="3786">
        <v>0</v>
      </c>
      <c r="AE53" s="3787"/>
      <c r="AF53" s="3788">
        <v>0</v>
      </c>
      <c r="AG53" s="3789"/>
      <c r="AH53" s="3788">
        <v>0</v>
      </c>
      <c r="AI53" s="3789"/>
      <c r="AJ53" s="3786">
        <v>0</v>
      </c>
      <c r="AK53" s="3790"/>
      <c r="AL53" s="1378"/>
      <c r="AM53" s="1359"/>
      <c r="AN53" s="1347"/>
      <c r="AO53" s="1347"/>
      <c r="AP53" s="1347"/>
      <c r="AQ53" s="1347"/>
      <c r="AR53" s="1347"/>
      <c r="AS53" s="1347"/>
      <c r="AT53" s="1347"/>
      <c r="AU53" s="1347"/>
      <c r="AV53" s="1347"/>
      <c r="AW53" s="1347"/>
      <c r="AX53" s="1347"/>
      <c r="AY53" s="1347"/>
      <c r="AZ53" s="1347"/>
      <c r="BA53" s="1347"/>
      <c r="BB53" s="1347"/>
    </row>
    <row r="54" spans="1:54" s="180" customFormat="1" ht="9" customHeight="1" thickTop="1">
      <c r="A54" s="1347"/>
      <c r="B54" s="1347"/>
      <c r="C54" s="1347"/>
      <c r="D54" s="1355"/>
      <c r="E54" s="1376"/>
      <c r="F54" s="1379"/>
      <c r="G54" s="1347"/>
      <c r="H54" s="1347"/>
      <c r="I54" s="1362"/>
      <c r="J54" s="1362"/>
      <c r="K54" s="1362"/>
      <c r="L54" s="1362"/>
      <c r="M54" s="1362"/>
      <c r="N54" s="1362"/>
      <c r="O54" s="1378"/>
      <c r="P54" s="1378"/>
      <c r="Q54" s="1378"/>
      <c r="R54" s="1378"/>
      <c r="S54" s="1378"/>
      <c r="T54" s="1378"/>
      <c r="U54" s="1378"/>
      <c r="V54" s="1378"/>
      <c r="W54" s="1378"/>
      <c r="X54" s="1378"/>
      <c r="Y54" s="1378"/>
      <c r="Z54" s="1378"/>
      <c r="AA54" s="1378"/>
      <c r="AB54" s="1378"/>
      <c r="AC54" s="1378"/>
      <c r="AD54" s="1378"/>
      <c r="AE54" s="1378"/>
      <c r="AF54" s="1378"/>
      <c r="AG54" s="1378"/>
      <c r="AH54" s="1378"/>
      <c r="AI54" s="1378"/>
      <c r="AJ54" s="1378"/>
      <c r="AK54" s="1378"/>
      <c r="AL54" s="1378"/>
      <c r="AM54" s="1380"/>
      <c r="AN54" s="1378"/>
      <c r="AO54" s="1378"/>
      <c r="AP54" s="1378"/>
      <c r="AQ54" s="1347"/>
      <c r="AR54" s="1347"/>
      <c r="AS54" s="1347"/>
      <c r="AT54" s="1347"/>
      <c r="AU54" s="1347"/>
      <c r="AV54" s="1347"/>
      <c r="AW54" s="1347"/>
      <c r="AX54" s="1347"/>
      <c r="AY54" s="1347"/>
      <c r="AZ54" s="1347"/>
      <c r="BA54" s="1347"/>
      <c r="BB54" s="1347"/>
    </row>
    <row r="55" spans="1:54" ht="15.6" customHeight="1">
      <c r="A55" s="1262"/>
      <c r="B55" s="1262"/>
      <c r="C55" s="1262"/>
      <c r="D55" s="1269"/>
      <c r="E55" s="1301" t="s">
        <v>52</v>
      </c>
      <c r="F55" s="3638" t="s">
        <v>1572</v>
      </c>
      <c r="G55" s="3638"/>
      <c r="H55" s="3638"/>
      <c r="I55" s="3638"/>
      <c r="J55" s="3638"/>
      <c r="K55" s="3638"/>
      <c r="L55" s="3638"/>
      <c r="M55" s="3638"/>
      <c r="N55" s="3638"/>
      <c r="O55" s="3638"/>
      <c r="P55" s="3638"/>
      <c r="Q55" s="3638"/>
      <c r="R55" s="3638"/>
      <c r="S55" s="3638"/>
      <c r="T55" s="3638"/>
      <c r="U55" s="3638"/>
      <c r="V55" s="3638"/>
      <c r="W55" s="3638"/>
      <c r="X55" s="3638"/>
      <c r="Y55" s="3638"/>
      <c r="Z55" s="3638"/>
      <c r="AA55" s="3638"/>
      <c r="AB55" s="3638"/>
      <c r="AC55" s="3638"/>
      <c r="AD55" s="3638"/>
      <c r="AE55" s="3638"/>
      <c r="AF55" s="3638"/>
      <c r="AG55" s="3638"/>
      <c r="AH55" s="3638"/>
      <c r="AI55" s="3638"/>
      <c r="AJ55" s="3638"/>
      <c r="AK55" s="3638"/>
      <c r="AL55" s="1271"/>
      <c r="AM55" s="1272"/>
      <c r="AN55" s="1271"/>
      <c r="AO55" s="1271"/>
      <c r="AP55" s="1262"/>
      <c r="AQ55" s="1262"/>
      <c r="AR55" s="1262"/>
      <c r="AS55" s="1262"/>
      <c r="AT55" s="1262"/>
      <c r="AU55" s="1262"/>
      <c r="AV55" s="1262"/>
      <c r="AW55" s="1262"/>
      <c r="AX55" s="1262"/>
      <c r="AY55" s="1262"/>
      <c r="AZ55" s="1262"/>
      <c r="BA55" s="1262"/>
      <c r="BB55" s="1262"/>
    </row>
    <row r="56" spans="1:54" ht="5.0999999999999996" customHeight="1" thickBot="1">
      <c r="A56" s="1262"/>
      <c r="B56" s="1262"/>
      <c r="C56" s="1262"/>
      <c r="D56" s="1303"/>
      <c r="E56" s="1327"/>
      <c r="F56" s="1327"/>
      <c r="G56" s="1327"/>
      <c r="H56" s="1327"/>
      <c r="I56" s="1327"/>
      <c r="J56" s="1327"/>
      <c r="K56" s="1327"/>
      <c r="L56" s="1327"/>
      <c r="M56" s="1327"/>
      <c r="N56" s="1327"/>
      <c r="O56" s="1327"/>
      <c r="P56" s="1327"/>
      <c r="Q56" s="1327"/>
      <c r="R56" s="1327"/>
      <c r="S56" s="1327"/>
      <c r="T56" s="1327"/>
      <c r="U56" s="1327"/>
      <c r="V56" s="1327"/>
      <c r="W56" s="1327"/>
      <c r="X56" s="1327"/>
      <c r="Y56" s="1327"/>
      <c r="Z56" s="1327"/>
      <c r="AA56" s="1327"/>
      <c r="AB56" s="1327"/>
      <c r="AC56" s="1327"/>
      <c r="AD56" s="1327"/>
      <c r="AE56" s="1327"/>
      <c r="AF56" s="1327"/>
      <c r="AG56" s="1327"/>
      <c r="AH56" s="1327"/>
      <c r="AI56" s="1327"/>
      <c r="AJ56" s="1327"/>
      <c r="AK56" s="1327"/>
      <c r="AL56" s="1327"/>
      <c r="AM56" s="1277"/>
      <c r="AN56" s="1327"/>
      <c r="AO56" s="1327"/>
      <c r="AP56" s="1262"/>
      <c r="AQ56" s="1262"/>
      <c r="AR56" s="1262"/>
      <c r="AS56" s="1262"/>
      <c r="AT56" s="1262"/>
      <c r="AU56" s="1262"/>
      <c r="AV56" s="1262"/>
      <c r="AW56" s="1262"/>
      <c r="AX56" s="1262"/>
      <c r="AY56" s="1262"/>
      <c r="AZ56" s="1262"/>
      <c r="BA56" s="1262"/>
      <c r="BB56" s="1262"/>
    </row>
    <row r="57" spans="1:54" s="175" customFormat="1" ht="35.1" customHeight="1" thickTop="1" thickBot="1">
      <c r="A57" s="1263"/>
      <c r="B57" s="1263"/>
      <c r="C57" s="1263"/>
      <c r="D57" s="1303"/>
      <c r="E57" s="1304"/>
      <c r="F57" s="3654" t="s">
        <v>940</v>
      </c>
      <c r="G57" s="3655"/>
      <c r="H57" s="3655"/>
      <c r="I57" s="3655"/>
      <c r="J57" s="3655"/>
      <c r="K57" s="3657"/>
      <c r="L57" s="3655" t="s">
        <v>941</v>
      </c>
      <c r="M57" s="3655"/>
      <c r="N57" s="3655"/>
      <c r="O57" s="3655"/>
      <c r="P57" s="3655"/>
      <c r="Q57" s="3658"/>
      <c r="R57" s="1333"/>
      <c r="S57" s="1304"/>
      <c r="T57" s="1304"/>
      <c r="U57" s="1304"/>
      <c r="V57" s="1304"/>
      <c r="W57" s="1304"/>
      <c r="X57" s="1333"/>
      <c r="Y57" s="1304"/>
      <c r="Z57" s="1304"/>
      <c r="AA57" s="1304"/>
      <c r="AB57" s="1304"/>
      <c r="AC57" s="1304"/>
      <c r="AD57" s="1304"/>
      <c r="AE57" s="1304"/>
      <c r="AF57" s="1304"/>
      <c r="AG57" s="1304"/>
      <c r="AH57" s="1304"/>
      <c r="AI57" s="1304"/>
      <c r="AJ57" s="1304"/>
      <c r="AK57" s="1304"/>
      <c r="AL57" s="1304"/>
      <c r="AM57" s="1305"/>
      <c r="AN57" s="1304"/>
      <c r="AO57" s="1304"/>
      <c r="AP57" s="1263"/>
      <c r="AQ57" s="1263"/>
      <c r="AR57" s="1263"/>
      <c r="AS57" s="1263"/>
      <c r="AT57" s="1263"/>
      <c r="AU57" s="1263"/>
      <c r="AV57" s="1263"/>
      <c r="AW57" s="1263"/>
      <c r="AX57" s="1263"/>
      <c r="AY57" s="1263"/>
      <c r="AZ57" s="1263"/>
      <c r="BA57" s="1263"/>
      <c r="BB57" s="1263"/>
    </row>
    <row r="58" spans="1:54" s="175" customFormat="1" ht="19.5" customHeight="1" thickBot="1">
      <c r="A58" s="1263"/>
      <c r="B58" s="1263"/>
      <c r="C58" s="1263"/>
      <c r="D58" s="1273"/>
      <c r="E58" s="1274"/>
      <c r="F58" s="3659" t="s">
        <v>45</v>
      </c>
      <c r="G58" s="3660"/>
      <c r="H58" s="3661"/>
      <c r="I58" s="3664" t="s">
        <v>46</v>
      </c>
      <c r="J58" s="3660"/>
      <c r="K58" s="3663"/>
      <c r="L58" s="3660" t="s">
        <v>45</v>
      </c>
      <c r="M58" s="3660"/>
      <c r="N58" s="3661"/>
      <c r="O58" s="3664" t="s">
        <v>46</v>
      </c>
      <c r="P58" s="3660"/>
      <c r="Q58" s="3665"/>
      <c r="R58" s="1334"/>
      <c r="S58" s="1263"/>
      <c r="T58" s="1263"/>
      <c r="U58" s="1263"/>
      <c r="V58" s="1263"/>
      <c r="W58" s="1263"/>
      <c r="X58" s="1334"/>
      <c r="Y58" s="1263"/>
      <c r="Z58" s="1263"/>
      <c r="AA58" s="1263"/>
      <c r="AB58" s="1263"/>
      <c r="AC58" s="1263"/>
      <c r="AD58" s="1263"/>
      <c r="AE58" s="1263"/>
      <c r="AF58" s="1263"/>
      <c r="AG58" s="1263"/>
      <c r="AH58" s="1263"/>
      <c r="AI58" s="1263"/>
      <c r="AJ58" s="1263"/>
      <c r="AK58" s="1263"/>
      <c r="AL58" s="1263"/>
      <c r="AM58" s="1284"/>
      <c r="AN58" s="1263"/>
      <c r="AO58" s="1263"/>
      <c r="AP58" s="1263"/>
      <c r="AQ58" s="1263"/>
      <c r="AR58" s="1263"/>
      <c r="AS58" s="1263"/>
      <c r="AT58" s="1263"/>
      <c r="AU58" s="1263"/>
      <c r="AV58" s="1263"/>
      <c r="AW58" s="1263"/>
      <c r="AX58" s="1263"/>
      <c r="AY58" s="1263"/>
      <c r="AZ58" s="1263"/>
      <c r="BA58" s="1263"/>
      <c r="BB58" s="1263"/>
    </row>
    <row r="59" spans="1:54" s="175" customFormat="1" ht="24.95" customHeight="1" thickTop="1" thickBot="1">
      <c r="A59" s="1263"/>
      <c r="B59" s="1263"/>
      <c r="C59" s="1263"/>
      <c r="D59" s="1273"/>
      <c r="E59" s="1274"/>
      <c r="F59" s="3683">
        <v>11</v>
      </c>
      <c r="G59" s="3684"/>
      <c r="H59" s="3685"/>
      <c r="I59" s="3686">
        <v>17</v>
      </c>
      <c r="J59" s="3687"/>
      <c r="K59" s="3688"/>
      <c r="L59" s="3684">
        <v>1</v>
      </c>
      <c r="M59" s="3684"/>
      <c r="N59" s="3685"/>
      <c r="O59" s="3686">
        <v>1</v>
      </c>
      <c r="P59" s="3687"/>
      <c r="Q59" s="3689"/>
      <c r="R59" s="1336"/>
      <c r="S59" s="1263"/>
      <c r="T59" s="1263"/>
      <c r="U59" s="1263"/>
      <c r="V59" s="1263"/>
      <c r="W59" s="1263"/>
      <c r="X59" s="1336"/>
      <c r="Y59" s="1263"/>
      <c r="Z59" s="1263"/>
      <c r="AA59" s="1263"/>
      <c r="AB59" s="1263"/>
      <c r="AC59" s="1263"/>
      <c r="AD59" s="1263"/>
      <c r="AE59" s="1263"/>
      <c r="AF59" s="1263"/>
      <c r="AG59" s="1263"/>
      <c r="AH59" s="1263"/>
      <c r="AI59" s="1263"/>
      <c r="AJ59" s="1263"/>
      <c r="AK59" s="1263"/>
      <c r="AL59" s="1263"/>
      <c r="AM59" s="1284"/>
      <c r="AN59" s="1263"/>
      <c r="AO59" s="1263"/>
      <c r="AP59" s="1263"/>
      <c r="AQ59" s="1263"/>
      <c r="AR59" s="1263"/>
      <c r="AS59" s="1263"/>
      <c r="AT59" s="1263"/>
      <c r="AU59" s="1263"/>
      <c r="AV59" s="1263"/>
      <c r="AW59" s="1263"/>
      <c r="AX59" s="1263"/>
      <c r="AY59" s="1263"/>
      <c r="AZ59" s="1263"/>
      <c r="BA59" s="1263"/>
      <c r="BB59" s="1263"/>
    </row>
    <row r="60" spans="1:54" ht="5.0999999999999996" customHeight="1" thickTop="1">
      <c r="A60" s="1262"/>
      <c r="B60" s="1262"/>
      <c r="C60" s="1262"/>
      <c r="D60" s="1303"/>
      <c r="E60" s="1327"/>
      <c r="F60" s="1327"/>
      <c r="G60" s="1327"/>
      <c r="H60" s="1327"/>
      <c r="I60" s="1327"/>
      <c r="J60" s="1327"/>
      <c r="K60" s="1327"/>
      <c r="L60" s="1327"/>
      <c r="M60" s="1327"/>
      <c r="N60" s="1327"/>
      <c r="O60" s="1327"/>
      <c r="P60" s="1327"/>
      <c r="Q60" s="1327"/>
      <c r="R60" s="1327"/>
      <c r="S60" s="1327"/>
      <c r="T60" s="1327"/>
      <c r="U60" s="1327"/>
      <c r="V60" s="1327"/>
      <c r="W60" s="1327"/>
      <c r="X60" s="1327"/>
      <c r="Y60" s="1327"/>
      <c r="Z60" s="1327"/>
      <c r="AA60" s="1327"/>
      <c r="AB60" s="1327"/>
      <c r="AC60" s="1327"/>
      <c r="AD60" s="1327"/>
      <c r="AE60" s="1327"/>
      <c r="AF60" s="1327"/>
      <c r="AG60" s="1327"/>
      <c r="AH60" s="1327"/>
      <c r="AI60" s="1327"/>
      <c r="AJ60" s="1327"/>
      <c r="AK60" s="1327"/>
      <c r="AL60" s="1327"/>
      <c r="AM60" s="1277"/>
      <c r="AN60" s="1327"/>
      <c r="AO60" s="1327"/>
      <c r="AP60" s="1262"/>
      <c r="AQ60" s="1262"/>
      <c r="AR60" s="1262"/>
      <c r="AS60" s="1262"/>
      <c r="AT60" s="1262"/>
      <c r="AU60" s="1262"/>
      <c r="AV60" s="1262"/>
      <c r="AW60" s="1262"/>
      <c r="AX60" s="1262"/>
      <c r="AY60" s="1262"/>
      <c r="AZ60" s="1262"/>
      <c r="BA60" s="1262"/>
      <c r="BB60" s="1262"/>
    </row>
    <row r="61" spans="1:54" ht="15.6" customHeight="1">
      <c r="A61" s="1262"/>
      <c r="B61" s="1262"/>
      <c r="C61" s="1262"/>
      <c r="D61" s="1269"/>
      <c r="E61" s="1301" t="s">
        <v>53</v>
      </c>
      <c r="F61" s="3638" t="s">
        <v>1573</v>
      </c>
      <c r="G61" s="3638"/>
      <c r="H61" s="3638"/>
      <c r="I61" s="3638"/>
      <c r="J61" s="3638"/>
      <c r="K61" s="3638"/>
      <c r="L61" s="3638"/>
      <c r="M61" s="3638"/>
      <c r="N61" s="3638"/>
      <c r="O61" s="3638"/>
      <c r="P61" s="3638"/>
      <c r="Q61" s="3638"/>
      <c r="R61" s="3638"/>
      <c r="S61" s="3638"/>
      <c r="T61" s="3638"/>
      <c r="U61" s="3638"/>
      <c r="V61" s="3638"/>
      <c r="W61" s="3638"/>
      <c r="X61" s="3638"/>
      <c r="Y61" s="3638"/>
      <c r="Z61" s="3638"/>
      <c r="AA61" s="3638"/>
      <c r="AB61" s="3638"/>
      <c r="AC61" s="3638"/>
      <c r="AD61" s="3638"/>
      <c r="AE61" s="3638"/>
      <c r="AF61" s="3638"/>
      <c r="AG61" s="3638"/>
      <c r="AH61" s="3638"/>
      <c r="AI61" s="3638"/>
      <c r="AJ61" s="3638"/>
      <c r="AK61" s="3638"/>
      <c r="AL61" s="1271"/>
      <c r="AM61" s="1272"/>
      <c r="AN61" s="1271"/>
      <c r="AO61" s="1271"/>
      <c r="AP61" s="1262"/>
      <c r="AQ61" s="1262"/>
      <c r="AR61" s="1262"/>
      <c r="AS61" s="1262"/>
      <c r="AT61" s="1262"/>
      <c r="AU61" s="1262"/>
      <c r="AV61" s="1262"/>
      <c r="AW61" s="1262"/>
      <c r="AX61" s="1262"/>
      <c r="AY61" s="1262"/>
      <c r="AZ61" s="1262"/>
      <c r="BA61" s="1262"/>
      <c r="BB61" s="1262"/>
    </row>
    <row r="62" spans="1:54" ht="5.0999999999999996" customHeight="1" thickBot="1">
      <c r="A62" s="1262"/>
      <c r="B62" s="1262"/>
      <c r="C62" s="1262"/>
      <c r="D62" s="1303"/>
      <c r="E62" s="1327"/>
      <c r="F62" s="1327"/>
      <c r="G62" s="1327"/>
      <c r="H62" s="1327"/>
      <c r="I62" s="1327"/>
      <c r="J62" s="1327"/>
      <c r="K62" s="1327"/>
      <c r="L62" s="1327"/>
      <c r="M62" s="1327"/>
      <c r="N62" s="1327"/>
      <c r="O62" s="1327"/>
      <c r="P62" s="1327"/>
      <c r="Q62" s="1327"/>
      <c r="R62" s="1327"/>
      <c r="S62" s="1327"/>
      <c r="T62" s="1327"/>
      <c r="U62" s="1327"/>
      <c r="V62" s="1327"/>
      <c r="W62" s="1327"/>
      <c r="X62" s="1327"/>
      <c r="Y62" s="1327"/>
      <c r="Z62" s="1327"/>
      <c r="AA62" s="1327"/>
      <c r="AB62" s="1327"/>
      <c r="AC62" s="1327"/>
      <c r="AD62" s="1327"/>
      <c r="AE62" s="1327"/>
      <c r="AF62" s="1327"/>
      <c r="AG62" s="1327"/>
      <c r="AH62" s="1327"/>
      <c r="AI62" s="1327"/>
      <c r="AJ62" s="1327"/>
      <c r="AK62" s="1327"/>
      <c r="AL62" s="1327"/>
      <c r="AM62" s="1277"/>
      <c r="AN62" s="1327"/>
      <c r="AO62" s="1327"/>
      <c r="AP62" s="1262"/>
      <c r="AQ62" s="1262"/>
      <c r="AR62" s="1262"/>
      <c r="AS62" s="1262"/>
      <c r="AT62" s="1262"/>
      <c r="AU62" s="1262"/>
      <c r="AV62" s="1262"/>
      <c r="AW62" s="1262"/>
      <c r="AX62" s="1262"/>
      <c r="AY62" s="1262"/>
      <c r="AZ62" s="1262"/>
      <c r="BA62" s="1262"/>
      <c r="BB62" s="1262"/>
    </row>
    <row r="63" spans="1:54" s="175" customFormat="1" ht="59.1" customHeight="1" thickTop="1" thickBot="1">
      <c r="A63" s="1263"/>
      <c r="B63" s="1263"/>
      <c r="C63" s="1263"/>
      <c r="D63" s="1303"/>
      <c r="E63" s="1304"/>
      <c r="F63" s="3654" t="s">
        <v>1842</v>
      </c>
      <c r="G63" s="3655"/>
      <c r="H63" s="3655"/>
      <c r="I63" s="3655"/>
      <c r="J63" s="3655"/>
      <c r="K63" s="3655"/>
      <c r="L63" s="3656" t="s">
        <v>1574</v>
      </c>
      <c r="M63" s="3655"/>
      <c r="N63" s="3655"/>
      <c r="O63" s="3655"/>
      <c r="P63" s="3655"/>
      <c r="Q63" s="3657"/>
      <c r="R63" s="3656" t="s">
        <v>1575</v>
      </c>
      <c r="S63" s="3655"/>
      <c r="T63" s="3655"/>
      <c r="U63" s="3655"/>
      <c r="V63" s="3655"/>
      <c r="W63" s="3657"/>
      <c r="X63" s="3655" t="s">
        <v>1786</v>
      </c>
      <c r="Y63" s="3655"/>
      <c r="Z63" s="3655"/>
      <c r="AA63" s="3655"/>
      <c r="AB63" s="3655"/>
      <c r="AC63" s="3658"/>
      <c r="AD63" s="1304"/>
      <c r="AE63" s="1304"/>
      <c r="AF63" s="1304"/>
      <c r="AG63" s="1304"/>
      <c r="AH63" s="1304"/>
      <c r="AI63" s="1304"/>
      <c r="AJ63" s="1304"/>
      <c r="AK63" s="1304"/>
      <c r="AL63" s="1304"/>
      <c r="AM63" s="1305"/>
      <c r="AN63" s="1263"/>
      <c r="AO63" s="1263"/>
      <c r="AP63" s="1263"/>
      <c r="AQ63" s="1263"/>
      <c r="AR63" s="1263"/>
      <c r="AS63" s="1263"/>
      <c r="AT63" s="1263"/>
      <c r="AU63" s="1263"/>
      <c r="AV63" s="1263"/>
      <c r="AW63" s="1263"/>
      <c r="AX63" s="1263"/>
      <c r="AY63" s="1263"/>
      <c r="AZ63" s="1263"/>
      <c r="BA63" s="1263"/>
      <c r="BB63" s="1263"/>
    </row>
    <row r="64" spans="1:54" s="175" customFormat="1" ht="19.5" customHeight="1" thickBot="1">
      <c r="A64" s="1263"/>
      <c r="B64" s="1263"/>
      <c r="C64" s="1263"/>
      <c r="D64" s="1273"/>
      <c r="E64" s="1274"/>
      <c r="F64" s="3659" t="s">
        <v>45</v>
      </c>
      <c r="G64" s="3660"/>
      <c r="H64" s="3661"/>
      <c r="I64" s="3660" t="s">
        <v>46</v>
      </c>
      <c r="J64" s="3660"/>
      <c r="K64" s="3660"/>
      <c r="L64" s="3662" t="s">
        <v>45</v>
      </c>
      <c r="M64" s="3660" t="s">
        <v>46</v>
      </c>
      <c r="N64" s="3661"/>
      <c r="O64" s="3660" t="s">
        <v>46</v>
      </c>
      <c r="P64" s="3660"/>
      <c r="Q64" s="3663"/>
      <c r="R64" s="3662" t="s">
        <v>45</v>
      </c>
      <c r="S64" s="3660" t="s">
        <v>46</v>
      </c>
      <c r="T64" s="3661"/>
      <c r="U64" s="3660" t="s">
        <v>46</v>
      </c>
      <c r="V64" s="3660"/>
      <c r="W64" s="3663"/>
      <c r="X64" s="3660" t="s">
        <v>45</v>
      </c>
      <c r="Y64" s="3660" t="s">
        <v>46</v>
      </c>
      <c r="Z64" s="3661"/>
      <c r="AA64" s="3664" t="s">
        <v>46</v>
      </c>
      <c r="AB64" s="3660"/>
      <c r="AC64" s="3665"/>
      <c r="AD64" s="1263"/>
      <c r="AE64" s="1263"/>
      <c r="AF64" s="1263"/>
      <c r="AG64" s="1263"/>
      <c r="AH64" s="1263"/>
      <c r="AI64" s="1263"/>
      <c r="AJ64" s="1263"/>
      <c r="AK64" s="1263"/>
      <c r="AL64" s="1263"/>
      <c r="AM64" s="1284"/>
      <c r="AN64" s="1263"/>
      <c r="AO64" s="1263"/>
      <c r="AP64" s="1263"/>
      <c r="AQ64" s="1263"/>
      <c r="AR64" s="1263"/>
      <c r="AS64" s="1263"/>
      <c r="AT64" s="1263"/>
      <c r="AU64" s="1263"/>
      <c r="AV64" s="1263"/>
      <c r="AW64" s="1263"/>
      <c r="AX64" s="1263"/>
      <c r="AY64" s="1263"/>
      <c r="AZ64" s="1263"/>
      <c r="BA64" s="1263"/>
      <c r="BB64" s="1263"/>
    </row>
    <row r="65" spans="1:54" s="175" customFormat="1" ht="30" customHeight="1" thickTop="1" thickBot="1">
      <c r="A65" s="1263"/>
      <c r="B65" s="1263"/>
      <c r="C65" s="1263"/>
      <c r="D65" s="1273"/>
      <c r="E65" s="1274"/>
      <c r="F65" s="3647">
        <v>542</v>
      </c>
      <c r="G65" s="3632"/>
      <c r="H65" s="3633"/>
      <c r="I65" s="3634">
        <v>465</v>
      </c>
      <c r="J65" s="3630"/>
      <c r="K65" s="3630"/>
      <c r="L65" s="3653">
        <v>10</v>
      </c>
      <c r="M65" s="3632"/>
      <c r="N65" s="3633"/>
      <c r="O65" s="3630">
        <v>7</v>
      </c>
      <c r="P65" s="3630"/>
      <c r="Q65" s="3631"/>
      <c r="R65" s="3653">
        <v>0</v>
      </c>
      <c r="S65" s="3632"/>
      <c r="T65" s="3633"/>
      <c r="U65" s="3630">
        <v>1</v>
      </c>
      <c r="V65" s="3630"/>
      <c r="W65" s="3631"/>
      <c r="X65" s="3632">
        <v>0</v>
      </c>
      <c r="Y65" s="3632"/>
      <c r="Z65" s="3633"/>
      <c r="AA65" s="3634">
        <v>0</v>
      </c>
      <c r="AB65" s="3630"/>
      <c r="AC65" s="3635"/>
      <c r="AD65" s="1263"/>
      <c r="AE65" s="1263"/>
      <c r="AF65" s="1263"/>
      <c r="AG65" s="1263"/>
      <c r="AH65" s="1263"/>
      <c r="AI65" s="1263"/>
      <c r="AJ65" s="1263"/>
      <c r="AK65" s="1263"/>
      <c r="AL65" s="1263"/>
      <c r="AM65" s="1284"/>
      <c r="AN65" s="1263"/>
      <c r="AO65" s="1263"/>
      <c r="AP65" s="1263"/>
      <c r="AQ65" s="1263"/>
      <c r="AR65" s="1263"/>
      <c r="AS65" s="1263"/>
      <c r="AT65" s="1263"/>
      <c r="AU65" s="1263"/>
      <c r="AV65" s="1263"/>
      <c r="AW65" s="1263"/>
      <c r="AX65" s="1263"/>
      <c r="AY65" s="1263"/>
      <c r="AZ65" s="1263"/>
      <c r="BA65" s="1263"/>
      <c r="BB65" s="1263"/>
    </row>
    <row r="66" spans="1:54" s="175" customFormat="1" ht="5.0999999999999996" customHeight="1" thickTop="1">
      <c r="A66" s="1263"/>
      <c r="B66" s="1263"/>
      <c r="C66" s="1263"/>
      <c r="D66" s="1273"/>
      <c r="E66" s="1274"/>
      <c r="F66" s="1306"/>
      <c r="G66" s="1306"/>
      <c r="H66" s="1306"/>
      <c r="I66" s="1307"/>
      <c r="J66" s="1307"/>
      <c r="K66" s="1307"/>
      <c r="L66" s="1308"/>
      <c r="M66" s="1308"/>
      <c r="N66" s="1308"/>
      <c r="O66" s="1307"/>
      <c r="P66" s="1307"/>
      <c r="Q66" s="1307"/>
      <c r="R66" s="1308"/>
      <c r="S66" s="1308"/>
      <c r="T66" s="1308"/>
      <c r="U66" s="1307"/>
      <c r="V66" s="1307"/>
      <c r="W66" s="1307"/>
      <c r="X66" s="1308"/>
      <c r="Y66" s="1308"/>
      <c r="Z66" s="1308"/>
      <c r="AA66" s="1307"/>
      <c r="AB66" s="1307"/>
      <c r="AC66" s="1307"/>
      <c r="AD66" s="1263"/>
      <c r="AE66" s="1263"/>
      <c r="AF66" s="1263"/>
      <c r="AG66" s="1263"/>
      <c r="AH66" s="1263"/>
      <c r="AI66" s="1263"/>
      <c r="AJ66" s="1263"/>
      <c r="AK66" s="1263"/>
      <c r="AL66" s="1263"/>
      <c r="AM66" s="1284"/>
      <c r="AN66" s="1263"/>
      <c r="AO66" s="1263"/>
      <c r="AP66" s="1263"/>
      <c r="AQ66" s="1263"/>
      <c r="AR66" s="1263"/>
      <c r="AS66" s="1263"/>
      <c r="AT66" s="1263"/>
      <c r="AU66" s="1263"/>
      <c r="AV66" s="1263"/>
      <c r="AW66" s="1263"/>
      <c r="AX66" s="1263"/>
      <c r="AY66" s="1263"/>
      <c r="AZ66" s="1263"/>
      <c r="BA66" s="1263"/>
      <c r="BB66" s="1263"/>
    </row>
    <row r="67" spans="1:54" s="175" customFormat="1" ht="33.950000000000003" customHeight="1">
      <c r="A67" s="1263"/>
      <c r="B67" s="1263"/>
      <c r="C67" s="1263"/>
      <c r="D67" s="1273"/>
      <c r="E67" s="1274"/>
      <c r="F67" s="377" t="s">
        <v>268</v>
      </c>
      <c r="G67" s="1306"/>
      <c r="H67" s="1306"/>
      <c r="I67" s="3637" t="s">
        <v>1892</v>
      </c>
      <c r="J67" s="3637"/>
      <c r="K67" s="3637"/>
      <c r="L67" s="3637"/>
      <c r="M67" s="3637"/>
      <c r="N67" s="3637"/>
      <c r="O67" s="3637"/>
      <c r="P67" s="3637"/>
      <c r="Q67" s="3637"/>
      <c r="R67" s="3637"/>
      <c r="S67" s="3637"/>
      <c r="T67" s="3637"/>
      <c r="U67" s="3637"/>
      <c r="V67" s="3637"/>
      <c r="W67" s="3637"/>
      <c r="X67" s="3637"/>
      <c r="Y67" s="3637"/>
      <c r="Z67" s="3637"/>
      <c r="AA67" s="3637"/>
      <c r="AB67" s="3637"/>
      <c r="AC67" s="3637"/>
      <c r="AD67" s="1263"/>
      <c r="AE67" s="1263"/>
      <c r="AF67" s="1263"/>
      <c r="AG67" s="1263"/>
      <c r="AH67" s="1263"/>
      <c r="AI67" s="1263"/>
      <c r="AJ67" s="1263"/>
      <c r="AK67" s="1263"/>
      <c r="AL67" s="1263"/>
      <c r="AM67" s="1284"/>
      <c r="AN67" s="1263"/>
      <c r="AO67" s="1263"/>
      <c r="AP67" s="1263"/>
      <c r="AQ67" s="1263"/>
      <c r="AR67" s="1263"/>
      <c r="AS67" s="1263"/>
      <c r="AT67" s="1263"/>
      <c r="AU67" s="1263"/>
      <c r="AV67" s="1263"/>
      <c r="AW67" s="1263"/>
      <c r="AX67" s="1263"/>
      <c r="AY67" s="1263"/>
      <c r="AZ67" s="1263"/>
      <c r="BA67" s="1263"/>
      <c r="BB67" s="1263"/>
    </row>
    <row r="68" spans="1:54" ht="9.9499999999999993" customHeight="1" thickBot="1">
      <c r="A68" s="1262"/>
      <c r="B68" s="1262"/>
      <c r="C68" s="1262"/>
      <c r="D68" s="1310"/>
      <c r="E68" s="1311"/>
      <c r="F68" s="1297"/>
      <c r="G68" s="1312"/>
      <c r="H68" s="1312"/>
      <c r="I68" s="1312"/>
      <c r="J68" s="1312"/>
      <c r="K68" s="1312"/>
      <c r="L68" s="1312"/>
      <c r="M68" s="1313"/>
      <c r="N68" s="1313"/>
      <c r="O68" s="1313"/>
      <c r="P68" s="1313"/>
      <c r="Q68" s="1313"/>
      <c r="R68" s="1313"/>
      <c r="S68" s="1313"/>
      <c r="T68" s="1313"/>
      <c r="U68" s="1313"/>
      <c r="V68" s="1313"/>
      <c r="W68" s="1313"/>
      <c r="X68" s="1313"/>
      <c r="Y68" s="1313"/>
      <c r="Z68" s="1313"/>
      <c r="AA68" s="1313"/>
      <c r="AB68" s="1313"/>
      <c r="AC68" s="1313"/>
      <c r="AD68" s="1313"/>
      <c r="AE68" s="1313"/>
      <c r="AF68" s="1313"/>
      <c r="AG68" s="1313"/>
      <c r="AH68" s="1313"/>
      <c r="AI68" s="1313"/>
      <c r="AJ68" s="1313"/>
      <c r="AK68" s="1313"/>
      <c r="AL68" s="1313"/>
      <c r="AM68" s="1314"/>
      <c r="AN68" s="1262"/>
      <c r="AO68" s="1262"/>
      <c r="AP68" s="1262"/>
      <c r="AQ68" s="1262"/>
      <c r="AR68" s="1262"/>
      <c r="AS68" s="1262"/>
      <c r="AT68" s="1262"/>
      <c r="AU68" s="1262"/>
      <c r="AV68" s="1262"/>
      <c r="AW68" s="1262"/>
      <c r="AX68" s="1262"/>
      <c r="AY68" s="1262"/>
      <c r="AZ68" s="1262"/>
      <c r="BA68" s="1262"/>
      <c r="BB68" s="1262"/>
    </row>
    <row r="69" spans="1:54" ht="9.9499999999999993" customHeight="1" thickTop="1">
      <c r="A69" s="1262"/>
      <c r="B69" s="1262"/>
      <c r="C69" s="1262"/>
      <c r="D69" s="1339"/>
      <c r="E69" s="1321"/>
      <c r="F69" s="1263"/>
      <c r="G69" s="1271"/>
      <c r="H69" s="1271"/>
      <c r="I69" s="1271"/>
      <c r="J69" s="1271"/>
      <c r="K69" s="1271"/>
      <c r="L69" s="1271"/>
      <c r="M69" s="1262"/>
      <c r="N69" s="1262"/>
      <c r="O69" s="1262"/>
      <c r="P69" s="1262"/>
      <c r="Q69" s="1262"/>
      <c r="R69" s="1262"/>
      <c r="S69" s="1262"/>
      <c r="T69" s="1262"/>
      <c r="U69" s="1262"/>
      <c r="V69" s="1262"/>
      <c r="W69" s="1262"/>
      <c r="X69" s="1262"/>
      <c r="Y69" s="1262"/>
      <c r="Z69" s="1262"/>
      <c r="AA69" s="1262"/>
      <c r="AB69" s="1262"/>
      <c r="AC69" s="1262"/>
      <c r="AD69" s="1262"/>
      <c r="AE69" s="1262"/>
      <c r="AF69" s="1262"/>
      <c r="AG69" s="1262"/>
      <c r="AH69" s="1262"/>
      <c r="AI69" s="1262"/>
      <c r="AJ69" s="1262"/>
      <c r="AK69" s="1262"/>
      <c r="AL69" s="1262"/>
      <c r="AM69" s="1262"/>
      <c r="AN69" s="1262"/>
      <c r="AO69" s="1262"/>
      <c r="AP69" s="1262"/>
      <c r="AQ69" s="1262"/>
      <c r="AR69" s="1262"/>
      <c r="AS69" s="1262"/>
      <c r="AT69" s="1262"/>
      <c r="AU69" s="1262"/>
      <c r="AV69" s="1262"/>
      <c r="AW69" s="1262"/>
      <c r="AX69" s="1262"/>
      <c r="AY69" s="1262"/>
      <c r="AZ69" s="1262"/>
      <c r="BA69" s="1262"/>
      <c r="BB69" s="1262"/>
    </row>
    <row r="70" spans="1:54" s="51" customFormat="1" ht="17.25" customHeight="1">
      <c r="A70" s="238"/>
      <c r="B70" s="238"/>
      <c r="C70" s="238"/>
      <c r="D70" s="3778" t="s">
        <v>1881</v>
      </c>
      <c r="E70" s="3778"/>
      <c r="F70" s="3778"/>
      <c r="G70" s="3778"/>
      <c r="H70" s="3778"/>
      <c r="I70" s="3778"/>
      <c r="J70" s="3778"/>
      <c r="K70" s="3778"/>
      <c r="L70" s="3778"/>
      <c r="M70" s="3778"/>
      <c r="N70" s="3778"/>
      <c r="O70" s="3778"/>
      <c r="P70" s="3778"/>
      <c r="Q70" s="3778"/>
      <c r="R70" s="3778"/>
      <c r="S70" s="3778"/>
      <c r="T70" s="3778"/>
      <c r="U70" s="3778"/>
      <c r="V70" s="3778"/>
      <c r="W70" s="3778"/>
      <c r="X70" s="3778"/>
      <c r="Y70" s="3778"/>
      <c r="Z70" s="3778"/>
      <c r="AA70" s="3778"/>
      <c r="AB70" s="3778"/>
      <c r="AC70" s="3778"/>
      <c r="AD70" s="3778"/>
      <c r="AE70" s="3778"/>
      <c r="AF70" s="3778"/>
      <c r="AG70" s="238"/>
      <c r="AH70" s="238"/>
      <c r="AI70" s="238"/>
      <c r="AJ70" s="238"/>
      <c r="AK70" s="238"/>
      <c r="AL70" s="238"/>
      <c r="AM70" s="238"/>
      <c r="AN70" s="238"/>
      <c r="AO70" s="238"/>
      <c r="AP70" s="238"/>
      <c r="AQ70" s="238"/>
      <c r="AR70" s="238"/>
      <c r="AS70" s="238"/>
      <c r="AT70" s="238"/>
      <c r="AU70" s="238"/>
      <c r="AV70" s="238"/>
      <c r="AW70" s="238"/>
      <c r="AX70" s="238"/>
      <c r="AY70" s="238"/>
      <c r="AZ70" s="238"/>
      <c r="BA70" s="238"/>
      <c r="BB70" s="238"/>
    </row>
    <row r="71" spans="1:54" s="44" customFormat="1" ht="30.75" customHeight="1">
      <c r="A71" s="434"/>
      <c r="B71" s="434"/>
      <c r="C71" s="434"/>
      <c r="D71" s="434"/>
      <c r="E71" s="434"/>
      <c r="F71" s="434"/>
      <c r="G71" s="434"/>
      <c r="H71" s="434"/>
      <c r="I71" s="434"/>
      <c r="J71" s="434"/>
      <c r="K71" s="434"/>
      <c r="L71" s="434"/>
      <c r="M71" s="434"/>
      <c r="N71" s="434"/>
      <c r="O71" s="434"/>
      <c r="P71" s="434"/>
      <c r="Q71" s="434"/>
      <c r="R71" s="434"/>
      <c r="S71" s="434"/>
      <c r="T71" s="434"/>
      <c r="U71" s="434"/>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4"/>
      <c r="AS71" s="434"/>
      <c r="AT71" s="434"/>
      <c r="AU71" s="434"/>
      <c r="AV71" s="434"/>
      <c r="AW71" s="434"/>
      <c r="AX71" s="434"/>
      <c r="AY71" s="434"/>
      <c r="AZ71" s="434"/>
      <c r="BA71" s="434"/>
      <c r="BB71" s="434"/>
    </row>
    <row r="72" spans="1:54" s="37" customFormat="1" ht="15">
      <c r="A72" s="263"/>
      <c r="B72" s="332" t="s">
        <v>32</v>
      </c>
      <c r="C72" s="263"/>
      <c r="D72" s="263"/>
      <c r="E72" s="263"/>
      <c r="F72" s="263"/>
      <c r="G72" s="263"/>
      <c r="H72" s="263"/>
      <c r="I72" s="263"/>
      <c r="J72" s="263"/>
      <c r="K72" s="263"/>
      <c r="L72" s="263"/>
      <c r="M72" s="263"/>
      <c r="N72" s="263"/>
      <c r="O72" s="263"/>
      <c r="P72" s="332" t="s">
        <v>856</v>
      </c>
      <c r="Q72" s="263"/>
      <c r="R72" s="263"/>
      <c r="S72" s="263"/>
      <c r="T72" s="263"/>
      <c r="U72" s="263"/>
      <c r="V72" s="263"/>
      <c r="W72" s="263"/>
      <c r="X72" s="263"/>
      <c r="Y72" s="263"/>
      <c r="Z72" s="263"/>
      <c r="AA72" s="263"/>
      <c r="AB72" s="263"/>
      <c r="AC72" s="263"/>
      <c r="AD72" s="332" t="s">
        <v>33</v>
      </c>
      <c r="AE72" s="263"/>
      <c r="AF72" s="263"/>
      <c r="AG72" s="263"/>
      <c r="AH72" s="263"/>
      <c r="AI72" s="263"/>
      <c r="AJ72" s="263"/>
      <c r="AK72" s="263"/>
      <c r="AL72" s="263"/>
      <c r="AM72" s="263"/>
      <c r="AN72" s="263"/>
      <c r="AO72" s="263"/>
      <c r="AP72" s="263"/>
      <c r="AQ72" s="263"/>
      <c r="AR72" s="263"/>
      <c r="AS72" s="263"/>
      <c r="AT72" s="263"/>
      <c r="AU72" s="263"/>
      <c r="AV72" s="263"/>
      <c r="AW72" s="263"/>
      <c r="AX72" s="263"/>
      <c r="AY72" s="263"/>
      <c r="AZ72" s="263"/>
      <c r="BA72" s="263"/>
      <c r="BB72" s="263"/>
    </row>
    <row r="73" spans="1:54" s="37" customFormat="1" ht="21.75" customHeight="1">
      <c r="A73" s="263"/>
      <c r="B73" s="332" t="s">
        <v>75</v>
      </c>
      <c r="C73" s="263"/>
      <c r="D73" s="263"/>
      <c r="E73" s="263"/>
      <c r="F73" s="2790" t="str">
        <f>activesheet!E21</f>
        <v>MELCHESIEDICK Q. BOLANIO / March 17, 2023</v>
      </c>
      <c r="G73" s="2790"/>
      <c r="H73" s="2790"/>
      <c r="I73" s="2790"/>
      <c r="J73" s="2790"/>
      <c r="K73" s="2790"/>
      <c r="L73" s="2790"/>
      <c r="M73" s="2790"/>
      <c r="N73" s="263"/>
      <c r="O73" s="263"/>
      <c r="P73" s="2790" t="str">
        <f>activesheet!E3344</f>
        <v>ELYN KENDRA D. DELA CRUZ / March 17, 2023</v>
      </c>
      <c r="Q73" s="2790"/>
      <c r="R73" s="2790"/>
      <c r="S73" s="2790"/>
      <c r="T73" s="2790"/>
      <c r="U73" s="2790"/>
      <c r="V73" s="2790"/>
      <c r="W73" s="2790"/>
      <c r="X73" s="2790"/>
      <c r="Y73" s="2790"/>
      <c r="Z73" s="2790"/>
      <c r="AA73" s="2790"/>
      <c r="AB73" s="263"/>
      <c r="AC73" s="263"/>
      <c r="AD73" s="3784" t="str">
        <f>activesheet!E25</f>
        <v>MICHAEL T. JAMIS / March 17, 2023</v>
      </c>
      <c r="AE73" s="3784"/>
      <c r="AF73" s="3784"/>
      <c r="AG73" s="3784"/>
      <c r="AH73" s="3784"/>
      <c r="AI73" s="3784"/>
      <c r="AJ73" s="3784"/>
      <c r="AK73" s="3784"/>
      <c r="AL73" s="3784"/>
      <c r="AM73" s="3784"/>
      <c r="AN73" s="3784"/>
      <c r="AO73" s="3784"/>
      <c r="AP73" s="263"/>
      <c r="AQ73" s="263"/>
      <c r="AR73" s="263"/>
      <c r="AS73" s="263"/>
      <c r="AT73" s="263"/>
      <c r="AU73" s="263"/>
      <c r="AV73" s="263"/>
      <c r="AW73" s="263"/>
      <c r="AX73" s="263"/>
      <c r="AY73" s="263"/>
      <c r="AZ73" s="263"/>
      <c r="BA73" s="263"/>
      <c r="BB73" s="263"/>
    </row>
    <row r="74" spans="1:54" s="39" customFormat="1" ht="14.1" customHeight="1">
      <c r="A74" s="280"/>
      <c r="B74" s="228"/>
      <c r="C74" s="280"/>
      <c r="D74" s="280"/>
      <c r="E74" s="280"/>
      <c r="F74" s="1807" t="s">
        <v>37</v>
      </c>
      <c r="G74" s="1807"/>
      <c r="H74" s="1807"/>
      <c r="I74" s="1807"/>
      <c r="J74" s="1807"/>
      <c r="K74" s="1807"/>
      <c r="L74" s="1807"/>
      <c r="M74" s="1807"/>
      <c r="N74" s="322"/>
      <c r="O74" s="322"/>
      <c r="P74" s="1807" t="s">
        <v>37</v>
      </c>
      <c r="Q74" s="1807"/>
      <c r="R74" s="1807"/>
      <c r="S74" s="1807"/>
      <c r="T74" s="1807"/>
      <c r="U74" s="1807"/>
      <c r="V74" s="1807"/>
      <c r="W74" s="1807"/>
      <c r="X74" s="1807"/>
      <c r="Y74" s="1807"/>
      <c r="Z74" s="1807"/>
      <c r="AA74" s="1807"/>
      <c r="AB74" s="322"/>
      <c r="AC74" s="322"/>
      <c r="AD74" s="3785"/>
      <c r="AE74" s="3785"/>
      <c r="AF74" s="3785"/>
      <c r="AG74" s="3785"/>
      <c r="AH74" s="3785"/>
      <c r="AI74" s="3785"/>
      <c r="AJ74" s="3785"/>
      <c r="AK74" s="3785"/>
      <c r="AL74" s="3785"/>
      <c r="AM74" s="3785"/>
      <c r="AN74" s="3785"/>
      <c r="AO74" s="3785"/>
      <c r="AP74" s="280"/>
      <c r="AQ74" s="280"/>
      <c r="AR74" s="280"/>
      <c r="AS74" s="280"/>
      <c r="AT74" s="280"/>
      <c r="AU74" s="280"/>
      <c r="AV74" s="280"/>
      <c r="AW74" s="280"/>
      <c r="AX74" s="280"/>
      <c r="AY74" s="280"/>
      <c r="AZ74" s="280"/>
      <c r="BA74" s="280"/>
      <c r="BB74" s="280"/>
    </row>
    <row r="75" spans="1:54" s="37" customFormat="1" ht="21.75" customHeight="1">
      <c r="A75" s="263"/>
      <c r="B75" s="332" t="s">
        <v>58</v>
      </c>
      <c r="C75" s="263"/>
      <c r="D75" s="263"/>
      <c r="E75" s="263"/>
      <c r="F75" s="2790" t="str">
        <f>activesheet!E22</f>
        <v>SECONDARY SCHOOL PRINCIPAL IV</v>
      </c>
      <c r="G75" s="2790"/>
      <c r="H75" s="2790"/>
      <c r="I75" s="2790"/>
      <c r="J75" s="2790"/>
      <c r="K75" s="2790"/>
      <c r="L75" s="2790"/>
      <c r="M75" s="2790"/>
      <c r="N75" s="263"/>
      <c r="O75" s="263"/>
      <c r="P75" s="332" t="s">
        <v>58</v>
      </c>
      <c r="Q75" s="263"/>
      <c r="R75" s="263"/>
      <c r="S75" s="263"/>
      <c r="T75" s="2790" t="str">
        <f>activesheet!E3345</f>
        <v>PROJECT DEVELOPMENT OFFICER II</v>
      </c>
      <c r="U75" s="2790"/>
      <c r="V75" s="2790"/>
      <c r="W75" s="2790"/>
      <c r="X75" s="2790"/>
      <c r="Y75" s="2790"/>
      <c r="Z75" s="2790"/>
      <c r="AA75" s="2790"/>
      <c r="AB75" s="263"/>
      <c r="AC75" s="263"/>
      <c r="AD75" s="1807" t="s">
        <v>37</v>
      </c>
      <c r="AE75" s="1807"/>
      <c r="AF75" s="1807"/>
      <c r="AG75" s="1807"/>
      <c r="AH75" s="1807"/>
      <c r="AI75" s="1807"/>
      <c r="AJ75" s="1807"/>
      <c r="AK75" s="1807"/>
      <c r="AL75" s="1807"/>
      <c r="AM75" s="1807"/>
      <c r="AN75" s="1807"/>
      <c r="AO75" s="1807"/>
      <c r="AP75" s="263"/>
      <c r="AQ75" s="263"/>
      <c r="AR75" s="263"/>
      <c r="AS75" s="263"/>
      <c r="AT75" s="263"/>
      <c r="AU75" s="263"/>
      <c r="AV75" s="263"/>
      <c r="AW75" s="263"/>
      <c r="AX75" s="263"/>
      <c r="AY75" s="263"/>
      <c r="AZ75" s="263"/>
      <c r="BA75" s="263"/>
      <c r="BB75" s="263"/>
    </row>
    <row r="76" spans="1:54">
      <c r="A76" s="1262"/>
      <c r="B76" s="1262"/>
      <c r="C76" s="1262"/>
      <c r="D76" s="434"/>
      <c r="E76" s="434"/>
      <c r="F76" s="434"/>
      <c r="G76" s="434"/>
      <c r="H76" s="434"/>
      <c r="I76" s="434"/>
      <c r="J76" s="434"/>
      <c r="K76" s="434"/>
      <c r="L76" s="434"/>
      <c r="M76" s="434"/>
      <c r="N76" s="434"/>
      <c r="O76" s="434"/>
      <c r="P76" s="434"/>
      <c r="Q76" s="434"/>
      <c r="R76" s="434"/>
      <c r="S76" s="434"/>
      <c r="T76" s="434"/>
      <c r="U76" s="434"/>
      <c r="V76" s="434"/>
      <c r="W76" s="434"/>
      <c r="X76" s="434"/>
      <c r="Y76" s="434"/>
      <c r="Z76" s="434"/>
      <c r="AA76" s="434"/>
      <c r="AB76" s="434"/>
      <c r="AC76" s="434"/>
      <c r="AD76" s="434"/>
      <c r="AE76" s="434"/>
      <c r="AF76" s="434"/>
      <c r="AG76" s="434"/>
      <c r="AH76" s="434"/>
      <c r="AI76" s="434"/>
      <c r="AJ76" s="434"/>
      <c r="AK76" s="434"/>
      <c r="AL76" s="434"/>
      <c r="AM76" s="434"/>
      <c r="AN76" s="434"/>
      <c r="AO76" s="434"/>
      <c r="AP76" s="1262"/>
      <c r="AQ76" s="1262"/>
      <c r="AR76" s="1262"/>
      <c r="AS76" s="1262"/>
      <c r="AT76" s="1262"/>
      <c r="AU76" s="1262"/>
      <c r="AV76" s="1262"/>
      <c r="AW76" s="1262"/>
      <c r="AX76" s="1262"/>
      <c r="AY76" s="1262"/>
      <c r="AZ76" s="1262"/>
      <c r="BA76" s="1262"/>
      <c r="BB76" s="1262"/>
    </row>
    <row r="77" spans="1:54">
      <c r="A77" s="1262"/>
      <c r="B77" s="1262"/>
      <c r="C77" s="1262"/>
      <c r="D77" s="1263"/>
      <c r="E77" s="1263"/>
      <c r="F77" s="1263"/>
      <c r="G77" s="1263"/>
      <c r="H77" s="1263"/>
      <c r="I77" s="1263"/>
      <c r="J77" s="1263"/>
      <c r="K77" s="1263"/>
      <c r="L77" s="1263"/>
      <c r="M77" s="1263"/>
      <c r="N77" s="1263"/>
      <c r="O77" s="1263"/>
      <c r="P77" s="1263"/>
      <c r="Q77" s="1263"/>
      <c r="R77" s="1263"/>
      <c r="S77" s="1263"/>
      <c r="T77" s="1263"/>
      <c r="U77" s="1263"/>
      <c r="V77" s="1263"/>
      <c r="W77" s="1263"/>
      <c r="X77" s="1263"/>
      <c r="Y77" s="1263"/>
      <c r="Z77" s="1263"/>
      <c r="AA77" s="1263"/>
      <c r="AB77" s="1263"/>
      <c r="AC77" s="1263"/>
      <c r="AD77" s="1263"/>
      <c r="AE77" s="1263"/>
      <c r="AF77" s="1263"/>
      <c r="AG77" s="1263"/>
      <c r="AH77" s="1263"/>
      <c r="AI77" s="1263"/>
      <c r="AJ77" s="1263"/>
      <c r="AK77" s="1263"/>
      <c r="AL77" s="1262"/>
      <c r="AM77" s="1262"/>
      <c r="AN77" s="1262"/>
      <c r="AO77" s="1262"/>
      <c r="AP77" s="1262"/>
      <c r="AQ77" s="1262"/>
      <c r="AR77" s="1262"/>
      <c r="AS77" s="1262"/>
      <c r="AT77" s="1262"/>
      <c r="AU77" s="1262"/>
      <c r="AV77" s="1262"/>
      <c r="AW77" s="1262"/>
      <c r="AX77" s="1262"/>
      <c r="AY77" s="1262"/>
      <c r="AZ77" s="1262"/>
      <c r="BA77" s="1262"/>
      <c r="BB77" s="1262"/>
    </row>
    <row r="78" spans="1:54">
      <c r="A78" s="1262"/>
      <c r="B78" s="1262"/>
      <c r="C78" s="1262"/>
      <c r="D78" s="1263"/>
      <c r="E78" s="1263"/>
      <c r="F78" s="1263"/>
      <c r="G78" s="1263"/>
      <c r="H78" s="1263"/>
      <c r="I78" s="1263"/>
      <c r="J78" s="1263"/>
      <c r="K78" s="1263"/>
      <c r="L78" s="1263"/>
      <c r="M78" s="1263"/>
      <c r="N78" s="1263"/>
      <c r="O78" s="1263"/>
      <c r="P78" s="1263"/>
      <c r="Q78" s="1263"/>
      <c r="R78" s="1263"/>
      <c r="S78" s="1263"/>
      <c r="T78" s="1263"/>
      <c r="U78" s="1263"/>
      <c r="V78" s="1263"/>
      <c r="W78" s="1263"/>
      <c r="X78" s="1263"/>
      <c r="Y78" s="1263"/>
      <c r="Z78" s="1263"/>
      <c r="AA78" s="1263"/>
      <c r="AB78" s="1263"/>
      <c r="AC78" s="1263"/>
      <c r="AD78" s="1263"/>
      <c r="AE78" s="1263"/>
      <c r="AF78" s="1263"/>
      <c r="AG78" s="1263"/>
      <c r="AH78" s="1263"/>
      <c r="AI78" s="1263"/>
      <c r="AJ78" s="1263"/>
      <c r="AK78" s="1263"/>
      <c r="AL78" s="1262"/>
      <c r="AM78" s="1262"/>
      <c r="AN78" s="1262"/>
      <c r="AO78" s="1262"/>
      <c r="AP78" s="1262"/>
      <c r="AQ78" s="1262"/>
      <c r="AR78" s="1262"/>
      <c r="AS78" s="1262"/>
      <c r="AT78" s="1262"/>
      <c r="AU78" s="1262"/>
      <c r="AV78" s="1262"/>
      <c r="AW78" s="1262"/>
      <c r="AX78" s="1262"/>
      <c r="AY78" s="1262"/>
      <c r="AZ78" s="1262"/>
      <c r="BA78" s="1262"/>
      <c r="BB78" s="1262"/>
    </row>
    <row r="79" spans="1:54">
      <c r="A79" s="1262"/>
      <c r="B79" s="1262"/>
      <c r="C79" s="1262"/>
      <c r="D79" s="1263"/>
      <c r="E79" s="1263"/>
      <c r="F79" s="1263"/>
      <c r="G79" s="1263"/>
      <c r="H79" s="1263"/>
      <c r="I79" s="1263"/>
      <c r="J79" s="1263"/>
      <c r="K79" s="1263"/>
      <c r="L79" s="1263"/>
      <c r="M79" s="1263"/>
      <c r="N79" s="1263"/>
      <c r="O79" s="1263"/>
      <c r="P79" s="1263"/>
      <c r="Q79" s="1263"/>
      <c r="R79" s="1263"/>
      <c r="S79" s="1263"/>
      <c r="T79" s="1263"/>
      <c r="U79" s="1263"/>
      <c r="V79" s="1263"/>
      <c r="W79" s="1263"/>
      <c r="X79" s="1263"/>
      <c r="Y79" s="1263"/>
      <c r="Z79" s="1263"/>
      <c r="AA79" s="1263"/>
      <c r="AB79" s="1263"/>
      <c r="AC79" s="1263"/>
      <c r="AD79" s="1263"/>
      <c r="AE79" s="1263"/>
      <c r="AF79" s="1263"/>
      <c r="AG79" s="1263"/>
      <c r="AH79" s="1263"/>
      <c r="AI79" s="1263"/>
      <c r="AJ79" s="1263"/>
      <c r="AK79" s="1263"/>
      <c r="AL79" s="1262"/>
      <c r="AM79" s="1262"/>
      <c r="AN79" s="1262"/>
      <c r="AO79" s="1262"/>
      <c r="AP79" s="1262"/>
      <c r="AQ79" s="1262"/>
      <c r="AR79" s="1262"/>
      <c r="AS79" s="1262"/>
      <c r="AT79" s="1262"/>
      <c r="AU79" s="1262"/>
      <c r="AV79" s="1262"/>
      <c r="AW79" s="1262"/>
      <c r="AX79" s="1262"/>
      <c r="AY79" s="1262"/>
      <c r="AZ79" s="1262"/>
      <c r="BA79" s="1262"/>
      <c r="BB79" s="1262"/>
    </row>
    <row r="80" spans="1:54">
      <c r="A80" s="1262"/>
      <c r="B80" s="1262"/>
      <c r="C80" s="1262"/>
      <c r="D80" s="1263"/>
      <c r="E80" s="1263"/>
      <c r="F80" s="1263"/>
      <c r="G80" s="1263"/>
      <c r="H80" s="1263"/>
      <c r="I80" s="1263"/>
      <c r="J80" s="1263"/>
      <c r="K80" s="1263"/>
      <c r="L80" s="1263"/>
      <c r="M80" s="1263"/>
      <c r="N80" s="1263"/>
      <c r="O80" s="1263"/>
      <c r="P80" s="1263"/>
      <c r="Q80" s="1263"/>
      <c r="R80" s="1263"/>
      <c r="S80" s="1263"/>
      <c r="T80" s="1263"/>
      <c r="U80" s="1263"/>
      <c r="V80" s="1263"/>
      <c r="W80" s="1263"/>
      <c r="X80" s="1263"/>
      <c r="Y80" s="1263"/>
      <c r="Z80" s="1263"/>
      <c r="AA80" s="1263"/>
      <c r="AB80" s="1263"/>
      <c r="AC80" s="1263"/>
      <c r="AD80" s="1263"/>
      <c r="AE80" s="1263"/>
      <c r="AF80" s="1263"/>
      <c r="AG80" s="1263"/>
      <c r="AH80" s="1263"/>
      <c r="AI80" s="1263"/>
      <c r="AJ80" s="1263"/>
      <c r="AK80" s="1263"/>
      <c r="AL80" s="1262"/>
      <c r="AM80" s="1262"/>
      <c r="AN80" s="1262"/>
      <c r="AO80" s="1262"/>
      <c r="AP80" s="1262"/>
      <c r="AQ80" s="1262"/>
      <c r="AR80" s="1262"/>
      <c r="AS80" s="1262"/>
      <c r="AT80" s="1262"/>
      <c r="AU80" s="1262"/>
      <c r="AV80" s="1262"/>
      <c r="AW80" s="1262"/>
      <c r="AX80" s="1262"/>
      <c r="AY80" s="1262"/>
      <c r="AZ80" s="1262"/>
      <c r="BA80" s="1262"/>
      <c r="BB80" s="1262"/>
    </row>
    <row r="81" spans="1:54">
      <c r="A81" s="1262"/>
      <c r="B81" s="1262"/>
      <c r="C81" s="1262"/>
      <c r="D81" s="1263"/>
      <c r="E81" s="1263"/>
      <c r="F81" s="1263"/>
      <c r="G81" s="1263"/>
      <c r="H81" s="1263"/>
      <c r="I81" s="1263"/>
      <c r="J81" s="1263"/>
      <c r="K81" s="1263"/>
      <c r="L81" s="1263"/>
      <c r="M81" s="1263"/>
      <c r="N81" s="1263"/>
      <c r="O81" s="1263"/>
      <c r="P81" s="1263"/>
      <c r="Q81" s="1263"/>
      <c r="R81" s="1263"/>
      <c r="S81" s="1263"/>
      <c r="T81" s="1263"/>
      <c r="U81" s="1263"/>
      <c r="V81" s="1263"/>
      <c r="W81" s="1263"/>
      <c r="X81" s="1263"/>
      <c r="Y81" s="1263"/>
      <c r="Z81" s="1263"/>
      <c r="AA81" s="1263"/>
      <c r="AB81" s="1263"/>
      <c r="AC81" s="1263"/>
      <c r="AD81" s="1263"/>
      <c r="AE81" s="1263"/>
      <c r="AF81" s="1263"/>
      <c r="AG81" s="1263"/>
      <c r="AH81" s="1263"/>
      <c r="AI81" s="1263"/>
      <c r="AJ81" s="1263"/>
      <c r="AK81" s="1263"/>
      <c r="AL81" s="1262"/>
      <c r="AM81" s="1262"/>
      <c r="AN81" s="1262"/>
      <c r="AO81" s="1262"/>
      <c r="AP81" s="1262"/>
      <c r="AQ81" s="1262"/>
      <c r="AR81" s="1262"/>
      <c r="AS81" s="1262"/>
      <c r="AT81" s="1262"/>
      <c r="AU81" s="1262"/>
      <c r="AV81" s="1262"/>
      <c r="AW81" s="1262"/>
      <c r="AX81" s="1262"/>
      <c r="AY81" s="1262"/>
      <c r="AZ81" s="1262"/>
      <c r="BA81" s="1262"/>
      <c r="BB81" s="1262"/>
    </row>
    <row r="82" spans="1:54">
      <c r="A82" s="1262"/>
      <c r="B82" s="1262"/>
      <c r="C82" s="1262"/>
      <c r="D82" s="1263"/>
      <c r="E82" s="1263"/>
      <c r="F82" s="1263"/>
      <c r="G82" s="1263"/>
      <c r="H82" s="1263"/>
      <c r="I82" s="1263"/>
      <c r="J82" s="1263"/>
      <c r="K82" s="1263"/>
      <c r="L82" s="1263"/>
      <c r="M82" s="1263"/>
      <c r="N82" s="1263"/>
      <c r="O82" s="1263"/>
      <c r="P82" s="1263"/>
      <c r="Q82" s="1263"/>
      <c r="R82" s="1263"/>
      <c r="S82" s="1263"/>
      <c r="T82" s="1263"/>
      <c r="U82" s="1263"/>
      <c r="V82" s="1263"/>
      <c r="W82" s="1263"/>
      <c r="X82" s="1263"/>
      <c r="Y82" s="1263"/>
      <c r="Z82" s="1263"/>
      <c r="AA82" s="1263"/>
      <c r="AB82" s="1263"/>
      <c r="AC82" s="1263"/>
      <c r="AD82" s="1263"/>
      <c r="AE82" s="1263"/>
      <c r="AF82" s="1263"/>
      <c r="AG82" s="1263"/>
      <c r="AH82" s="1263"/>
      <c r="AI82" s="1263"/>
      <c r="AJ82" s="1263"/>
      <c r="AK82" s="1263"/>
      <c r="AL82" s="1262"/>
      <c r="AM82" s="1262"/>
      <c r="AN82" s="1262"/>
      <c r="AO82" s="1262"/>
      <c r="AP82" s="1262"/>
      <c r="AQ82" s="1262"/>
      <c r="AR82" s="1262"/>
      <c r="AS82" s="1262"/>
      <c r="AT82" s="1262"/>
      <c r="AU82" s="1262"/>
      <c r="AV82" s="1262"/>
      <c r="AW82" s="1262"/>
      <c r="AX82" s="1262"/>
      <c r="AY82" s="1262"/>
      <c r="AZ82" s="1262"/>
      <c r="BA82" s="1262"/>
      <c r="BB82" s="1262"/>
    </row>
    <row r="83" spans="1:54">
      <c r="A83" s="1262"/>
      <c r="B83" s="1262"/>
      <c r="C83" s="1262"/>
      <c r="D83" s="1263"/>
      <c r="E83" s="1263"/>
      <c r="F83" s="1263"/>
      <c r="G83" s="1263"/>
      <c r="H83" s="1263"/>
      <c r="I83" s="1263"/>
      <c r="J83" s="1263"/>
      <c r="K83" s="1263"/>
      <c r="L83" s="1263"/>
      <c r="M83" s="1263"/>
      <c r="N83" s="1263"/>
      <c r="O83" s="1263"/>
      <c r="P83" s="1263"/>
      <c r="Q83" s="1263"/>
      <c r="R83" s="1263"/>
      <c r="S83" s="1263"/>
      <c r="T83" s="1263"/>
      <c r="U83" s="1263"/>
      <c r="V83" s="1263"/>
      <c r="W83" s="1263"/>
      <c r="X83" s="1263"/>
      <c r="Y83" s="1263"/>
      <c r="Z83" s="1263"/>
      <c r="AA83" s="1263"/>
      <c r="AB83" s="1263"/>
      <c r="AC83" s="1263"/>
      <c r="AD83" s="1263"/>
      <c r="AE83" s="1263"/>
      <c r="AF83" s="1263"/>
      <c r="AG83" s="1263"/>
      <c r="AH83" s="1263"/>
      <c r="AI83" s="1263"/>
      <c r="AJ83" s="1263"/>
      <c r="AK83" s="1263"/>
      <c r="AL83" s="1262"/>
      <c r="AM83" s="1262"/>
      <c r="AN83" s="1262"/>
      <c r="AO83" s="1262"/>
      <c r="AP83" s="1262"/>
      <c r="AQ83" s="1262"/>
      <c r="AR83" s="1262"/>
      <c r="AS83" s="1262"/>
      <c r="AT83" s="1262"/>
      <c r="AU83" s="1262"/>
      <c r="AV83" s="1262"/>
      <c r="AW83" s="1262"/>
      <c r="AX83" s="1262"/>
      <c r="AY83" s="1262"/>
      <c r="AZ83" s="1262"/>
      <c r="BA83" s="1262"/>
      <c r="BB83" s="1262"/>
    </row>
    <row r="84" spans="1:54">
      <c r="A84" s="1262"/>
      <c r="B84" s="1262"/>
      <c r="C84" s="1262"/>
      <c r="D84" s="1263"/>
      <c r="E84" s="1263"/>
      <c r="F84" s="1263"/>
      <c r="G84" s="1263"/>
      <c r="H84" s="1263"/>
      <c r="I84" s="1263"/>
      <c r="J84" s="1263"/>
      <c r="K84" s="1263"/>
      <c r="L84" s="1263"/>
      <c r="M84" s="1263"/>
      <c r="N84" s="1263"/>
      <c r="O84" s="1263"/>
      <c r="P84" s="1263"/>
      <c r="Q84" s="1263"/>
      <c r="R84" s="1263"/>
      <c r="S84" s="1263"/>
      <c r="T84" s="1263"/>
      <c r="U84" s="1263"/>
      <c r="V84" s="1263"/>
      <c r="W84" s="1263"/>
      <c r="X84" s="1263"/>
      <c r="Y84" s="1263"/>
      <c r="Z84" s="1263"/>
      <c r="AA84" s="1263"/>
      <c r="AB84" s="1263"/>
      <c r="AC84" s="1263"/>
      <c r="AD84" s="1263"/>
      <c r="AE84" s="1263"/>
      <c r="AF84" s="1263"/>
      <c r="AG84" s="1263"/>
      <c r="AH84" s="1263"/>
      <c r="AI84" s="1263"/>
      <c r="AJ84" s="1263"/>
      <c r="AK84" s="1263"/>
      <c r="AL84" s="1262"/>
      <c r="AM84" s="1262"/>
      <c r="AN84" s="1262"/>
      <c r="AO84" s="1262"/>
      <c r="AP84" s="1262"/>
      <c r="AQ84" s="1262"/>
      <c r="AR84" s="1262"/>
      <c r="AS84" s="1262"/>
      <c r="AT84" s="1262"/>
      <c r="AU84" s="1262"/>
      <c r="AV84" s="1262"/>
      <c r="AW84" s="1262"/>
      <c r="AX84" s="1262"/>
      <c r="AY84" s="1262"/>
      <c r="AZ84" s="1262"/>
      <c r="BA84" s="1262"/>
      <c r="BB84" s="1262"/>
    </row>
    <row r="85" spans="1:54">
      <c r="A85" s="1262"/>
      <c r="B85" s="1262"/>
      <c r="C85" s="1262"/>
      <c r="D85" s="1263"/>
      <c r="E85" s="1263"/>
      <c r="F85" s="1263"/>
      <c r="G85" s="1263"/>
      <c r="H85" s="1263"/>
      <c r="I85" s="1263"/>
      <c r="J85" s="1263"/>
      <c r="K85" s="1263"/>
      <c r="L85" s="1263"/>
      <c r="M85" s="1263"/>
      <c r="N85" s="1263"/>
      <c r="O85" s="1263"/>
      <c r="P85" s="1263"/>
      <c r="Q85" s="1263"/>
      <c r="R85" s="1263"/>
      <c r="S85" s="1263"/>
      <c r="T85" s="1263"/>
      <c r="U85" s="1263"/>
      <c r="V85" s="1263"/>
      <c r="W85" s="1263"/>
      <c r="X85" s="1263"/>
      <c r="Y85" s="1263"/>
      <c r="Z85" s="1263"/>
      <c r="AA85" s="1263"/>
      <c r="AB85" s="1263"/>
      <c r="AC85" s="1263"/>
      <c r="AD85" s="1263"/>
      <c r="AE85" s="1263"/>
      <c r="AF85" s="1263"/>
      <c r="AG85" s="1263"/>
      <c r="AH85" s="1263"/>
      <c r="AI85" s="1263"/>
      <c r="AJ85" s="1263"/>
      <c r="AK85" s="1263"/>
      <c r="AL85" s="1262"/>
      <c r="AM85" s="1262"/>
      <c r="AN85" s="1262"/>
      <c r="AO85" s="1262"/>
      <c r="AP85" s="1262"/>
      <c r="AQ85" s="1262"/>
      <c r="AR85" s="1262"/>
      <c r="AS85" s="1262"/>
      <c r="AT85" s="1262"/>
      <c r="AU85" s="1262"/>
      <c r="AV85" s="1262"/>
      <c r="AW85" s="1262"/>
      <c r="AX85" s="1262"/>
      <c r="AY85" s="1262"/>
      <c r="AZ85" s="1262"/>
      <c r="BA85" s="1262"/>
      <c r="BB85" s="1262"/>
    </row>
    <row r="86" spans="1:54">
      <c r="A86" s="1262"/>
      <c r="B86" s="1262"/>
      <c r="C86" s="1262"/>
      <c r="D86" s="1263"/>
      <c r="E86" s="1263"/>
      <c r="F86" s="1263"/>
      <c r="G86" s="1263"/>
      <c r="H86" s="1263"/>
      <c r="I86" s="1263"/>
      <c r="J86" s="1263"/>
      <c r="K86" s="1263"/>
      <c r="L86" s="1263"/>
      <c r="M86" s="1263"/>
      <c r="N86" s="1263"/>
      <c r="O86" s="1263"/>
      <c r="P86" s="1263"/>
      <c r="Q86" s="1263"/>
      <c r="R86" s="1263"/>
      <c r="S86" s="1263"/>
      <c r="T86" s="1263"/>
      <c r="U86" s="1263"/>
      <c r="V86" s="1263"/>
      <c r="W86" s="1263"/>
      <c r="X86" s="1263"/>
      <c r="Y86" s="1263"/>
      <c r="Z86" s="1263"/>
      <c r="AA86" s="1263"/>
      <c r="AB86" s="1263"/>
      <c r="AC86" s="1263"/>
      <c r="AD86" s="1263"/>
      <c r="AE86" s="1263"/>
      <c r="AF86" s="1263"/>
      <c r="AG86" s="1263"/>
      <c r="AH86" s="1263"/>
      <c r="AI86" s="1263"/>
      <c r="AJ86" s="1263"/>
      <c r="AK86" s="1263"/>
      <c r="AL86" s="1262"/>
      <c r="AM86" s="1262"/>
      <c r="AN86" s="1262"/>
      <c r="AO86" s="1262"/>
      <c r="AP86" s="1262"/>
      <c r="AQ86" s="1262"/>
      <c r="AR86" s="1262"/>
      <c r="AS86" s="1262"/>
      <c r="AT86" s="1262"/>
      <c r="AU86" s="1262"/>
      <c r="AV86" s="1262"/>
      <c r="AW86" s="1262"/>
      <c r="AX86" s="1262"/>
      <c r="AY86" s="1262"/>
      <c r="AZ86" s="1262"/>
      <c r="BA86" s="1262"/>
      <c r="BB86" s="1262"/>
    </row>
    <row r="87" spans="1:54">
      <c r="A87" s="1262"/>
      <c r="B87" s="1262"/>
      <c r="C87" s="1262"/>
      <c r="D87" s="1263"/>
      <c r="E87" s="1263"/>
      <c r="F87" s="1263"/>
      <c r="G87" s="1263"/>
      <c r="H87" s="1263"/>
      <c r="I87" s="1263"/>
      <c r="J87" s="1263"/>
      <c r="K87" s="1263"/>
      <c r="L87" s="1263"/>
      <c r="M87" s="1263"/>
      <c r="N87" s="1263"/>
      <c r="O87" s="1263"/>
      <c r="P87" s="1263"/>
      <c r="Q87" s="1263"/>
      <c r="R87" s="1263"/>
      <c r="S87" s="1263"/>
      <c r="T87" s="1263"/>
      <c r="U87" s="1263"/>
      <c r="V87" s="1263"/>
      <c r="W87" s="1263"/>
      <c r="X87" s="1263"/>
      <c r="Y87" s="1263"/>
      <c r="Z87" s="1263"/>
      <c r="AA87" s="1263"/>
      <c r="AB87" s="1263"/>
      <c r="AC87" s="1263"/>
      <c r="AD87" s="1263"/>
      <c r="AE87" s="1263"/>
      <c r="AF87" s="1263"/>
      <c r="AG87" s="1263"/>
      <c r="AH87" s="1263"/>
      <c r="AI87" s="1263"/>
      <c r="AJ87" s="1263"/>
      <c r="AK87" s="1263"/>
      <c r="AL87" s="1262"/>
      <c r="AM87" s="1262"/>
      <c r="AN87" s="1262"/>
      <c r="AO87" s="1262"/>
      <c r="AP87" s="1262"/>
      <c r="AQ87" s="1262"/>
      <c r="AR87" s="1262"/>
      <c r="AS87" s="1262"/>
      <c r="AT87" s="1262"/>
      <c r="AU87" s="1262"/>
      <c r="AV87" s="1262"/>
      <c r="AW87" s="1262"/>
      <c r="AX87" s="1262"/>
      <c r="AY87" s="1262"/>
      <c r="AZ87" s="1262"/>
      <c r="BA87" s="1262"/>
      <c r="BB87" s="1262"/>
    </row>
  </sheetData>
  <sheetProtection algorithmName="SHA-512" hashValue="0Kzo9MnMQjOHPXkRYchNbVo899T0OEAV8BeBGzV0jYBvUrMJvq3j8QxuV2+F52aVt7uP1mXVR1ErHQplDN+AGg==" saltValue="D5Raspd+SGX7FBZuDIlO3g==" spinCount="100000" sheet="1" objects="1" scenarios="1"/>
  <customSheetViews>
    <customSheetView guid="{6EFEFCA0-BF14-457A-85A3-29CBF2A862A5}" showGridLines="0" fitToPage="1">
      <selection sqref="A1:AS77"/>
      <pageMargins left="0.23622047244094491" right="0.23622047244094491" top="0.19685039370078741" bottom="0.19685039370078741" header="0" footer="0.11811023622047245"/>
      <printOptions horizontalCentered="1" verticalCentered="1"/>
      <pageSetup paperSize="9" scale="56" orientation="portrait" r:id="rId1"/>
      <headerFooter>
        <oddFooter>&amp;L&amp;10&amp;F &amp;A&amp;R&amp;10Page 52 of 61</oddFooter>
      </headerFooter>
    </customSheetView>
  </customSheetViews>
  <mergeCells count="252">
    <mergeCell ref="G4:AK4"/>
    <mergeCell ref="G5:AK6"/>
    <mergeCell ref="G7:AK7"/>
    <mergeCell ref="F8:AK8"/>
    <mergeCell ref="G10:M10"/>
    <mergeCell ref="N10:P10"/>
    <mergeCell ref="Q10:S10"/>
    <mergeCell ref="Y10:AE10"/>
    <mergeCell ref="AF10:AH10"/>
    <mergeCell ref="AI10:AK10"/>
    <mergeCell ref="F12:M12"/>
    <mergeCell ref="N12:P12"/>
    <mergeCell ref="Q12:S12"/>
    <mergeCell ref="X12:AE12"/>
    <mergeCell ref="AF12:AH12"/>
    <mergeCell ref="AI12:AK12"/>
    <mergeCell ref="F11:M11"/>
    <mergeCell ref="N11:P11"/>
    <mergeCell ref="Q11:S11"/>
    <mergeCell ref="X11:AE11"/>
    <mergeCell ref="AF11:AH11"/>
    <mergeCell ref="AI11:AK11"/>
    <mergeCell ref="F14:M14"/>
    <mergeCell ref="N14:P14"/>
    <mergeCell ref="Q14:S14"/>
    <mergeCell ref="X14:AE14"/>
    <mergeCell ref="AF14:AH14"/>
    <mergeCell ref="AI14:AK14"/>
    <mergeCell ref="F13:M13"/>
    <mergeCell ref="N13:P13"/>
    <mergeCell ref="Q13:S13"/>
    <mergeCell ref="X13:AE13"/>
    <mergeCell ref="AF13:AH13"/>
    <mergeCell ref="AI13:AK13"/>
    <mergeCell ref="F15:M15"/>
    <mergeCell ref="N15:P15"/>
    <mergeCell ref="Q15:S15"/>
    <mergeCell ref="X15:AE16"/>
    <mergeCell ref="AF15:AH16"/>
    <mergeCell ref="AI15:AK16"/>
    <mergeCell ref="F16:M16"/>
    <mergeCell ref="N16:P16"/>
    <mergeCell ref="Q16:S16"/>
    <mergeCell ref="F19:M19"/>
    <mergeCell ref="N19:P19"/>
    <mergeCell ref="Q19:S19"/>
    <mergeCell ref="X19:AE19"/>
    <mergeCell ref="AF19:AH19"/>
    <mergeCell ref="AI19:AK19"/>
    <mergeCell ref="F17:M17"/>
    <mergeCell ref="N17:P17"/>
    <mergeCell ref="Q17:S17"/>
    <mergeCell ref="X17:AE18"/>
    <mergeCell ref="AF17:AH18"/>
    <mergeCell ref="AI17:AK18"/>
    <mergeCell ref="F18:M18"/>
    <mergeCell ref="N18:P18"/>
    <mergeCell ref="Q18:S18"/>
    <mergeCell ref="F24:M25"/>
    <mergeCell ref="N24:P25"/>
    <mergeCell ref="Q24:S25"/>
    <mergeCell ref="F26:M26"/>
    <mergeCell ref="N26:P26"/>
    <mergeCell ref="Q26:S26"/>
    <mergeCell ref="F20:M21"/>
    <mergeCell ref="N20:P21"/>
    <mergeCell ref="Q20:S21"/>
    <mergeCell ref="F22:M23"/>
    <mergeCell ref="N22:P23"/>
    <mergeCell ref="Q22:S23"/>
    <mergeCell ref="F29:M29"/>
    <mergeCell ref="N29:P29"/>
    <mergeCell ref="Q29:S29"/>
    <mergeCell ref="F30:M30"/>
    <mergeCell ref="N30:P30"/>
    <mergeCell ref="Q30:S30"/>
    <mergeCell ref="F27:M27"/>
    <mergeCell ref="N27:P27"/>
    <mergeCell ref="Q27:S27"/>
    <mergeCell ref="F28:M28"/>
    <mergeCell ref="N28:P28"/>
    <mergeCell ref="Q28:S28"/>
    <mergeCell ref="F34:M34"/>
    <mergeCell ref="N34:P34"/>
    <mergeCell ref="Q34:S34"/>
    <mergeCell ref="F35:M35"/>
    <mergeCell ref="N35:P35"/>
    <mergeCell ref="Q35:S35"/>
    <mergeCell ref="F31:M32"/>
    <mergeCell ref="N31:P32"/>
    <mergeCell ref="Q31:S32"/>
    <mergeCell ref="F33:M33"/>
    <mergeCell ref="N33:P33"/>
    <mergeCell ref="Q33:S33"/>
    <mergeCell ref="F38:M38"/>
    <mergeCell ref="N38:P38"/>
    <mergeCell ref="Q38:S38"/>
    <mergeCell ref="F39:M39"/>
    <mergeCell ref="N39:P39"/>
    <mergeCell ref="Q39:S39"/>
    <mergeCell ref="F36:M36"/>
    <mergeCell ref="N36:P36"/>
    <mergeCell ref="Q36:S36"/>
    <mergeCell ref="F37:M37"/>
    <mergeCell ref="N37:P37"/>
    <mergeCell ref="Q37:S37"/>
    <mergeCell ref="F42:M43"/>
    <mergeCell ref="N42:P43"/>
    <mergeCell ref="Q42:S43"/>
    <mergeCell ref="F44:M44"/>
    <mergeCell ref="N44:P44"/>
    <mergeCell ref="Q44:S44"/>
    <mergeCell ref="F40:M40"/>
    <mergeCell ref="N40:P40"/>
    <mergeCell ref="Q40:S40"/>
    <mergeCell ref="F41:M41"/>
    <mergeCell ref="N41:P41"/>
    <mergeCell ref="Q41:S41"/>
    <mergeCell ref="F46:AK46"/>
    <mergeCell ref="F47:M47"/>
    <mergeCell ref="N47:O47"/>
    <mergeCell ref="P47:Q47"/>
    <mergeCell ref="R47:S47"/>
    <mergeCell ref="T47:U47"/>
    <mergeCell ref="V47:W47"/>
    <mergeCell ref="X47:Y47"/>
    <mergeCell ref="Z47:AA47"/>
    <mergeCell ref="AB47:AC47"/>
    <mergeCell ref="AD47:AE47"/>
    <mergeCell ref="AF47:AG47"/>
    <mergeCell ref="AH47:AI47"/>
    <mergeCell ref="AJ47:AK47"/>
    <mergeCell ref="F48:M48"/>
    <mergeCell ref="N48:O48"/>
    <mergeCell ref="P48:Q48"/>
    <mergeCell ref="R48:S48"/>
    <mergeCell ref="T48:U48"/>
    <mergeCell ref="V48:W48"/>
    <mergeCell ref="AJ48:AK48"/>
    <mergeCell ref="F49:M49"/>
    <mergeCell ref="N49:O49"/>
    <mergeCell ref="P49:Q49"/>
    <mergeCell ref="R49:S49"/>
    <mergeCell ref="T49:U49"/>
    <mergeCell ref="V49:W49"/>
    <mergeCell ref="X49:Y49"/>
    <mergeCell ref="Z49:AA49"/>
    <mergeCell ref="AB49:AC49"/>
    <mergeCell ref="X48:Y48"/>
    <mergeCell ref="Z48:AA48"/>
    <mergeCell ref="AB48:AC48"/>
    <mergeCell ref="AD48:AE48"/>
    <mergeCell ref="AF48:AG48"/>
    <mergeCell ref="AH48:AI48"/>
    <mergeCell ref="AD49:AE49"/>
    <mergeCell ref="AF49:AG49"/>
    <mergeCell ref="AH49:AI49"/>
    <mergeCell ref="AJ49:AK49"/>
    <mergeCell ref="F50:M50"/>
    <mergeCell ref="N50:O50"/>
    <mergeCell ref="P50:Q50"/>
    <mergeCell ref="R50:S50"/>
    <mergeCell ref="T50:U50"/>
    <mergeCell ref="V50:W50"/>
    <mergeCell ref="AJ50:AK50"/>
    <mergeCell ref="X50:Y50"/>
    <mergeCell ref="Z50:AA50"/>
    <mergeCell ref="AB50:AC50"/>
    <mergeCell ref="AD50:AE50"/>
    <mergeCell ref="AF50:AG50"/>
    <mergeCell ref="AH50:AI50"/>
    <mergeCell ref="AD51:AE51"/>
    <mergeCell ref="AF51:AG51"/>
    <mergeCell ref="AH51:AI51"/>
    <mergeCell ref="AJ51:AK51"/>
    <mergeCell ref="F52:M52"/>
    <mergeCell ref="N52:O52"/>
    <mergeCell ref="P52:Q52"/>
    <mergeCell ref="R52:S52"/>
    <mergeCell ref="T52:U52"/>
    <mergeCell ref="V52:W52"/>
    <mergeCell ref="F51:M51"/>
    <mergeCell ref="N51:O51"/>
    <mergeCell ref="P51:Q51"/>
    <mergeCell ref="R51:S51"/>
    <mergeCell ref="T51:U51"/>
    <mergeCell ref="V51:W51"/>
    <mergeCell ref="X51:Y51"/>
    <mergeCell ref="Z51:AA51"/>
    <mergeCell ref="AB51:AC51"/>
    <mergeCell ref="AF53:AG53"/>
    <mergeCell ref="AH53:AI53"/>
    <mergeCell ref="AJ53:AK53"/>
    <mergeCell ref="F55:AK55"/>
    <mergeCell ref="F57:K57"/>
    <mergeCell ref="L57:Q57"/>
    <mergeCell ref="AJ52:AK52"/>
    <mergeCell ref="F53:M53"/>
    <mergeCell ref="N53:O53"/>
    <mergeCell ref="P53:Q53"/>
    <mergeCell ref="R53:S53"/>
    <mergeCell ref="T53:U53"/>
    <mergeCell ref="V53:W53"/>
    <mergeCell ref="X53:Y53"/>
    <mergeCell ref="Z53:AA53"/>
    <mergeCell ref="AB53:AC53"/>
    <mergeCell ref="X52:Y52"/>
    <mergeCell ref="Z52:AA52"/>
    <mergeCell ref="AB52:AC52"/>
    <mergeCell ref="AD52:AE52"/>
    <mergeCell ref="AF52:AG52"/>
    <mergeCell ref="AH52:AI52"/>
    <mergeCell ref="F58:H58"/>
    <mergeCell ref="I58:K58"/>
    <mergeCell ref="L58:N58"/>
    <mergeCell ref="O58:Q58"/>
    <mergeCell ref="F59:H59"/>
    <mergeCell ref="I59:K59"/>
    <mergeCell ref="L59:N59"/>
    <mergeCell ref="O59:Q59"/>
    <mergeCell ref="AD53:AE53"/>
    <mergeCell ref="F61:AK61"/>
    <mergeCell ref="F63:K63"/>
    <mergeCell ref="L63:Q63"/>
    <mergeCell ref="R63:W63"/>
    <mergeCell ref="X63:AC63"/>
    <mergeCell ref="F64:H64"/>
    <mergeCell ref="I64:K64"/>
    <mergeCell ref="L64:N64"/>
    <mergeCell ref="O64:Q64"/>
    <mergeCell ref="R64:T64"/>
    <mergeCell ref="U64:W64"/>
    <mergeCell ref="X64:Z64"/>
    <mergeCell ref="AA64:AC64"/>
    <mergeCell ref="AD75:AO75"/>
    <mergeCell ref="AA65:AC65"/>
    <mergeCell ref="I67:AC67"/>
    <mergeCell ref="D70:AF70"/>
    <mergeCell ref="F73:M73"/>
    <mergeCell ref="P73:AA73"/>
    <mergeCell ref="AD73:AO74"/>
    <mergeCell ref="F74:M74"/>
    <mergeCell ref="P74:AA74"/>
    <mergeCell ref="F65:H65"/>
    <mergeCell ref="I65:K65"/>
    <mergeCell ref="L65:N65"/>
    <mergeCell ref="O65:Q65"/>
    <mergeCell ref="R65:T65"/>
    <mergeCell ref="U65:W65"/>
    <mergeCell ref="X65:Z65"/>
    <mergeCell ref="F75:M75"/>
    <mergeCell ref="T75:AA75"/>
  </mergeCells>
  <dataValidations count="2">
    <dataValidation type="whole" allowBlank="1" showInputMessage="1" showErrorMessage="1" errorTitle="GSHSP SY 2022-2023" error="Please enter valid number between 0-999." sqref="AF11:AK19 N11:S44 N48:AK53 F59:Q59" xr:uid="{3ADA14CF-7D4C-4D0A-979C-08942A55900E}">
      <formula1>0</formula1>
      <formula2>999</formula2>
    </dataValidation>
    <dataValidation type="whole" allowBlank="1" showInputMessage="1" showErrorMessage="1" errorTitle="GSHSP SY 2022-2023" error="_x000a_Please enter valid number between 0-20,000." sqref="F65:AC65" xr:uid="{4405F757-A438-4F88-99C9-9EB6B30ED288}">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56" orientation="portrait" r:id="rId2"/>
  <headerFooter>
    <oddFooter>&amp;L&amp;10&amp;F &amp;A&amp;R&amp;10Page 52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92161" r:id="rId5" name="Check Box 1">
              <controlPr defaultSize="0" autoFill="0" autoLine="0" autoPict="0">
                <anchor moveWithCells="1">
                  <from>
                    <xdr:col>5</xdr:col>
                    <xdr:colOff>28575</xdr:colOff>
                    <xdr:row>3</xdr:row>
                    <xdr:rowOff>66675</xdr:rowOff>
                  </from>
                  <to>
                    <xdr:col>5</xdr:col>
                    <xdr:colOff>257175</xdr:colOff>
                    <xdr:row>3</xdr:row>
                    <xdr:rowOff>257175</xdr:rowOff>
                  </to>
                </anchor>
              </controlPr>
            </control>
          </mc:Choice>
        </mc:AlternateContent>
        <mc:AlternateContent xmlns:mc="http://schemas.openxmlformats.org/markup-compatibility/2006">
          <mc:Choice Requires="x14">
            <control shapeId="92162" r:id="rId6" name="Check Box 2">
              <controlPr defaultSize="0" autoFill="0" autoLine="0" autoPict="0">
                <anchor moveWithCells="1">
                  <from>
                    <xdr:col>5</xdr:col>
                    <xdr:colOff>28575</xdr:colOff>
                    <xdr:row>3</xdr:row>
                    <xdr:rowOff>295275</xdr:rowOff>
                  </from>
                  <to>
                    <xdr:col>6</xdr:col>
                    <xdr:colOff>0</xdr:colOff>
                    <xdr:row>5</xdr:row>
                    <xdr:rowOff>9525</xdr:rowOff>
                  </to>
                </anchor>
              </controlPr>
            </control>
          </mc:Choice>
        </mc:AlternateContent>
        <mc:AlternateContent xmlns:mc="http://schemas.openxmlformats.org/markup-compatibility/2006">
          <mc:Choice Requires="x14">
            <control shapeId="92163" r:id="rId7" name="Check Box 3">
              <controlPr defaultSize="0" autoFill="0" autoLine="0" autoPict="0">
                <anchor moveWithCells="1">
                  <from>
                    <xdr:col>5</xdr:col>
                    <xdr:colOff>28575</xdr:colOff>
                    <xdr:row>6</xdr:row>
                    <xdr:rowOff>47625</xdr:rowOff>
                  </from>
                  <to>
                    <xdr:col>5</xdr:col>
                    <xdr:colOff>238125</xdr:colOff>
                    <xdr:row>6</xdr:row>
                    <xdr:rowOff>266700</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A93D6-2EC2-416B-8808-5AE1CD592A8D}">
  <sheetPr codeName="Sheet55">
    <tabColor rgb="FFFFFF00"/>
    <pageSetUpPr fitToPage="1"/>
  </sheetPr>
  <dimension ref="A1:BC83"/>
  <sheetViews>
    <sheetView showGridLines="0" zoomScaleNormal="100" zoomScaleSheetLayoutView="100" workbookViewId="0">
      <selection sqref="A1:AQ69"/>
    </sheetView>
  </sheetViews>
  <sheetFormatPr defaultColWidth="8" defaultRowHeight="15.75"/>
  <cols>
    <col min="1" max="1" width="2.125" style="176" customWidth="1"/>
    <col min="2" max="3" width="3.625" style="176" customWidth="1"/>
    <col min="4" max="38" width="3.625" style="175" customWidth="1"/>
    <col min="39" max="41" width="3.625" style="176" customWidth="1"/>
    <col min="42" max="42" width="2.125" style="176" customWidth="1"/>
    <col min="43" max="174" width="3.625" style="176" customWidth="1"/>
    <col min="175" max="16384" width="8" style="176"/>
  </cols>
  <sheetData>
    <row r="1" spans="1:55" ht="12" customHeight="1">
      <c r="A1" s="1262"/>
      <c r="B1" s="1262"/>
      <c r="C1" s="1263"/>
      <c r="D1" s="1263"/>
      <c r="E1" s="1263"/>
      <c r="F1" s="1263"/>
      <c r="G1" s="1263"/>
      <c r="H1" s="1263"/>
      <c r="I1" s="1263"/>
      <c r="J1" s="1263"/>
      <c r="K1" s="1263"/>
      <c r="L1" s="1263"/>
      <c r="M1" s="1263"/>
      <c r="N1" s="1263"/>
      <c r="O1" s="1263"/>
      <c r="P1" s="1263"/>
      <c r="Q1" s="1263"/>
      <c r="R1" s="1263"/>
      <c r="S1" s="1263"/>
      <c r="T1" s="1263"/>
      <c r="U1" s="1263"/>
      <c r="V1" s="1263"/>
      <c r="W1" s="1263"/>
      <c r="X1" s="1263"/>
      <c r="Y1" s="1263"/>
      <c r="Z1" s="1263"/>
      <c r="AA1" s="1263"/>
      <c r="AB1" s="1263"/>
      <c r="AC1" s="1263"/>
      <c r="AD1" s="1263"/>
      <c r="AE1" s="1263"/>
      <c r="AF1" s="1263"/>
      <c r="AG1" s="1263"/>
      <c r="AH1" s="1263"/>
      <c r="AI1" s="1263"/>
      <c r="AJ1" s="1263"/>
      <c r="AK1" s="1263"/>
      <c r="AL1" s="1262"/>
      <c r="AM1" s="1262"/>
      <c r="AN1" s="1262"/>
      <c r="AO1" s="1262"/>
      <c r="AP1" s="1262"/>
      <c r="AQ1" s="1262"/>
      <c r="AR1" s="1262"/>
      <c r="AS1" s="1262"/>
      <c r="AT1" s="1262"/>
      <c r="AU1" s="1262"/>
      <c r="AV1" s="1262"/>
      <c r="AW1" s="1262"/>
      <c r="AX1" s="1262"/>
      <c r="AY1" s="1262"/>
      <c r="AZ1" s="1262"/>
      <c r="BA1" s="1262"/>
      <c r="BB1" s="1262"/>
      <c r="BC1" s="1262"/>
    </row>
    <row r="2" spans="1:55" ht="17.25" thickBot="1">
      <c r="A2" s="1262"/>
      <c r="B2" s="1262"/>
      <c r="C2" s="1264" t="s">
        <v>1893</v>
      </c>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c r="AB2" s="1262"/>
      <c r="AC2" s="1262"/>
      <c r="AD2" s="1262"/>
      <c r="AE2" s="1262"/>
      <c r="AF2" s="1262"/>
      <c r="AG2" s="1262"/>
      <c r="AH2" s="1262"/>
      <c r="AI2" s="1262"/>
      <c r="AJ2" s="1262"/>
      <c r="AK2" s="1262"/>
      <c r="AL2" s="1262"/>
      <c r="AM2" s="1262"/>
      <c r="AN2" s="1262"/>
      <c r="AO2" s="1262"/>
      <c r="AP2" s="1262"/>
      <c r="AQ2" s="1262"/>
      <c r="AR2" s="1262"/>
      <c r="AS2" s="1262"/>
      <c r="AT2" s="1262"/>
      <c r="AU2" s="1262"/>
      <c r="AV2" s="1262"/>
      <c r="AW2" s="1262"/>
      <c r="AX2" s="1262"/>
      <c r="AY2" s="1262"/>
      <c r="AZ2" s="1262"/>
      <c r="BA2" s="1262"/>
      <c r="BB2" s="1262"/>
      <c r="BC2" s="1262"/>
    </row>
    <row r="3" spans="1:55" ht="5.0999999999999996" customHeight="1" thickTop="1">
      <c r="A3" s="1262"/>
      <c r="B3" s="1262"/>
      <c r="C3" s="1266"/>
      <c r="D3" s="1267"/>
      <c r="E3" s="1267"/>
      <c r="F3" s="1267"/>
      <c r="G3" s="1267"/>
      <c r="H3" s="1267"/>
      <c r="I3" s="1267"/>
      <c r="J3" s="1267"/>
      <c r="K3" s="1267"/>
      <c r="L3" s="1267"/>
      <c r="M3" s="1267"/>
      <c r="N3" s="1267"/>
      <c r="O3" s="1267"/>
      <c r="P3" s="1267"/>
      <c r="Q3" s="1267"/>
      <c r="R3" s="1267"/>
      <c r="S3" s="1267"/>
      <c r="T3" s="1267"/>
      <c r="U3" s="1267"/>
      <c r="V3" s="1267"/>
      <c r="W3" s="1267"/>
      <c r="X3" s="1267"/>
      <c r="Y3" s="1267"/>
      <c r="Z3" s="1267"/>
      <c r="AA3" s="1267"/>
      <c r="AB3" s="1267"/>
      <c r="AC3" s="1267"/>
      <c r="AD3" s="1267"/>
      <c r="AE3" s="1267"/>
      <c r="AF3" s="1267"/>
      <c r="AG3" s="1267"/>
      <c r="AH3" s="1267"/>
      <c r="AI3" s="1267"/>
      <c r="AJ3" s="1267"/>
      <c r="AK3" s="1267"/>
      <c r="AL3" s="1267"/>
      <c r="AM3" s="1267"/>
      <c r="AN3" s="1268"/>
      <c r="AO3" s="1327"/>
      <c r="AP3" s="1327"/>
      <c r="AQ3" s="1262"/>
      <c r="AR3" s="1262"/>
      <c r="AS3" s="1262"/>
      <c r="AT3" s="1262"/>
      <c r="AU3" s="1262"/>
      <c r="AV3" s="1262"/>
      <c r="AW3" s="1262"/>
      <c r="AX3" s="1262"/>
      <c r="AY3" s="1262"/>
      <c r="AZ3" s="1262"/>
      <c r="BA3" s="1262"/>
      <c r="BB3" s="1262"/>
      <c r="BC3" s="1262"/>
    </row>
    <row r="4" spans="1:55" s="177" customFormat="1" ht="24.75" customHeight="1" thickBot="1">
      <c r="A4" s="1319"/>
      <c r="B4" s="1319"/>
      <c r="C4" s="1320"/>
      <c r="D4" s="1326" t="s">
        <v>47</v>
      </c>
      <c r="E4" s="1340" t="b">
        <v>1</v>
      </c>
      <c r="F4" s="3708" t="s">
        <v>1576</v>
      </c>
      <c r="G4" s="3708"/>
      <c r="H4" s="3708"/>
      <c r="I4" s="3708"/>
      <c r="J4" s="3708"/>
      <c r="K4" s="3708"/>
      <c r="L4" s="3708"/>
      <c r="M4" s="3708"/>
      <c r="N4" s="3708"/>
      <c r="O4" s="3708"/>
      <c r="P4" s="3708"/>
      <c r="Q4" s="3708"/>
      <c r="R4" s="3708"/>
      <c r="S4" s="3708"/>
      <c r="T4" s="3708"/>
      <c r="U4" s="3708"/>
      <c r="V4" s="3708"/>
      <c r="W4" s="3708"/>
      <c r="X4" s="3708"/>
      <c r="Y4" s="3708"/>
      <c r="Z4" s="3708"/>
      <c r="AA4" s="3708"/>
      <c r="AB4" s="3708"/>
      <c r="AC4" s="3708"/>
      <c r="AD4" s="3708"/>
      <c r="AE4" s="3708"/>
      <c r="AF4" s="3708"/>
      <c r="AG4" s="3708"/>
      <c r="AH4" s="3708"/>
      <c r="AI4" s="3708"/>
      <c r="AJ4" s="3708"/>
      <c r="AK4" s="3708"/>
      <c r="AL4" s="1383"/>
      <c r="AM4" s="1383"/>
      <c r="AN4" s="1323"/>
      <c r="AO4" s="1322"/>
      <c r="AP4" s="1322"/>
      <c r="AQ4" s="1322"/>
      <c r="AR4" s="1322"/>
      <c r="AS4" s="1322"/>
      <c r="AT4" s="1322"/>
      <c r="AU4" s="1322"/>
      <c r="AV4" s="1322"/>
      <c r="AW4" s="1322"/>
      <c r="AX4" s="1322"/>
      <c r="AY4" s="1322"/>
      <c r="AZ4" s="1319"/>
      <c r="BA4" s="1319"/>
      <c r="BB4" s="1319"/>
      <c r="BC4" s="1319"/>
    </row>
    <row r="5" spans="1:55" ht="30" customHeight="1" thickBot="1">
      <c r="A5" s="1262"/>
      <c r="B5" s="1262"/>
      <c r="C5" s="1269"/>
      <c r="D5" s="1301" t="s">
        <v>48</v>
      </c>
      <c r="E5" s="3667" t="s">
        <v>1542</v>
      </c>
      <c r="F5" s="3667"/>
      <c r="G5" s="3667"/>
      <c r="H5" s="3667"/>
      <c r="I5" s="3667"/>
      <c r="J5" s="3667"/>
      <c r="K5" s="3667"/>
      <c r="L5" s="3667"/>
      <c r="M5" s="3667"/>
      <c r="N5" s="3667"/>
      <c r="O5" s="3667"/>
      <c r="P5" s="3667"/>
      <c r="Q5" s="3667"/>
      <c r="R5" s="3667"/>
      <c r="S5" s="3667"/>
      <c r="T5" s="3667"/>
      <c r="U5" s="3667"/>
      <c r="V5" s="3667"/>
      <c r="W5" s="3667"/>
      <c r="X5" s="3667"/>
      <c r="Y5" s="3667"/>
      <c r="Z5" s="3667"/>
      <c r="AA5" s="3667"/>
      <c r="AB5" s="3667"/>
      <c r="AC5" s="3667"/>
      <c r="AD5" s="3667"/>
      <c r="AE5" s="3667"/>
      <c r="AF5" s="3667"/>
      <c r="AG5" s="3667"/>
      <c r="AH5" s="1337"/>
      <c r="AI5" s="3716">
        <v>0</v>
      </c>
      <c r="AJ5" s="3717"/>
      <c r="AK5" s="3718"/>
      <c r="AL5" s="1262"/>
      <c r="AM5" s="1262"/>
      <c r="AN5" s="1272"/>
      <c r="AO5" s="1262"/>
      <c r="AP5" s="1262"/>
      <c r="AQ5" s="1262"/>
      <c r="AR5" s="1262"/>
      <c r="AS5" s="1262"/>
      <c r="AT5" s="1262"/>
      <c r="AU5" s="1262"/>
      <c r="AV5" s="1262"/>
      <c r="AW5" s="1262"/>
      <c r="AX5" s="1262"/>
      <c r="AY5" s="1262"/>
      <c r="AZ5" s="1262"/>
      <c r="BA5" s="1262"/>
      <c r="BB5" s="1262"/>
      <c r="BC5" s="1262"/>
    </row>
    <row r="6" spans="1:55" ht="5.0999999999999996" customHeight="1">
      <c r="A6" s="1262"/>
      <c r="B6" s="1262"/>
      <c r="C6" s="1269"/>
      <c r="D6" s="1301"/>
      <c r="E6" s="1309"/>
      <c r="F6" s="1309"/>
      <c r="G6" s="1309"/>
      <c r="H6" s="1309"/>
      <c r="I6" s="1309"/>
      <c r="J6" s="1309"/>
      <c r="K6" s="1309"/>
      <c r="L6" s="1309"/>
      <c r="M6" s="1309"/>
      <c r="N6" s="1309"/>
      <c r="O6" s="1309"/>
      <c r="P6" s="1309"/>
      <c r="Q6" s="1309"/>
      <c r="R6" s="1309"/>
      <c r="S6" s="1309"/>
      <c r="T6" s="1309"/>
      <c r="U6" s="1309"/>
      <c r="V6" s="1309"/>
      <c r="W6" s="1309"/>
      <c r="X6" s="1309"/>
      <c r="Y6" s="1309"/>
      <c r="Z6" s="1309"/>
      <c r="AA6" s="1309"/>
      <c r="AB6" s="1309"/>
      <c r="AC6" s="1309"/>
      <c r="AD6" s="1309"/>
      <c r="AE6" s="1309"/>
      <c r="AF6" s="1309"/>
      <c r="AG6" s="1309"/>
      <c r="AH6" s="1309"/>
      <c r="AI6" s="1262"/>
      <c r="AJ6" s="1384"/>
      <c r="AK6" s="1384"/>
      <c r="AL6" s="1384"/>
      <c r="AM6" s="1384"/>
      <c r="AN6" s="1272"/>
      <c r="AO6" s="1262"/>
      <c r="AP6" s="1262"/>
      <c r="AQ6" s="1262"/>
      <c r="AR6" s="1262"/>
      <c r="AS6" s="1262"/>
      <c r="AT6" s="1262"/>
      <c r="AU6" s="1262"/>
      <c r="AV6" s="1262"/>
      <c r="AW6" s="1262"/>
      <c r="AX6" s="1262"/>
      <c r="AY6" s="1262"/>
      <c r="AZ6" s="1262"/>
      <c r="BA6" s="1262"/>
      <c r="BB6" s="1262"/>
      <c r="BC6" s="1262"/>
    </row>
    <row r="7" spans="1:55" s="177" customFormat="1" ht="15.95" customHeight="1">
      <c r="A7" s="1319"/>
      <c r="B7" s="1319"/>
      <c r="C7" s="1320"/>
      <c r="D7" s="1301" t="s">
        <v>49</v>
      </c>
      <c r="E7" s="1340" t="b">
        <v>0</v>
      </c>
      <c r="F7" s="3779" t="s">
        <v>1577</v>
      </c>
      <c r="G7" s="3779"/>
      <c r="H7" s="3779"/>
      <c r="I7" s="3779"/>
      <c r="J7" s="3779"/>
      <c r="K7" s="3779"/>
      <c r="L7" s="3779"/>
      <c r="M7" s="3779"/>
      <c r="N7" s="3779"/>
      <c r="O7" s="3779"/>
      <c r="P7" s="3779"/>
      <c r="Q7" s="3779"/>
      <c r="R7" s="3779"/>
      <c r="S7" s="3779"/>
      <c r="T7" s="3779"/>
      <c r="U7" s="3779"/>
      <c r="V7" s="3779"/>
      <c r="W7" s="3779"/>
      <c r="X7" s="3779"/>
      <c r="Y7" s="3779"/>
      <c r="Z7" s="3779"/>
      <c r="AA7" s="3779"/>
      <c r="AB7" s="3779"/>
      <c r="AC7" s="3779"/>
      <c r="AD7" s="3779"/>
      <c r="AE7" s="3779"/>
      <c r="AF7" s="3779"/>
      <c r="AG7" s="3779"/>
      <c r="AH7" s="3779"/>
      <c r="AI7" s="3779"/>
      <c r="AJ7" s="3779"/>
      <c r="AK7" s="3779"/>
      <c r="AL7" s="1381"/>
      <c r="AM7" s="1381"/>
      <c r="AN7" s="1323"/>
      <c r="AO7" s="1322"/>
      <c r="AP7" s="1322"/>
      <c r="AQ7" s="1322"/>
      <c r="AR7" s="1322"/>
      <c r="AS7" s="1322"/>
      <c r="AT7" s="1322"/>
      <c r="AU7" s="1322"/>
      <c r="AV7" s="1322"/>
      <c r="AW7" s="1322"/>
      <c r="AX7" s="1319"/>
      <c r="AY7" s="1319"/>
      <c r="AZ7" s="1319"/>
      <c r="BA7" s="1319"/>
      <c r="BB7" s="1319"/>
      <c r="BC7" s="1319"/>
    </row>
    <row r="8" spans="1:55" s="177" customFormat="1" ht="15.95" customHeight="1">
      <c r="A8" s="1319"/>
      <c r="B8" s="1319"/>
      <c r="C8" s="1320"/>
      <c r="D8" s="1301"/>
      <c r="E8" s="1341"/>
      <c r="F8" s="3779"/>
      <c r="G8" s="3779"/>
      <c r="H8" s="3779"/>
      <c r="I8" s="3779"/>
      <c r="J8" s="3779"/>
      <c r="K8" s="3779"/>
      <c r="L8" s="3779"/>
      <c r="M8" s="3779"/>
      <c r="N8" s="3779"/>
      <c r="O8" s="3779"/>
      <c r="P8" s="3779"/>
      <c r="Q8" s="3779"/>
      <c r="R8" s="3779"/>
      <c r="S8" s="3779"/>
      <c r="T8" s="3779"/>
      <c r="U8" s="3779"/>
      <c r="V8" s="3779"/>
      <c r="W8" s="3779"/>
      <c r="X8" s="3779"/>
      <c r="Y8" s="3779"/>
      <c r="Z8" s="3779"/>
      <c r="AA8" s="3779"/>
      <c r="AB8" s="3779"/>
      <c r="AC8" s="3779"/>
      <c r="AD8" s="3779"/>
      <c r="AE8" s="3779"/>
      <c r="AF8" s="3779"/>
      <c r="AG8" s="3779"/>
      <c r="AH8" s="3779"/>
      <c r="AI8" s="3779"/>
      <c r="AJ8" s="3779"/>
      <c r="AK8" s="3779"/>
      <c r="AL8" s="1381"/>
      <c r="AM8" s="1381"/>
      <c r="AN8" s="1323"/>
      <c r="AO8" s="1322"/>
      <c r="AP8" s="1322"/>
      <c r="AQ8" s="1322"/>
      <c r="AR8" s="1322"/>
      <c r="AS8" s="1322"/>
      <c r="AT8" s="1322"/>
      <c r="AU8" s="1322"/>
      <c r="AV8" s="1322"/>
      <c r="AW8" s="1322"/>
      <c r="AX8" s="1319"/>
      <c r="AY8" s="1319"/>
      <c r="AZ8" s="1319"/>
      <c r="BA8" s="1319"/>
      <c r="BB8" s="1319"/>
      <c r="BC8" s="1319"/>
    </row>
    <row r="9" spans="1:55" ht="5.0999999999999996" customHeight="1">
      <c r="A9" s="1262"/>
      <c r="B9" s="1262"/>
      <c r="C9" s="1303"/>
      <c r="D9" s="1327"/>
      <c r="E9" s="1327"/>
      <c r="F9" s="1327"/>
      <c r="G9" s="1327"/>
      <c r="H9" s="1327"/>
      <c r="I9" s="1327"/>
      <c r="J9" s="1327"/>
      <c r="K9" s="1327"/>
      <c r="L9" s="1327"/>
      <c r="M9" s="1327"/>
      <c r="N9" s="1327"/>
      <c r="O9" s="1327"/>
      <c r="P9" s="1327"/>
      <c r="Q9" s="1327"/>
      <c r="R9" s="1327"/>
      <c r="S9" s="1327"/>
      <c r="T9" s="1327"/>
      <c r="U9" s="1327"/>
      <c r="V9" s="1327"/>
      <c r="W9" s="1327"/>
      <c r="X9" s="1327"/>
      <c r="Y9" s="1327"/>
      <c r="Z9" s="1327"/>
      <c r="AA9" s="1327"/>
      <c r="AB9" s="1327"/>
      <c r="AC9" s="1327"/>
      <c r="AD9" s="1327"/>
      <c r="AE9" s="1327"/>
      <c r="AF9" s="1327"/>
      <c r="AG9" s="1327"/>
      <c r="AH9" s="1327"/>
      <c r="AI9" s="1327"/>
      <c r="AJ9" s="1327"/>
      <c r="AK9" s="1327"/>
      <c r="AL9" s="1327"/>
      <c r="AM9" s="1327"/>
      <c r="AN9" s="1292"/>
      <c r="AO9" s="1262"/>
      <c r="AP9" s="1262"/>
      <c r="AQ9" s="1262"/>
      <c r="AR9" s="1262"/>
      <c r="AS9" s="1262"/>
      <c r="AT9" s="1262"/>
      <c r="AU9" s="1262"/>
      <c r="AV9" s="1262"/>
      <c r="AW9" s="1262"/>
      <c r="AX9" s="1262"/>
      <c r="AY9" s="1262"/>
      <c r="AZ9" s="1262"/>
      <c r="BA9" s="1262"/>
      <c r="BB9" s="1262"/>
      <c r="BC9" s="1262"/>
    </row>
    <row r="10" spans="1:55" ht="15.6" customHeight="1">
      <c r="A10" s="1262"/>
      <c r="B10" s="1262"/>
      <c r="C10" s="1269"/>
      <c r="D10" s="1301" t="s">
        <v>50</v>
      </c>
      <c r="E10" s="3638" t="s">
        <v>1578</v>
      </c>
      <c r="F10" s="3638"/>
      <c r="G10" s="3638"/>
      <c r="H10" s="3638"/>
      <c r="I10" s="3638"/>
      <c r="J10" s="3638"/>
      <c r="K10" s="3638"/>
      <c r="L10" s="3638"/>
      <c r="M10" s="3638"/>
      <c r="N10" s="3638"/>
      <c r="O10" s="3638"/>
      <c r="P10" s="3638"/>
      <c r="Q10" s="3638"/>
      <c r="R10" s="3638"/>
      <c r="S10" s="3638"/>
      <c r="T10" s="3638"/>
      <c r="U10" s="3638"/>
      <c r="V10" s="3638"/>
      <c r="W10" s="3638"/>
      <c r="X10" s="3638"/>
      <c r="Y10" s="3638"/>
      <c r="Z10" s="3638"/>
      <c r="AA10" s="3638"/>
      <c r="AB10" s="3638"/>
      <c r="AC10" s="3638"/>
      <c r="AD10" s="3638"/>
      <c r="AE10" s="3638"/>
      <c r="AF10" s="3638"/>
      <c r="AG10" s="3638"/>
      <c r="AH10" s="3638"/>
      <c r="AI10" s="3638"/>
      <c r="AJ10" s="3638"/>
      <c r="AK10" s="3638"/>
      <c r="AL10" s="1309"/>
      <c r="AM10" s="1309"/>
      <c r="AN10" s="1292"/>
      <c r="AO10" s="1262"/>
      <c r="AP10" s="1262"/>
      <c r="AQ10" s="1262"/>
      <c r="AR10" s="1262"/>
      <c r="AS10" s="1262"/>
      <c r="AT10" s="1262"/>
      <c r="AU10" s="1262"/>
      <c r="AV10" s="1262"/>
      <c r="AW10" s="1262"/>
      <c r="AX10" s="1262"/>
      <c r="AY10" s="1262"/>
      <c r="AZ10" s="1262"/>
      <c r="BA10" s="1262"/>
      <c r="BB10" s="1262"/>
      <c r="BC10" s="1262"/>
    </row>
    <row r="11" spans="1:55" ht="15.6" customHeight="1" thickBot="1">
      <c r="A11" s="1262"/>
      <c r="B11" s="1262"/>
      <c r="C11" s="1303"/>
      <c r="D11" s="1327"/>
      <c r="E11" s="1385" t="s">
        <v>1579</v>
      </c>
      <c r="F11" s="1327"/>
      <c r="G11" s="1327"/>
      <c r="H11" s="1327"/>
      <c r="I11" s="1327"/>
      <c r="J11" s="1327"/>
      <c r="K11" s="1327"/>
      <c r="L11" s="1327"/>
      <c r="M11" s="1327"/>
      <c r="N11" s="1327"/>
      <c r="O11" s="1327"/>
      <c r="P11" s="1327"/>
      <c r="Q11" s="1327"/>
      <c r="R11" s="1327"/>
      <c r="S11" s="1327"/>
      <c r="T11" s="1327"/>
      <c r="U11" s="1327"/>
      <c r="V11" s="1327"/>
      <c r="W11" s="1327"/>
      <c r="X11" s="1327"/>
      <c r="Y11" s="1327"/>
      <c r="Z11" s="1385" t="s">
        <v>1588</v>
      </c>
      <c r="AA11" s="1327"/>
      <c r="AB11" s="1327"/>
      <c r="AC11" s="1327"/>
      <c r="AD11" s="1327"/>
      <c r="AE11" s="1327"/>
      <c r="AF11" s="1327"/>
      <c r="AG11" s="1327"/>
      <c r="AH11" s="1327"/>
      <c r="AI11" s="1327"/>
      <c r="AJ11" s="1327"/>
      <c r="AK11" s="1327"/>
      <c r="AL11" s="1327"/>
      <c r="AM11" s="1327"/>
      <c r="AN11" s="1292"/>
      <c r="AO11" s="1262"/>
      <c r="AP11" s="1262"/>
      <c r="AQ11" s="1262"/>
      <c r="AR11" s="1262"/>
      <c r="AS11" s="1262"/>
      <c r="AT11" s="1262"/>
      <c r="AU11" s="1262"/>
      <c r="AV11" s="1262"/>
      <c r="AW11" s="1262"/>
      <c r="AX11" s="1262"/>
      <c r="AY11" s="1262"/>
      <c r="AZ11" s="1262"/>
      <c r="BA11" s="1262"/>
      <c r="BB11" s="1262"/>
      <c r="BC11" s="1262"/>
    </row>
    <row r="12" spans="1:55" s="175" customFormat="1" ht="65.099999999999994" customHeight="1" thickTop="1" thickBot="1">
      <c r="A12" s="1263"/>
      <c r="B12" s="1263"/>
      <c r="C12" s="1303"/>
      <c r="D12" s="1304"/>
      <c r="E12" s="3654" t="s">
        <v>1681</v>
      </c>
      <c r="F12" s="3655"/>
      <c r="G12" s="3655"/>
      <c r="H12" s="3655"/>
      <c r="I12" s="3655"/>
      <c r="J12" s="3655"/>
      <c r="K12" s="3655"/>
      <c r="L12" s="3658"/>
      <c r="M12" s="3654" t="s">
        <v>1894</v>
      </c>
      <c r="N12" s="3655"/>
      <c r="O12" s="3655"/>
      <c r="P12" s="3657"/>
      <c r="Q12" s="3655" t="s">
        <v>1895</v>
      </c>
      <c r="R12" s="3655"/>
      <c r="S12" s="3655"/>
      <c r="T12" s="3658"/>
      <c r="U12" s="1342"/>
      <c r="V12" s="1342"/>
      <c r="W12" s="1342"/>
      <c r="X12" s="1333"/>
      <c r="Y12" s="1333"/>
      <c r="Z12" s="3654" t="s">
        <v>1681</v>
      </c>
      <c r="AA12" s="3655"/>
      <c r="AB12" s="3655"/>
      <c r="AC12" s="3655"/>
      <c r="AD12" s="3655"/>
      <c r="AE12" s="3655"/>
      <c r="AF12" s="3655"/>
      <c r="AG12" s="3658"/>
      <c r="AH12" s="3655" t="s">
        <v>1894</v>
      </c>
      <c r="AI12" s="3655"/>
      <c r="AJ12" s="3655"/>
      <c r="AK12" s="3658"/>
      <c r="AL12" s="1263"/>
      <c r="AM12" s="1263"/>
      <c r="AN12" s="1284"/>
      <c r="AO12" s="1263"/>
      <c r="AP12" s="1263"/>
      <c r="AQ12" s="1263"/>
      <c r="AR12" s="1263"/>
      <c r="AS12" s="1263"/>
      <c r="AT12" s="1263"/>
      <c r="AU12" s="1263"/>
      <c r="AV12" s="1263"/>
      <c r="AW12" s="1263"/>
      <c r="AX12" s="1263"/>
      <c r="AY12" s="1263"/>
      <c r="AZ12" s="1263"/>
      <c r="BA12" s="1263"/>
      <c r="BB12" s="1263"/>
      <c r="BC12" s="1263"/>
    </row>
    <row r="13" spans="1:55" s="175" customFormat="1" ht="19.5" customHeight="1" thickTop="1">
      <c r="A13" s="1263"/>
      <c r="B13" s="1263"/>
      <c r="C13" s="1303"/>
      <c r="D13" s="1304"/>
      <c r="E13" s="3748" t="s">
        <v>1580</v>
      </c>
      <c r="F13" s="3749"/>
      <c r="G13" s="3749"/>
      <c r="H13" s="3749"/>
      <c r="I13" s="3749"/>
      <c r="J13" s="3749"/>
      <c r="K13" s="3749"/>
      <c r="L13" s="3750"/>
      <c r="M13" s="3826">
        <v>0</v>
      </c>
      <c r="N13" s="3827"/>
      <c r="O13" s="3827"/>
      <c r="P13" s="3828"/>
      <c r="Q13" s="3897"/>
      <c r="R13" s="3897"/>
      <c r="S13" s="3897"/>
      <c r="T13" s="3898"/>
      <c r="U13" s="1342"/>
      <c r="V13" s="1342"/>
      <c r="W13" s="1342"/>
      <c r="X13" s="1342"/>
      <c r="Y13" s="1333"/>
      <c r="Z13" s="3748" t="s">
        <v>1589</v>
      </c>
      <c r="AA13" s="3749"/>
      <c r="AB13" s="3749"/>
      <c r="AC13" s="3749"/>
      <c r="AD13" s="3749"/>
      <c r="AE13" s="3749"/>
      <c r="AF13" s="3749"/>
      <c r="AG13" s="3750"/>
      <c r="AH13" s="3827">
        <v>0</v>
      </c>
      <c r="AI13" s="3827"/>
      <c r="AJ13" s="3827"/>
      <c r="AK13" s="3829"/>
      <c r="AL13" s="1263"/>
      <c r="AM13" s="1263"/>
      <c r="AN13" s="1284"/>
      <c r="AO13" s="1263"/>
      <c r="AP13" s="1263"/>
      <c r="AQ13" s="1263"/>
      <c r="AR13" s="1263"/>
      <c r="AS13" s="1263"/>
      <c r="AT13" s="1263"/>
      <c r="AU13" s="1263"/>
      <c r="AV13" s="1263"/>
      <c r="AW13" s="1263"/>
      <c r="AX13" s="1263"/>
      <c r="AY13" s="1263"/>
      <c r="AZ13" s="1263"/>
      <c r="BA13" s="1263"/>
      <c r="BB13" s="1263"/>
      <c r="BC13" s="1263"/>
    </row>
    <row r="14" spans="1:55" s="175" customFormat="1" ht="19.5" customHeight="1">
      <c r="A14" s="1263"/>
      <c r="B14" s="1263"/>
      <c r="C14" s="1273"/>
      <c r="D14" s="1274"/>
      <c r="E14" s="3819"/>
      <c r="F14" s="3820"/>
      <c r="G14" s="3820"/>
      <c r="H14" s="3820"/>
      <c r="I14" s="3820"/>
      <c r="J14" s="3820"/>
      <c r="K14" s="3820"/>
      <c r="L14" s="3885"/>
      <c r="M14" s="3821"/>
      <c r="N14" s="3822"/>
      <c r="O14" s="3822"/>
      <c r="P14" s="3823"/>
      <c r="Q14" s="3886"/>
      <c r="R14" s="3886"/>
      <c r="S14" s="3886"/>
      <c r="T14" s="3887"/>
      <c r="U14" s="1342"/>
      <c r="V14" s="1342"/>
      <c r="W14" s="1342"/>
      <c r="X14" s="1335"/>
      <c r="Y14" s="1333"/>
      <c r="Z14" s="3819" t="s">
        <v>1590</v>
      </c>
      <c r="AA14" s="3820"/>
      <c r="AB14" s="3820"/>
      <c r="AC14" s="3820"/>
      <c r="AD14" s="3820"/>
      <c r="AE14" s="3820"/>
      <c r="AF14" s="3820"/>
      <c r="AG14" s="3885"/>
      <c r="AH14" s="3822">
        <v>0</v>
      </c>
      <c r="AI14" s="3822"/>
      <c r="AJ14" s="3822"/>
      <c r="AK14" s="3824"/>
      <c r="AL14" s="1263"/>
      <c r="AM14" s="1263"/>
      <c r="AN14" s="1284"/>
      <c r="AO14" s="1263"/>
      <c r="AP14" s="1263"/>
      <c r="AQ14" s="1263"/>
      <c r="AR14" s="1263"/>
      <c r="AS14" s="1263"/>
      <c r="AT14" s="1263"/>
      <c r="AU14" s="1263"/>
      <c r="AV14" s="1263"/>
      <c r="AW14" s="1263"/>
      <c r="AX14" s="1263"/>
      <c r="AY14" s="1263"/>
      <c r="AZ14" s="1263"/>
      <c r="BA14" s="1263"/>
      <c r="BB14" s="1263"/>
      <c r="BC14" s="1263"/>
    </row>
    <row r="15" spans="1:55" s="175" customFormat="1" ht="19.5" customHeight="1">
      <c r="A15" s="1263"/>
      <c r="B15" s="1263"/>
      <c r="C15" s="1273"/>
      <c r="D15" s="1274"/>
      <c r="E15" s="3819" t="s">
        <v>1581</v>
      </c>
      <c r="F15" s="3820"/>
      <c r="G15" s="3820"/>
      <c r="H15" s="3820"/>
      <c r="I15" s="3820"/>
      <c r="J15" s="3820"/>
      <c r="K15" s="3820"/>
      <c r="L15" s="3885"/>
      <c r="M15" s="3821">
        <v>0</v>
      </c>
      <c r="N15" s="3822"/>
      <c r="O15" s="3822"/>
      <c r="P15" s="3823"/>
      <c r="Q15" s="3886"/>
      <c r="R15" s="3886"/>
      <c r="S15" s="3886"/>
      <c r="T15" s="3887"/>
      <c r="U15" s="1306"/>
      <c r="V15" s="1306"/>
      <c r="W15" s="1306"/>
      <c r="X15" s="1335"/>
      <c r="Y15" s="1333"/>
      <c r="Z15" s="3819" t="s">
        <v>1584</v>
      </c>
      <c r="AA15" s="3820"/>
      <c r="AB15" s="3820"/>
      <c r="AC15" s="3820"/>
      <c r="AD15" s="3820"/>
      <c r="AE15" s="3820"/>
      <c r="AF15" s="3820"/>
      <c r="AG15" s="3885"/>
      <c r="AH15" s="3822">
        <v>0</v>
      </c>
      <c r="AI15" s="3822"/>
      <c r="AJ15" s="3822"/>
      <c r="AK15" s="3824"/>
      <c r="AL15" s="1263"/>
      <c r="AM15" s="1263"/>
      <c r="AN15" s="1284"/>
      <c r="AO15" s="1263"/>
      <c r="AP15" s="1263"/>
      <c r="AQ15" s="1263"/>
      <c r="AR15" s="1263"/>
      <c r="AS15" s="1263"/>
      <c r="AT15" s="1263"/>
      <c r="AU15" s="1263"/>
      <c r="AV15" s="1263"/>
      <c r="AW15" s="1263"/>
      <c r="AX15" s="1263"/>
      <c r="AY15" s="1263"/>
      <c r="AZ15" s="1263"/>
      <c r="BA15" s="1263"/>
      <c r="BB15" s="1263"/>
      <c r="BC15" s="1263"/>
    </row>
    <row r="16" spans="1:55" s="175" customFormat="1" ht="19.5" customHeight="1">
      <c r="A16" s="1263"/>
      <c r="B16" s="1263"/>
      <c r="C16" s="1273"/>
      <c r="D16" s="1274"/>
      <c r="E16" s="3819"/>
      <c r="F16" s="3820"/>
      <c r="G16" s="3820"/>
      <c r="H16" s="3820"/>
      <c r="I16" s="3820"/>
      <c r="J16" s="3820"/>
      <c r="K16" s="3820"/>
      <c r="L16" s="3885"/>
      <c r="M16" s="3821"/>
      <c r="N16" s="3822"/>
      <c r="O16" s="3822"/>
      <c r="P16" s="3823"/>
      <c r="Q16" s="3886"/>
      <c r="R16" s="3886"/>
      <c r="S16" s="3886"/>
      <c r="T16" s="3887"/>
      <c r="U16" s="1306"/>
      <c r="V16" s="1306"/>
      <c r="W16" s="1306"/>
      <c r="X16" s="1335"/>
      <c r="Y16" s="1333"/>
      <c r="Z16" s="3819" t="s">
        <v>1585</v>
      </c>
      <c r="AA16" s="3820"/>
      <c r="AB16" s="3820"/>
      <c r="AC16" s="3820"/>
      <c r="AD16" s="3820"/>
      <c r="AE16" s="3820"/>
      <c r="AF16" s="3820"/>
      <c r="AG16" s="3885"/>
      <c r="AH16" s="3822">
        <v>0</v>
      </c>
      <c r="AI16" s="3822"/>
      <c r="AJ16" s="3822"/>
      <c r="AK16" s="3824"/>
      <c r="AL16" s="1263"/>
      <c r="AM16" s="1263"/>
      <c r="AN16" s="1284"/>
      <c r="AO16" s="1263"/>
      <c r="AP16" s="1263"/>
      <c r="AQ16" s="1263"/>
      <c r="AR16" s="1263"/>
      <c r="AS16" s="1263"/>
      <c r="AT16" s="1263"/>
      <c r="AU16" s="1263"/>
      <c r="AV16" s="1263"/>
      <c r="AW16" s="1263"/>
      <c r="AX16" s="1263"/>
      <c r="AY16" s="1263"/>
      <c r="AZ16" s="1263"/>
      <c r="BA16" s="1263"/>
      <c r="BB16" s="1263"/>
      <c r="BC16" s="1263"/>
    </row>
    <row r="17" spans="1:55" s="175" customFormat="1" ht="19.5" customHeight="1">
      <c r="A17" s="1263"/>
      <c r="B17" s="1263"/>
      <c r="C17" s="1273"/>
      <c r="D17" s="1274"/>
      <c r="E17" s="3819" t="s">
        <v>1582</v>
      </c>
      <c r="F17" s="3820"/>
      <c r="G17" s="3820"/>
      <c r="H17" s="3820"/>
      <c r="I17" s="3820"/>
      <c r="J17" s="3820"/>
      <c r="K17" s="3820"/>
      <c r="L17" s="3885"/>
      <c r="M17" s="3821">
        <v>0</v>
      </c>
      <c r="N17" s="3822"/>
      <c r="O17" s="3822"/>
      <c r="P17" s="3823"/>
      <c r="Q17" s="3886"/>
      <c r="R17" s="3886"/>
      <c r="S17" s="3886"/>
      <c r="T17" s="3887"/>
      <c r="U17" s="1306"/>
      <c r="V17" s="1306"/>
      <c r="W17" s="1306"/>
      <c r="X17" s="1335"/>
      <c r="Y17" s="1333"/>
      <c r="Z17" s="3819" t="s">
        <v>1586</v>
      </c>
      <c r="AA17" s="3820"/>
      <c r="AB17" s="3820"/>
      <c r="AC17" s="3820"/>
      <c r="AD17" s="3820"/>
      <c r="AE17" s="3820"/>
      <c r="AF17" s="3820"/>
      <c r="AG17" s="3885"/>
      <c r="AH17" s="3822">
        <v>0</v>
      </c>
      <c r="AI17" s="3822"/>
      <c r="AJ17" s="3822"/>
      <c r="AK17" s="3824"/>
      <c r="AL17" s="1263"/>
      <c r="AM17" s="1263"/>
      <c r="AN17" s="1284"/>
      <c r="AO17" s="1263"/>
      <c r="AP17" s="1263"/>
      <c r="AQ17" s="1263"/>
      <c r="AR17" s="1263"/>
      <c r="AS17" s="1263"/>
      <c r="AT17" s="1263"/>
      <c r="AU17" s="1263"/>
      <c r="AV17" s="1263"/>
      <c r="AW17" s="1263"/>
      <c r="AX17" s="1263"/>
      <c r="AY17" s="1263"/>
      <c r="AZ17" s="1263"/>
      <c r="BA17" s="1263"/>
      <c r="BB17" s="1263"/>
      <c r="BC17" s="1263"/>
    </row>
    <row r="18" spans="1:55" s="175" customFormat="1" ht="19.5" customHeight="1">
      <c r="A18" s="1263"/>
      <c r="B18" s="1263"/>
      <c r="C18" s="1273"/>
      <c r="D18" s="1274"/>
      <c r="E18" s="3819"/>
      <c r="F18" s="3820"/>
      <c r="G18" s="3820"/>
      <c r="H18" s="3820"/>
      <c r="I18" s="3820"/>
      <c r="J18" s="3820"/>
      <c r="K18" s="3820"/>
      <c r="L18" s="3885"/>
      <c r="M18" s="3821"/>
      <c r="N18" s="3822"/>
      <c r="O18" s="3822"/>
      <c r="P18" s="3823"/>
      <c r="Q18" s="3886"/>
      <c r="R18" s="3886"/>
      <c r="S18" s="3886"/>
      <c r="T18" s="3887"/>
      <c r="U18" s="1306"/>
      <c r="V18" s="1306"/>
      <c r="W18" s="1306"/>
      <c r="X18" s="1335"/>
      <c r="Y18" s="1333"/>
      <c r="Z18" s="3819" t="s">
        <v>1587</v>
      </c>
      <c r="AA18" s="3820"/>
      <c r="AB18" s="3820"/>
      <c r="AC18" s="3820"/>
      <c r="AD18" s="3820"/>
      <c r="AE18" s="3820"/>
      <c r="AF18" s="3820"/>
      <c r="AG18" s="3885"/>
      <c r="AH18" s="3822">
        <v>0</v>
      </c>
      <c r="AI18" s="3822"/>
      <c r="AJ18" s="3822"/>
      <c r="AK18" s="3824"/>
      <c r="AL18" s="1263"/>
      <c r="AM18" s="1263"/>
      <c r="AN18" s="1284"/>
      <c r="AO18" s="1263"/>
      <c r="AP18" s="1263"/>
      <c r="AQ18" s="1263"/>
      <c r="AR18" s="1263"/>
      <c r="AS18" s="1263"/>
      <c r="AT18" s="1263"/>
      <c r="AU18" s="1263"/>
      <c r="AV18" s="1263"/>
      <c r="AW18" s="1263"/>
      <c r="AX18" s="1263"/>
      <c r="AY18" s="1263"/>
      <c r="AZ18" s="1263"/>
      <c r="BA18" s="1263"/>
      <c r="BB18" s="1263"/>
      <c r="BC18" s="1263"/>
    </row>
    <row r="19" spans="1:55" s="175" customFormat="1" ht="19.5" customHeight="1">
      <c r="A19" s="1263"/>
      <c r="B19" s="1263"/>
      <c r="C19" s="1273"/>
      <c r="D19" s="1274"/>
      <c r="E19" s="3819" t="s">
        <v>1583</v>
      </c>
      <c r="F19" s="3820"/>
      <c r="G19" s="3820"/>
      <c r="H19" s="3820"/>
      <c r="I19" s="3820"/>
      <c r="J19" s="3820"/>
      <c r="K19" s="3820"/>
      <c r="L19" s="3885"/>
      <c r="M19" s="3821">
        <v>0</v>
      </c>
      <c r="N19" s="3822"/>
      <c r="O19" s="3822"/>
      <c r="P19" s="3823"/>
      <c r="Q19" s="3886"/>
      <c r="R19" s="3886"/>
      <c r="S19" s="3886"/>
      <c r="T19" s="3887"/>
      <c r="U19" s="1306"/>
      <c r="V19" s="1306"/>
      <c r="W19" s="1306"/>
      <c r="X19" s="1335"/>
      <c r="Y19" s="1333"/>
      <c r="Z19" s="3819"/>
      <c r="AA19" s="3820"/>
      <c r="AB19" s="3820"/>
      <c r="AC19" s="3820"/>
      <c r="AD19" s="3820"/>
      <c r="AE19" s="3820"/>
      <c r="AF19" s="3820"/>
      <c r="AG19" s="3885"/>
      <c r="AH19" s="3822"/>
      <c r="AI19" s="3822"/>
      <c r="AJ19" s="3822"/>
      <c r="AK19" s="3824"/>
      <c r="AL19" s="1263"/>
      <c r="AM19" s="1263"/>
      <c r="AN19" s="1284"/>
      <c r="AO19" s="1263"/>
      <c r="AP19" s="1263"/>
      <c r="AQ19" s="1263"/>
      <c r="AR19" s="1263"/>
      <c r="AS19" s="1263"/>
      <c r="AT19" s="1263"/>
      <c r="AU19" s="1263"/>
      <c r="AV19" s="1263"/>
      <c r="AW19" s="1263"/>
      <c r="AX19" s="1263"/>
      <c r="AY19" s="1263"/>
      <c r="AZ19" s="1263"/>
      <c r="BA19" s="1263"/>
      <c r="BB19" s="1263"/>
      <c r="BC19" s="1263"/>
    </row>
    <row r="20" spans="1:55" s="175" customFormat="1" ht="19.5" customHeight="1">
      <c r="A20" s="1263"/>
      <c r="B20" s="1263"/>
      <c r="C20" s="1273"/>
      <c r="D20" s="1274"/>
      <c r="E20" s="3819"/>
      <c r="F20" s="3820"/>
      <c r="G20" s="3820"/>
      <c r="H20" s="3820"/>
      <c r="I20" s="3820"/>
      <c r="J20" s="3820"/>
      <c r="K20" s="3820"/>
      <c r="L20" s="3885"/>
      <c r="M20" s="3821"/>
      <c r="N20" s="3822"/>
      <c r="O20" s="3822"/>
      <c r="P20" s="3823"/>
      <c r="Q20" s="3886"/>
      <c r="R20" s="3886"/>
      <c r="S20" s="3886"/>
      <c r="T20" s="3887"/>
      <c r="U20" s="1306"/>
      <c r="V20" s="1306"/>
      <c r="W20" s="1306"/>
      <c r="X20" s="1335"/>
      <c r="Y20" s="1333"/>
      <c r="Z20" s="3819" t="s">
        <v>1591</v>
      </c>
      <c r="AA20" s="3820"/>
      <c r="AB20" s="3820"/>
      <c r="AC20" s="3820"/>
      <c r="AD20" s="3820"/>
      <c r="AE20" s="3820"/>
      <c r="AF20" s="3820"/>
      <c r="AG20" s="3885"/>
      <c r="AH20" s="3822">
        <v>0</v>
      </c>
      <c r="AI20" s="3822"/>
      <c r="AJ20" s="3822"/>
      <c r="AK20" s="3824"/>
      <c r="AL20" s="1263"/>
      <c r="AM20" s="1263"/>
      <c r="AN20" s="1284"/>
      <c r="AO20" s="1263"/>
      <c r="AP20" s="1263"/>
      <c r="AQ20" s="1263"/>
      <c r="AR20" s="1263"/>
      <c r="AS20" s="1263"/>
      <c r="AT20" s="1263"/>
      <c r="AU20" s="1263"/>
      <c r="AV20" s="1263"/>
      <c r="AW20" s="1263"/>
      <c r="AX20" s="1263"/>
      <c r="AY20" s="1263"/>
      <c r="AZ20" s="1263"/>
      <c r="BA20" s="1263"/>
      <c r="BB20" s="1263"/>
      <c r="BC20" s="1263"/>
    </row>
    <row r="21" spans="1:55" s="175" customFormat="1" ht="19.5" customHeight="1">
      <c r="A21" s="1263"/>
      <c r="B21" s="1263"/>
      <c r="C21" s="1273"/>
      <c r="D21" s="1274"/>
      <c r="E21" s="3819" t="s">
        <v>1584</v>
      </c>
      <c r="F21" s="3820"/>
      <c r="G21" s="3820"/>
      <c r="H21" s="3820"/>
      <c r="I21" s="3820"/>
      <c r="J21" s="3820"/>
      <c r="K21" s="3820"/>
      <c r="L21" s="3885"/>
      <c r="M21" s="3821">
        <v>0</v>
      </c>
      <c r="N21" s="3822"/>
      <c r="O21" s="3822"/>
      <c r="P21" s="3823"/>
      <c r="Q21" s="3886"/>
      <c r="R21" s="3886"/>
      <c r="S21" s="3886"/>
      <c r="T21" s="3887"/>
      <c r="U21" s="1306"/>
      <c r="V21" s="1306"/>
      <c r="W21" s="1306"/>
      <c r="X21" s="1335"/>
      <c r="Y21" s="1333"/>
      <c r="Z21" s="3819" t="s">
        <v>1592</v>
      </c>
      <c r="AA21" s="3820"/>
      <c r="AB21" s="3820"/>
      <c r="AC21" s="3820"/>
      <c r="AD21" s="3820"/>
      <c r="AE21" s="3820"/>
      <c r="AF21" s="3820"/>
      <c r="AG21" s="3885"/>
      <c r="AH21" s="3822">
        <v>0</v>
      </c>
      <c r="AI21" s="3822"/>
      <c r="AJ21" s="3822"/>
      <c r="AK21" s="3824"/>
      <c r="AL21" s="1263"/>
      <c r="AM21" s="1263"/>
      <c r="AN21" s="1284"/>
      <c r="AO21" s="1263"/>
      <c r="AP21" s="1263"/>
      <c r="AQ21" s="1263"/>
      <c r="AR21" s="1263"/>
      <c r="AS21" s="1263"/>
      <c r="AT21" s="1263"/>
      <c r="AU21" s="1263"/>
      <c r="AV21" s="1263"/>
      <c r="AW21" s="1263"/>
      <c r="AX21" s="1263"/>
      <c r="AY21" s="1263"/>
      <c r="AZ21" s="1263"/>
      <c r="BA21" s="1263"/>
      <c r="BB21" s="1263"/>
      <c r="BC21" s="1263"/>
    </row>
    <row r="22" spans="1:55" s="175" customFormat="1" ht="19.5" customHeight="1">
      <c r="A22" s="1263"/>
      <c r="B22" s="1263"/>
      <c r="C22" s="1273"/>
      <c r="D22" s="1274"/>
      <c r="E22" s="3819" t="s">
        <v>1585</v>
      </c>
      <c r="F22" s="3820"/>
      <c r="G22" s="3820"/>
      <c r="H22" s="3820"/>
      <c r="I22" s="3820"/>
      <c r="J22" s="3820"/>
      <c r="K22" s="3820"/>
      <c r="L22" s="3885"/>
      <c r="M22" s="3821">
        <v>0</v>
      </c>
      <c r="N22" s="3822"/>
      <c r="O22" s="3822"/>
      <c r="P22" s="3823"/>
      <c r="Q22" s="3886"/>
      <c r="R22" s="3886"/>
      <c r="S22" s="3886"/>
      <c r="T22" s="3887"/>
      <c r="U22" s="1306"/>
      <c r="V22" s="1306"/>
      <c r="W22" s="1306"/>
      <c r="X22" s="1335"/>
      <c r="Y22" s="1333"/>
      <c r="Z22" s="3819"/>
      <c r="AA22" s="3820"/>
      <c r="AB22" s="3820"/>
      <c r="AC22" s="3820"/>
      <c r="AD22" s="3820"/>
      <c r="AE22" s="3820"/>
      <c r="AF22" s="3820"/>
      <c r="AG22" s="3885"/>
      <c r="AH22" s="3822"/>
      <c r="AI22" s="3822"/>
      <c r="AJ22" s="3822"/>
      <c r="AK22" s="3824"/>
      <c r="AL22" s="1263"/>
      <c r="AM22" s="1263"/>
      <c r="AN22" s="1284"/>
      <c r="AO22" s="1263"/>
      <c r="AP22" s="1263"/>
      <c r="AQ22" s="1263"/>
      <c r="AR22" s="1263"/>
      <c r="AS22" s="1263"/>
      <c r="AT22" s="1263"/>
      <c r="AU22" s="1263"/>
      <c r="AV22" s="1263"/>
      <c r="AW22" s="1263"/>
      <c r="AX22" s="1263"/>
      <c r="AY22" s="1263"/>
      <c r="AZ22" s="1263"/>
      <c r="BA22" s="1263"/>
      <c r="BB22" s="1263"/>
      <c r="BC22" s="1263"/>
    </row>
    <row r="23" spans="1:55" s="175" customFormat="1" ht="19.5" customHeight="1" thickBot="1">
      <c r="A23" s="1263"/>
      <c r="B23" s="1263"/>
      <c r="C23" s="1273"/>
      <c r="D23" s="1274"/>
      <c r="E23" s="3819" t="s">
        <v>1586</v>
      </c>
      <c r="F23" s="3820"/>
      <c r="G23" s="3820"/>
      <c r="H23" s="3820"/>
      <c r="I23" s="3820"/>
      <c r="J23" s="3820"/>
      <c r="K23" s="3820"/>
      <c r="L23" s="3885"/>
      <c r="M23" s="3821">
        <v>0</v>
      </c>
      <c r="N23" s="3822"/>
      <c r="O23" s="3822"/>
      <c r="P23" s="3823"/>
      <c r="Q23" s="3886"/>
      <c r="R23" s="3886"/>
      <c r="S23" s="3886"/>
      <c r="T23" s="3887"/>
      <c r="U23" s="1306"/>
      <c r="V23" s="1306"/>
      <c r="W23" s="1306"/>
      <c r="X23" s="1335"/>
      <c r="Y23" s="1333"/>
      <c r="Z23" s="3751" t="s">
        <v>1593</v>
      </c>
      <c r="AA23" s="3752"/>
      <c r="AB23" s="3752"/>
      <c r="AC23" s="3752"/>
      <c r="AD23" s="3752"/>
      <c r="AE23" s="3752"/>
      <c r="AF23" s="3752"/>
      <c r="AG23" s="3753"/>
      <c r="AH23" s="3684">
        <v>0</v>
      </c>
      <c r="AI23" s="3684"/>
      <c r="AJ23" s="3684"/>
      <c r="AK23" s="3773"/>
      <c r="AL23" s="1263"/>
      <c r="AM23" s="1263"/>
      <c r="AN23" s="1284"/>
      <c r="AO23" s="1263"/>
      <c r="AP23" s="1263"/>
      <c r="AQ23" s="1263"/>
      <c r="AR23" s="1263"/>
      <c r="AS23" s="1263"/>
      <c r="AT23" s="1263"/>
      <c r="AU23" s="1263"/>
      <c r="AV23" s="1263"/>
      <c r="AW23" s="1263"/>
      <c r="AX23" s="1263"/>
      <c r="AY23" s="1263"/>
      <c r="AZ23" s="1263"/>
      <c r="BA23" s="1263"/>
      <c r="BB23" s="1263"/>
      <c r="BC23" s="1263"/>
    </row>
    <row r="24" spans="1:55" s="175" customFormat="1" ht="19.5" customHeight="1" thickTop="1">
      <c r="A24" s="1263"/>
      <c r="B24" s="1263"/>
      <c r="C24" s="1273"/>
      <c r="D24" s="1274"/>
      <c r="E24" s="3888" t="s">
        <v>1587</v>
      </c>
      <c r="F24" s="3889"/>
      <c r="G24" s="3889"/>
      <c r="H24" s="3889"/>
      <c r="I24" s="3889"/>
      <c r="J24" s="3889"/>
      <c r="K24" s="3889"/>
      <c r="L24" s="3890"/>
      <c r="M24" s="3891">
        <v>0</v>
      </c>
      <c r="N24" s="3872"/>
      <c r="O24" s="3872"/>
      <c r="P24" s="3892"/>
      <c r="Q24" s="3893"/>
      <c r="R24" s="3893"/>
      <c r="S24" s="3893"/>
      <c r="T24" s="3894"/>
      <c r="U24" s="1306"/>
      <c r="V24" s="1306"/>
      <c r="W24" s="1306"/>
      <c r="X24" s="1335"/>
      <c r="Y24" s="1333"/>
      <c r="Z24" s="1333"/>
      <c r="AA24" s="1333"/>
      <c r="AB24" s="1333"/>
      <c r="AC24" s="1333"/>
      <c r="AD24" s="1333"/>
      <c r="AE24" s="1333"/>
      <c r="AF24" s="1333"/>
      <c r="AG24" s="1333"/>
      <c r="AH24" s="1335"/>
      <c r="AI24" s="1335"/>
      <c r="AJ24" s="1335"/>
      <c r="AK24" s="1335"/>
      <c r="AL24" s="1335"/>
      <c r="AM24" s="1335"/>
      <c r="AN24" s="1284"/>
      <c r="AO24" s="1263"/>
      <c r="AP24" s="1263"/>
      <c r="AQ24" s="1263"/>
      <c r="AR24" s="1263"/>
      <c r="AS24" s="1263"/>
      <c r="AT24" s="1263"/>
      <c r="AU24" s="1263"/>
      <c r="AV24" s="1263"/>
      <c r="AW24" s="1263"/>
      <c r="AX24" s="1263"/>
      <c r="AY24" s="1263"/>
      <c r="AZ24" s="1263"/>
      <c r="BA24" s="1263"/>
      <c r="BB24" s="1263"/>
      <c r="BC24" s="1263"/>
    </row>
    <row r="25" spans="1:55" s="175" customFormat="1" ht="19.5" customHeight="1" thickBot="1">
      <c r="A25" s="1263"/>
      <c r="B25" s="1263"/>
      <c r="C25" s="1273"/>
      <c r="D25" s="1274"/>
      <c r="E25" s="3751"/>
      <c r="F25" s="3752"/>
      <c r="G25" s="3752"/>
      <c r="H25" s="3752"/>
      <c r="I25" s="3752"/>
      <c r="J25" s="3752"/>
      <c r="K25" s="3752"/>
      <c r="L25" s="3753"/>
      <c r="M25" s="3683"/>
      <c r="N25" s="3684"/>
      <c r="O25" s="3684"/>
      <c r="P25" s="3825"/>
      <c r="Q25" s="3895"/>
      <c r="R25" s="3895"/>
      <c r="S25" s="3895"/>
      <c r="T25" s="3896"/>
      <c r="U25" s="1306"/>
      <c r="V25" s="1306"/>
      <c r="W25" s="1306"/>
      <c r="X25" s="1335"/>
      <c r="Y25" s="1333"/>
      <c r="Z25" s="1333"/>
      <c r="AA25" s="1333"/>
      <c r="AB25" s="1333"/>
      <c r="AC25" s="1333"/>
      <c r="AD25" s="1333"/>
      <c r="AE25" s="1333"/>
      <c r="AF25" s="1333"/>
      <c r="AG25" s="1333"/>
      <c r="AH25" s="1335"/>
      <c r="AI25" s="1335"/>
      <c r="AJ25" s="1335"/>
      <c r="AK25" s="1335"/>
      <c r="AL25" s="1335"/>
      <c r="AM25" s="1335"/>
      <c r="AN25" s="1284"/>
      <c r="AO25" s="1263"/>
      <c r="AP25" s="1263"/>
      <c r="AQ25" s="1263"/>
      <c r="AR25" s="1263"/>
      <c r="AS25" s="1263"/>
      <c r="AT25" s="1263"/>
      <c r="AU25" s="1263"/>
      <c r="AV25" s="1263"/>
      <c r="AW25" s="1263"/>
      <c r="AX25" s="1263"/>
      <c r="AY25" s="1263"/>
      <c r="AZ25" s="1263"/>
      <c r="BA25" s="1263"/>
      <c r="BB25" s="1263"/>
      <c r="BC25" s="1263"/>
    </row>
    <row r="26" spans="1:55" s="175" customFormat="1" ht="9.9499999999999993" customHeight="1" thickTop="1">
      <c r="A26" s="1263"/>
      <c r="B26" s="1263"/>
      <c r="C26" s="1273"/>
      <c r="D26" s="1274"/>
      <c r="E26" s="1333"/>
      <c r="F26" s="1333"/>
      <c r="G26" s="1333"/>
      <c r="H26" s="1333"/>
      <c r="I26" s="1333"/>
      <c r="J26" s="1333"/>
      <c r="K26" s="1333"/>
      <c r="L26" s="1333"/>
      <c r="M26" s="1333"/>
      <c r="N26" s="1333"/>
      <c r="O26" s="1335"/>
      <c r="P26" s="1335"/>
      <c r="Q26" s="1335"/>
      <c r="R26" s="1335"/>
      <c r="S26" s="1335"/>
      <c r="T26" s="1335"/>
      <c r="U26" s="1335"/>
      <c r="V26" s="1335"/>
      <c r="W26" s="1335"/>
      <c r="X26" s="1333"/>
      <c r="Y26" s="1333"/>
      <c r="Z26" s="1333"/>
      <c r="AA26" s="1333"/>
      <c r="AB26" s="1333"/>
      <c r="AC26" s="1333"/>
      <c r="AD26" s="1333"/>
      <c r="AE26" s="1333"/>
      <c r="AF26" s="1333"/>
      <c r="AG26" s="1333"/>
      <c r="AH26" s="1335"/>
      <c r="AI26" s="1335"/>
      <c r="AJ26" s="1335"/>
      <c r="AK26" s="1335"/>
      <c r="AL26" s="1335"/>
      <c r="AM26" s="1335"/>
      <c r="AN26" s="1284"/>
      <c r="AO26" s="1263"/>
      <c r="AP26" s="1263"/>
      <c r="AQ26" s="1263"/>
      <c r="AR26" s="1263"/>
      <c r="AS26" s="1263"/>
      <c r="AT26" s="1263"/>
      <c r="AU26" s="1263"/>
      <c r="AV26" s="1263"/>
      <c r="AW26" s="1263"/>
      <c r="AX26" s="1263"/>
      <c r="AY26" s="1263"/>
      <c r="AZ26" s="1263"/>
      <c r="BA26" s="1263"/>
      <c r="BB26" s="1263"/>
      <c r="BC26" s="1263"/>
    </row>
    <row r="27" spans="1:55" ht="15.6" customHeight="1">
      <c r="A27" s="1262"/>
      <c r="B27" s="1262"/>
      <c r="C27" s="1269"/>
      <c r="D27" s="1301" t="s">
        <v>51</v>
      </c>
      <c r="E27" s="3858" t="s">
        <v>1896</v>
      </c>
      <c r="F27" s="3858"/>
      <c r="G27" s="3858"/>
      <c r="H27" s="3858"/>
      <c r="I27" s="3858"/>
      <c r="J27" s="3858"/>
      <c r="K27" s="3858"/>
      <c r="L27" s="3858"/>
      <c r="M27" s="3858"/>
      <c r="N27" s="3858"/>
      <c r="O27" s="3858"/>
      <c r="P27" s="3858"/>
      <c r="Q27" s="3858"/>
      <c r="R27" s="3858"/>
      <c r="S27" s="3858"/>
      <c r="T27" s="3858"/>
      <c r="U27" s="3858"/>
      <c r="V27" s="3858"/>
      <c r="W27" s="1386"/>
      <c r="X27" s="1386"/>
      <c r="Y27" s="1386"/>
      <c r="Z27" s="1386"/>
      <c r="AA27" s="1386"/>
      <c r="AB27" s="1386"/>
      <c r="AC27" s="1309"/>
      <c r="AD27" s="1309"/>
      <c r="AE27" s="1309"/>
      <c r="AF27" s="1309"/>
      <c r="AG27" s="1309"/>
      <c r="AH27" s="1309"/>
      <c r="AI27" s="1309"/>
      <c r="AJ27" s="1271"/>
      <c r="AK27" s="1271"/>
      <c r="AL27" s="1271"/>
      <c r="AM27" s="1271"/>
      <c r="AN27" s="1272"/>
      <c r="AO27" s="1271"/>
      <c r="AP27" s="1271"/>
      <c r="AQ27" s="1262"/>
      <c r="AR27" s="1262"/>
      <c r="AS27" s="1262"/>
      <c r="AT27" s="1262"/>
      <c r="AU27" s="1262"/>
      <c r="AV27" s="1262"/>
      <c r="AW27" s="1262"/>
      <c r="AX27" s="1262"/>
      <c r="AY27" s="1262"/>
      <c r="AZ27" s="1262"/>
      <c r="BA27" s="1262"/>
      <c r="BB27" s="1262"/>
      <c r="BC27" s="1262"/>
    </row>
    <row r="28" spans="1:55" ht="5.0999999999999996" customHeight="1" thickBot="1">
      <c r="A28" s="1262"/>
      <c r="B28" s="1262"/>
      <c r="C28" s="1303"/>
      <c r="D28" s="1327"/>
      <c r="E28" s="1327"/>
      <c r="F28" s="1327"/>
      <c r="G28" s="1327"/>
      <c r="H28" s="1327"/>
      <c r="I28" s="1327"/>
      <c r="J28" s="1327"/>
      <c r="K28" s="1327"/>
      <c r="L28" s="1327"/>
      <c r="M28" s="1327"/>
      <c r="N28" s="1327"/>
      <c r="O28" s="1327"/>
      <c r="P28" s="1327"/>
      <c r="Q28" s="1327"/>
      <c r="R28" s="1327"/>
      <c r="S28" s="1327"/>
      <c r="T28" s="1327"/>
      <c r="U28" s="1327"/>
      <c r="V28" s="1327"/>
      <c r="W28" s="1327"/>
      <c r="X28" s="1327"/>
      <c r="Y28" s="1327"/>
      <c r="Z28" s="1327"/>
      <c r="AA28" s="1327"/>
      <c r="AB28" s="1327"/>
      <c r="AC28" s="1327"/>
      <c r="AD28" s="1327"/>
      <c r="AE28" s="1327"/>
      <c r="AF28" s="1327"/>
      <c r="AG28" s="1327"/>
      <c r="AH28" s="1327"/>
      <c r="AI28" s="1327"/>
      <c r="AJ28" s="1327"/>
      <c r="AK28" s="1327"/>
      <c r="AL28" s="1327"/>
      <c r="AM28" s="1327"/>
      <c r="AN28" s="1277"/>
      <c r="AO28" s="1327"/>
      <c r="AP28" s="1327"/>
      <c r="AQ28" s="1262"/>
      <c r="AR28" s="1262"/>
      <c r="AS28" s="1262"/>
      <c r="AT28" s="1262"/>
      <c r="AU28" s="1262"/>
      <c r="AV28" s="1262"/>
      <c r="AW28" s="1262"/>
      <c r="AX28" s="1262"/>
      <c r="AY28" s="1262"/>
      <c r="AZ28" s="1262"/>
      <c r="BA28" s="1262"/>
      <c r="BB28" s="1262"/>
      <c r="BC28" s="1262"/>
    </row>
    <row r="29" spans="1:55" s="47" customFormat="1" ht="19.5" customHeight="1" thickTop="1" thickBot="1">
      <c r="A29" s="260"/>
      <c r="B29" s="260"/>
      <c r="C29" s="1387"/>
      <c r="D29" s="260"/>
      <c r="E29" s="3859" t="s">
        <v>580</v>
      </c>
      <c r="F29" s="3860"/>
      <c r="G29" s="3860"/>
      <c r="H29" s="3860"/>
      <c r="I29" s="3860"/>
      <c r="J29" s="3860"/>
      <c r="K29" s="3860"/>
      <c r="L29" s="3860"/>
      <c r="M29" s="3860"/>
      <c r="N29" s="3861"/>
      <c r="O29" s="3709" t="s">
        <v>940</v>
      </c>
      <c r="P29" s="3710"/>
      <c r="Q29" s="3710"/>
      <c r="R29" s="3710"/>
      <c r="S29" s="3710"/>
      <c r="T29" s="3713"/>
      <c r="U29" s="260"/>
      <c r="V29" s="260"/>
      <c r="W29" s="260"/>
      <c r="X29" s="260"/>
      <c r="Y29" s="260"/>
      <c r="Z29" s="260"/>
      <c r="AA29" s="260"/>
      <c r="AB29" s="260"/>
      <c r="AC29" s="260"/>
      <c r="AD29" s="260"/>
      <c r="AE29" s="260"/>
      <c r="AF29" s="260"/>
      <c r="AG29" s="260"/>
      <c r="AH29" s="260"/>
      <c r="AI29" s="260"/>
      <c r="AJ29" s="260"/>
      <c r="AK29" s="260"/>
      <c r="AL29" s="260"/>
      <c r="AM29" s="260"/>
      <c r="AN29" s="260"/>
      <c r="AO29" s="1387"/>
      <c r="AP29" s="260"/>
      <c r="AQ29" s="260"/>
      <c r="AR29" s="260"/>
      <c r="AS29" s="260"/>
      <c r="AT29" s="260"/>
      <c r="AU29" s="260"/>
      <c r="AV29" s="260"/>
      <c r="AW29" s="260"/>
      <c r="AX29" s="260"/>
      <c r="AY29" s="260"/>
      <c r="AZ29" s="260"/>
      <c r="BA29" s="260"/>
      <c r="BB29" s="260"/>
      <c r="BC29" s="260"/>
    </row>
    <row r="30" spans="1:55" s="47" customFormat="1" ht="19.5" customHeight="1" thickBot="1">
      <c r="A30" s="260"/>
      <c r="B30" s="260"/>
      <c r="C30" s="1387"/>
      <c r="D30" s="260"/>
      <c r="E30" s="3862"/>
      <c r="F30" s="3863"/>
      <c r="G30" s="3863"/>
      <c r="H30" s="3863"/>
      <c r="I30" s="3863"/>
      <c r="J30" s="3863"/>
      <c r="K30" s="3863"/>
      <c r="L30" s="3863"/>
      <c r="M30" s="3863"/>
      <c r="N30" s="3864"/>
      <c r="O30" s="3862" t="s">
        <v>45</v>
      </c>
      <c r="P30" s="3863"/>
      <c r="Q30" s="3865"/>
      <c r="R30" s="3866" t="s">
        <v>46</v>
      </c>
      <c r="S30" s="3863"/>
      <c r="T30" s="3864"/>
      <c r="U30" s="260"/>
      <c r="V30" s="260"/>
      <c r="W30" s="260"/>
      <c r="X30" s="260"/>
      <c r="Y30" s="260"/>
      <c r="Z30" s="260"/>
      <c r="AA30" s="260"/>
      <c r="AB30" s="260"/>
      <c r="AC30" s="260"/>
      <c r="AD30" s="260"/>
      <c r="AE30" s="260"/>
      <c r="AF30" s="260"/>
      <c r="AG30" s="260"/>
      <c r="AH30" s="260"/>
      <c r="AI30" s="260"/>
      <c r="AJ30" s="260"/>
      <c r="AK30" s="260"/>
      <c r="AL30" s="260"/>
      <c r="AM30" s="260"/>
      <c r="AN30" s="260"/>
      <c r="AO30" s="1387"/>
      <c r="AP30" s="260"/>
      <c r="AQ30" s="260"/>
      <c r="AR30" s="260"/>
      <c r="AS30" s="260"/>
      <c r="AT30" s="260"/>
      <c r="AU30" s="260"/>
      <c r="AV30" s="260"/>
      <c r="AW30" s="260"/>
      <c r="AX30" s="260"/>
      <c r="AY30" s="260"/>
      <c r="AZ30" s="260"/>
      <c r="BA30" s="260"/>
      <c r="BB30" s="260"/>
      <c r="BC30" s="260"/>
    </row>
    <row r="31" spans="1:55" s="47" customFormat="1" ht="33.950000000000003" customHeight="1" thickTop="1">
      <c r="A31" s="260"/>
      <c r="B31" s="260"/>
      <c r="C31" s="1387"/>
      <c r="D31" s="260"/>
      <c r="E31" s="1388" t="s">
        <v>47</v>
      </c>
      <c r="F31" s="3840" t="s">
        <v>1897</v>
      </c>
      <c r="G31" s="3840"/>
      <c r="H31" s="3840"/>
      <c r="I31" s="3840"/>
      <c r="J31" s="3840"/>
      <c r="K31" s="3840"/>
      <c r="L31" s="3840"/>
      <c r="M31" s="3840"/>
      <c r="N31" s="3841"/>
      <c r="O31" s="3880">
        <v>1</v>
      </c>
      <c r="P31" s="3881"/>
      <c r="Q31" s="3882"/>
      <c r="R31" s="3883">
        <v>0</v>
      </c>
      <c r="S31" s="3881"/>
      <c r="T31" s="3884"/>
      <c r="U31" s="260"/>
      <c r="V31" s="260"/>
      <c r="W31" s="260"/>
      <c r="X31" s="260"/>
      <c r="Y31" s="260"/>
      <c r="Z31" s="260"/>
      <c r="AA31" s="260"/>
      <c r="AB31" s="260"/>
      <c r="AC31" s="260"/>
      <c r="AD31" s="260"/>
      <c r="AE31" s="260"/>
      <c r="AF31" s="260"/>
      <c r="AG31" s="260"/>
      <c r="AH31" s="260"/>
      <c r="AI31" s="260"/>
      <c r="AJ31" s="260"/>
      <c r="AK31" s="260"/>
      <c r="AL31" s="260"/>
      <c r="AM31" s="260"/>
      <c r="AN31" s="260"/>
      <c r="AO31" s="1387"/>
      <c r="AP31" s="260"/>
      <c r="AQ31" s="260"/>
      <c r="AR31" s="260"/>
      <c r="AS31" s="260"/>
      <c r="AT31" s="260"/>
      <c r="AU31" s="260"/>
      <c r="AV31" s="260"/>
      <c r="AW31" s="260"/>
      <c r="AX31" s="260"/>
      <c r="AY31" s="260"/>
      <c r="AZ31" s="260"/>
      <c r="BA31" s="260"/>
      <c r="BB31" s="260"/>
      <c r="BC31" s="260"/>
    </row>
    <row r="32" spans="1:55" s="47" customFormat="1" ht="35.450000000000003" customHeight="1" thickBot="1">
      <c r="A32" s="260"/>
      <c r="B32" s="260"/>
      <c r="C32" s="1387"/>
      <c r="D32" s="260"/>
      <c r="E32" s="1389" t="s">
        <v>48</v>
      </c>
      <c r="F32" s="3831" t="s">
        <v>1898</v>
      </c>
      <c r="G32" s="3831"/>
      <c r="H32" s="3831"/>
      <c r="I32" s="3831"/>
      <c r="J32" s="3831"/>
      <c r="K32" s="3831"/>
      <c r="L32" s="3831"/>
      <c r="M32" s="3831"/>
      <c r="N32" s="3832"/>
      <c r="O32" s="3875">
        <v>1</v>
      </c>
      <c r="P32" s="3876"/>
      <c r="Q32" s="3877"/>
      <c r="R32" s="3878">
        <v>0</v>
      </c>
      <c r="S32" s="3876"/>
      <c r="T32" s="3879"/>
      <c r="U32" s="260"/>
      <c r="V32" s="260"/>
      <c r="W32" s="260"/>
      <c r="X32" s="260"/>
      <c r="Y32" s="260"/>
      <c r="Z32" s="260"/>
      <c r="AA32" s="260"/>
      <c r="AB32" s="260"/>
      <c r="AC32" s="260"/>
      <c r="AD32" s="260"/>
      <c r="AE32" s="260"/>
      <c r="AF32" s="260"/>
      <c r="AG32" s="260"/>
      <c r="AH32" s="260"/>
      <c r="AI32" s="260"/>
      <c r="AJ32" s="260"/>
      <c r="AK32" s="260"/>
      <c r="AL32" s="260"/>
      <c r="AM32" s="260"/>
      <c r="AN32" s="260"/>
      <c r="AO32" s="1387"/>
      <c r="AP32" s="260"/>
      <c r="AQ32" s="260"/>
      <c r="AR32" s="260"/>
      <c r="AS32" s="260"/>
      <c r="AT32" s="260"/>
      <c r="AU32" s="260"/>
      <c r="AV32" s="260"/>
      <c r="AW32" s="260"/>
      <c r="AX32" s="260"/>
      <c r="AY32" s="260"/>
      <c r="AZ32" s="260"/>
      <c r="BA32" s="260"/>
      <c r="BB32" s="260"/>
      <c r="BC32" s="260"/>
    </row>
    <row r="33" spans="1:55" s="175" customFormat="1" ht="9.9499999999999993" customHeight="1" thickTop="1">
      <c r="A33" s="1263"/>
      <c r="B33" s="1263"/>
      <c r="C33" s="1273"/>
      <c r="D33" s="1274"/>
      <c r="E33" s="1333"/>
      <c r="F33" s="1333"/>
      <c r="G33" s="1333"/>
      <c r="H33" s="1333"/>
      <c r="I33" s="1333"/>
      <c r="J33" s="1333"/>
      <c r="K33" s="1333"/>
      <c r="L33" s="1333"/>
      <c r="M33" s="1333"/>
      <c r="N33" s="1333"/>
      <c r="O33" s="1335"/>
      <c r="P33" s="1335"/>
      <c r="Q33" s="1335"/>
      <c r="R33" s="1335"/>
      <c r="S33" s="1335"/>
      <c r="T33" s="1335"/>
      <c r="U33" s="1335"/>
      <c r="V33" s="1335"/>
      <c r="W33" s="1335"/>
      <c r="X33" s="1333"/>
      <c r="Y33" s="1333"/>
      <c r="Z33" s="1333"/>
      <c r="AA33" s="1333"/>
      <c r="AB33" s="1333"/>
      <c r="AC33" s="1333"/>
      <c r="AD33" s="1333"/>
      <c r="AE33" s="1333"/>
      <c r="AF33" s="1333"/>
      <c r="AG33" s="1333"/>
      <c r="AH33" s="1335"/>
      <c r="AI33" s="1335"/>
      <c r="AJ33" s="1335"/>
      <c r="AK33" s="1335"/>
      <c r="AL33" s="1335"/>
      <c r="AM33" s="1335"/>
      <c r="AN33" s="1284"/>
      <c r="AO33" s="1263"/>
      <c r="AP33" s="1263"/>
      <c r="AQ33" s="1263"/>
      <c r="AR33" s="1263"/>
      <c r="AS33" s="1263"/>
      <c r="AT33" s="1263"/>
      <c r="AU33" s="1263"/>
      <c r="AV33" s="1263"/>
      <c r="AW33" s="1263"/>
      <c r="AX33" s="1263"/>
      <c r="AY33" s="1263"/>
      <c r="AZ33" s="1263"/>
      <c r="BA33" s="1263"/>
      <c r="BB33" s="1263"/>
      <c r="BC33" s="1263"/>
    </row>
    <row r="34" spans="1:55" s="177" customFormat="1" ht="15.95" customHeight="1">
      <c r="A34" s="1319"/>
      <c r="B34" s="1319"/>
      <c r="C34" s="1320"/>
      <c r="D34" s="1301" t="s">
        <v>52</v>
      </c>
      <c r="E34" s="1340" t="b">
        <v>1</v>
      </c>
      <c r="F34" s="3779" t="s">
        <v>1594</v>
      </c>
      <c r="G34" s="3779"/>
      <c r="H34" s="3779"/>
      <c r="I34" s="3779"/>
      <c r="J34" s="3779"/>
      <c r="K34" s="3779"/>
      <c r="L34" s="3779"/>
      <c r="M34" s="3779"/>
      <c r="N34" s="3779"/>
      <c r="O34" s="3779"/>
      <c r="P34" s="3779"/>
      <c r="Q34" s="3779"/>
      <c r="R34" s="3779"/>
      <c r="S34" s="3779"/>
      <c r="T34" s="3779"/>
      <c r="U34" s="3779"/>
      <c r="V34" s="3779"/>
      <c r="W34" s="3779"/>
      <c r="X34" s="3779"/>
      <c r="Y34" s="3779"/>
      <c r="Z34" s="3779"/>
      <c r="AA34" s="3779"/>
      <c r="AB34" s="3779"/>
      <c r="AC34" s="3779"/>
      <c r="AD34" s="3779"/>
      <c r="AE34" s="3779"/>
      <c r="AF34" s="3779"/>
      <c r="AG34" s="3779"/>
      <c r="AH34" s="3779"/>
      <c r="AI34" s="3779"/>
      <c r="AJ34" s="3779"/>
      <c r="AK34" s="3779"/>
      <c r="AL34" s="3779"/>
      <c r="AM34" s="1381"/>
      <c r="AN34" s="1323"/>
      <c r="AO34" s="1322"/>
      <c r="AP34" s="1322"/>
      <c r="AQ34" s="1322"/>
      <c r="AR34" s="1322"/>
      <c r="AS34" s="1322"/>
      <c r="AT34" s="1322"/>
      <c r="AU34" s="1322"/>
      <c r="AV34" s="1322"/>
      <c r="AW34" s="1322"/>
      <c r="AX34" s="1319"/>
      <c r="AY34" s="1319"/>
      <c r="AZ34" s="1319"/>
      <c r="BA34" s="1319"/>
      <c r="BB34" s="1319"/>
      <c r="BC34" s="1319"/>
    </row>
    <row r="35" spans="1:55" s="177" customFormat="1" ht="15.95" customHeight="1">
      <c r="A35" s="1319"/>
      <c r="B35" s="1319"/>
      <c r="C35" s="1320"/>
      <c r="D35" s="1301"/>
      <c r="E35" s="1341"/>
      <c r="F35" s="3779"/>
      <c r="G35" s="3779"/>
      <c r="H35" s="3779"/>
      <c r="I35" s="3779"/>
      <c r="J35" s="3779"/>
      <c r="K35" s="3779"/>
      <c r="L35" s="3779"/>
      <c r="M35" s="3779"/>
      <c r="N35" s="3779"/>
      <c r="O35" s="3779"/>
      <c r="P35" s="3779"/>
      <c r="Q35" s="3779"/>
      <c r="R35" s="3779"/>
      <c r="S35" s="3779"/>
      <c r="T35" s="3779"/>
      <c r="U35" s="3779"/>
      <c r="V35" s="3779"/>
      <c r="W35" s="3779"/>
      <c r="X35" s="3779"/>
      <c r="Y35" s="3779"/>
      <c r="Z35" s="3779"/>
      <c r="AA35" s="3779"/>
      <c r="AB35" s="3779"/>
      <c r="AC35" s="3779"/>
      <c r="AD35" s="3779"/>
      <c r="AE35" s="3779"/>
      <c r="AF35" s="3779"/>
      <c r="AG35" s="3779"/>
      <c r="AH35" s="3779"/>
      <c r="AI35" s="3779"/>
      <c r="AJ35" s="3779"/>
      <c r="AK35" s="3779"/>
      <c r="AL35" s="3779"/>
      <c r="AM35" s="1381"/>
      <c r="AN35" s="1323"/>
      <c r="AO35" s="1322"/>
      <c r="AP35" s="1322"/>
      <c r="AQ35" s="1322"/>
      <c r="AR35" s="1322"/>
      <c r="AS35" s="1322"/>
      <c r="AT35" s="1322"/>
      <c r="AU35" s="1322"/>
      <c r="AV35" s="1322"/>
      <c r="AW35" s="1322"/>
      <c r="AX35" s="1319"/>
      <c r="AY35" s="1319"/>
      <c r="AZ35" s="1319"/>
      <c r="BA35" s="1319"/>
      <c r="BB35" s="1319"/>
      <c r="BC35" s="1319"/>
    </row>
    <row r="36" spans="1:55" s="177" customFormat="1" ht="15.95" customHeight="1">
      <c r="A36" s="1319"/>
      <c r="B36" s="1319"/>
      <c r="C36" s="1320"/>
      <c r="D36" s="1301" t="s">
        <v>53</v>
      </c>
      <c r="E36" s="1340" t="b">
        <v>1</v>
      </c>
      <c r="F36" s="3779" t="s">
        <v>1899</v>
      </c>
      <c r="G36" s="3779"/>
      <c r="H36" s="3779"/>
      <c r="I36" s="3779"/>
      <c r="J36" s="3779"/>
      <c r="K36" s="3779"/>
      <c r="L36" s="3779"/>
      <c r="M36" s="3779"/>
      <c r="N36" s="3779"/>
      <c r="O36" s="3779"/>
      <c r="P36" s="3779"/>
      <c r="Q36" s="3779"/>
      <c r="R36" s="3779"/>
      <c r="S36" s="3779"/>
      <c r="T36" s="3779"/>
      <c r="U36" s="3779"/>
      <c r="V36" s="3779"/>
      <c r="W36" s="3779"/>
      <c r="X36" s="3779"/>
      <c r="Y36" s="3779"/>
      <c r="Z36" s="3779"/>
      <c r="AA36" s="3779"/>
      <c r="AB36" s="3779"/>
      <c r="AC36" s="3779"/>
      <c r="AD36" s="3779"/>
      <c r="AE36" s="3779"/>
      <c r="AF36" s="3779"/>
      <c r="AG36" s="3779"/>
      <c r="AH36" s="3779"/>
      <c r="AI36" s="3779"/>
      <c r="AJ36" s="3779"/>
      <c r="AK36" s="3779"/>
      <c r="AL36" s="3779"/>
      <c r="AM36" s="1381"/>
      <c r="AN36" s="1323"/>
      <c r="AO36" s="1322"/>
      <c r="AP36" s="1322"/>
      <c r="AQ36" s="1322"/>
      <c r="AR36" s="1322"/>
      <c r="AS36" s="1322"/>
      <c r="AT36" s="1322"/>
      <c r="AU36" s="1322"/>
      <c r="AV36" s="1322"/>
      <c r="AW36" s="1322"/>
      <c r="AX36" s="1319"/>
      <c r="AY36" s="1319"/>
      <c r="AZ36" s="1319"/>
      <c r="BA36" s="1319"/>
      <c r="BB36" s="1319"/>
      <c r="BC36" s="1319"/>
    </row>
    <row r="37" spans="1:55" s="177" customFormat="1" ht="15.95" customHeight="1">
      <c r="A37" s="1319"/>
      <c r="B37" s="1319"/>
      <c r="C37" s="1320"/>
      <c r="D37" s="1301"/>
      <c r="E37" s="1341"/>
      <c r="F37" s="3779"/>
      <c r="G37" s="3779"/>
      <c r="H37" s="3779"/>
      <c r="I37" s="3779"/>
      <c r="J37" s="3779"/>
      <c r="K37" s="3779"/>
      <c r="L37" s="3779"/>
      <c r="M37" s="3779"/>
      <c r="N37" s="3779"/>
      <c r="O37" s="3779"/>
      <c r="P37" s="3779"/>
      <c r="Q37" s="3779"/>
      <c r="R37" s="3779"/>
      <c r="S37" s="3779"/>
      <c r="T37" s="3779"/>
      <c r="U37" s="3779"/>
      <c r="V37" s="3779"/>
      <c r="W37" s="3779"/>
      <c r="X37" s="3779"/>
      <c r="Y37" s="3779"/>
      <c r="Z37" s="3779"/>
      <c r="AA37" s="3779"/>
      <c r="AB37" s="3779"/>
      <c r="AC37" s="3779"/>
      <c r="AD37" s="3779"/>
      <c r="AE37" s="3779"/>
      <c r="AF37" s="3779"/>
      <c r="AG37" s="3779"/>
      <c r="AH37" s="3779"/>
      <c r="AI37" s="3779"/>
      <c r="AJ37" s="3779"/>
      <c r="AK37" s="3779"/>
      <c r="AL37" s="3779"/>
      <c r="AM37" s="1381"/>
      <c r="AN37" s="1323"/>
      <c r="AO37" s="1322"/>
      <c r="AP37" s="1322"/>
      <c r="AQ37" s="1322"/>
      <c r="AR37" s="1322"/>
      <c r="AS37" s="1322"/>
      <c r="AT37" s="1322"/>
      <c r="AU37" s="1322"/>
      <c r="AV37" s="1322"/>
      <c r="AW37" s="1322"/>
      <c r="AX37" s="1319"/>
      <c r="AY37" s="1319"/>
      <c r="AZ37" s="1319"/>
      <c r="BA37" s="1319"/>
      <c r="BB37" s="1319"/>
      <c r="BC37" s="1319"/>
    </row>
    <row r="38" spans="1:55" ht="5.0999999999999996" customHeight="1">
      <c r="A38" s="1262"/>
      <c r="B38" s="1262"/>
      <c r="C38" s="1303"/>
      <c r="D38" s="1327"/>
      <c r="E38" s="1327"/>
      <c r="F38" s="1327"/>
      <c r="G38" s="1327"/>
      <c r="H38" s="1327"/>
      <c r="I38" s="1327"/>
      <c r="J38" s="1327"/>
      <c r="K38" s="1327"/>
      <c r="L38" s="1327"/>
      <c r="M38" s="1327"/>
      <c r="N38" s="1327"/>
      <c r="O38" s="1327"/>
      <c r="P38" s="1327"/>
      <c r="Q38" s="1327"/>
      <c r="R38" s="1327"/>
      <c r="S38" s="1327"/>
      <c r="T38" s="1327"/>
      <c r="U38" s="1327"/>
      <c r="V38" s="1327"/>
      <c r="W38" s="1327"/>
      <c r="X38" s="1327"/>
      <c r="Y38" s="1327"/>
      <c r="Z38" s="1327"/>
      <c r="AA38" s="1327"/>
      <c r="AB38" s="1327"/>
      <c r="AC38" s="1327"/>
      <c r="AD38" s="1327"/>
      <c r="AE38" s="1327"/>
      <c r="AF38" s="1327"/>
      <c r="AG38" s="1327"/>
      <c r="AH38" s="1327"/>
      <c r="AI38" s="1327"/>
      <c r="AJ38" s="1327"/>
      <c r="AK38" s="1327"/>
      <c r="AL38" s="1327"/>
      <c r="AM38" s="1327"/>
      <c r="AN38" s="1292"/>
      <c r="AO38" s="1262"/>
      <c r="AP38" s="1262"/>
      <c r="AQ38" s="1262"/>
      <c r="AR38" s="1262"/>
      <c r="AS38" s="1262"/>
      <c r="AT38" s="1262"/>
      <c r="AU38" s="1262"/>
      <c r="AV38" s="1262"/>
      <c r="AW38" s="1262"/>
      <c r="AX38" s="1262"/>
      <c r="AY38" s="1262"/>
      <c r="AZ38" s="1262"/>
      <c r="BA38" s="1262"/>
      <c r="BB38" s="1262"/>
      <c r="BC38" s="1262"/>
    </row>
    <row r="39" spans="1:55" ht="32.1" customHeight="1" thickBot="1">
      <c r="A39" s="1262"/>
      <c r="B39" s="1262"/>
      <c r="C39" s="1269"/>
      <c r="D39" s="1301" t="s">
        <v>54</v>
      </c>
      <c r="E39" s="3638" t="s">
        <v>1900</v>
      </c>
      <c r="F39" s="3638"/>
      <c r="G39" s="3638"/>
      <c r="H39" s="3638"/>
      <c r="I39" s="3638"/>
      <c r="J39" s="3638"/>
      <c r="K39" s="3638"/>
      <c r="L39" s="3638"/>
      <c r="M39" s="3638"/>
      <c r="N39" s="3638"/>
      <c r="O39" s="3638"/>
      <c r="P39" s="3638"/>
      <c r="Q39" s="3638"/>
      <c r="R39" s="3638"/>
      <c r="S39" s="3638"/>
      <c r="T39" s="3638"/>
      <c r="U39" s="1309"/>
      <c r="V39" s="1309"/>
      <c r="W39" s="1309"/>
      <c r="X39" s="1309"/>
      <c r="Y39" s="1301" t="s">
        <v>56</v>
      </c>
      <c r="Z39" s="3638" t="s">
        <v>1901</v>
      </c>
      <c r="AA39" s="3638"/>
      <c r="AB39" s="3638"/>
      <c r="AC39" s="3638"/>
      <c r="AD39" s="3638"/>
      <c r="AE39" s="3638"/>
      <c r="AF39" s="3638"/>
      <c r="AG39" s="3638"/>
      <c r="AH39" s="3638"/>
      <c r="AI39" s="3638"/>
      <c r="AJ39" s="3638"/>
      <c r="AK39" s="3638"/>
      <c r="AL39" s="3638"/>
      <c r="AM39" s="3638"/>
      <c r="AN39" s="1292"/>
      <c r="AO39" s="1262"/>
      <c r="AP39" s="1262"/>
      <c r="AQ39" s="1262"/>
      <c r="AR39" s="1262"/>
      <c r="AS39" s="1262"/>
      <c r="AT39" s="1262"/>
      <c r="AU39" s="1262"/>
      <c r="AV39" s="1262"/>
      <c r="AW39" s="1262"/>
      <c r="AX39" s="1262"/>
      <c r="AY39" s="1262"/>
      <c r="AZ39" s="1262"/>
      <c r="BA39" s="1262"/>
      <c r="BB39" s="1262"/>
      <c r="BC39" s="1262"/>
    </row>
    <row r="40" spans="1:55" s="175" customFormat="1" ht="19.5" customHeight="1" thickTop="1" thickBot="1">
      <c r="A40" s="1263"/>
      <c r="B40" s="1263"/>
      <c r="C40" s="1303"/>
      <c r="D40" s="1304"/>
      <c r="E40" s="3654" t="s">
        <v>1595</v>
      </c>
      <c r="F40" s="3655"/>
      <c r="G40" s="3655"/>
      <c r="H40" s="3655"/>
      <c r="I40" s="3655"/>
      <c r="J40" s="3655"/>
      <c r="K40" s="3655"/>
      <c r="L40" s="3658"/>
      <c r="M40" s="3655" t="s">
        <v>1596</v>
      </c>
      <c r="N40" s="3655"/>
      <c r="O40" s="3655"/>
      <c r="P40" s="3655"/>
      <c r="Q40" s="3658"/>
      <c r="R40" s="1263"/>
      <c r="S40" s="1263"/>
      <c r="T40" s="1263"/>
      <c r="U40" s="1263"/>
      <c r="V40" s="1263"/>
      <c r="W40" s="1263"/>
      <c r="X40" s="1342"/>
      <c r="Y40" s="1333"/>
      <c r="Z40" s="3654" t="s">
        <v>947</v>
      </c>
      <c r="AA40" s="3655"/>
      <c r="AB40" s="3655"/>
      <c r="AC40" s="3655"/>
      <c r="AD40" s="3655"/>
      <c r="AE40" s="3655"/>
      <c r="AF40" s="3655"/>
      <c r="AG40" s="3658"/>
      <c r="AH40" s="3655" t="s">
        <v>1596</v>
      </c>
      <c r="AI40" s="3655"/>
      <c r="AJ40" s="3655"/>
      <c r="AK40" s="3655"/>
      <c r="AL40" s="3658"/>
      <c r="AM40" s="1263"/>
      <c r="AN40" s="1284"/>
      <c r="AO40" s="1263"/>
      <c r="AP40" s="1263"/>
      <c r="AQ40" s="1263"/>
      <c r="AR40" s="1263"/>
      <c r="AS40" s="1263"/>
      <c r="AT40" s="1263"/>
      <c r="AU40" s="1263"/>
      <c r="AV40" s="1263"/>
      <c r="AW40" s="1263"/>
      <c r="AX40" s="1263"/>
      <c r="AY40" s="1263"/>
      <c r="AZ40" s="1263"/>
      <c r="BA40" s="1263"/>
      <c r="BB40" s="1263"/>
      <c r="BC40" s="1263"/>
    </row>
    <row r="41" spans="1:55" s="175" customFormat="1" ht="19.5" customHeight="1" thickTop="1">
      <c r="A41" s="1263"/>
      <c r="B41" s="1263"/>
      <c r="C41" s="1303"/>
      <c r="D41" s="1304"/>
      <c r="E41" s="1409" t="b">
        <v>0</v>
      </c>
      <c r="F41" s="3874" t="s">
        <v>1597</v>
      </c>
      <c r="G41" s="3874"/>
      <c r="H41" s="3874"/>
      <c r="I41" s="3874"/>
      <c r="J41" s="3874"/>
      <c r="K41" s="3874"/>
      <c r="L41" s="1390"/>
      <c r="M41" s="3827">
        <v>0</v>
      </c>
      <c r="N41" s="3827"/>
      <c r="O41" s="3827"/>
      <c r="P41" s="3827"/>
      <c r="Q41" s="3829"/>
      <c r="R41" s="1688" t="str">
        <f>IF(AND(disasres_resump_classhift=TRUE,disasres_resump_classhift_days=0),"Please indicate no. of days","")</f>
        <v/>
      </c>
      <c r="S41" s="1263"/>
      <c r="T41" s="1263"/>
      <c r="U41" s="1263"/>
      <c r="V41" s="1263"/>
      <c r="W41" s="1263"/>
      <c r="X41" s="1342"/>
      <c r="Y41" s="1342"/>
      <c r="Z41" s="1409" t="b">
        <v>0</v>
      </c>
      <c r="AA41" s="3874" t="s">
        <v>922</v>
      </c>
      <c r="AB41" s="3874"/>
      <c r="AC41" s="3874"/>
      <c r="AD41" s="3874"/>
      <c r="AE41" s="3874"/>
      <c r="AF41" s="3874"/>
      <c r="AG41" s="1390"/>
      <c r="AH41" s="3827">
        <v>0</v>
      </c>
      <c r="AI41" s="3827"/>
      <c r="AJ41" s="3827"/>
      <c r="AK41" s="3827"/>
      <c r="AL41" s="3829"/>
      <c r="AM41" s="1688" t="str">
        <f>IF(AND(disasres_adm_eimpact=TRUE,disasres_adm_eimpact_days=0),"Please indicate no. of days","")</f>
        <v/>
      </c>
      <c r="AN41" s="1284"/>
      <c r="AO41" s="1263"/>
      <c r="AP41" s="1263"/>
      <c r="AQ41" s="1263"/>
      <c r="AR41" s="1263"/>
      <c r="AS41" s="1263"/>
      <c r="AT41" s="1263"/>
      <c r="AU41" s="1263"/>
      <c r="AV41" s="1263"/>
      <c r="AW41" s="1263"/>
      <c r="AX41" s="1263"/>
      <c r="AY41" s="1263"/>
      <c r="AZ41" s="1263"/>
      <c r="BA41" s="1263"/>
      <c r="BB41" s="1263"/>
      <c r="BC41" s="1263"/>
    </row>
    <row r="42" spans="1:55" s="175" customFormat="1" ht="19.5" customHeight="1">
      <c r="A42" s="1263"/>
      <c r="B42" s="1263"/>
      <c r="C42" s="1273"/>
      <c r="D42" s="1274"/>
      <c r="E42" s="1316" t="b">
        <v>0</v>
      </c>
      <c r="F42" s="3869" t="s">
        <v>1598</v>
      </c>
      <c r="G42" s="3869"/>
      <c r="H42" s="3869"/>
      <c r="I42" s="3869"/>
      <c r="J42" s="3869"/>
      <c r="K42" s="3869"/>
      <c r="L42" s="1391"/>
      <c r="M42" s="3822">
        <v>0</v>
      </c>
      <c r="N42" s="3822"/>
      <c r="O42" s="3822"/>
      <c r="P42" s="3822"/>
      <c r="Q42" s="3824"/>
      <c r="R42" s="1688" t="str">
        <f>IF(AND(disasres_resump_makeup=TRUE,disasres_resump_makeup_days=0),"Please indicate no. of days","")</f>
        <v/>
      </c>
      <c r="S42" s="1263"/>
      <c r="T42" s="1263"/>
      <c r="U42" s="1263"/>
      <c r="V42" s="1263"/>
      <c r="W42" s="1263"/>
      <c r="X42" s="1342"/>
      <c r="Y42" s="1335"/>
      <c r="Z42" s="1316" t="b">
        <v>0</v>
      </c>
      <c r="AA42" s="3869" t="s">
        <v>1603</v>
      </c>
      <c r="AB42" s="3869"/>
      <c r="AC42" s="3869"/>
      <c r="AD42" s="3869"/>
      <c r="AE42" s="3869"/>
      <c r="AF42" s="3869"/>
      <c r="AG42" s="1391"/>
      <c r="AH42" s="3822">
        <v>0</v>
      </c>
      <c r="AI42" s="3822"/>
      <c r="AJ42" s="3822"/>
      <c r="AK42" s="3822"/>
      <c r="AL42" s="3824"/>
      <c r="AM42" s="1688" t="str">
        <f>IF(AND(disasres_adm_home=TRUE,disasres_adm_home_days=0),"Please indicate no. of days","")</f>
        <v/>
      </c>
      <c r="AN42" s="1284"/>
      <c r="AO42" s="1263"/>
      <c r="AP42" s="1263"/>
      <c r="AQ42" s="1263"/>
      <c r="AR42" s="1263"/>
      <c r="AS42" s="1263"/>
      <c r="AT42" s="1263"/>
      <c r="AU42" s="1263"/>
      <c r="AV42" s="1263"/>
      <c r="AW42" s="1263"/>
      <c r="AX42" s="1263"/>
      <c r="AY42" s="1263"/>
      <c r="AZ42" s="1263"/>
      <c r="BA42" s="1263"/>
      <c r="BB42" s="1263"/>
      <c r="BC42" s="1263"/>
    </row>
    <row r="43" spans="1:55" s="175" customFormat="1" ht="19.5" customHeight="1">
      <c r="A43" s="1263"/>
      <c r="B43" s="1263"/>
      <c r="C43" s="1273"/>
      <c r="D43" s="1274"/>
      <c r="E43" s="1316" t="b">
        <v>1</v>
      </c>
      <c r="F43" s="3869" t="s">
        <v>1599</v>
      </c>
      <c r="G43" s="3869"/>
      <c r="H43" s="3869"/>
      <c r="I43" s="3869"/>
      <c r="J43" s="3869"/>
      <c r="K43" s="3869"/>
      <c r="L43" s="1391"/>
      <c r="M43" s="3822">
        <v>3</v>
      </c>
      <c r="N43" s="3822"/>
      <c r="O43" s="3822"/>
      <c r="P43" s="3822"/>
      <c r="Q43" s="3824"/>
      <c r="R43" s="1688" t="str">
        <f>IF(AND(disasres_resump_module=TRUE,disasres_resump_module_days=0),"Please indicate no. of days","")</f>
        <v/>
      </c>
      <c r="S43" s="1263"/>
      <c r="T43" s="1263"/>
      <c r="U43" s="1263"/>
      <c r="V43" s="1263"/>
      <c r="W43" s="1263"/>
      <c r="X43" s="1306"/>
      <c r="Y43" s="1335"/>
      <c r="Z43" s="1316" t="b">
        <v>0</v>
      </c>
      <c r="AA43" s="3869" t="s">
        <v>923</v>
      </c>
      <c r="AB43" s="3869"/>
      <c r="AC43" s="3869"/>
      <c r="AD43" s="3869"/>
      <c r="AE43" s="3869"/>
      <c r="AF43" s="3869"/>
      <c r="AG43" s="1391"/>
      <c r="AH43" s="3822">
        <v>0</v>
      </c>
      <c r="AI43" s="3822"/>
      <c r="AJ43" s="3822"/>
      <c r="AK43" s="3822"/>
      <c r="AL43" s="3824"/>
      <c r="AM43" s="1688" t="str">
        <f>IF(AND(disasres_adm_misosa=TRUE,disasres_adm_misosa_days=0),"Please indicate no. of days","")</f>
        <v/>
      </c>
      <c r="AN43" s="1284"/>
      <c r="AO43" s="1263"/>
      <c r="AP43" s="1263"/>
      <c r="AQ43" s="1263"/>
      <c r="AR43" s="1263"/>
      <c r="AS43" s="1263"/>
      <c r="AT43" s="1263"/>
      <c r="AU43" s="1263"/>
      <c r="AV43" s="1263"/>
      <c r="AW43" s="1263"/>
      <c r="AX43" s="1263"/>
      <c r="AY43" s="1263"/>
      <c r="AZ43" s="1263"/>
      <c r="BA43" s="1263"/>
      <c r="BB43" s="1263"/>
      <c r="BC43" s="1263"/>
    </row>
    <row r="44" spans="1:55" s="175" customFormat="1" ht="19.5" customHeight="1">
      <c r="A44" s="1263"/>
      <c r="B44" s="1263"/>
      <c r="C44" s="1273"/>
      <c r="D44" s="1274"/>
      <c r="E44" s="1316" t="b">
        <v>0</v>
      </c>
      <c r="F44" s="3869" t="s">
        <v>1600</v>
      </c>
      <c r="G44" s="3869"/>
      <c r="H44" s="3869"/>
      <c r="I44" s="3869"/>
      <c r="J44" s="3869"/>
      <c r="K44" s="3869"/>
      <c r="L44" s="1391"/>
      <c r="M44" s="3822">
        <v>0</v>
      </c>
      <c r="N44" s="3822"/>
      <c r="O44" s="3822"/>
      <c r="P44" s="3822"/>
      <c r="Q44" s="3824"/>
      <c r="R44" s="1688" t="str">
        <f>IF(AND(disasres_resump_online=TRUE,disasres_resump_online_days=0),"Please indicate no. of days","")</f>
        <v/>
      </c>
      <c r="S44" s="1263"/>
      <c r="T44" s="1263"/>
      <c r="U44" s="1263"/>
      <c r="V44" s="1263"/>
      <c r="W44" s="1263"/>
      <c r="X44" s="1306"/>
      <c r="Y44" s="1335"/>
      <c r="Z44" s="1316" t="b">
        <v>0</v>
      </c>
      <c r="AA44" s="3869" t="s">
        <v>1604</v>
      </c>
      <c r="AB44" s="3869"/>
      <c r="AC44" s="3869"/>
      <c r="AD44" s="3869"/>
      <c r="AE44" s="3869"/>
      <c r="AF44" s="3869"/>
      <c r="AG44" s="1391"/>
      <c r="AH44" s="3822">
        <v>0</v>
      </c>
      <c r="AI44" s="3822"/>
      <c r="AJ44" s="3822"/>
      <c r="AK44" s="3822"/>
      <c r="AL44" s="3824"/>
      <c r="AM44" s="1688" t="str">
        <f>IF(AND(disasres_adm_nhs=TRUE,disasres_adm_nhs_days=0),"Please indicate no. of days","")</f>
        <v/>
      </c>
      <c r="AN44" s="1284"/>
      <c r="AO44" s="1263"/>
      <c r="AP44" s="1263"/>
      <c r="AQ44" s="1263"/>
      <c r="AR44" s="1263"/>
      <c r="AS44" s="1263"/>
      <c r="AT44" s="1263"/>
      <c r="AU44" s="1263"/>
      <c r="AV44" s="1263"/>
      <c r="AW44" s="1263"/>
      <c r="AX44" s="1263"/>
      <c r="AY44" s="1263"/>
      <c r="AZ44" s="1263"/>
      <c r="BA44" s="1263"/>
      <c r="BB44" s="1263"/>
      <c r="BC44" s="1263"/>
    </row>
    <row r="45" spans="1:55" s="175" customFormat="1" ht="19.5" customHeight="1">
      <c r="A45" s="1263"/>
      <c r="B45" s="1263"/>
      <c r="C45" s="1273"/>
      <c r="D45" s="1274"/>
      <c r="E45" s="1316" t="b">
        <v>0</v>
      </c>
      <c r="F45" s="3869" t="s">
        <v>1601</v>
      </c>
      <c r="G45" s="3869"/>
      <c r="H45" s="3869"/>
      <c r="I45" s="3869"/>
      <c r="J45" s="3869"/>
      <c r="K45" s="3869"/>
      <c r="L45" s="1391"/>
      <c r="M45" s="3822">
        <v>0</v>
      </c>
      <c r="N45" s="3822"/>
      <c r="O45" s="3822"/>
      <c r="P45" s="3822"/>
      <c r="Q45" s="3824"/>
      <c r="R45" s="1688" t="str">
        <f>IF(AND(disasres_resump_peer=TRUE,disasres_resump_peer_days=0),"Please indicate no. of days","")</f>
        <v/>
      </c>
      <c r="S45" s="1263"/>
      <c r="T45" s="1263"/>
      <c r="U45" s="1263"/>
      <c r="V45" s="1263"/>
      <c r="W45" s="1263"/>
      <c r="X45" s="1306"/>
      <c r="Y45" s="1335"/>
      <c r="Z45" s="1410" t="b">
        <v>0</v>
      </c>
      <c r="AA45" s="3870" t="s">
        <v>1605</v>
      </c>
      <c r="AB45" s="3870"/>
      <c r="AC45" s="3870"/>
      <c r="AD45" s="3870"/>
      <c r="AE45" s="3870"/>
      <c r="AF45" s="3870"/>
      <c r="AG45" s="1392"/>
      <c r="AH45" s="3872">
        <v>0</v>
      </c>
      <c r="AI45" s="3872"/>
      <c r="AJ45" s="3872"/>
      <c r="AK45" s="3872"/>
      <c r="AL45" s="3873"/>
      <c r="AM45" s="1688" t="str">
        <f>IF(AND(disasres_adm_ohsp=TRUE,disasres_adm_ohsp_days=0),"Please indicate no. of days","")</f>
        <v/>
      </c>
      <c r="AN45" s="1284"/>
      <c r="AO45" s="1263"/>
      <c r="AP45" s="1263"/>
      <c r="AQ45" s="1263"/>
      <c r="AR45" s="1263"/>
      <c r="AS45" s="1263"/>
      <c r="AT45" s="1263"/>
      <c r="AU45" s="1263"/>
      <c r="AV45" s="1263"/>
      <c r="AW45" s="1263"/>
      <c r="AX45" s="1263"/>
      <c r="AY45" s="1263"/>
      <c r="AZ45" s="1263"/>
      <c r="BA45" s="1263"/>
      <c r="BB45" s="1263"/>
      <c r="BC45" s="1263"/>
    </row>
    <row r="46" spans="1:55" s="175" customFormat="1" ht="19.5" customHeight="1" thickBot="1">
      <c r="A46" s="1263"/>
      <c r="B46" s="1263"/>
      <c r="C46" s="1273"/>
      <c r="D46" s="1274"/>
      <c r="E46" s="1318" t="b">
        <v>0</v>
      </c>
      <c r="F46" s="3871" t="s">
        <v>1602</v>
      </c>
      <c r="G46" s="3871"/>
      <c r="H46" s="3871"/>
      <c r="I46" s="3871"/>
      <c r="J46" s="3871"/>
      <c r="K46" s="3871"/>
      <c r="L46" s="1393"/>
      <c r="M46" s="3684">
        <v>0</v>
      </c>
      <c r="N46" s="3684"/>
      <c r="O46" s="3684"/>
      <c r="P46" s="3684"/>
      <c r="Q46" s="3773"/>
      <c r="R46" s="1688" t="str">
        <f>IF(AND(disasres_resump_prog=TRUE,disasres_resump_prog_days=0),"Please indicate no. of days","")</f>
        <v/>
      </c>
      <c r="S46" s="1263"/>
      <c r="T46" s="1263"/>
      <c r="U46" s="1263"/>
      <c r="V46" s="1263"/>
      <c r="W46" s="1263"/>
      <c r="X46" s="1306"/>
      <c r="Y46" s="1335"/>
      <c r="Z46" s="1411"/>
      <c r="AA46" s="3871"/>
      <c r="AB46" s="3871"/>
      <c r="AC46" s="3871"/>
      <c r="AD46" s="3871"/>
      <c r="AE46" s="3871"/>
      <c r="AF46" s="3871"/>
      <c r="AG46" s="1393"/>
      <c r="AH46" s="3684"/>
      <c r="AI46" s="3684"/>
      <c r="AJ46" s="3684"/>
      <c r="AK46" s="3684"/>
      <c r="AL46" s="3773"/>
      <c r="AM46" s="1263"/>
      <c r="AN46" s="1284"/>
      <c r="AO46" s="1263"/>
      <c r="AP46" s="1263"/>
      <c r="AQ46" s="1263"/>
      <c r="AR46" s="1263"/>
      <c r="AS46" s="1263"/>
      <c r="AT46" s="1263"/>
      <c r="AU46" s="1263"/>
      <c r="AV46" s="1263"/>
      <c r="AW46" s="1263"/>
      <c r="AX46" s="1263"/>
      <c r="AY46" s="1263"/>
      <c r="AZ46" s="1263"/>
      <c r="BA46" s="1263"/>
      <c r="BB46" s="1263"/>
      <c r="BC46" s="1263"/>
    </row>
    <row r="47" spans="1:55" ht="5.0999999999999996" customHeight="1" thickTop="1">
      <c r="A47" s="1262"/>
      <c r="B47" s="1262"/>
      <c r="C47" s="1303"/>
      <c r="D47" s="1327"/>
      <c r="E47" s="1327"/>
      <c r="F47" s="1327"/>
      <c r="G47" s="1327"/>
      <c r="H47" s="1327"/>
      <c r="I47" s="1327"/>
      <c r="J47" s="1327"/>
      <c r="K47" s="1327"/>
      <c r="L47" s="1327"/>
      <c r="M47" s="1327"/>
      <c r="N47" s="1327"/>
      <c r="O47" s="1327"/>
      <c r="P47" s="1327"/>
      <c r="Q47" s="1327"/>
      <c r="R47" s="1327"/>
      <c r="S47" s="1327"/>
      <c r="T47" s="1327"/>
      <c r="U47" s="1327"/>
      <c r="V47" s="1327"/>
      <c r="W47" s="1327"/>
      <c r="X47" s="1327"/>
      <c r="Y47" s="1327"/>
      <c r="Z47" s="1327"/>
      <c r="AA47" s="1327"/>
      <c r="AB47" s="1327"/>
      <c r="AC47" s="1327"/>
      <c r="AD47" s="1327"/>
      <c r="AE47" s="1327"/>
      <c r="AF47" s="1327"/>
      <c r="AG47" s="1327"/>
      <c r="AH47" s="1327"/>
      <c r="AI47" s="1327"/>
      <c r="AJ47" s="1327"/>
      <c r="AK47" s="1327"/>
      <c r="AL47" s="1327"/>
      <c r="AM47" s="1327"/>
      <c r="AN47" s="1277"/>
      <c r="AO47" s="1327"/>
      <c r="AP47" s="1327"/>
      <c r="AQ47" s="1262"/>
      <c r="AR47" s="1262"/>
      <c r="AS47" s="1262"/>
      <c r="AT47" s="1262"/>
      <c r="AU47" s="1262"/>
      <c r="AV47" s="1262"/>
      <c r="AW47" s="1262"/>
      <c r="AX47" s="1262"/>
      <c r="AY47" s="1262"/>
      <c r="AZ47" s="1262"/>
      <c r="BA47" s="1262"/>
      <c r="BB47" s="1262"/>
      <c r="BC47" s="1262"/>
    </row>
    <row r="48" spans="1:55" ht="5.0999999999999996" customHeight="1">
      <c r="A48" s="1262"/>
      <c r="B48" s="1262"/>
      <c r="C48" s="1303"/>
      <c r="D48" s="1327"/>
      <c r="E48" s="1327"/>
      <c r="F48" s="1327"/>
      <c r="G48" s="1327"/>
      <c r="H48" s="1327"/>
      <c r="I48" s="1327"/>
      <c r="J48" s="1327"/>
      <c r="K48" s="1327"/>
      <c r="L48" s="1327"/>
      <c r="M48" s="1327"/>
      <c r="N48" s="1327"/>
      <c r="O48" s="1327"/>
      <c r="P48" s="1327"/>
      <c r="Q48" s="1327"/>
      <c r="R48" s="1327"/>
      <c r="S48" s="1327"/>
      <c r="T48" s="1327"/>
      <c r="U48" s="1327"/>
      <c r="V48" s="1327"/>
      <c r="W48" s="1327"/>
      <c r="X48" s="1327"/>
      <c r="Y48" s="1327"/>
      <c r="Z48" s="1327"/>
      <c r="AA48" s="1327"/>
      <c r="AB48" s="1327"/>
      <c r="AC48" s="1327"/>
      <c r="AD48" s="1327"/>
      <c r="AE48" s="1327"/>
      <c r="AF48" s="1327"/>
      <c r="AG48" s="1327"/>
      <c r="AH48" s="1327"/>
      <c r="AI48" s="1327"/>
      <c r="AJ48" s="1327"/>
      <c r="AK48" s="1327"/>
      <c r="AL48" s="1327"/>
      <c r="AM48" s="1327"/>
      <c r="AN48" s="1277"/>
      <c r="AO48" s="1327"/>
      <c r="AP48" s="1327"/>
      <c r="AQ48" s="1262"/>
      <c r="AR48" s="1262"/>
      <c r="AS48" s="1262"/>
      <c r="AT48" s="1262"/>
      <c r="AU48" s="1262"/>
      <c r="AV48" s="1262"/>
      <c r="AW48" s="1262"/>
      <c r="AX48" s="1262"/>
      <c r="AY48" s="1262"/>
      <c r="AZ48" s="1262"/>
      <c r="BA48" s="1262"/>
      <c r="BB48" s="1262"/>
      <c r="BC48" s="1262"/>
    </row>
    <row r="49" spans="1:55" s="177" customFormat="1">
      <c r="A49" s="1319"/>
      <c r="B49" s="1319"/>
      <c r="C49" s="1394"/>
      <c r="D49" s="1395" t="s">
        <v>55</v>
      </c>
      <c r="E49" s="3858" t="s">
        <v>1902</v>
      </c>
      <c r="F49" s="3858"/>
      <c r="G49" s="3858"/>
      <c r="H49" s="3858"/>
      <c r="I49" s="3858"/>
      <c r="J49" s="3858"/>
      <c r="K49" s="3858"/>
      <c r="L49" s="3858"/>
      <c r="M49" s="3858"/>
      <c r="N49" s="3858"/>
      <c r="O49" s="3858"/>
      <c r="P49" s="3858"/>
      <c r="Q49" s="3858"/>
      <c r="R49" s="3858"/>
      <c r="S49" s="3858"/>
      <c r="T49" s="3858"/>
      <c r="U49" s="3858"/>
      <c r="V49" s="3858"/>
      <c r="W49" s="3858"/>
      <c r="X49" s="3858"/>
      <c r="Y49" s="3858"/>
      <c r="Z49" s="3858"/>
      <c r="AA49" s="3858"/>
      <c r="AB49" s="3858"/>
      <c r="AC49" s="1309"/>
      <c r="AD49" s="1319"/>
      <c r="AE49" s="1319"/>
      <c r="AF49" s="1319"/>
      <c r="AG49" s="1319"/>
      <c r="AH49" s="1319"/>
      <c r="AI49" s="1319"/>
      <c r="AJ49" s="1319"/>
      <c r="AK49" s="1319"/>
      <c r="AL49" s="1319"/>
      <c r="AM49" s="1319"/>
      <c r="AN49" s="1319"/>
      <c r="AO49" s="1394"/>
      <c r="AP49" s="1319"/>
      <c r="AQ49" s="1319"/>
      <c r="AR49" s="1319"/>
      <c r="AS49" s="1319"/>
      <c r="AT49" s="1319"/>
      <c r="AU49" s="1319"/>
      <c r="AV49" s="1319"/>
      <c r="AW49" s="1319"/>
      <c r="AX49" s="1319"/>
      <c r="AY49" s="1319"/>
      <c r="AZ49" s="1319"/>
      <c r="BA49" s="1319"/>
      <c r="BB49" s="1319"/>
      <c r="BC49" s="1319"/>
    </row>
    <row r="50" spans="1:55" s="177" customFormat="1" ht="5.0999999999999996" customHeight="1" thickBot="1">
      <c r="A50" s="1319"/>
      <c r="B50" s="1319"/>
      <c r="C50" s="1394"/>
      <c r="D50" s="1319"/>
      <c r="E50" s="1396"/>
      <c r="F50" s="1397"/>
      <c r="G50" s="1398"/>
      <c r="H50" s="1398"/>
      <c r="I50" s="1398"/>
      <c r="J50" s="1398"/>
      <c r="K50" s="1398"/>
      <c r="L50" s="1398"/>
      <c r="M50" s="1398"/>
      <c r="N50" s="1398"/>
      <c r="O50" s="1398"/>
      <c r="P50" s="1398"/>
      <c r="Q50" s="1398"/>
      <c r="R50" s="1398"/>
      <c r="S50" s="1398"/>
      <c r="T50" s="1398"/>
      <c r="U50" s="1398"/>
      <c r="V50" s="1398"/>
      <c r="W50" s="1398"/>
      <c r="X50" s="1398"/>
      <c r="Y50" s="1398"/>
      <c r="Z50" s="1398"/>
      <c r="AA50" s="1398"/>
      <c r="AB50" s="1398"/>
      <c r="AC50" s="1398"/>
      <c r="AD50" s="1398"/>
      <c r="AE50" s="1398"/>
      <c r="AF50" s="1399"/>
      <c r="AG50" s="1399"/>
      <c r="AH50" s="1399"/>
      <c r="AI50" s="1399"/>
      <c r="AJ50" s="1399"/>
      <c r="AK50" s="1399"/>
      <c r="AL50" s="1399"/>
      <c r="AM50" s="1319"/>
      <c r="AN50" s="1319"/>
      <c r="AO50" s="1394"/>
      <c r="AP50" s="1319"/>
      <c r="AQ50" s="1319"/>
      <c r="AR50" s="1319"/>
      <c r="AS50" s="1319"/>
      <c r="AT50" s="1319"/>
      <c r="AU50" s="1319"/>
      <c r="AV50" s="1319"/>
      <c r="AW50" s="1319"/>
      <c r="AX50" s="1319"/>
      <c r="AY50" s="1319"/>
      <c r="AZ50" s="1319"/>
      <c r="BA50" s="1319"/>
      <c r="BB50" s="1319"/>
      <c r="BC50" s="1319"/>
    </row>
    <row r="51" spans="1:55" s="47" customFormat="1" ht="60.95" customHeight="1" thickTop="1" thickBot="1">
      <c r="A51" s="260"/>
      <c r="B51" s="260"/>
      <c r="C51" s="1387"/>
      <c r="D51" s="260"/>
      <c r="E51" s="3859" t="s">
        <v>580</v>
      </c>
      <c r="F51" s="3860"/>
      <c r="G51" s="3860"/>
      <c r="H51" s="3860"/>
      <c r="I51" s="3860"/>
      <c r="J51" s="3860"/>
      <c r="K51" s="3860"/>
      <c r="L51" s="3860"/>
      <c r="M51" s="3860"/>
      <c r="N51" s="3861"/>
      <c r="O51" s="3709" t="s">
        <v>1842</v>
      </c>
      <c r="P51" s="3710"/>
      <c r="Q51" s="3710"/>
      <c r="R51" s="3710"/>
      <c r="S51" s="3710"/>
      <c r="T51" s="3711"/>
      <c r="U51" s="3710" t="s">
        <v>1574</v>
      </c>
      <c r="V51" s="3710"/>
      <c r="W51" s="3710"/>
      <c r="X51" s="3710"/>
      <c r="Y51" s="3710"/>
      <c r="Z51" s="3710"/>
      <c r="AA51" s="3712" t="s">
        <v>1575</v>
      </c>
      <c r="AB51" s="3710"/>
      <c r="AC51" s="3710"/>
      <c r="AD51" s="3710"/>
      <c r="AE51" s="3710"/>
      <c r="AF51" s="3711"/>
      <c r="AG51" s="3710" t="s">
        <v>1786</v>
      </c>
      <c r="AH51" s="3710"/>
      <c r="AI51" s="3710"/>
      <c r="AJ51" s="3710"/>
      <c r="AK51" s="3710"/>
      <c r="AL51" s="3713"/>
      <c r="AM51" s="1387"/>
      <c r="AN51" s="260"/>
      <c r="AO51" s="1387"/>
      <c r="AP51" s="260"/>
      <c r="AQ51" s="260"/>
      <c r="AR51" s="260"/>
      <c r="AS51" s="260"/>
      <c r="AT51" s="260"/>
      <c r="AU51" s="260"/>
      <c r="AV51" s="260"/>
      <c r="AW51" s="260"/>
      <c r="AX51" s="260"/>
      <c r="AY51" s="260"/>
      <c r="AZ51" s="260"/>
      <c r="BA51" s="260"/>
      <c r="BB51" s="260"/>
      <c r="BC51" s="260"/>
    </row>
    <row r="52" spans="1:55" s="47" customFormat="1" ht="19.5" customHeight="1" thickBot="1">
      <c r="A52" s="260"/>
      <c r="B52" s="260"/>
      <c r="C52" s="1387"/>
      <c r="D52" s="260"/>
      <c r="E52" s="3862"/>
      <c r="F52" s="3863"/>
      <c r="G52" s="3863"/>
      <c r="H52" s="3863"/>
      <c r="I52" s="3863"/>
      <c r="J52" s="3863"/>
      <c r="K52" s="3863"/>
      <c r="L52" s="3863"/>
      <c r="M52" s="3863"/>
      <c r="N52" s="3864"/>
      <c r="O52" s="3862" t="s">
        <v>45</v>
      </c>
      <c r="P52" s="3863"/>
      <c r="Q52" s="3865"/>
      <c r="R52" s="3866" t="s">
        <v>46</v>
      </c>
      <c r="S52" s="3863"/>
      <c r="T52" s="3867"/>
      <c r="U52" s="3863" t="s">
        <v>45</v>
      </c>
      <c r="V52" s="3863"/>
      <c r="W52" s="3865"/>
      <c r="X52" s="3866" t="s">
        <v>46</v>
      </c>
      <c r="Y52" s="3863"/>
      <c r="Z52" s="3863"/>
      <c r="AA52" s="3868" t="s">
        <v>45</v>
      </c>
      <c r="AB52" s="3863"/>
      <c r="AC52" s="3865"/>
      <c r="AD52" s="3866" t="s">
        <v>46</v>
      </c>
      <c r="AE52" s="3863"/>
      <c r="AF52" s="3867"/>
      <c r="AG52" s="3863" t="s">
        <v>45</v>
      </c>
      <c r="AH52" s="3863"/>
      <c r="AI52" s="3865"/>
      <c r="AJ52" s="3866" t="s">
        <v>46</v>
      </c>
      <c r="AK52" s="3863"/>
      <c r="AL52" s="3864"/>
      <c r="AM52" s="260"/>
      <c r="AN52" s="260"/>
      <c r="AO52" s="1387"/>
      <c r="AP52" s="260"/>
      <c r="AQ52" s="260"/>
      <c r="AR52" s="260"/>
      <c r="AS52" s="260"/>
      <c r="AT52" s="260"/>
      <c r="AU52" s="260"/>
      <c r="AV52" s="260"/>
      <c r="AW52" s="260"/>
      <c r="AX52" s="260"/>
      <c r="AY52" s="260"/>
      <c r="AZ52" s="260"/>
      <c r="BA52" s="260"/>
      <c r="BB52" s="260"/>
      <c r="BC52" s="260"/>
    </row>
    <row r="53" spans="1:55" s="47" customFormat="1" ht="62.45" customHeight="1" thickTop="1">
      <c r="A53" s="260"/>
      <c r="B53" s="260"/>
      <c r="C53" s="1387"/>
      <c r="D53" s="260"/>
      <c r="E53" s="1400" t="s">
        <v>47</v>
      </c>
      <c r="F53" s="3849" t="s">
        <v>1903</v>
      </c>
      <c r="G53" s="3849"/>
      <c r="H53" s="3849"/>
      <c r="I53" s="3849"/>
      <c r="J53" s="3849"/>
      <c r="K53" s="3849"/>
      <c r="L53" s="3849"/>
      <c r="M53" s="3849"/>
      <c r="N53" s="3850"/>
      <c r="O53" s="3851">
        <v>0</v>
      </c>
      <c r="P53" s="3852"/>
      <c r="Q53" s="3853"/>
      <c r="R53" s="3854">
        <v>0</v>
      </c>
      <c r="S53" s="3852"/>
      <c r="T53" s="3855"/>
      <c r="U53" s="3852">
        <v>0</v>
      </c>
      <c r="V53" s="3852"/>
      <c r="W53" s="3853"/>
      <c r="X53" s="3854">
        <v>0</v>
      </c>
      <c r="Y53" s="3852"/>
      <c r="Z53" s="3852"/>
      <c r="AA53" s="3856">
        <v>0</v>
      </c>
      <c r="AB53" s="3852"/>
      <c r="AC53" s="3853"/>
      <c r="AD53" s="3854">
        <v>0</v>
      </c>
      <c r="AE53" s="3852"/>
      <c r="AF53" s="3855"/>
      <c r="AG53" s="3852">
        <v>0</v>
      </c>
      <c r="AH53" s="3852"/>
      <c r="AI53" s="3853"/>
      <c r="AJ53" s="3854">
        <v>0</v>
      </c>
      <c r="AK53" s="3852"/>
      <c r="AL53" s="3857"/>
      <c r="AM53" s="260"/>
      <c r="AN53" s="260"/>
      <c r="AO53" s="1387"/>
      <c r="AP53" s="260"/>
      <c r="AQ53" s="260"/>
      <c r="AR53" s="260"/>
      <c r="AS53" s="260"/>
      <c r="AT53" s="260"/>
      <c r="AU53" s="260"/>
      <c r="AV53" s="260"/>
      <c r="AW53" s="260"/>
      <c r="AX53" s="260"/>
      <c r="AY53" s="260"/>
      <c r="AZ53" s="260"/>
      <c r="BA53" s="260"/>
      <c r="BB53" s="260"/>
      <c r="BC53" s="260"/>
    </row>
    <row r="54" spans="1:55" s="47" customFormat="1" ht="33.950000000000003" customHeight="1">
      <c r="A54" s="260"/>
      <c r="B54" s="260"/>
      <c r="C54" s="1387"/>
      <c r="D54" s="260"/>
      <c r="E54" s="1388" t="s">
        <v>48</v>
      </c>
      <c r="F54" s="3840" t="s">
        <v>1904</v>
      </c>
      <c r="G54" s="3840"/>
      <c r="H54" s="3840"/>
      <c r="I54" s="3840"/>
      <c r="J54" s="3840"/>
      <c r="K54" s="3840"/>
      <c r="L54" s="3840"/>
      <c r="M54" s="3840"/>
      <c r="N54" s="3841"/>
      <c r="O54" s="3842">
        <v>0</v>
      </c>
      <c r="P54" s="3843"/>
      <c r="Q54" s="3844"/>
      <c r="R54" s="3845">
        <v>0</v>
      </c>
      <c r="S54" s="3843"/>
      <c r="T54" s="3846"/>
      <c r="U54" s="3843">
        <v>0</v>
      </c>
      <c r="V54" s="3843"/>
      <c r="W54" s="3844"/>
      <c r="X54" s="3845">
        <v>0</v>
      </c>
      <c r="Y54" s="3843"/>
      <c r="Z54" s="3843"/>
      <c r="AA54" s="3847">
        <v>0</v>
      </c>
      <c r="AB54" s="3843"/>
      <c r="AC54" s="3844"/>
      <c r="AD54" s="3845">
        <v>0</v>
      </c>
      <c r="AE54" s="3843"/>
      <c r="AF54" s="3846"/>
      <c r="AG54" s="3843">
        <v>0</v>
      </c>
      <c r="AH54" s="3843"/>
      <c r="AI54" s="3844"/>
      <c r="AJ54" s="3845">
        <v>0</v>
      </c>
      <c r="AK54" s="3843"/>
      <c r="AL54" s="3848"/>
      <c r="AM54" s="260"/>
      <c r="AN54" s="260"/>
      <c r="AO54" s="1387"/>
      <c r="AP54" s="260"/>
      <c r="AQ54" s="260"/>
      <c r="AR54" s="260"/>
      <c r="AS54" s="260"/>
      <c r="AT54" s="260"/>
      <c r="AU54" s="260"/>
      <c r="AV54" s="260"/>
      <c r="AW54" s="260"/>
      <c r="AX54" s="260"/>
      <c r="AY54" s="260"/>
      <c r="AZ54" s="260"/>
      <c r="BA54" s="260"/>
      <c r="BB54" s="260"/>
      <c r="BC54" s="260"/>
    </row>
    <row r="55" spans="1:55" s="47" customFormat="1" ht="51.6" customHeight="1">
      <c r="A55" s="260"/>
      <c r="B55" s="260"/>
      <c r="C55" s="1387"/>
      <c r="D55" s="260"/>
      <c r="E55" s="1388" t="s">
        <v>49</v>
      </c>
      <c r="F55" s="3840" t="s">
        <v>1905</v>
      </c>
      <c r="G55" s="3840"/>
      <c r="H55" s="3840"/>
      <c r="I55" s="3840"/>
      <c r="J55" s="3840"/>
      <c r="K55" s="3840"/>
      <c r="L55" s="3840"/>
      <c r="M55" s="3840"/>
      <c r="N55" s="3841"/>
      <c r="O55" s="3842">
        <v>0</v>
      </c>
      <c r="P55" s="3843"/>
      <c r="Q55" s="3844"/>
      <c r="R55" s="3845">
        <v>0</v>
      </c>
      <c r="S55" s="3843"/>
      <c r="T55" s="3846"/>
      <c r="U55" s="3843">
        <v>0</v>
      </c>
      <c r="V55" s="3843"/>
      <c r="W55" s="3844"/>
      <c r="X55" s="3845">
        <v>0</v>
      </c>
      <c r="Y55" s="3843"/>
      <c r="Z55" s="3843"/>
      <c r="AA55" s="3847">
        <v>0</v>
      </c>
      <c r="AB55" s="3843"/>
      <c r="AC55" s="3844"/>
      <c r="AD55" s="3845">
        <v>0</v>
      </c>
      <c r="AE55" s="3843"/>
      <c r="AF55" s="3846"/>
      <c r="AG55" s="3843">
        <v>0</v>
      </c>
      <c r="AH55" s="3843"/>
      <c r="AI55" s="3844"/>
      <c r="AJ55" s="3845">
        <v>0</v>
      </c>
      <c r="AK55" s="3843"/>
      <c r="AL55" s="3848"/>
      <c r="AM55" s="260"/>
      <c r="AN55" s="260"/>
      <c r="AO55" s="1387"/>
      <c r="AP55" s="260"/>
      <c r="AQ55" s="260"/>
      <c r="AR55" s="260"/>
      <c r="AS55" s="260"/>
      <c r="AT55" s="260"/>
      <c r="AU55" s="260"/>
      <c r="AV55" s="260"/>
      <c r="AW55" s="260"/>
      <c r="AX55" s="260"/>
      <c r="AY55" s="260"/>
      <c r="AZ55" s="260"/>
      <c r="BA55" s="260"/>
      <c r="BB55" s="260"/>
      <c r="BC55" s="260"/>
    </row>
    <row r="56" spans="1:55" s="47" customFormat="1" ht="35.450000000000003" customHeight="1" thickBot="1">
      <c r="A56" s="260"/>
      <c r="B56" s="260"/>
      <c r="C56" s="1387"/>
      <c r="D56" s="260"/>
      <c r="E56" s="1401"/>
      <c r="F56" s="1402" t="s">
        <v>1906</v>
      </c>
      <c r="G56" s="3831" t="s">
        <v>1907</v>
      </c>
      <c r="H56" s="3831"/>
      <c r="I56" s="3831"/>
      <c r="J56" s="3831"/>
      <c r="K56" s="3831"/>
      <c r="L56" s="3831"/>
      <c r="M56" s="3831"/>
      <c r="N56" s="3832"/>
      <c r="O56" s="3833">
        <v>0</v>
      </c>
      <c r="P56" s="3834"/>
      <c r="Q56" s="3835"/>
      <c r="R56" s="3836">
        <v>0</v>
      </c>
      <c r="S56" s="3834"/>
      <c r="T56" s="3837"/>
      <c r="U56" s="3834">
        <v>0</v>
      </c>
      <c r="V56" s="3834"/>
      <c r="W56" s="3835"/>
      <c r="X56" s="3836">
        <v>0</v>
      </c>
      <c r="Y56" s="3834"/>
      <c r="Z56" s="3834"/>
      <c r="AA56" s="3838">
        <v>0</v>
      </c>
      <c r="AB56" s="3834"/>
      <c r="AC56" s="3835"/>
      <c r="AD56" s="3836">
        <v>0</v>
      </c>
      <c r="AE56" s="3834"/>
      <c r="AF56" s="3837"/>
      <c r="AG56" s="3834">
        <v>0</v>
      </c>
      <c r="AH56" s="3834"/>
      <c r="AI56" s="3835"/>
      <c r="AJ56" s="3836">
        <v>0</v>
      </c>
      <c r="AK56" s="3834"/>
      <c r="AL56" s="3839"/>
      <c r="AM56" s="260"/>
      <c r="AN56" s="260"/>
      <c r="AO56" s="1387"/>
      <c r="AP56" s="260"/>
      <c r="AQ56" s="260"/>
      <c r="AR56" s="260"/>
      <c r="AS56" s="260"/>
      <c r="AT56" s="260"/>
      <c r="AU56" s="260"/>
      <c r="AV56" s="260"/>
      <c r="AW56" s="260"/>
      <c r="AX56" s="260"/>
      <c r="AY56" s="260"/>
      <c r="AZ56" s="260"/>
      <c r="BA56" s="260"/>
      <c r="BB56" s="260"/>
      <c r="BC56" s="260"/>
    </row>
    <row r="57" spans="1:55" s="47" customFormat="1" ht="5.0999999999999996" customHeight="1" thickTop="1">
      <c r="A57" s="260"/>
      <c r="B57" s="260"/>
      <c r="C57" s="1387"/>
      <c r="D57" s="260"/>
      <c r="E57" s="1403"/>
      <c r="F57" s="1404"/>
      <c r="G57" s="1405"/>
      <c r="H57" s="1405"/>
      <c r="I57" s="1405"/>
      <c r="J57" s="1405"/>
      <c r="K57" s="1405"/>
      <c r="L57" s="1405"/>
      <c r="M57" s="1405"/>
      <c r="N57" s="1405"/>
      <c r="O57" s="1406"/>
      <c r="P57" s="1406"/>
      <c r="Q57" s="1406"/>
      <c r="R57" s="1406"/>
      <c r="S57" s="1406"/>
      <c r="T57" s="1406"/>
      <c r="U57" s="1406"/>
      <c r="V57" s="1406"/>
      <c r="W57" s="1406"/>
      <c r="X57" s="1406"/>
      <c r="Y57" s="1406"/>
      <c r="Z57" s="1406"/>
      <c r="AA57" s="1406"/>
      <c r="AB57" s="1406"/>
      <c r="AC57" s="1406"/>
      <c r="AD57" s="1406"/>
      <c r="AE57" s="1406"/>
      <c r="AF57" s="1406"/>
      <c r="AG57" s="1406"/>
      <c r="AH57" s="1406"/>
      <c r="AI57" s="1406"/>
      <c r="AJ57" s="1406"/>
      <c r="AK57" s="1406"/>
      <c r="AL57" s="1406"/>
      <c r="AM57" s="260"/>
      <c r="AN57" s="1407"/>
      <c r="AO57" s="260"/>
      <c r="AP57" s="260"/>
      <c r="AQ57" s="260"/>
      <c r="AR57" s="260"/>
      <c r="AS57" s="260"/>
      <c r="AT57" s="260"/>
      <c r="AU57" s="260"/>
      <c r="AV57" s="260"/>
      <c r="AW57" s="260"/>
      <c r="AX57" s="260"/>
      <c r="AY57" s="260"/>
      <c r="AZ57" s="260"/>
      <c r="BA57" s="260"/>
      <c r="BB57" s="260"/>
      <c r="BC57" s="260"/>
    </row>
    <row r="58" spans="1:55" s="175" customFormat="1" ht="33.950000000000003" customHeight="1">
      <c r="A58" s="1263"/>
      <c r="B58" s="1263"/>
      <c r="C58" s="1273"/>
      <c r="D58" s="1274"/>
      <c r="E58" s="377" t="s">
        <v>132</v>
      </c>
      <c r="F58" s="1306"/>
      <c r="G58" s="1306"/>
      <c r="H58" s="1408" t="s">
        <v>47</v>
      </c>
      <c r="I58" s="3637" t="s">
        <v>1843</v>
      </c>
      <c r="J58" s="3637"/>
      <c r="K58" s="3637"/>
      <c r="L58" s="3637"/>
      <c r="M58" s="3637"/>
      <c r="N58" s="3637"/>
      <c r="O58" s="3637"/>
      <c r="P58" s="3637"/>
      <c r="Q58" s="3637"/>
      <c r="R58" s="3637"/>
      <c r="S58" s="3637"/>
      <c r="T58" s="3637"/>
      <c r="U58" s="3637"/>
      <c r="V58" s="3637"/>
      <c r="W58" s="3637"/>
      <c r="X58" s="3637"/>
      <c r="Y58" s="3637"/>
      <c r="Z58" s="3637"/>
      <c r="AA58" s="3637"/>
      <c r="AB58" s="3637"/>
      <c r="AC58" s="3637"/>
      <c r="AD58" s="3637"/>
      <c r="AE58" s="3637"/>
      <c r="AF58" s="3637"/>
      <c r="AG58" s="3637"/>
      <c r="AH58" s="3637"/>
      <c r="AI58" s="3637"/>
      <c r="AJ58" s="3637"/>
      <c r="AK58" s="3637"/>
      <c r="AL58" s="3637"/>
      <c r="AM58" s="1263"/>
      <c r="AN58" s="1284"/>
      <c r="AO58" s="1263"/>
      <c r="AP58" s="1263"/>
      <c r="AQ58" s="1263"/>
      <c r="AR58" s="1263"/>
      <c r="AS58" s="1263"/>
      <c r="AT58" s="1263"/>
      <c r="AU58" s="1263"/>
      <c r="AV58" s="1263"/>
      <c r="AW58" s="1263"/>
      <c r="AX58" s="1263"/>
      <c r="AY58" s="1263"/>
      <c r="AZ58" s="1263"/>
      <c r="BA58" s="1263"/>
      <c r="BB58" s="1263"/>
      <c r="BC58" s="1263"/>
    </row>
    <row r="59" spans="1:55" s="175" customFormat="1" ht="33.950000000000003" customHeight="1">
      <c r="A59" s="1263"/>
      <c r="B59" s="1263"/>
      <c r="C59" s="1273"/>
      <c r="D59" s="1274"/>
      <c r="E59" s="377"/>
      <c r="F59" s="1306"/>
      <c r="G59" s="1306"/>
      <c r="H59" s="1408" t="s">
        <v>48</v>
      </c>
      <c r="I59" s="3637" t="s">
        <v>1908</v>
      </c>
      <c r="J59" s="3637"/>
      <c r="K59" s="3637"/>
      <c r="L59" s="3637"/>
      <c r="M59" s="3637"/>
      <c r="N59" s="3637"/>
      <c r="O59" s="3637"/>
      <c r="P59" s="3637"/>
      <c r="Q59" s="3637"/>
      <c r="R59" s="3637"/>
      <c r="S59" s="3637"/>
      <c r="T59" s="3637"/>
      <c r="U59" s="3637"/>
      <c r="V59" s="3637"/>
      <c r="W59" s="3637"/>
      <c r="X59" s="3637"/>
      <c r="Y59" s="3637"/>
      <c r="Z59" s="3637"/>
      <c r="AA59" s="3637"/>
      <c r="AB59" s="3637"/>
      <c r="AC59" s="3637"/>
      <c r="AD59" s="3637"/>
      <c r="AE59" s="3637"/>
      <c r="AF59" s="3637"/>
      <c r="AG59" s="3637"/>
      <c r="AH59" s="3637"/>
      <c r="AI59" s="3637"/>
      <c r="AJ59" s="3637"/>
      <c r="AK59" s="3637"/>
      <c r="AL59" s="3637"/>
      <c r="AM59" s="1263"/>
      <c r="AN59" s="1284"/>
      <c r="AO59" s="1263"/>
      <c r="AP59" s="1263"/>
      <c r="AQ59" s="1263"/>
      <c r="AR59" s="1263"/>
      <c r="AS59" s="1263"/>
      <c r="AT59" s="1263"/>
      <c r="AU59" s="1263"/>
      <c r="AV59" s="1263"/>
      <c r="AW59" s="1263"/>
      <c r="AX59" s="1263"/>
      <c r="AY59" s="1263"/>
      <c r="AZ59" s="1263"/>
      <c r="BA59" s="1263"/>
      <c r="BB59" s="1263"/>
      <c r="BC59" s="1263"/>
    </row>
    <row r="60" spans="1:55" ht="9.9499999999999993" customHeight="1" thickBot="1">
      <c r="A60" s="1262"/>
      <c r="B60" s="1262"/>
      <c r="C60" s="1310"/>
      <c r="D60" s="1311"/>
      <c r="E60" s="1297"/>
      <c r="F60" s="1312"/>
      <c r="G60" s="1312"/>
      <c r="H60" s="1312"/>
      <c r="I60" s="1312"/>
      <c r="J60" s="1312"/>
      <c r="K60" s="1312"/>
      <c r="L60" s="1313"/>
      <c r="M60" s="1313"/>
      <c r="N60" s="1313"/>
      <c r="O60" s="1313"/>
      <c r="P60" s="1313"/>
      <c r="Q60" s="1313"/>
      <c r="R60" s="1313"/>
      <c r="S60" s="1313"/>
      <c r="T60" s="1313"/>
      <c r="U60" s="1313"/>
      <c r="V60" s="1313"/>
      <c r="W60" s="1313"/>
      <c r="X60" s="1313"/>
      <c r="Y60" s="1313"/>
      <c r="Z60" s="1313"/>
      <c r="AA60" s="1313"/>
      <c r="AB60" s="1313"/>
      <c r="AC60" s="1313"/>
      <c r="AD60" s="1313"/>
      <c r="AE60" s="1313"/>
      <c r="AF60" s="1313"/>
      <c r="AG60" s="1313"/>
      <c r="AH60" s="1313"/>
      <c r="AI60" s="1313"/>
      <c r="AJ60" s="1313"/>
      <c r="AK60" s="1313"/>
      <c r="AL60" s="1313"/>
      <c r="AM60" s="1313"/>
      <c r="AN60" s="1314"/>
      <c r="AO60" s="1262"/>
      <c r="AP60" s="1262"/>
      <c r="AQ60" s="1262"/>
      <c r="AR60" s="1262"/>
      <c r="AS60" s="1262"/>
      <c r="AT60" s="1262"/>
      <c r="AU60" s="1262"/>
      <c r="AV60" s="1262"/>
      <c r="AW60" s="1262"/>
      <c r="AX60" s="1262"/>
      <c r="AY60" s="1262"/>
      <c r="AZ60" s="1262"/>
      <c r="BA60" s="1262"/>
      <c r="BB60" s="1262"/>
      <c r="BC60" s="1262"/>
    </row>
    <row r="61" spans="1:55" ht="9.9499999999999993" customHeight="1" thickTop="1">
      <c r="A61" s="1262"/>
      <c r="B61" s="1262"/>
      <c r="C61" s="1339"/>
      <c r="D61" s="1321"/>
      <c r="E61" s="1263"/>
      <c r="F61" s="1271"/>
      <c r="G61" s="1271"/>
      <c r="H61" s="1271"/>
      <c r="I61" s="1271"/>
      <c r="J61" s="1271"/>
      <c r="K61" s="1271"/>
      <c r="L61" s="1262"/>
      <c r="M61" s="1262"/>
      <c r="N61" s="1262"/>
      <c r="O61" s="1262"/>
      <c r="P61" s="1262"/>
      <c r="Q61" s="1262"/>
      <c r="R61" s="1262"/>
      <c r="S61" s="1262"/>
      <c r="T61" s="1262"/>
      <c r="U61" s="1262"/>
      <c r="V61" s="1262"/>
      <c r="W61" s="1262"/>
      <c r="X61" s="1262"/>
      <c r="Y61" s="1262"/>
      <c r="Z61" s="1262"/>
      <c r="AA61" s="1262"/>
      <c r="AB61" s="1262"/>
      <c r="AC61" s="1262"/>
      <c r="AD61" s="1262"/>
      <c r="AE61" s="1262"/>
      <c r="AF61" s="1262"/>
      <c r="AG61" s="1262"/>
      <c r="AH61" s="1262"/>
      <c r="AI61" s="1262"/>
      <c r="AJ61" s="1262"/>
      <c r="AK61" s="1262"/>
      <c r="AL61" s="1262"/>
      <c r="AM61" s="1262"/>
      <c r="AN61" s="1262"/>
      <c r="AO61" s="1262"/>
      <c r="AP61" s="1262"/>
      <c r="AQ61" s="1262"/>
      <c r="AR61" s="1262"/>
      <c r="AS61" s="1262"/>
      <c r="AT61" s="1262"/>
      <c r="AU61" s="1262"/>
      <c r="AV61" s="1262"/>
      <c r="AW61" s="1262"/>
      <c r="AX61" s="1262"/>
      <c r="AY61" s="1262"/>
      <c r="AZ61" s="1262"/>
      <c r="BA61" s="1262"/>
      <c r="BB61" s="1262"/>
      <c r="BC61" s="1262"/>
    </row>
    <row r="62" spans="1:55" s="102" customFormat="1" ht="17.25">
      <c r="A62" s="599"/>
      <c r="B62" s="599"/>
      <c r="C62" s="227" t="s">
        <v>1195</v>
      </c>
      <c r="D62" s="1227"/>
      <c r="E62" s="1235"/>
      <c r="F62" s="1235"/>
      <c r="G62" s="1235"/>
      <c r="H62" s="1235"/>
      <c r="I62" s="1235"/>
      <c r="J62" s="1235"/>
      <c r="K62" s="1235"/>
      <c r="L62" s="1235"/>
      <c r="M62" s="1235"/>
      <c r="N62" s="1235"/>
      <c r="O62" s="1235"/>
      <c r="P62" s="1235"/>
      <c r="Q62" s="1235"/>
      <c r="R62" s="1235"/>
      <c r="S62" s="1235"/>
      <c r="T62" s="1235"/>
      <c r="U62" s="1235"/>
      <c r="V62" s="599"/>
      <c r="W62" s="599"/>
      <c r="X62" s="599"/>
      <c r="Y62" s="599"/>
      <c r="Z62" s="599"/>
      <c r="AA62" s="599"/>
      <c r="AB62" s="599"/>
      <c r="AC62" s="599"/>
      <c r="AD62" s="599"/>
      <c r="AE62" s="599"/>
      <c r="AF62" s="599"/>
      <c r="AG62" s="599"/>
      <c r="AH62" s="599"/>
      <c r="AI62" s="599"/>
      <c r="AJ62" s="599"/>
      <c r="AK62" s="599"/>
      <c r="AL62" s="599"/>
      <c r="AM62" s="599"/>
      <c r="AN62" s="599"/>
      <c r="AO62" s="599"/>
      <c r="AP62" s="599"/>
      <c r="AQ62" s="599"/>
      <c r="AR62" s="599"/>
      <c r="AS62" s="599"/>
      <c r="AT62" s="599"/>
      <c r="AU62" s="599"/>
      <c r="AV62" s="599"/>
      <c r="AW62" s="599"/>
      <c r="AX62" s="599"/>
      <c r="AY62" s="599"/>
      <c r="AZ62" s="599"/>
      <c r="BA62" s="599"/>
      <c r="BB62" s="599"/>
      <c r="BC62" s="599"/>
    </row>
    <row r="63" spans="1:55" s="44" customFormat="1" ht="30.75" customHeight="1">
      <c r="A63" s="434"/>
      <c r="B63" s="434"/>
      <c r="C63" s="434"/>
      <c r="D63" s="434"/>
      <c r="E63" s="434"/>
      <c r="F63" s="434"/>
      <c r="G63" s="434"/>
      <c r="H63" s="434"/>
      <c r="I63" s="434"/>
      <c r="J63" s="434"/>
      <c r="K63" s="434"/>
      <c r="L63" s="434"/>
      <c r="M63" s="434"/>
      <c r="N63" s="434"/>
      <c r="O63" s="434"/>
      <c r="P63" s="434"/>
      <c r="Q63" s="434"/>
      <c r="R63" s="434"/>
      <c r="S63" s="434"/>
      <c r="T63" s="434"/>
      <c r="U63" s="434"/>
      <c r="V63" s="434"/>
      <c r="W63" s="434"/>
      <c r="X63" s="434"/>
      <c r="Y63" s="434"/>
      <c r="Z63" s="434"/>
      <c r="AA63" s="434"/>
      <c r="AB63" s="434"/>
      <c r="AC63" s="434"/>
      <c r="AD63" s="434"/>
      <c r="AE63" s="434"/>
      <c r="AF63" s="434"/>
      <c r="AG63" s="434"/>
      <c r="AH63" s="434"/>
      <c r="AI63" s="434"/>
      <c r="AJ63" s="434"/>
      <c r="AK63" s="434"/>
      <c r="AL63" s="434"/>
      <c r="AM63" s="434"/>
      <c r="AN63" s="434"/>
      <c r="AO63" s="434"/>
      <c r="AP63" s="434"/>
      <c r="AQ63" s="434"/>
      <c r="AR63" s="434"/>
      <c r="AS63" s="434"/>
      <c r="AT63" s="434"/>
      <c r="AU63" s="434"/>
      <c r="AV63" s="434"/>
      <c r="AW63" s="434"/>
      <c r="AX63" s="434"/>
      <c r="AY63" s="434"/>
      <c r="AZ63" s="434"/>
      <c r="BA63" s="434"/>
      <c r="BB63" s="434"/>
      <c r="BC63" s="434"/>
    </row>
    <row r="64" spans="1:55" s="37" customFormat="1" ht="15">
      <c r="A64" s="263"/>
      <c r="B64" s="332" t="s">
        <v>32</v>
      </c>
      <c r="C64" s="263"/>
      <c r="D64" s="263"/>
      <c r="E64" s="263"/>
      <c r="F64" s="263"/>
      <c r="G64" s="263"/>
      <c r="H64" s="263"/>
      <c r="I64" s="263"/>
      <c r="J64" s="263"/>
      <c r="K64" s="263"/>
      <c r="L64" s="263"/>
      <c r="M64" s="263"/>
      <c r="N64" s="263"/>
      <c r="O64" s="263"/>
      <c r="P64" s="332" t="s">
        <v>856</v>
      </c>
      <c r="Q64" s="263"/>
      <c r="R64" s="263"/>
      <c r="S64" s="263"/>
      <c r="T64" s="263"/>
      <c r="U64" s="263"/>
      <c r="V64" s="263"/>
      <c r="W64" s="263"/>
      <c r="X64" s="263"/>
      <c r="Y64" s="263"/>
      <c r="Z64" s="263"/>
      <c r="AA64" s="263"/>
      <c r="AB64" s="263"/>
      <c r="AC64" s="263"/>
      <c r="AD64" s="332" t="s">
        <v>33</v>
      </c>
      <c r="AE64" s="263"/>
      <c r="AF64" s="263"/>
      <c r="AG64" s="263"/>
      <c r="AH64" s="263"/>
      <c r="AI64" s="263"/>
      <c r="AJ64" s="263"/>
      <c r="AK64" s="263"/>
      <c r="AL64" s="263"/>
      <c r="AM64" s="263"/>
      <c r="AN64" s="263"/>
      <c r="AO64" s="263"/>
      <c r="AP64" s="263"/>
      <c r="AQ64" s="263"/>
      <c r="AR64" s="263"/>
      <c r="AS64" s="263"/>
      <c r="AT64" s="263"/>
      <c r="AU64" s="263"/>
      <c r="AV64" s="263"/>
      <c r="AW64" s="263"/>
      <c r="AX64" s="263"/>
      <c r="AY64" s="263"/>
      <c r="AZ64" s="263"/>
      <c r="BA64" s="263"/>
      <c r="BB64" s="263"/>
      <c r="BC64" s="263"/>
    </row>
    <row r="65" spans="1:55" s="37" customFormat="1" ht="21.75" customHeight="1">
      <c r="A65" s="263"/>
      <c r="B65" s="332" t="s">
        <v>75</v>
      </c>
      <c r="C65" s="263"/>
      <c r="D65" s="263"/>
      <c r="E65" s="263"/>
      <c r="F65" s="2790" t="str">
        <f>activesheet!E21</f>
        <v>MELCHESIEDICK Q. BOLANIO / March 17, 2023</v>
      </c>
      <c r="G65" s="2790"/>
      <c r="H65" s="2790"/>
      <c r="I65" s="2790"/>
      <c r="J65" s="2790"/>
      <c r="K65" s="2790"/>
      <c r="L65" s="2790"/>
      <c r="M65" s="2790"/>
      <c r="N65" s="263"/>
      <c r="O65" s="263"/>
      <c r="P65" s="2790" t="str">
        <f>activesheet!E3344</f>
        <v>ELYN KENDRA D. DELA CRUZ / March 17, 2023</v>
      </c>
      <c r="Q65" s="2790"/>
      <c r="R65" s="2790"/>
      <c r="S65" s="2790"/>
      <c r="T65" s="2790"/>
      <c r="U65" s="2790"/>
      <c r="V65" s="2790"/>
      <c r="W65" s="2790"/>
      <c r="X65" s="2790"/>
      <c r="Y65" s="2790"/>
      <c r="Z65" s="2790"/>
      <c r="AA65" s="2790"/>
      <c r="AB65" s="263"/>
      <c r="AC65" s="263"/>
      <c r="AD65" s="3784" t="str">
        <f>activesheet!E25</f>
        <v>MICHAEL T. JAMIS / March 17, 2023</v>
      </c>
      <c r="AE65" s="3784"/>
      <c r="AF65" s="3784"/>
      <c r="AG65" s="3784"/>
      <c r="AH65" s="3784"/>
      <c r="AI65" s="3784"/>
      <c r="AJ65" s="3784"/>
      <c r="AK65" s="3784"/>
      <c r="AL65" s="3784"/>
      <c r="AM65" s="3784"/>
      <c r="AN65" s="3784"/>
      <c r="AO65" s="3784"/>
      <c r="AP65" s="263"/>
      <c r="AQ65" s="263"/>
      <c r="AR65" s="263"/>
      <c r="AS65" s="263"/>
      <c r="AT65" s="263"/>
      <c r="AU65" s="263"/>
      <c r="AV65" s="263"/>
      <c r="AW65" s="263"/>
      <c r="AX65" s="263"/>
      <c r="AY65" s="263"/>
      <c r="AZ65" s="263"/>
      <c r="BA65" s="263"/>
      <c r="BB65" s="263"/>
      <c r="BC65" s="263"/>
    </row>
    <row r="66" spans="1:55" s="39" customFormat="1" ht="14.1" customHeight="1">
      <c r="A66" s="280"/>
      <c r="B66" s="228"/>
      <c r="C66" s="280"/>
      <c r="D66" s="280"/>
      <c r="E66" s="280"/>
      <c r="F66" s="1807" t="s">
        <v>37</v>
      </c>
      <c r="G66" s="1807"/>
      <c r="H66" s="1807"/>
      <c r="I66" s="1807"/>
      <c r="J66" s="1807"/>
      <c r="K66" s="1807"/>
      <c r="L66" s="1807"/>
      <c r="M66" s="1807"/>
      <c r="N66" s="322"/>
      <c r="O66" s="322"/>
      <c r="P66" s="1807" t="s">
        <v>37</v>
      </c>
      <c r="Q66" s="1807"/>
      <c r="R66" s="1807"/>
      <c r="S66" s="1807"/>
      <c r="T66" s="1807"/>
      <c r="U66" s="1807"/>
      <c r="V66" s="1807"/>
      <c r="W66" s="1807"/>
      <c r="X66" s="1807"/>
      <c r="Y66" s="1807"/>
      <c r="Z66" s="1807"/>
      <c r="AA66" s="1807"/>
      <c r="AB66" s="322"/>
      <c r="AC66" s="322"/>
      <c r="AD66" s="3785"/>
      <c r="AE66" s="3785"/>
      <c r="AF66" s="3785"/>
      <c r="AG66" s="3785"/>
      <c r="AH66" s="3785"/>
      <c r="AI66" s="3785"/>
      <c r="AJ66" s="3785"/>
      <c r="AK66" s="3785"/>
      <c r="AL66" s="3785"/>
      <c r="AM66" s="3785"/>
      <c r="AN66" s="3785"/>
      <c r="AO66" s="3785"/>
      <c r="AP66" s="280"/>
      <c r="AQ66" s="280"/>
      <c r="AR66" s="280"/>
      <c r="AS66" s="280"/>
      <c r="AT66" s="280"/>
      <c r="AU66" s="280"/>
      <c r="AV66" s="280"/>
      <c r="AW66" s="280"/>
      <c r="AX66" s="280"/>
      <c r="AY66" s="280"/>
      <c r="AZ66" s="280"/>
      <c r="BA66" s="280"/>
      <c r="BB66" s="280"/>
      <c r="BC66" s="280"/>
    </row>
    <row r="67" spans="1:55" s="37" customFormat="1" ht="21.75" customHeight="1">
      <c r="A67" s="263"/>
      <c r="B67" s="332" t="s">
        <v>58</v>
      </c>
      <c r="C67" s="263"/>
      <c r="D67" s="263"/>
      <c r="E67" s="263"/>
      <c r="F67" s="2790" t="str">
        <f>activesheet!E22</f>
        <v>SECONDARY SCHOOL PRINCIPAL IV</v>
      </c>
      <c r="G67" s="2790"/>
      <c r="H67" s="2790"/>
      <c r="I67" s="2790"/>
      <c r="J67" s="2790"/>
      <c r="K67" s="2790"/>
      <c r="L67" s="2790"/>
      <c r="M67" s="2790"/>
      <c r="N67" s="263"/>
      <c r="O67" s="263"/>
      <c r="P67" s="332" t="s">
        <v>58</v>
      </c>
      <c r="Q67" s="263"/>
      <c r="R67" s="263"/>
      <c r="S67" s="263"/>
      <c r="T67" s="263"/>
      <c r="U67" s="263"/>
      <c r="V67" s="2790" t="str">
        <f>activesheet!E3345</f>
        <v>PROJECT DEVELOPMENT OFFICER II</v>
      </c>
      <c r="W67" s="2790"/>
      <c r="X67" s="2790"/>
      <c r="Y67" s="2790"/>
      <c r="Z67" s="2790"/>
      <c r="AA67" s="2790"/>
      <c r="AB67" s="263"/>
      <c r="AC67" s="263"/>
      <c r="AD67" s="1807" t="s">
        <v>37</v>
      </c>
      <c r="AE67" s="1807"/>
      <c r="AF67" s="1807"/>
      <c r="AG67" s="1807"/>
      <c r="AH67" s="1807"/>
      <c r="AI67" s="1807"/>
      <c r="AJ67" s="1807"/>
      <c r="AK67" s="1807"/>
      <c r="AL67" s="1807"/>
      <c r="AM67" s="1807"/>
      <c r="AN67" s="1807"/>
      <c r="AO67" s="1807"/>
      <c r="AP67" s="263"/>
      <c r="AQ67" s="263"/>
      <c r="AR67" s="263"/>
      <c r="AS67" s="263"/>
      <c r="AT67" s="263"/>
      <c r="AU67" s="263"/>
      <c r="AV67" s="263"/>
      <c r="AW67" s="263"/>
      <c r="AX67" s="263"/>
      <c r="AY67" s="263"/>
      <c r="AZ67" s="263"/>
      <c r="BA67" s="263"/>
      <c r="BB67" s="263"/>
      <c r="BC67" s="263"/>
    </row>
    <row r="68" spans="1:55">
      <c r="A68" s="1262"/>
      <c r="B68" s="1262"/>
      <c r="C68" s="1262"/>
      <c r="D68" s="1262"/>
      <c r="E68" s="1262"/>
      <c r="F68" s="1262"/>
      <c r="G68" s="1262"/>
      <c r="H68" s="1262"/>
      <c r="I68" s="1262"/>
      <c r="J68" s="1262"/>
      <c r="K68" s="1262"/>
      <c r="L68" s="1262"/>
      <c r="M68" s="1262"/>
      <c r="N68" s="434"/>
      <c r="O68" s="434"/>
      <c r="P68" s="1262"/>
      <c r="Q68" s="1262"/>
      <c r="R68" s="1262"/>
      <c r="S68" s="1262"/>
      <c r="T68" s="1262"/>
      <c r="U68" s="1262"/>
      <c r="V68" s="1262"/>
      <c r="W68" s="1262"/>
      <c r="X68" s="1262"/>
      <c r="Y68" s="1262"/>
      <c r="Z68" s="1262"/>
      <c r="AA68" s="1262"/>
      <c r="AB68" s="434"/>
      <c r="AC68" s="434"/>
      <c r="AD68" s="1262"/>
      <c r="AE68" s="1262"/>
      <c r="AF68" s="1262"/>
      <c r="AG68" s="1262"/>
      <c r="AH68" s="1262"/>
      <c r="AI68" s="1262"/>
      <c r="AJ68" s="1262"/>
      <c r="AK68" s="1262"/>
      <c r="AL68" s="1262"/>
      <c r="AM68" s="1262"/>
      <c r="AN68" s="1262"/>
      <c r="AO68" s="1262"/>
      <c r="AP68" s="1262"/>
      <c r="AQ68" s="1262"/>
      <c r="AR68" s="1262"/>
      <c r="AS68" s="1262"/>
      <c r="AT68" s="1262"/>
      <c r="AU68" s="1262"/>
      <c r="AV68" s="1262"/>
      <c r="AW68" s="1262"/>
      <c r="AX68" s="1262"/>
      <c r="AY68" s="1262"/>
      <c r="AZ68" s="1262"/>
      <c r="BA68" s="1262"/>
      <c r="BB68" s="1262"/>
      <c r="BC68" s="1262"/>
    </row>
    <row r="69" spans="1:55">
      <c r="A69" s="1262"/>
      <c r="B69" s="1262"/>
      <c r="C69" s="1262"/>
      <c r="D69" s="1263"/>
      <c r="E69" s="1263"/>
      <c r="F69" s="1263"/>
      <c r="G69" s="1263"/>
      <c r="H69" s="1263"/>
      <c r="I69" s="1263"/>
      <c r="J69" s="1263"/>
      <c r="K69" s="1263"/>
      <c r="L69" s="1263"/>
      <c r="M69" s="1263"/>
      <c r="N69" s="1263"/>
      <c r="O69" s="1263"/>
      <c r="P69" s="1263"/>
      <c r="Q69" s="1263"/>
      <c r="R69" s="1263"/>
      <c r="S69" s="1263"/>
      <c r="T69" s="1263"/>
      <c r="U69" s="1263"/>
      <c r="V69" s="1263"/>
      <c r="W69" s="1263"/>
      <c r="X69" s="1263"/>
      <c r="Y69" s="1263"/>
      <c r="Z69" s="1263"/>
      <c r="AA69" s="1263"/>
      <c r="AB69" s="1263"/>
      <c r="AC69" s="1263"/>
      <c r="AD69" s="1263"/>
      <c r="AE69" s="1263"/>
      <c r="AF69" s="1263"/>
      <c r="AG69" s="1263"/>
      <c r="AH69" s="1263"/>
      <c r="AI69" s="1263"/>
      <c r="AJ69" s="1263"/>
      <c r="AK69" s="1263"/>
      <c r="AL69" s="1263"/>
      <c r="AM69" s="1262"/>
      <c r="AN69" s="1262"/>
      <c r="AO69" s="1262"/>
      <c r="AP69" s="1262"/>
      <c r="AQ69" s="1262"/>
      <c r="AR69" s="1262"/>
      <c r="AS69" s="1262"/>
      <c r="AT69" s="1262"/>
      <c r="AU69" s="1262"/>
      <c r="AV69" s="1262"/>
      <c r="AW69" s="1262"/>
      <c r="AX69" s="1262"/>
      <c r="AY69" s="1262"/>
      <c r="AZ69" s="1262"/>
      <c r="BA69" s="1262"/>
      <c r="BB69" s="1262"/>
      <c r="BC69" s="1262"/>
    </row>
    <row r="70" spans="1:55">
      <c r="A70" s="1262"/>
      <c r="B70" s="1262"/>
      <c r="C70" s="1262"/>
      <c r="D70" s="1263"/>
      <c r="E70" s="1263"/>
      <c r="F70" s="1263"/>
      <c r="G70" s="1263"/>
      <c r="H70" s="1263"/>
      <c r="I70" s="1263"/>
      <c r="J70" s="1263"/>
      <c r="K70" s="1263"/>
      <c r="L70" s="1263"/>
      <c r="M70" s="1263"/>
      <c r="N70" s="1263"/>
      <c r="O70" s="1263"/>
      <c r="P70" s="1263"/>
      <c r="Q70" s="1263"/>
      <c r="R70" s="1263"/>
      <c r="S70" s="1263"/>
      <c r="T70" s="1263"/>
      <c r="U70" s="1263"/>
      <c r="V70" s="1263"/>
      <c r="W70" s="1263"/>
      <c r="X70" s="1263"/>
      <c r="Y70" s="1263"/>
      <c r="Z70" s="1263"/>
      <c r="AA70" s="1263"/>
      <c r="AB70" s="1263"/>
      <c r="AC70" s="1263"/>
      <c r="AD70" s="1263"/>
      <c r="AE70" s="1263"/>
      <c r="AF70" s="1263"/>
      <c r="AG70" s="1263"/>
      <c r="AH70" s="1263"/>
      <c r="AI70" s="1263"/>
      <c r="AJ70" s="1263"/>
      <c r="AK70" s="1263"/>
      <c r="AL70" s="1263"/>
      <c r="AM70" s="1262"/>
      <c r="AN70" s="1262"/>
      <c r="AO70" s="1262"/>
      <c r="AP70" s="1262"/>
      <c r="AQ70" s="1262"/>
      <c r="AR70" s="1262"/>
      <c r="AS70" s="1262"/>
      <c r="AT70" s="1262"/>
      <c r="AU70" s="1262"/>
      <c r="AV70" s="1262"/>
      <c r="AW70" s="1262"/>
      <c r="AX70" s="1262"/>
      <c r="AY70" s="1262"/>
      <c r="AZ70" s="1262"/>
      <c r="BA70" s="1262"/>
      <c r="BB70" s="1262"/>
      <c r="BC70" s="1262"/>
    </row>
    <row r="71" spans="1:55">
      <c r="A71" s="1262"/>
      <c r="B71" s="1262"/>
      <c r="C71" s="1262"/>
      <c r="D71" s="1263"/>
      <c r="E71" s="1263"/>
      <c r="F71" s="1263"/>
      <c r="G71" s="1263"/>
      <c r="H71" s="1263"/>
      <c r="I71" s="1263"/>
      <c r="J71" s="1263"/>
      <c r="K71" s="1263"/>
      <c r="L71" s="1263"/>
      <c r="M71" s="1263"/>
      <c r="N71" s="1263"/>
      <c r="O71" s="1263"/>
      <c r="P71" s="1263"/>
      <c r="Q71" s="1263"/>
      <c r="R71" s="1263"/>
      <c r="S71" s="1263"/>
      <c r="T71" s="1263"/>
      <c r="U71" s="1263"/>
      <c r="V71" s="1263"/>
      <c r="W71" s="1263"/>
      <c r="X71" s="1263"/>
      <c r="Y71" s="1263"/>
      <c r="Z71" s="1263"/>
      <c r="AA71" s="1263"/>
      <c r="AB71" s="1263"/>
      <c r="AC71" s="1263"/>
      <c r="AD71" s="1263"/>
      <c r="AE71" s="1263"/>
      <c r="AF71" s="1263"/>
      <c r="AG71" s="1263"/>
      <c r="AH71" s="1263"/>
      <c r="AI71" s="1263"/>
      <c r="AJ71" s="1263"/>
      <c r="AK71" s="1263"/>
      <c r="AL71" s="1263"/>
      <c r="AM71" s="1262"/>
      <c r="AN71" s="1262"/>
      <c r="AO71" s="1262"/>
      <c r="AP71" s="1262"/>
      <c r="AQ71" s="1262"/>
      <c r="AR71" s="1262"/>
      <c r="AS71" s="1262"/>
      <c r="AT71" s="1262"/>
      <c r="AU71" s="1262"/>
      <c r="AV71" s="1262"/>
      <c r="AW71" s="1262"/>
      <c r="AX71" s="1262"/>
      <c r="AY71" s="1262"/>
      <c r="AZ71" s="1262"/>
      <c r="BA71" s="1262"/>
      <c r="BB71" s="1262"/>
      <c r="BC71" s="1262"/>
    </row>
    <row r="72" spans="1:55">
      <c r="A72" s="1262"/>
      <c r="B72" s="1262"/>
      <c r="C72" s="1262"/>
      <c r="D72" s="1263"/>
      <c r="E72" s="1263"/>
      <c r="F72" s="1263"/>
      <c r="G72" s="1263"/>
      <c r="H72" s="1263"/>
      <c r="I72" s="1263"/>
      <c r="J72" s="1263"/>
      <c r="K72" s="1263"/>
      <c r="L72" s="1263"/>
      <c r="M72" s="1263"/>
      <c r="N72" s="1263"/>
      <c r="O72" s="1263"/>
      <c r="P72" s="1263"/>
      <c r="Q72" s="1263"/>
      <c r="R72" s="1263"/>
      <c r="S72" s="1263"/>
      <c r="T72" s="1263"/>
      <c r="U72" s="1263"/>
      <c r="V72" s="1263"/>
      <c r="W72" s="1263"/>
      <c r="X72" s="1263"/>
      <c r="Y72" s="1263"/>
      <c r="Z72" s="1263"/>
      <c r="AA72" s="1263"/>
      <c r="AB72" s="1263"/>
      <c r="AC72" s="1263"/>
      <c r="AD72" s="1263"/>
      <c r="AE72" s="1263"/>
      <c r="AF72" s="1263"/>
      <c r="AG72" s="1263"/>
      <c r="AH72" s="1263"/>
      <c r="AI72" s="1263"/>
      <c r="AJ72" s="1263"/>
      <c r="AK72" s="1263"/>
      <c r="AL72" s="1263"/>
      <c r="AM72" s="1262"/>
      <c r="AN72" s="1262"/>
      <c r="AO72" s="1262"/>
      <c r="AP72" s="1262"/>
      <c r="AQ72" s="1262"/>
      <c r="AR72" s="1262"/>
      <c r="AS72" s="1262"/>
      <c r="AT72" s="1262"/>
      <c r="AU72" s="1262"/>
      <c r="AV72" s="1262"/>
      <c r="AW72" s="1262"/>
      <c r="AX72" s="1262"/>
      <c r="AY72" s="1262"/>
      <c r="AZ72" s="1262"/>
      <c r="BA72" s="1262"/>
      <c r="BB72" s="1262"/>
      <c r="BC72" s="1262"/>
    </row>
    <row r="73" spans="1:55">
      <c r="A73" s="1262"/>
      <c r="B73" s="1262"/>
      <c r="C73" s="1262"/>
      <c r="D73" s="1263"/>
      <c r="E73" s="1263"/>
      <c r="F73" s="1263"/>
      <c r="G73" s="1263"/>
      <c r="H73" s="1263"/>
      <c r="I73" s="1263"/>
      <c r="J73" s="1263"/>
      <c r="K73" s="1263"/>
      <c r="L73" s="1263"/>
      <c r="M73" s="1263"/>
      <c r="N73" s="1263"/>
      <c r="O73" s="1263"/>
      <c r="P73" s="1263"/>
      <c r="Q73" s="1263"/>
      <c r="R73" s="1263"/>
      <c r="S73" s="1263"/>
      <c r="T73" s="1263"/>
      <c r="U73" s="1263"/>
      <c r="V73" s="1263"/>
      <c r="W73" s="1263"/>
      <c r="X73" s="1263"/>
      <c r="Y73" s="1263"/>
      <c r="Z73" s="1263"/>
      <c r="AA73" s="1263"/>
      <c r="AB73" s="1263"/>
      <c r="AC73" s="1263"/>
      <c r="AD73" s="1263"/>
      <c r="AE73" s="1263"/>
      <c r="AF73" s="1263"/>
      <c r="AG73" s="1263"/>
      <c r="AH73" s="1263"/>
      <c r="AI73" s="1263"/>
      <c r="AJ73" s="1263"/>
      <c r="AK73" s="1263"/>
      <c r="AL73" s="1263"/>
      <c r="AM73" s="1262"/>
      <c r="AN73" s="1262"/>
      <c r="AO73" s="1262"/>
      <c r="AP73" s="1262"/>
      <c r="AQ73" s="1262"/>
      <c r="AR73" s="1262"/>
      <c r="AS73" s="1262"/>
      <c r="AT73" s="1262"/>
      <c r="AU73" s="1262"/>
      <c r="AV73" s="1262"/>
      <c r="AW73" s="1262"/>
      <c r="AX73" s="1262"/>
      <c r="AY73" s="1262"/>
      <c r="AZ73" s="1262"/>
      <c r="BA73" s="1262"/>
      <c r="BB73" s="1262"/>
      <c r="BC73" s="1262"/>
    </row>
    <row r="74" spans="1:55">
      <c r="A74" s="1262"/>
      <c r="B74" s="1262"/>
      <c r="C74" s="1262"/>
      <c r="D74" s="1263"/>
      <c r="E74" s="1263"/>
      <c r="F74" s="1263"/>
      <c r="G74" s="1263"/>
      <c r="H74" s="1263"/>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2"/>
      <c r="AN74" s="1262"/>
      <c r="AO74" s="1262"/>
      <c r="AP74" s="1262"/>
      <c r="AQ74" s="1262"/>
      <c r="AR74" s="1262"/>
      <c r="AS74" s="1262"/>
      <c r="AT74" s="1262"/>
      <c r="AU74" s="1262"/>
      <c r="AV74" s="1262"/>
      <c r="AW74" s="1262"/>
      <c r="AX74" s="1262"/>
      <c r="AY74" s="1262"/>
      <c r="AZ74" s="1262"/>
      <c r="BA74" s="1262"/>
      <c r="BB74" s="1262"/>
      <c r="BC74" s="1262"/>
    </row>
    <row r="75" spans="1:55">
      <c r="A75" s="1262"/>
      <c r="B75" s="1262"/>
      <c r="C75" s="1262"/>
      <c r="D75" s="1263"/>
      <c r="E75" s="1263"/>
      <c r="F75" s="1263"/>
      <c r="G75" s="1263"/>
      <c r="H75" s="1263"/>
      <c r="I75" s="1263"/>
      <c r="J75" s="1263"/>
      <c r="K75" s="1263"/>
      <c r="L75" s="1263"/>
      <c r="M75" s="1263"/>
      <c r="N75" s="1263"/>
      <c r="O75" s="1263"/>
      <c r="P75" s="1263"/>
      <c r="Q75" s="1263"/>
      <c r="R75" s="1263"/>
      <c r="S75" s="1263"/>
      <c r="T75" s="1263"/>
      <c r="U75" s="1263"/>
      <c r="V75" s="1263"/>
      <c r="W75" s="1263"/>
      <c r="X75" s="1263"/>
      <c r="Y75" s="1263"/>
      <c r="Z75" s="1263"/>
      <c r="AA75" s="1263"/>
      <c r="AB75" s="1263"/>
      <c r="AC75" s="1263"/>
      <c r="AD75" s="1263"/>
      <c r="AE75" s="1263"/>
      <c r="AF75" s="1263"/>
      <c r="AG75" s="1263"/>
      <c r="AH75" s="1263"/>
      <c r="AI75" s="1263"/>
      <c r="AJ75" s="1263"/>
      <c r="AK75" s="1263"/>
      <c r="AL75" s="1263"/>
      <c r="AM75" s="1262"/>
      <c r="AN75" s="1262"/>
      <c r="AO75" s="1262"/>
      <c r="AP75" s="1262"/>
      <c r="AQ75" s="1262"/>
      <c r="AR75" s="1262"/>
      <c r="AS75" s="1262"/>
      <c r="AT75" s="1262"/>
      <c r="AU75" s="1262"/>
      <c r="AV75" s="1262"/>
      <c r="AW75" s="1262"/>
      <c r="AX75" s="1262"/>
      <c r="AY75" s="1262"/>
      <c r="AZ75" s="1262"/>
      <c r="BA75" s="1262"/>
      <c r="BB75" s="1262"/>
      <c r="BC75" s="1262"/>
    </row>
    <row r="76" spans="1:55">
      <c r="A76" s="1262"/>
      <c r="B76" s="1262"/>
      <c r="C76" s="1262"/>
      <c r="D76" s="1263"/>
      <c r="E76" s="1263"/>
      <c r="F76" s="1263"/>
      <c r="G76" s="1263"/>
      <c r="H76" s="1263"/>
      <c r="I76" s="1263"/>
      <c r="J76" s="1263"/>
      <c r="K76" s="1263"/>
      <c r="L76" s="1263"/>
      <c r="M76" s="1263"/>
      <c r="N76" s="1263"/>
      <c r="O76" s="1263"/>
      <c r="P76" s="1263"/>
      <c r="Q76" s="1263"/>
      <c r="R76" s="1263"/>
      <c r="S76" s="1263"/>
      <c r="T76" s="1263"/>
      <c r="U76" s="1263"/>
      <c r="V76" s="1263"/>
      <c r="W76" s="1263"/>
      <c r="X76" s="1263"/>
      <c r="Y76" s="1263"/>
      <c r="Z76" s="1263"/>
      <c r="AA76" s="1263"/>
      <c r="AB76" s="1263"/>
      <c r="AC76" s="1263"/>
      <c r="AD76" s="1263"/>
      <c r="AE76" s="1263"/>
      <c r="AF76" s="1263"/>
      <c r="AG76" s="1263"/>
      <c r="AH76" s="1263"/>
      <c r="AI76" s="1263"/>
      <c r="AJ76" s="1263"/>
      <c r="AK76" s="1263"/>
      <c r="AL76" s="1263"/>
      <c r="AM76" s="1262"/>
      <c r="AN76" s="1262"/>
      <c r="AO76" s="1262"/>
      <c r="AP76" s="1262"/>
      <c r="AQ76" s="1262"/>
      <c r="AR76" s="1262"/>
      <c r="AS76" s="1262"/>
      <c r="AT76" s="1262"/>
      <c r="AU76" s="1262"/>
      <c r="AV76" s="1262"/>
      <c r="AW76" s="1262"/>
      <c r="AX76" s="1262"/>
      <c r="AY76" s="1262"/>
      <c r="AZ76" s="1262"/>
      <c r="BA76" s="1262"/>
      <c r="BB76" s="1262"/>
      <c r="BC76" s="1262"/>
    </row>
    <row r="77" spans="1:55">
      <c r="A77" s="1262"/>
      <c r="B77" s="1262"/>
      <c r="C77" s="1262"/>
      <c r="D77" s="1263"/>
      <c r="E77" s="1263"/>
      <c r="F77" s="1263"/>
      <c r="G77" s="1263"/>
      <c r="H77" s="1263"/>
      <c r="I77" s="1263"/>
      <c r="J77" s="1263"/>
      <c r="K77" s="1263"/>
      <c r="L77" s="1263"/>
      <c r="M77" s="1263"/>
      <c r="N77" s="1263"/>
      <c r="O77" s="1263"/>
      <c r="P77" s="1263"/>
      <c r="Q77" s="1263"/>
      <c r="R77" s="1263"/>
      <c r="S77" s="1263"/>
      <c r="T77" s="1263"/>
      <c r="U77" s="1263"/>
      <c r="V77" s="1263"/>
      <c r="W77" s="1263"/>
      <c r="X77" s="1263"/>
      <c r="Y77" s="1263"/>
      <c r="Z77" s="1263"/>
      <c r="AA77" s="1263"/>
      <c r="AB77" s="1263"/>
      <c r="AC77" s="1263"/>
      <c r="AD77" s="1263"/>
      <c r="AE77" s="1263"/>
      <c r="AF77" s="1263"/>
      <c r="AG77" s="1263"/>
      <c r="AH77" s="1263"/>
      <c r="AI77" s="1263"/>
      <c r="AJ77" s="1263"/>
      <c r="AK77" s="1263"/>
      <c r="AL77" s="1263"/>
      <c r="AM77" s="1262"/>
      <c r="AN77" s="1262"/>
      <c r="AO77" s="1262"/>
      <c r="AP77" s="1262"/>
      <c r="AQ77" s="1262"/>
      <c r="AR77" s="1262"/>
      <c r="AS77" s="1262"/>
      <c r="AT77" s="1262"/>
      <c r="AU77" s="1262"/>
      <c r="AV77" s="1262"/>
      <c r="AW77" s="1262"/>
      <c r="AX77" s="1262"/>
      <c r="AY77" s="1262"/>
      <c r="AZ77" s="1262"/>
      <c r="BA77" s="1262"/>
      <c r="BB77" s="1262"/>
      <c r="BC77" s="1262"/>
    </row>
    <row r="78" spans="1:55">
      <c r="A78" s="1262"/>
      <c r="B78" s="1262"/>
      <c r="C78" s="1262"/>
      <c r="D78" s="1263"/>
      <c r="E78" s="1263"/>
      <c r="F78" s="1263"/>
      <c r="G78" s="1263"/>
      <c r="H78" s="1263"/>
      <c r="I78" s="1263"/>
      <c r="J78" s="1263"/>
      <c r="K78" s="1263"/>
      <c r="L78" s="1263"/>
      <c r="M78" s="1263"/>
      <c r="N78" s="1263"/>
      <c r="O78" s="1263"/>
      <c r="P78" s="1263"/>
      <c r="Q78" s="1263"/>
      <c r="R78" s="1263"/>
      <c r="S78" s="1263"/>
      <c r="T78" s="1263"/>
      <c r="U78" s="1263"/>
      <c r="V78" s="1263"/>
      <c r="W78" s="1263"/>
      <c r="X78" s="1263"/>
      <c r="Y78" s="1263"/>
      <c r="Z78" s="1263"/>
      <c r="AA78" s="1263"/>
      <c r="AB78" s="1263"/>
      <c r="AC78" s="1263"/>
      <c r="AD78" s="1263"/>
      <c r="AE78" s="1263"/>
      <c r="AF78" s="1263"/>
      <c r="AG78" s="1263"/>
      <c r="AH78" s="1263"/>
      <c r="AI78" s="1263"/>
      <c r="AJ78" s="1263"/>
      <c r="AK78" s="1263"/>
      <c r="AL78" s="1263"/>
      <c r="AM78" s="1262"/>
      <c r="AN78" s="1262"/>
      <c r="AO78" s="1262"/>
      <c r="AP78" s="1262"/>
      <c r="AQ78" s="1262"/>
      <c r="AR78" s="1262"/>
      <c r="AS78" s="1262"/>
      <c r="AT78" s="1262"/>
      <c r="AU78" s="1262"/>
      <c r="AV78" s="1262"/>
      <c r="AW78" s="1262"/>
      <c r="AX78" s="1262"/>
      <c r="AY78" s="1262"/>
      <c r="AZ78" s="1262"/>
      <c r="BA78" s="1262"/>
      <c r="BB78" s="1262"/>
      <c r="BC78" s="1262"/>
    </row>
    <row r="79" spans="1:55">
      <c r="A79" s="1262"/>
      <c r="B79" s="1262"/>
      <c r="C79" s="1262"/>
      <c r="D79" s="1263"/>
      <c r="E79" s="1263"/>
      <c r="F79" s="1263"/>
      <c r="G79" s="1263"/>
      <c r="H79" s="1263"/>
      <c r="I79" s="1263"/>
      <c r="J79" s="1263"/>
      <c r="K79" s="1263"/>
      <c r="L79" s="1263"/>
      <c r="M79" s="1263"/>
      <c r="N79" s="1263"/>
      <c r="O79" s="1263"/>
      <c r="P79" s="1263"/>
      <c r="Q79" s="1263"/>
      <c r="R79" s="1263"/>
      <c r="S79" s="1263"/>
      <c r="T79" s="1263"/>
      <c r="U79" s="1263"/>
      <c r="V79" s="1263"/>
      <c r="W79" s="1263"/>
      <c r="X79" s="1263"/>
      <c r="Y79" s="1263"/>
      <c r="Z79" s="1263"/>
      <c r="AA79" s="1263"/>
      <c r="AB79" s="1263"/>
      <c r="AC79" s="1263"/>
      <c r="AD79" s="1263"/>
      <c r="AE79" s="1263"/>
      <c r="AF79" s="1263"/>
      <c r="AG79" s="1263"/>
      <c r="AH79" s="1263"/>
      <c r="AI79" s="1263"/>
      <c r="AJ79" s="1263"/>
      <c r="AK79" s="1263"/>
      <c r="AL79" s="1263"/>
      <c r="AM79" s="1262"/>
      <c r="AN79" s="1262"/>
      <c r="AO79" s="1262"/>
      <c r="AP79" s="1262"/>
      <c r="AQ79" s="1262"/>
      <c r="AR79" s="1262"/>
      <c r="AS79" s="1262"/>
      <c r="AT79" s="1262"/>
      <c r="AU79" s="1262"/>
      <c r="AV79" s="1262"/>
      <c r="AW79" s="1262"/>
      <c r="AX79" s="1262"/>
      <c r="AY79" s="1262"/>
      <c r="AZ79" s="1262"/>
      <c r="BA79" s="1262"/>
      <c r="BB79" s="1262"/>
      <c r="BC79" s="1262"/>
    </row>
    <row r="80" spans="1:55">
      <c r="A80" s="1262"/>
      <c r="B80" s="1262"/>
      <c r="C80" s="1262"/>
      <c r="D80" s="1263"/>
      <c r="E80" s="1263"/>
      <c r="F80" s="1263"/>
      <c r="G80" s="1263"/>
      <c r="H80" s="1263"/>
      <c r="I80" s="1263"/>
      <c r="J80" s="1263"/>
      <c r="K80" s="1263"/>
      <c r="L80" s="1263"/>
      <c r="M80" s="1263"/>
      <c r="N80" s="1263"/>
      <c r="O80" s="1263"/>
      <c r="P80" s="1263"/>
      <c r="Q80" s="1263"/>
      <c r="R80" s="1263"/>
      <c r="S80" s="1263"/>
      <c r="T80" s="1263"/>
      <c r="U80" s="1263"/>
      <c r="V80" s="1263"/>
      <c r="W80" s="1263"/>
      <c r="X80" s="1263"/>
      <c r="Y80" s="1263"/>
      <c r="Z80" s="1263"/>
      <c r="AA80" s="1263"/>
      <c r="AB80" s="1263"/>
      <c r="AC80" s="1263"/>
      <c r="AD80" s="1263"/>
      <c r="AE80" s="1263"/>
      <c r="AF80" s="1263"/>
      <c r="AG80" s="1263"/>
      <c r="AH80" s="1263"/>
      <c r="AI80" s="1263"/>
      <c r="AJ80" s="1263"/>
      <c r="AK80" s="1263"/>
      <c r="AL80" s="1263"/>
      <c r="AM80" s="1262"/>
      <c r="AN80" s="1262"/>
      <c r="AO80" s="1262"/>
      <c r="AP80" s="1262"/>
      <c r="AQ80" s="1262"/>
      <c r="AR80" s="1262"/>
      <c r="AS80" s="1262"/>
      <c r="AT80" s="1262"/>
      <c r="AU80" s="1262"/>
      <c r="AV80" s="1262"/>
      <c r="AW80" s="1262"/>
      <c r="AX80" s="1262"/>
      <c r="AY80" s="1262"/>
      <c r="AZ80" s="1262"/>
      <c r="BA80" s="1262"/>
      <c r="BB80" s="1262"/>
      <c r="BC80" s="1262"/>
    </row>
    <row r="81" spans="1:55">
      <c r="A81" s="1262"/>
      <c r="B81" s="1262"/>
      <c r="C81" s="1262"/>
      <c r="D81" s="1263"/>
      <c r="E81" s="1263"/>
      <c r="F81" s="1263"/>
      <c r="G81" s="1263"/>
      <c r="H81" s="1263"/>
      <c r="I81" s="1263"/>
      <c r="J81" s="1263"/>
      <c r="K81" s="1263"/>
      <c r="L81" s="1263"/>
      <c r="M81" s="1263"/>
      <c r="N81" s="1263"/>
      <c r="O81" s="1263"/>
      <c r="P81" s="1263"/>
      <c r="Q81" s="1263"/>
      <c r="R81" s="1263"/>
      <c r="S81" s="1263"/>
      <c r="T81" s="1263"/>
      <c r="U81" s="1263"/>
      <c r="V81" s="1263"/>
      <c r="W81" s="1263"/>
      <c r="X81" s="1263"/>
      <c r="Y81" s="1263"/>
      <c r="Z81" s="1263"/>
      <c r="AA81" s="1263"/>
      <c r="AB81" s="1263"/>
      <c r="AC81" s="1263"/>
      <c r="AD81" s="1263"/>
      <c r="AE81" s="1263"/>
      <c r="AF81" s="1263"/>
      <c r="AG81" s="1263"/>
      <c r="AH81" s="1263"/>
      <c r="AI81" s="1263"/>
      <c r="AJ81" s="1263"/>
      <c r="AK81" s="1263"/>
      <c r="AL81" s="1263"/>
      <c r="AM81" s="1262"/>
      <c r="AN81" s="1262"/>
      <c r="AO81" s="1262"/>
      <c r="AP81" s="1262"/>
      <c r="AQ81" s="1262"/>
      <c r="AR81" s="1262"/>
      <c r="AS81" s="1262"/>
      <c r="AT81" s="1262"/>
      <c r="AU81" s="1262"/>
      <c r="AV81" s="1262"/>
      <c r="AW81" s="1262"/>
      <c r="AX81" s="1262"/>
      <c r="AY81" s="1262"/>
      <c r="AZ81" s="1262"/>
      <c r="BA81" s="1262"/>
      <c r="BB81" s="1262"/>
      <c r="BC81" s="1262"/>
    </row>
    <row r="82" spans="1:55">
      <c r="A82" s="1262"/>
      <c r="B82" s="1262"/>
      <c r="C82" s="1262"/>
      <c r="D82" s="1263"/>
      <c r="E82" s="1263"/>
      <c r="F82" s="1263"/>
      <c r="G82" s="1263"/>
      <c r="H82" s="1263"/>
      <c r="I82" s="1263"/>
      <c r="J82" s="1263"/>
      <c r="K82" s="1263"/>
      <c r="L82" s="1263"/>
      <c r="M82" s="1263"/>
      <c r="N82" s="1263"/>
      <c r="O82" s="1263"/>
      <c r="P82" s="1263"/>
      <c r="Q82" s="1263"/>
      <c r="R82" s="1263"/>
      <c r="S82" s="1263"/>
      <c r="T82" s="1263"/>
      <c r="U82" s="1263"/>
      <c r="V82" s="1263"/>
      <c r="W82" s="1263"/>
      <c r="X82" s="1263"/>
      <c r="Y82" s="1263"/>
      <c r="Z82" s="1263"/>
      <c r="AA82" s="1263"/>
      <c r="AB82" s="1263"/>
      <c r="AC82" s="1263"/>
      <c r="AD82" s="1263"/>
      <c r="AE82" s="1263"/>
      <c r="AF82" s="1263"/>
      <c r="AG82" s="1263"/>
      <c r="AH82" s="1263"/>
      <c r="AI82" s="1263"/>
      <c r="AJ82" s="1263"/>
      <c r="AK82" s="1263"/>
      <c r="AL82" s="1263"/>
      <c r="AM82" s="1262"/>
      <c r="AN82" s="1262"/>
      <c r="AO82" s="1262"/>
      <c r="AP82" s="1262"/>
      <c r="AQ82" s="1262"/>
      <c r="AR82" s="1262"/>
      <c r="AS82" s="1262"/>
      <c r="AT82" s="1262"/>
      <c r="AU82" s="1262"/>
      <c r="AV82" s="1262"/>
      <c r="AW82" s="1262"/>
      <c r="AX82" s="1262"/>
      <c r="AY82" s="1262"/>
      <c r="AZ82" s="1262"/>
      <c r="BA82" s="1262"/>
      <c r="BB82" s="1262"/>
      <c r="BC82" s="1262"/>
    </row>
    <row r="83" spans="1:55">
      <c r="A83" s="1262"/>
      <c r="B83" s="1262"/>
      <c r="C83" s="1262"/>
      <c r="D83" s="1263"/>
      <c r="E83" s="1263"/>
      <c r="F83" s="1263"/>
      <c r="G83" s="1263"/>
      <c r="H83" s="1263"/>
      <c r="I83" s="1263"/>
      <c r="J83" s="1263"/>
      <c r="K83" s="1263"/>
      <c r="L83" s="1263"/>
      <c r="M83" s="1263"/>
      <c r="N83" s="1263"/>
      <c r="O83" s="1263"/>
      <c r="P83" s="1263"/>
      <c r="Q83" s="1263"/>
      <c r="R83" s="1263"/>
      <c r="S83" s="1263"/>
      <c r="T83" s="1263"/>
      <c r="U83" s="1263"/>
      <c r="V83" s="1263"/>
      <c r="W83" s="1263"/>
      <c r="X83" s="1263"/>
      <c r="Y83" s="1263"/>
      <c r="Z83" s="1263"/>
      <c r="AA83" s="1263"/>
      <c r="AB83" s="1263"/>
      <c r="AC83" s="1263"/>
      <c r="AD83" s="1263"/>
      <c r="AE83" s="1263"/>
      <c r="AF83" s="1263"/>
      <c r="AG83" s="1263"/>
      <c r="AH83" s="1263"/>
      <c r="AI83" s="1263"/>
      <c r="AJ83" s="1263"/>
      <c r="AK83" s="1263"/>
      <c r="AL83" s="1263"/>
      <c r="AM83" s="1262"/>
      <c r="AN83" s="1262"/>
      <c r="AO83" s="1262"/>
      <c r="AP83" s="1262"/>
      <c r="AQ83" s="1262"/>
      <c r="AR83" s="1262"/>
      <c r="AS83" s="1262"/>
      <c r="AT83" s="1262"/>
      <c r="AU83" s="1262"/>
      <c r="AV83" s="1262"/>
      <c r="AW83" s="1262"/>
      <c r="AX83" s="1262"/>
      <c r="AY83" s="1262"/>
      <c r="AZ83" s="1262"/>
      <c r="BA83" s="1262"/>
      <c r="BB83" s="1262"/>
      <c r="BC83" s="1262"/>
    </row>
  </sheetData>
  <sheetProtection algorithmName="SHA-512" hashValue="T1gkkjgxA3rsx5b7fNAU7AxTfzVepa+eatx/8lF/QlGgZbyt5ySa4u4GqDAgkhuAKM1DACZO6GHH6/XYpXB1Aw==" saltValue="+KtWzPHn4MF0qFUrXhstdw==" spinCount="100000" sheet="1" objects="1" scenarios="1"/>
  <customSheetViews>
    <customSheetView guid="{6EFEFCA0-BF14-457A-85A3-29CBF2A862A5}" showGridLines="0" fitToPage="1">
      <selection sqref="A1:AQ69"/>
      <pageMargins left="0.23622047244094491" right="0.23622047244094491" top="0.19685039370078741" bottom="0.19685039370078741" header="0" footer="0.11811023622047245"/>
      <printOptions horizontalCentered="1" verticalCentered="1"/>
      <pageSetup paperSize="9" scale="59" orientation="portrait" r:id="rId1"/>
      <headerFooter>
        <oddFooter>&amp;L&amp;10&amp;F &amp;A&amp;R&amp;10Page 53 of 61</oddFooter>
      </headerFooter>
    </customSheetView>
  </customSheetViews>
  <mergeCells count="153">
    <mergeCell ref="F4:AK4"/>
    <mergeCell ref="E5:AG5"/>
    <mergeCell ref="F7:AK8"/>
    <mergeCell ref="E10:AK10"/>
    <mergeCell ref="E12:L12"/>
    <mergeCell ref="M12:P12"/>
    <mergeCell ref="Q12:T12"/>
    <mergeCell ref="Z12:AG12"/>
    <mergeCell ref="AH12:AK12"/>
    <mergeCell ref="AI5:AK5"/>
    <mergeCell ref="E15:L16"/>
    <mergeCell ref="M15:P16"/>
    <mergeCell ref="Q15:T16"/>
    <mergeCell ref="Z15:AG15"/>
    <mergeCell ref="AH15:AK15"/>
    <mergeCell ref="Z16:AG16"/>
    <mergeCell ref="AH16:AK16"/>
    <mergeCell ref="E13:L14"/>
    <mergeCell ref="M13:P14"/>
    <mergeCell ref="Q13:T14"/>
    <mergeCell ref="Z13:AG13"/>
    <mergeCell ref="AH13:AK13"/>
    <mergeCell ref="Z14:AG14"/>
    <mergeCell ref="AH14:AK14"/>
    <mergeCell ref="E17:L18"/>
    <mergeCell ref="M17:P18"/>
    <mergeCell ref="Q17:T18"/>
    <mergeCell ref="Z17:AG17"/>
    <mergeCell ref="AH17:AK17"/>
    <mergeCell ref="Z18:AG19"/>
    <mergeCell ref="AH18:AK19"/>
    <mergeCell ref="E19:L20"/>
    <mergeCell ref="M19:P20"/>
    <mergeCell ref="Q19:T20"/>
    <mergeCell ref="E23:L23"/>
    <mergeCell ref="M23:P23"/>
    <mergeCell ref="Q23:T23"/>
    <mergeCell ref="Z23:AG23"/>
    <mergeCell ref="AH23:AK23"/>
    <mergeCell ref="E24:L25"/>
    <mergeCell ref="M24:P25"/>
    <mergeCell ref="Q24:T25"/>
    <mergeCell ref="Z20:AG20"/>
    <mergeCell ref="AH20:AK20"/>
    <mergeCell ref="E21:L21"/>
    <mergeCell ref="M21:P21"/>
    <mergeCell ref="Q21:T21"/>
    <mergeCell ref="Z21:AG22"/>
    <mergeCell ref="AH21:AK22"/>
    <mergeCell ref="E22:L22"/>
    <mergeCell ref="M22:P22"/>
    <mergeCell ref="Q22:T22"/>
    <mergeCell ref="F32:N32"/>
    <mergeCell ref="O32:Q32"/>
    <mergeCell ref="R32:T32"/>
    <mergeCell ref="F34:AL35"/>
    <mergeCell ref="F36:AL37"/>
    <mergeCell ref="E39:T39"/>
    <mergeCell ref="Z39:AM39"/>
    <mergeCell ref="E27:V27"/>
    <mergeCell ref="E29:N30"/>
    <mergeCell ref="O29:T29"/>
    <mergeCell ref="O30:Q30"/>
    <mergeCell ref="R30:T30"/>
    <mergeCell ref="F31:N31"/>
    <mergeCell ref="O31:Q31"/>
    <mergeCell ref="R31:T31"/>
    <mergeCell ref="F42:K42"/>
    <mergeCell ref="M42:Q42"/>
    <mergeCell ref="AA42:AF42"/>
    <mergeCell ref="AH42:AL42"/>
    <mergeCell ref="F43:K43"/>
    <mergeCell ref="M43:Q43"/>
    <mergeCell ref="AA43:AF43"/>
    <mergeCell ref="AH43:AL43"/>
    <mergeCell ref="E40:L40"/>
    <mergeCell ref="M40:Q40"/>
    <mergeCell ref="Z40:AG40"/>
    <mergeCell ref="AH40:AL40"/>
    <mergeCell ref="F41:K41"/>
    <mergeCell ref="M41:Q41"/>
    <mergeCell ref="AA41:AF41"/>
    <mergeCell ref="AH41:AL41"/>
    <mergeCell ref="F44:K44"/>
    <mergeCell ref="M44:Q44"/>
    <mergeCell ref="AA44:AF44"/>
    <mergeCell ref="AH44:AL44"/>
    <mergeCell ref="F45:K45"/>
    <mergeCell ref="M45:Q45"/>
    <mergeCell ref="AA45:AF46"/>
    <mergeCell ref="AH45:AL46"/>
    <mergeCell ref="F46:K46"/>
    <mergeCell ref="M46:Q46"/>
    <mergeCell ref="E49:AB49"/>
    <mergeCell ref="E51:N52"/>
    <mergeCell ref="O51:T51"/>
    <mergeCell ref="U51:Z51"/>
    <mergeCell ref="AA51:AF51"/>
    <mergeCell ref="AG51:AL51"/>
    <mergeCell ref="O52:Q52"/>
    <mergeCell ref="R52:T52"/>
    <mergeCell ref="U52:W52"/>
    <mergeCell ref="X52:Z52"/>
    <mergeCell ref="AA52:AC52"/>
    <mergeCell ref="AD52:AF52"/>
    <mergeCell ref="AG52:AI52"/>
    <mergeCell ref="AJ52:AL52"/>
    <mergeCell ref="F53:N53"/>
    <mergeCell ref="O53:Q53"/>
    <mergeCell ref="R53:T53"/>
    <mergeCell ref="U53:W53"/>
    <mergeCell ref="X53:Z53"/>
    <mergeCell ref="AA53:AC53"/>
    <mergeCell ref="AD53:AF53"/>
    <mergeCell ref="AG53:AI53"/>
    <mergeCell ref="AJ53:AL53"/>
    <mergeCell ref="F54:N54"/>
    <mergeCell ref="O54:Q54"/>
    <mergeCell ref="R54:T54"/>
    <mergeCell ref="U54:W54"/>
    <mergeCell ref="X54:Z54"/>
    <mergeCell ref="AA54:AC54"/>
    <mergeCell ref="AD54:AF54"/>
    <mergeCell ref="AG54:AI54"/>
    <mergeCell ref="AJ54:AL54"/>
    <mergeCell ref="F55:N55"/>
    <mergeCell ref="O55:Q55"/>
    <mergeCell ref="R55:T55"/>
    <mergeCell ref="U55:W55"/>
    <mergeCell ref="X55:Z55"/>
    <mergeCell ref="AA55:AC55"/>
    <mergeCell ref="AD55:AF55"/>
    <mergeCell ref="AG55:AI55"/>
    <mergeCell ref="AJ55:AL55"/>
    <mergeCell ref="G56:N56"/>
    <mergeCell ref="O56:Q56"/>
    <mergeCell ref="R56:T56"/>
    <mergeCell ref="U56:W56"/>
    <mergeCell ref="X56:Z56"/>
    <mergeCell ref="AA56:AC56"/>
    <mergeCell ref="AD56:AF56"/>
    <mergeCell ref="AG56:AI56"/>
    <mergeCell ref="AJ56:AL56"/>
    <mergeCell ref="F67:M67"/>
    <mergeCell ref="V67:AA67"/>
    <mergeCell ref="AD67:AO67"/>
    <mergeCell ref="I58:AL58"/>
    <mergeCell ref="I59:AL59"/>
    <mergeCell ref="F65:M65"/>
    <mergeCell ref="P65:AA65"/>
    <mergeCell ref="AD65:AO66"/>
    <mergeCell ref="F66:M66"/>
    <mergeCell ref="P66:AA66"/>
  </mergeCells>
  <dataValidations count="4">
    <dataValidation type="whole" allowBlank="1" showInputMessage="1" showErrorMessage="1" errorTitle="GSHSP SY 2022-2023" error="Please enter valid number between 0-999." sqref="AI5:AK5 O31:T32 AH13:AK23 M13:P25" xr:uid="{4FD60886-8C45-449B-B175-AC89E0E492CC}">
      <formula1>0</formula1>
      <formula2>999</formula2>
    </dataValidation>
    <dataValidation type="whole" allowBlank="1" showInputMessage="1" showErrorMessage="1" errorTitle="GSHSP SY 2022-2023" error="Please enter valid number between 0-365." sqref="M41:Q46 AH41:AL46" xr:uid="{CA85DBB1-8D4B-4CEA-8DF9-3413382B5D7C}">
      <formula1>0</formula1>
      <formula2>365</formula2>
    </dataValidation>
    <dataValidation type="whole" allowBlank="1" showInputMessage="1" showErrorMessage="1" errorTitle="GSHSP SY 2022-2023" error="Please enter valid number between 0-20,000." sqref="O53:AL56" xr:uid="{1CA28ECF-722D-46C8-BF8A-D0B4DEE0E646}">
      <formula1>0</formula1>
      <formula2>20000</formula2>
    </dataValidation>
    <dataValidation type="date" allowBlank="1" showInputMessage="1" showErrorMessage="1" errorTitle="GSHSP SY 2022-2023" error="Please enter date in M/D/YYYY or D/M/YYYY format (depend on your computer’s date)." sqref="Q13:T25" xr:uid="{A9F42E01-3731-4416-957B-F393BAAF15A4}">
      <formula1>36892</formula1>
      <formula2>45046</formula2>
    </dataValidation>
  </dataValidations>
  <printOptions horizontalCentered="1" verticalCentered="1"/>
  <pageMargins left="0.23622047244094491" right="0.23622047244094491" top="0.19685039370078741" bottom="0.19685039370078741" header="0" footer="0.11811023622047245"/>
  <pageSetup paperSize="9" scale="59" orientation="portrait" r:id="rId2"/>
  <headerFooter>
    <oddFooter>&amp;L&amp;10&amp;F &amp;A&amp;R&amp;10Page 53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93185" r:id="rId5" name="Check Box 1">
              <controlPr defaultSize="0" autoFill="0" autoLine="0" autoPict="0">
                <anchor moveWithCells="1">
                  <from>
                    <xdr:col>4</xdr:col>
                    <xdr:colOff>28575</xdr:colOff>
                    <xdr:row>3</xdr:row>
                    <xdr:rowOff>28575</xdr:rowOff>
                  </from>
                  <to>
                    <xdr:col>4</xdr:col>
                    <xdr:colOff>238125</xdr:colOff>
                    <xdr:row>3</xdr:row>
                    <xdr:rowOff>266700</xdr:rowOff>
                  </to>
                </anchor>
              </controlPr>
            </control>
          </mc:Choice>
        </mc:AlternateContent>
        <mc:AlternateContent xmlns:mc="http://schemas.openxmlformats.org/markup-compatibility/2006">
          <mc:Choice Requires="x14">
            <control shapeId="93186" r:id="rId6" name="Check Box 2">
              <controlPr defaultSize="0" autoFill="0" autoLine="0" autoPict="0">
                <anchor moveWithCells="1">
                  <from>
                    <xdr:col>4</xdr:col>
                    <xdr:colOff>28575</xdr:colOff>
                    <xdr:row>5</xdr:row>
                    <xdr:rowOff>66675</xdr:rowOff>
                  </from>
                  <to>
                    <xdr:col>5</xdr:col>
                    <xdr:colOff>0</xdr:colOff>
                    <xdr:row>7</xdr:row>
                    <xdr:rowOff>28575</xdr:rowOff>
                  </to>
                </anchor>
              </controlPr>
            </control>
          </mc:Choice>
        </mc:AlternateContent>
        <mc:AlternateContent xmlns:mc="http://schemas.openxmlformats.org/markup-compatibility/2006">
          <mc:Choice Requires="x14">
            <control shapeId="93188" r:id="rId7" name="Check Box 4">
              <controlPr defaultSize="0" autoFill="0" autoLine="0" autoPict="0">
                <anchor moveWithCells="1">
                  <from>
                    <xdr:col>4</xdr:col>
                    <xdr:colOff>38100</xdr:colOff>
                    <xdr:row>32</xdr:row>
                    <xdr:rowOff>104775</xdr:rowOff>
                  </from>
                  <to>
                    <xdr:col>5</xdr:col>
                    <xdr:colOff>0</xdr:colOff>
                    <xdr:row>34</xdr:row>
                    <xdr:rowOff>28575</xdr:rowOff>
                  </to>
                </anchor>
              </controlPr>
            </control>
          </mc:Choice>
        </mc:AlternateContent>
        <mc:AlternateContent xmlns:mc="http://schemas.openxmlformats.org/markup-compatibility/2006">
          <mc:Choice Requires="x14">
            <control shapeId="93189" r:id="rId8" name="Check Box 5">
              <controlPr defaultSize="0" autoFill="0" autoLine="0" autoPict="0">
                <anchor moveWithCells="1">
                  <from>
                    <xdr:col>4</xdr:col>
                    <xdr:colOff>28575</xdr:colOff>
                    <xdr:row>35</xdr:row>
                    <xdr:rowOff>0</xdr:rowOff>
                  </from>
                  <to>
                    <xdr:col>5</xdr:col>
                    <xdr:colOff>9525</xdr:colOff>
                    <xdr:row>36</xdr:row>
                    <xdr:rowOff>9525</xdr:rowOff>
                  </to>
                </anchor>
              </controlPr>
            </control>
          </mc:Choice>
        </mc:AlternateContent>
        <mc:AlternateContent xmlns:mc="http://schemas.openxmlformats.org/markup-compatibility/2006">
          <mc:Choice Requires="x14">
            <control shapeId="93191" r:id="rId9" name="Check Box 7">
              <controlPr defaultSize="0" autoFill="0" autoLine="0" autoPict="0">
                <anchor moveWithCells="1">
                  <from>
                    <xdr:col>4</xdr:col>
                    <xdr:colOff>38100</xdr:colOff>
                    <xdr:row>40</xdr:row>
                    <xdr:rowOff>9525</xdr:rowOff>
                  </from>
                  <to>
                    <xdr:col>4</xdr:col>
                    <xdr:colOff>257175</xdr:colOff>
                    <xdr:row>40</xdr:row>
                    <xdr:rowOff>238125</xdr:rowOff>
                  </to>
                </anchor>
              </controlPr>
            </control>
          </mc:Choice>
        </mc:AlternateContent>
        <mc:AlternateContent xmlns:mc="http://schemas.openxmlformats.org/markup-compatibility/2006">
          <mc:Choice Requires="x14">
            <control shapeId="93192" r:id="rId10" name="Check Box 8">
              <controlPr defaultSize="0" autoFill="0" autoLine="0" autoPict="0">
                <anchor moveWithCells="1">
                  <from>
                    <xdr:col>4</xdr:col>
                    <xdr:colOff>38100</xdr:colOff>
                    <xdr:row>41</xdr:row>
                    <xdr:rowOff>9525</xdr:rowOff>
                  </from>
                  <to>
                    <xdr:col>5</xdr:col>
                    <xdr:colOff>0</xdr:colOff>
                    <xdr:row>42</xdr:row>
                    <xdr:rowOff>28575</xdr:rowOff>
                  </to>
                </anchor>
              </controlPr>
            </control>
          </mc:Choice>
        </mc:AlternateContent>
        <mc:AlternateContent xmlns:mc="http://schemas.openxmlformats.org/markup-compatibility/2006">
          <mc:Choice Requires="x14">
            <control shapeId="93193" r:id="rId11" name="Check Box 9">
              <controlPr defaultSize="0" autoFill="0" autoLine="0" autoPict="0">
                <anchor moveWithCells="1">
                  <from>
                    <xdr:col>4</xdr:col>
                    <xdr:colOff>28575</xdr:colOff>
                    <xdr:row>42</xdr:row>
                    <xdr:rowOff>38100</xdr:rowOff>
                  </from>
                  <to>
                    <xdr:col>4</xdr:col>
                    <xdr:colOff>266700</xdr:colOff>
                    <xdr:row>42</xdr:row>
                    <xdr:rowOff>219075</xdr:rowOff>
                  </to>
                </anchor>
              </controlPr>
            </control>
          </mc:Choice>
        </mc:AlternateContent>
        <mc:AlternateContent xmlns:mc="http://schemas.openxmlformats.org/markup-compatibility/2006">
          <mc:Choice Requires="x14">
            <control shapeId="93194" r:id="rId12" name="Check Box 10">
              <controlPr defaultSize="0" autoFill="0" autoLine="0" autoPict="0">
                <anchor moveWithCells="1">
                  <from>
                    <xdr:col>4</xdr:col>
                    <xdr:colOff>28575</xdr:colOff>
                    <xdr:row>43</xdr:row>
                    <xdr:rowOff>28575</xdr:rowOff>
                  </from>
                  <to>
                    <xdr:col>4</xdr:col>
                    <xdr:colOff>257175</xdr:colOff>
                    <xdr:row>43</xdr:row>
                    <xdr:rowOff>238125</xdr:rowOff>
                  </to>
                </anchor>
              </controlPr>
            </control>
          </mc:Choice>
        </mc:AlternateContent>
        <mc:AlternateContent xmlns:mc="http://schemas.openxmlformats.org/markup-compatibility/2006">
          <mc:Choice Requires="x14">
            <control shapeId="93195" r:id="rId13" name="Check Box 11">
              <controlPr defaultSize="0" autoFill="0" autoLine="0" autoPict="0">
                <anchor moveWithCells="1">
                  <from>
                    <xdr:col>4</xdr:col>
                    <xdr:colOff>28575</xdr:colOff>
                    <xdr:row>44</xdr:row>
                    <xdr:rowOff>28575</xdr:rowOff>
                  </from>
                  <to>
                    <xdr:col>5</xdr:col>
                    <xdr:colOff>0</xdr:colOff>
                    <xdr:row>44</xdr:row>
                    <xdr:rowOff>238125</xdr:rowOff>
                  </to>
                </anchor>
              </controlPr>
            </control>
          </mc:Choice>
        </mc:AlternateContent>
        <mc:AlternateContent xmlns:mc="http://schemas.openxmlformats.org/markup-compatibility/2006">
          <mc:Choice Requires="x14">
            <control shapeId="93196" r:id="rId14" name="Check Box 12">
              <controlPr defaultSize="0" autoFill="0" autoLine="0" autoPict="0">
                <anchor moveWithCells="1">
                  <from>
                    <xdr:col>4</xdr:col>
                    <xdr:colOff>28575</xdr:colOff>
                    <xdr:row>45</xdr:row>
                    <xdr:rowOff>9525</xdr:rowOff>
                  </from>
                  <to>
                    <xdr:col>5</xdr:col>
                    <xdr:colOff>0</xdr:colOff>
                    <xdr:row>46</xdr:row>
                    <xdr:rowOff>0</xdr:rowOff>
                  </to>
                </anchor>
              </controlPr>
            </control>
          </mc:Choice>
        </mc:AlternateContent>
        <mc:AlternateContent xmlns:mc="http://schemas.openxmlformats.org/markup-compatibility/2006">
          <mc:Choice Requires="x14">
            <control shapeId="93197" r:id="rId15" name="Check Box 13">
              <controlPr defaultSize="0" autoFill="0" autoLine="0" autoPict="0">
                <anchor moveWithCells="1">
                  <from>
                    <xdr:col>25</xdr:col>
                    <xdr:colOff>28575</xdr:colOff>
                    <xdr:row>39</xdr:row>
                    <xdr:rowOff>238125</xdr:rowOff>
                  </from>
                  <to>
                    <xdr:col>25</xdr:col>
                    <xdr:colOff>266700</xdr:colOff>
                    <xdr:row>41</xdr:row>
                    <xdr:rowOff>9525</xdr:rowOff>
                  </to>
                </anchor>
              </controlPr>
            </control>
          </mc:Choice>
        </mc:AlternateContent>
        <mc:AlternateContent xmlns:mc="http://schemas.openxmlformats.org/markup-compatibility/2006">
          <mc:Choice Requires="x14">
            <control shapeId="93198" r:id="rId16" name="Check Box 14">
              <controlPr defaultSize="0" autoFill="0" autoLine="0" autoPict="0">
                <anchor moveWithCells="1">
                  <from>
                    <xdr:col>25</xdr:col>
                    <xdr:colOff>28575</xdr:colOff>
                    <xdr:row>41</xdr:row>
                    <xdr:rowOff>28575</xdr:rowOff>
                  </from>
                  <to>
                    <xdr:col>25</xdr:col>
                    <xdr:colOff>266700</xdr:colOff>
                    <xdr:row>42</xdr:row>
                    <xdr:rowOff>9525</xdr:rowOff>
                  </to>
                </anchor>
              </controlPr>
            </control>
          </mc:Choice>
        </mc:AlternateContent>
        <mc:AlternateContent xmlns:mc="http://schemas.openxmlformats.org/markup-compatibility/2006">
          <mc:Choice Requires="x14">
            <control shapeId="93199" r:id="rId17" name="Check Box 15">
              <controlPr defaultSize="0" autoFill="0" autoLine="0" autoPict="0">
                <anchor moveWithCells="1">
                  <from>
                    <xdr:col>25</xdr:col>
                    <xdr:colOff>28575</xdr:colOff>
                    <xdr:row>42</xdr:row>
                    <xdr:rowOff>28575</xdr:rowOff>
                  </from>
                  <to>
                    <xdr:col>25</xdr:col>
                    <xdr:colOff>257175</xdr:colOff>
                    <xdr:row>42</xdr:row>
                    <xdr:rowOff>228600</xdr:rowOff>
                  </to>
                </anchor>
              </controlPr>
            </control>
          </mc:Choice>
        </mc:AlternateContent>
        <mc:AlternateContent xmlns:mc="http://schemas.openxmlformats.org/markup-compatibility/2006">
          <mc:Choice Requires="x14">
            <control shapeId="93200" r:id="rId18" name="Check Box 16">
              <controlPr defaultSize="0" autoFill="0" autoLine="0" autoPict="0">
                <anchor moveWithCells="1">
                  <from>
                    <xdr:col>25</xdr:col>
                    <xdr:colOff>28575</xdr:colOff>
                    <xdr:row>43</xdr:row>
                    <xdr:rowOff>9525</xdr:rowOff>
                  </from>
                  <to>
                    <xdr:col>25</xdr:col>
                    <xdr:colOff>238125</xdr:colOff>
                    <xdr:row>44</xdr:row>
                    <xdr:rowOff>0</xdr:rowOff>
                  </to>
                </anchor>
              </controlPr>
            </control>
          </mc:Choice>
        </mc:AlternateContent>
        <mc:AlternateContent xmlns:mc="http://schemas.openxmlformats.org/markup-compatibility/2006">
          <mc:Choice Requires="x14">
            <control shapeId="93201" r:id="rId19" name="Check Box 17">
              <controlPr defaultSize="0" autoFill="0" autoLine="0" autoPict="0">
                <anchor moveWithCells="1">
                  <from>
                    <xdr:col>25</xdr:col>
                    <xdr:colOff>28575</xdr:colOff>
                    <xdr:row>44</xdr:row>
                    <xdr:rowOff>38100</xdr:rowOff>
                  </from>
                  <to>
                    <xdr:col>26</xdr:col>
                    <xdr:colOff>9525</xdr:colOff>
                    <xdr:row>45</xdr:row>
                    <xdr:rowOff>28575</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47B8C-870E-4253-8B96-D79174026C33}">
  <sheetPr codeName="Sheet56">
    <tabColor rgb="FFFFFF00"/>
    <pageSetUpPr fitToPage="1"/>
  </sheetPr>
  <dimension ref="A1:BR60"/>
  <sheetViews>
    <sheetView showGridLines="0" zoomScaleNormal="100" zoomScaleSheetLayoutView="100" workbookViewId="0">
      <selection sqref="A1:BD42"/>
    </sheetView>
  </sheetViews>
  <sheetFormatPr defaultColWidth="8" defaultRowHeight="15.75"/>
  <cols>
    <col min="1" max="1" width="2.125" style="185" customWidth="1"/>
    <col min="2" max="28" width="3.625" style="184" customWidth="1"/>
    <col min="29" max="53" width="3.625" style="185" customWidth="1"/>
    <col min="54" max="54" width="2.125" style="185" customWidth="1"/>
    <col min="55" max="126" width="3.625" style="185" customWidth="1"/>
    <col min="127" max="16384" width="8" style="185"/>
  </cols>
  <sheetData>
    <row r="1" spans="1:70" ht="12" customHeight="1">
      <c r="A1" s="798"/>
      <c r="B1" s="799"/>
      <c r="C1" s="799"/>
      <c r="D1" s="799"/>
      <c r="E1" s="799"/>
      <c r="F1" s="799"/>
      <c r="G1" s="799"/>
      <c r="H1" s="799"/>
      <c r="I1" s="799"/>
      <c r="J1" s="799"/>
      <c r="K1" s="799"/>
      <c r="L1" s="799"/>
      <c r="M1" s="799"/>
      <c r="N1" s="799"/>
      <c r="O1" s="799"/>
      <c r="P1" s="799"/>
      <c r="Q1" s="799"/>
      <c r="R1" s="799"/>
      <c r="S1" s="799"/>
      <c r="T1" s="799"/>
      <c r="U1" s="799"/>
      <c r="V1" s="799"/>
      <c r="W1" s="799"/>
      <c r="X1" s="799"/>
      <c r="Y1" s="799"/>
      <c r="Z1" s="799"/>
      <c r="AA1" s="799"/>
      <c r="AB1" s="799"/>
      <c r="AC1" s="798"/>
      <c r="AD1" s="798"/>
      <c r="AE1" s="798"/>
      <c r="AF1" s="798"/>
      <c r="AG1" s="798"/>
      <c r="AH1" s="798"/>
      <c r="AI1" s="798"/>
      <c r="AJ1" s="798"/>
      <c r="AK1" s="798"/>
      <c r="AL1" s="798"/>
      <c r="AM1" s="798"/>
      <c r="AN1" s="798"/>
      <c r="AO1" s="798"/>
      <c r="AP1" s="798"/>
      <c r="AQ1" s="798"/>
      <c r="AR1" s="798"/>
      <c r="AS1" s="798"/>
      <c r="AT1" s="798"/>
      <c r="AU1" s="798"/>
      <c r="AV1" s="798"/>
      <c r="AW1" s="798"/>
      <c r="AX1" s="798"/>
      <c r="AY1" s="798"/>
      <c r="AZ1" s="798"/>
      <c r="BA1" s="798"/>
      <c r="BB1" s="798"/>
      <c r="BC1" s="798"/>
      <c r="BD1" s="798"/>
      <c r="BE1" s="798"/>
      <c r="BF1" s="798"/>
      <c r="BG1" s="798"/>
      <c r="BH1" s="798"/>
      <c r="BI1" s="798"/>
      <c r="BJ1" s="798"/>
      <c r="BK1" s="798"/>
      <c r="BL1" s="798"/>
      <c r="BM1" s="798"/>
      <c r="BN1" s="798"/>
      <c r="BO1" s="798"/>
      <c r="BP1" s="798"/>
      <c r="BQ1" s="798"/>
      <c r="BR1" s="798"/>
    </row>
    <row r="2" spans="1:70" ht="17.25" thickBot="1">
      <c r="A2" s="798"/>
      <c r="B2" s="1412" t="s">
        <v>1909</v>
      </c>
      <c r="C2" s="798"/>
      <c r="D2" s="798"/>
      <c r="E2" s="799"/>
      <c r="F2" s="799"/>
      <c r="G2" s="799"/>
      <c r="H2" s="799"/>
      <c r="I2" s="799"/>
      <c r="J2" s="799"/>
      <c r="K2" s="799"/>
      <c r="L2" s="799"/>
      <c r="M2" s="799"/>
      <c r="N2" s="799"/>
      <c r="O2" s="799"/>
      <c r="P2" s="799"/>
      <c r="Q2" s="799"/>
      <c r="R2" s="799"/>
      <c r="S2" s="799"/>
      <c r="T2" s="799"/>
      <c r="U2" s="799"/>
      <c r="V2" s="799"/>
      <c r="W2" s="799"/>
      <c r="X2" s="799"/>
      <c r="Y2" s="799"/>
      <c r="Z2" s="799"/>
      <c r="AA2" s="799"/>
      <c r="AB2" s="798"/>
      <c r="AC2" s="798"/>
      <c r="AD2" s="798"/>
      <c r="AE2" s="798"/>
      <c r="AF2" s="798"/>
      <c r="AG2" s="798"/>
      <c r="AH2" s="798"/>
      <c r="AI2" s="798"/>
      <c r="AJ2" s="798"/>
      <c r="AK2" s="798"/>
      <c r="AL2" s="798"/>
      <c r="AM2" s="798"/>
      <c r="AN2" s="798"/>
      <c r="AO2" s="798"/>
      <c r="AP2" s="798"/>
      <c r="AQ2" s="798"/>
      <c r="AR2" s="798"/>
      <c r="AS2" s="798"/>
      <c r="AT2" s="798"/>
      <c r="AU2" s="798"/>
      <c r="AV2" s="798"/>
      <c r="AW2" s="798"/>
      <c r="AX2" s="798"/>
      <c r="AY2" s="798"/>
      <c r="AZ2" s="798"/>
      <c r="BA2" s="798"/>
      <c r="BB2" s="798"/>
      <c r="BC2" s="798"/>
      <c r="BD2" s="798"/>
      <c r="BE2" s="798"/>
      <c r="BF2" s="798"/>
      <c r="BG2" s="798"/>
      <c r="BH2" s="798"/>
      <c r="BI2" s="798"/>
      <c r="BJ2" s="798"/>
      <c r="BK2" s="798"/>
      <c r="BL2" s="798"/>
      <c r="BM2" s="798"/>
      <c r="BN2" s="798"/>
      <c r="BO2" s="798"/>
      <c r="BP2" s="798"/>
      <c r="BQ2" s="798"/>
      <c r="BR2" s="798"/>
    </row>
    <row r="3" spans="1:70" ht="5.0999999999999996" customHeight="1" thickTop="1" thickBot="1">
      <c r="A3" s="798"/>
      <c r="B3" s="1413"/>
      <c r="C3" s="1414"/>
      <c r="D3" s="1414"/>
      <c r="E3" s="1414"/>
      <c r="F3" s="1414"/>
      <c r="G3" s="1414"/>
      <c r="H3" s="1414"/>
      <c r="I3" s="1414"/>
      <c r="J3" s="1414"/>
      <c r="K3" s="1414"/>
      <c r="L3" s="1414"/>
      <c r="M3" s="1414"/>
      <c r="N3" s="1414"/>
      <c r="O3" s="1414"/>
      <c r="P3" s="1414"/>
      <c r="Q3" s="1414"/>
      <c r="R3" s="1414"/>
      <c r="S3" s="1414"/>
      <c r="T3" s="1414"/>
      <c r="U3" s="1414"/>
      <c r="V3" s="1414"/>
      <c r="W3" s="1414"/>
      <c r="X3" s="1414"/>
      <c r="Y3" s="1414"/>
      <c r="Z3" s="1415"/>
      <c r="AA3" s="1415"/>
      <c r="AB3" s="1415"/>
      <c r="AC3" s="1415"/>
      <c r="AD3" s="1415"/>
      <c r="AE3" s="1414"/>
      <c r="AF3" s="1414"/>
      <c r="AG3" s="1414"/>
      <c r="AH3" s="1414"/>
      <c r="AI3" s="1414"/>
      <c r="AJ3" s="1414"/>
      <c r="AK3" s="1414"/>
      <c r="AL3" s="1414"/>
      <c r="AM3" s="1414"/>
      <c r="AN3" s="1414"/>
      <c r="AO3" s="1414"/>
      <c r="AP3" s="1414"/>
      <c r="AQ3" s="1414"/>
      <c r="AR3" s="1414"/>
      <c r="AS3" s="1414"/>
      <c r="AT3" s="1414"/>
      <c r="AU3" s="1414"/>
      <c r="AV3" s="1414"/>
      <c r="AW3" s="1414"/>
      <c r="AX3" s="1414"/>
      <c r="AY3" s="1414"/>
      <c r="AZ3" s="1414"/>
      <c r="BA3" s="1416"/>
      <c r="BB3" s="798"/>
      <c r="BC3" s="798"/>
      <c r="BD3" s="798"/>
      <c r="BE3" s="798"/>
      <c r="BF3" s="798"/>
      <c r="BG3" s="798"/>
      <c r="BH3" s="798"/>
      <c r="BI3" s="798"/>
      <c r="BJ3" s="798"/>
      <c r="BK3" s="798"/>
      <c r="BL3" s="798"/>
      <c r="BM3" s="798"/>
      <c r="BN3" s="798"/>
      <c r="BO3" s="798"/>
      <c r="BP3" s="798"/>
      <c r="BQ3" s="798"/>
      <c r="BR3" s="798"/>
    </row>
    <row r="4" spans="1:70" ht="15.95" customHeight="1" thickBot="1">
      <c r="A4" s="798"/>
      <c r="B4" s="1417"/>
      <c r="C4" s="1418" t="s">
        <v>47</v>
      </c>
      <c r="D4" s="3966" t="s">
        <v>1910</v>
      </c>
      <c r="E4" s="3966"/>
      <c r="F4" s="3966"/>
      <c r="G4" s="3966"/>
      <c r="H4" s="3966"/>
      <c r="I4" s="3966"/>
      <c r="J4" s="3966"/>
      <c r="K4" s="3966"/>
      <c r="L4" s="3966"/>
      <c r="M4" s="3966"/>
      <c r="N4" s="3966"/>
      <c r="O4" s="3966"/>
      <c r="P4" s="3966"/>
      <c r="Q4" s="3966"/>
      <c r="R4" s="3966"/>
      <c r="S4" s="3966"/>
      <c r="T4" s="3966"/>
      <c r="U4" s="3966"/>
      <c r="V4" s="3966"/>
      <c r="W4" s="3966"/>
      <c r="X4" s="3966"/>
      <c r="Y4" s="3966"/>
      <c r="Z4" s="3966"/>
      <c r="AA4" s="1419"/>
      <c r="AB4" s="1419"/>
      <c r="AC4" s="1419"/>
      <c r="AD4" s="1420"/>
      <c r="AE4" s="1418" t="s">
        <v>48</v>
      </c>
      <c r="AF4" s="3967" t="s">
        <v>1606</v>
      </c>
      <c r="AG4" s="3967"/>
      <c r="AH4" s="3967"/>
      <c r="AI4" s="3967"/>
      <c r="AJ4" s="3967"/>
      <c r="AK4" s="3967"/>
      <c r="AL4" s="3967"/>
      <c r="AM4" s="3967"/>
      <c r="AN4" s="3967"/>
      <c r="AO4" s="3967"/>
      <c r="AP4" s="3967"/>
      <c r="AQ4" s="3967"/>
      <c r="AR4" s="3967"/>
      <c r="AS4" s="3967"/>
      <c r="AT4" s="3967"/>
      <c r="AU4" s="3967"/>
      <c r="AV4" s="1421"/>
      <c r="AW4" s="3968">
        <v>0</v>
      </c>
      <c r="AX4" s="3969"/>
      <c r="AY4" s="3970"/>
      <c r="AZ4" s="1421"/>
      <c r="BA4" s="1422"/>
      <c r="BB4" s="1421"/>
      <c r="BC4" s="1421"/>
      <c r="BD4" s="798"/>
      <c r="BE4" s="798"/>
      <c r="BF4" s="798"/>
      <c r="BG4" s="798"/>
      <c r="BH4" s="798"/>
      <c r="BI4" s="798"/>
      <c r="BJ4" s="798"/>
      <c r="BK4" s="798"/>
      <c r="BL4" s="798"/>
      <c r="BM4" s="798"/>
      <c r="BN4" s="798"/>
      <c r="BO4" s="798"/>
      <c r="BP4" s="798"/>
      <c r="BQ4" s="798"/>
      <c r="BR4" s="798"/>
    </row>
    <row r="5" spans="1:70" ht="15.95" customHeight="1" thickTop="1" thickBot="1">
      <c r="A5" s="798"/>
      <c r="B5" s="1417"/>
      <c r="C5" s="1423"/>
      <c r="D5" s="3859" t="s">
        <v>580</v>
      </c>
      <c r="E5" s="3860"/>
      <c r="F5" s="3860"/>
      <c r="G5" s="3860"/>
      <c r="H5" s="3860"/>
      <c r="I5" s="3860"/>
      <c r="J5" s="3860"/>
      <c r="K5" s="3860"/>
      <c r="L5" s="3860"/>
      <c r="M5" s="3861"/>
      <c r="N5" s="3654" t="s">
        <v>940</v>
      </c>
      <c r="O5" s="3655"/>
      <c r="P5" s="3655"/>
      <c r="Q5" s="3655"/>
      <c r="R5" s="3655"/>
      <c r="S5" s="3657"/>
      <c r="T5" s="3656" t="s">
        <v>941</v>
      </c>
      <c r="U5" s="3655"/>
      <c r="V5" s="3655"/>
      <c r="W5" s="3655"/>
      <c r="X5" s="3655"/>
      <c r="Y5" s="3658"/>
      <c r="Z5" s="1420"/>
      <c r="AA5" s="1420"/>
      <c r="AB5" s="1420"/>
      <c r="AC5" s="1420"/>
      <c r="AD5" s="1420"/>
      <c r="AE5" s="1418"/>
      <c r="AF5" s="3967"/>
      <c r="AG5" s="3967"/>
      <c r="AH5" s="3967"/>
      <c r="AI5" s="3967"/>
      <c r="AJ5" s="3967"/>
      <c r="AK5" s="3967"/>
      <c r="AL5" s="3967"/>
      <c r="AM5" s="3967"/>
      <c r="AN5" s="3967"/>
      <c r="AO5" s="3967"/>
      <c r="AP5" s="3967"/>
      <c r="AQ5" s="3967"/>
      <c r="AR5" s="3967"/>
      <c r="AS5" s="3967"/>
      <c r="AT5" s="3967"/>
      <c r="AU5" s="3967"/>
      <c r="AV5" s="1420"/>
      <c r="AW5" s="3971"/>
      <c r="AX5" s="3972"/>
      <c r="AY5" s="3973"/>
      <c r="AZ5" s="1420"/>
      <c r="BA5" s="1424"/>
      <c r="BB5" s="1420"/>
      <c r="BC5" s="1420"/>
      <c r="BD5" s="798"/>
      <c r="BE5" s="798"/>
      <c r="BF5" s="798"/>
      <c r="BG5" s="798"/>
      <c r="BH5" s="798"/>
      <c r="BI5" s="798"/>
      <c r="BJ5" s="798"/>
      <c r="BK5" s="798"/>
      <c r="BL5" s="798"/>
      <c r="BM5" s="798"/>
      <c r="BN5" s="798"/>
      <c r="BO5" s="798"/>
      <c r="BP5" s="798"/>
      <c r="BQ5" s="798"/>
      <c r="BR5" s="798"/>
    </row>
    <row r="6" spans="1:70" ht="5.0999999999999996" customHeight="1" thickBot="1">
      <c r="A6" s="798"/>
      <c r="B6" s="1417"/>
      <c r="C6" s="260"/>
      <c r="D6" s="3974"/>
      <c r="E6" s="3975"/>
      <c r="F6" s="3975"/>
      <c r="G6" s="3975"/>
      <c r="H6" s="3975"/>
      <c r="I6" s="3975"/>
      <c r="J6" s="3975"/>
      <c r="K6" s="3975"/>
      <c r="L6" s="3975"/>
      <c r="M6" s="3976"/>
      <c r="N6" s="3733"/>
      <c r="O6" s="3723"/>
      <c r="P6" s="3723"/>
      <c r="Q6" s="3723"/>
      <c r="R6" s="3723"/>
      <c r="S6" s="3977"/>
      <c r="T6" s="3981"/>
      <c r="U6" s="3723"/>
      <c r="V6" s="3723"/>
      <c r="W6" s="3723"/>
      <c r="X6" s="3723"/>
      <c r="Y6" s="3734"/>
      <c r="Z6" s="1420"/>
      <c r="AA6" s="1420"/>
      <c r="AB6" s="1420"/>
      <c r="AC6" s="1420"/>
      <c r="AD6" s="1420"/>
      <c r="AE6" s="1418"/>
      <c r="AF6" s="1421"/>
      <c r="AG6" s="1421"/>
      <c r="AH6" s="1421"/>
      <c r="AI6" s="1421"/>
      <c r="AJ6" s="1421"/>
      <c r="AK6" s="1421"/>
      <c r="AL6" s="1421"/>
      <c r="AM6" s="1421"/>
      <c r="AN6" s="1421"/>
      <c r="AO6" s="1421"/>
      <c r="AP6" s="1421"/>
      <c r="AQ6" s="1421"/>
      <c r="AR6" s="1421"/>
      <c r="AS6" s="1421"/>
      <c r="AT6" s="1421"/>
      <c r="AU6" s="1421"/>
      <c r="AV6" s="1420"/>
      <c r="AW6" s="1420"/>
      <c r="AX6" s="1420"/>
      <c r="AY6" s="1420"/>
      <c r="AZ6" s="1420"/>
      <c r="BA6" s="1424"/>
      <c r="BB6" s="1420"/>
      <c r="BC6" s="1420"/>
      <c r="BD6" s="798"/>
      <c r="BE6" s="798"/>
      <c r="BF6" s="798"/>
      <c r="BG6" s="798"/>
      <c r="BH6" s="798"/>
      <c r="BI6" s="798"/>
      <c r="BJ6" s="798"/>
      <c r="BK6" s="798"/>
      <c r="BL6" s="798"/>
      <c r="BM6" s="798"/>
      <c r="BN6" s="798"/>
      <c r="BO6" s="798"/>
      <c r="BP6" s="798"/>
      <c r="BQ6" s="798"/>
      <c r="BR6" s="798"/>
    </row>
    <row r="7" spans="1:70" ht="15.95" customHeight="1" thickBot="1">
      <c r="A7" s="798"/>
      <c r="B7" s="1417"/>
      <c r="C7" s="260"/>
      <c r="D7" s="3974"/>
      <c r="E7" s="3975"/>
      <c r="F7" s="3975"/>
      <c r="G7" s="3975"/>
      <c r="H7" s="3975"/>
      <c r="I7" s="3975"/>
      <c r="J7" s="3975"/>
      <c r="K7" s="3975"/>
      <c r="L7" s="3975"/>
      <c r="M7" s="3976"/>
      <c r="N7" s="3978"/>
      <c r="O7" s="3979"/>
      <c r="P7" s="3979"/>
      <c r="Q7" s="3979"/>
      <c r="R7" s="3979"/>
      <c r="S7" s="3980"/>
      <c r="T7" s="3982"/>
      <c r="U7" s="3979"/>
      <c r="V7" s="3979"/>
      <c r="W7" s="3979"/>
      <c r="X7" s="3979"/>
      <c r="Y7" s="3983"/>
      <c r="Z7" s="1420"/>
      <c r="AA7" s="1420"/>
      <c r="AB7" s="1420"/>
      <c r="AC7" s="1420"/>
      <c r="AD7" s="1420"/>
      <c r="AE7" s="1418" t="s">
        <v>49</v>
      </c>
      <c r="AF7" s="3967" t="s">
        <v>1911</v>
      </c>
      <c r="AG7" s="3967"/>
      <c r="AH7" s="3967"/>
      <c r="AI7" s="3967"/>
      <c r="AJ7" s="3967"/>
      <c r="AK7" s="3967"/>
      <c r="AL7" s="3967"/>
      <c r="AM7" s="3967"/>
      <c r="AN7" s="3967"/>
      <c r="AO7" s="3967"/>
      <c r="AP7" s="3967"/>
      <c r="AQ7" s="3967"/>
      <c r="AR7" s="3967"/>
      <c r="AS7" s="3967"/>
      <c r="AT7" s="3967"/>
      <c r="AU7" s="3967"/>
      <c r="AV7" s="1421"/>
      <c r="AW7" s="3968">
        <v>0</v>
      </c>
      <c r="AX7" s="3969"/>
      <c r="AY7" s="3970"/>
      <c r="AZ7" s="1421"/>
      <c r="BA7" s="1422"/>
      <c r="BB7" s="1421"/>
      <c r="BC7" s="1421"/>
      <c r="BD7" s="798"/>
      <c r="BE7" s="798"/>
      <c r="BF7" s="798"/>
      <c r="BG7" s="798"/>
      <c r="BH7" s="798"/>
      <c r="BI7" s="798"/>
      <c r="BJ7" s="798"/>
      <c r="BK7" s="798"/>
      <c r="BL7" s="798"/>
      <c r="BM7" s="798"/>
      <c r="BN7" s="798"/>
      <c r="BO7" s="798"/>
      <c r="BP7" s="798"/>
      <c r="BQ7" s="798"/>
      <c r="BR7" s="798"/>
    </row>
    <row r="8" spans="1:70" s="184" customFormat="1" ht="15.95" customHeight="1" thickBot="1">
      <c r="A8" s="799"/>
      <c r="B8" s="1425"/>
      <c r="C8" s="260"/>
      <c r="D8" s="3862"/>
      <c r="E8" s="3863"/>
      <c r="F8" s="3863"/>
      <c r="G8" s="3863"/>
      <c r="H8" s="3863"/>
      <c r="I8" s="3863"/>
      <c r="J8" s="3863"/>
      <c r="K8" s="3863"/>
      <c r="L8" s="3863"/>
      <c r="M8" s="3864"/>
      <c r="N8" s="3984" t="s">
        <v>45</v>
      </c>
      <c r="O8" s="3985"/>
      <c r="P8" s="3986"/>
      <c r="Q8" s="3987" t="s">
        <v>46</v>
      </c>
      <c r="R8" s="3985"/>
      <c r="S8" s="3988"/>
      <c r="T8" s="3989" t="s">
        <v>45</v>
      </c>
      <c r="U8" s="3985"/>
      <c r="V8" s="3986"/>
      <c r="W8" s="3987" t="s">
        <v>46</v>
      </c>
      <c r="X8" s="3985"/>
      <c r="Y8" s="3990"/>
      <c r="Z8" s="1420"/>
      <c r="AA8" s="1420"/>
      <c r="AB8" s="1420"/>
      <c r="AC8" s="1333"/>
      <c r="AD8" s="1333"/>
      <c r="AE8" s="1418"/>
      <c r="AF8" s="3967"/>
      <c r="AG8" s="3967"/>
      <c r="AH8" s="3967"/>
      <c r="AI8" s="3967"/>
      <c r="AJ8" s="3967"/>
      <c r="AK8" s="3967"/>
      <c r="AL8" s="3967"/>
      <c r="AM8" s="3967"/>
      <c r="AN8" s="3967"/>
      <c r="AO8" s="3967"/>
      <c r="AP8" s="3967"/>
      <c r="AQ8" s="3967"/>
      <c r="AR8" s="3967"/>
      <c r="AS8" s="3967"/>
      <c r="AT8" s="3967"/>
      <c r="AU8" s="3967"/>
      <c r="AV8" s="1420"/>
      <c r="AW8" s="3971"/>
      <c r="AX8" s="3972"/>
      <c r="AY8" s="3973"/>
      <c r="AZ8" s="1420"/>
      <c r="BA8" s="1424"/>
      <c r="BB8" s="1420"/>
      <c r="BC8" s="1420"/>
      <c r="BD8" s="799"/>
      <c r="BE8" s="799"/>
      <c r="BF8" s="799"/>
      <c r="BG8" s="799"/>
      <c r="BH8" s="799"/>
      <c r="BI8" s="799"/>
      <c r="BJ8" s="799"/>
      <c r="BK8" s="799"/>
      <c r="BL8" s="799"/>
      <c r="BM8" s="799"/>
      <c r="BN8" s="799"/>
      <c r="BO8" s="799"/>
      <c r="BP8" s="799"/>
      <c r="BQ8" s="799"/>
      <c r="BR8" s="799"/>
    </row>
    <row r="9" spans="1:70" s="184" customFormat="1" ht="5.0999999999999996" customHeight="1" thickTop="1">
      <c r="A9" s="799"/>
      <c r="B9" s="1425"/>
      <c r="C9" s="260"/>
      <c r="D9" s="3949" t="s">
        <v>47</v>
      </c>
      <c r="E9" s="3952" t="s">
        <v>1904</v>
      </c>
      <c r="F9" s="3952"/>
      <c r="G9" s="3952"/>
      <c r="H9" s="3952"/>
      <c r="I9" s="3952"/>
      <c r="J9" s="3952"/>
      <c r="K9" s="3952"/>
      <c r="L9" s="3952"/>
      <c r="M9" s="3953"/>
      <c r="N9" s="3954">
        <v>0</v>
      </c>
      <c r="O9" s="3921"/>
      <c r="P9" s="3955"/>
      <c r="Q9" s="3920">
        <v>0</v>
      </c>
      <c r="R9" s="3921"/>
      <c r="S9" s="3960"/>
      <c r="T9" s="3963">
        <v>0</v>
      </c>
      <c r="U9" s="3921"/>
      <c r="V9" s="3955"/>
      <c r="W9" s="3920">
        <v>0</v>
      </c>
      <c r="X9" s="3921"/>
      <c r="Y9" s="3922"/>
      <c r="Z9" s="1333"/>
      <c r="AA9" s="1333"/>
      <c r="AB9" s="1333"/>
      <c r="AC9" s="1333"/>
      <c r="AD9" s="1333"/>
      <c r="AE9" s="1418"/>
      <c r="AF9" s="1421"/>
      <c r="AG9" s="1421"/>
      <c r="AH9" s="1421"/>
      <c r="AI9" s="1421"/>
      <c r="AJ9" s="1421"/>
      <c r="AK9" s="1421"/>
      <c r="AL9" s="1421"/>
      <c r="AM9" s="1421"/>
      <c r="AN9" s="1421"/>
      <c r="AO9" s="1421"/>
      <c r="AP9" s="1421"/>
      <c r="AQ9" s="1421"/>
      <c r="AR9" s="1421"/>
      <c r="AS9" s="1421"/>
      <c r="AT9" s="1421"/>
      <c r="AU9" s="1421"/>
      <c r="AV9" s="1420"/>
      <c r="AW9" s="1420"/>
      <c r="AX9" s="1420"/>
      <c r="AY9" s="1420"/>
      <c r="AZ9" s="1420"/>
      <c r="BA9" s="1424"/>
      <c r="BB9" s="1420"/>
      <c r="BC9" s="1420"/>
      <c r="BD9" s="799"/>
      <c r="BE9" s="799"/>
      <c r="BF9" s="799"/>
      <c r="BG9" s="799"/>
      <c r="BH9" s="799"/>
      <c r="BI9" s="799"/>
      <c r="BJ9" s="799"/>
      <c r="BK9" s="799"/>
      <c r="BL9" s="799"/>
      <c r="BM9" s="799"/>
      <c r="BN9" s="799"/>
      <c r="BO9" s="799"/>
      <c r="BP9" s="799"/>
      <c r="BQ9" s="799"/>
      <c r="BR9" s="799"/>
    </row>
    <row r="10" spans="1:70" s="184" customFormat="1" ht="15.95" customHeight="1">
      <c r="A10" s="799"/>
      <c r="B10" s="1425"/>
      <c r="C10" s="260"/>
      <c r="D10" s="3950"/>
      <c r="E10" s="3931"/>
      <c r="F10" s="3931"/>
      <c r="G10" s="3931"/>
      <c r="H10" s="3931"/>
      <c r="I10" s="3931"/>
      <c r="J10" s="3931"/>
      <c r="K10" s="3931"/>
      <c r="L10" s="3931"/>
      <c r="M10" s="3932"/>
      <c r="N10" s="3956"/>
      <c r="O10" s="3924"/>
      <c r="P10" s="3957"/>
      <c r="Q10" s="3923"/>
      <c r="R10" s="3924"/>
      <c r="S10" s="3961"/>
      <c r="T10" s="3964"/>
      <c r="U10" s="3924"/>
      <c r="V10" s="3957"/>
      <c r="W10" s="3923"/>
      <c r="X10" s="3924"/>
      <c r="Y10" s="3925"/>
      <c r="Z10" s="1333"/>
      <c r="AA10" s="1333"/>
      <c r="AB10" s="1333"/>
      <c r="AC10" s="1333"/>
      <c r="AD10" s="1333"/>
      <c r="AE10" s="1418" t="s">
        <v>50</v>
      </c>
      <c r="AF10" s="1340" t="b">
        <v>0</v>
      </c>
      <c r="AG10" s="3915" t="s">
        <v>1607</v>
      </c>
      <c r="AH10" s="3915"/>
      <c r="AI10" s="3915"/>
      <c r="AJ10" s="3915"/>
      <c r="AK10" s="3915"/>
      <c r="AL10" s="3915"/>
      <c r="AM10" s="3915"/>
      <c r="AN10" s="3915"/>
      <c r="AO10" s="3915"/>
      <c r="AP10" s="3915"/>
      <c r="AQ10" s="3915"/>
      <c r="AR10" s="3915"/>
      <c r="AS10" s="3915"/>
      <c r="AT10" s="3915"/>
      <c r="AU10" s="3915"/>
      <c r="AV10" s="3915"/>
      <c r="AW10" s="3915"/>
      <c r="AX10" s="3915"/>
      <c r="AY10" s="3915"/>
      <c r="AZ10" s="1426"/>
      <c r="BA10" s="1427"/>
      <c r="BB10" s="1426"/>
      <c r="BC10" s="1426"/>
      <c r="BD10" s="799"/>
      <c r="BE10" s="799"/>
      <c r="BF10" s="799"/>
      <c r="BG10" s="799"/>
      <c r="BH10" s="799"/>
      <c r="BI10" s="799"/>
      <c r="BJ10" s="799"/>
      <c r="BK10" s="799"/>
      <c r="BL10" s="799"/>
      <c r="BM10" s="799"/>
      <c r="BN10" s="799"/>
      <c r="BO10" s="799"/>
      <c r="BP10" s="799"/>
      <c r="BQ10" s="799"/>
      <c r="BR10" s="799"/>
    </row>
    <row r="11" spans="1:70" s="184" customFormat="1" ht="15.95" customHeight="1">
      <c r="A11" s="799"/>
      <c r="B11" s="1425"/>
      <c r="C11" s="260"/>
      <c r="D11" s="3951"/>
      <c r="E11" s="3933"/>
      <c r="F11" s="3933"/>
      <c r="G11" s="3933"/>
      <c r="H11" s="3933"/>
      <c r="I11" s="3933"/>
      <c r="J11" s="3933"/>
      <c r="K11" s="3933"/>
      <c r="L11" s="3933"/>
      <c r="M11" s="3934"/>
      <c r="N11" s="3958"/>
      <c r="O11" s="3927"/>
      <c r="P11" s="3959"/>
      <c r="Q11" s="3926"/>
      <c r="R11" s="3927"/>
      <c r="S11" s="3962"/>
      <c r="T11" s="3965"/>
      <c r="U11" s="3927"/>
      <c r="V11" s="3959"/>
      <c r="W11" s="3926"/>
      <c r="X11" s="3927"/>
      <c r="Y11" s="3928"/>
      <c r="Z11" s="1333"/>
      <c r="AA11" s="1333"/>
      <c r="AB11" s="1333"/>
      <c r="AC11" s="1333"/>
      <c r="AD11" s="1333"/>
      <c r="AE11" s="1418"/>
      <c r="AF11" s="1321"/>
      <c r="AG11" s="3915"/>
      <c r="AH11" s="3915"/>
      <c r="AI11" s="3915"/>
      <c r="AJ11" s="3915"/>
      <c r="AK11" s="3915"/>
      <c r="AL11" s="3915"/>
      <c r="AM11" s="3915"/>
      <c r="AN11" s="3915"/>
      <c r="AO11" s="3915"/>
      <c r="AP11" s="3915"/>
      <c r="AQ11" s="3915"/>
      <c r="AR11" s="3915"/>
      <c r="AS11" s="3915"/>
      <c r="AT11" s="3915"/>
      <c r="AU11" s="3915"/>
      <c r="AV11" s="3915"/>
      <c r="AW11" s="3915"/>
      <c r="AX11" s="3915"/>
      <c r="AY11" s="3915"/>
      <c r="AZ11" s="1426"/>
      <c r="BA11" s="1427"/>
      <c r="BB11" s="1426"/>
      <c r="BC11" s="1426"/>
      <c r="BD11" s="799"/>
      <c r="BE11" s="799"/>
      <c r="BF11" s="799"/>
      <c r="BG11" s="799"/>
      <c r="BH11" s="799"/>
      <c r="BI11" s="799"/>
      <c r="BJ11" s="799"/>
      <c r="BK11" s="799"/>
      <c r="BL11" s="799"/>
      <c r="BM11" s="799"/>
      <c r="BN11" s="799"/>
      <c r="BO11" s="799"/>
      <c r="BP11" s="799"/>
      <c r="BQ11" s="799"/>
      <c r="BR11" s="799"/>
    </row>
    <row r="12" spans="1:70" s="184" customFormat="1" ht="15.95" customHeight="1">
      <c r="A12" s="799"/>
      <c r="B12" s="1425"/>
      <c r="C12" s="260"/>
      <c r="D12" s="1428" t="s">
        <v>48</v>
      </c>
      <c r="E12" s="3929" t="s">
        <v>1905</v>
      </c>
      <c r="F12" s="3929"/>
      <c r="G12" s="3929"/>
      <c r="H12" s="3929"/>
      <c r="I12" s="3929"/>
      <c r="J12" s="3929"/>
      <c r="K12" s="3929"/>
      <c r="L12" s="3929"/>
      <c r="M12" s="3930"/>
      <c r="N12" s="3935">
        <v>0</v>
      </c>
      <c r="O12" s="3901"/>
      <c r="P12" s="3907"/>
      <c r="Q12" s="3900">
        <v>0</v>
      </c>
      <c r="R12" s="3901"/>
      <c r="S12" s="3940"/>
      <c r="T12" s="3906">
        <v>0</v>
      </c>
      <c r="U12" s="3901"/>
      <c r="V12" s="3907"/>
      <c r="W12" s="3900">
        <v>0</v>
      </c>
      <c r="X12" s="3901"/>
      <c r="Y12" s="3912"/>
      <c r="Z12" s="1333"/>
      <c r="AA12" s="1333"/>
      <c r="AB12" s="1333"/>
      <c r="AC12" s="1333"/>
      <c r="AD12" s="1333"/>
      <c r="AE12" s="1418" t="s">
        <v>51</v>
      </c>
      <c r="AF12" s="1340" t="b">
        <v>0</v>
      </c>
      <c r="AG12" s="3915" t="s">
        <v>1608</v>
      </c>
      <c r="AH12" s="3915"/>
      <c r="AI12" s="3915"/>
      <c r="AJ12" s="3915"/>
      <c r="AK12" s="3915"/>
      <c r="AL12" s="3915"/>
      <c r="AM12" s="3915"/>
      <c r="AN12" s="3915"/>
      <c r="AO12" s="3915"/>
      <c r="AP12" s="3915"/>
      <c r="AQ12" s="3915"/>
      <c r="AR12" s="3915"/>
      <c r="AS12" s="3915"/>
      <c r="AT12" s="3915"/>
      <c r="AU12" s="3915"/>
      <c r="AV12" s="3915"/>
      <c r="AW12" s="3915"/>
      <c r="AX12" s="3915"/>
      <c r="AY12" s="3915"/>
      <c r="AZ12" s="1426"/>
      <c r="BA12" s="1427"/>
      <c r="BB12" s="1426"/>
      <c r="BC12" s="1426"/>
      <c r="BD12" s="799"/>
      <c r="BE12" s="799"/>
      <c r="BF12" s="799"/>
      <c r="BG12" s="799"/>
      <c r="BH12" s="799"/>
      <c r="BI12" s="799"/>
      <c r="BJ12" s="799"/>
      <c r="BK12" s="799"/>
      <c r="BL12" s="799"/>
      <c r="BM12" s="799"/>
      <c r="BN12" s="799"/>
      <c r="BO12" s="799"/>
      <c r="BP12" s="799"/>
      <c r="BQ12" s="799"/>
      <c r="BR12" s="799"/>
    </row>
    <row r="13" spans="1:70" s="184" customFormat="1" ht="15.95" customHeight="1">
      <c r="A13" s="799"/>
      <c r="B13" s="1429"/>
      <c r="C13" s="260"/>
      <c r="D13" s="1430"/>
      <c r="E13" s="3931"/>
      <c r="F13" s="3931"/>
      <c r="G13" s="3931"/>
      <c r="H13" s="3931"/>
      <c r="I13" s="3931"/>
      <c r="J13" s="3931"/>
      <c r="K13" s="3931"/>
      <c r="L13" s="3931"/>
      <c r="M13" s="3932"/>
      <c r="N13" s="3936"/>
      <c r="O13" s="3903"/>
      <c r="P13" s="3909"/>
      <c r="Q13" s="3902"/>
      <c r="R13" s="3903"/>
      <c r="S13" s="3941"/>
      <c r="T13" s="3908"/>
      <c r="U13" s="3903"/>
      <c r="V13" s="3909"/>
      <c r="W13" s="3902"/>
      <c r="X13" s="3903"/>
      <c r="Y13" s="3913"/>
      <c r="Z13" s="1334"/>
      <c r="AA13" s="1334"/>
      <c r="AB13" s="1334"/>
      <c r="AC13" s="1334"/>
      <c r="AD13" s="1334"/>
      <c r="AE13" s="1431"/>
      <c r="AF13" s="1338"/>
      <c r="AG13" s="3915"/>
      <c r="AH13" s="3915"/>
      <c r="AI13" s="3915"/>
      <c r="AJ13" s="3915"/>
      <c r="AK13" s="3915"/>
      <c r="AL13" s="3915"/>
      <c r="AM13" s="3915"/>
      <c r="AN13" s="3915"/>
      <c r="AO13" s="3915"/>
      <c r="AP13" s="3915"/>
      <c r="AQ13" s="3915"/>
      <c r="AR13" s="3915"/>
      <c r="AS13" s="3915"/>
      <c r="AT13" s="3915"/>
      <c r="AU13" s="3915"/>
      <c r="AV13" s="3915"/>
      <c r="AW13" s="3915"/>
      <c r="AX13" s="3915"/>
      <c r="AY13" s="3915"/>
      <c r="AZ13" s="1426"/>
      <c r="BA13" s="1427"/>
      <c r="BB13" s="1426"/>
      <c r="BC13" s="1426"/>
      <c r="BD13" s="799"/>
      <c r="BE13" s="799"/>
      <c r="BF13" s="799"/>
      <c r="BG13" s="799"/>
      <c r="BH13" s="799"/>
      <c r="BI13" s="799"/>
      <c r="BJ13" s="799"/>
      <c r="BK13" s="799"/>
      <c r="BL13" s="799"/>
      <c r="BM13" s="799"/>
      <c r="BN13" s="799"/>
      <c r="BO13" s="799"/>
      <c r="BP13" s="799"/>
      <c r="BQ13" s="799"/>
      <c r="BR13" s="799"/>
    </row>
    <row r="14" spans="1:70" s="184" customFormat="1" ht="15.95" customHeight="1">
      <c r="A14" s="799"/>
      <c r="B14" s="1429"/>
      <c r="C14" s="260"/>
      <c r="D14" s="1400"/>
      <c r="E14" s="3933"/>
      <c r="F14" s="3933"/>
      <c r="G14" s="3933"/>
      <c r="H14" s="3933"/>
      <c r="I14" s="3933"/>
      <c r="J14" s="3933"/>
      <c r="K14" s="3933"/>
      <c r="L14" s="3933"/>
      <c r="M14" s="3934"/>
      <c r="N14" s="3937"/>
      <c r="O14" s="3938"/>
      <c r="P14" s="3939"/>
      <c r="Q14" s="3942"/>
      <c r="R14" s="3938"/>
      <c r="S14" s="3943"/>
      <c r="T14" s="3944"/>
      <c r="U14" s="3938"/>
      <c r="V14" s="3939"/>
      <c r="W14" s="3942"/>
      <c r="X14" s="3938"/>
      <c r="Y14" s="3945"/>
      <c r="Z14" s="1335"/>
      <c r="AA14" s="1335"/>
      <c r="AB14" s="1335"/>
      <c r="AC14" s="1335"/>
      <c r="AD14" s="1335"/>
      <c r="AE14" s="1418" t="s">
        <v>52</v>
      </c>
      <c r="AF14" s="1340" t="b">
        <v>0</v>
      </c>
      <c r="AG14" s="3915" t="s">
        <v>1609</v>
      </c>
      <c r="AH14" s="3915"/>
      <c r="AI14" s="3915"/>
      <c r="AJ14" s="3915"/>
      <c r="AK14" s="3915"/>
      <c r="AL14" s="3915"/>
      <c r="AM14" s="3915"/>
      <c r="AN14" s="3915"/>
      <c r="AO14" s="3915"/>
      <c r="AP14" s="3915"/>
      <c r="AQ14" s="3915"/>
      <c r="AR14" s="3915"/>
      <c r="AS14" s="3915"/>
      <c r="AT14" s="3915"/>
      <c r="AU14" s="3915"/>
      <c r="AV14" s="3915"/>
      <c r="AW14" s="3915"/>
      <c r="AX14" s="3915"/>
      <c r="AY14" s="3915"/>
      <c r="AZ14" s="1426"/>
      <c r="BA14" s="1427"/>
      <c r="BB14" s="1426"/>
      <c r="BC14" s="1426"/>
      <c r="BD14" s="799"/>
      <c r="BE14" s="799"/>
      <c r="BF14" s="799"/>
      <c r="BG14" s="799"/>
      <c r="BH14" s="799"/>
      <c r="BI14" s="799"/>
      <c r="BJ14" s="799"/>
      <c r="BK14" s="799"/>
      <c r="BL14" s="799"/>
      <c r="BM14" s="799"/>
      <c r="BN14" s="799"/>
      <c r="BO14" s="799"/>
      <c r="BP14" s="799"/>
      <c r="BQ14" s="799"/>
      <c r="BR14" s="799"/>
    </row>
    <row r="15" spans="1:70" s="184" customFormat="1" ht="15.95" customHeight="1">
      <c r="A15" s="799"/>
      <c r="B15" s="1429"/>
      <c r="C15" s="260"/>
      <c r="D15" s="1428"/>
      <c r="E15" s="1432" t="s">
        <v>868</v>
      </c>
      <c r="F15" s="3929" t="s">
        <v>1907</v>
      </c>
      <c r="G15" s="3929"/>
      <c r="H15" s="3929"/>
      <c r="I15" s="3929"/>
      <c r="J15" s="3929"/>
      <c r="K15" s="3929"/>
      <c r="L15" s="3929"/>
      <c r="M15" s="3930"/>
      <c r="N15" s="3935">
        <v>0</v>
      </c>
      <c r="O15" s="3901"/>
      <c r="P15" s="3907"/>
      <c r="Q15" s="3900">
        <v>0</v>
      </c>
      <c r="R15" s="3901"/>
      <c r="S15" s="3901"/>
      <c r="T15" s="3906">
        <v>0</v>
      </c>
      <c r="U15" s="3901"/>
      <c r="V15" s="3907"/>
      <c r="W15" s="3900">
        <v>0</v>
      </c>
      <c r="X15" s="3901"/>
      <c r="Y15" s="3912"/>
      <c r="Z15" s="1335"/>
      <c r="AA15" s="1335"/>
      <c r="AB15" s="1335"/>
      <c r="AC15" s="1335"/>
      <c r="AD15" s="1335"/>
      <c r="AE15" s="799"/>
      <c r="AF15" s="799"/>
      <c r="AG15" s="3915"/>
      <c r="AH15" s="3915"/>
      <c r="AI15" s="3915"/>
      <c r="AJ15" s="3915"/>
      <c r="AK15" s="3915"/>
      <c r="AL15" s="3915"/>
      <c r="AM15" s="3915"/>
      <c r="AN15" s="3915"/>
      <c r="AO15" s="3915"/>
      <c r="AP15" s="3915"/>
      <c r="AQ15" s="3915"/>
      <c r="AR15" s="3915"/>
      <c r="AS15" s="3915"/>
      <c r="AT15" s="3915"/>
      <c r="AU15" s="3915"/>
      <c r="AV15" s="3915"/>
      <c r="AW15" s="3915"/>
      <c r="AX15" s="3915"/>
      <c r="AY15" s="3915"/>
      <c r="AZ15" s="1426"/>
      <c r="BA15" s="1427"/>
      <c r="BB15" s="1426"/>
      <c r="BC15" s="1426"/>
      <c r="BD15" s="799"/>
      <c r="BE15" s="799"/>
      <c r="BF15" s="799"/>
      <c r="BG15" s="799"/>
      <c r="BH15" s="799"/>
      <c r="BI15" s="799"/>
      <c r="BJ15" s="799"/>
      <c r="BK15" s="799"/>
      <c r="BL15" s="799"/>
      <c r="BM15" s="799"/>
      <c r="BN15" s="799"/>
      <c r="BO15" s="799"/>
      <c r="BP15" s="799"/>
      <c r="BQ15" s="799"/>
      <c r="BR15" s="799"/>
    </row>
    <row r="16" spans="1:70" ht="15.95" customHeight="1">
      <c r="A16" s="798"/>
      <c r="B16" s="1417"/>
      <c r="C16" s="260"/>
      <c r="D16" s="1433"/>
      <c r="E16" s="1405"/>
      <c r="F16" s="3931"/>
      <c r="G16" s="3931"/>
      <c r="H16" s="3931"/>
      <c r="I16" s="3931"/>
      <c r="J16" s="3931"/>
      <c r="K16" s="3931"/>
      <c r="L16" s="3931"/>
      <c r="M16" s="3932"/>
      <c r="N16" s="3936"/>
      <c r="O16" s="3903"/>
      <c r="P16" s="3909"/>
      <c r="Q16" s="3902"/>
      <c r="R16" s="3903"/>
      <c r="S16" s="3903"/>
      <c r="T16" s="3908"/>
      <c r="U16" s="3903"/>
      <c r="V16" s="3909"/>
      <c r="W16" s="3902"/>
      <c r="X16" s="3903"/>
      <c r="Y16" s="3913"/>
      <c r="Z16" s="1420"/>
      <c r="AA16" s="1420"/>
      <c r="AB16" s="1420"/>
      <c r="AC16" s="1420"/>
      <c r="AD16" s="1420"/>
      <c r="AE16" s="1418" t="s">
        <v>53</v>
      </c>
      <c r="AF16" s="1340" t="b">
        <v>0</v>
      </c>
      <c r="AG16" s="3915" t="s">
        <v>1610</v>
      </c>
      <c r="AH16" s="3915"/>
      <c r="AI16" s="3915"/>
      <c r="AJ16" s="3915"/>
      <c r="AK16" s="3915"/>
      <c r="AL16" s="3915"/>
      <c r="AM16" s="3915"/>
      <c r="AN16" s="3915"/>
      <c r="AO16" s="3915"/>
      <c r="AP16" s="3915"/>
      <c r="AQ16" s="3915"/>
      <c r="AR16" s="3915"/>
      <c r="AS16" s="3915"/>
      <c r="AT16" s="3915"/>
      <c r="AU16" s="3915"/>
      <c r="AV16" s="3915"/>
      <c r="AW16" s="3915"/>
      <c r="AX16" s="3915"/>
      <c r="AY16" s="3915"/>
      <c r="AZ16" s="1426"/>
      <c r="BA16" s="1427"/>
      <c r="BB16" s="1426"/>
      <c r="BC16" s="1426"/>
      <c r="BD16" s="798"/>
      <c r="BE16" s="798"/>
      <c r="BF16" s="798"/>
      <c r="BG16" s="798"/>
      <c r="BH16" s="798"/>
      <c r="BI16" s="798"/>
      <c r="BJ16" s="798"/>
      <c r="BK16" s="798"/>
      <c r="BL16" s="798"/>
      <c r="BM16" s="798"/>
      <c r="BN16" s="798"/>
      <c r="BO16" s="798"/>
      <c r="BP16" s="798"/>
      <c r="BQ16" s="798"/>
      <c r="BR16" s="798"/>
    </row>
    <row r="17" spans="1:70" ht="5.0999999999999996" customHeight="1" thickBot="1">
      <c r="A17" s="798"/>
      <c r="B17" s="1417"/>
      <c r="C17" s="260"/>
      <c r="D17" s="1434"/>
      <c r="E17" s="1435"/>
      <c r="F17" s="3946"/>
      <c r="G17" s="3946"/>
      <c r="H17" s="3946"/>
      <c r="I17" s="3946"/>
      <c r="J17" s="3946"/>
      <c r="K17" s="3946"/>
      <c r="L17" s="3946"/>
      <c r="M17" s="3947"/>
      <c r="N17" s="3948"/>
      <c r="O17" s="3905"/>
      <c r="P17" s="3911"/>
      <c r="Q17" s="3904"/>
      <c r="R17" s="3905"/>
      <c r="S17" s="3905"/>
      <c r="T17" s="3910"/>
      <c r="U17" s="3905"/>
      <c r="V17" s="3911"/>
      <c r="W17" s="3904"/>
      <c r="X17" s="3905"/>
      <c r="Y17" s="3914"/>
      <c r="Z17" s="1420"/>
      <c r="AA17" s="1420"/>
      <c r="AB17" s="1420"/>
      <c r="AC17" s="1420"/>
      <c r="AD17" s="1420"/>
      <c r="AE17" s="1418"/>
      <c r="AF17" s="1321"/>
      <c r="AG17" s="3915"/>
      <c r="AH17" s="3915"/>
      <c r="AI17" s="3915"/>
      <c r="AJ17" s="3915"/>
      <c r="AK17" s="3915"/>
      <c r="AL17" s="3915"/>
      <c r="AM17" s="3915"/>
      <c r="AN17" s="3915"/>
      <c r="AO17" s="3915"/>
      <c r="AP17" s="3915"/>
      <c r="AQ17" s="3915"/>
      <c r="AR17" s="3915"/>
      <c r="AS17" s="3915"/>
      <c r="AT17" s="3915"/>
      <c r="AU17" s="3915"/>
      <c r="AV17" s="3915"/>
      <c r="AW17" s="3915"/>
      <c r="AX17" s="3915"/>
      <c r="AY17" s="3915"/>
      <c r="AZ17" s="1426"/>
      <c r="BA17" s="1427"/>
      <c r="BB17" s="1426"/>
      <c r="BC17" s="1426"/>
      <c r="BD17" s="798"/>
      <c r="BE17" s="798"/>
      <c r="BF17" s="798"/>
      <c r="BG17" s="798"/>
      <c r="BH17" s="798"/>
      <c r="BI17" s="798"/>
      <c r="BJ17" s="798"/>
      <c r="BK17" s="798"/>
      <c r="BL17" s="798"/>
      <c r="BM17" s="798"/>
      <c r="BN17" s="798"/>
      <c r="BO17" s="798"/>
      <c r="BP17" s="798"/>
      <c r="BQ17" s="798"/>
      <c r="BR17" s="798"/>
    </row>
    <row r="18" spans="1:70" ht="11.1" customHeight="1" thickTop="1">
      <c r="A18" s="798"/>
      <c r="B18" s="1417"/>
      <c r="C18" s="260"/>
      <c r="D18" s="3916" t="s">
        <v>268</v>
      </c>
      <c r="E18" s="3916"/>
      <c r="F18" s="3916"/>
      <c r="G18" s="3918" t="s">
        <v>1912</v>
      </c>
      <c r="H18" s="3918"/>
      <c r="I18" s="3918"/>
      <c r="J18" s="3918"/>
      <c r="K18" s="3918"/>
      <c r="L18" s="3918"/>
      <c r="M18" s="3918"/>
      <c r="N18" s="3918"/>
      <c r="O18" s="3918"/>
      <c r="P18" s="3918"/>
      <c r="Q18" s="3918"/>
      <c r="R18" s="3918"/>
      <c r="S18" s="3918"/>
      <c r="T18" s="3918"/>
      <c r="U18" s="3918"/>
      <c r="V18" s="3918"/>
      <c r="W18" s="3918"/>
      <c r="X18" s="3918"/>
      <c r="Y18" s="3918"/>
      <c r="Z18" s="798"/>
      <c r="AA18" s="798"/>
      <c r="AB18" s="798"/>
      <c r="AC18" s="798"/>
      <c r="AD18" s="798"/>
      <c r="AE18" s="798"/>
      <c r="AF18" s="798"/>
      <c r="AG18" s="3915"/>
      <c r="AH18" s="3915"/>
      <c r="AI18" s="3915"/>
      <c r="AJ18" s="3915"/>
      <c r="AK18" s="3915"/>
      <c r="AL18" s="3915"/>
      <c r="AM18" s="3915"/>
      <c r="AN18" s="3915"/>
      <c r="AO18" s="3915"/>
      <c r="AP18" s="3915"/>
      <c r="AQ18" s="3915"/>
      <c r="AR18" s="3915"/>
      <c r="AS18" s="3915"/>
      <c r="AT18" s="3915"/>
      <c r="AU18" s="3915"/>
      <c r="AV18" s="3915"/>
      <c r="AW18" s="3915"/>
      <c r="AX18" s="3915"/>
      <c r="AY18" s="3915"/>
      <c r="AZ18" s="798"/>
      <c r="BA18" s="1436"/>
      <c r="BB18" s="798"/>
      <c r="BC18" s="798"/>
      <c r="BD18" s="798"/>
      <c r="BE18" s="798"/>
      <c r="BF18" s="798"/>
      <c r="BG18" s="798"/>
      <c r="BH18" s="798"/>
      <c r="BI18" s="798"/>
      <c r="BJ18" s="798"/>
      <c r="BK18" s="798"/>
      <c r="BL18" s="798"/>
      <c r="BM18" s="798"/>
      <c r="BN18" s="798"/>
      <c r="BO18" s="798"/>
      <c r="BP18" s="798"/>
      <c r="BQ18" s="798"/>
      <c r="BR18" s="798"/>
    </row>
    <row r="19" spans="1:70" ht="5.0999999999999996" customHeight="1">
      <c r="A19" s="798"/>
      <c r="B19" s="1417"/>
      <c r="C19" s="260"/>
      <c r="D19" s="3917"/>
      <c r="E19" s="3917"/>
      <c r="F19" s="3917"/>
      <c r="G19" s="3919"/>
      <c r="H19" s="3919"/>
      <c r="I19" s="3919"/>
      <c r="J19" s="3919"/>
      <c r="K19" s="3919"/>
      <c r="L19" s="3919"/>
      <c r="M19" s="3919"/>
      <c r="N19" s="3919"/>
      <c r="O19" s="3919"/>
      <c r="P19" s="3919"/>
      <c r="Q19" s="3919"/>
      <c r="R19" s="3919"/>
      <c r="S19" s="3919"/>
      <c r="T19" s="3919"/>
      <c r="U19" s="3919"/>
      <c r="V19" s="3919"/>
      <c r="W19" s="3919"/>
      <c r="X19" s="3919"/>
      <c r="Y19" s="3919"/>
      <c r="Z19" s="798"/>
      <c r="AA19" s="798"/>
      <c r="AB19" s="798"/>
      <c r="AC19" s="798"/>
      <c r="AD19" s="798"/>
      <c r="AE19" s="798"/>
      <c r="AF19" s="798"/>
      <c r="AG19" s="3915"/>
      <c r="AH19" s="3915"/>
      <c r="AI19" s="3915"/>
      <c r="AJ19" s="3915"/>
      <c r="AK19" s="3915"/>
      <c r="AL19" s="3915"/>
      <c r="AM19" s="3915"/>
      <c r="AN19" s="3915"/>
      <c r="AO19" s="3915"/>
      <c r="AP19" s="3915"/>
      <c r="AQ19" s="3915"/>
      <c r="AR19" s="3915"/>
      <c r="AS19" s="3915"/>
      <c r="AT19" s="3915"/>
      <c r="AU19" s="3915"/>
      <c r="AV19" s="3915"/>
      <c r="AW19" s="3915"/>
      <c r="AX19" s="3915"/>
      <c r="AY19" s="3915"/>
      <c r="AZ19" s="798"/>
      <c r="BA19" s="1436"/>
      <c r="BB19" s="798"/>
      <c r="BC19" s="798"/>
      <c r="BD19" s="798"/>
      <c r="BE19" s="798"/>
      <c r="BF19" s="798"/>
      <c r="BG19" s="798"/>
      <c r="BH19" s="798"/>
      <c r="BI19" s="798"/>
      <c r="BJ19" s="798"/>
      <c r="BK19" s="798"/>
      <c r="BL19" s="798"/>
      <c r="BM19" s="798"/>
      <c r="BN19" s="798"/>
      <c r="BO19" s="798"/>
      <c r="BP19" s="798"/>
      <c r="BQ19" s="798"/>
      <c r="BR19" s="798"/>
    </row>
    <row r="20" spans="1:70" ht="11.1" customHeight="1">
      <c r="A20" s="798"/>
      <c r="B20" s="1417"/>
      <c r="C20" s="260"/>
      <c r="D20" s="377"/>
      <c r="E20" s="377"/>
      <c r="F20" s="377"/>
      <c r="G20" s="3919"/>
      <c r="H20" s="3919"/>
      <c r="I20" s="3919"/>
      <c r="J20" s="3919"/>
      <c r="K20" s="3919"/>
      <c r="L20" s="3919"/>
      <c r="M20" s="3919"/>
      <c r="N20" s="3919"/>
      <c r="O20" s="3919"/>
      <c r="P20" s="3919"/>
      <c r="Q20" s="3919"/>
      <c r="R20" s="3919"/>
      <c r="S20" s="3919"/>
      <c r="T20" s="3919"/>
      <c r="U20" s="3919"/>
      <c r="V20" s="3919"/>
      <c r="W20" s="3919"/>
      <c r="X20" s="3919"/>
      <c r="Y20" s="3919"/>
      <c r="Z20" s="798"/>
      <c r="AA20" s="798"/>
      <c r="AB20" s="798"/>
      <c r="AC20" s="798"/>
      <c r="AD20" s="798"/>
      <c r="AE20" s="798"/>
      <c r="AF20" s="798"/>
      <c r="AG20" s="3915"/>
      <c r="AH20" s="3915"/>
      <c r="AI20" s="3915"/>
      <c r="AJ20" s="3915"/>
      <c r="AK20" s="3915"/>
      <c r="AL20" s="3915"/>
      <c r="AM20" s="3915"/>
      <c r="AN20" s="3915"/>
      <c r="AO20" s="3915"/>
      <c r="AP20" s="3915"/>
      <c r="AQ20" s="3915"/>
      <c r="AR20" s="3915"/>
      <c r="AS20" s="3915"/>
      <c r="AT20" s="3915"/>
      <c r="AU20" s="3915"/>
      <c r="AV20" s="3915"/>
      <c r="AW20" s="3915"/>
      <c r="AX20" s="3915"/>
      <c r="AY20" s="3915"/>
      <c r="AZ20" s="798"/>
      <c r="BA20" s="1436"/>
      <c r="BB20" s="798"/>
      <c r="BC20" s="798"/>
      <c r="BD20" s="798"/>
      <c r="BE20" s="798"/>
      <c r="BF20" s="798"/>
      <c r="BG20" s="798"/>
      <c r="BH20" s="798"/>
      <c r="BI20" s="798"/>
      <c r="BJ20" s="798"/>
      <c r="BK20" s="798"/>
      <c r="BL20" s="798"/>
      <c r="BM20" s="798"/>
      <c r="BN20" s="798"/>
      <c r="BO20" s="798"/>
      <c r="BP20" s="798"/>
      <c r="BQ20" s="798"/>
      <c r="BR20" s="798"/>
    </row>
    <row r="21" spans="1:70" ht="5.0999999999999996" customHeight="1">
      <c r="A21" s="798"/>
      <c r="B21" s="1417"/>
      <c r="C21" s="260"/>
      <c r="D21" s="1404"/>
      <c r="E21" s="1405"/>
      <c r="F21" s="1405"/>
      <c r="G21" s="3919"/>
      <c r="H21" s="3919"/>
      <c r="I21" s="3919"/>
      <c r="J21" s="3919"/>
      <c r="K21" s="3919"/>
      <c r="L21" s="3919"/>
      <c r="M21" s="3919"/>
      <c r="N21" s="3919"/>
      <c r="O21" s="3919"/>
      <c r="P21" s="3919"/>
      <c r="Q21" s="3919"/>
      <c r="R21" s="3919"/>
      <c r="S21" s="3919"/>
      <c r="T21" s="3919"/>
      <c r="U21" s="3919"/>
      <c r="V21" s="3919"/>
      <c r="W21" s="3919"/>
      <c r="X21" s="3919"/>
      <c r="Y21" s="3919"/>
      <c r="Z21" s="798"/>
      <c r="AA21" s="798"/>
      <c r="AB21" s="798"/>
      <c r="AC21" s="798"/>
      <c r="AD21" s="798"/>
      <c r="AE21" s="798"/>
      <c r="AF21" s="798"/>
      <c r="AG21" s="798"/>
      <c r="AH21" s="798"/>
      <c r="AI21" s="798"/>
      <c r="AJ21" s="798"/>
      <c r="AK21" s="798"/>
      <c r="AL21" s="798"/>
      <c r="AM21" s="798"/>
      <c r="AN21" s="798"/>
      <c r="AO21" s="798"/>
      <c r="AP21" s="798"/>
      <c r="AQ21" s="798"/>
      <c r="AR21" s="798"/>
      <c r="AS21" s="798"/>
      <c r="AT21" s="798"/>
      <c r="AU21" s="798"/>
      <c r="AV21" s="798"/>
      <c r="AW21" s="798"/>
      <c r="AX21" s="798"/>
      <c r="AY21" s="798"/>
      <c r="AZ21" s="798"/>
      <c r="BA21" s="1436"/>
      <c r="BB21" s="798"/>
      <c r="BC21" s="798"/>
      <c r="BD21" s="798"/>
      <c r="BE21" s="798"/>
      <c r="BF21" s="798"/>
      <c r="BG21" s="798"/>
      <c r="BH21" s="798"/>
      <c r="BI21" s="798"/>
      <c r="BJ21" s="798"/>
      <c r="BK21" s="798"/>
      <c r="BL21" s="798"/>
      <c r="BM21" s="798"/>
      <c r="BN21" s="798"/>
      <c r="BO21" s="798"/>
      <c r="BP21" s="798"/>
      <c r="BQ21" s="798"/>
      <c r="BR21" s="798"/>
    </row>
    <row r="22" spans="1:70" ht="15" customHeight="1">
      <c r="A22" s="798"/>
      <c r="B22" s="1417"/>
      <c r="C22" s="260"/>
      <c r="D22" s="1404"/>
      <c r="E22" s="1405"/>
      <c r="F22" s="1405"/>
      <c r="G22" s="3919"/>
      <c r="H22" s="3919"/>
      <c r="I22" s="3919"/>
      <c r="J22" s="3919"/>
      <c r="K22" s="3919"/>
      <c r="L22" s="3919"/>
      <c r="M22" s="3919"/>
      <c r="N22" s="3919"/>
      <c r="O22" s="3919"/>
      <c r="P22" s="3919"/>
      <c r="Q22" s="3919"/>
      <c r="R22" s="3919"/>
      <c r="S22" s="3919"/>
      <c r="T22" s="3919"/>
      <c r="U22" s="3919"/>
      <c r="V22" s="3919"/>
      <c r="W22" s="3919"/>
      <c r="X22" s="3919"/>
      <c r="Y22" s="3919"/>
      <c r="Z22" s="798"/>
      <c r="AA22" s="798"/>
      <c r="AB22" s="798"/>
      <c r="AC22" s="798"/>
      <c r="AD22" s="798"/>
      <c r="AE22" s="798"/>
      <c r="AF22" s="798"/>
      <c r="AG22" s="798"/>
      <c r="AH22" s="798"/>
      <c r="AI22" s="798"/>
      <c r="AJ22" s="798"/>
      <c r="AK22" s="798"/>
      <c r="AL22" s="798"/>
      <c r="AM22" s="798"/>
      <c r="AN22" s="798"/>
      <c r="AO22" s="798"/>
      <c r="AP22" s="798"/>
      <c r="AQ22" s="798"/>
      <c r="AR22" s="798"/>
      <c r="AS22" s="798"/>
      <c r="AT22" s="798"/>
      <c r="AU22" s="798"/>
      <c r="AV22" s="798"/>
      <c r="AW22" s="798"/>
      <c r="AX22" s="798"/>
      <c r="AY22" s="798"/>
      <c r="AZ22" s="798"/>
      <c r="BA22" s="1436"/>
      <c r="BB22" s="798"/>
      <c r="BC22" s="798"/>
      <c r="BD22" s="798"/>
      <c r="BE22" s="798"/>
      <c r="BF22" s="798"/>
      <c r="BG22" s="798"/>
      <c r="BH22" s="798"/>
      <c r="BI22" s="798"/>
      <c r="BJ22" s="798"/>
      <c r="BK22" s="798"/>
      <c r="BL22" s="798"/>
      <c r="BM22" s="798"/>
      <c r="BN22" s="798"/>
      <c r="BO22" s="798"/>
      <c r="BP22" s="798"/>
      <c r="BQ22" s="798"/>
      <c r="BR22" s="798"/>
    </row>
    <row r="23" spans="1:70" ht="5.0999999999999996" customHeight="1" thickBot="1">
      <c r="A23" s="798"/>
      <c r="B23" s="1437"/>
      <c r="C23" s="1438"/>
      <c r="D23" s="1439"/>
      <c r="E23" s="1435"/>
      <c r="F23" s="1435"/>
      <c r="G23" s="1435"/>
      <c r="H23" s="1435"/>
      <c r="I23" s="1435"/>
      <c r="J23" s="1435"/>
      <c r="K23" s="1435"/>
      <c r="L23" s="1435"/>
      <c r="M23" s="1435"/>
      <c r="N23" s="1440"/>
      <c r="O23" s="1440"/>
      <c r="P23" s="1440"/>
      <c r="Q23" s="1440"/>
      <c r="R23" s="1440"/>
      <c r="S23" s="1440"/>
      <c r="T23" s="1440"/>
      <c r="U23" s="1440"/>
      <c r="V23" s="1440"/>
      <c r="W23" s="1440"/>
      <c r="X23" s="1440"/>
      <c r="Y23" s="1440"/>
      <c r="Z23" s="1441"/>
      <c r="AA23" s="1441"/>
      <c r="AB23" s="1441"/>
      <c r="AC23" s="1441"/>
      <c r="AD23" s="1441"/>
      <c r="AE23" s="1441"/>
      <c r="AF23" s="1441"/>
      <c r="AG23" s="1441"/>
      <c r="AH23" s="1441"/>
      <c r="AI23" s="1441"/>
      <c r="AJ23" s="1441"/>
      <c r="AK23" s="1441"/>
      <c r="AL23" s="1441"/>
      <c r="AM23" s="1441"/>
      <c r="AN23" s="1441"/>
      <c r="AO23" s="1441"/>
      <c r="AP23" s="1441"/>
      <c r="AQ23" s="1441"/>
      <c r="AR23" s="1441"/>
      <c r="AS23" s="1441"/>
      <c r="AT23" s="1441"/>
      <c r="AU23" s="1441"/>
      <c r="AV23" s="1441"/>
      <c r="AW23" s="1441"/>
      <c r="AX23" s="1441"/>
      <c r="AY23" s="1441"/>
      <c r="AZ23" s="1441"/>
      <c r="BA23" s="1442"/>
      <c r="BB23" s="798"/>
      <c r="BC23" s="798"/>
      <c r="BD23" s="798"/>
      <c r="BE23" s="798"/>
      <c r="BF23" s="798"/>
      <c r="BG23" s="798"/>
      <c r="BH23" s="798"/>
      <c r="BI23" s="798"/>
      <c r="BJ23" s="798"/>
      <c r="BK23" s="798"/>
      <c r="BL23" s="798"/>
      <c r="BM23" s="798"/>
      <c r="BN23" s="798"/>
      <c r="BO23" s="798"/>
      <c r="BP23" s="798"/>
      <c r="BQ23" s="798"/>
      <c r="BR23" s="798"/>
    </row>
    <row r="24" spans="1:70" ht="9.9499999999999993" customHeight="1" thickTop="1">
      <c r="A24" s="798"/>
      <c r="B24" s="1443"/>
      <c r="C24" s="1321"/>
      <c r="D24" s="799"/>
      <c r="E24" s="1444"/>
      <c r="F24" s="1444"/>
      <c r="G24" s="1444"/>
      <c r="H24" s="1444"/>
      <c r="I24" s="1444"/>
      <c r="J24" s="1444"/>
      <c r="K24" s="798"/>
      <c r="L24" s="798"/>
      <c r="M24" s="798"/>
      <c r="N24" s="798"/>
      <c r="O24" s="798"/>
      <c r="P24" s="798"/>
      <c r="Q24" s="798"/>
      <c r="R24" s="798"/>
      <c r="S24" s="798"/>
      <c r="T24" s="798"/>
      <c r="U24" s="798"/>
      <c r="V24" s="798"/>
      <c r="W24" s="798"/>
      <c r="X24" s="798"/>
      <c r="Y24" s="798"/>
      <c r="Z24" s="798"/>
      <c r="AA24" s="798"/>
      <c r="AB24" s="798"/>
      <c r="AC24" s="798"/>
      <c r="AD24" s="798"/>
      <c r="AE24" s="798"/>
      <c r="AF24" s="798"/>
      <c r="AG24" s="798"/>
      <c r="AH24" s="798"/>
      <c r="AI24" s="798"/>
      <c r="AJ24" s="798"/>
      <c r="AK24" s="798"/>
      <c r="AL24" s="798"/>
      <c r="AM24" s="798"/>
      <c r="AN24" s="798"/>
      <c r="AO24" s="798"/>
      <c r="AP24" s="798"/>
      <c r="AQ24" s="798"/>
      <c r="AR24" s="798"/>
      <c r="AS24" s="798"/>
      <c r="AT24" s="798"/>
      <c r="AU24" s="798"/>
      <c r="AV24" s="798"/>
      <c r="AW24" s="798"/>
      <c r="AX24" s="798"/>
      <c r="AY24" s="798"/>
      <c r="AZ24" s="798"/>
      <c r="BA24" s="798"/>
      <c r="BB24" s="798"/>
      <c r="BC24" s="798"/>
      <c r="BD24" s="798"/>
      <c r="BE24" s="798"/>
      <c r="BF24" s="798"/>
      <c r="BG24" s="798"/>
      <c r="BH24" s="798"/>
      <c r="BI24" s="798"/>
      <c r="BJ24" s="798"/>
      <c r="BK24" s="798"/>
      <c r="BL24" s="798"/>
      <c r="BM24" s="798"/>
      <c r="BN24" s="798"/>
      <c r="BO24" s="798"/>
      <c r="BP24" s="798"/>
      <c r="BQ24" s="798"/>
      <c r="BR24" s="798"/>
    </row>
    <row r="25" spans="1:70" s="186" customFormat="1" ht="50.1" customHeight="1">
      <c r="A25" s="802"/>
      <c r="B25" s="803" t="s">
        <v>47</v>
      </c>
      <c r="C25" s="3899" t="s">
        <v>1913</v>
      </c>
      <c r="D25" s="3899"/>
      <c r="E25" s="3899"/>
      <c r="F25" s="3899"/>
      <c r="G25" s="3899"/>
      <c r="H25" s="3899"/>
      <c r="I25" s="3899"/>
      <c r="J25" s="3899"/>
      <c r="K25" s="3899"/>
      <c r="L25" s="3899"/>
      <c r="M25" s="3899"/>
      <c r="N25" s="3899"/>
      <c r="O25" s="3899"/>
      <c r="P25" s="3899"/>
      <c r="Q25" s="3899"/>
      <c r="R25" s="3899"/>
      <c r="S25" s="3899"/>
      <c r="T25" s="3899"/>
      <c r="U25" s="3899"/>
      <c r="V25" s="3899"/>
      <c r="W25" s="3899"/>
      <c r="X25" s="3899"/>
      <c r="Y25" s="3899"/>
      <c r="Z25" s="3899"/>
      <c r="AA25" s="3899"/>
      <c r="AB25" s="3899"/>
      <c r="AC25" s="3899"/>
      <c r="AD25" s="3899"/>
      <c r="AE25" s="3899"/>
      <c r="AF25" s="3899"/>
      <c r="AG25" s="3899"/>
      <c r="AH25" s="3899"/>
      <c r="AI25" s="3899"/>
      <c r="AJ25" s="3899"/>
      <c r="AK25" s="3899"/>
      <c r="AL25" s="3899"/>
      <c r="AM25" s="3899"/>
      <c r="AN25" s="3899"/>
      <c r="AO25" s="3899"/>
      <c r="AP25" s="3899"/>
      <c r="AQ25" s="3899"/>
      <c r="AR25" s="3899"/>
      <c r="AS25" s="3899"/>
      <c r="AT25" s="3899"/>
      <c r="AU25" s="3899"/>
      <c r="AV25" s="3899"/>
      <c r="AW25" s="3899"/>
      <c r="AX25" s="3899"/>
      <c r="AY25" s="3899"/>
      <c r="AZ25" s="3899"/>
      <c r="BA25" s="3899"/>
      <c r="BB25" s="798"/>
      <c r="BC25" s="798"/>
      <c r="BD25" s="802"/>
      <c r="BE25" s="802"/>
      <c r="BF25" s="802"/>
      <c r="BG25" s="802"/>
      <c r="BH25" s="802"/>
      <c r="BI25" s="802"/>
      <c r="BJ25" s="802"/>
      <c r="BK25" s="802"/>
      <c r="BL25" s="802"/>
      <c r="BM25" s="802"/>
      <c r="BN25" s="802"/>
      <c r="BO25" s="802"/>
      <c r="BP25" s="802"/>
      <c r="BQ25" s="802"/>
      <c r="BR25" s="802"/>
    </row>
    <row r="26" spans="1:70" s="186" customFormat="1" ht="51" customHeight="1">
      <c r="A26" s="802"/>
      <c r="B26" s="803" t="s">
        <v>48</v>
      </c>
      <c r="C26" s="3899" t="s">
        <v>1914</v>
      </c>
      <c r="D26" s="3899"/>
      <c r="E26" s="3899"/>
      <c r="F26" s="3899"/>
      <c r="G26" s="3899"/>
      <c r="H26" s="3899"/>
      <c r="I26" s="3899"/>
      <c r="J26" s="3899"/>
      <c r="K26" s="3899"/>
      <c r="L26" s="3899"/>
      <c r="M26" s="3899"/>
      <c r="N26" s="3899"/>
      <c r="O26" s="3899"/>
      <c r="P26" s="3899"/>
      <c r="Q26" s="3899"/>
      <c r="R26" s="3899"/>
      <c r="S26" s="3899"/>
      <c r="T26" s="3899"/>
      <c r="U26" s="3899"/>
      <c r="V26" s="3899"/>
      <c r="W26" s="3899"/>
      <c r="X26" s="3899"/>
      <c r="Y26" s="3899"/>
      <c r="Z26" s="3899"/>
      <c r="AA26" s="3899"/>
      <c r="AB26" s="3899"/>
      <c r="AC26" s="3899"/>
      <c r="AD26" s="3899"/>
      <c r="AE26" s="3899"/>
      <c r="AF26" s="3899"/>
      <c r="AG26" s="3899"/>
      <c r="AH26" s="3899"/>
      <c r="AI26" s="3899"/>
      <c r="AJ26" s="3899"/>
      <c r="AK26" s="3899"/>
      <c r="AL26" s="3899"/>
      <c r="AM26" s="3899"/>
      <c r="AN26" s="3899"/>
      <c r="AO26" s="3899"/>
      <c r="AP26" s="3899"/>
      <c r="AQ26" s="3899"/>
      <c r="AR26" s="3899"/>
      <c r="AS26" s="3899"/>
      <c r="AT26" s="3899"/>
      <c r="AU26" s="3899"/>
      <c r="AV26" s="3899"/>
      <c r="AW26" s="3899"/>
      <c r="AX26" s="3899"/>
      <c r="AY26" s="3899"/>
      <c r="AZ26" s="3899"/>
      <c r="BA26" s="3899"/>
      <c r="BB26" s="802"/>
      <c r="BC26" s="802"/>
      <c r="BD26" s="802"/>
      <c r="BE26" s="802"/>
      <c r="BF26" s="802"/>
      <c r="BG26" s="802"/>
      <c r="BH26" s="802"/>
      <c r="BI26" s="802"/>
      <c r="BJ26" s="802"/>
      <c r="BK26" s="802"/>
      <c r="BL26" s="802"/>
      <c r="BM26" s="802"/>
      <c r="BN26" s="802"/>
      <c r="BO26" s="802"/>
      <c r="BP26" s="802"/>
      <c r="BQ26" s="802"/>
      <c r="BR26" s="802"/>
    </row>
    <row r="27" spans="1:70" s="186" customFormat="1" ht="49.5" customHeight="1">
      <c r="A27" s="802"/>
      <c r="B27" s="803" t="s">
        <v>49</v>
      </c>
      <c r="C27" s="3899" t="s">
        <v>1915</v>
      </c>
      <c r="D27" s="3899"/>
      <c r="E27" s="3899"/>
      <c r="F27" s="3899"/>
      <c r="G27" s="3899"/>
      <c r="H27" s="3899"/>
      <c r="I27" s="3899"/>
      <c r="J27" s="3899"/>
      <c r="K27" s="3899"/>
      <c r="L27" s="3899"/>
      <c r="M27" s="3899"/>
      <c r="N27" s="3899"/>
      <c r="O27" s="3899"/>
      <c r="P27" s="3899"/>
      <c r="Q27" s="3899"/>
      <c r="R27" s="3899"/>
      <c r="S27" s="3899"/>
      <c r="T27" s="3899"/>
      <c r="U27" s="3899"/>
      <c r="V27" s="3899"/>
      <c r="W27" s="3899"/>
      <c r="X27" s="3899"/>
      <c r="Y27" s="3899"/>
      <c r="Z27" s="3899"/>
      <c r="AA27" s="3899"/>
      <c r="AB27" s="3899"/>
      <c r="AC27" s="3899"/>
      <c r="AD27" s="3899"/>
      <c r="AE27" s="3899"/>
      <c r="AF27" s="3899"/>
      <c r="AG27" s="3899"/>
      <c r="AH27" s="3899"/>
      <c r="AI27" s="3899"/>
      <c r="AJ27" s="3899"/>
      <c r="AK27" s="3899"/>
      <c r="AL27" s="3899"/>
      <c r="AM27" s="3899"/>
      <c r="AN27" s="3899"/>
      <c r="AO27" s="3899"/>
      <c r="AP27" s="3899"/>
      <c r="AQ27" s="3899"/>
      <c r="AR27" s="3899"/>
      <c r="AS27" s="3899"/>
      <c r="AT27" s="3899"/>
      <c r="AU27" s="3899"/>
      <c r="AV27" s="3899"/>
      <c r="AW27" s="3899"/>
      <c r="AX27" s="3899"/>
      <c r="AY27" s="3899"/>
      <c r="AZ27" s="3899"/>
      <c r="BA27" s="3899"/>
      <c r="BB27" s="802"/>
      <c r="BC27" s="802"/>
      <c r="BD27" s="802"/>
      <c r="BE27" s="802"/>
      <c r="BF27" s="802"/>
      <c r="BG27" s="802"/>
      <c r="BH27" s="802"/>
      <c r="BI27" s="802"/>
      <c r="BJ27" s="802"/>
      <c r="BK27" s="802"/>
      <c r="BL27" s="802"/>
      <c r="BM27" s="802"/>
      <c r="BN27" s="802"/>
      <c r="BO27" s="802"/>
      <c r="BP27" s="802"/>
      <c r="BQ27" s="802"/>
      <c r="BR27" s="802"/>
    </row>
    <row r="28" spans="1:70" s="186" customFormat="1" ht="66.95" customHeight="1">
      <c r="A28" s="802"/>
      <c r="B28" s="803" t="s">
        <v>50</v>
      </c>
      <c r="C28" s="3899" t="s">
        <v>1916</v>
      </c>
      <c r="D28" s="3899"/>
      <c r="E28" s="3899"/>
      <c r="F28" s="3899"/>
      <c r="G28" s="3899"/>
      <c r="H28" s="3899"/>
      <c r="I28" s="3899"/>
      <c r="J28" s="3899"/>
      <c r="K28" s="3899"/>
      <c r="L28" s="3899"/>
      <c r="M28" s="3899"/>
      <c r="N28" s="3899"/>
      <c r="O28" s="3899"/>
      <c r="P28" s="3899"/>
      <c r="Q28" s="3899"/>
      <c r="R28" s="3899"/>
      <c r="S28" s="3899"/>
      <c r="T28" s="3899"/>
      <c r="U28" s="3899"/>
      <c r="V28" s="3899"/>
      <c r="W28" s="3899"/>
      <c r="X28" s="3899"/>
      <c r="Y28" s="3899"/>
      <c r="Z28" s="3899"/>
      <c r="AA28" s="3899"/>
      <c r="AB28" s="3899"/>
      <c r="AC28" s="3899"/>
      <c r="AD28" s="3899"/>
      <c r="AE28" s="3899"/>
      <c r="AF28" s="3899"/>
      <c r="AG28" s="3899"/>
      <c r="AH28" s="3899"/>
      <c r="AI28" s="3899"/>
      <c r="AJ28" s="3899"/>
      <c r="AK28" s="3899"/>
      <c r="AL28" s="3899"/>
      <c r="AM28" s="3899"/>
      <c r="AN28" s="3899"/>
      <c r="AO28" s="3899"/>
      <c r="AP28" s="3899"/>
      <c r="AQ28" s="3899"/>
      <c r="AR28" s="3899"/>
      <c r="AS28" s="3899"/>
      <c r="AT28" s="3899"/>
      <c r="AU28" s="3899"/>
      <c r="AV28" s="3899"/>
      <c r="AW28" s="3899"/>
      <c r="AX28" s="3899"/>
      <c r="AY28" s="3899"/>
      <c r="AZ28" s="3899"/>
      <c r="BA28" s="3899"/>
      <c r="BB28" s="802"/>
      <c r="BC28" s="802"/>
      <c r="BD28" s="802"/>
      <c r="BE28" s="802"/>
      <c r="BF28" s="802"/>
      <c r="BG28" s="802"/>
      <c r="BH28" s="802"/>
      <c r="BI28" s="802"/>
      <c r="BJ28" s="802"/>
      <c r="BK28" s="802"/>
      <c r="BL28" s="802"/>
      <c r="BM28" s="802"/>
      <c r="BN28" s="802"/>
      <c r="BO28" s="802"/>
      <c r="BP28" s="802"/>
      <c r="BQ28" s="802"/>
      <c r="BR28" s="802"/>
    </row>
    <row r="29" spans="1:70" s="186" customFormat="1" ht="34.5" customHeight="1">
      <c r="A29" s="802"/>
      <c r="B29" s="803" t="s">
        <v>51</v>
      </c>
      <c r="C29" s="3899" t="s">
        <v>1917</v>
      </c>
      <c r="D29" s="3899"/>
      <c r="E29" s="3899"/>
      <c r="F29" s="3899"/>
      <c r="G29" s="3899"/>
      <c r="H29" s="3899"/>
      <c r="I29" s="3899"/>
      <c r="J29" s="3899"/>
      <c r="K29" s="3899"/>
      <c r="L29" s="3899"/>
      <c r="M29" s="3899"/>
      <c r="N29" s="3899"/>
      <c r="O29" s="3899"/>
      <c r="P29" s="3899"/>
      <c r="Q29" s="3899"/>
      <c r="R29" s="3899"/>
      <c r="S29" s="3899"/>
      <c r="T29" s="3899"/>
      <c r="U29" s="3899"/>
      <c r="V29" s="3899"/>
      <c r="W29" s="3899"/>
      <c r="X29" s="3899"/>
      <c r="Y29" s="3899"/>
      <c r="Z29" s="3899"/>
      <c r="AA29" s="3899"/>
      <c r="AB29" s="3899"/>
      <c r="AC29" s="3899"/>
      <c r="AD29" s="3899"/>
      <c r="AE29" s="3899"/>
      <c r="AF29" s="3899"/>
      <c r="AG29" s="3899"/>
      <c r="AH29" s="3899"/>
      <c r="AI29" s="3899"/>
      <c r="AJ29" s="3899"/>
      <c r="AK29" s="3899"/>
      <c r="AL29" s="3899"/>
      <c r="AM29" s="3899"/>
      <c r="AN29" s="3899"/>
      <c r="AO29" s="3899"/>
      <c r="AP29" s="3899"/>
      <c r="AQ29" s="3899"/>
      <c r="AR29" s="3899"/>
      <c r="AS29" s="3899"/>
      <c r="AT29" s="3899"/>
      <c r="AU29" s="3899"/>
      <c r="AV29" s="3899"/>
      <c r="AW29" s="3899"/>
      <c r="AX29" s="3899"/>
      <c r="AY29" s="3899"/>
      <c r="AZ29" s="3899"/>
      <c r="BA29" s="3899"/>
      <c r="BB29" s="802"/>
      <c r="BC29" s="802"/>
      <c r="BD29" s="802"/>
      <c r="BE29" s="802"/>
      <c r="BF29" s="802"/>
      <c r="BG29" s="802"/>
      <c r="BH29" s="802"/>
      <c r="BI29" s="802"/>
      <c r="BJ29" s="802"/>
      <c r="BK29" s="802"/>
      <c r="BL29" s="802"/>
      <c r="BM29" s="802"/>
      <c r="BN29" s="802"/>
      <c r="BO29" s="802"/>
      <c r="BP29" s="802"/>
      <c r="BQ29" s="802"/>
      <c r="BR29" s="802"/>
    </row>
    <row r="30" spans="1:70" s="186" customFormat="1" ht="69.95" customHeight="1">
      <c r="A30" s="802"/>
      <c r="B30" s="803" t="s">
        <v>52</v>
      </c>
      <c r="C30" s="3899" t="s">
        <v>1918</v>
      </c>
      <c r="D30" s="3899"/>
      <c r="E30" s="3899"/>
      <c r="F30" s="3899"/>
      <c r="G30" s="3899"/>
      <c r="H30" s="3899"/>
      <c r="I30" s="3899"/>
      <c r="J30" s="3899"/>
      <c r="K30" s="3899"/>
      <c r="L30" s="3899"/>
      <c r="M30" s="3899"/>
      <c r="N30" s="3899"/>
      <c r="O30" s="3899"/>
      <c r="P30" s="3899"/>
      <c r="Q30" s="3899"/>
      <c r="R30" s="3899"/>
      <c r="S30" s="3899"/>
      <c r="T30" s="3899"/>
      <c r="U30" s="3899"/>
      <c r="V30" s="3899"/>
      <c r="W30" s="3899"/>
      <c r="X30" s="3899"/>
      <c r="Y30" s="3899"/>
      <c r="Z30" s="3899"/>
      <c r="AA30" s="3899"/>
      <c r="AB30" s="3899"/>
      <c r="AC30" s="3899"/>
      <c r="AD30" s="3899"/>
      <c r="AE30" s="3899"/>
      <c r="AF30" s="3899"/>
      <c r="AG30" s="3899"/>
      <c r="AH30" s="3899"/>
      <c r="AI30" s="3899"/>
      <c r="AJ30" s="3899"/>
      <c r="AK30" s="3899"/>
      <c r="AL30" s="3899"/>
      <c r="AM30" s="3899"/>
      <c r="AN30" s="3899"/>
      <c r="AO30" s="3899"/>
      <c r="AP30" s="3899"/>
      <c r="AQ30" s="3899"/>
      <c r="AR30" s="3899"/>
      <c r="AS30" s="3899"/>
      <c r="AT30" s="3899"/>
      <c r="AU30" s="3899"/>
      <c r="AV30" s="3899"/>
      <c r="AW30" s="3899"/>
      <c r="AX30" s="3899"/>
      <c r="AY30" s="3899"/>
      <c r="AZ30" s="3899"/>
      <c r="BA30" s="3899"/>
      <c r="BB30" s="802"/>
      <c r="BC30" s="802"/>
      <c r="BD30" s="802"/>
      <c r="BE30" s="802"/>
      <c r="BF30" s="802"/>
      <c r="BG30" s="802"/>
      <c r="BH30" s="802"/>
      <c r="BI30" s="802"/>
      <c r="BJ30" s="802"/>
      <c r="BK30" s="802"/>
      <c r="BL30" s="802"/>
      <c r="BM30" s="802"/>
      <c r="BN30" s="802"/>
      <c r="BO30" s="802"/>
      <c r="BP30" s="802"/>
      <c r="BQ30" s="802"/>
      <c r="BR30" s="802"/>
    </row>
    <row r="31" spans="1:70" s="186" customFormat="1" ht="38.1" customHeight="1">
      <c r="A31" s="802"/>
      <c r="B31" s="803" t="s">
        <v>53</v>
      </c>
      <c r="C31" s="3899" t="s">
        <v>1919</v>
      </c>
      <c r="D31" s="3899"/>
      <c r="E31" s="3899"/>
      <c r="F31" s="3899"/>
      <c r="G31" s="3899"/>
      <c r="H31" s="3899"/>
      <c r="I31" s="3899"/>
      <c r="J31" s="3899"/>
      <c r="K31" s="3899"/>
      <c r="L31" s="3899"/>
      <c r="M31" s="3899"/>
      <c r="N31" s="3899"/>
      <c r="O31" s="3899"/>
      <c r="P31" s="3899"/>
      <c r="Q31" s="3899"/>
      <c r="R31" s="3899"/>
      <c r="S31" s="3899"/>
      <c r="T31" s="3899"/>
      <c r="U31" s="3899"/>
      <c r="V31" s="3899"/>
      <c r="W31" s="3899"/>
      <c r="X31" s="3899"/>
      <c r="Y31" s="3899"/>
      <c r="Z31" s="3899"/>
      <c r="AA31" s="3899"/>
      <c r="AB31" s="3899"/>
      <c r="AC31" s="3899"/>
      <c r="AD31" s="3899"/>
      <c r="AE31" s="3899"/>
      <c r="AF31" s="3899"/>
      <c r="AG31" s="3899"/>
      <c r="AH31" s="3899"/>
      <c r="AI31" s="3899"/>
      <c r="AJ31" s="3899"/>
      <c r="AK31" s="3899"/>
      <c r="AL31" s="3899"/>
      <c r="AM31" s="3899"/>
      <c r="AN31" s="3899"/>
      <c r="AO31" s="3899"/>
      <c r="AP31" s="3899"/>
      <c r="AQ31" s="3899"/>
      <c r="AR31" s="3899"/>
      <c r="AS31" s="3899"/>
      <c r="AT31" s="3899"/>
      <c r="AU31" s="3899"/>
      <c r="AV31" s="3899"/>
      <c r="AW31" s="3899"/>
      <c r="AX31" s="3899"/>
      <c r="AY31" s="3899"/>
      <c r="AZ31" s="3899"/>
      <c r="BA31" s="3899"/>
      <c r="BB31" s="802"/>
      <c r="BC31" s="802"/>
      <c r="BD31" s="802"/>
      <c r="BE31" s="802"/>
      <c r="BF31" s="802"/>
      <c r="BG31" s="802"/>
      <c r="BH31" s="802"/>
      <c r="BI31" s="802"/>
      <c r="BJ31" s="802"/>
      <c r="BK31" s="802"/>
      <c r="BL31" s="802"/>
      <c r="BM31" s="802"/>
      <c r="BN31" s="802"/>
      <c r="BO31" s="802"/>
      <c r="BP31" s="802"/>
      <c r="BQ31" s="802"/>
      <c r="BR31" s="802"/>
    </row>
    <row r="32" spans="1:70" s="186" customFormat="1" ht="51" customHeight="1">
      <c r="A32" s="802"/>
      <c r="B32" s="803" t="s">
        <v>54</v>
      </c>
      <c r="C32" s="3899" t="s">
        <v>1920</v>
      </c>
      <c r="D32" s="3899"/>
      <c r="E32" s="3899"/>
      <c r="F32" s="3899"/>
      <c r="G32" s="3899"/>
      <c r="H32" s="3899"/>
      <c r="I32" s="3899"/>
      <c r="J32" s="3899"/>
      <c r="K32" s="3899"/>
      <c r="L32" s="3899"/>
      <c r="M32" s="3899"/>
      <c r="N32" s="3899"/>
      <c r="O32" s="3899"/>
      <c r="P32" s="3899"/>
      <c r="Q32" s="3899"/>
      <c r="R32" s="3899"/>
      <c r="S32" s="3899"/>
      <c r="T32" s="3899"/>
      <c r="U32" s="3899"/>
      <c r="V32" s="3899"/>
      <c r="W32" s="3899"/>
      <c r="X32" s="3899"/>
      <c r="Y32" s="3899"/>
      <c r="Z32" s="3899"/>
      <c r="AA32" s="3899"/>
      <c r="AB32" s="3899"/>
      <c r="AC32" s="3899"/>
      <c r="AD32" s="3899"/>
      <c r="AE32" s="3899"/>
      <c r="AF32" s="3899"/>
      <c r="AG32" s="3899"/>
      <c r="AH32" s="3899"/>
      <c r="AI32" s="3899"/>
      <c r="AJ32" s="3899"/>
      <c r="AK32" s="3899"/>
      <c r="AL32" s="3899"/>
      <c r="AM32" s="3899"/>
      <c r="AN32" s="3899"/>
      <c r="AO32" s="3899"/>
      <c r="AP32" s="3899"/>
      <c r="AQ32" s="3899"/>
      <c r="AR32" s="3899"/>
      <c r="AS32" s="3899"/>
      <c r="AT32" s="3899"/>
      <c r="AU32" s="3899"/>
      <c r="AV32" s="3899"/>
      <c r="AW32" s="3899"/>
      <c r="AX32" s="3899"/>
      <c r="AY32" s="3899"/>
      <c r="AZ32" s="3899"/>
      <c r="BA32" s="3899"/>
      <c r="BB32" s="802"/>
      <c r="BC32" s="802"/>
      <c r="BD32" s="802"/>
      <c r="BE32" s="802"/>
      <c r="BF32" s="802"/>
      <c r="BG32" s="802"/>
      <c r="BH32" s="802"/>
      <c r="BI32" s="802"/>
      <c r="BJ32" s="802"/>
      <c r="BK32" s="802"/>
      <c r="BL32" s="802"/>
      <c r="BM32" s="802"/>
      <c r="BN32" s="802"/>
      <c r="BO32" s="802"/>
      <c r="BP32" s="802"/>
      <c r="BQ32" s="802"/>
      <c r="BR32" s="802"/>
    </row>
    <row r="33" spans="1:70" s="186" customFormat="1" ht="15.6" customHeight="1">
      <c r="A33" s="802"/>
      <c r="B33" s="1382"/>
      <c r="C33" s="1382"/>
      <c r="D33" s="1382"/>
      <c r="E33" s="1382"/>
      <c r="F33" s="1382"/>
      <c r="G33" s="1382"/>
      <c r="H33" s="1382"/>
      <c r="I33" s="1382"/>
      <c r="J33" s="1382"/>
      <c r="K33" s="1382"/>
      <c r="L33" s="1382"/>
      <c r="M33" s="1382"/>
      <c r="N33" s="1382"/>
      <c r="O33" s="1382"/>
      <c r="P33" s="1382"/>
      <c r="Q33" s="1382"/>
      <c r="R33" s="1382"/>
      <c r="S33" s="1382"/>
      <c r="T33" s="1382"/>
      <c r="U33" s="1382"/>
      <c r="V33" s="1382"/>
      <c r="W33" s="1382"/>
      <c r="X33" s="1382"/>
      <c r="Y33" s="1382"/>
      <c r="Z33" s="1382"/>
      <c r="AA33" s="1382"/>
      <c r="AB33" s="802"/>
      <c r="AC33" s="802"/>
      <c r="AD33" s="802"/>
      <c r="AE33" s="802"/>
      <c r="AF33" s="802"/>
      <c r="AG33" s="802"/>
      <c r="AH33" s="802"/>
      <c r="AI33" s="802"/>
      <c r="AJ33" s="802"/>
      <c r="AK33" s="802"/>
      <c r="AL33" s="802"/>
      <c r="AM33" s="802"/>
      <c r="AN33" s="802"/>
      <c r="AO33" s="802"/>
      <c r="AP33" s="802"/>
      <c r="AQ33" s="802"/>
      <c r="AR33" s="802"/>
      <c r="AS33" s="802"/>
      <c r="AT33" s="802"/>
      <c r="AU33" s="802"/>
      <c r="AV33" s="802"/>
      <c r="AW33" s="802"/>
      <c r="AX33" s="802"/>
      <c r="AY33" s="802"/>
      <c r="AZ33" s="802"/>
      <c r="BA33" s="802"/>
      <c r="BB33" s="802"/>
      <c r="BC33" s="802"/>
      <c r="BD33" s="802"/>
      <c r="BE33" s="802"/>
      <c r="BF33" s="802"/>
      <c r="BG33" s="802"/>
      <c r="BH33" s="802"/>
      <c r="BI33" s="802"/>
      <c r="BJ33" s="802"/>
      <c r="BK33" s="802"/>
      <c r="BL33" s="802"/>
      <c r="BM33" s="802"/>
      <c r="BN33" s="802"/>
      <c r="BO33" s="802"/>
      <c r="BP33" s="802"/>
      <c r="BQ33" s="802"/>
      <c r="BR33" s="802"/>
    </row>
    <row r="34" spans="1:70" s="5" customFormat="1" ht="15.75" customHeight="1">
      <c r="A34" s="273"/>
      <c r="B34" s="1445" t="s">
        <v>1117</v>
      </c>
      <c r="C34" s="380"/>
      <c r="D34" s="380"/>
      <c r="E34" s="380"/>
      <c r="F34" s="380"/>
      <c r="G34" s="380"/>
      <c r="H34" s="380"/>
      <c r="I34" s="380"/>
      <c r="J34" s="380"/>
      <c r="K34" s="380"/>
      <c r="L34" s="380"/>
      <c r="M34" s="380"/>
      <c r="N34" s="380"/>
      <c r="O34" s="380"/>
      <c r="P34" s="380"/>
      <c r="Q34" s="380"/>
      <c r="R34" s="380"/>
      <c r="S34" s="380"/>
      <c r="T34" s="380"/>
      <c r="U34" s="380"/>
      <c r="V34" s="380"/>
      <c r="W34" s="380"/>
      <c r="X34" s="380"/>
      <c r="Y34" s="380"/>
      <c r="Z34" s="380"/>
      <c r="AA34" s="380"/>
      <c r="AB34" s="380"/>
      <c r="AC34" s="380"/>
      <c r="AD34" s="380"/>
      <c r="AE34" s="380"/>
      <c r="AF34" s="273"/>
      <c r="AG34" s="802"/>
      <c r="AH34" s="802"/>
      <c r="AI34" s="802"/>
      <c r="AJ34" s="802"/>
      <c r="AK34" s="802"/>
      <c r="AL34" s="802"/>
      <c r="AM34" s="802"/>
      <c r="AN34" s="802"/>
      <c r="AO34" s="802"/>
      <c r="AP34" s="802"/>
      <c r="AQ34" s="802"/>
      <c r="AR34" s="802"/>
      <c r="AS34" s="802"/>
      <c r="AT34" s="802"/>
      <c r="AU34" s="802"/>
      <c r="AV34" s="802"/>
      <c r="AW34" s="802"/>
      <c r="AX34" s="802"/>
      <c r="AY34" s="802"/>
      <c r="AZ34" s="802"/>
      <c r="BA34" s="802"/>
      <c r="BB34" s="802"/>
      <c r="BC34" s="802"/>
      <c r="BD34" s="802"/>
      <c r="BE34" s="802"/>
      <c r="BF34" s="273"/>
      <c r="BG34" s="273"/>
      <c r="BH34" s="273"/>
      <c r="BI34" s="273"/>
      <c r="BJ34" s="273"/>
      <c r="BK34" s="273"/>
      <c r="BL34" s="273"/>
      <c r="BM34" s="273"/>
      <c r="BN34" s="273"/>
      <c r="BO34" s="273"/>
      <c r="BP34" s="273"/>
      <c r="BQ34" s="273"/>
      <c r="BR34" s="273"/>
    </row>
    <row r="35" spans="1:70" s="3" customFormat="1" ht="33.75" customHeight="1">
      <c r="A35" s="240"/>
      <c r="B35" s="240"/>
      <c r="C35" s="239"/>
      <c r="D35" s="240"/>
      <c r="E35" s="239"/>
      <c r="F35" s="240"/>
      <c r="G35" s="239"/>
      <c r="H35" s="240"/>
      <c r="I35" s="239"/>
      <c r="J35" s="240"/>
      <c r="K35" s="239"/>
      <c r="L35" s="240"/>
      <c r="M35" s="239"/>
      <c r="N35" s="240"/>
      <c r="O35" s="240"/>
      <c r="P35" s="240"/>
      <c r="Q35" s="240"/>
      <c r="R35" s="239"/>
      <c r="S35" s="240"/>
      <c r="T35" s="239"/>
      <c r="U35" s="240"/>
      <c r="V35" s="239"/>
      <c r="W35" s="240"/>
      <c r="X35" s="239"/>
      <c r="Y35" s="240"/>
      <c r="Z35" s="239"/>
      <c r="AA35" s="240"/>
      <c r="AB35" s="239"/>
      <c r="AC35" s="240"/>
      <c r="AD35" s="240"/>
      <c r="AE35" s="239"/>
      <c r="AF35" s="240"/>
      <c r="AG35" s="240"/>
      <c r="AH35" s="240"/>
      <c r="AI35" s="240"/>
      <c r="AJ35" s="239"/>
      <c r="AK35" s="240"/>
      <c r="AL35" s="239"/>
      <c r="AM35" s="240"/>
      <c r="AN35" s="239"/>
      <c r="AO35" s="240"/>
      <c r="AP35" s="239"/>
      <c r="AQ35" s="240"/>
      <c r="AR35" s="239"/>
      <c r="AS35" s="240"/>
      <c r="AT35" s="239"/>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c r="BQ35" s="240"/>
      <c r="BR35" s="240"/>
    </row>
    <row r="36" spans="1:70" s="37" customFormat="1" ht="15">
      <c r="A36" s="263"/>
      <c r="B36" s="332" t="s">
        <v>32</v>
      </c>
      <c r="C36" s="263"/>
      <c r="D36" s="263"/>
      <c r="E36" s="263"/>
      <c r="F36" s="263"/>
      <c r="G36" s="263"/>
      <c r="H36" s="263"/>
      <c r="I36" s="263"/>
      <c r="J36" s="263"/>
      <c r="K36" s="263"/>
      <c r="L36" s="263"/>
      <c r="M36" s="263"/>
      <c r="N36" s="263"/>
      <c r="O36" s="263"/>
      <c r="P36" s="263"/>
      <c r="Q36" s="263"/>
      <c r="R36" s="263"/>
      <c r="S36" s="263"/>
      <c r="T36" s="332" t="s">
        <v>856</v>
      </c>
      <c r="U36" s="263"/>
      <c r="V36" s="263"/>
      <c r="W36" s="263"/>
      <c r="X36" s="263"/>
      <c r="Y36" s="263"/>
      <c r="Z36" s="263"/>
      <c r="AA36" s="263"/>
      <c r="AB36" s="263"/>
      <c r="AC36" s="263"/>
      <c r="AD36" s="263"/>
      <c r="AE36" s="263"/>
      <c r="AF36" s="263"/>
      <c r="AG36" s="263"/>
      <c r="AH36" s="263"/>
      <c r="AI36" s="263"/>
      <c r="AJ36" s="263"/>
      <c r="AK36" s="263"/>
      <c r="AL36" s="332" t="s">
        <v>33</v>
      </c>
      <c r="AM36" s="263"/>
      <c r="AN36" s="263"/>
      <c r="AO36" s="263"/>
      <c r="AP36" s="263"/>
      <c r="AQ36" s="263"/>
      <c r="AR36" s="263"/>
      <c r="AS36" s="263"/>
      <c r="AT36" s="263"/>
      <c r="AU36" s="263"/>
      <c r="AV36" s="263"/>
      <c r="AW36" s="263"/>
      <c r="AX36" s="263"/>
      <c r="AY36" s="263"/>
      <c r="AZ36" s="263"/>
      <c r="BA36" s="263"/>
      <c r="BB36" s="263"/>
      <c r="BC36" s="263"/>
      <c r="BD36" s="263"/>
      <c r="BE36" s="263"/>
      <c r="BF36" s="263"/>
      <c r="BG36" s="263"/>
      <c r="BH36" s="263"/>
      <c r="BI36" s="263"/>
      <c r="BJ36" s="263"/>
      <c r="BK36" s="263"/>
      <c r="BL36" s="263"/>
      <c r="BM36" s="263"/>
      <c r="BN36" s="263"/>
      <c r="BO36" s="263"/>
      <c r="BP36" s="263"/>
      <c r="BQ36" s="263"/>
      <c r="BR36" s="263"/>
    </row>
    <row r="37" spans="1:70" s="37" customFormat="1" ht="21.75" customHeight="1">
      <c r="A37" s="263"/>
      <c r="B37" s="332" t="s">
        <v>73</v>
      </c>
      <c r="C37" s="263"/>
      <c r="D37" s="263"/>
      <c r="E37" s="263"/>
      <c r="F37" s="2790" t="str">
        <f>activesheet!E21</f>
        <v>MELCHESIEDICK Q. BOLANIO / March 17, 2023</v>
      </c>
      <c r="G37" s="2790"/>
      <c r="H37" s="2790"/>
      <c r="I37" s="2790"/>
      <c r="J37" s="2790"/>
      <c r="K37" s="2790"/>
      <c r="L37" s="2790"/>
      <c r="M37" s="2790"/>
      <c r="N37" s="2790"/>
      <c r="O37" s="2790"/>
      <c r="P37" s="2790"/>
      <c r="Q37" s="2790"/>
      <c r="R37" s="263"/>
      <c r="S37" s="263"/>
      <c r="T37" s="2790" t="str">
        <f>activesheet!E3344</f>
        <v>ELYN KENDRA D. DELA CRUZ / March 17, 2023</v>
      </c>
      <c r="U37" s="2790"/>
      <c r="V37" s="2790"/>
      <c r="W37" s="2790"/>
      <c r="X37" s="2790"/>
      <c r="Y37" s="2790"/>
      <c r="Z37" s="2790"/>
      <c r="AA37" s="2790"/>
      <c r="AB37" s="2790"/>
      <c r="AC37" s="2790"/>
      <c r="AD37" s="2790"/>
      <c r="AE37" s="2790"/>
      <c r="AF37" s="2790"/>
      <c r="AG37" s="2790"/>
      <c r="AH37" s="2790"/>
      <c r="AI37" s="2790"/>
      <c r="AJ37" s="263"/>
      <c r="AK37" s="263"/>
      <c r="AL37" s="1819" t="str">
        <f>activesheet!E25</f>
        <v>MICHAEL T. JAMIS / March 17, 2023</v>
      </c>
      <c r="AM37" s="1819"/>
      <c r="AN37" s="1819"/>
      <c r="AO37" s="1819"/>
      <c r="AP37" s="1819"/>
      <c r="AQ37" s="1819"/>
      <c r="AR37" s="1819"/>
      <c r="AS37" s="1819"/>
      <c r="AT37" s="1819"/>
      <c r="AU37" s="1819"/>
      <c r="AV37" s="1819"/>
      <c r="AW37" s="1819"/>
      <c r="AX37" s="1819"/>
      <c r="AY37" s="1819"/>
      <c r="AZ37" s="1819"/>
      <c r="BA37" s="1819"/>
      <c r="BB37" s="263"/>
      <c r="BC37" s="263"/>
      <c r="BD37" s="263"/>
      <c r="BE37" s="263"/>
      <c r="BF37" s="263"/>
      <c r="BG37" s="263"/>
      <c r="BH37" s="263"/>
      <c r="BI37" s="263"/>
      <c r="BJ37" s="263"/>
      <c r="BK37" s="263"/>
      <c r="BL37" s="263"/>
      <c r="BM37" s="263"/>
      <c r="BN37" s="263"/>
      <c r="BO37" s="263"/>
      <c r="BP37" s="263"/>
      <c r="BQ37" s="263"/>
      <c r="BR37" s="263"/>
    </row>
    <row r="38" spans="1:70" s="39" customFormat="1" ht="15" customHeight="1">
      <c r="A38" s="280"/>
      <c r="B38" s="228"/>
      <c r="C38" s="280"/>
      <c r="D38" s="280"/>
      <c r="E38" s="280"/>
      <c r="F38" s="1811" t="s">
        <v>37</v>
      </c>
      <c r="G38" s="1811"/>
      <c r="H38" s="1811"/>
      <c r="I38" s="1811"/>
      <c r="J38" s="1811"/>
      <c r="K38" s="1811"/>
      <c r="L38" s="1811"/>
      <c r="M38" s="1811"/>
      <c r="N38" s="1811"/>
      <c r="O38" s="1811"/>
      <c r="P38" s="1811"/>
      <c r="Q38" s="1811"/>
      <c r="R38" s="228"/>
      <c r="S38" s="228"/>
      <c r="T38" s="1811" t="s">
        <v>37</v>
      </c>
      <c r="U38" s="1811"/>
      <c r="V38" s="1811"/>
      <c r="W38" s="1811"/>
      <c r="X38" s="1811"/>
      <c r="Y38" s="1811"/>
      <c r="Z38" s="1811"/>
      <c r="AA38" s="1811"/>
      <c r="AB38" s="1811"/>
      <c r="AC38" s="1811"/>
      <c r="AD38" s="1811"/>
      <c r="AE38" s="1811"/>
      <c r="AF38" s="1811"/>
      <c r="AG38" s="1811"/>
      <c r="AH38" s="1811"/>
      <c r="AI38" s="1811"/>
      <c r="AJ38" s="281"/>
      <c r="AK38" s="281"/>
      <c r="AL38" s="1820"/>
      <c r="AM38" s="1820"/>
      <c r="AN38" s="1820"/>
      <c r="AO38" s="1820"/>
      <c r="AP38" s="1820"/>
      <c r="AQ38" s="1820"/>
      <c r="AR38" s="1820"/>
      <c r="AS38" s="1820"/>
      <c r="AT38" s="1820"/>
      <c r="AU38" s="1820"/>
      <c r="AV38" s="1820"/>
      <c r="AW38" s="1820"/>
      <c r="AX38" s="1820"/>
      <c r="AY38" s="1820"/>
      <c r="AZ38" s="1820"/>
      <c r="BA38" s="1820"/>
      <c r="BB38" s="280"/>
      <c r="BC38" s="280"/>
      <c r="BD38" s="280"/>
      <c r="BE38" s="280"/>
      <c r="BF38" s="280"/>
      <c r="BG38" s="280"/>
      <c r="BH38" s="280"/>
      <c r="BI38" s="280"/>
      <c r="BJ38" s="280"/>
      <c r="BK38" s="280"/>
      <c r="BL38" s="280"/>
      <c r="BM38" s="280"/>
      <c r="BN38" s="280"/>
      <c r="BO38" s="280"/>
      <c r="BP38" s="280"/>
      <c r="BQ38" s="280"/>
      <c r="BR38" s="280"/>
    </row>
    <row r="39" spans="1:70" s="37" customFormat="1" ht="21.75" customHeight="1">
      <c r="A39" s="263"/>
      <c r="B39" s="332" t="s">
        <v>58</v>
      </c>
      <c r="C39" s="263"/>
      <c r="D39" s="263"/>
      <c r="E39" s="263"/>
      <c r="F39" s="2790" t="str">
        <f>activesheet!E22</f>
        <v>SECONDARY SCHOOL PRINCIPAL IV</v>
      </c>
      <c r="G39" s="2790"/>
      <c r="H39" s="2790"/>
      <c r="I39" s="2790"/>
      <c r="J39" s="2790"/>
      <c r="K39" s="2790"/>
      <c r="L39" s="2790"/>
      <c r="M39" s="2790"/>
      <c r="N39" s="2790"/>
      <c r="O39" s="2790"/>
      <c r="P39" s="2790"/>
      <c r="Q39" s="2790"/>
      <c r="R39" s="263"/>
      <c r="S39" s="260"/>
      <c r="T39" s="332" t="s">
        <v>58</v>
      </c>
      <c r="U39" s="263"/>
      <c r="V39" s="263"/>
      <c r="W39" s="263"/>
      <c r="X39" s="2790" t="str">
        <f>activesheet!E3345</f>
        <v>PROJECT DEVELOPMENT OFFICER II</v>
      </c>
      <c r="Y39" s="2790"/>
      <c r="Z39" s="2790"/>
      <c r="AA39" s="2790"/>
      <c r="AB39" s="2790"/>
      <c r="AC39" s="2790"/>
      <c r="AD39" s="2790"/>
      <c r="AE39" s="2790"/>
      <c r="AF39" s="2790"/>
      <c r="AG39" s="2790"/>
      <c r="AH39" s="2790"/>
      <c r="AI39" s="2790"/>
      <c r="AJ39" s="263"/>
      <c r="AK39" s="263"/>
      <c r="AL39" s="1811" t="s">
        <v>37</v>
      </c>
      <c r="AM39" s="1811"/>
      <c r="AN39" s="1811"/>
      <c r="AO39" s="1811"/>
      <c r="AP39" s="1811"/>
      <c r="AQ39" s="1811"/>
      <c r="AR39" s="1811"/>
      <c r="AS39" s="1811"/>
      <c r="AT39" s="1811"/>
      <c r="AU39" s="1811"/>
      <c r="AV39" s="1811"/>
      <c r="AW39" s="1811"/>
      <c r="AX39" s="1811"/>
      <c r="AY39" s="1811"/>
      <c r="AZ39" s="1811"/>
      <c r="BA39" s="1811"/>
      <c r="BB39" s="263"/>
      <c r="BC39" s="263"/>
      <c r="BD39" s="263"/>
      <c r="BE39" s="263"/>
      <c r="BF39" s="263"/>
      <c r="BG39" s="263"/>
      <c r="BH39" s="263"/>
      <c r="BI39" s="263"/>
      <c r="BJ39" s="263"/>
      <c r="BK39" s="263"/>
      <c r="BL39" s="263"/>
      <c r="BM39" s="263"/>
      <c r="BN39" s="263"/>
      <c r="BO39" s="263"/>
      <c r="BP39" s="263"/>
      <c r="BQ39" s="263"/>
      <c r="BR39" s="263"/>
    </row>
    <row r="40" spans="1:70">
      <c r="A40" s="798"/>
      <c r="B40" s="799"/>
      <c r="C40" s="799"/>
      <c r="D40" s="799"/>
      <c r="E40" s="263"/>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8"/>
      <c r="AD40" s="798"/>
      <c r="AE40" s="798"/>
      <c r="AF40" s="798"/>
      <c r="AG40" s="798"/>
      <c r="AH40" s="798"/>
      <c r="AI40" s="798"/>
      <c r="AJ40" s="798"/>
      <c r="AK40" s="798"/>
      <c r="AL40" s="798"/>
      <c r="AM40" s="798"/>
      <c r="AN40" s="798"/>
      <c r="AO40" s="798"/>
      <c r="AP40" s="798"/>
      <c r="AQ40" s="798"/>
      <c r="AR40" s="798"/>
      <c r="AS40" s="798"/>
      <c r="AT40" s="798"/>
      <c r="AU40" s="798"/>
      <c r="AV40" s="798"/>
      <c r="AW40" s="798"/>
      <c r="AX40" s="798"/>
      <c r="AY40" s="798"/>
      <c r="AZ40" s="798"/>
      <c r="BA40" s="798"/>
      <c r="BB40" s="798"/>
      <c r="BC40" s="798"/>
      <c r="BD40" s="798"/>
      <c r="BE40" s="798"/>
      <c r="BF40" s="798"/>
      <c r="BG40" s="798"/>
      <c r="BH40" s="798"/>
      <c r="BI40" s="798"/>
      <c r="BJ40" s="798"/>
      <c r="BK40" s="798"/>
      <c r="BL40" s="798"/>
      <c r="BM40" s="798"/>
      <c r="BN40" s="798"/>
      <c r="BO40" s="798"/>
      <c r="BP40" s="798"/>
      <c r="BQ40" s="798"/>
      <c r="BR40" s="798"/>
    </row>
    <row r="41" spans="1:70">
      <c r="A41" s="798"/>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8"/>
      <c r="AD41" s="798"/>
      <c r="AE41" s="798"/>
      <c r="AF41" s="798"/>
      <c r="AG41" s="798"/>
      <c r="AH41" s="798"/>
      <c r="AI41" s="798"/>
      <c r="AJ41" s="798"/>
      <c r="AK41" s="798"/>
      <c r="AL41" s="798"/>
      <c r="AM41" s="798"/>
      <c r="AN41" s="798"/>
      <c r="AO41" s="798"/>
      <c r="AP41" s="798"/>
      <c r="AQ41" s="798"/>
      <c r="AR41" s="798"/>
      <c r="AS41" s="798"/>
      <c r="AT41" s="798"/>
      <c r="AU41" s="798"/>
      <c r="AV41" s="798"/>
      <c r="AW41" s="798"/>
      <c r="AX41" s="798"/>
      <c r="AY41" s="798"/>
      <c r="AZ41" s="798"/>
      <c r="BA41" s="798"/>
      <c r="BB41" s="798"/>
      <c r="BC41" s="798"/>
      <c r="BD41" s="798"/>
      <c r="BE41" s="798"/>
      <c r="BF41" s="798"/>
      <c r="BG41" s="798"/>
      <c r="BH41" s="798"/>
      <c r="BI41" s="798"/>
      <c r="BJ41" s="798"/>
      <c r="BK41" s="798"/>
      <c r="BL41" s="798"/>
      <c r="BM41" s="798"/>
      <c r="BN41" s="798"/>
      <c r="BO41" s="798"/>
      <c r="BP41" s="798"/>
      <c r="BQ41" s="798"/>
      <c r="BR41" s="798"/>
    </row>
    <row r="42" spans="1:70">
      <c r="A42" s="798"/>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8"/>
      <c r="AD42" s="798"/>
      <c r="AE42" s="798"/>
      <c r="AF42" s="798"/>
      <c r="AG42" s="798"/>
      <c r="AH42" s="798"/>
      <c r="AI42" s="798"/>
      <c r="AJ42" s="798"/>
      <c r="AK42" s="798"/>
      <c r="AL42" s="798"/>
      <c r="AM42" s="798"/>
      <c r="AN42" s="798"/>
      <c r="AO42" s="798"/>
      <c r="AP42" s="798"/>
      <c r="AQ42" s="798"/>
      <c r="AR42" s="798"/>
      <c r="AS42" s="798"/>
      <c r="AT42" s="798"/>
      <c r="AU42" s="798"/>
      <c r="AV42" s="798"/>
      <c r="AW42" s="798"/>
      <c r="AX42" s="798"/>
      <c r="AY42" s="798"/>
      <c r="AZ42" s="798"/>
      <c r="BA42" s="798"/>
      <c r="BB42" s="798"/>
      <c r="BC42" s="798"/>
      <c r="BD42" s="798"/>
      <c r="BE42" s="798"/>
      <c r="BF42" s="798"/>
      <c r="BG42" s="798"/>
      <c r="BH42" s="798"/>
      <c r="BI42" s="798"/>
      <c r="BJ42" s="798"/>
      <c r="BK42" s="798"/>
      <c r="BL42" s="798"/>
      <c r="BM42" s="798"/>
      <c r="BN42" s="798"/>
      <c r="BO42" s="798"/>
      <c r="BP42" s="798"/>
      <c r="BQ42" s="798"/>
      <c r="BR42" s="798"/>
    </row>
    <row r="43" spans="1:70">
      <c r="A43" s="798"/>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8"/>
      <c r="AD43" s="798"/>
      <c r="AE43" s="798"/>
      <c r="AF43" s="798"/>
      <c r="AG43" s="798"/>
      <c r="AH43" s="798"/>
      <c r="AI43" s="798"/>
      <c r="AJ43" s="798"/>
      <c r="AK43" s="798"/>
      <c r="AL43" s="798"/>
      <c r="AM43" s="798"/>
      <c r="AN43" s="798"/>
      <c r="AO43" s="798"/>
      <c r="AP43" s="798"/>
      <c r="AQ43" s="798"/>
      <c r="AR43" s="798"/>
      <c r="AS43" s="798"/>
      <c r="AT43" s="798"/>
      <c r="AU43" s="798"/>
      <c r="AV43" s="798"/>
      <c r="AW43" s="798"/>
      <c r="AX43" s="798"/>
      <c r="AY43" s="798"/>
      <c r="AZ43" s="798"/>
      <c r="BA43" s="798"/>
      <c r="BB43" s="798"/>
      <c r="BC43" s="798"/>
      <c r="BD43" s="798"/>
      <c r="BE43" s="798"/>
      <c r="BF43" s="798"/>
      <c r="BG43" s="798"/>
      <c r="BH43" s="798"/>
      <c r="BI43" s="798"/>
      <c r="BJ43" s="798"/>
      <c r="BK43" s="798"/>
      <c r="BL43" s="798"/>
      <c r="BM43" s="798"/>
      <c r="BN43" s="798"/>
      <c r="BO43" s="798"/>
      <c r="BP43" s="798"/>
      <c r="BQ43" s="798"/>
      <c r="BR43" s="798"/>
    </row>
    <row r="44" spans="1:70">
      <c r="A44" s="798"/>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8"/>
      <c r="AD44" s="798"/>
      <c r="AE44" s="798"/>
      <c r="AF44" s="798"/>
      <c r="AG44" s="798"/>
      <c r="AH44" s="798"/>
      <c r="AI44" s="798"/>
      <c r="AJ44" s="798"/>
      <c r="AK44" s="798"/>
      <c r="AL44" s="798"/>
      <c r="AM44" s="798"/>
      <c r="AN44" s="798"/>
      <c r="AO44" s="798"/>
      <c r="AP44" s="798"/>
      <c r="AQ44" s="798"/>
      <c r="AR44" s="798"/>
      <c r="AS44" s="798"/>
      <c r="AT44" s="798"/>
      <c r="AU44" s="798"/>
      <c r="AV44" s="798"/>
      <c r="AW44" s="798"/>
      <c r="AX44" s="798"/>
      <c r="AY44" s="798"/>
      <c r="AZ44" s="798"/>
      <c r="BA44" s="798"/>
      <c r="BB44" s="798"/>
      <c r="BC44" s="798"/>
      <c r="BD44" s="798"/>
      <c r="BE44" s="798"/>
      <c r="BF44" s="798"/>
      <c r="BG44" s="798"/>
      <c r="BH44" s="798"/>
      <c r="BI44" s="798"/>
      <c r="BJ44" s="798"/>
      <c r="BK44" s="798"/>
      <c r="BL44" s="798"/>
      <c r="BM44" s="798"/>
      <c r="BN44" s="798"/>
      <c r="BO44" s="798"/>
      <c r="BP44" s="798"/>
      <c r="BQ44" s="798"/>
      <c r="BR44" s="798"/>
    </row>
    <row r="45" spans="1:70">
      <c r="A45" s="798"/>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8"/>
      <c r="AD45" s="798"/>
      <c r="AE45" s="798"/>
      <c r="AF45" s="798"/>
      <c r="AG45" s="798"/>
      <c r="AH45" s="798"/>
      <c r="AI45" s="798"/>
      <c r="AJ45" s="798"/>
      <c r="AK45" s="798"/>
      <c r="AL45" s="798"/>
      <c r="AM45" s="798"/>
      <c r="AN45" s="798"/>
      <c r="AO45" s="798"/>
      <c r="AP45" s="798"/>
      <c r="AQ45" s="798"/>
      <c r="AR45" s="798"/>
      <c r="AS45" s="798"/>
      <c r="AT45" s="798"/>
      <c r="AU45" s="798"/>
      <c r="AV45" s="798"/>
      <c r="AW45" s="798"/>
      <c r="AX45" s="798"/>
      <c r="AY45" s="798"/>
      <c r="AZ45" s="798"/>
      <c r="BA45" s="798"/>
      <c r="BB45" s="798"/>
      <c r="BC45" s="798"/>
      <c r="BD45" s="798"/>
      <c r="BE45" s="798"/>
      <c r="BF45" s="798"/>
      <c r="BG45" s="798"/>
      <c r="BH45" s="798"/>
      <c r="BI45" s="798"/>
      <c r="BJ45" s="798"/>
      <c r="BK45" s="798"/>
      <c r="BL45" s="798"/>
      <c r="BM45" s="798"/>
      <c r="BN45" s="798"/>
      <c r="BO45" s="798"/>
      <c r="BP45" s="798"/>
      <c r="BQ45" s="798"/>
      <c r="BR45" s="798"/>
    </row>
    <row r="46" spans="1:70">
      <c r="A46" s="798"/>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8"/>
      <c r="AD46" s="798"/>
      <c r="AE46" s="798"/>
      <c r="AF46" s="798"/>
      <c r="AG46" s="798"/>
      <c r="AH46" s="798"/>
      <c r="AI46" s="798"/>
      <c r="AJ46" s="798"/>
      <c r="AK46" s="798"/>
      <c r="AL46" s="798"/>
      <c r="AM46" s="798"/>
      <c r="AN46" s="798"/>
      <c r="AO46" s="798"/>
      <c r="AP46" s="798"/>
      <c r="AQ46" s="798"/>
      <c r="AR46" s="798"/>
      <c r="AS46" s="798"/>
      <c r="AT46" s="798"/>
      <c r="AU46" s="798"/>
      <c r="AV46" s="798"/>
      <c r="AW46" s="798"/>
      <c r="AX46" s="798"/>
      <c r="AY46" s="798"/>
      <c r="AZ46" s="798"/>
      <c r="BA46" s="798"/>
      <c r="BB46" s="798"/>
      <c r="BC46" s="798"/>
      <c r="BD46" s="798"/>
      <c r="BE46" s="798"/>
      <c r="BF46" s="798"/>
      <c r="BG46" s="798"/>
      <c r="BH46" s="798"/>
      <c r="BI46" s="798"/>
      <c r="BJ46" s="798"/>
      <c r="BK46" s="798"/>
      <c r="BL46" s="798"/>
      <c r="BM46" s="798"/>
      <c r="BN46" s="798"/>
      <c r="BO46" s="798"/>
      <c r="BP46" s="798"/>
      <c r="BQ46" s="798"/>
      <c r="BR46" s="798"/>
    </row>
    <row r="47" spans="1:70">
      <c r="A47" s="798"/>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8"/>
      <c r="AD47" s="798"/>
      <c r="AE47" s="798"/>
      <c r="AF47" s="798"/>
      <c r="AG47" s="798"/>
      <c r="AH47" s="798"/>
      <c r="AI47" s="798"/>
      <c r="AJ47" s="798"/>
      <c r="AK47" s="798"/>
      <c r="AL47" s="798"/>
      <c r="AM47" s="798"/>
      <c r="AN47" s="798"/>
      <c r="AO47" s="798"/>
      <c r="AP47" s="798"/>
      <c r="AQ47" s="798"/>
      <c r="AR47" s="798"/>
      <c r="AS47" s="798"/>
      <c r="AT47" s="798"/>
      <c r="AU47" s="798"/>
      <c r="AV47" s="798"/>
      <c r="AW47" s="798"/>
      <c r="AX47" s="798"/>
      <c r="AY47" s="798"/>
      <c r="AZ47" s="798"/>
      <c r="BA47" s="798"/>
      <c r="BB47" s="798"/>
      <c r="BC47" s="798"/>
      <c r="BD47" s="798"/>
      <c r="BE47" s="798"/>
      <c r="BF47" s="798"/>
      <c r="BG47" s="798"/>
      <c r="BH47" s="798"/>
      <c r="BI47" s="798"/>
      <c r="BJ47" s="798"/>
      <c r="BK47" s="798"/>
      <c r="BL47" s="798"/>
      <c r="BM47" s="798"/>
      <c r="BN47" s="798"/>
      <c r="BO47" s="798"/>
      <c r="BP47" s="798"/>
      <c r="BQ47" s="798"/>
      <c r="BR47" s="798"/>
    </row>
    <row r="48" spans="1:70">
      <c r="A48" s="798"/>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8"/>
      <c r="AD48" s="798"/>
      <c r="AE48" s="798"/>
      <c r="AF48" s="798"/>
      <c r="AG48" s="798"/>
      <c r="AH48" s="798"/>
      <c r="AI48" s="798"/>
      <c r="AJ48" s="798"/>
      <c r="AK48" s="798"/>
      <c r="AL48" s="798"/>
      <c r="AM48" s="798"/>
      <c r="AN48" s="798"/>
      <c r="AO48" s="798"/>
      <c r="AP48" s="798"/>
      <c r="AQ48" s="798"/>
      <c r="AR48" s="798"/>
      <c r="AS48" s="798"/>
      <c r="AT48" s="798"/>
      <c r="AU48" s="798"/>
      <c r="AV48" s="798"/>
      <c r="AW48" s="798"/>
      <c r="AX48" s="798"/>
      <c r="AY48" s="798"/>
      <c r="AZ48" s="798"/>
      <c r="BA48" s="798"/>
      <c r="BB48" s="798"/>
      <c r="BC48" s="798"/>
      <c r="BD48" s="798"/>
      <c r="BE48" s="798"/>
      <c r="BF48" s="798"/>
      <c r="BG48" s="798"/>
      <c r="BH48" s="798"/>
      <c r="BI48" s="798"/>
      <c r="BJ48" s="798"/>
      <c r="BK48" s="798"/>
      <c r="BL48" s="798"/>
      <c r="BM48" s="798"/>
      <c r="BN48" s="798"/>
      <c r="BO48" s="798"/>
      <c r="BP48" s="798"/>
      <c r="BQ48" s="798"/>
      <c r="BR48" s="798"/>
    </row>
    <row r="49" spans="1:70">
      <c r="A49" s="798"/>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8"/>
      <c r="AD49" s="798"/>
      <c r="AE49" s="798"/>
      <c r="AF49" s="798"/>
      <c r="AG49" s="798"/>
      <c r="AH49" s="798"/>
      <c r="AI49" s="798"/>
      <c r="AJ49" s="798"/>
      <c r="AK49" s="798"/>
      <c r="AL49" s="798"/>
      <c r="AM49" s="798"/>
      <c r="AN49" s="798"/>
      <c r="AO49" s="798"/>
      <c r="AP49" s="798"/>
      <c r="AQ49" s="798"/>
      <c r="AR49" s="798"/>
      <c r="AS49" s="798"/>
      <c r="AT49" s="798"/>
      <c r="AU49" s="798"/>
      <c r="AV49" s="798"/>
      <c r="AW49" s="798"/>
      <c r="AX49" s="798"/>
      <c r="AY49" s="798"/>
      <c r="AZ49" s="798"/>
      <c r="BA49" s="798"/>
      <c r="BB49" s="798"/>
      <c r="BC49" s="798"/>
      <c r="BD49" s="798"/>
      <c r="BE49" s="798"/>
      <c r="BF49" s="798"/>
      <c r="BG49" s="798"/>
      <c r="BH49" s="798"/>
      <c r="BI49" s="798"/>
      <c r="BJ49" s="798"/>
      <c r="BK49" s="798"/>
      <c r="BL49" s="798"/>
      <c r="BM49" s="798"/>
      <c r="BN49" s="798"/>
      <c r="BO49" s="798"/>
      <c r="BP49" s="798"/>
      <c r="BQ49" s="798"/>
      <c r="BR49" s="798"/>
    </row>
    <row r="50" spans="1:70">
      <c r="A50" s="798"/>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8"/>
      <c r="AD50" s="798"/>
      <c r="AE50" s="798"/>
      <c r="AF50" s="798"/>
      <c r="AG50" s="798"/>
      <c r="AH50" s="798"/>
      <c r="AI50" s="798"/>
      <c r="AJ50" s="798"/>
      <c r="AK50" s="798"/>
      <c r="AL50" s="798"/>
      <c r="AM50" s="798"/>
      <c r="AN50" s="798"/>
      <c r="AO50" s="798"/>
      <c r="AP50" s="798"/>
      <c r="AQ50" s="798"/>
      <c r="AR50" s="798"/>
      <c r="AS50" s="798"/>
      <c r="AT50" s="798"/>
      <c r="AU50" s="798"/>
      <c r="AV50" s="798"/>
      <c r="AW50" s="798"/>
      <c r="AX50" s="798"/>
      <c r="AY50" s="798"/>
      <c r="AZ50" s="798"/>
      <c r="BA50" s="798"/>
      <c r="BB50" s="798"/>
      <c r="BC50" s="798"/>
      <c r="BD50" s="798"/>
      <c r="BE50" s="798"/>
      <c r="BF50" s="798"/>
      <c r="BG50" s="798"/>
      <c r="BH50" s="798"/>
      <c r="BI50" s="798"/>
      <c r="BJ50" s="798"/>
      <c r="BK50" s="798"/>
      <c r="BL50" s="798"/>
      <c r="BM50" s="798"/>
      <c r="BN50" s="798"/>
      <c r="BO50" s="798"/>
      <c r="BP50" s="798"/>
      <c r="BQ50" s="798"/>
      <c r="BR50" s="798"/>
    </row>
    <row r="51" spans="1:70">
      <c r="A51" s="798"/>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8"/>
      <c r="AD51" s="798"/>
      <c r="AE51" s="798"/>
      <c r="AF51" s="798"/>
      <c r="AG51" s="798"/>
      <c r="AH51" s="798"/>
      <c r="AI51" s="798"/>
      <c r="AJ51" s="798"/>
      <c r="AK51" s="798"/>
      <c r="AL51" s="798"/>
      <c r="AM51" s="798"/>
      <c r="AN51" s="798"/>
      <c r="AO51" s="798"/>
      <c r="AP51" s="798"/>
      <c r="AQ51" s="798"/>
      <c r="AR51" s="798"/>
      <c r="AS51" s="798"/>
      <c r="AT51" s="798"/>
      <c r="AU51" s="798"/>
      <c r="AV51" s="798"/>
      <c r="AW51" s="798"/>
      <c r="AX51" s="798"/>
      <c r="AY51" s="798"/>
      <c r="AZ51" s="798"/>
      <c r="BA51" s="798"/>
      <c r="BB51" s="798"/>
      <c r="BC51" s="798"/>
      <c r="BD51" s="798"/>
      <c r="BE51" s="798"/>
      <c r="BF51" s="798"/>
      <c r="BG51" s="798"/>
      <c r="BH51" s="798"/>
      <c r="BI51" s="798"/>
      <c r="BJ51" s="798"/>
      <c r="BK51" s="798"/>
      <c r="BL51" s="798"/>
      <c r="BM51" s="798"/>
      <c r="BN51" s="798"/>
      <c r="BO51" s="798"/>
      <c r="BP51" s="798"/>
      <c r="BQ51" s="798"/>
      <c r="BR51" s="798"/>
    </row>
    <row r="52" spans="1:70">
      <c r="A52" s="798"/>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8"/>
      <c r="AD52" s="798"/>
      <c r="AE52" s="798"/>
      <c r="AF52" s="798"/>
      <c r="AG52" s="798"/>
      <c r="AH52" s="798"/>
      <c r="AI52" s="798"/>
      <c r="AJ52" s="798"/>
      <c r="AK52" s="798"/>
      <c r="AL52" s="798"/>
      <c r="AM52" s="798"/>
      <c r="AN52" s="798"/>
      <c r="AO52" s="798"/>
      <c r="AP52" s="798"/>
      <c r="AQ52" s="798"/>
      <c r="AR52" s="798"/>
      <c r="AS52" s="798"/>
      <c r="AT52" s="798"/>
      <c r="AU52" s="798"/>
      <c r="AV52" s="798"/>
      <c r="AW52" s="798"/>
      <c r="AX52" s="798"/>
      <c r="AY52" s="798"/>
      <c r="AZ52" s="798"/>
      <c r="BA52" s="798"/>
      <c r="BB52" s="798"/>
      <c r="BC52" s="798"/>
      <c r="BD52" s="798"/>
      <c r="BE52" s="798"/>
      <c r="BF52" s="798"/>
      <c r="BG52" s="798"/>
      <c r="BH52" s="798"/>
      <c r="BI52" s="798"/>
      <c r="BJ52" s="798"/>
      <c r="BK52" s="798"/>
      <c r="BL52" s="798"/>
      <c r="BM52" s="798"/>
      <c r="BN52" s="798"/>
      <c r="BO52" s="798"/>
      <c r="BP52" s="798"/>
      <c r="BQ52" s="798"/>
      <c r="BR52" s="798"/>
    </row>
    <row r="53" spans="1:70">
      <c r="A53" s="798"/>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8"/>
      <c r="AD53" s="798"/>
      <c r="AE53" s="798"/>
      <c r="AF53" s="798"/>
      <c r="AG53" s="798"/>
      <c r="AH53" s="798"/>
      <c r="AI53" s="798"/>
      <c r="AJ53" s="798"/>
      <c r="AK53" s="798"/>
      <c r="AL53" s="798"/>
      <c r="AM53" s="798"/>
      <c r="AN53" s="798"/>
      <c r="AO53" s="798"/>
      <c r="AP53" s="798"/>
      <c r="AQ53" s="798"/>
      <c r="AR53" s="798"/>
      <c r="AS53" s="798"/>
      <c r="AT53" s="798"/>
      <c r="AU53" s="798"/>
      <c r="AV53" s="798"/>
      <c r="AW53" s="798"/>
      <c r="AX53" s="798"/>
      <c r="AY53" s="798"/>
      <c r="AZ53" s="798"/>
      <c r="BA53" s="798"/>
      <c r="BB53" s="798"/>
      <c r="BC53" s="798"/>
      <c r="BD53" s="798"/>
      <c r="BE53" s="798"/>
      <c r="BF53" s="798"/>
      <c r="BG53" s="798"/>
      <c r="BH53" s="798"/>
      <c r="BI53" s="798"/>
      <c r="BJ53" s="798"/>
      <c r="BK53" s="798"/>
      <c r="BL53" s="798"/>
      <c r="BM53" s="798"/>
      <c r="BN53" s="798"/>
      <c r="BO53" s="798"/>
      <c r="BP53" s="798"/>
      <c r="BQ53" s="798"/>
      <c r="BR53" s="798"/>
    </row>
    <row r="54" spans="1:70">
      <c r="A54" s="798"/>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8"/>
      <c r="AD54" s="798"/>
      <c r="AE54" s="798"/>
      <c r="AF54" s="798"/>
      <c r="AG54" s="798"/>
      <c r="AH54" s="798"/>
      <c r="AI54" s="798"/>
      <c r="AJ54" s="798"/>
      <c r="AK54" s="798"/>
      <c r="AL54" s="798"/>
      <c r="AM54" s="798"/>
      <c r="AN54" s="798"/>
      <c r="AO54" s="798"/>
      <c r="AP54" s="798"/>
      <c r="AQ54" s="798"/>
      <c r="AR54" s="798"/>
      <c r="AS54" s="798"/>
      <c r="AT54" s="798"/>
      <c r="AU54" s="798"/>
      <c r="AV54" s="798"/>
      <c r="AW54" s="798"/>
      <c r="AX54" s="798"/>
      <c r="AY54" s="798"/>
      <c r="AZ54" s="798"/>
      <c r="BA54" s="798"/>
      <c r="BB54" s="798"/>
      <c r="BC54" s="798"/>
      <c r="BD54" s="798"/>
      <c r="BE54" s="798"/>
      <c r="BF54" s="798"/>
      <c r="BG54" s="798"/>
      <c r="BH54" s="798"/>
      <c r="BI54" s="798"/>
      <c r="BJ54" s="798"/>
      <c r="BK54" s="798"/>
      <c r="BL54" s="798"/>
      <c r="BM54" s="798"/>
      <c r="BN54" s="798"/>
      <c r="BO54" s="798"/>
      <c r="BP54" s="798"/>
      <c r="BQ54" s="798"/>
      <c r="BR54" s="798"/>
    </row>
    <row r="55" spans="1:70">
      <c r="A55" s="798"/>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8"/>
      <c r="AD55" s="798"/>
      <c r="AE55" s="798"/>
      <c r="AF55" s="798"/>
      <c r="AG55" s="798"/>
      <c r="AH55" s="798"/>
      <c r="AI55" s="798"/>
      <c r="AJ55" s="798"/>
      <c r="AK55" s="798"/>
      <c r="AL55" s="798"/>
      <c r="AM55" s="798"/>
      <c r="AN55" s="798"/>
      <c r="AO55" s="798"/>
      <c r="AP55" s="798"/>
      <c r="AQ55" s="798"/>
      <c r="AR55" s="798"/>
      <c r="AS55" s="798"/>
      <c r="AT55" s="798"/>
      <c r="AU55" s="798"/>
      <c r="AV55" s="798"/>
      <c r="AW55" s="798"/>
      <c r="AX55" s="798"/>
      <c r="AY55" s="798"/>
      <c r="AZ55" s="798"/>
      <c r="BA55" s="798"/>
      <c r="BB55" s="798"/>
      <c r="BC55" s="798"/>
      <c r="BD55" s="798"/>
      <c r="BE55" s="798"/>
      <c r="BF55" s="798"/>
      <c r="BG55" s="798"/>
      <c r="BH55" s="798"/>
      <c r="BI55" s="798"/>
      <c r="BJ55" s="798"/>
      <c r="BK55" s="798"/>
      <c r="BL55" s="798"/>
      <c r="BM55" s="798"/>
      <c r="BN55" s="798"/>
      <c r="BO55" s="798"/>
      <c r="BP55" s="798"/>
      <c r="BQ55" s="798"/>
      <c r="BR55" s="798"/>
    </row>
    <row r="56" spans="1:70">
      <c r="A56" s="798"/>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8"/>
      <c r="AD56" s="798"/>
      <c r="AE56" s="798"/>
      <c r="AF56" s="798"/>
      <c r="AG56" s="798"/>
      <c r="AH56" s="798"/>
      <c r="AI56" s="798"/>
      <c r="AJ56" s="798"/>
      <c r="AK56" s="798"/>
      <c r="AL56" s="798"/>
      <c r="AM56" s="798"/>
      <c r="AN56" s="798"/>
      <c r="AO56" s="798"/>
      <c r="AP56" s="798"/>
      <c r="AQ56" s="798"/>
      <c r="AR56" s="798"/>
      <c r="AS56" s="798"/>
      <c r="AT56" s="798"/>
      <c r="AU56" s="798"/>
      <c r="AV56" s="798"/>
      <c r="AW56" s="798"/>
      <c r="AX56" s="798"/>
      <c r="AY56" s="798"/>
      <c r="AZ56" s="798"/>
      <c r="BA56" s="798"/>
      <c r="BB56" s="798"/>
      <c r="BC56" s="798"/>
      <c r="BD56" s="798"/>
      <c r="BE56" s="798"/>
      <c r="BF56" s="798"/>
      <c r="BG56" s="798"/>
      <c r="BH56" s="798"/>
      <c r="BI56" s="798"/>
      <c r="BJ56" s="798"/>
      <c r="BK56" s="798"/>
      <c r="BL56" s="798"/>
      <c r="BM56" s="798"/>
      <c r="BN56" s="798"/>
      <c r="BO56" s="798"/>
      <c r="BP56" s="798"/>
      <c r="BQ56" s="798"/>
      <c r="BR56" s="798"/>
    </row>
    <row r="57" spans="1:70">
      <c r="A57" s="798"/>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8"/>
      <c r="AD57" s="798"/>
      <c r="AE57" s="798"/>
      <c r="AF57" s="798"/>
      <c r="AG57" s="798"/>
      <c r="AH57" s="798"/>
      <c r="AI57" s="798"/>
      <c r="AJ57" s="798"/>
      <c r="AK57" s="798"/>
      <c r="AL57" s="798"/>
      <c r="AM57" s="798"/>
      <c r="AN57" s="798"/>
      <c r="AO57" s="798"/>
      <c r="AP57" s="798"/>
      <c r="AQ57" s="798"/>
      <c r="AR57" s="798"/>
      <c r="AS57" s="798"/>
      <c r="AT57" s="798"/>
      <c r="AU57" s="798"/>
      <c r="AV57" s="798"/>
      <c r="AW57" s="798"/>
      <c r="AX57" s="798"/>
      <c r="AY57" s="798"/>
      <c r="AZ57" s="798"/>
      <c r="BA57" s="798"/>
      <c r="BB57" s="798"/>
      <c r="BC57" s="798"/>
      <c r="BD57" s="798"/>
      <c r="BE57" s="798"/>
      <c r="BF57" s="798"/>
      <c r="BG57" s="798"/>
      <c r="BH57" s="798"/>
      <c r="BI57" s="798"/>
      <c r="BJ57" s="798"/>
      <c r="BK57" s="798"/>
      <c r="BL57" s="798"/>
      <c r="BM57" s="798"/>
      <c r="BN57" s="798"/>
      <c r="BO57" s="798"/>
      <c r="BP57" s="798"/>
      <c r="BQ57" s="798"/>
      <c r="BR57" s="798"/>
    </row>
    <row r="58" spans="1:70">
      <c r="A58" s="798"/>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8"/>
      <c r="AD58" s="798"/>
      <c r="AE58" s="798"/>
      <c r="AF58" s="798"/>
      <c r="AG58" s="798"/>
      <c r="AH58" s="798"/>
      <c r="AI58" s="798"/>
      <c r="AJ58" s="798"/>
      <c r="AK58" s="798"/>
      <c r="AL58" s="798"/>
      <c r="AM58" s="798"/>
      <c r="AN58" s="798"/>
      <c r="AO58" s="798"/>
      <c r="AP58" s="798"/>
      <c r="AQ58" s="798"/>
      <c r="AR58" s="798"/>
      <c r="AS58" s="798"/>
      <c r="AT58" s="798"/>
      <c r="AU58" s="798"/>
      <c r="AV58" s="798"/>
      <c r="AW58" s="798"/>
      <c r="AX58" s="798"/>
      <c r="AY58" s="798"/>
      <c r="AZ58" s="798"/>
      <c r="BA58" s="798"/>
      <c r="BB58" s="798"/>
      <c r="BC58" s="798"/>
      <c r="BD58" s="798"/>
      <c r="BE58" s="798"/>
      <c r="BF58" s="798"/>
      <c r="BG58" s="798"/>
      <c r="BH58" s="798"/>
      <c r="BI58" s="798"/>
      <c r="BJ58" s="798"/>
      <c r="BK58" s="798"/>
      <c r="BL58" s="798"/>
      <c r="BM58" s="798"/>
      <c r="BN58" s="798"/>
      <c r="BO58" s="798"/>
      <c r="BP58" s="798"/>
      <c r="BQ58" s="798"/>
      <c r="BR58" s="798"/>
    </row>
    <row r="59" spans="1:70">
      <c r="A59" s="798"/>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8"/>
      <c r="AD59" s="798"/>
      <c r="AE59" s="798"/>
      <c r="AF59" s="798"/>
      <c r="AG59" s="798"/>
      <c r="AH59" s="798"/>
      <c r="AI59" s="798"/>
      <c r="AJ59" s="798"/>
      <c r="AK59" s="798"/>
      <c r="AL59" s="798"/>
      <c r="AM59" s="798"/>
      <c r="AN59" s="798"/>
      <c r="AO59" s="798"/>
      <c r="AP59" s="798"/>
      <c r="AQ59" s="798"/>
      <c r="AR59" s="798"/>
      <c r="AS59" s="798"/>
      <c r="AT59" s="798"/>
      <c r="AU59" s="798"/>
      <c r="AV59" s="798"/>
      <c r="AW59" s="798"/>
      <c r="AX59" s="798"/>
      <c r="AY59" s="798"/>
      <c r="AZ59" s="798"/>
      <c r="BA59" s="798"/>
      <c r="BB59" s="798"/>
      <c r="BC59" s="798"/>
      <c r="BD59" s="798"/>
      <c r="BE59" s="798"/>
      <c r="BF59" s="798"/>
      <c r="BG59" s="798"/>
      <c r="BH59" s="798"/>
      <c r="BI59" s="798"/>
      <c r="BJ59" s="798"/>
      <c r="BK59" s="798"/>
      <c r="BL59" s="798"/>
      <c r="BM59" s="798"/>
      <c r="BN59" s="798"/>
      <c r="BO59" s="798"/>
      <c r="BP59" s="798"/>
      <c r="BQ59" s="798"/>
      <c r="BR59" s="798"/>
    </row>
    <row r="60" spans="1:70">
      <c r="A60" s="798"/>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8"/>
      <c r="AD60" s="798"/>
      <c r="AE60" s="798"/>
      <c r="AF60" s="798"/>
      <c r="AG60" s="798"/>
      <c r="AH60" s="798"/>
      <c r="AI60" s="798"/>
      <c r="AJ60" s="798"/>
      <c r="AK60" s="798"/>
      <c r="AL60" s="798"/>
      <c r="AM60" s="798"/>
      <c r="AN60" s="798"/>
      <c r="AO60" s="798"/>
      <c r="AP60" s="798"/>
      <c r="AQ60" s="798"/>
      <c r="AR60" s="798"/>
      <c r="AS60" s="798"/>
      <c r="AT60" s="798"/>
      <c r="AU60" s="798"/>
      <c r="AV60" s="798"/>
      <c r="AW60" s="798"/>
      <c r="AX60" s="798"/>
      <c r="AY60" s="798"/>
      <c r="AZ60" s="798"/>
      <c r="BA60" s="798"/>
      <c r="BB60" s="798"/>
      <c r="BC60" s="798"/>
      <c r="BD60" s="798"/>
      <c r="BE60" s="798"/>
      <c r="BF60" s="798"/>
      <c r="BG60" s="798"/>
      <c r="BH60" s="798"/>
      <c r="BI60" s="798"/>
      <c r="BJ60" s="798"/>
      <c r="BK60" s="798"/>
      <c r="BL60" s="798"/>
      <c r="BM60" s="798"/>
      <c r="BN60" s="798"/>
      <c r="BO60" s="798"/>
      <c r="BP60" s="798"/>
      <c r="BQ60" s="798"/>
      <c r="BR60" s="798"/>
    </row>
  </sheetData>
  <sheetProtection algorithmName="SHA-512" hashValue="cukLsWX/Ou0tkTZwN4FgHzjXhXaAFSVEwRefAbJtYF7NpqK/UzKMgfOJm6gvkoAgC7Ydbf2MLPIdq5rGvF7PVQ==" saltValue="i7Omgmx5nvRzoNZd/iMRLg==" spinCount="100000" sheet="1" objects="1" scenarios="1"/>
  <customSheetViews>
    <customSheetView guid="{6EFEFCA0-BF14-457A-85A3-29CBF2A862A5}" showGridLines="0" fitToPage="1">
      <selection sqref="A1:BD42"/>
      <pageMargins left="0.23622047244094491" right="0.23622047244094491" top="0.19685039370078741" bottom="0.19685039370078741" header="0" footer="0.11811023622047245"/>
      <printOptions horizontalCentered="1" verticalCentered="1"/>
      <pageSetup paperSize="9" scale="65" orientation="landscape" r:id="rId1"/>
      <headerFooter>
        <oddFooter>&amp;L&amp;10&amp;F &amp;A&amp;R&amp;10Page 54 of 61</oddFooter>
      </headerFooter>
    </customSheetView>
  </customSheetViews>
  <mergeCells count="50">
    <mergeCell ref="D4:Z4"/>
    <mergeCell ref="AF4:AU5"/>
    <mergeCell ref="AW4:AY5"/>
    <mergeCell ref="D5:M8"/>
    <mergeCell ref="N5:S7"/>
    <mergeCell ref="T5:Y7"/>
    <mergeCell ref="AF7:AU8"/>
    <mergeCell ref="AW7:AY8"/>
    <mergeCell ref="N8:P8"/>
    <mergeCell ref="Q8:S8"/>
    <mergeCell ref="T8:V8"/>
    <mergeCell ref="W8:Y8"/>
    <mergeCell ref="D9:D11"/>
    <mergeCell ref="E9:M11"/>
    <mergeCell ref="N9:P11"/>
    <mergeCell ref="Q9:S11"/>
    <mergeCell ref="T9:V11"/>
    <mergeCell ref="W9:Y11"/>
    <mergeCell ref="AG10:AY11"/>
    <mergeCell ref="E12:M14"/>
    <mergeCell ref="N12:P14"/>
    <mergeCell ref="Q12:S14"/>
    <mergeCell ref="T12:V14"/>
    <mergeCell ref="W12:Y14"/>
    <mergeCell ref="AG12:AY13"/>
    <mergeCell ref="AG14:AY15"/>
    <mergeCell ref="F15:M17"/>
    <mergeCell ref="N15:P17"/>
    <mergeCell ref="C30:BA30"/>
    <mergeCell ref="Q15:S17"/>
    <mergeCell ref="T15:V17"/>
    <mergeCell ref="W15:Y17"/>
    <mergeCell ref="AG16:AY20"/>
    <mergeCell ref="D18:F19"/>
    <mergeCell ref="G18:Y22"/>
    <mergeCell ref="C25:BA25"/>
    <mergeCell ref="C26:BA26"/>
    <mergeCell ref="C27:BA27"/>
    <mergeCell ref="C28:BA28"/>
    <mergeCell ref="C29:BA29"/>
    <mergeCell ref="F39:Q39"/>
    <mergeCell ref="X39:AI39"/>
    <mergeCell ref="AL39:BA39"/>
    <mergeCell ref="C31:BA31"/>
    <mergeCell ref="C32:BA32"/>
    <mergeCell ref="F37:Q37"/>
    <mergeCell ref="T37:AI37"/>
    <mergeCell ref="AL37:BA38"/>
    <mergeCell ref="F38:Q38"/>
    <mergeCell ref="T38:AI38"/>
  </mergeCells>
  <dataValidations count="1">
    <dataValidation type="whole" allowBlank="1" showInputMessage="1" showErrorMessage="1" errorTitle="GSHSP SY 2022-2023" error="Please enter valid number between 0-999." sqref="AW4:AY5 AW7:AY8 N9:Y17" xr:uid="{43D2FF62-AF67-4C70-9A16-98291B61268A}">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65" orientation="landscape" r:id="rId2"/>
  <headerFooter>
    <oddFooter>&amp;L&amp;10&amp;F &amp;A&amp;R&amp;10Page 54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94209" r:id="rId5" name="Check Box 1">
              <controlPr defaultSize="0" autoFill="0" autoLine="0" autoPict="0">
                <anchor moveWithCells="1">
                  <from>
                    <xdr:col>31</xdr:col>
                    <xdr:colOff>28575</xdr:colOff>
                    <xdr:row>9</xdr:row>
                    <xdr:rowOff>0</xdr:rowOff>
                  </from>
                  <to>
                    <xdr:col>32</xdr:col>
                    <xdr:colOff>0</xdr:colOff>
                    <xdr:row>10</xdr:row>
                    <xdr:rowOff>9525</xdr:rowOff>
                  </to>
                </anchor>
              </controlPr>
            </control>
          </mc:Choice>
        </mc:AlternateContent>
        <mc:AlternateContent xmlns:mc="http://schemas.openxmlformats.org/markup-compatibility/2006">
          <mc:Choice Requires="x14">
            <control shapeId="94210" r:id="rId6" name="Check Box 2">
              <controlPr defaultSize="0" autoFill="0" autoLine="0" autoPict="0">
                <anchor moveWithCells="1">
                  <from>
                    <xdr:col>31</xdr:col>
                    <xdr:colOff>28575</xdr:colOff>
                    <xdr:row>10</xdr:row>
                    <xdr:rowOff>190500</xdr:rowOff>
                  </from>
                  <to>
                    <xdr:col>31</xdr:col>
                    <xdr:colOff>257175</xdr:colOff>
                    <xdr:row>12</xdr:row>
                    <xdr:rowOff>9525</xdr:rowOff>
                  </to>
                </anchor>
              </controlPr>
            </control>
          </mc:Choice>
        </mc:AlternateContent>
        <mc:AlternateContent xmlns:mc="http://schemas.openxmlformats.org/markup-compatibility/2006">
          <mc:Choice Requires="x14">
            <control shapeId="94211" r:id="rId7" name="Check Box 3">
              <controlPr defaultSize="0" autoFill="0" autoLine="0" autoPict="0">
                <anchor moveWithCells="1">
                  <from>
                    <xdr:col>31</xdr:col>
                    <xdr:colOff>38100</xdr:colOff>
                    <xdr:row>12</xdr:row>
                    <xdr:rowOff>180975</xdr:rowOff>
                  </from>
                  <to>
                    <xdr:col>31</xdr:col>
                    <xdr:colOff>257175</xdr:colOff>
                    <xdr:row>14</xdr:row>
                    <xdr:rowOff>28575</xdr:rowOff>
                  </to>
                </anchor>
              </controlPr>
            </control>
          </mc:Choice>
        </mc:AlternateContent>
        <mc:AlternateContent xmlns:mc="http://schemas.openxmlformats.org/markup-compatibility/2006">
          <mc:Choice Requires="x14">
            <control shapeId="94212" r:id="rId8" name="Check Box 4">
              <controlPr defaultSize="0" autoFill="0" autoLine="0" autoPict="0">
                <anchor moveWithCells="1">
                  <from>
                    <xdr:col>31</xdr:col>
                    <xdr:colOff>38100</xdr:colOff>
                    <xdr:row>14</xdr:row>
                    <xdr:rowOff>161925</xdr:rowOff>
                  </from>
                  <to>
                    <xdr:col>32</xdr:col>
                    <xdr:colOff>28575</xdr:colOff>
                    <xdr:row>16</xdr:row>
                    <xdr:rowOff>28575</xdr:rowOff>
                  </to>
                </anchor>
              </controlPr>
            </control>
          </mc:Choice>
        </mc:AlternateContent>
      </controls>
    </mc:Choice>
  </mc:AlternateConten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2FF9-47C7-4769-9D4A-EC703FEDAF21}">
  <sheetPr codeName="Sheet57">
    <tabColor rgb="FF92D050"/>
    <pageSetUpPr fitToPage="1"/>
  </sheetPr>
  <dimension ref="A1:BX37"/>
  <sheetViews>
    <sheetView showGridLines="0" zoomScaleNormal="100" zoomScaleSheetLayoutView="100" workbookViewId="0">
      <selection sqref="A1:BE22"/>
    </sheetView>
  </sheetViews>
  <sheetFormatPr defaultColWidth="8" defaultRowHeight="15.75"/>
  <cols>
    <col min="1" max="1" width="2.125" style="185" customWidth="1"/>
    <col min="2" max="3" width="3.625" style="185" customWidth="1"/>
    <col min="4" max="30" width="3.625" style="184" customWidth="1"/>
    <col min="31" max="33" width="3.625" style="185" customWidth="1"/>
    <col min="34" max="34" width="2.125" style="185" customWidth="1"/>
    <col min="35" max="53" width="3.625" style="185" customWidth="1"/>
    <col min="54" max="54" width="2.125" style="185" customWidth="1"/>
    <col min="55" max="166" width="3.625" style="185" customWidth="1"/>
    <col min="167" max="16384" width="8" style="185"/>
  </cols>
  <sheetData>
    <row r="1" spans="1:76" ht="12" customHeight="1">
      <c r="A1" s="798"/>
      <c r="B1" s="798"/>
      <c r="C1" s="798"/>
      <c r="D1" s="799"/>
      <c r="E1" s="799"/>
      <c r="F1" s="799"/>
      <c r="G1" s="799"/>
      <c r="H1" s="799"/>
      <c r="I1" s="799"/>
      <c r="J1" s="799"/>
      <c r="K1" s="799"/>
      <c r="L1" s="799"/>
      <c r="M1" s="799"/>
      <c r="N1" s="799"/>
      <c r="O1" s="799"/>
      <c r="P1" s="799"/>
      <c r="Q1" s="799"/>
      <c r="R1" s="799"/>
      <c r="S1" s="799"/>
      <c r="T1" s="799"/>
      <c r="U1" s="799"/>
      <c r="V1" s="799"/>
      <c r="W1" s="799"/>
      <c r="X1" s="799"/>
      <c r="Y1" s="799"/>
      <c r="Z1" s="799"/>
      <c r="AA1" s="799"/>
      <c r="AB1" s="799"/>
      <c r="AC1" s="799"/>
      <c r="AD1" s="799"/>
      <c r="AE1" s="798"/>
      <c r="AF1" s="798"/>
      <c r="AG1" s="798"/>
      <c r="AH1" s="798"/>
      <c r="AI1" s="798"/>
      <c r="AJ1" s="798"/>
      <c r="AK1" s="798"/>
      <c r="AL1" s="798"/>
      <c r="AM1" s="798"/>
      <c r="AN1" s="798"/>
      <c r="AO1" s="798"/>
      <c r="AP1" s="798"/>
      <c r="AQ1" s="798"/>
      <c r="AR1" s="798"/>
      <c r="AS1" s="798"/>
      <c r="AT1" s="798"/>
      <c r="AU1" s="798"/>
      <c r="AV1" s="798"/>
      <c r="AW1" s="798"/>
      <c r="AX1" s="798"/>
      <c r="AY1" s="798"/>
      <c r="AZ1" s="798"/>
      <c r="BA1" s="798"/>
      <c r="BB1" s="798"/>
      <c r="BC1" s="798"/>
      <c r="BD1" s="798"/>
      <c r="BE1" s="798"/>
    </row>
    <row r="2" spans="1:76" s="5" customFormat="1" ht="15.75" customHeight="1">
      <c r="A2" s="273"/>
      <c r="B2" s="800" t="s">
        <v>1921</v>
      </c>
      <c r="C2" s="380"/>
      <c r="D2" s="380"/>
      <c r="E2" s="380"/>
      <c r="F2" s="380"/>
      <c r="G2" s="380"/>
      <c r="H2" s="380"/>
      <c r="I2" s="380"/>
      <c r="J2" s="380"/>
      <c r="K2" s="380"/>
      <c r="L2" s="380"/>
      <c r="M2" s="380"/>
      <c r="N2" s="380"/>
      <c r="O2" s="380"/>
      <c r="P2" s="380"/>
      <c r="Q2" s="380"/>
      <c r="R2" s="380"/>
      <c r="S2" s="380"/>
      <c r="T2" s="380"/>
      <c r="U2" s="380"/>
      <c r="V2" s="380"/>
      <c r="W2" s="380"/>
      <c r="X2" s="380"/>
      <c r="Y2" s="380"/>
      <c r="Z2" s="380"/>
      <c r="AA2" s="380"/>
      <c r="AB2" s="380"/>
      <c r="AC2" s="380"/>
      <c r="AD2" s="380"/>
      <c r="AE2" s="380"/>
      <c r="AF2" s="380"/>
      <c r="AG2" s="380"/>
      <c r="AH2" s="380"/>
      <c r="AI2" s="380"/>
      <c r="AJ2" s="380"/>
      <c r="AK2" s="380"/>
      <c r="AL2" s="380"/>
      <c r="AM2" s="380"/>
      <c r="AN2" s="380"/>
      <c r="AO2" s="380"/>
      <c r="AP2" s="380"/>
      <c r="AQ2" s="380"/>
      <c r="AR2" s="380"/>
      <c r="AS2" s="380"/>
      <c r="AT2" s="380"/>
      <c r="AU2" s="380"/>
      <c r="AV2" s="380"/>
      <c r="AW2" s="380"/>
      <c r="AX2" s="801"/>
      <c r="AY2" s="801"/>
      <c r="AZ2" s="801"/>
      <c r="BA2" s="801"/>
      <c r="BB2" s="801"/>
      <c r="BC2" s="801"/>
      <c r="BD2" s="801"/>
      <c r="BE2" s="801"/>
      <c r="BF2" s="106"/>
      <c r="BG2" s="106"/>
      <c r="BH2" s="106"/>
      <c r="BX2" s="13"/>
    </row>
    <row r="3" spans="1:76" s="5" customFormat="1" ht="15.75" customHeight="1">
      <c r="A3" s="273"/>
      <c r="B3" s="800"/>
      <c r="C3" s="380"/>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80"/>
      <c r="AR3" s="380"/>
      <c r="AS3" s="380"/>
      <c r="AT3" s="380"/>
      <c r="AU3" s="380"/>
      <c r="AV3" s="380"/>
      <c r="AW3" s="380"/>
      <c r="AX3" s="801"/>
      <c r="AY3" s="801"/>
      <c r="AZ3" s="801"/>
      <c r="BA3" s="801"/>
      <c r="BB3" s="801"/>
      <c r="BC3" s="801"/>
      <c r="BD3" s="801"/>
      <c r="BE3" s="801"/>
      <c r="BF3" s="106"/>
      <c r="BG3" s="106"/>
      <c r="BH3" s="106"/>
      <c r="BX3" s="13"/>
    </row>
    <row r="4" spans="1:76" s="186" customFormat="1" ht="38.1" customHeight="1">
      <c r="A4" s="802"/>
      <c r="B4" s="803" t="s">
        <v>55</v>
      </c>
      <c r="C4" s="3899" t="s">
        <v>1922</v>
      </c>
      <c r="D4" s="3899"/>
      <c r="E4" s="3899"/>
      <c r="F4" s="3899"/>
      <c r="G4" s="3899"/>
      <c r="H4" s="3899"/>
      <c r="I4" s="3899"/>
      <c r="J4" s="3899"/>
      <c r="K4" s="3899"/>
      <c r="L4" s="3899"/>
      <c r="M4" s="3899"/>
      <c r="N4" s="3899"/>
      <c r="O4" s="3899"/>
      <c r="P4" s="3899"/>
      <c r="Q4" s="3899"/>
      <c r="R4" s="3899"/>
      <c r="S4" s="3899"/>
      <c r="T4" s="3899"/>
      <c r="U4" s="3899"/>
      <c r="V4" s="3899"/>
      <c r="W4" s="3899"/>
      <c r="X4" s="3899"/>
      <c r="Y4" s="3899"/>
      <c r="Z4" s="3899"/>
      <c r="AA4" s="3899"/>
      <c r="AB4" s="3899"/>
      <c r="AC4" s="3899"/>
      <c r="AD4" s="3899"/>
      <c r="AE4" s="3899"/>
      <c r="AF4" s="3899"/>
      <c r="AG4" s="3899"/>
      <c r="AH4" s="3899"/>
      <c r="AI4" s="3899"/>
      <c r="AJ4" s="3899"/>
      <c r="AK4" s="3899"/>
      <c r="AL4" s="3899"/>
      <c r="AM4" s="3899"/>
      <c r="AN4" s="3899"/>
      <c r="AO4" s="3899"/>
      <c r="AP4" s="3899"/>
      <c r="AQ4" s="3899"/>
      <c r="AR4" s="3899"/>
      <c r="AS4" s="3899"/>
      <c r="AT4" s="3899"/>
      <c r="AU4" s="3899"/>
      <c r="AV4" s="3899"/>
      <c r="AW4" s="3899"/>
      <c r="AX4" s="3899"/>
      <c r="AY4" s="3899"/>
      <c r="AZ4" s="3899"/>
      <c r="BA4" s="3899"/>
      <c r="BB4" s="798"/>
      <c r="BC4" s="798"/>
      <c r="BD4" s="802"/>
      <c r="BE4" s="802"/>
    </row>
    <row r="5" spans="1:76" s="186" customFormat="1" ht="96.6" customHeight="1">
      <c r="A5" s="802"/>
      <c r="B5" s="803" t="s">
        <v>56</v>
      </c>
      <c r="C5" s="3899" t="s">
        <v>1923</v>
      </c>
      <c r="D5" s="3899"/>
      <c r="E5" s="3899"/>
      <c r="F5" s="3899"/>
      <c r="G5" s="3899"/>
      <c r="H5" s="3899"/>
      <c r="I5" s="3899"/>
      <c r="J5" s="3899"/>
      <c r="K5" s="3899"/>
      <c r="L5" s="3899"/>
      <c r="M5" s="3899"/>
      <c r="N5" s="3899"/>
      <c r="O5" s="3899"/>
      <c r="P5" s="3899"/>
      <c r="Q5" s="3899"/>
      <c r="R5" s="3899"/>
      <c r="S5" s="3899"/>
      <c r="T5" s="3899"/>
      <c r="U5" s="3899"/>
      <c r="V5" s="3899"/>
      <c r="W5" s="3899"/>
      <c r="X5" s="3899"/>
      <c r="Y5" s="3899"/>
      <c r="Z5" s="3899"/>
      <c r="AA5" s="3899"/>
      <c r="AB5" s="3899"/>
      <c r="AC5" s="3899"/>
      <c r="AD5" s="3899"/>
      <c r="AE5" s="3899"/>
      <c r="AF5" s="3899"/>
      <c r="AG5" s="3899"/>
      <c r="AH5" s="3899"/>
      <c r="AI5" s="3899"/>
      <c r="AJ5" s="3899"/>
      <c r="AK5" s="3899"/>
      <c r="AL5" s="3899"/>
      <c r="AM5" s="3899"/>
      <c r="AN5" s="3899"/>
      <c r="AO5" s="3899"/>
      <c r="AP5" s="3899"/>
      <c r="AQ5" s="3899"/>
      <c r="AR5" s="3899"/>
      <c r="AS5" s="3899"/>
      <c r="AT5" s="3899"/>
      <c r="AU5" s="3899"/>
      <c r="AV5" s="3899"/>
      <c r="AW5" s="3899"/>
      <c r="AX5" s="3899"/>
      <c r="AY5" s="3899"/>
      <c r="AZ5" s="3899"/>
      <c r="BA5" s="3899"/>
      <c r="BB5" s="798"/>
      <c r="BC5" s="798"/>
      <c r="BD5" s="802"/>
      <c r="BE5" s="802"/>
    </row>
    <row r="6" spans="1:76" s="186" customFormat="1" ht="50.1" customHeight="1">
      <c r="A6" s="802"/>
      <c r="B6" s="803" t="s">
        <v>57</v>
      </c>
      <c r="C6" s="3899" t="s">
        <v>1924</v>
      </c>
      <c r="D6" s="3899"/>
      <c r="E6" s="3899"/>
      <c r="F6" s="3899"/>
      <c r="G6" s="3899"/>
      <c r="H6" s="3899"/>
      <c r="I6" s="3899"/>
      <c r="J6" s="3899"/>
      <c r="K6" s="3899"/>
      <c r="L6" s="3899"/>
      <c r="M6" s="3899"/>
      <c r="N6" s="3899"/>
      <c r="O6" s="3899"/>
      <c r="P6" s="3899"/>
      <c r="Q6" s="3899"/>
      <c r="R6" s="3899"/>
      <c r="S6" s="3899"/>
      <c r="T6" s="3899"/>
      <c r="U6" s="3899"/>
      <c r="V6" s="3899"/>
      <c r="W6" s="3899"/>
      <c r="X6" s="3899"/>
      <c r="Y6" s="3899"/>
      <c r="Z6" s="3899"/>
      <c r="AA6" s="3899"/>
      <c r="AB6" s="3899"/>
      <c r="AC6" s="3899"/>
      <c r="AD6" s="3899"/>
      <c r="AE6" s="3899"/>
      <c r="AF6" s="3899"/>
      <c r="AG6" s="3899"/>
      <c r="AH6" s="3899"/>
      <c r="AI6" s="3899"/>
      <c r="AJ6" s="3899"/>
      <c r="AK6" s="3899"/>
      <c r="AL6" s="3899"/>
      <c r="AM6" s="3899"/>
      <c r="AN6" s="3899"/>
      <c r="AO6" s="3899"/>
      <c r="AP6" s="3899"/>
      <c r="AQ6" s="3899"/>
      <c r="AR6" s="3899"/>
      <c r="AS6" s="3899"/>
      <c r="AT6" s="3899"/>
      <c r="AU6" s="3899"/>
      <c r="AV6" s="3899"/>
      <c r="AW6" s="3899"/>
      <c r="AX6" s="3899"/>
      <c r="AY6" s="3899"/>
      <c r="AZ6" s="3899"/>
      <c r="BA6" s="3899"/>
      <c r="BB6" s="798"/>
      <c r="BC6" s="798"/>
      <c r="BD6" s="802"/>
      <c r="BE6" s="802"/>
    </row>
    <row r="7" spans="1:76" s="186" customFormat="1" ht="50.1" customHeight="1">
      <c r="A7" s="802"/>
      <c r="B7" s="803" t="s">
        <v>752</v>
      </c>
      <c r="C7" s="3899" t="s">
        <v>1925</v>
      </c>
      <c r="D7" s="3899"/>
      <c r="E7" s="3899"/>
      <c r="F7" s="3899"/>
      <c r="G7" s="3899"/>
      <c r="H7" s="3899"/>
      <c r="I7" s="3899"/>
      <c r="J7" s="3899"/>
      <c r="K7" s="3899"/>
      <c r="L7" s="3899"/>
      <c r="M7" s="3899"/>
      <c r="N7" s="3899"/>
      <c r="O7" s="3899"/>
      <c r="P7" s="3899"/>
      <c r="Q7" s="3899"/>
      <c r="R7" s="3899"/>
      <c r="S7" s="3899"/>
      <c r="T7" s="3899"/>
      <c r="U7" s="3899"/>
      <c r="V7" s="3899"/>
      <c r="W7" s="3899"/>
      <c r="X7" s="3899"/>
      <c r="Y7" s="3899"/>
      <c r="Z7" s="3899"/>
      <c r="AA7" s="3899"/>
      <c r="AB7" s="3899"/>
      <c r="AC7" s="3899"/>
      <c r="AD7" s="3899"/>
      <c r="AE7" s="3899"/>
      <c r="AF7" s="3899"/>
      <c r="AG7" s="3899"/>
      <c r="AH7" s="3899"/>
      <c r="AI7" s="3899"/>
      <c r="AJ7" s="3899"/>
      <c r="AK7" s="3899"/>
      <c r="AL7" s="3899"/>
      <c r="AM7" s="3899"/>
      <c r="AN7" s="3899"/>
      <c r="AO7" s="3899"/>
      <c r="AP7" s="3899"/>
      <c r="AQ7" s="3899"/>
      <c r="AR7" s="3899"/>
      <c r="AS7" s="3899"/>
      <c r="AT7" s="3899"/>
      <c r="AU7" s="3899"/>
      <c r="AV7" s="3899"/>
      <c r="AW7" s="3899"/>
      <c r="AX7" s="3899"/>
      <c r="AY7" s="3899"/>
      <c r="AZ7" s="3899"/>
      <c r="BA7" s="3899"/>
      <c r="BB7" s="798"/>
      <c r="BC7" s="798"/>
      <c r="BD7" s="802"/>
      <c r="BE7" s="802"/>
    </row>
    <row r="8" spans="1:76" s="186" customFormat="1" ht="50.1" customHeight="1">
      <c r="A8" s="802"/>
      <c r="B8" s="803" t="s">
        <v>811</v>
      </c>
      <c r="C8" s="3899" t="s">
        <v>1926</v>
      </c>
      <c r="D8" s="3899"/>
      <c r="E8" s="3899"/>
      <c r="F8" s="3899"/>
      <c r="G8" s="3899"/>
      <c r="H8" s="3899"/>
      <c r="I8" s="3899"/>
      <c r="J8" s="3899"/>
      <c r="K8" s="3899"/>
      <c r="L8" s="3899"/>
      <c r="M8" s="3899"/>
      <c r="N8" s="3899"/>
      <c r="O8" s="3899"/>
      <c r="P8" s="3899"/>
      <c r="Q8" s="3899"/>
      <c r="R8" s="3899"/>
      <c r="S8" s="3899"/>
      <c r="T8" s="3899"/>
      <c r="U8" s="3899"/>
      <c r="V8" s="3899"/>
      <c r="W8" s="3899"/>
      <c r="X8" s="3899"/>
      <c r="Y8" s="3899"/>
      <c r="Z8" s="3899"/>
      <c r="AA8" s="3899"/>
      <c r="AB8" s="3899"/>
      <c r="AC8" s="3899"/>
      <c r="AD8" s="3899"/>
      <c r="AE8" s="3899"/>
      <c r="AF8" s="3899"/>
      <c r="AG8" s="3899"/>
      <c r="AH8" s="3899"/>
      <c r="AI8" s="3899"/>
      <c r="AJ8" s="3899"/>
      <c r="AK8" s="3899"/>
      <c r="AL8" s="3899"/>
      <c r="AM8" s="3899"/>
      <c r="AN8" s="3899"/>
      <c r="AO8" s="3899"/>
      <c r="AP8" s="3899"/>
      <c r="AQ8" s="3899"/>
      <c r="AR8" s="3899"/>
      <c r="AS8" s="3899"/>
      <c r="AT8" s="3899"/>
      <c r="AU8" s="3899"/>
      <c r="AV8" s="3899"/>
      <c r="AW8" s="3899"/>
      <c r="AX8" s="3899"/>
      <c r="AY8" s="3899"/>
      <c r="AZ8" s="3899"/>
      <c r="BA8" s="3899"/>
      <c r="BB8" s="798"/>
      <c r="BC8" s="798"/>
      <c r="BD8" s="802"/>
      <c r="BE8" s="802"/>
    </row>
    <row r="9" spans="1:76" s="186" customFormat="1" ht="50.1" customHeight="1">
      <c r="A9" s="802"/>
      <c r="B9" s="803" t="s">
        <v>815</v>
      </c>
      <c r="C9" s="3899" t="s">
        <v>1927</v>
      </c>
      <c r="D9" s="3899"/>
      <c r="E9" s="3899"/>
      <c r="F9" s="3899"/>
      <c r="G9" s="3899"/>
      <c r="H9" s="3899"/>
      <c r="I9" s="3899"/>
      <c r="J9" s="3899"/>
      <c r="K9" s="3899"/>
      <c r="L9" s="3899"/>
      <c r="M9" s="3899"/>
      <c r="N9" s="3899"/>
      <c r="O9" s="3899"/>
      <c r="P9" s="3899"/>
      <c r="Q9" s="3899"/>
      <c r="R9" s="3899"/>
      <c r="S9" s="3899"/>
      <c r="T9" s="3899"/>
      <c r="U9" s="3899"/>
      <c r="V9" s="3899"/>
      <c r="W9" s="3899"/>
      <c r="X9" s="3899"/>
      <c r="Y9" s="3899"/>
      <c r="Z9" s="3899"/>
      <c r="AA9" s="3899"/>
      <c r="AB9" s="3899"/>
      <c r="AC9" s="3899"/>
      <c r="AD9" s="3899"/>
      <c r="AE9" s="3899"/>
      <c r="AF9" s="3899"/>
      <c r="AG9" s="3899"/>
      <c r="AH9" s="3899"/>
      <c r="AI9" s="3899"/>
      <c r="AJ9" s="3899"/>
      <c r="AK9" s="3899"/>
      <c r="AL9" s="3899"/>
      <c r="AM9" s="3899"/>
      <c r="AN9" s="3899"/>
      <c r="AO9" s="3899"/>
      <c r="AP9" s="3899"/>
      <c r="AQ9" s="3899"/>
      <c r="AR9" s="3899"/>
      <c r="AS9" s="3899"/>
      <c r="AT9" s="3899"/>
      <c r="AU9" s="3899"/>
      <c r="AV9" s="3899"/>
      <c r="AW9" s="3899"/>
      <c r="AX9" s="3899"/>
      <c r="AY9" s="3899"/>
      <c r="AZ9" s="3899"/>
      <c r="BA9" s="3899"/>
      <c r="BB9" s="798"/>
      <c r="BC9" s="798"/>
      <c r="BD9" s="802"/>
      <c r="BE9" s="802"/>
    </row>
    <row r="10" spans="1:76" s="186" customFormat="1" ht="50.1" customHeight="1">
      <c r="A10" s="802"/>
      <c r="B10" s="803" t="s">
        <v>819</v>
      </c>
      <c r="C10" s="3899" t="s">
        <v>1928</v>
      </c>
      <c r="D10" s="3899"/>
      <c r="E10" s="3899"/>
      <c r="F10" s="3899"/>
      <c r="G10" s="3899"/>
      <c r="H10" s="3899"/>
      <c r="I10" s="3899"/>
      <c r="J10" s="3899"/>
      <c r="K10" s="3899"/>
      <c r="L10" s="3899"/>
      <c r="M10" s="3899"/>
      <c r="N10" s="3899"/>
      <c r="O10" s="3899"/>
      <c r="P10" s="3899"/>
      <c r="Q10" s="3899"/>
      <c r="R10" s="3899"/>
      <c r="S10" s="3899"/>
      <c r="T10" s="3899"/>
      <c r="U10" s="3899"/>
      <c r="V10" s="3899"/>
      <c r="W10" s="3899"/>
      <c r="X10" s="3899"/>
      <c r="Y10" s="3899"/>
      <c r="Z10" s="3899"/>
      <c r="AA10" s="3899"/>
      <c r="AB10" s="3899"/>
      <c r="AC10" s="3899"/>
      <c r="AD10" s="3899"/>
      <c r="AE10" s="3899"/>
      <c r="AF10" s="3899"/>
      <c r="AG10" s="3899"/>
      <c r="AH10" s="3899"/>
      <c r="AI10" s="3899"/>
      <c r="AJ10" s="3899"/>
      <c r="AK10" s="3899"/>
      <c r="AL10" s="3899"/>
      <c r="AM10" s="3899"/>
      <c r="AN10" s="3899"/>
      <c r="AO10" s="3899"/>
      <c r="AP10" s="3899"/>
      <c r="AQ10" s="3899"/>
      <c r="AR10" s="3899"/>
      <c r="AS10" s="3899"/>
      <c r="AT10" s="3899"/>
      <c r="AU10" s="3899"/>
      <c r="AV10" s="3899"/>
      <c r="AW10" s="3899"/>
      <c r="AX10" s="3899"/>
      <c r="AY10" s="3899"/>
      <c r="AZ10" s="3899"/>
      <c r="BA10" s="3899"/>
      <c r="BB10" s="798"/>
      <c r="BC10" s="798"/>
      <c r="BD10" s="802"/>
      <c r="BE10" s="802"/>
    </row>
    <row r="11" spans="1:76" s="186" customFormat="1" ht="50.1" customHeight="1">
      <c r="A11" s="802"/>
      <c r="B11" s="803" t="s">
        <v>776</v>
      </c>
      <c r="C11" s="3899" t="s">
        <v>1929</v>
      </c>
      <c r="D11" s="3899"/>
      <c r="E11" s="3899"/>
      <c r="F11" s="3899"/>
      <c r="G11" s="3899"/>
      <c r="H11" s="3899"/>
      <c r="I11" s="3899"/>
      <c r="J11" s="3899"/>
      <c r="K11" s="3899"/>
      <c r="L11" s="3899"/>
      <c r="M11" s="3899"/>
      <c r="N11" s="3899"/>
      <c r="O11" s="3899"/>
      <c r="P11" s="3899"/>
      <c r="Q11" s="3899"/>
      <c r="R11" s="3899"/>
      <c r="S11" s="3899"/>
      <c r="T11" s="3899"/>
      <c r="U11" s="3899"/>
      <c r="V11" s="3899"/>
      <c r="W11" s="3899"/>
      <c r="X11" s="3899"/>
      <c r="Y11" s="3899"/>
      <c r="Z11" s="3899"/>
      <c r="AA11" s="3899"/>
      <c r="AB11" s="3899"/>
      <c r="AC11" s="3899"/>
      <c r="AD11" s="3899"/>
      <c r="AE11" s="3899"/>
      <c r="AF11" s="3899"/>
      <c r="AG11" s="3899"/>
      <c r="AH11" s="3899"/>
      <c r="AI11" s="3899"/>
      <c r="AJ11" s="3899"/>
      <c r="AK11" s="3899"/>
      <c r="AL11" s="3899"/>
      <c r="AM11" s="3899"/>
      <c r="AN11" s="3899"/>
      <c r="AO11" s="3899"/>
      <c r="AP11" s="3899"/>
      <c r="AQ11" s="3899"/>
      <c r="AR11" s="3899"/>
      <c r="AS11" s="3899"/>
      <c r="AT11" s="3899"/>
      <c r="AU11" s="3899"/>
      <c r="AV11" s="3899"/>
      <c r="AW11" s="3899"/>
      <c r="AX11" s="3899"/>
      <c r="AY11" s="3899"/>
      <c r="AZ11" s="3899"/>
      <c r="BA11" s="3899"/>
      <c r="BB11" s="798"/>
      <c r="BC11" s="798"/>
      <c r="BD11" s="802"/>
      <c r="BE11" s="802"/>
    </row>
    <row r="12" spans="1:76" s="186" customFormat="1" ht="35.1" customHeight="1">
      <c r="A12" s="802"/>
      <c r="B12" s="803" t="s">
        <v>779</v>
      </c>
      <c r="C12" s="3899" t="s">
        <v>1930</v>
      </c>
      <c r="D12" s="3899"/>
      <c r="E12" s="3899"/>
      <c r="F12" s="3899"/>
      <c r="G12" s="3899"/>
      <c r="H12" s="3899"/>
      <c r="I12" s="3899"/>
      <c r="J12" s="3899"/>
      <c r="K12" s="3899"/>
      <c r="L12" s="3899"/>
      <c r="M12" s="3899"/>
      <c r="N12" s="3899"/>
      <c r="O12" s="3899"/>
      <c r="P12" s="3899"/>
      <c r="Q12" s="3899"/>
      <c r="R12" s="3899"/>
      <c r="S12" s="3899"/>
      <c r="T12" s="3899"/>
      <c r="U12" s="3899"/>
      <c r="V12" s="3899"/>
      <c r="W12" s="3899"/>
      <c r="X12" s="3899"/>
      <c r="Y12" s="3899"/>
      <c r="Z12" s="3899"/>
      <c r="AA12" s="3899"/>
      <c r="AB12" s="3899"/>
      <c r="AC12" s="3899"/>
      <c r="AD12" s="3899"/>
      <c r="AE12" s="3899"/>
      <c r="AF12" s="3899"/>
      <c r="AG12" s="3899"/>
      <c r="AH12" s="3899"/>
      <c r="AI12" s="3899"/>
      <c r="AJ12" s="3899"/>
      <c r="AK12" s="3899"/>
      <c r="AL12" s="3899"/>
      <c r="AM12" s="3899"/>
      <c r="AN12" s="3899"/>
      <c r="AO12" s="3899"/>
      <c r="AP12" s="3899"/>
      <c r="AQ12" s="3899"/>
      <c r="AR12" s="3899"/>
      <c r="AS12" s="3899"/>
      <c r="AT12" s="3899"/>
      <c r="AU12" s="3899"/>
      <c r="AV12" s="3899"/>
      <c r="AW12" s="3899"/>
      <c r="AX12" s="3899"/>
      <c r="AY12" s="3899"/>
      <c r="AZ12" s="3899"/>
      <c r="BA12" s="3899"/>
      <c r="BB12" s="798"/>
      <c r="BC12" s="798"/>
      <c r="BD12" s="802"/>
      <c r="BE12" s="802"/>
    </row>
    <row r="13" spans="1:76" s="186" customFormat="1" ht="85.5" customHeight="1">
      <c r="A13" s="802"/>
      <c r="B13" s="803" t="s">
        <v>782</v>
      </c>
      <c r="C13" s="3899" t="s">
        <v>1931</v>
      </c>
      <c r="D13" s="3899"/>
      <c r="E13" s="3899"/>
      <c r="F13" s="3899"/>
      <c r="G13" s="3899"/>
      <c r="H13" s="3899"/>
      <c r="I13" s="3899"/>
      <c r="J13" s="3899"/>
      <c r="K13" s="3899"/>
      <c r="L13" s="3899"/>
      <c r="M13" s="3899"/>
      <c r="N13" s="3899"/>
      <c r="O13" s="3899"/>
      <c r="P13" s="3899"/>
      <c r="Q13" s="3899"/>
      <c r="R13" s="3899"/>
      <c r="S13" s="3899"/>
      <c r="T13" s="3899"/>
      <c r="U13" s="3899"/>
      <c r="V13" s="3899"/>
      <c r="W13" s="3899"/>
      <c r="X13" s="3899"/>
      <c r="Y13" s="3899"/>
      <c r="Z13" s="3899"/>
      <c r="AA13" s="3899"/>
      <c r="AB13" s="3899"/>
      <c r="AC13" s="3899"/>
      <c r="AD13" s="3899"/>
      <c r="AE13" s="3899"/>
      <c r="AF13" s="3899"/>
      <c r="AG13" s="3899"/>
      <c r="AH13" s="3899"/>
      <c r="AI13" s="3899"/>
      <c r="AJ13" s="3899"/>
      <c r="AK13" s="3899"/>
      <c r="AL13" s="3899"/>
      <c r="AM13" s="3899"/>
      <c r="AN13" s="3899"/>
      <c r="AO13" s="3899"/>
      <c r="AP13" s="3899"/>
      <c r="AQ13" s="3899"/>
      <c r="AR13" s="3899"/>
      <c r="AS13" s="3899"/>
      <c r="AT13" s="3899"/>
      <c r="AU13" s="3899"/>
      <c r="AV13" s="3899"/>
      <c r="AW13" s="3899"/>
      <c r="AX13" s="3899"/>
      <c r="AY13" s="3899"/>
      <c r="AZ13" s="3899"/>
      <c r="BA13" s="3899"/>
      <c r="BB13" s="798"/>
      <c r="BC13" s="798"/>
      <c r="BD13" s="802"/>
      <c r="BE13" s="802"/>
    </row>
    <row r="14" spans="1:76" s="186" customFormat="1" ht="66.599999999999994" customHeight="1">
      <c r="A14" s="802"/>
      <c r="B14" s="803" t="s">
        <v>785</v>
      </c>
      <c r="C14" s="3899" t="s">
        <v>1932</v>
      </c>
      <c r="D14" s="3899"/>
      <c r="E14" s="3899"/>
      <c r="F14" s="3899"/>
      <c r="G14" s="3899"/>
      <c r="H14" s="3899"/>
      <c r="I14" s="3899"/>
      <c r="J14" s="3899"/>
      <c r="K14" s="3899"/>
      <c r="L14" s="3899"/>
      <c r="M14" s="3899"/>
      <c r="N14" s="3899"/>
      <c r="O14" s="3899"/>
      <c r="P14" s="3899"/>
      <c r="Q14" s="3899"/>
      <c r="R14" s="3899"/>
      <c r="S14" s="3899"/>
      <c r="T14" s="3899"/>
      <c r="U14" s="3899"/>
      <c r="V14" s="3899"/>
      <c r="W14" s="3899"/>
      <c r="X14" s="3899"/>
      <c r="Y14" s="3899"/>
      <c r="Z14" s="3899"/>
      <c r="AA14" s="3899"/>
      <c r="AB14" s="3899"/>
      <c r="AC14" s="3899"/>
      <c r="AD14" s="3899"/>
      <c r="AE14" s="3899"/>
      <c r="AF14" s="3899"/>
      <c r="AG14" s="3899"/>
      <c r="AH14" s="3899"/>
      <c r="AI14" s="3899"/>
      <c r="AJ14" s="3899"/>
      <c r="AK14" s="3899"/>
      <c r="AL14" s="3899"/>
      <c r="AM14" s="3899"/>
      <c r="AN14" s="3899"/>
      <c r="AO14" s="3899"/>
      <c r="AP14" s="3899"/>
      <c r="AQ14" s="3899"/>
      <c r="AR14" s="3899"/>
      <c r="AS14" s="3899"/>
      <c r="AT14" s="3899"/>
      <c r="AU14" s="3899"/>
      <c r="AV14" s="3899"/>
      <c r="AW14" s="3899"/>
      <c r="AX14" s="3899"/>
      <c r="AY14" s="3899"/>
      <c r="AZ14" s="3899"/>
      <c r="BA14" s="3899"/>
      <c r="BB14" s="798"/>
      <c r="BC14" s="798"/>
      <c r="BD14" s="802"/>
      <c r="BE14" s="802"/>
    </row>
    <row r="15" spans="1:76" s="186" customFormat="1" ht="18.600000000000001" customHeight="1">
      <c r="A15" s="802"/>
      <c r="B15" s="803" t="s">
        <v>788</v>
      </c>
      <c r="C15" s="3899" t="s">
        <v>1933</v>
      </c>
      <c r="D15" s="3899"/>
      <c r="E15" s="3899"/>
      <c r="F15" s="3899"/>
      <c r="G15" s="3899"/>
      <c r="H15" s="3899"/>
      <c r="I15" s="3899"/>
      <c r="J15" s="3899"/>
      <c r="K15" s="3899"/>
      <c r="L15" s="3899"/>
      <c r="M15" s="3899"/>
      <c r="N15" s="3899"/>
      <c r="O15" s="3899"/>
      <c r="P15" s="3899"/>
      <c r="Q15" s="3899"/>
      <c r="R15" s="3899"/>
      <c r="S15" s="3899"/>
      <c r="T15" s="3899"/>
      <c r="U15" s="3899"/>
      <c r="V15" s="3899"/>
      <c r="W15" s="3899"/>
      <c r="X15" s="3899"/>
      <c r="Y15" s="3899"/>
      <c r="Z15" s="3899"/>
      <c r="AA15" s="3899"/>
      <c r="AB15" s="3899"/>
      <c r="AC15" s="3899"/>
      <c r="AD15" s="3899"/>
      <c r="AE15" s="3899"/>
      <c r="AF15" s="3899"/>
      <c r="AG15" s="3899"/>
      <c r="AH15" s="3899"/>
      <c r="AI15" s="3899"/>
      <c r="AJ15" s="3899"/>
      <c r="AK15" s="3899"/>
      <c r="AL15" s="3899"/>
      <c r="AM15" s="3899"/>
      <c r="AN15" s="3899"/>
      <c r="AO15" s="3899"/>
      <c r="AP15" s="3899"/>
      <c r="AQ15" s="3899"/>
      <c r="AR15" s="3899"/>
      <c r="AS15" s="3899"/>
      <c r="AT15" s="3899"/>
      <c r="AU15" s="3899"/>
      <c r="AV15" s="3899"/>
      <c r="AW15" s="3899"/>
      <c r="AX15" s="3899"/>
      <c r="AY15" s="3899"/>
      <c r="AZ15" s="3899"/>
      <c r="BA15" s="3899"/>
      <c r="BB15" s="798"/>
      <c r="BC15" s="798"/>
      <c r="BD15" s="802"/>
      <c r="BE15" s="802"/>
    </row>
    <row r="16" spans="1:76" s="186" customFormat="1" ht="50.1" customHeight="1">
      <c r="A16" s="802"/>
      <c r="B16" s="803" t="s">
        <v>791</v>
      </c>
      <c r="C16" s="3899" t="s">
        <v>1934</v>
      </c>
      <c r="D16" s="3899"/>
      <c r="E16" s="3899"/>
      <c r="F16" s="3899"/>
      <c r="G16" s="3899"/>
      <c r="H16" s="3899"/>
      <c r="I16" s="3899"/>
      <c r="J16" s="3899"/>
      <c r="K16" s="3899"/>
      <c r="L16" s="3899"/>
      <c r="M16" s="3899"/>
      <c r="N16" s="3899"/>
      <c r="O16" s="3899"/>
      <c r="P16" s="3899"/>
      <c r="Q16" s="3899"/>
      <c r="R16" s="3899"/>
      <c r="S16" s="3899"/>
      <c r="T16" s="3899"/>
      <c r="U16" s="3899"/>
      <c r="V16" s="3899"/>
      <c r="W16" s="3899"/>
      <c r="X16" s="3899"/>
      <c r="Y16" s="3899"/>
      <c r="Z16" s="3899"/>
      <c r="AA16" s="3899"/>
      <c r="AB16" s="3899"/>
      <c r="AC16" s="3899"/>
      <c r="AD16" s="3899"/>
      <c r="AE16" s="3899"/>
      <c r="AF16" s="3899"/>
      <c r="AG16" s="3899"/>
      <c r="AH16" s="3899"/>
      <c r="AI16" s="3899"/>
      <c r="AJ16" s="3899"/>
      <c r="AK16" s="3899"/>
      <c r="AL16" s="3899"/>
      <c r="AM16" s="3899"/>
      <c r="AN16" s="3899"/>
      <c r="AO16" s="3899"/>
      <c r="AP16" s="3899"/>
      <c r="AQ16" s="3899"/>
      <c r="AR16" s="3899"/>
      <c r="AS16" s="3899"/>
      <c r="AT16" s="3899"/>
      <c r="AU16" s="3899"/>
      <c r="AV16" s="3899"/>
      <c r="AW16" s="3899"/>
      <c r="AX16" s="3899"/>
      <c r="AY16" s="3899"/>
      <c r="AZ16" s="3899"/>
      <c r="BA16" s="3899"/>
      <c r="BB16" s="798"/>
      <c r="BC16" s="798"/>
      <c r="BD16" s="802"/>
      <c r="BE16" s="802"/>
    </row>
    <row r="17" spans="1:57" s="186" customFormat="1" ht="35.450000000000003" customHeight="1">
      <c r="A17" s="802"/>
      <c r="B17" s="803" t="s">
        <v>794</v>
      </c>
      <c r="C17" s="3899" t="s">
        <v>1935</v>
      </c>
      <c r="D17" s="3899"/>
      <c r="E17" s="3899"/>
      <c r="F17" s="3899"/>
      <c r="G17" s="3899"/>
      <c r="H17" s="3899"/>
      <c r="I17" s="3899"/>
      <c r="J17" s="3899"/>
      <c r="K17" s="3899"/>
      <c r="L17" s="3899"/>
      <c r="M17" s="3899"/>
      <c r="N17" s="3899"/>
      <c r="O17" s="3899"/>
      <c r="P17" s="3899"/>
      <c r="Q17" s="3899"/>
      <c r="R17" s="3899"/>
      <c r="S17" s="3899"/>
      <c r="T17" s="3899"/>
      <c r="U17" s="3899"/>
      <c r="V17" s="3899"/>
      <c r="W17" s="3899"/>
      <c r="X17" s="3899"/>
      <c r="Y17" s="3899"/>
      <c r="Z17" s="3899"/>
      <c r="AA17" s="3899"/>
      <c r="AB17" s="3899"/>
      <c r="AC17" s="3899"/>
      <c r="AD17" s="3899"/>
      <c r="AE17" s="3899"/>
      <c r="AF17" s="3899"/>
      <c r="AG17" s="3899"/>
      <c r="AH17" s="3899"/>
      <c r="AI17" s="3899"/>
      <c r="AJ17" s="3899"/>
      <c r="AK17" s="3899"/>
      <c r="AL17" s="3899"/>
      <c r="AM17" s="3899"/>
      <c r="AN17" s="3899"/>
      <c r="AO17" s="3899"/>
      <c r="AP17" s="3899"/>
      <c r="AQ17" s="3899"/>
      <c r="AR17" s="3899"/>
      <c r="AS17" s="3899"/>
      <c r="AT17" s="3899"/>
      <c r="AU17" s="3899"/>
      <c r="AV17" s="3899"/>
      <c r="AW17" s="3899"/>
      <c r="AX17" s="3899"/>
      <c r="AY17" s="3899"/>
      <c r="AZ17" s="3899"/>
      <c r="BA17" s="3899"/>
      <c r="BB17" s="798"/>
      <c r="BC17" s="798"/>
      <c r="BD17" s="802"/>
      <c r="BE17" s="802"/>
    </row>
    <row r="18" spans="1:57">
      <c r="A18" s="798"/>
      <c r="B18" s="799"/>
      <c r="C18" s="799"/>
      <c r="D18" s="799"/>
      <c r="E18" s="799"/>
      <c r="F18" s="799"/>
      <c r="G18" s="799"/>
      <c r="H18" s="799"/>
      <c r="I18" s="799"/>
      <c r="J18" s="799"/>
      <c r="K18" s="799"/>
      <c r="L18" s="799"/>
      <c r="M18" s="799"/>
      <c r="N18" s="799"/>
      <c r="O18" s="799"/>
      <c r="P18" s="799"/>
      <c r="Q18" s="799"/>
      <c r="R18" s="799"/>
      <c r="S18" s="799"/>
      <c r="T18" s="799"/>
      <c r="U18" s="799"/>
      <c r="V18" s="799"/>
      <c r="W18" s="799"/>
      <c r="X18" s="799"/>
      <c r="Y18" s="799"/>
      <c r="Z18" s="799"/>
      <c r="AA18" s="799"/>
      <c r="AB18" s="799"/>
      <c r="AC18" s="798"/>
      <c r="AD18" s="798"/>
      <c r="AE18" s="798"/>
      <c r="AF18" s="798"/>
      <c r="AG18" s="798"/>
      <c r="AH18" s="798"/>
      <c r="AI18" s="798"/>
      <c r="AJ18" s="798"/>
      <c r="AK18" s="798"/>
      <c r="AL18" s="798"/>
      <c r="AM18" s="798"/>
      <c r="AN18" s="798"/>
      <c r="AO18" s="798"/>
      <c r="AP18" s="798"/>
      <c r="AQ18" s="798"/>
      <c r="AR18" s="798"/>
      <c r="AS18" s="798"/>
      <c r="AT18" s="798"/>
      <c r="AU18" s="798"/>
      <c r="AV18" s="798"/>
      <c r="AW18" s="798"/>
      <c r="AX18" s="798"/>
      <c r="AY18" s="798"/>
      <c r="AZ18" s="798"/>
      <c r="BA18" s="798"/>
      <c r="BB18" s="798"/>
      <c r="BC18" s="798"/>
      <c r="BD18" s="798"/>
      <c r="BE18" s="798"/>
    </row>
    <row r="19" spans="1:57">
      <c r="A19" s="798"/>
      <c r="B19" s="798"/>
      <c r="C19" s="798"/>
      <c r="D19" s="799"/>
      <c r="E19" s="799"/>
      <c r="F19" s="799"/>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8"/>
      <c r="AF19" s="798"/>
      <c r="AG19" s="798"/>
      <c r="AH19" s="798"/>
      <c r="AI19" s="798"/>
      <c r="AJ19" s="798"/>
      <c r="AK19" s="798"/>
      <c r="AL19" s="798"/>
      <c r="AM19" s="798"/>
      <c r="AN19" s="798"/>
      <c r="AO19" s="798"/>
      <c r="AP19" s="798"/>
      <c r="AQ19" s="798"/>
      <c r="AR19" s="798"/>
      <c r="AS19" s="798"/>
      <c r="AT19" s="798"/>
      <c r="AU19" s="798"/>
      <c r="AV19" s="798"/>
      <c r="AW19" s="798"/>
      <c r="AX19" s="798"/>
      <c r="AY19" s="798"/>
      <c r="AZ19" s="798"/>
      <c r="BA19" s="798"/>
      <c r="BB19" s="798"/>
      <c r="BC19" s="798"/>
      <c r="BD19" s="798"/>
      <c r="BE19" s="798"/>
    </row>
    <row r="20" spans="1:57">
      <c r="A20" s="798"/>
      <c r="B20" s="798"/>
      <c r="C20" s="798"/>
      <c r="D20" s="799"/>
      <c r="E20" s="799"/>
      <c r="F20" s="799"/>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8"/>
      <c r="AF20" s="798"/>
      <c r="AG20" s="798"/>
      <c r="AH20" s="798"/>
      <c r="AI20" s="798"/>
      <c r="AJ20" s="798"/>
      <c r="AK20" s="798"/>
      <c r="AL20" s="798"/>
      <c r="AM20" s="798"/>
      <c r="AN20" s="798"/>
      <c r="AO20" s="798"/>
      <c r="AP20" s="798"/>
      <c r="AQ20" s="798"/>
      <c r="AR20" s="798"/>
      <c r="AS20" s="798"/>
      <c r="AT20" s="798"/>
      <c r="AU20" s="798"/>
      <c r="AV20" s="798"/>
      <c r="AW20" s="798"/>
      <c r="AX20" s="798"/>
      <c r="AY20" s="798"/>
      <c r="AZ20" s="798"/>
      <c r="BA20" s="798"/>
      <c r="BB20" s="798"/>
      <c r="BC20" s="798"/>
      <c r="BD20" s="798"/>
      <c r="BE20" s="798"/>
    </row>
    <row r="21" spans="1:57">
      <c r="A21" s="798"/>
      <c r="B21" s="798"/>
      <c r="C21" s="798"/>
      <c r="D21" s="799"/>
      <c r="E21" s="799"/>
      <c r="F21" s="799"/>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8"/>
      <c r="AF21" s="798"/>
      <c r="AG21" s="798"/>
      <c r="AH21" s="798"/>
      <c r="AI21" s="798"/>
      <c r="AJ21" s="798"/>
      <c r="AK21" s="798"/>
      <c r="AL21" s="798"/>
      <c r="AM21" s="798"/>
      <c r="AN21" s="798"/>
      <c r="AO21" s="798"/>
      <c r="AP21" s="798"/>
      <c r="AQ21" s="798"/>
      <c r="AR21" s="798"/>
      <c r="AS21" s="798"/>
      <c r="AT21" s="798"/>
      <c r="AU21" s="798"/>
      <c r="AV21" s="798"/>
      <c r="AW21" s="798"/>
      <c r="AX21" s="798"/>
      <c r="AY21" s="798"/>
      <c r="AZ21" s="798"/>
      <c r="BA21" s="798"/>
      <c r="BB21" s="798"/>
      <c r="BC21" s="798"/>
      <c r="BD21" s="798"/>
      <c r="BE21" s="798"/>
    </row>
    <row r="22" spans="1:57">
      <c r="A22" s="798"/>
      <c r="B22" s="798"/>
      <c r="C22" s="798"/>
      <c r="D22" s="799"/>
      <c r="E22" s="799"/>
      <c r="F22" s="799"/>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8"/>
      <c r="AF22" s="798"/>
      <c r="AG22" s="798"/>
      <c r="AH22" s="798"/>
      <c r="AI22" s="798"/>
      <c r="AJ22" s="798"/>
      <c r="AK22" s="798"/>
      <c r="AL22" s="798"/>
      <c r="AM22" s="798"/>
      <c r="AN22" s="798"/>
      <c r="AO22" s="798"/>
      <c r="AP22" s="798"/>
      <c r="AQ22" s="798"/>
      <c r="AR22" s="798"/>
      <c r="AS22" s="798"/>
      <c r="AT22" s="798"/>
      <c r="AU22" s="798"/>
      <c r="AV22" s="798"/>
      <c r="AW22" s="798"/>
      <c r="AX22" s="798"/>
      <c r="AY22" s="798"/>
      <c r="AZ22" s="798"/>
      <c r="BA22" s="798"/>
      <c r="BB22" s="798"/>
      <c r="BC22" s="798"/>
      <c r="BD22" s="798"/>
      <c r="BE22" s="798"/>
    </row>
    <row r="23" spans="1:57">
      <c r="A23" s="798"/>
      <c r="B23" s="798"/>
      <c r="C23" s="798"/>
      <c r="D23" s="799"/>
      <c r="E23" s="799"/>
      <c r="F23" s="799"/>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8"/>
      <c r="AF23" s="798"/>
      <c r="AG23" s="798"/>
      <c r="AH23" s="798"/>
      <c r="AI23" s="798"/>
      <c r="AJ23" s="798"/>
      <c r="AK23" s="798"/>
      <c r="AL23" s="798"/>
      <c r="AM23" s="798"/>
      <c r="AN23" s="798"/>
      <c r="AO23" s="798"/>
      <c r="AP23" s="798"/>
      <c r="AQ23" s="798"/>
      <c r="AR23" s="798"/>
      <c r="AS23" s="798"/>
      <c r="AT23" s="798"/>
      <c r="AU23" s="798"/>
      <c r="AV23" s="798"/>
      <c r="AW23" s="798"/>
      <c r="AX23" s="798"/>
      <c r="AY23" s="798"/>
      <c r="AZ23" s="798"/>
      <c r="BA23" s="798"/>
      <c r="BB23" s="798"/>
      <c r="BC23" s="798"/>
      <c r="BD23" s="798"/>
      <c r="BE23" s="798"/>
    </row>
    <row r="24" spans="1:57">
      <c r="A24" s="798"/>
      <c r="B24" s="798"/>
      <c r="C24" s="798"/>
      <c r="D24" s="799"/>
      <c r="E24" s="799"/>
      <c r="F24" s="799"/>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8"/>
      <c r="AF24" s="798"/>
      <c r="AG24" s="798"/>
      <c r="AH24" s="798"/>
      <c r="AI24" s="798"/>
      <c r="AJ24" s="798"/>
      <c r="AK24" s="798"/>
      <c r="AL24" s="798"/>
      <c r="AM24" s="798"/>
      <c r="AN24" s="798"/>
      <c r="AO24" s="798"/>
      <c r="AP24" s="798"/>
      <c r="AQ24" s="798"/>
      <c r="AR24" s="798"/>
      <c r="AS24" s="798"/>
      <c r="AT24" s="798"/>
      <c r="AU24" s="798"/>
      <c r="AV24" s="798"/>
      <c r="AW24" s="798"/>
      <c r="AX24" s="798"/>
      <c r="AY24" s="798"/>
      <c r="AZ24" s="798"/>
      <c r="BA24" s="798"/>
      <c r="BB24" s="798"/>
      <c r="BC24" s="798"/>
      <c r="BD24" s="798"/>
      <c r="BE24" s="798"/>
    </row>
    <row r="25" spans="1:57">
      <c r="A25" s="798"/>
      <c r="B25" s="798"/>
      <c r="C25" s="798"/>
      <c r="D25" s="799"/>
      <c r="E25" s="799"/>
      <c r="F25" s="799"/>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8"/>
      <c r="AF25" s="798"/>
      <c r="AG25" s="798"/>
      <c r="AH25" s="798"/>
      <c r="AI25" s="798"/>
      <c r="AJ25" s="798"/>
      <c r="AK25" s="798"/>
      <c r="AL25" s="798"/>
      <c r="AM25" s="798"/>
      <c r="AN25" s="798"/>
      <c r="AO25" s="798"/>
      <c r="AP25" s="798"/>
      <c r="AQ25" s="798"/>
      <c r="AR25" s="798"/>
      <c r="AS25" s="798"/>
      <c r="AT25" s="798"/>
      <c r="AU25" s="798"/>
      <c r="AV25" s="798"/>
      <c r="AW25" s="798"/>
      <c r="AX25" s="798"/>
      <c r="AY25" s="798"/>
      <c r="AZ25" s="798"/>
      <c r="BA25" s="798"/>
      <c r="BB25" s="798"/>
      <c r="BC25" s="798"/>
      <c r="BD25" s="798"/>
      <c r="BE25" s="798"/>
    </row>
    <row r="26" spans="1:57">
      <c r="A26" s="798"/>
      <c r="B26" s="798"/>
      <c r="C26" s="798"/>
      <c r="D26" s="799"/>
      <c r="E26" s="799"/>
      <c r="F26" s="799"/>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8"/>
      <c r="AF26" s="798"/>
      <c r="AG26" s="798"/>
      <c r="AH26" s="798"/>
      <c r="AI26" s="798"/>
      <c r="AJ26" s="798"/>
      <c r="AK26" s="798"/>
      <c r="AL26" s="798"/>
      <c r="AM26" s="798"/>
      <c r="AN26" s="798"/>
      <c r="AO26" s="798"/>
      <c r="AP26" s="798"/>
      <c r="AQ26" s="798"/>
      <c r="AR26" s="798"/>
      <c r="AS26" s="798"/>
      <c r="AT26" s="798"/>
      <c r="AU26" s="798"/>
      <c r="AV26" s="798"/>
      <c r="AW26" s="798"/>
      <c r="AX26" s="798"/>
      <c r="AY26" s="798"/>
      <c r="AZ26" s="798"/>
      <c r="BA26" s="798"/>
      <c r="BB26" s="798"/>
      <c r="BC26" s="798"/>
      <c r="BD26" s="798"/>
      <c r="BE26" s="798"/>
    </row>
    <row r="27" spans="1:57">
      <c r="A27" s="798"/>
      <c r="B27" s="798"/>
      <c r="C27" s="798"/>
      <c r="D27" s="799"/>
      <c r="E27" s="799"/>
      <c r="F27" s="799"/>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8"/>
      <c r="AF27" s="798"/>
      <c r="AG27" s="798"/>
      <c r="AH27" s="798"/>
      <c r="AI27" s="798"/>
      <c r="AJ27" s="798"/>
      <c r="AK27" s="798"/>
      <c r="AL27" s="798"/>
      <c r="AM27" s="798"/>
      <c r="AN27" s="798"/>
      <c r="AO27" s="798"/>
      <c r="AP27" s="798"/>
      <c r="AQ27" s="798"/>
      <c r="AR27" s="798"/>
      <c r="AS27" s="798"/>
      <c r="AT27" s="798"/>
      <c r="AU27" s="798"/>
      <c r="AV27" s="798"/>
      <c r="AW27" s="798"/>
      <c r="AX27" s="798"/>
      <c r="AY27" s="798"/>
      <c r="AZ27" s="798"/>
      <c r="BA27" s="798"/>
      <c r="BB27" s="798"/>
      <c r="BC27" s="798"/>
      <c r="BD27" s="798"/>
      <c r="BE27" s="798"/>
    </row>
    <row r="28" spans="1:57">
      <c r="A28" s="798"/>
      <c r="B28" s="798"/>
      <c r="C28" s="798"/>
      <c r="D28" s="799"/>
      <c r="E28" s="799"/>
      <c r="F28" s="799"/>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8"/>
      <c r="AF28" s="798"/>
      <c r="AG28" s="798"/>
      <c r="AH28" s="798"/>
      <c r="AI28" s="798"/>
      <c r="AJ28" s="798"/>
      <c r="AK28" s="798"/>
      <c r="AL28" s="798"/>
      <c r="AM28" s="798"/>
      <c r="AN28" s="798"/>
      <c r="AO28" s="798"/>
      <c r="AP28" s="798"/>
      <c r="AQ28" s="798"/>
      <c r="AR28" s="798"/>
      <c r="AS28" s="798"/>
      <c r="AT28" s="798"/>
      <c r="AU28" s="798"/>
      <c r="AV28" s="798"/>
      <c r="AW28" s="798"/>
      <c r="AX28" s="798"/>
      <c r="AY28" s="798"/>
      <c r="AZ28" s="798"/>
      <c r="BA28" s="798"/>
      <c r="BB28" s="798"/>
      <c r="BC28" s="798"/>
      <c r="BD28" s="798"/>
      <c r="BE28" s="798"/>
    </row>
    <row r="29" spans="1:57">
      <c r="A29" s="798"/>
      <c r="B29" s="798"/>
      <c r="C29" s="798"/>
      <c r="D29" s="799"/>
      <c r="E29" s="799"/>
      <c r="F29" s="799"/>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8"/>
      <c r="AF29" s="798"/>
      <c r="AG29" s="798"/>
      <c r="AH29" s="798"/>
      <c r="AI29" s="798"/>
      <c r="AJ29" s="798"/>
      <c r="AK29" s="798"/>
      <c r="AL29" s="798"/>
      <c r="AM29" s="798"/>
      <c r="AN29" s="798"/>
      <c r="AO29" s="798"/>
      <c r="AP29" s="798"/>
      <c r="AQ29" s="798"/>
      <c r="AR29" s="798"/>
      <c r="AS29" s="798"/>
      <c r="AT29" s="798"/>
      <c r="AU29" s="798"/>
      <c r="AV29" s="798"/>
      <c r="AW29" s="798"/>
      <c r="AX29" s="798"/>
      <c r="AY29" s="798"/>
      <c r="AZ29" s="798"/>
      <c r="BA29" s="798"/>
      <c r="BB29" s="798"/>
      <c r="BC29" s="798"/>
      <c r="BD29" s="798"/>
      <c r="BE29" s="798"/>
    </row>
    <row r="30" spans="1:57">
      <c r="A30" s="798"/>
      <c r="B30" s="798"/>
      <c r="C30" s="798"/>
      <c r="D30" s="799"/>
      <c r="E30" s="799"/>
      <c r="F30" s="799"/>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8"/>
      <c r="AF30" s="798"/>
      <c r="AG30" s="798"/>
      <c r="AH30" s="798"/>
      <c r="AI30" s="798"/>
      <c r="AJ30" s="798"/>
      <c r="AK30" s="798"/>
      <c r="AL30" s="798"/>
      <c r="AM30" s="798"/>
      <c r="AN30" s="798"/>
      <c r="AO30" s="798"/>
      <c r="AP30" s="798"/>
      <c r="AQ30" s="798"/>
      <c r="AR30" s="798"/>
      <c r="AS30" s="798"/>
      <c r="AT30" s="798"/>
      <c r="AU30" s="798"/>
      <c r="AV30" s="798"/>
      <c r="AW30" s="798"/>
      <c r="AX30" s="798"/>
      <c r="AY30" s="798"/>
      <c r="AZ30" s="798"/>
      <c r="BA30" s="798"/>
      <c r="BB30" s="798"/>
      <c r="BC30" s="798"/>
      <c r="BD30" s="798"/>
      <c r="BE30" s="798"/>
    </row>
    <row r="31" spans="1:57">
      <c r="A31" s="798"/>
      <c r="B31" s="798"/>
      <c r="C31" s="798"/>
      <c r="D31" s="799"/>
      <c r="E31" s="799"/>
      <c r="F31" s="799"/>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8"/>
      <c r="AF31" s="798"/>
      <c r="AG31" s="798"/>
      <c r="AH31" s="798"/>
      <c r="AI31" s="798"/>
      <c r="AJ31" s="798"/>
      <c r="AK31" s="798"/>
      <c r="AL31" s="798"/>
      <c r="AM31" s="798"/>
      <c r="AN31" s="798"/>
      <c r="AO31" s="798"/>
      <c r="AP31" s="798"/>
      <c r="AQ31" s="798"/>
      <c r="AR31" s="798"/>
      <c r="AS31" s="798"/>
      <c r="AT31" s="798"/>
      <c r="AU31" s="798"/>
      <c r="AV31" s="798"/>
      <c r="AW31" s="798"/>
      <c r="AX31" s="798"/>
      <c r="AY31" s="798"/>
      <c r="AZ31" s="798"/>
      <c r="BA31" s="798"/>
      <c r="BB31" s="798"/>
      <c r="BC31" s="798"/>
      <c r="BD31" s="798"/>
      <c r="BE31" s="798"/>
    </row>
    <row r="32" spans="1:57">
      <c r="A32" s="798"/>
      <c r="B32" s="798"/>
      <c r="C32" s="798"/>
      <c r="D32" s="799"/>
      <c r="E32" s="799"/>
      <c r="F32" s="799"/>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8"/>
      <c r="AF32" s="798"/>
      <c r="AG32" s="798"/>
      <c r="AH32" s="798"/>
      <c r="AI32" s="798"/>
      <c r="AJ32" s="798"/>
      <c r="AK32" s="798"/>
      <c r="AL32" s="798"/>
      <c r="AM32" s="798"/>
      <c r="AN32" s="798"/>
      <c r="AO32" s="798"/>
      <c r="AP32" s="798"/>
      <c r="AQ32" s="798"/>
      <c r="AR32" s="798"/>
      <c r="AS32" s="798"/>
      <c r="AT32" s="798"/>
      <c r="AU32" s="798"/>
      <c r="AV32" s="798"/>
      <c r="AW32" s="798"/>
      <c r="AX32" s="798"/>
      <c r="AY32" s="798"/>
      <c r="AZ32" s="798"/>
      <c r="BA32" s="798"/>
      <c r="BB32" s="798"/>
      <c r="BC32" s="798"/>
      <c r="BD32" s="798"/>
      <c r="BE32" s="798"/>
    </row>
    <row r="33" spans="1:57">
      <c r="A33" s="798"/>
      <c r="B33" s="798"/>
      <c r="C33" s="798"/>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8"/>
      <c r="AF33" s="798"/>
      <c r="AG33" s="798"/>
      <c r="AH33" s="798"/>
      <c r="AI33" s="798"/>
      <c r="AJ33" s="798"/>
      <c r="AK33" s="798"/>
      <c r="AL33" s="798"/>
      <c r="AM33" s="798"/>
      <c r="AN33" s="798"/>
      <c r="AO33" s="798"/>
      <c r="AP33" s="798"/>
      <c r="AQ33" s="798"/>
      <c r="AR33" s="798"/>
      <c r="AS33" s="798"/>
      <c r="AT33" s="798"/>
      <c r="AU33" s="798"/>
      <c r="AV33" s="798"/>
      <c r="AW33" s="798"/>
      <c r="AX33" s="798"/>
      <c r="AY33" s="798"/>
      <c r="AZ33" s="798"/>
      <c r="BA33" s="798"/>
      <c r="BB33" s="798"/>
      <c r="BC33" s="798"/>
      <c r="BD33" s="798"/>
      <c r="BE33" s="798"/>
    </row>
    <row r="34" spans="1:57">
      <c r="A34" s="798"/>
      <c r="B34" s="798"/>
      <c r="C34" s="798"/>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8"/>
      <c r="AF34" s="798"/>
      <c r="AG34" s="798"/>
      <c r="AH34" s="798"/>
      <c r="AI34" s="798"/>
      <c r="AJ34" s="798"/>
      <c r="AK34" s="798"/>
      <c r="AL34" s="798"/>
      <c r="AM34" s="798"/>
      <c r="AN34" s="798"/>
      <c r="AO34" s="798"/>
      <c r="AP34" s="798"/>
      <c r="AQ34" s="798"/>
      <c r="AR34" s="798"/>
      <c r="AS34" s="798"/>
      <c r="AT34" s="798"/>
      <c r="AU34" s="798"/>
      <c r="AV34" s="798"/>
      <c r="AW34" s="798"/>
      <c r="AX34" s="798"/>
      <c r="AY34" s="798"/>
      <c r="AZ34" s="798"/>
      <c r="BA34" s="798"/>
      <c r="BB34" s="798"/>
      <c r="BC34" s="798"/>
      <c r="BD34" s="798"/>
      <c r="BE34" s="798"/>
    </row>
    <row r="35" spans="1:57">
      <c r="A35" s="798"/>
      <c r="B35" s="798"/>
      <c r="C35" s="798"/>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8"/>
      <c r="AF35" s="798"/>
      <c r="AG35" s="798"/>
      <c r="AH35" s="798"/>
      <c r="AI35" s="798"/>
      <c r="AJ35" s="798"/>
      <c r="AK35" s="798"/>
      <c r="AL35" s="798"/>
      <c r="AM35" s="798"/>
      <c r="AN35" s="798"/>
      <c r="AO35" s="798"/>
      <c r="AP35" s="798"/>
      <c r="AQ35" s="798"/>
      <c r="AR35" s="798"/>
      <c r="AS35" s="798"/>
      <c r="AT35" s="798"/>
      <c r="AU35" s="798"/>
      <c r="AV35" s="798"/>
      <c r="AW35" s="798"/>
      <c r="AX35" s="798"/>
      <c r="AY35" s="798"/>
      <c r="AZ35" s="798"/>
      <c r="BA35" s="798"/>
      <c r="BB35" s="798"/>
      <c r="BC35" s="798"/>
      <c r="BD35" s="798"/>
      <c r="BE35" s="798"/>
    </row>
    <row r="36" spans="1:57">
      <c r="A36" s="798"/>
      <c r="B36" s="798"/>
      <c r="C36" s="798"/>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8"/>
      <c r="AF36" s="798"/>
      <c r="AG36" s="798"/>
      <c r="AH36" s="798"/>
      <c r="AI36" s="798"/>
      <c r="AJ36" s="798"/>
      <c r="AK36" s="798"/>
      <c r="AL36" s="798"/>
      <c r="AM36" s="798"/>
      <c r="AN36" s="798"/>
      <c r="AO36" s="798"/>
      <c r="AP36" s="798"/>
      <c r="AQ36" s="798"/>
      <c r="AR36" s="798"/>
      <c r="AS36" s="798"/>
      <c r="AT36" s="798"/>
      <c r="AU36" s="798"/>
      <c r="AV36" s="798"/>
      <c r="AW36" s="798"/>
      <c r="AX36" s="798"/>
      <c r="AY36" s="798"/>
      <c r="AZ36" s="798"/>
      <c r="BA36" s="798"/>
      <c r="BB36" s="798"/>
      <c r="BC36" s="798"/>
      <c r="BD36" s="798"/>
      <c r="BE36" s="798"/>
    </row>
    <row r="37" spans="1:57">
      <c r="A37" s="798"/>
      <c r="B37" s="798"/>
      <c r="C37" s="798"/>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8"/>
      <c r="AF37" s="798"/>
      <c r="AG37" s="798"/>
      <c r="AH37" s="798"/>
      <c r="AI37" s="798"/>
      <c r="AJ37" s="798"/>
      <c r="AK37" s="798"/>
      <c r="AL37" s="798"/>
      <c r="AM37" s="798"/>
      <c r="AN37" s="798"/>
      <c r="AO37" s="798"/>
      <c r="AP37" s="798"/>
      <c r="AQ37" s="798"/>
      <c r="AR37" s="798"/>
      <c r="AS37" s="798"/>
      <c r="AT37" s="798"/>
      <c r="AU37" s="798"/>
      <c r="AV37" s="798"/>
      <c r="AW37" s="798"/>
      <c r="AX37" s="798"/>
      <c r="AY37" s="798"/>
      <c r="AZ37" s="798"/>
      <c r="BA37" s="798"/>
      <c r="BB37" s="798"/>
      <c r="BC37" s="798"/>
      <c r="BD37" s="798"/>
      <c r="BE37" s="798"/>
    </row>
  </sheetData>
  <sheetProtection algorithmName="SHA-512" hashValue="hqTBQtrOEUDuyNjwad/wuCCDljRWJjpyniFKPPUU/qfDLcsvl/8kp/Gq5g6+xsbys4rdK3Adj3tEsmok0MjPKg==" saltValue="Gsv7+pZb7GxyDZ82l53wvQ==" spinCount="100000" sheet="1" objects="1" scenarios="1"/>
  <customSheetViews>
    <customSheetView guid="{6EFEFCA0-BF14-457A-85A3-29CBF2A862A5}" showGridLines="0" fitToPage="1">
      <selection sqref="A1:BE22"/>
      <pageMargins left="0.23622047244094491" right="0.23622047244094491" top="0.19685039370078741" bottom="0.19685039370078741" header="0" footer="0.11811023622047245"/>
      <printOptions horizontalCentered="1" verticalCentered="1"/>
      <pageSetup paperSize="9" scale="67" orientation="landscape" r:id="rId1"/>
      <headerFooter>
        <oddFooter>&amp;L&amp;10&amp;F &amp;A&amp;R&amp;10Page 55 of 61</oddFooter>
      </headerFooter>
    </customSheetView>
  </customSheetViews>
  <mergeCells count="14">
    <mergeCell ref="C9:BA9"/>
    <mergeCell ref="C4:BA4"/>
    <mergeCell ref="C5:BA5"/>
    <mergeCell ref="C6:BA6"/>
    <mergeCell ref="C7:BA7"/>
    <mergeCell ref="C8:BA8"/>
    <mergeCell ref="C16:BA16"/>
    <mergeCell ref="C17:BA17"/>
    <mergeCell ref="C10:BA10"/>
    <mergeCell ref="C11:BA11"/>
    <mergeCell ref="C12:BA12"/>
    <mergeCell ref="C13:BA13"/>
    <mergeCell ref="C14:BA14"/>
    <mergeCell ref="C15:BA15"/>
  </mergeCells>
  <printOptions horizontalCentered="1" verticalCentered="1"/>
  <pageMargins left="0.23622047244094491" right="0.23622047244094491" top="0.19685039370078741" bottom="0.19685039370078741" header="0" footer="0.11811023622047245"/>
  <pageSetup paperSize="9" scale="67" orientation="landscape" r:id="rId2"/>
  <headerFooter>
    <oddFooter>&amp;L&amp;10&amp;F &amp;A&amp;R&amp;10Page 55 of 61</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2721D-193F-4A5A-809A-6EF1A3A3013B}">
  <sheetPr codeName="Sheet58">
    <tabColor rgb="FFFFFF00"/>
    <pageSetUpPr fitToPage="1"/>
  </sheetPr>
  <dimension ref="A1:BK86"/>
  <sheetViews>
    <sheetView showGridLines="0" zoomScaleNormal="100" zoomScaleSheetLayoutView="40" workbookViewId="0">
      <selection sqref="A1:AZ64"/>
    </sheetView>
  </sheetViews>
  <sheetFormatPr defaultColWidth="8" defaultRowHeight="15.75"/>
  <cols>
    <col min="1" max="1" width="2.125" style="153" customWidth="1"/>
    <col min="2" max="3" width="3.625" style="151" customWidth="1"/>
    <col min="4" max="17" width="3.625" style="152" customWidth="1"/>
    <col min="18" max="39" width="3.625" style="153" customWidth="1"/>
    <col min="40" max="40" width="6.125" style="153" customWidth="1"/>
    <col min="41" max="54" width="3.625" style="153" customWidth="1"/>
    <col min="55" max="55" width="2.125" style="153" customWidth="1"/>
    <col min="56" max="60" width="3.625" style="153" customWidth="1"/>
    <col min="61" max="16384" width="8" style="153"/>
  </cols>
  <sheetData>
    <row r="1" spans="1:55" ht="12" customHeight="1">
      <c r="A1" s="1447"/>
      <c r="B1" s="1448"/>
      <c r="C1" s="1448"/>
      <c r="D1" s="1449"/>
      <c r="E1" s="1449"/>
      <c r="F1" s="1449"/>
      <c r="G1" s="1449"/>
      <c r="H1" s="1449"/>
      <c r="I1" s="1449"/>
      <c r="J1" s="1449"/>
      <c r="K1" s="1449"/>
      <c r="L1" s="1449"/>
      <c r="M1" s="1449"/>
      <c r="N1" s="1449"/>
      <c r="O1" s="1449"/>
      <c r="P1" s="1449"/>
      <c r="Q1" s="1449"/>
      <c r="R1" s="1447"/>
      <c r="S1" s="1447"/>
      <c r="T1" s="1447"/>
      <c r="U1" s="1447"/>
      <c r="V1" s="1447"/>
      <c r="W1" s="1447"/>
      <c r="X1" s="1447"/>
      <c r="Y1" s="1447"/>
      <c r="Z1" s="1447"/>
      <c r="AA1" s="1447"/>
      <c r="AB1" s="1447"/>
      <c r="AC1" s="1447"/>
      <c r="AD1" s="1447"/>
      <c r="AE1" s="1447"/>
      <c r="AF1" s="1447"/>
      <c r="AG1" s="1447"/>
      <c r="AH1" s="1447"/>
      <c r="AI1" s="1447"/>
      <c r="AJ1" s="1447"/>
      <c r="AK1" s="1447"/>
      <c r="AL1" s="1447"/>
      <c r="AM1" s="1447"/>
      <c r="AN1" s="1447"/>
      <c r="AO1" s="1447"/>
      <c r="AP1" s="1447"/>
      <c r="AQ1" s="1447"/>
      <c r="AR1" s="1447"/>
      <c r="AS1" s="1447"/>
      <c r="AT1" s="1447"/>
      <c r="AU1" s="1447"/>
      <c r="AV1" s="1447"/>
      <c r="AW1" s="1447"/>
      <c r="AX1" s="1447"/>
      <c r="AY1" s="1447"/>
      <c r="AZ1" s="1447"/>
      <c r="BA1" s="1447"/>
      <c r="BB1" s="1447"/>
      <c r="BC1" s="1447"/>
    </row>
    <row r="2" spans="1:55" s="154" customFormat="1" ht="16.5">
      <c r="A2" s="1450"/>
      <c r="B2" s="1451" t="s">
        <v>11441</v>
      </c>
      <c r="C2" s="1450"/>
      <c r="D2" s="1450"/>
      <c r="E2" s="1450"/>
      <c r="F2" s="1450"/>
      <c r="G2" s="1450"/>
      <c r="H2" s="1450"/>
      <c r="I2" s="1450"/>
      <c r="J2" s="1450"/>
      <c r="K2" s="1450"/>
      <c r="L2" s="1450"/>
      <c r="M2" s="1450"/>
      <c r="N2" s="1450"/>
      <c r="O2" s="1450"/>
      <c r="P2" s="1450"/>
      <c r="Q2" s="1450"/>
      <c r="R2" s="1450"/>
      <c r="S2" s="1450"/>
      <c r="T2" s="1450"/>
      <c r="U2" s="1450"/>
      <c r="V2" s="1450"/>
      <c r="W2" s="1450"/>
      <c r="X2" s="1450"/>
      <c r="Y2" s="1450"/>
      <c r="Z2" s="1450"/>
      <c r="AA2" s="1450"/>
      <c r="AB2" s="1450"/>
      <c r="AC2" s="1450"/>
      <c r="AD2" s="1450"/>
      <c r="AE2" s="1450"/>
      <c r="AF2" s="1450"/>
      <c r="AG2" s="1450"/>
      <c r="AH2" s="1450"/>
      <c r="AI2" s="1450"/>
      <c r="AJ2" s="1450"/>
      <c r="AK2" s="1450"/>
      <c r="AL2" s="1450"/>
      <c r="AM2" s="1450"/>
      <c r="AN2" s="1450"/>
      <c r="AO2" s="1450"/>
      <c r="AP2" s="1450"/>
      <c r="AQ2" s="1450"/>
      <c r="AR2" s="1450"/>
      <c r="AS2" s="1450"/>
      <c r="AT2" s="1450"/>
      <c r="AU2" s="1450"/>
      <c r="AV2" s="1450"/>
      <c r="AW2" s="1450"/>
      <c r="AX2" s="1450"/>
      <c r="AY2" s="1450"/>
      <c r="AZ2" s="1450"/>
      <c r="BA2" s="1450"/>
      <c r="BB2" s="1450"/>
      <c r="BC2" s="1450"/>
    </row>
    <row r="3" spans="1:55" s="154" customFormat="1" ht="17.25">
      <c r="A3" s="1450"/>
      <c r="B3" s="1452" t="s">
        <v>1483</v>
      </c>
      <c r="C3" s="1450"/>
      <c r="D3" s="1450"/>
      <c r="E3" s="1450"/>
      <c r="F3" s="1450"/>
      <c r="G3" s="1450"/>
      <c r="H3" s="1450"/>
      <c r="I3" s="1450"/>
      <c r="J3" s="1450"/>
      <c r="K3" s="1450"/>
      <c r="L3" s="1450"/>
      <c r="M3" s="1450"/>
      <c r="N3" s="1450"/>
      <c r="O3" s="1450"/>
      <c r="P3" s="1450"/>
      <c r="Q3" s="1450"/>
      <c r="R3" s="1450"/>
      <c r="S3" s="1450"/>
      <c r="T3" s="1450"/>
      <c r="U3" s="1450"/>
      <c r="V3" s="1450"/>
      <c r="W3" s="1450"/>
      <c r="X3" s="1450"/>
      <c r="Y3" s="1450"/>
      <c r="Z3" s="1450"/>
      <c r="AA3" s="1450"/>
      <c r="AB3" s="1450"/>
      <c r="AC3" s="1450"/>
      <c r="AD3" s="1450"/>
      <c r="AE3" s="1450"/>
      <c r="AF3" s="1450"/>
      <c r="AG3" s="1450"/>
      <c r="AH3" s="1450"/>
      <c r="AI3" s="1450"/>
      <c r="AJ3" s="1450"/>
      <c r="AK3" s="1450"/>
      <c r="AL3" s="1450"/>
      <c r="AM3" s="1450"/>
      <c r="AN3" s="1450"/>
      <c r="AO3" s="1450"/>
      <c r="AP3" s="1450"/>
      <c r="AQ3" s="1450"/>
      <c r="AR3" s="1450"/>
      <c r="AS3" s="1450"/>
      <c r="AT3" s="1450"/>
      <c r="AU3" s="1450"/>
      <c r="AV3" s="1450"/>
      <c r="AW3" s="1450"/>
      <c r="AX3" s="1450"/>
      <c r="AY3" s="1450"/>
      <c r="AZ3" s="1450"/>
      <c r="BA3" s="1450"/>
      <c r="BB3" s="1450"/>
      <c r="BC3" s="1450"/>
    </row>
    <row r="4" spans="1:55" s="154" customFormat="1" ht="15.6" customHeight="1">
      <c r="A4" s="1450"/>
      <c r="B4" s="1452"/>
      <c r="C4" s="1450"/>
      <c r="D4" s="1450"/>
      <c r="E4" s="1450"/>
      <c r="F4" s="1450"/>
      <c r="G4" s="1450"/>
      <c r="H4" s="1450"/>
      <c r="I4" s="1450"/>
      <c r="J4" s="1450"/>
      <c r="K4" s="1450"/>
      <c r="L4" s="1450"/>
      <c r="M4" s="1450"/>
      <c r="N4" s="1450"/>
      <c r="O4" s="1450"/>
      <c r="P4" s="1450"/>
      <c r="Q4" s="1450"/>
      <c r="R4" s="1450"/>
      <c r="S4" s="1450"/>
      <c r="T4" s="1450"/>
      <c r="U4" s="1450"/>
      <c r="V4" s="1450"/>
      <c r="W4" s="1450"/>
      <c r="X4" s="1450"/>
      <c r="Y4" s="1450"/>
      <c r="Z4" s="1450"/>
      <c r="AA4" s="1450"/>
      <c r="AB4" s="1450"/>
      <c r="AC4" s="1450"/>
      <c r="AD4" s="1450"/>
      <c r="AE4" s="1450"/>
      <c r="AF4" s="1450"/>
      <c r="AG4" s="1450"/>
      <c r="AH4" s="1450"/>
      <c r="AI4" s="1450"/>
      <c r="AJ4" s="1450"/>
      <c r="AK4" s="1450"/>
      <c r="AL4" s="1450"/>
      <c r="AM4" s="1450"/>
      <c r="AN4" s="1450"/>
      <c r="AO4" s="1450"/>
      <c r="AP4" s="1450"/>
      <c r="AQ4" s="1450"/>
      <c r="AR4" s="1450"/>
      <c r="AS4" s="1450"/>
      <c r="AT4" s="1450"/>
      <c r="AU4" s="1450"/>
      <c r="AV4" s="1450"/>
      <c r="AW4" s="1450"/>
      <c r="AX4" s="1450"/>
      <c r="AY4" s="1450"/>
      <c r="AZ4" s="1450"/>
      <c r="BA4" s="1450"/>
      <c r="BB4" s="1450"/>
      <c r="BC4" s="1450"/>
    </row>
    <row r="5" spans="1:55" s="154" customFormat="1" ht="17.25" thickBot="1">
      <c r="A5" s="1450"/>
      <c r="B5" s="1451" t="s">
        <v>1611</v>
      </c>
      <c r="C5" s="1450"/>
      <c r="D5" s="1450"/>
      <c r="E5" s="1450"/>
      <c r="F5" s="1450"/>
      <c r="G5" s="1450"/>
      <c r="H5" s="1450"/>
      <c r="I5" s="1450"/>
      <c r="J5" s="1450"/>
      <c r="K5" s="1450"/>
      <c r="L5" s="1450"/>
      <c r="M5" s="1450"/>
      <c r="N5" s="1450"/>
      <c r="O5" s="1450"/>
      <c r="P5" s="1450"/>
      <c r="Q5" s="1450"/>
      <c r="R5" s="1450"/>
      <c r="S5" s="1450"/>
      <c r="T5" s="1450"/>
      <c r="U5" s="1450"/>
      <c r="V5" s="1450"/>
      <c r="W5" s="1450"/>
      <c r="X5" s="1450"/>
      <c r="Y5" s="1450"/>
      <c r="Z5" s="1450"/>
      <c r="AA5" s="1450"/>
      <c r="AB5" s="1450"/>
      <c r="AC5" s="1450"/>
      <c r="AD5" s="1450"/>
      <c r="AE5" s="1450"/>
      <c r="AF5" s="1450"/>
      <c r="AG5" s="1450"/>
      <c r="AH5" s="1450"/>
      <c r="AI5" s="1450"/>
      <c r="AJ5" s="1450"/>
      <c r="AK5" s="1450"/>
      <c r="AL5" s="1450"/>
      <c r="AM5" s="1450"/>
      <c r="AN5" s="1450"/>
      <c r="AO5" s="1450"/>
      <c r="AP5" s="1450"/>
      <c r="AQ5" s="1450"/>
      <c r="AR5" s="1450"/>
      <c r="AS5" s="1450"/>
      <c r="AT5" s="1450"/>
      <c r="AU5" s="1450"/>
      <c r="AV5" s="1450"/>
      <c r="AW5" s="1450"/>
      <c r="AX5" s="1450"/>
      <c r="AY5" s="1450"/>
      <c r="AZ5" s="1450"/>
      <c r="BA5" s="1450"/>
      <c r="BB5" s="1450"/>
      <c r="BC5" s="1450"/>
    </row>
    <row r="6" spans="1:55" s="154" customFormat="1" ht="9" customHeight="1">
      <c r="A6" s="1450"/>
      <c r="B6" s="1453"/>
      <c r="C6" s="1454"/>
      <c r="D6" s="1454"/>
      <c r="E6" s="1454"/>
      <c r="F6" s="1454"/>
      <c r="G6" s="1454"/>
      <c r="H6" s="1454"/>
      <c r="I6" s="1454"/>
      <c r="J6" s="1454"/>
      <c r="K6" s="1454"/>
      <c r="L6" s="1454"/>
      <c r="M6" s="1454"/>
      <c r="N6" s="1454"/>
      <c r="O6" s="1454"/>
      <c r="P6" s="1454"/>
      <c r="Q6" s="1454"/>
      <c r="R6" s="1454"/>
      <c r="S6" s="1454"/>
      <c r="T6" s="1454"/>
      <c r="U6" s="1454"/>
      <c r="V6" s="1454"/>
      <c r="W6" s="1454"/>
      <c r="X6" s="1454"/>
      <c r="Y6" s="1454"/>
      <c r="Z6" s="1454"/>
      <c r="AA6" s="1454"/>
      <c r="AB6" s="1454"/>
      <c r="AC6" s="1454"/>
      <c r="AD6" s="1454"/>
      <c r="AE6" s="1454"/>
      <c r="AF6" s="1454"/>
      <c r="AG6" s="1454"/>
      <c r="AH6" s="1454"/>
      <c r="AI6" s="1454"/>
      <c r="AJ6" s="1454"/>
      <c r="AK6" s="1454"/>
      <c r="AL6" s="1454"/>
      <c r="AM6" s="1454"/>
      <c r="AN6" s="1455"/>
      <c r="AO6" s="1456"/>
      <c r="AP6" s="1450"/>
      <c r="AQ6" s="1450"/>
      <c r="AR6" s="1450"/>
      <c r="AS6" s="1450"/>
      <c r="AT6" s="1450"/>
      <c r="AU6" s="1450"/>
      <c r="AV6" s="1450"/>
      <c r="AW6" s="1450"/>
      <c r="AX6" s="1450"/>
      <c r="AY6" s="1450"/>
      <c r="AZ6" s="1450"/>
      <c r="BA6" s="1450"/>
      <c r="BB6" s="1450"/>
      <c r="BC6" s="1450"/>
    </row>
    <row r="7" spans="1:55" s="47" customFormat="1">
      <c r="A7" s="260"/>
      <c r="B7" s="603"/>
      <c r="C7" s="751" t="s">
        <v>47</v>
      </c>
      <c r="D7" s="260" t="s">
        <v>1774</v>
      </c>
      <c r="E7" s="260"/>
      <c r="F7" s="260"/>
      <c r="G7" s="260"/>
      <c r="H7" s="260"/>
      <c r="I7" s="260"/>
      <c r="J7" s="260"/>
      <c r="K7" s="260"/>
      <c r="L7" s="260"/>
      <c r="M7" s="260"/>
      <c r="N7" s="260"/>
      <c r="O7" s="260"/>
      <c r="P7" s="260"/>
      <c r="Q7" s="260"/>
      <c r="R7" s="260"/>
      <c r="S7" s="260"/>
      <c r="T7" s="260"/>
      <c r="U7" s="260"/>
      <c r="V7" s="260"/>
      <c r="W7" s="260"/>
      <c r="X7" s="260"/>
      <c r="Y7" s="260"/>
      <c r="Z7" s="260"/>
      <c r="AA7" s="260"/>
      <c r="AB7" s="260"/>
      <c r="AC7" s="260"/>
      <c r="AD7" s="260"/>
      <c r="AE7" s="260"/>
      <c r="AF7" s="260"/>
      <c r="AG7" s="260"/>
      <c r="AH7" s="260"/>
      <c r="AI7" s="260"/>
      <c r="AJ7" s="260"/>
      <c r="AK7" s="260"/>
      <c r="AL7" s="260"/>
      <c r="AM7" s="260"/>
      <c r="AN7" s="605"/>
      <c r="AO7" s="603"/>
      <c r="AP7" s="260"/>
      <c r="AQ7" s="260"/>
      <c r="AR7" s="260"/>
      <c r="AS7" s="260"/>
      <c r="AT7" s="260"/>
      <c r="AU7" s="260"/>
      <c r="AV7" s="260"/>
      <c r="AW7" s="260"/>
      <c r="AX7" s="260"/>
      <c r="AY7" s="260"/>
      <c r="AZ7" s="260"/>
      <c r="BA7" s="260"/>
      <c r="BB7" s="260"/>
      <c r="BC7" s="260"/>
    </row>
    <row r="8" spans="1:55" s="47" customFormat="1" ht="5.0999999999999996" customHeight="1" thickBot="1">
      <c r="A8" s="260"/>
      <c r="B8" s="676"/>
      <c r="C8" s="1039"/>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605"/>
      <c r="AO8" s="603"/>
      <c r="AP8" s="260"/>
      <c r="AQ8" s="260"/>
      <c r="AR8" s="260"/>
      <c r="AS8" s="260"/>
      <c r="AT8" s="260"/>
      <c r="AU8" s="260"/>
      <c r="AV8" s="260"/>
      <c r="AW8" s="260"/>
      <c r="AX8" s="260"/>
      <c r="AY8" s="260"/>
      <c r="AZ8" s="260"/>
      <c r="BA8" s="260"/>
      <c r="BB8" s="260"/>
      <c r="BC8" s="260"/>
    </row>
    <row r="9" spans="1:55" s="171" customFormat="1" ht="29.45" customHeight="1">
      <c r="A9" s="1046"/>
      <c r="B9" s="1457"/>
      <c r="C9" s="1458"/>
      <c r="D9" s="2698" t="s">
        <v>1775</v>
      </c>
      <c r="E9" s="2007"/>
      <c r="F9" s="2007"/>
      <c r="G9" s="2007"/>
      <c r="H9" s="2007"/>
      <c r="I9" s="2007"/>
      <c r="J9" s="2007"/>
      <c r="K9" s="2007"/>
      <c r="L9" s="2007"/>
      <c r="M9" s="2007"/>
      <c r="N9" s="2007"/>
      <c r="O9" s="2007"/>
      <c r="P9" s="2007"/>
      <c r="Q9" s="2008"/>
      <c r="R9" s="2703" t="s">
        <v>1776</v>
      </c>
      <c r="S9" s="2704"/>
      <c r="T9" s="2704"/>
      <c r="U9" s="2704"/>
      <c r="V9" s="2704"/>
      <c r="W9" s="2705"/>
      <c r="X9" s="2703" t="s">
        <v>1777</v>
      </c>
      <c r="Y9" s="2704"/>
      <c r="Z9" s="2704"/>
      <c r="AA9" s="2704"/>
      <c r="AB9" s="2704"/>
      <c r="AC9" s="2705"/>
      <c r="AD9" s="2703" t="s">
        <v>1778</v>
      </c>
      <c r="AE9" s="2704"/>
      <c r="AF9" s="2704"/>
      <c r="AG9" s="2704"/>
      <c r="AH9" s="2704"/>
      <c r="AI9" s="2705"/>
      <c r="AJ9" s="771"/>
      <c r="AK9" s="771"/>
      <c r="AL9" s="771"/>
      <c r="AM9" s="771"/>
      <c r="AN9" s="1459"/>
      <c r="AO9" s="4037"/>
      <c r="AP9" s="4035"/>
      <c r="AQ9" s="4035"/>
      <c r="AR9" s="4035"/>
      <c r="AS9" s="4035"/>
      <c r="AT9" s="4035"/>
      <c r="AU9" s="4035"/>
      <c r="AV9" s="4035"/>
      <c r="AW9" s="4035"/>
      <c r="AX9" s="4035"/>
      <c r="AY9" s="4035"/>
      <c r="AZ9" s="4035"/>
      <c r="BA9" s="1046"/>
      <c r="BB9" s="1046"/>
      <c r="BC9" s="1046"/>
    </row>
    <row r="10" spans="1:55" s="171" customFormat="1" ht="16.5" thickBot="1">
      <c r="A10" s="1046"/>
      <c r="B10" s="1457"/>
      <c r="C10" s="1458"/>
      <c r="D10" s="2699"/>
      <c r="E10" s="2010"/>
      <c r="F10" s="2010"/>
      <c r="G10" s="2010"/>
      <c r="H10" s="2010"/>
      <c r="I10" s="2010"/>
      <c r="J10" s="2010"/>
      <c r="K10" s="2010"/>
      <c r="L10" s="2010"/>
      <c r="M10" s="2010"/>
      <c r="N10" s="2010"/>
      <c r="O10" s="2010"/>
      <c r="P10" s="2010"/>
      <c r="Q10" s="2011"/>
      <c r="R10" s="4037" t="s">
        <v>43</v>
      </c>
      <c r="S10" s="4035"/>
      <c r="T10" s="4038"/>
      <c r="U10" s="4034" t="s">
        <v>44</v>
      </c>
      <c r="V10" s="4035"/>
      <c r="W10" s="4036"/>
      <c r="X10" s="4037" t="s">
        <v>43</v>
      </c>
      <c r="Y10" s="4035"/>
      <c r="Z10" s="4038"/>
      <c r="AA10" s="4034" t="s">
        <v>44</v>
      </c>
      <c r="AB10" s="4035"/>
      <c r="AC10" s="4036"/>
      <c r="AD10" s="4037" t="s">
        <v>43</v>
      </c>
      <c r="AE10" s="4035"/>
      <c r="AF10" s="4038"/>
      <c r="AG10" s="4034" t="s">
        <v>44</v>
      </c>
      <c r="AH10" s="4035"/>
      <c r="AI10" s="4036"/>
      <c r="AJ10" s="4035"/>
      <c r="AK10" s="4035"/>
      <c r="AL10" s="4035"/>
      <c r="AM10" s="4035"/>
      <c r="AN10" s="4036"/>
      <c r="AO10" s="4037"/>
      <c r="AP10" s="4035"/>
      <c r="AQ10" s="4035"/>
      <c r="AR10" s="4035"/>
      <c r="AS10" s="4035"/>
      <c r="AT10" s="4035"/>
      <c r="AU10" s="4035"/>
      <c r="AV10" s="4035"/>
      <c r="AW10" s="4035"/>
      <c r="AX10" s="4035"/>
      <c r="AY10" s="4035"/>
      <c r="AZ10" s="4035"/>
      <c r="BA10" s="1046"/>
      <c r="BB10" s="1046"/>
      <c r="BC10" s="1046"/>
    </row>
    <row r="11" spans="1:55" s="171" customFormat="1" ht="24.6" customHeight="1">
      <c r="A11" s="1046"/>
      <c r="B11" s="1457"/>
      <c r="C11" s="1458"/>
      <c r="D11" s="1460"/>
      <c r="E11" s="1461" t="s">
        <v>1212</v>
      </c>
      <c r="F11" s="1461"/>
      <c r="G11" s="1461"/>
      <c r="H11" s="1461"/>
      <c r="I11" s="1461"/>
      <c r="J11" s="1461"/>
      <c r="K11" s="1461"/>
      <c r="L11" s="1461"/>
      <c r="M11" s="1461"/>
      <c r="N11" s="1461"/>
      <c r="O11" s="1461"/>
      <c r="P11" s="1461"/>
      <c r="Q11" s="1462"/>
      <c r="R11" s="1463"/>
      <c r="S11" s="1540" t="b">
        <v>0</v>
      </c>
      <c r="T11" s="1464"/>
      <c r="U11" s="1465"/>
      <c r="V11" s="1540" t="b">
        <v>0</v>
      </c>
      <c r="W11" s="1466"/>
      <c r="X11" s="1464"/>
      <c r="Y11" s="1540" t="b">
        <v>0</v>
      </c>
      <c r="Z11" s="1464"/>
      <c r="AA11" s="1465"/>
      <c r="AB11" s="1540" t="b">
        <v>0</v>
      </c>
      <c r="AC11" s="1466"/>
      <c r="AD11" s="1463"/>
      <c r="AE11" s="1540" t="b">
        <v>0</v>
      </c>
      <c r="AF11" s="1464"/>
      <c r="AG11" s="1465"/>
      <c r="AH11" s="1540" t="b">
        <v>0</v>
      </c>
      <c r="AI11" s="1466"/>
      <c r="AJ11" s="1467"/>
      <c r="AK11" s="1468"/>
      <c r="AL11" s="1467"/>
      <c r="AM11" s="1467"/>
      <c r="AN11" s="1469"/>
      <c r="AO11" s="1470"/>
      <c r="AP11" s="1468"/>
      <c r="AQ11" s="1467"/>
      <c r="AR11" s="1467"/>
      <c r="AS11" s="1468"/>
      <c r="AT11" s="1467"/>
      <c r="AU11" s="1467"/>
      <c r="AV11" s="1468"/>
      <c r="AW11" s="1467"/>
      <c r="AX11" s="1467"/>
      <c r="AY11" s="1468"/>
      <c r="AZ11" s="1467"/>
      <c r="BA11" s="1046"/>
      <c r="BB11" s="1046"/>
      <c r="BC11" s="1046"/>
    </row>
    <row r="12" spans="1:55" s="171" customFormat="1" ht="24.6" customHeight="1">
      <c r="A12" s="1046"/>
      <c r="B12" s="1457"/>
      <c r="C12" s="1458"/>
      <c r="D12" s="1471"/>
      <c r="E12" s="1472" t="s">
        <v>1214</v>
      </c>
      <c r="F12" s="1472"/>
      <c r="G12" s="1472"/>
      <c r="H12" s="1472"/>
      <c r="I12" s="1472"/>
      <c r="J12" s="1472"/>
      <c r="K12" s="1472"/>
      <c r="L12" s="1472"/>
      <c r="M12" s="1472"/>
      <c r="N12" s="1472"/>
      <c r="O12" s="1472"/>
      <c r="P12" s="1472"/>
      <c r="Q12" s="1473"/>
      <c r="R12" s="1474"/>
      <c r="S12" s="1541" t="b">
        <v>0</v>
      </c>
      <c r="T12" s="1475"/>
      <c r="U12" s="1476"/>
      <c r="V12" s="1541" t="b">
        <v>0</v>
      </c>
      <c r="W12" s="1477"/>
      <c r="X12" s="1475"/>
      <c r="Y12" s="1541" t="b">
        <v>0</v>
      </c>
      <c r="Z12" s="1475"/>
      <c r="AA12" s="1476"/>
      <c r="AB12" s="1541" t="b">
        <v>0</v>
      </c>
      <c r="AC12" s="1477"/>
      <c r="AD12" s="1474"/>
      <c r="AE12" s="1541" t="b">
        <v>0</v>
      </c>
      <c r="AF12" s="1475"/>
      <c r="AG12" s="1476"/>
      <c r="AH12" s="1541" t="b">
        <v>0</v>
      </c>
      <c r="AI12" s="1477"/>
      <c r="AJ12" s="1467"/>
      <c r="AK12" s="1468"/>
      <c r="AL12" s="1467"/>
      <c r="AM12" s="1467"/>
      <c r="AN12" s="1469"/>
      <c r="AO12" s="1470"/>
      <c r="AP12" s="1468"/>
      <c r="AQ12" s="1467"/>
      <c r="AR12" s="1467"/>
      <c r="AS12" s="1468"/>
      <c r="AT12" s="1467"/>
      <c r="AU12" s="1467"/>
      <c r="AV12" s="1468"/>
      <c r="AW12" s="1467"/>
      <c r="AX12" s="1467"/>
      <c r="AY12" s="1468"/>
      <c r="AZ12" s="1467"/>
      <c r="BA12" s="1046"/>
      <c r="BB12" s="1046"/>
      <c r="BC12" s="1046"/>
    </row>
    <row r="13" spans="1:55" s="171" customFormat="1" ht="24.6" customHeight="1">
      <c r="A13" s="1046"/>
      <c r="B13" s="1457"/>
      <c r="C13" s="1458"/>
      <c r="D13" s="1471"/>
      <c r="E13" s="1472" t="s">
        <v>1215</v>
      </c>
      <c r="F13" s="1472"/>
      <c r="G13" s="1472"/>
      <c r="H13" s="1472"/>
      <c r="I13" s="1472"/>
      <c r="J13" s="1472"/>
      <c r="K13" s="1472"/>
      <c r="L13" s="1472"/>
      <c r="M13" s="1472"/>
      <c r="N13" s="1472"/>
      <c r="O13" s="1472"/>
      <c r="P13" s="1472"/>
      <c r="Q13" s="1473"/>
      <c r="R13" s="1474"/>
      <c r="S13" s="1541" t="b">
        <v>0</v>
      </c>
      <c r="T13" s="1475"/>
      <c r="U13" s="1476"/>
      <c r="V13" s="1541" t="b">
        <v>0</v>
      </c>
      <c r="W13" s="1477"/>
      <c r="X13" s="1475"/>
      <c r="Y13" s="1541" t="b">
        <v>0</v>
      </c>
      <c r="Z13" s="1475"/>
      <c r="AA13" s="1476"/>
      <c r="AB13" s="1541" t="b">
        <v>0</v>
      </c>
      <c r="AC13" s="1477"/>
      <c r="AD13" s="1474"/>
      <c r="AE13" s="1541" t="b">
        <v>0</v>
      </c>
      <c r="AF13" s="1475"/>
      <c r="AG13" s="1476"/>
      <c r="AH13" s="1541" t="b">
        <v>0</v>
      </c>
      <c r="AI13" s="1477"/>
      <c r="AJ13" s="1467"/>
      <c r="AK13" s="1468"/>
      <c r="AL13" s="1467"/>
      <c r="AM13" s="1467"/>
      <c r="AN13" s="1469"/>
      <c r="AO13" s="1470"/>
      <c r="AP13" s="1468"/>
      <c r="AQ13" s="1467"/>
      <c r="AR13" s="1467"/>
      <c r="AS13" s="1468"/>
      <c r="AT13" s="1467"/>
      <c r="AU13" s="1467"/>
      <c r="AV13" s="1468"/>
      <c r="AW13" s="1467"/>
      <c r="AX13" s="1467"/>
      <c r="AY13" s="1468"/>
      <c r="AZ13" s="1467"/>
      <c r="BA13" s="1046"/>
      <c r="BB13" s="1046"/>
      <c r="BC13" s="1046"/>
    </row>
    <row r="14" spans="1:55" s="171" customFormat="1" ht="24.6" customHeight="1">
      <c r="A14" s="1046"/>
      <c r="B14" s="1457"/>
      <c r="C14" s="1458"/>
      <c r="D14" s="1471"/>
      <c r="E14" s="1472" t="s">
        <v>1213</v>
      </c>
      <c r="F14" s="1472"/>
      <c r="G14" s="1472"/>
      <c r="H14" s="1472"/>
      <c r="I14" s="1472"/>
      <c r="J14" s="1472"/>
      <c r="K14" s="1472"/>
      <c r="L14" s="1472"/>
      <c r="M14" s="1472"/>
      <c r="N14" s="1472"/>
      <c r="O14" s="1472"/>
      <c r="P14" s="1472"/>
      <c r="Q14" s="1473"/>
      <c r="R14" s="1474"/>
      <c r="S14" s="1541" t="b">
        <v>1</v>
      </c>
      <c r="T14" s="1475"/>
      <c r="U14" s="1476"/>
      <c r="V14" s="1541" t="b">
        <v>1</v>
      </c>
      <c r="W14" s="1477"/>
      <c r="X14" s="1475"/>
      <c r="Y14" s="1541" t="b">
        <v>0</v>
      </c>
      <c r="Z14" s="1475"/>
      <c r="AA14" s="1476"/>
      <c r="AB14" s="1541" t="b">
        <v>0</v>
      </c>
      <c r="AC14" s="1477"/>
      <c r="AD14" s="1474"/>
      <c r="AE14" s="1541" t="b">
        <v>0</v>
      </c>
      <c r="AF14" s="1475"/>
      <c r="AG14" s="1476"/>
      <c r="AH14" s="1541" t="b">
        <v>0</v>
      </c>
      <c r="AI14" s="1477"/>
      <c r="AJ14" s="1467"/>
      <c r="AK14" s="1468"/>
      <c r="AL14" s="1467"/>
      <c r="AM14" s="1467"/>
      <c r="AN14" s="1469"/>
      <c r="AO14" s="1470"/>
      <c r="AP14" s="1468"/>
      <c r="AQ14" s="1467"/>
      <c r="AR14" s="1467"/>
      <c r="AS14" s="1468"/>
      <c r="AT14" s="1467"/>
      <c r="AU14" s="1467"/>
      <c r="AV14" s="1468"/>
      <c r="AW14" s="1467"/>
      <c r="AX14" s="1467"/>
      <c r="AY14" s="1468"/>
      <c r="AZ14" s="1467"/>
      <c r="BA14" s="1046"/>
      <c r="BB14" s="1046"/>
      <c r="BC14" s="1046"/>
    </row>
    <row r="15" spans="1:55" s="171" customFormat="1" ht="24.6" customHeight="1">
      <c r="A15" s="1046"/>
      <c r="B15" s="1457"/>
      <c r="C15" s="1458"/>
      <c r="D15" s="1471"/>
      <c r="E15" s="1472" t="s">
        <v>1218</v>
      </c>
      <c r="F15" s="1472"/>
      <c r="G15" s="1472"/>
      <c r="H15" s="1472"/>
      <c r="I15" s="1472"/>
      <c r="J15" s="1472"/>
      <c r="K15" s="1472"/>
      <c r="L15" s="1472"/>
      <c r="M15" s="1472"/>
      <c r="N15" s="1472"/>
      <c r="O15" s="1472"/>
      <c r="P15" s="1472"/>
      <c r="Q15" s="1473"/>
      <c r="R15" s="1474"/>
      <c r="S15" s="1541" t="b">
        <v>0</v>
      </c>
      <c r="T15" s="1475"/>
      <c r="U15" s="1476"/>
      <c r="V15" s="1541" t="b">
        <v>0</v>
      </c>
      <c r="W15" s="1477"/>
      <c r="X15" s="1475"/>
      <c r="Y15" s="1541" t="b">
        <v>0</v>
      </c>
      <c r="Z15" s="1475"/>
      <c r="AA15" s="1476"/>
      <c r="AB15" s="1541" t="b">
        <v>0</v>
      </c>
      <c r="AC15" s="1477"/>
      <c r="AD15" s="1474"/>
      <c r="AE15" s="1541" t="b">
        <v>0</v>
      </c>
      <c r="AF15" s="1475"/>
      <c r="AG15" s="1476"/>
      <c r="AH15" s="1541" t="b">
        <v>0</v>
      </c>
      <c r="AI15" s="1477"/>
      <c r="AJ15" s="1467"/>
      <c r="AK15" s="1468"/>
      <c r="AL15" s="1467"/>
      <c r="AM15" s="1467"/>
      <c r="AN15" s="1469"/>
      <c r="AO15" s="1470"/>
      <c r="AP15" s="1468"/>
      <c r="AQ15" s="1467"/>
      <c r="AR15" s="1467"/>
      <c r="AS15" s="1468"/>
      <c r="AT15" s="1467"/>
      <c r="AU15" s="1467"/>
      <c r="AV15" s="1468"/>
      <c r="AW15" s="1467"/>
      <c r="AX15" s="1467"/>
      <c r="AY15" s="1468"/>
      <c r="AZ15" s="1467"/>
      <c r="BA15" s="1046"/>
      <c r="BB15" s="1046"/>
      <c r="BC15" s="1046"/>
    </row>
    <row r="16" spans="1:55" s="171" customFormat="1" ht="24.6" customHeight="1">
      <c r="A16" s="1046"/>
      <c r="B16" s="1457"/>
      <c r="C16" s="1458"/>
      <c r="D16" s="1471"/>
      <c r="E16" s="1472" t="s">
        <v>1219</v>
      </c>
      <c r="F16" s="1472"/>
      <c r="G16" s="1472"/>
      <c r="H16" s="1472"/>
      <c r="I16" s="1472"/>
      <c r="J16" s="1472"/>
      <c r="K16" s="1472"/>
      <c r="L16" s="1472"/>
      <c r="M16" s="1472"/>
      <c r="N16" s="1472"/>
      <c r="O16" s="1472"/>
      <c r="P16" s="1472"/>
      <c r="Q16" s="1473"/>
      <c r="R16" s="1474"/>
      <c r="S16" s="1541" t="b">
        <v>0</v>
      </c>
      <c r="T16" s="1475"/>
      <c r="U16" s="1476"/>
      <c r="V16" s="1541" t="b">
        <v>0</v>
      </c>
      <c r="W16" s="1477"/>
      <c r="X16" s="1475"/>
      <c r="Y16" s="1541" t="b">
        <v>0</v>
      </c>
      <c r="Z16" s="1475"/>
      <c r="AA16" s="1476"/>
      <c r="AB16" s="1541" t="b">
        <v>0</v>
      </c>
      <c r="AC16" s="1477"/>
      <c r="AD16" s="1474"/>
      <c r="AE16" s="1541" t="b">
        <v>0</v>
      </c>
      <c r="AF16" s="1475"/>
      <c r="AG16" s="1476"/>
      <c r="AH16" s="1541" t="b">
        <v>0</v>
      </c>
      <c r="AI16" s="1477"/>
      <c r="AJ16" s="1467"/>
      <c r="AK16" s="1468"/>
      <c r="AL16" s="1467"/>
      <c r="AM16" s="1467"/>
      <c r="AN16" s="1469"/>
      <c r="AO16" s="1470"/>
      <c r="AP16" s="1468"/>
      <c r="AQ16" s="1467"/>
      <c r="AR16" s="1467"/>
      <c r="AS16" s="1468"/>
      <c r="AT16" s="1467"/>
      <c r="AU16" s="1467"/>
      <c r="AV16" s="1468"/>
      <c r="AW16" s="1467"/>
      <c r="AX16" s="1467"/>
      <c r="AY16" s="1468"/>
      <c r="AZ16" s="1467"/>
      <c r="BA16" s="1046"/>
      <c r="BB16" s="1046"/>
      <c r="BC16" s="1046"/>
    </row>
    <row r="17" spans="1:59" s="171" customFormat="1" ht="24.6" customHeight="1">
      <c r="A17" s="1046"/>
      <c r="B17" s="1457"/>
      <c r="C17" s="1458"/>
      <c r="D17" s="1471"/>
      <c r="E17" s="1472" t="s">
        <v>1220</v>
      </c>
      <c r="F17" s="1472"/>
      <c r="G17" s="1472"/>
      <c r="H17" s="1472"/>
      <c r="I17" s="1472"/>
      <c r="J17" s="1472"/>
      <c r="K17" s="1472"/>
      <c r="L17" s="1472"/>
      <c r="M17" s="1472"/>
      <c r="N17" s="1472"/>
      <c r="O17" s="1472"/>
      <c r="P17" s="1472"/>
      <c r="Q17" s="1473"/>
      <c r="R17" s="1474"/>
      <c r="S17" s="1541" t="b">
        <v>0</v>
      </c>
      <c r="T17" s="1475"/>
      <c r="U17" s="1476"/>
      <c r="V17" s="1541" t="b">
        <v>0</v>
      </c>
      <c r="W17" s="1477"/>
      <c r="X17" s="1475"/>
      <c r="Y17" s="1541" t="b">
        <v>0</v>
      </c>
      <c r="Z17" s="1475"/>
      <c r="AA17" s="1476"/>
      <c r="AB17" s="1541" t="b">
        <v>0</v>
      </c>
      <c r="AC17" s="1477"/>
      <c r="AD17" s="1474"/>
      <c r="AE17" s="1541" t="b">
        <v>0</v>
      </c>
      <c r="AF17" s="1475"/>
      <c r="AG17" s="1476"/>
      <c r="AH17" s="1541" t="b">
        <v>0</v>
      </c>
      <c r="AI17" s="1477"/>
      <c r="AJ17" s="1467"/>
      <c r="AK17" s="1468"/>
      <c r="AL17" s="1467"/>
      <c r="AM17" s="1467"/>
      <c r="AN17" s="1469"/>
      <c r="AO17" s="1470"/>
      <c r="AP17" s="1468"/>
      <c r="AQ17" s="1467"/>
      <c r="AR17" s="1467"/>
      <c r="AS17" s="1468"/>
      <c r="AT17" s="1467"/>
      <c r="AU17" s="1467"/>
      <c r="AV17" s="1468"/>
      <c r="AW17" s="1467"/>
      <c r="AX17" s="1467"/>
      <c r="AY17" s="1468"/>
      <c r="AZ17" s="1467"/>
      <c r="BA17" s="1046"/>
      <c r="BB17" s="1046"/>
      <c r="BC17" s="1046"/>
    </row>
    <row r="18" spans="1:59" s="171" customFormat="1" ht="24.6" customHeight="1">
      <c r="A18" s="1046"/>
      <c r="B18" s="1457"/>
      <c r="C18" s="1458"/>
      <c r="D18" s="1471"/>
      <c r="E18" s="1472" t="s">
        <v>1217</v>
      </c>
      <c r="F18" s="1472"/>
      <c r="G18" s="1472"/>
      <c r="H18" s="1472"/>
      <c r="I18" s="1472"/>
      <c r="J18" s="1472"/>
      <c r="K18" s="1472"/>
      <c r="L18" s="1472"/>
      <c r="M18" s="1472"/>
      <c r="N18" s="1472"/>
      <c r="O18" s="1472"/>
      <c r="P18" s="1472"/>
      <c r="Q18" s="1473"/>
      <c r="R18" s="1474"/>
      <c r="S18" s="1541" t="b">
        <v>0</v>
      </c>
      <c r="T18" s="1475"/>
      <c r="U18" s="1476"/>
      <c r="V18" s="1541" t="b">
        <v>0</v>
      </c>
      <c r="W18" s="1477"/>
      <c r="X18" s="1475"/>
      <c r="Y18" s="1541" t="b">
        <v>0</v>
      </c>
      <c r="Z18" s="1475"/>
      <c r="AA18" s="1476"/>
      <c r="AB18" s="1541" t="b">
        <v>0</v>
      </c>
      <c r="AC18" s="1477"/>
      <c r="AD18" s="1474"/>
      <c r="AE18" s="1541" t="b">
        <v>0</v>
      </c>
      <c r="AF18" s="1475"/>
      <c r="AG18" s="1476"/>
      <c r="AH18" s="1541" t="b">
        <v>0</v>
      </c>
      <c r="AI18" s="1477"/>
      <c r="AJ18" s="1467"/>
      <c r="AK18" s="1468"/>
      <c r="AL18" s="1467"/>
      <c r="AM18" s="1467"/>
      <c r="AN18" s="1469"/>
      <c r="AO18" s="1470"/>
      <c r="AP18" s="1468"/>
      <c r="AQ18" s="1467"/>
      <c r="AR18" s="1467"/>
      <c r="AS18" s="1468"/>
      <c r="AT18" s="1467"/>
      <c r="AU18" s="1467"/>
      <c r="AV18" s="1468"/>
      <c r="AW18" s="1467"/>
      <c r="AX18" s="1467"/>
      <c r="AY18" s="1468"/>
      <c r="AZ18" s="1467"/>
      <c r="BA18" s="1046"/>
      <c r="BB18" s="1046"/>
      <c r="BC18" s="1046"/>
    </row>
    <row r="19" spans="1:59" s="171" customFormat="1" ht="24.6" customHeight="1">
      <c r="A19" s="1046"/>
      <c r="B19" s="1457"/>
      <c r="C19" s="1458"/>
      <c r="D19" s="1471"/>
      <c r="E19" s="1472" t="s">
        <v>1216</v>
      </c>
      <c r="F19" s="1472"/>
      <c r="G19" s="1472"/>
      <c r="H19" s="1472"/>
      <c r="I19" s="1472"/>
      <c r="J19" s="1472"/>
      <c r="K19" s="1472"/>
      <c r="L19" s="1472"/>
      <c r="M19" s="1472"/>
      <c r="N19" s="1472"/>
      <c r="O19" s="1472"/>
      <c r="P19" s="1472"/>
      <c r="Q19" s="1473"/>
      <c r="R19" s="1474"/>
      <c r="S19" s="1541" t="b">
        <v>0</v>
      </c>
      <c r="T19" s="1475"/>
      <c r="U19" s="1476"/>
      <c r="V19" s="1541" t="b">
        <v>0</v>
      </c>
      <c r="W19" s="1477"/>
      <c r="X19" s="1475"/>
      <c r="Y19" s="1541" t="b">
        <v>0</v>
      </c>
      <c r="Z19" s="1475"/>
      <c r="AA19" s="1476"/>
      <c r="AB19" s="1541" t="b">
        <v>0</v>
      </c>
      <c r="AC19" s="1477"/>
      <c r="AD19" s="1474"/>
      <c r="AE19" s="1541" t="b">
        <v>0</v>
      </c>
      <c r="AF19" s="1475"/>
      <c r="AG19" s="1476"/>
      <c r="AH19" s="1541" t="b">
        <v>0</v>
      </c>
      <c r="AI19" s="1477"/>
      <c r="AJ19" s="1467"/>
      <c r="AK19" s="1468"/>
      <c r="AL19" s="1467"/>
      <c r="AM19" s="1467"/>
      <c r="AN19" s="1469"/>
      <c r="AO19" s="1470"/>
      <c r="AP19" s="1468"/>
      <c r="AQ19" s="1467"/>
      <c r="AR19" s="1467"/>
      <c r="AS19" s="1468"/>
      <c r="AT19" s="1467"/>
      <c r="AU19" s="1467"/>
      <c r="AV19" s="1468"/>
      <c r="AW19" s="1467"/>
      <c r="AX19" s="1467"/>
      <c r="AY19" s="1468"/>
      <c r="AZ19" s="1467"/>
      <c r="BA19" s="1046"/>
      <c r="BB19" s="1046"/>
      <c r="BC19" s="1046"/>
    </row>
    <row r="20" spans="1:59" s="171" customFormat="1" ht="24.6" customHeight="1" thickBot="1">
      <c r="A20" s="1046"/>
      <c r="B20" s="1457"/>
      <c r="C20" s="1458"/>
      <c r="D20" s="1478"/>
      <c r="E20" s="1479" t="s">
        <v>272</v>
      </c>
      <c r="F20" s="1479"/>
      <c r="G20" s="1479"/>
      <c r="H20" s="1479"/>
      <c r="I20" s="1479"/>
      <c r="J20" s="1479"/>
      <c r="K20" s="1479"/>
      <c r="L20" s="1479"/>
      <c r="M20" s="1479"/>
      <c r="N20" s="1479"/>
      <c r="O20" s="1479"/>
      <c r="P20" s="1479"/>
      <c r="Q20" s="1480"/>
      <c r="R20" s="1481"/>
      <c r="S20" s="1542" t="b">
        <v>0</v>
      </c>
      <c r="T20" s="1482"/>
      <c r="U20" s="1483"/>
      <c r="V20" s="1542" t="b">
        <v>0</v>
      </c>
      <c r="W20" s="1484"/>
      <c r="X20" s="1482"/>
      <c r="Y20" s="1542" t="b">
        <v>0</v>
      </c>
      <c r="Z20" s="1482"/>
      <c r="AA20" s="1483"/>
      <c r="AB20" s="1542" t="b">
        <v>0</v>
      </c>
      <c r="AC20" s="1484"/>
      <c r="AD20" s="1481"/>
      <c r="AE20" s="1542" t="b">
        <v>0</v>
      </c>
      <c r="AF20" s="1482"/>
      <c r="AG20" s="1483"/>
      <c r="AH20" s="1542" t="b">
        <v>0</v>
      </c>
      <c r="AI20" s="1484"/>
      <c r="AJ20" s="1467"/>
      <c r="AK20" s="1468"/>
      <c r="AL20" s="1467"/>
      <c r="AM20" s="1467"/>
      <c r="AN20" s="1469"/>
      <c r="AO20" s="1470"/>
      <c r="AP20" s="1468"/>
      <c r="AQ20" s="1467"/>
      <c r="AR20" s="1467"/>
      <c r="AS20" s="1468"/>
      <c r="AT20" s="1467"/>
      <c r="AU20" s="1467"/>
      <c r="AV20" s="1468"/>
      <c r="AW20" s="1467"/>
      <c r="AX20" s="1467"/>
      <c r="AY20" s="1468"/>
      <c r="AZ20" s="1467"/>
      <c r="BA20" s="1046"/>
      <c r="BB20" s="1046"/>
      <c r="BC20" s="1046"/>
    </row>
    <row r="21" spans="1:59" ht="9" customHeight="1">
      <c r="A21" s="1447"/>
      <c r="B21" s="1485"/>
      <c r="C21" s="1486"/>
      <c r="D21" s="1449"/>
      <c r="E21" s="1449"/>
      <c r="F21" s="1449"/>
      <c r="G21" s="1449"/>
      <c r="H21" s="1449"/>
      <c r="I21" s="1449"/>
      <c r="J21" s="1449"/>
      <c r="K21" s="1449"/>
      <c r="L21" s="1449"/>
      <c r="M21" s="1449"/>
      <c r="N21" s="1449"/>
      <c r="O21" s="1449"/>
      <c r="P21" s="1449"/>
      <c r="Q21" s="1449"/>
      <c r="R21" s="1447"/>
      <c r="S21" s="1447"/>
      <c r="T21" s="1447"/>
      <c r="U21" s="1447"/>
      <c r="V21" s="1447"/>
      <c r="W21" s="1447"/>
      <c r="X21" s="1447"/>
      <c r="Y21" s="1447"/>
      <c r="Z21" s="1447"/>
      <c r="AA21" s="1447"/>
      <c r="AB21" s="1447"/>
      <c r="AC21" s="1447"/>
      <c r="AD21" s="1447"/>
      <c r="AE21" s="1447"/>
      <c r="AF21" s="1447"/>
      <c r="AG21" s="1447"/>
      <c r="AH21" s="1447"/>
      <c r="AI21" s="1447"/>
      <c r="AJ21" s="1447"/>
      <c r="AK21" s="1447"/>
      <c r="AL21" s="1447"/>
      <c r="AM21" s="1447"/>
      <c r="AN21" s="1487"/>
      <c r="AO21" s="1488"/>
      <c r="AP21" s="1447"/>
      <c r="AQ21" s="1447"/>
      <c r="AR21" s="1447"/>
      <c r="AS21" s="1447"/>
      <c r="AT21" s="1447"/>
      <c r="AU21" s="1447"/>
      <c r="AV21" s="1447"/>
      <c r="AW21" s="1447"/>
      <c r="AX21" s="1447"/>
      <c r="AY21" s="1447"/>
      <c r="AZ21" s="1447"/>
      <c r="BA21" s="1447"/>
      <c r="BB21" s="1447"/>
      <c r="BC21" s="1447"/>
    </row>
    <row r="22" spans="1:59" s="47" customFormat="1" ht="33.950000000000003" customHeight="1">
      <c r="A22" s="260"/>
      <c r="B22" s="603"/>
      <c r="C22" s="1047" t="s">
        <v>48</v>
      </c>
      <c r="D22" s="4049" t="s">
        <v>1779</v>
      </c>
      <c r="E22" s="4049"/>
      <c r="F22" s="4049"/>
      <c r="G22" s="4049"/>
      <c r="H22" s="4049"/>
      <c r="I22" s="4049"/>
      <c r="J22" s="4049"/>
      <c r="K22" s="4049"/>
      <c r="L22" s="4049"/>
      <c r="M22" s="4049"/>
      <c r="N22" s="4049"/>
      <c r="O22" s="4049"/>
      <c r="P22" s="4049"/>
      <c r="Q22" s="4049"/>
      <c r="R22" s="4049"/>
      <c r="S22" s="4049"/>
      <c r="T22" s="4049"/>
      <c r="U22" s="4049"/>
      <c r="V22" s="4049"/>
      <c r="W22" s="4049"/>
      <c r="X22" s="4049"/>
      <c r="Y22" s="4049"/>
      <c r="Z22" s="4049"/>
      <c r="AA22" s="4049"/>
      <c r="AB22" s="4049"/>
      <c r="AC22" s="4049"/>
      <c r="AD22" s="4049"/>
      <c r="AE22" s="4049"/>
      <c r="AF22" s="4049"/>
      <c r="AG22" s="4049"/>
      <c r="AH22" s="4049"/>
      <c r="AI22" s="4049"/>
      <c r="AJ22" s="4049"/>
      <c r="AK22" s="4049"/>
      <c r="AL22" s="4049"/>
      <c r="AM22" s="260"/>
      <c r="AN22" s="605"/>
      <c r="AO22" s="603"/>
      <c r="AP22" s="260"/>
      <c r="AQ22" s="260"/>
      <c r="AR22" s="260"/>
      <c r="AS22" s="260"/>
      <c r="AT22" s="260"/>
      <c r="AU22" s="260"/>
      <c r="AV22" s="260"/>
      <c r="AW22" s="260"/>
      <c r="AX22" s="260"/>
      <c r="AY22" s="260"/>
      <c r="AZ22" s="260"/>
      <c r="BA22" s="260"/>
      <c r="BB22" s="260"/>
      <c r="BC22" s="260"/>
    </row>
    <row r="23" spans="1:59" s="47" customFormat="1" ht="5.0999999999999996" customHeight="1" thickBot="1">
      <c r="A23" s="260"/>
      <c r="B23" s="676"/>
      <c r="C23" s="1039"/>
      <c r="D23" s="260"/>
      <c r="E23" s="260"/>
      <c r="F23" s="260"/>
      <c r="G23" s="260"/>
      <c r="H23" s="260"/>
      <c r="I23" s="260"/>
      <c r="J23" s="260"/>
      <c r="K23" s="260"/>
      <c r="L23" s="260"/>
      <c r="M23" s="260"/>
      <c r="N23" s="260"/>
      <c r="O23" s="260"/>
      <c r="P23" s="260"/>
      <c r="Q23" s="260"/>
      <c r="R23" s="260"/>
      <c r="S23" s="260"/>
      <c r="T23" s="260"/>
      <c r="U23" s="260"/>
      <c r="V23" s="260"/>
      <c r="W23" s="260"/>
      <c r="X23" s="260"/>
      <c r="Y23" s="260"/>
      <c r="Z23" s="260"/>
      <c r="AA23" s="260"/>
      <c r="AB23" s="260"/>
      <c r="AC23" s="260"/>
      <c r="AD23" s="260"/>
      <c r="AE23" s="260"/>
      <c r="AF23" s="260"/>
      <c r="AG23" s="260"/>
      <c r="AH23" s="260"/>
      <c r="AI23" s="260"/>
      <c r="AJ23" s="260"/>
      <c r="AK23" s="260"/>
      <c r="AL23" s="260"/>
      <c r="AM23" s="260"/>
      <c r="AN23" s="605"/>
      <c r="AO23" s="603"/>
      <c r="AP23" s="260"/>
      <c r="AQ23" s="260"/>
      <c r="AR23" s="260"/>
      <c r="AS23" s="260"/>
      <c r="AT23" s="260"/>
      <c r="AU23" s="260"/>
      <c r="AV23" s="260"/>
      <c r="AW23" s="260"/>
      <c r="AX23" s="260"/>
      <c r="AY23" s="260"/>
      <c r="AZ23" s="260"/>
      <c r="BA23" s="260"/>
      <c r="BB23" s="260"/>
      <c r="BC23" s="260"/>
    </row>
    <row r="24" spans="1:59" s="171" customFormat="1" ht="32.1" customHeight="1">
      <c r="A24" s="1046"/>
      <c r="B24" s="1457"/>
      <c r="C24" s="1458"/>
      <c r="D24" s="4045" t="s">
        <v>1780</v>
      </c>
      <c r="E24" s="1989"/>
      <c r="F24" s="1989"/>
      <c r="G24" s="1989"/>
      <c r="H24" s="1990"/>
      <c r="I24" s="4054" t="s">
        <v>1781</v>
      </c>
      <c r="J24" s="4055"/>
      <c r="K24" s="4055"/>
      <c r="L24" s="4055"/>
      <c r="M24" s="4055"/>
      <c r="N24" s="4055"/>
      <c r="O24" s="4055"/>
      <c r="P24" s="4055"/>
      <c r="Q24" s="4055"/>
      <c r="R24" s="4055"/>
      <c r="S24" s="4055"/>
      <c r="T24" s="4055"/>
      <c r="U24" s="4055"/>
      <c r="V24" s="4055"/>
      <c r="W24" s="4056"/>
      <c r="X24" s="4045" t="s">
        <v>1782</v>
      </c>
      <c r="Y24" s="1989"/>
      <c r="Z24" s="1989"/>
      <c r="AA24" s="1989"/>
      <c r="AB24" s="1990"/>
      <c r="AC24" s="4045" t="s">
        <v>1783</v>
      </c>
      <c r="AD24" s="1989"/>
      <c r="AE24" s="1989"/>
      <c r="AF24" s="1989"/>
      <c r="AG24" s="1990"/>
      <c r="AH24" s="4045" t="s">
        <v>1784</v>
      </c>
      <c r="AI24" s="1989"/>
      <c r="AJ24" s="1989"/>
      <c r="AK24" s="1989"/>
      <c r="AL24" s="1990"/>
      <c r="AM24" s="1489"/>
      <c r="AN24" s="1459"/>
      <c r="AO24" s="1489"/>
      <c r="AP24" s="771"/>
      <c r="AQ24" s="771"/>
      <c r="AR24" s="771"/>
      <c r="AS24" s="771"/>
      <c r="AT24" s="771"/>
      <c r="AU24" s="771"/>
      <c r="AV24" s="771"/>
      <c r="AW24" s="771"/>
      <c r="AX24" s="771"/>
      <c r="AY24" s="771"/>
      <c r="AZ24" s="771"/>
      <c r="BA24" s="771"/>
      <c r="BB24" s="771"/>
      <c r="BC24" s="771"/>
      <c r="BD24" s="155"/>
      <c r="BE24" s="155"/>
      <c r="BF24" s="155"/>
      <c r="BG24" s="155"/>
    </row>
    <row r="25" spans="1:59" s="171" customFormat="1" ht="32.1" customHeight="1" thickBot="1">
      <c r="A25" s="1046"/>
      <c r="B25" s="1457"/>
      <c r="C25" s="1458"/>
      <c r="D25" s="4046"/>
      <c r="E25" s="1992"/>
      <c r="F25" s="1992"/>
      <c r="G25" s="1992"/>
      <c r="H25" s="1993"/>
      <c r="I25" s="2699" t="s">
        <v>1785</v>
      </c>
      <c r="J25" s="2010"/>
      <c r="K25" s="2010"/>
      <c r="L25" s="2010"/>
      <c r="M25" s="4058"/>
      <c r="N25" s="4050" t="s">
        <v>1612</v>
      </c>
      <c r="O25" s="2010"/>
      <c r="P25" s="2010"/>
      <c r="Q25" s="2010"/>
      <c r="R25" s="4058"/>
      <c r="S25" s="4050" t="s">
        <v>1613</v>
      </c>
      <c r="T25" s="2010"/>
      <c r="U25" s="2010"/>
      <c r="V25" s="2010"/>
      <c r="W25" s="2011"/>
      <c r="X25" s="4046"/>
      <c r="Y25" s="1992"/>
      <c r="Z25" s="1992"/>
      <c r="AA25" s="1992"/>
      <c r="AB25" s="1993"/>
      <c r="AC25" s="4046"/>
      <c r="AD25" s="1992"/>
      <c r="AE25" s="1992"/>
      <c r="AF25" s="1992"/>
      <c r="AG25" s="1993"/>
      <c r="AH25" s="4046"/>
      <c r="AI25" s="1992"/>
      <c r="AJ25" s="1992"/>
      <c r="AK25" s="1992"/>
      <c r="AL25" s="1993"/>
      <c r="AM25" s="1489"/>
      <c r="AN25" s="1459"/>
      <c r="AO25" s="1489"/>
      <c r="AP25" s="771"/>
      <c r="AQ25" s="771"/>
      <c r="AR25" s="771"/>
      <c r="AS25" s="771"/>
      <c r="AT25" s="771"/>
      <c r="AU25" s="771"/>
      <c r="AV25" s="771"/>
      <c r="AW25" s="771"/>
      <c r="AX25" s="771"/>
      <c r="AY25" s="771"/>
      <c r="AZ25" s="771"/>
      <c r="BA25" s="771"/>
      <c r="BB25" s="771"/>
      <c r="BC25" s="771"/>
      <c r="BD25" s="155"/>
      <c r="BE25" s="155"/>
      <c r="BF25" s="155"/>
      <c r="BG25" s="155"/>
    </row>
    <row r="26" spans="1:59" s="171" customFormat="1" ht="24.6" customHeight="1">
      <c r="A26" s="1046"/>
      <c r="B26" s="1457"/>
      <c r="C26" s="1458"/>
      <c r="D26" s="1460"/>
      <c r="E26" s="1461" t="s">
        <v>932</v>
      </c>
      <c r="F26" s="1461"/>
      <c r="G26" s="1461"/>
      <c r="H26" s="1462"/>
      <c r="I26" s="4040">
        <v>0</v>
      </c>
      <c r="J26" s="4041"/>
      <c r="K26" s="4041"/>
      <c r="L26" s="4041"/>
      <c r="M26" s="4042"/>
      <c r="N26" s="4043">
        <v>0</v>
      </c>
      <c r="O26" s="4041"/>
      <c r="P26" s="4041"/>
      <c r="Q26" s="4041"/>
      <c r="R26" s="4042"/>
      <c r="S26" s="4043">
        <v>0</v>
      </c>
      <c r="T26" s="4041"/>
      <c r="U26" s="4041"/>
      <c r="V26" s="4041"/>
      <c r="W26" s="4044"/>
      <c r="X26" s="4040">
        <v>0</v>
      </c>
      <c r="Y26" s="4041"/>
      <c r="Z26" s="4041"/>
      <c r="AA26" s="4041"/>
      <c r="AB26" s="4044"/>
      <c r="AC26" s="4040">
        <v>0</v>
      </c>
      <c r="AD26" s="4041"/>
      <c r="AE26" s="4041"/>
      <c r="AF26" s="4041"/>
      <c r="AG26" s="4044"/>
      <c r="AH26" s="4040">
        <v>0</v>
      </c>
      <c r="AI26" s="4041"/>
      <c r="AJ26" s="4041"/>
      <c r="AK26" s="4041"/>
      <c r="AL26" s="4044"/>
      <c r="AM26" s="1470"/>
      <c r="AN26" s="1469"/>
      <c r="AO26" s="1470"/>
      <c r="AP26" s="1468"/>
      <c r="AQ26" s="1467"/>
      <c r="AR26" s="1467"/>
      <c r="AS26" s="1468"/>
      <c r="AT26" s="1467"/>
      <c r="AU26" s="1467"/>
      <c r="AV26" s="1468"/>
      <c r="AW26" s="1467"/>
      <c r="AX26" s="1467"/>
      <c r="AY26" s="1468"/>
      <c r="AZ26" s="1467"/>
      <c r="BA26" s="1467"/>
      <c r="BB26" s="1467"/>
      <c r="BC26" s="1468"/>
      <c r="BD26" s="156"/>
      <c r="BE26" s="156"/>
      <c r="BF26" s="157"/>
      <c r="BG26" s="156"/>
    </row>
    <row r="27" spans="1:59" s="171" customFormat="1" ht="24.6" customHeight="1">
      <c r="A27" s="1046"/>
      <c r="B27" s="1457"/>
      <c r="C27" s="1458"/>
      <c r="D27" s="1471"/>
      <c r="E27" s="1472" t="s">
        <v>1614</v>
      </c>
      <c r="F27" s="1472"/>
      <c r="G27" s="1472"/>
      <c r="H27" s="1473"/>
      <c r="I27" s="4048">
        <v>0</v>
      </c>
      <c r="J27" s="3881"/>
      <c r="K27" s="3881"/>
      <c r="L27" s="3881"/>
      <c r="M27" s="3882"/>
      <c r="N27" s="3883">
        <v>0</v>
      </c>
      <c r="O27" s="3881"/>
      <c r="P27" s="3881"/>
      <c r="Q27" s="3881"/>
      <c r="R27" s="3882"/>
      <c r="S27" s="3883">
        <v>0</v>
      </c>
      <c r="T27" s="3881"/>
      <c r="U27" s="3881"/>
      <c r="V27" s="3881"/>
      <c r="W27" s="4047"/>
      <c r="X27" s="4048">
        <v>0</v>
      </c>
      <c r="Y27" s="3881"/>
      <c r="Z27" s="3881"/>
      <c r="AA27" s="3881"/>
      <c r="AB27" s="4047"/>
      <c r="AC27" s="4048">
        <v>0</v>
      </c>
      <c r="AD27" s="3881"/>
      <c r="AE27" s="3881"/>
      <c r="AF27" s="3881"/>
      <c r="AG27" s="4047"/>
      <c r="AH27" s="4048">
        <v>0</v>
      </c>
      <c r="AI27" s="3881"/>
      <c r="AJ27" s="3881"/>
      <c r="AK27" s="3881"/>
      <c r="AL27" s="4047"/>
      <c r="AM27" s="1470"/>
      <c r="AN27" s="1469"/>
      <c r="AO27" s="1470"/>
      <c r="AP27" s="1468"/>
      <c r="AQ27" s="1467"/>
      <c r="AR27" s="1467"/>
      <c r="AS27" s="1468"/>
      <c r="AT27" s="1467"/>
      <c r="AU27" s="1467"/>
      <c r="AV27" s="1468"/>
      <c r="AW27" s="1467"/>
      <c r="AX27" s="1467"/>
      <c r="AY27" s="1468"/>
      <c r="AZ27" s="1467"/>
      <c r="BA27" s="1467"/>
      <c r="BB27" s="1467"/>
      <c r="BC27" s="1468"/>
      <c r="BD27" s="156"/>
      <c r="BE27" s="156"/>
      <c r="BF27" s="157"/>
      <c r="BG27" s="156"/>
    </row>
    <row r="28" spans="1:59" s="171" customFormat="1" ht="24.6" customHeight="1" thickBot="1">
      <c r="A28" s="1046"/>
      <c r="B28" s="1457"/>
      <c r="C28" s="1458"/>
      <c r="D28" s="1478"/>
      <c r="E28" s="1479" t="s">
        <v>1615</v>
      </c>
      <c r="F28" s="1479"/>
      <c r="G28" s="1479"/>
      <c r="H28" s="1480"/>
      <c r="I28" s="4051">
        <v>0</v>
      </c>
      <c r="J28" s="4052"/>
      <c r="K28" s="4052"/>
      <c r="L28" s="4052"/>
      <c r="M28" s="4059"/>
      <c r="N28" s="4060">
        <v>0</v>
      </c>
      <c r="O28" s="4052"/>
      <c r="P28" s="4052"/>
      <c r="Q28" s="4052"/>
      <c r="R28" s="4059"/>
      <c r="S28" s="4060">
        <v>0</v>
      </c>
      <c r="T28" s="4052"/>
      <c r="U28" s="4052"/>
      <c r="V28" s="4052"/>
      <c r="W28" s="4053"/>
      <c r="X28" s="4051">
        <v>0</v>
      </c>
      <c r="Y28" s="4052"/>
      <c r="Z28" s="4052"/>
      <c r="AA28" s="4052"/>
      <c r="AB28" s="4053"/>
      <c r="AC28" s="4051">
        <v>0</v>
      </c>
      <c r="AD28" s="4052"/>
      <c r="AE28" s="4052"/>
      <c r="AF28" s="4052"/>
      <c r="AG28" s="4053"/>
      <c r="AH28" s="4051">
        <v>0</v>
      </c>
      <c r="AI28" s="4052"/>
      <c r="AJ28" s="4052"/>
      <c r="AK28" s="4052"/>
      <c r="AL28" s="4053"/>
      <c r="AM28" s="1470"/>
      <c r="AN28" s="1469"/>
      <c r="AO28" s="1470"/>
      <c r="AP28" s="1468"/>
      <c r="AQ28" s="1467"/>
      <c r="AR28" s="1467"/>
      <c r="AS28" s="1468"/>
      <c r="AT28" s="1467"/>
      <c r="AU28" s="1467"/>
      <c r="AV28" s="1468"/>
      <c r="AW28" s="1467"/>
      <c r="AX28" s="1467"/>
      <c r="AY28" s="1468"/>
      <c r="AZ28" s="1467"/>
      <c r="BA28" s="1467"/>
      <c r="BB28" s="1467"/>
      <c r="BC28" s="1468"/>
      <c r="BD28" s="156"/>
      <c r="BE28" s="156"/>
      <c r="BF28" s="157"/>
      <c r="BG28" s="156"/>
    </row>
    <row r="29" spans="1:59" ht="9" customHeight="1">
      <c r="A29" s="1447"/>
      <c r="B29" s="1485"/>
      <c r="C29" s="1486"/>
      <c r="D29" s="1449"/>
      <c r="E29" s="1449"/>
      <c r="F29" s="1449"/>
      <c r="G29" s="1449"/>
      <c r="H29" s="1449"/>
      <c r="I29" s="1449"/>
      <c r="J29" s="1449"/>
      <c r="K29" s="1449"/>
      <c r="L29" s="1449"/>
      <c r="M29" s="1449"/>
      <c r="N29" s="1449"/>
      <c r="O29" s="1449"/>
      <c r="P29" s="1449"/>
      <c r="Q29" s="1449"/>
      <c r="R29" s="1447"/>
      <c r="S29" s="1447"/>
      <c r="T29" s="1447"/>
      <c r="U29" s="1447"/>
      <c r="V29" s="1447"/>
      <c r="W29" s="1447"/>
      <c r="X29" s="1447"/>
      <c r="Y29" s="1447"/>
      <c r="Z29" s="1447"/>
      <c r="AA29" s="1447"/>
      <c r="AB29" s="1447"/>
      <c r="AC29" s="1447"/>
      <c r="AD29" s="1447"/>
      <c r="AE29" s="1447"/>
      <c r="AF29" s="1447"/>
      <c r="AG29" s="1447"/>
      <c r="AH29" s="1447"/>
      <c r="AI29" s="1447"/>
      <c r="AJ29" s="1447"/>
      <c r="AK29" s="1447"/>
      <c r="AL29" s="1447"/>
      <c r="AM29" s="1447"/>
      <c r="AN29" s="1487"/>
      <c r="AO29" s="1488"/>
      <c r="AP29" s="1447"/>
      <c r="AQ29" s="1447"/>
      <c r="AR29" s="1447"/>
      <c r="AS29" s="1447"/>
      <c r="AT29" s="1447"/>
      <c r="AU29" s="1447"/>
      <c r="AV29" s="1447"/>
      <c r="AW29" s="1447"/>
      <c r="AX29" s="1447"/>
      <c r="AY29" s="1447"/>
      <c r="AZ29" s="1447"/>
      <c r="BA29" s="1447"/>
      <c r="BB29" s="1447"/>
      <c r="BC29" s="1447"/>
    </row>
    <row r="30" spans="1:59" ht="24.75" customHeight="1">
      <c r="A30" s="1447"/>
      <c r="B30" s="1490"/>
      <c r="C30" s="1491" t="s">
        <v>49</v>
      </c>
      <c r="D30" s="1340" t="b">
        <v>0</v>
      </c>
      <c r="E30" s="1492" t="s">
        <v>1616</v>
      </c>
      <c r="F30" s="1492"/>
      <c r="G30" s="1492"/>
      <c r="H30" s="1492"/>
      <c r="I30" s="1492"/>
      <c r="J30" s="1492"/>
      <c r="K30" s="1492"/>
      <c r="L30" s="1492"/>
      <c r="M30" s="1492"/>
      <c r="N30" s="1492"/>
      <c r="O30" s="1492"/>
      <c r="P30" s="1492"/>
      <c r="Q30" s="1492"/>
      <c r="R30" s="1492"/>
      <c r="S30" s="1492"/>
      <c r="T30" s="1492"/>
      <c r="U30" s="1492"/>
      <c r="V30" s="1492"/>
      <c r="W30" s="1492"/>
      <c r="X30" s="1492"/>
      <c r="Y30" s="1492"/>
      <c r="Z30" s="1492"/>
      <c r="AA30" s="1492"/>
      <c r="AB30" s="1492"/>
      <c r="AC30" s="1492"/>
      <c r="AD30" s="1492"/>
      <c r="AE30" s="1492"/>
      <c r="AF30" s="1492"/>
      <c r="AG30" s="1492"/>
      <c r="AH30" s="1492"/>
      <c r="AI30" s="1492"/>
      <c r="AJ30" s="1492"/>
      <c r="AK30" s="1492"/>
      <c r="AL30" s="1492"/>
      <c r="AM30" s="1492"/>
      <c r="AN30" s="1487"/>
      <c r="AO30" s="1488"/>
      <c r="AP30" s="1447"/>
      <c r="AQ30" s="1447"/>
      <c r="AR30" s="1447"/>
      <c r="AS30" s="1447"/>
      <c r="AT30" s="1447"/>
      <c r="AU30" s="1447"/>
      <c r="AV30" s="1447"/>
      <c r="AW30" s="1447"/>
      <c r="AX30" s="1447"/>
      <c r="AY30" s="1447"/>
      <c r="AZ30" s="1447"/>
      <c r="BA30" s="1447"/>
      <c r="BB30" s="1447"/>
      <c r="BC30" s="1447"/>
    </row>
    <row r="31" spans="1:59" ht="9.9499999999999993" customHeight="1" thickBot="1">
      <c r="A31" s="1447"/>
      <c r="B31" s="1493"/>
      <c r="C31" s="1494"/>
      <c r="D31" s="1495"/>
      <c r="E31" s="1496"/>
      <c r="F31" s="1496"/>
      <c r="G31" s="1496"/>
      <c r="H31" s="1496"/>
      <c r="I31" s="1496"/>
      <c r="J31" s="1496"/>
      <c r="K31" s="1496"/>
      <c r="L31" s="1496"/>
      <c r="M31" s="1496"/>
      <c r="N31" s="1496"/>
      <c r="O31" s="1496"/>
      <c r="P31" s="1496"/>
      <c r="Q31" s="1496"/>
      <c r="R31" s="1496"/>
      <c r="S31" s="1496"/>
      <c r="T31" s="1496"/>
      <c r="U31" s="1496"/>
      <c r="V31" s="1496"/>
      <c r="W31" s="1496"/>
      <c r="X31" s="1496"/>
      <c r="Y31" s="1496"/>
      <c r="Z31" s="1496"/>
      <c r="AA31" s="1496"/>
      <c r="AB31" s="1496"/>
      <c r="AC31" s="1496"/>
      <c r="AD31" s="1496"/>
      <c r="AE31" s="1496"/>
      <c r="AF31" s="1496"/>
      <c r="AG31" s="1496"/>
      <c r="AH31" s="1496"/>
      <c r="AI31" s="1496"/>
      <c r="AJ31" s="1496"/>
      <c r="AK31" s="1496"/>
      <c r="AL31" s="1496"/>
      <c r="AM31" s="1496"/>
      <c r="AN31" s="1497"/>
      <c r="AO31" s="1488"/>
      <c r="AP31" s="1447"/>
      <c r="AQ31" s="1447"/>
      <c r="AR31" s="1447"/>
      <c r="AS31" s="1447"/>
      <c r="AT31" s="1447"/>
      <c r="AU31" s="1447"/>
      <c r="AV31" s="1447"/>
      <c r="AW31" s="1447"/>
      <c r="AX31" s="1447"/>
      <c r="AY31" s="1447"/>
      <c r="AZ31" s="1447"/>
      <c r="BA31" s="1447"/>
      <c r="BB31" s="1447"/>
      <c r="BC31" s="1447"/>
    </row>
    <row r="32" spans="1:59" s="44" customFormat="1" ht="30.75" customHeight="1">
      <c r="A32" s="434"/>
      <c r="B32" s="434"/>
      <c r="C32" s="434"/>
      <c r="D32" s="434"/>
      <c r="E32" s="434"/>
      <c r="F32" s="434"/>
      <c r="G32" s="434"/>
      <c r="H32" s="434"/>
      <c r="I32" s="434"/>
      <c r="J32" s="434"/>
      <c r="K32" s="434"/>
      <c r="L32" s="434"/>
      <c r="M32" s="434"/>
      <c r="N32" s="434"/>
      <c r="O32" s="434"/>
      <c r="P32" s="434"/>
      <c r="Q32" s="434"/>
      <c r="R32" s="434"/>
      <c r="S32" s="434"/>
      <c r="T32" s="434"/>
      <c r="U32" s="434"/>
      <c r="V32" s="434"/>
      <c r="W32" s="434"/>
      <c r="X32" s="434"/>
      <c r="Y32" s="434"/>
      <c r="Z32" s="434"/>
      <c r="AA32" s="434"/>
      <c r="AB32" s="434"/>
      <c r="AC32" s="434"/>
      <c r="AD32" s="434"/>
      <c r="AE32" s="434"/>
      <c r="AF32" s="434"/>
      <c r="AG32" s="434"/>
      <c r="AH32" s="434"/>
      <c r="AI32" s="434"/>
      <c r="AJ32" s="434"/>
      <c r="AK32" s="434"/>
      <c r="AL32" s="434"/>
      <c r="AM32" s="434"/>
      <c r="AN32" s="434"/>
      <c r="AO32" s="434"/>
      <c r="AP32" s="434"/>
      <c r="AQ32" s="434"/>
      <c r="AR32" s="434"/>
      <c r="AS32" s="434"/>
      <c r="AT32" s="434"/>
      <c r="AU32" s="434"/>
      <c r="AV32" s="434"/>
      <c r="AW32" s="434"/>
      <c r="AX32" s="434"/>
      <c r="AY32" s="434"/>
      <c r="AZ32" s="434"/>
      <c r="BA32" s="434"/>
      <c r="BB32" s="434"/>
      <c r="BC32" s="434"/>
    </row>
    <row r="33" spans="1:55" s="185" customFormat="1" ht="17.25" thickBot="1">
      <c r="A33" s="798"/>
      <c r="B33" s="1412" t="s">
        <v>1617</v>
      </c>
      <c r="C33" s="798"/>
      <c r="D33" s="798"/>
      <c r="E33" s="798"/>
      <c r="F33" s="798"/>
      <c r="G33" s="798"/>
      <c r="H33" s="798"/>
      <c r="I33" s="798"/>
      <c r="J33" s="798"/>
      <c r="K33" s="798"/>
      <c r="L33" s="798"/>
      <c r="M33" s="798"/>
      <c r="N33" s="798"/>
      <c r="O33" s="798"/>
      <c r="P33" s="798"/>
      <c r="Q33" s="798"/>
      <c r="R33" s="798"/>
      <c r="S33" s="798"/>
      <c r="T33" s="798"/>
      <c r="U33" s="798"/>
      <c r="V33" s="798"/>
      <c r="W33" s="798"/>
      <c r="X33" s="798"/>
      <c r="Y33" s="798"/>
      <c r="Z33" s="798"/>
      <c r="AA33" s="798"/>
      <c r="AB33" s="798"/>
      <c r="AC33" s="798"/>
      <c r="AD33" s="798"/>
      <c r="AE33" s="798"/>
      <c r="AF33" s="798"/>
      <c r="AG33" s="798"/>
      <c r="AH33" s="798"/>
      <c r="AI33" s="798"/>
      <c r="AJ33" s="798"/>
      <c r="AK33" s="798"/>
      <c r="AL33" s="798"/>
      <c r="AM33" s="798"/>
      <c r="AN33" s="798"/>
      <c r="AO33" s="798"/>
      <c r="AP33" s="798"/>
      <c r="AQ33" s="798"/>
      <c r="AR33" s="798"/>
      <c r="AS33" s="798"/>
      <c r="AT33" s="798"/>
      <c r="AU33" s="798"/>
      <c r="AV33" s="798"/>
      <c r="AW33" s="798"/>
      <c r="AX33" s="798"/>
      <c r="AY33" s="798"/>
      <c r="AZ33" s="798"/>
      <c r="BA33" s="798"/>
      <c r="BB33" s="798"/>
      <c r="BC33" s="798"/>
    </row>
    <row r="34" spans="1:55" s="185" customFormat="1" ht="9" customHeight="1" thickTop="1">
      <c r="A34" s="798"/>
      <c r="B34" s="1498"/>
      <c r="C34" s="1414"/>
      <c r="D34" s="1414"/>
      <c r="E34" s="1414"/>
      <c r="F34" s="1414"/>
      <c r="G34" s="1414"/>
      <c r="H34" s="1414"/>
      <c r="I34" s="1414"/>
      <c r="J34" s="1414"/>
      <c r="K34" s="1414"/>
      <c r="L34" s="1414"/>
      <c r="M34" s="1414"/>
      <c r="N34" s="1414"/>
      <c r="O34" s="1414"/>
      <c r="P34" s="1414"/>
      <c r="Q34" s="1414"/>
      <c r="R34" s="1414"/>
      <c r="S34" s="1414"/>
      <c r="T34" s="1414"/>
      <c r="U34" s="1414"/>
      <c r="V34" s="1414"/>
      <c r="W34" s="1414"/>
      <c r="X34" s="1414"/>
      <c r="Y34" s="1414"/>
      <c r="Z34" s="1414"/>
      <c r="AA34" s="1414"/>
      <c r="AB34" s="1414"/>
      <c r="AC34" s="1414"/>
      <c r="AD34" s="1414"/>
      <c r="AE34" s="1414"/>
      <c r="AF34" s="1414"/>
      <c r="AG34" s="1414"/>
      <c r="AH34" s="1414"/>
      <c r="AI34" s="1414"/>
      <c r="AJ34" s="1414"/>
      <c r="AK34" s="1414"/>
      <c r="AL34" s="1414"/>
      <c r="AM34" s="1414"/>
      <c r="AN34" s="1414"/>
      <c r="AO34" s="1414"/>
      <c r="AP34" s="1414"/>
      <c r="AQ34" s="1414"/>
      <c r="AR34" s="1414"/>
      <c r="AS34" s="1414"/>
      <c r="AT34" s="1414"/>
      <c r="AU34" s="1414"/>
      <c r="AV34" s="1499"/>
      <c r="AW34" s="798"/>
      <c r="AX34" s="798"/>
      <c r="AY34" s="798"/>
      <c r="AZ34" s="798"/>
      <c r="BA34" s="798"/>
      <c r="BB34" s="798"/>
      <c r="BC34" s="798"/>
    </row>
    <row r="35" spans="1:55" s="186" customFormat="1" ht="15.95" customHeight="1">
      <c r="A35" s="802"/>
      <c r="B35" s="1500"/>
      <c r="C35" s="1501" t="s">
        <v>47</v>
      </c>
      <c r="D35" s="1340" t="b">
        <v>0</v>
      </c>
      <c r="E35" s="3915" t="s">
        <v>1618</v>
      </c>
      <c r="F35" s="3915"/>
      <c r="G35" s="3915"/>
      <c r="H35" s="3915"/>
      <c r="I35" s="3915"/>
      <c r="J35" s="3915"/>
      <c r="K35" s="3915"/>
      <c r="L35" s="3915"/>
      <c r="M35" s="3915"/>
      <c r="N35" s="3915"/>
      <c r="O35" s="3915"/>
      <c r="P35" s="3915"/>
      <c r="Q35" s="3915"/>
      <c r="R35" s="3915"/>
      <c r="S35" s="3915"/>
      <c r="T35" s="3915"/>
      <c r="U35" s="3915"/>
      <c r="V35" s="3915"/>
      <c r="W35" s="3915"/>
      <c r="X35" s="3915"/>
      <c r="Y35" s="3915"/>
      <c r="Z35" s="3915"/>
      <c r="AA35" s="3915"/>
      <c r="AB35" s="1426"/>
      <c r="AC35" s="1426"/>
      <c r="AD35" s="1502"/>
      <c r="AE35" s="1418" t="s">
        <v>49</v>
      </c>
      <c r="AF35" s="4057" t="s">
        <v>1620</v>
      </c>
      <c r="AG35" s="4057"/>
      <c r="AH35" s="4057"/>
      <c r="AI35" s="4057"/>
      <c r="AJ35" s="4057"/>
      <c r="AK35" s="4057"/>
      <c r="AL35" s="4057"/>
      <c r="AM35" s="4057"/>
      <c r="AN35" s="4057"/>
      <c r="AO35" s="4057"/>
      <c r="AP35" s="4057"/>
      <c r="AQ35" s="4057"/>
      <c r="AR35" s="4057"/>
      <c r="AS35" s="4057"/>
      <c r="AT35" s="1420"/>
      <c r="AU35" s="1420"/>
      <c r="AV35" s="1503"/>
      <c r="AW35" s="1420"/>
      <c r="AX35" s="1420"/>
      <c r="AY35" s="1420"/>
      <c r="AZ35" s="1420"/>
      <c r="BA35" s="1420"/>
      <c r="BB35" s="1420"/>
      <c r="BC35" s="1420"/>
    </row>
    <row r="36" spans="1:55" s="186" customFormat="1" ht="15.95" customHeight="1">
      <c r="A36" s="802"/>
      <c r="B36" s="1500"/>
      <c r="C36" s="1501"/>
      <c r="D36" s="1321"/>
      <c r="E36" s="3915"/>
      <c r="F36" s="3915"/>
      <c r="G36" s="3915"/>
      <c r="H36" s="3915"/>
      <c r="I36" s="3915"/>
      <c r="J36" s="3915"/>
      <c r="K36" s="3915"/>
      <c r="L36" s="3915"/>
      <c r="M36" s="3915"/>
      <c r="N36" s="3915"/>
      <c r="O36" s="3915"/>
      <c r="P36" s="3915"/>
      <c r="Q36" s="3915"/>
      <c r="R36" s="3915"/>
      <c r="S36" s="3915"/>
      <c r="T36" s="3915"/>
      <c r="U36" s="3915"/>
      <c r="V36" s="3915"/>
      <c r="W36" s="3915"/>
      <c r="X36" s="3915"/>
      <c r="Y36" s="3915"/>
      <c r="Z36" s="3915"/>
      <c r="AA36" s="3915"/>
      <c r="AB36" s="1426"/>
      <c r="AC36" s="1426"/>
      <c r="AD36" s="1502"/>
      <c r="AE36" s="1504"/>
      <c r="AF36" s="4057"/>
      <c r="AG36" s="4057"/>
      <c r="AH36" s="4057"/>
      <c r="AI36" s="4057"/>
      <c r="AJ36" s="4057"/>
      <c r="AK36" s="4057"/>
      <c r="AL36" s="4057"/>
      <c r="AM36" s="4057"/>
      <c r="AN36" s="4057"/>
      <c r="AO36" s="4057"/>
      <c r="AP36" s="4057"/>
      <c r="AQ36" s="4057"/>
      <c r="AR36" s="4057"/>
      <c r="AS36" s="4057"/>
      <c r="AT36" s="1420"/>
      <c r="AU36" s="1420"/>
      <c r="AV36" s="1503"/>
      <c r="AW36" s="1420"/>
      <c r="AX36" s="1420"/>
      <c r="AY36" s="1420"/>
      <c r="AZ36" s="1420"/>
      <c r="BA36" s="1420"/>
      <c r="BB36" s="1420"/>
      <c r="BC36" s="1420"/>
    </row>
    <row r="37" spans="1:55" s="186" customFormat="1" ht="15.95" customHeight="1">
      <c r="A37" s="802"/>
      <c r="B37" s="1500"/>
      <c r="C37" s="1501"/>
      <c r="D37" s="1321"/>
      <c r="E37" s="1426"/>
      <c r="F37" s="1426"/>
      <c r="G37" s="1426"/>
      <c r="H37" s="1426"/>
      <c r="I37" s="1426"/>
      <c r="J37" s="1426"/>
      <c r="K37" s="1426"/>
      <c r="L37" s="1426"/>
      <c r="M37" s="1426"/>
      <c r="N37" s="1426"/>
      <c r="O37" s="1426"/>
      <c r="P37" s="1426"/>
      <c r="Q37" s="1426"/>
      <c r="R37" s="1426"/>
      <c r="S37" s="1426"/>
      <c r="T37" s="1426"/>
      <c r="U37" s="1426"/>
      <c r="V37" s="1426"/>
      <c r="W37" s="1426"/>
      <c r="X37" s="1426"/>
      <c r="Y37" s="1426"/>
      <c r="Z37" s="1426"/>
      <c r="AA37" s="1426"/>
      <c r="AB37" s="1426"/>
      <c r="AC37" s="1426"/>
      <c r="AD37" s="1502"/>
      <c r="AE37" s="1504"/>
      <c r="AF37" s="4057"/>
      <c r="AG37" s="4057"/>
      <c r="AH37" s="4057"/>
      <c r="AI37" s="4057"/>
      <c r="AJ37" s="4057"/>
      <c r="AK37" s="4057"/>
      <c r="AL37" s="4057"/>
      <c r="AM37" s="4057"/>
      <c r="AN37" s="4057"/>
      <c r="AO37" s="4057"/>
      <c r="AP37" s="4057"/>
      <c r="AQ37" s="4057"/>
      <c r="AR37" s="4057"/>
      <c r="AS37" s="4057"/>
      <c r="AT37" s="1420"/>
      <c r="AU37" s="1420"/>
      <c r="AV37" s="1503"/>
      <c r="AW37" s="1420"/>
      <c r="AX37" s="1420"/>
      <c r="AY37" s="1420"/>
      <c r="AZ37" s="1420"/>
      <c r="BA37" s="1420"/>
      <c r="BB37" s="1420"/>
      <c r="BC37" s="1420"/>
    </row>
    <row r="38" spans="1:55" s="186" customFormat="1" ht="5.0999999999999996" customHeight="1" thickBot="1">
      <c r="A38" s="802"/>
      <c r="B38" s="1500"/>
      <c r="C38" s="1501"/>
      <c r="D38" s="1321"/>
      <c r="E38" s="1426"/>
      <c r="F38" s="1426"/>
      <c r="G38" s="1426"/>
      <c r="H38" s="1426"/>
      <c r="I38" s="1426"/>
      <c r="J38" s="1426"/>
      <c r="K38" s="1426"/>
      <c r="L38" s="1426"/>
      <c r="M38" s="1426"/>
      <c r="N38" s="1426"/>
      <c r="O38" s="1426"/>
      <c r="P38" s="1426"/>
      <c r="Q38" s="1426"/>
      <c r="R38" s="1426"/>
      <c r="S38" s="1426"/>
      <c r="T38" s="1426"/>
      <c r="U38" s="1426"/>
      <c r="V38" s="1426"/>
      <c r="W38" s="1426"/>
      <c r="X38" s="1426"/>
      <c r="Y38" s="1426"/>
      <c r="Z38" s="1426"/>
      <c r="AA38" s="1426"/>
      <c r="AB38" s="1426"/>
      <c r="AC38" s="1426"/>
      <c r="AD38" s="1502"/>
      <c r="AE38" s="1504"/>
      <c r="AF38" s="1420"/>
      <c r="AG38" s="1420"/>
      <c r="AH38" s="1420"/>
      <c r="AI38" s="1420"/>
      <c r="AJ38" s="1420"/>
      <c r="AK38" s="1420"/>
      <c r="AL38" s="1420"/>
      <c r="AM38" s="1420"/>
      <c r="AN38" s="1420"/>
      <c r="AO38" s="1420"/>
      <c r="AP38" s="1420"/>
      <c r="AQ38" s="1420"/>
      <c r="AR38" s="1420"/>
      <c r="AS38" s="1420"/>
      <c r="AT38" s="1420"/>
      <c r="AU38" s="1420"/>
      <c r="AV38" s="1503"/>
      <c r="AW38" s="1420"/>
      <c r="AX38" s="1420"/>
      <c r="AY38" s="1420"/>
      <c r="AZ38" s="1420"/>
      <c r="BA38" s="1420"/>
      <c r="BB38" s="1420"/>
      <c r="BC38" s="1420"/>
    </row>
    <row r="39" spans="1:55" s="186" customFormat="1" ht="15.95" customHeight="1" thickTop="1">
      <c r="A39" s="802"/>
      <c r="B39" s="1500"/>
      <c r="C39" s="1501" t="s">
        <v>48</v>
      </c>
      <c r="D39" s="1340" t="b">
        <v>0</v>
      </c>
      <c r="E39" s="4039" t="s">
        <v>1619</v>
      </c>
      <c r="F39" s="4039"/>
      <c r="G39" s="4039"/>
      <c r="H39" s="4039"/>
      <c r="I39" s="4039"/>
      <c r="J39" s="4039"/>
      <c r="K39" s="4039"/>
      <c r="L39" s="4039"/>
      <c r="M39" s="4039"/>
      <c r="N39" s="4039"/>
      <c r="O39" s="4039"/>
      <c r="P39" s="4039"/>
      <c r="Q39" s="4039"/>
      <c r="R39" s="4039"/>
      <c r="S39" s="4039"/>
      <c r="T39" s="4039"/>
      <c r="U39" s="4039"/>
      <c r="V39" s="4039"/>
      <c r="W39" s="4039"/>
      <c r="X39" s="4039"/>
      <c r="Y39" s="4039"/>
      <c r="Z39" s="4039"/>
      <c r="AA39" s="4039"/>
      <c r="AB39" s="1505"/>
      <c r="AC39" s="1505"/>
      <c r="AD39" s="1502"/>
      <c r="AE39" s="1506"/>
      <c r="AF39" s="3654" t="s">
        <v>940</v>
      </c>
      <c r="AG39" s="3655"/>
      <c r="AH39" s="3655"/>
      <c r="AI39" s="3655"/>
      <c r="AJ39" s="3655"/>
      <c r="AK39" s="3657"/>
      <c r="AL39" s="3655" t="s">
        <v>941</v>
      </c>
      <c r="AM39" s="3655"/>
      <c r="AN39" s="3655"/>
      <c r="AO39" s="3655"/>
      <c r="AP39" s="3655"/>
      <c r="AQ39" s="3658"/>
      <c r="AR39" s="802"/>
      <c r="AS39" s="802"/>
      <c r="AT39" s="802"/>
      <c r="AU39" s="802"/>
      <c r="AV39" s="1507"/>
      <c r="AW39" s="802"/>
      <c r="AX39" s="802"/>
      <c r="AY39" s="802"/>
      <c r="AZ39" s="802"/>
      <c r="BA39" s="802"/>
      <c r="BB39" s="802"/>
      <c r="BC39" s="802"/>
    </row>
    <row r="40" spans="1:55" s="186" customFormat="1" ht="16.5" thickBot="1">
      <c r="A40" s="802"/>
      <c r="B40" s="1500"/>
      <c r="C40" s="802"/>
      <c r="D40" s="802"/>
      <c r="E40" s="802"/>
      <c r="F40" s="802"/>
      <c r="G40" s="802"/>
      <c r="H40" s="802"/>
      <c r="I40" s="802"/>
      <c r="J40" s="802"/>
      <c r="K40" s="802"/>
      <c r="L40" s="802"/>
      <c r="M40" s="802"/>
      <c r="N40" s="802"/>
      <c r="O40" s="802"/>
      <c r="P40" s="802"/>
      <c r="Q40" s="802"/>
      <c r="R40" s="802"/>
      <c r="S40" s="802"/>
      <c r="T40" s="802"/>
      <c r="U40" s="802"/>
      <c r="V40" s="802"/>
      <c r="W40" s="802"/>
      <c r="X40" s="802"/>
      <c r="Y40" s="802"/>
      <c r="Z40" s="802"/>
      <c r="AA40" s="802"/>
      <c r="AB40" s="802"/>
      <c r="AC40" s="802"/>
      <c r="AD40" s="1502"/>
      <c r="AE40" s="1506"/>
      <c r="AF40" s="3733"/>
      <c r="AG40" s="3723"/>
      <c r="AH40" s="3723"/>
      <c r="AI40" s="3723"/>
      <c r="AJ40" s="3723"/>
      <c r="AK40" s="3977"/>
      <c r="AL40" s="3723"/>
      <c r="AM40" s="3723"/>
      <c r="AN40" s="3723"/>
      <c r="AO40" s="3723"/>
      <c r="AP40" s="3723"/>
      <c r="AQ40" s="3734"/>
      <c r="AR40" s="802"/>
      <c r="AS40" s="802"/>
      <c r="AT40" s="802"/>
      <c r="AU40" s="802"/>
      <c r="AV40" s="1507"/>
      <c r="AW40" s="802"/>
      <c r="AX40" s="802"/>
      <c r="AY40" s="802"/>
      <c r="AZ40" s="802"/>
      <c r="BA40" s="802"/>
      <c r="BB40" s="802"/>
      <c r="BC40" s="802"/>
    </row>
    <row r="41" spans="1:55" s="186" customFormat="1" ht="19.5" customHeight="1" thickBot="1">
      <c r="A41" s="802"/>
      <c r="B41" s="1500"/>
      <c r="C41" s="802"/>
      <c r="D41" s="802"/>
      <c r="E41" s="802"/>
      <c r="F41" s="802"/>
      <c r="G41" s="802"/>
      <c r="H41" s="802"/>
      <c r="I41" s="802"/>
      <c r="J41" s="802"/>
      <c r="K41" s="802"/>
      <c r="L41" s="802"/>
      <c r="M41" s="802"/>
      <c r="N41" s="802"/>
      <c r="O41" s="802"/>
      <c r="P41" s="1502"/>
      <c r="Q41" s="1502"/>
      <c r="R41" s="1502"/>
      <c r="S41" s="1502"/>
      <c r="T41" s="1502"/>
      <c r="U41" s="1502"/>
      <c r="V41" s="1502"/>
      <c r="W41" s="1502"/>
      <c r="X41" s="1502"/>
      <c r="Y41" s="1502"/>
      <c r="Z41" s="1502"/>
      <c r="AA41" s="1502"/>
      <c r="AB41" s="1502"/>
      <c r="AC41" s="1502"/>
      <c r="AD41" s="1502"/>
      <c r="AE41" s="1502"/>
      <c r="AF41" s="3659" t="s">
        <v>45</v>
      </c>
      <c r="AG41" s="3660"/>
      <c r="AH41" s="3661"/>
      <c r="AI41" s="3664" t="s">
        <v>46</v>
      </c>
      <c r="AJ41" s="3660"/>
      <c r="AK41" s="3663"/>
      <c r="AL41" s="3660" t="s">
        <v>45</v>
      </c>
      <c r="AM41" s="3660"/>
      <c r="AN41" s="3661"/>
      <c r="AO41" s="3664" t="s">
        <v>46</v>
      </c>
      <c r="AP41" s="3660"/>
      <c r="AQ41" s="3665"/>
      <c r="AR41" s="802"/>
      <c r="AS41" s="802"/>
      <c r="AT41" s="802"/>
      <c r="AU41" s="802"/>
      <c r="AV41" s="1507"/>
      <c r="AW41" s="802"/>
      <c r="AX41" s="802"/>
      <c r="AY41" s="802"/>
      <c r="AZ41" s="802"/>
      <c r="BA41" s="802"/>
      <c r="BB41" s="802"/>
      <c r="BC41" s="802"/>
    </row>
    <row r="42" spans="1:55" s="186" customFormat="1" ht="24.6" customHeight="1" thickTop="1" thickBot="1">
      <c r="A42" s="802"/>
      <c r="B42" s="1500"/>
      <c r="C42" s="802"/>
      <c r="D42" s="802"/>
      <c r="E42" s="802"/>
      <c r="F42" s="802"/>
      <c r="G42" s="802"/>
      <c r="H42" s="802"/>
      <c r="I42" s="802"/>
      <c r="J42" s="802"/>
      <c r="K42" s="802"/>
      <c r="L42" s="802"/>
      <c r="M42" s="802"/>
      <c r="N42" s="802"/>
      <c r="O42" s="802"/>
      <c r="P42" s="1502"/>
      <c r="Q42" s="1502"/>
      <c r="R42" s="1502"/>
      <c r="S42" s="1502"/>
      <c r="T42" s="1502"/>
      <c r="U42" s="1502"/>
      <c r="V42" s="1502"/>
      <c r="W42" s="1502"/>
      <c r="X42" s="1502"/>
      <c r="Y42" s="1502"/>
      <c r="Z42" s="1502"/>
      <c r="AA42" s="1502"/>
      <c r="AB42" s="1502"/>
      <c r="AC42" s="1502"/>
      <c r="AD42" s="1502"/>
      <c r="AE42" s="1502"/>
      <c r="AF42" s="3683">
        <v>0</v>
      </c>
      <c r="AG42" s="3684"/>
      <c r="AH42" s="3685"/>
      <c r="AI42" s="3686">
        <v>0</v>
      </c>
      <c r="AJ42" s="3687"/>
      <c r="AK42" s="3688"/>
      <c r="AL42" s="3684">
        <v>0</v>
      </c>
      <c r="AM42" s="3684"/>
      <c r="AN42" s="3685"/>
      <c r="AO42" s="3686">
        <v>0</v>
      </c>
      <c r="AP42" s="3687"/>
      <c r="AQ42" s="3689"/>
      <c r="AR42" s="802"/>
      <c r="AS42" s="802"/>
      <c r="AT42" s="802"/>
      <c r="AU42" s="802"/>
      <c r="AV42" s="1507"/>
      <c r="AW42" s="802"/>
      <c r="AX42" s="802"/>
      <c r="AY42" s="802"/>
      <c r="AZ42" s="802"/>
      <c r="BA42" s="802"/>
      <c r="BB42" s="802"/>
      <c r="BC42" s="802"/>
    </row>
    <row r="43" spans="1:55" s="186" customFormat="1" ht="9.9499999999999993" customHeight="1" thickTop="1">
      <c r="A43" s="802"/>
      <c r="B43" s="1500"/>
      <c r="C43" s="1501"/>
      <c r="D43" s="1321"/>
      <c r="E43" s="1505"/>
      <c r="F43" s="1502"/>
      <c r="G43" s="1502"/>
      <c r="H43" s="1502"/>
      <c r="I43" s="1502"/>
      <c r="J43" s="1502"/>
      <c r="K43" s="1502"/>
      <c r="L43" s="1502"/>
      <c r="M43" s="1502"/>
      <c r="N43" s="1502"/>
      <c r="O43" s="1502"/>
      <c r="P43" s="1502"/>
      <c r="Q43" s="1502"/>
      <c r="R43" s="1502"/>
      <c r="S43" s="1502"/>
      <c r="T43" s="1502"/>
      <c r="U43" s="1502"/>
      <c r="V43" s="1502"/>
      <c r="W43" s="1502"/>
      <c r="X43" s="1502"/>
      <c r="Y43" s="1502"/>
      <c r="Z43" s="1502"/>
      <c r="AA43" s="1502"/>
      <c r="AB43" s="1502"/>
      <c r="AC43" s="1502"/>
      <c r="AD43" s="1502"/>
      <c r="AE43" s="1502"/>
      <c r="AF43" s="1502"/>
      <c r="AG43" s="1502"/>
      <c r="AH43" s="1502"/>
      <c r="AI43" s="1502"/>
      <c r="AJ43" s="1502"/>
      <c r="AK43" s="1502"/>
      <c r="AL43" s="802"/>
      <c r="AM43" s="802"/>
      <c r="AN43" s="802"/>
      <c r="AO43" s="802"/>
      <c r="AP43" s="802"/>
      <c r="AQ43" s="802"/>
      <c r="AR43" s="802"/>
      <c r="AS43" s="802"/>
      <c r="AT43" s="802"/>
      <c r="AU43" s="802"/>
      <c r="AV43" s="1507"/>
      <c r="AW43" s="802"/>
      <c r="AX43" s="802"/>
      <c r="AY43" s="802"/>
      <c r="AZ43" s="802"/>
      <c r="BA43" s="802"/>
      <c r="BB43" s="802"/>
      <c r="BC43" s="802"/>
    </row>
    <row r="44" spans="1:55" s="186" customFormat="1">
      <c r="A44" s="802"/>
      <c r="B44" s="1508"/>
      <c r="C44" s="1509" t="s">
        <v>50</v>
      </c>
      <c r="D44" s="4033" t="s">
        <v>1954</v>
      </c>
      <c r="E44" s="4033"/>
      <c r="F44" s="4033"/>
      <c r="G44" s="4033"/>
      <c r="H44" s="4033"/>
      <c r="I44" s="4033"/>
      <c r="J44" s="4033"/>
      <c r="K44" s="4033"/>
      <c r="L44" s="4033"/>
      <c r="M44" s="4033"/>
      <c r="N44" s="4033"/>
      <c r="O44" s="4033"/>
      <c r="P44" s="4033"/>
      <c r="Q44" s="4033"/>
      <c r="R44" s="4033"/>
      <c r="S44" s="4033"/>
      <c r="T44" s="4033"/>
      <c r="U44" s="4033"/>
      <c r="V44" s="4033"/>
      <c r="W44" s="4033"/>
      <c r="X44" s="4033"/>
      <c r="Y44" s="4033"/>
      <c r="Z44" s="4033"/>
      <c r="AA44" s="4033"/>
      <c r="AB44" s="1420"/>
      <c r="AC44" s="802"/>
      <c r="AD44" s="802"/>
      <c r="AE44" s="802"/>
      <c r="AF44" s="802"/>
      <c r="AG44" s="802"/>
      <c r="AH44" s="802"/>
      <c r="AI44" s="802"/>
      <c r="AJ44" s="802"/>
      <c r="AK44" s="802"/>
      <c r="AL44" s="802"/>
      <c r="AM44" s="802"/>
      <c r="AN44" s="802"/>
      <c r="AO44" s="802"/>
      <c r="AP44" s="802"/>
      <c r="AQ44" s="802"/>
      <c r="AR44" s="802"/>
      <c r="AS44" s="802"/>
      <c r="AT44" s="802"/>
      <c r="AU44" s="802"/>
      <c r="AV44" s="1507"/>
      <c r="AW44" s="802"/>
      <c r="AX44" s="802"/>
      <c r="AY44" s="802"/>
      <c r="AZ44" s="802"/>
      <c r="BA44" s="802"/>
      <c r="BB44" s="802"/>
      <c r="BC44" s="802"/>
    </row>
    <row r="45" spans="1:55" s="186" customFormat="1" ht="5.0999999999999996" customHeight="1" thickBot="1">
      <c r="A45" s="802"/>
      <c r="B45" s="1508"/>
      <c r="C45" s="802"/>
      <c r="D45" s="1510"/>
      <c r="E45" s="1511"/>
      <c r="F45" s="1512"/>
      <c r="G45" s="1512"/>
      <c r="H45" s="1512"/>
      <c r="I45" s="1512"/>
      <c r="J45" s="1512"/>
      <c r="K45" s="1512"/>
      <c r="L45" s="1512"/>
      <c r="M45" s="1512"/>
      <c r="N45" s="1512"/>
      <c r="O45" s="1512"/>
      <c r="P45" s="1512"/>
      <c r="Q45" s="1512"/>
      <c r="R45" s="1512"/>
      <c r="S45" s="1512"/>
      <c r="T45" s="1512"/>
      <c r="U45" s="1512"/>
      <c r="V45" s="1512"/>
      <c r="W45" s="1512"/>
      <c r="X45" s="1512"/>
      <c r="Y45" s="1512"/>
      <c r="Z45" s="1512"/>
      <c r="AA45" s="1512"/>
      <c r="AB45" s="1512"/>
      <c r="AC45" s="1512"/>
      <c r="AD45" s="1512"/>
      <c r="AE45" s="1513"/>
      <c r="AF45" s="1513"/>
      <c r="AG45" s="1513"/>
      <c r="AH45" s="1513"/>
      <c r="AI45" s="1513"/>
      <c r="AJ45" s="1513"/>
      <c r="AK45" s="1513"/>
      <c r="AL45" s="802"/>
      <c r="AM45" s="802"/>
      <c r="AN45" s="802"/>
      <c r="AO45" s="802"/>
      <c r="AP45" s="802"/>
      <c r="AQ45" s="802"/>
      <c r="AR45" s="802"/>
      <c r="AS45" s="802"/>
      <c r="AT45" s="802"/>
      <c r="AU45" s="802"/>
      <c r="AV45" s="1507"/>
      <c r="AW45" s="802"/>
      <c r="AX45" s="802"/>
      <c r="AY45" s="802"/>
      <c r="AZ45" s="802"/>
      <c r="BA45" s="802"/>
      <c r="BB45" s="802"/>
      <c r="BC45" s="802"/>
    </row>
    <row r="46" spans="1:55" s="48" customFormat="1" ht="60.95" customHeight="1" thickTop="1" thickBot="1">
      <c r="A46" s="222"/>
      <c r="B46" s="1514"/>
      <c r="C46" s="222"/>
      <c r="D46" s="4023" t="s">
        <v>580</v>
      </c>
      <c r="E46" s="4024"/>
      <c r="F46" s="4024"/>
      <c r="G46" s="4024"/>
      <c r="H46" s="4024"/>
      <c r="I46" s="4024"/>
      <c r="J46" s="4024"/>
      <c r="K46" s="4024"/>
      <c r="L46" s="4024"/>
      <c r="M46" s="4025"/>
      <c r="N46" s="3709" t="s">
        <v>1842</v>
      </c>
      <c r="O46" s="3710"/>
      <c r="P46" s="3710"/>
      <c r="Q46" s="3710"/>
      <c r="R46" s="3710"/>
      <c r="S46" s="3711"/>
      <c r="T46" s="3710" t="s">
        <v>1574</v>
      </c>
      <c r="U46" s="3710"/>
      <c r="V46" s="3710"/>
      <c r="W46" s="3710"/>
      <c r="X46" s="3710"/>
      <c r="Y46" s="3710"/>
      <c r="Z46" s="3712" t="s">
        <v>1575</v>
      </c>
      <c r="AA46" s="3710"/>
      <c r="AB46" s="3710"/>
      <c r="AC46" s="3710"/>
      <c r="AD46" s="3710"/>
      <c r="AE46" s="3711"/>
      <c r="AF46" s="3710" t="s">
        <v>1786</v>
      </c>
      <c r="AG46" s="3710"/>
      <c r="AH46" s="3710"/>
      <c r="AI46" s="3710"/>
      <c r="AJ46" s="3710"/>
      <c r="AK46" s="3713"/>
      <c r="AL46" s="1514"/>
      <c r="AM46" s="222"/>
      <c r="AN46" s="222"/>
      <c r="AO46" s="222"/>
      <c r="AP46" s="222"/>
      <c r="AQ46" s="222"/>
      <c r="AR46" s="222"/>
      <c r="AS46" s="222"/>
      <c r="AT46" s="222"/>
      <c r="AU46" s="222"/>
      <c r="AV46" s="482"/>
      <c r="AW46" s="222"/>
      <c r="AX46" s="222"/>
      <c r="AY46" s="222"/>
      <c r="AZ46" s="222"/>
      <c r="BA46" s="222"/>
      <c r="BB46" s="222"/>
      <c r="BC46" s="222"/>
    </row>
    <row r="47" spans="1:55" s="48" customFormat="1" ht="19.5" customHeight="1" thickBot="1">
      <c r="A47" s="222"/>
      <c r="B47" s="1514"/>
      <c r="C47" s="222"/>
      <c r="D47" s="4026"/>
      <c r="E47" s="4027"/>
      <c r="F47" s="4027"/>
      <c r="G47" s="4027"/>
      <c r="H47" s="4027"/>
      <c r="I47" s="4027"/>
      <c r="J47" s="4027"/>
      <c r="K47" s="4027"/>
      <c r="L47" s="4027"/>
      <c r="M47" s="4028"/>
      <c r="N47" s="4026" t="s">
        <v>45</v>
      </c>
      <c r="O47" s="4027"/>
      <c r="P47" s="4029"/>
      <c r="Q47" s="4030" t="s">
        <v>46</v>
      </c>
      <c r="R47" s="4027"/>
      <c r="S47" s="4031"/>
      <c r="T47" s="4027" t="s">
        <v>45</v>
      </c>
      <c r="U47" s="4027"/>
      <c r="V47" s="4029"/>
      <c r="W47" s="4030" t="s">
        <v>46</v>
      </c>
      <c r="X47" s="4027"/>
      <c r="Y47" s="4027"/>
      <c r="Z47" s="4032" t="s">
        <v>45</v>
      </c>
      <c r="AA47" s="4027"/>
      <c r="AB47" s="4029"/>
      <c r="AC47" s="4030" t="s">
        <v>46</v>
      </c>
      <c r="AD47" s="4027"/>
      <c r="AE47" s="4031"/>
      <c r="AF47" s="4027" t="s">
        <v>45</v>
      </c>
      <c r="AG47" s="4027"/>
      <c r="AH47" s="4029"/>
      <c r="AI47" s="4030" t="s">
        <v>46</v>
      </c>
      <c r="AJ47" s="4027"/>
      <c r="AK47" s="4028"/>
      <c r="AL47" s="222"/>
      <c r="AM47" s="222"/>
      <c r="AN47" s="222"/>
      <c r="AO47" s="222"/>
      <c r="AP47" s="222"/>
      <c r="AQ47" s="222"/>
      <c r="AR47" s="222"/>
      <c r="AS47" s="222"/>
      <c r="AT47" s="222"/>
      <c r="AU47" s="222"/>
      <c r="AV47" s="482"/>
      <c r="AW47" s="222"/>
      <c r="AX47" s="222"/>
      <c r="AY47" s="222"/>
      <c r="AZ47" s="222"/>
      <c r="BA47" s="222"/>
      <c r="BB47" s="222"/>
      <c r="BC47" s="222"/>
    </row>
    <row r="48" spans="1:55" s="48" customFormat="1" ht="66.95" customHeight="1" thickTop="1">
      <c r="A48" s="222"/>
      <c r="B48" s="1514"/>
      <c r="C48" s="222"/>
      <c r="D48" s="1515" t="s">
        <v>47</v>
      </c>
      <c r="E48" s="4013" t="s">
        <v>1974</v>
      </c>
      <c r="F48" s="4014"/>
      <c r="G48" s="4014"/>
      <c r="H48" s="4014"/>
      <c r="I48" s="4014"/>
      <c r="J48" s="4014"/>
      <c r="K48" s="4014"/>
      <c r="L48" s="4014"/>
      <c r="M48" s="4015"/>
      <c r="N48" s="4016">
        <v>0</v>
      </c>
      <c r="O48" s="4017"/>
      <c r="P48" s="4018"/>
      <c r="Q48" s="4019">
        <v>0</v>
      </c>
      <c r="R48" s="4017"/>
      <c r="S48" s="4020"/>
      <c r="T48" s="4017">
        <v>0</v>
      </c>
      <c r="U48" s="4017"/>
      <c r="V48" s="4018"/>
      <c r="W48" s="4019">
        <v>0</v>
      </c>
      <c r="X48" s="4017"/>
      <c r="Y48" s="4017"/>
      <c r="Z48" s="4021">
        <v>0</v>
      </c>
      <c r="AA48" s="4017"/>
      <c r="AB48" s="4018"/>
      <c r="AC48" s="4019">
        <v>0</v>
      </c>
      <c r="AD48" s="4017"/>
      <c r="AE48" s="4020"/>
      <c r="AF48" s="4017">
        <v>0</v>
      </c>
      <c r="AG48" s="4017"/>
      <c r="AH48" s="4018"/>
      <c r="AI48" s="4019">
        <v>0</v>
      </c>
      <c r="AJ48" s="4017"/>
      <c r="AK48" s="4022"/>
      <c r="AL48" s="222"/>
      <c r="AM48" s="222"/>
      <c r="AN48" s="222"/>
      <c r="AO48" s="222"/>
      <c r="AP48" s="222"/>
      <c r="AQ48" s="222"/>
      <c r="AR48" s="222"/>
      <c r="AS48" s="222"/>
      <c r="AT48" s="222"/>
      <c r="AU48" s="222"/>
      <c r="AV48" s="482"/>
      <c r="AW48" s="222"/>
      <c r="AX48" s="222"/>
      <c r="AY48" s="222"/>
      <c r="AZ48" s="222"/>
      <c r="BA48" s="222"/>
      <c r="BB48" s="222"/>
      <c r="BC48" s="222"/>
    </row>
    <row r="49" spans="1:63" s="48" customFormat="1" ht="33.950000000000003" customHeight="1">
      <c r="A49" s="222"/>
      <c r="B49" s="1514"/>
      <c r="C49" s="222"/>
      <c r="D49" s="1516" t="s">
        <v>48</v>
      </c>
      <c r="E49" s="4011" t="s">
        <v>1955</v>
      </c>
      <c r="F49" s="4011"/>
      <c r="G49" s="4011"/>
      <c r="H49" s="4011"/>
      <c r="I49" s="4011"/>
      <c r="J49" s="4011"/>
      <c r="K49" s="4011"/>
      <c r="L49" s="4011"/>
      <c r="M49" s="4012"/>
      <c r="N49" s="4004">
        <v>0</v>
      </c>
      <c r="O49" s="4005"/>
      <c r="P49" s="4006"/>
      <c r="Q49" s="4007">
        <v>0</v>
      </c>
      <c r="R49" s="4005"/>
      <c r="S49" s="4008"/>
      <c r="T49" s="4005">
        <v>0</v>
      </c>
      <c r="U49" s="4005"/>
      <c r="V49" s="4006"/>
      <c r="W49" s="4007">
        <v>0</v>
      </c>
      <c r="X49" s="4005"/>
      <c r="Y49" s="4005"/>
      <c r="Z49" s="4009">
        <v>0</v>
      </c>
      <c r="AA49" s="4005"/>
      <c r="AB49" s="4006"/>
      <c r="AC49" s="4007">
        <v>0</v>
      </c>
      <c r="AD49" s="4005"/>
      <c r="AE49" s="4008"/>
      <c r="AF49" s="4005">
        <v>0</v>
      </c>
      <c r="AG49" s="4005"/>
      <c r="AH49" s="4006"/>
      <c r="AI49" s="4007">
        <v>0</v>
      </c>
      <c r="AJ49" s="4005"/>
      <c r="AK49" s="4010"/>
      <c r="AL49" s="222"/>
      <c r="AM49" s="222"/>
      <c r="AN49" s="222"/>
      <c r="AO49" s="222"/>
      <c r="AP49" s="222"/>
      <c r="AQ49" s="222"/>
      <c r="AR49" s="222"/>
      <c r="AS49" s="222"/>
      <c r="AT49" s="222"/>
      <c r="AU49" s="222"/>
      <c r="AV49" s="482"/>
      <c r="AW49" s="222"/>
      <c r="AX49" s="222"/>
      <c r="AY49" s="222"/>
      <c r="AZ49" s="222"/>
      <c r="BA49" s="222"/>
      <c r="BB49" s="222"/>
      <c r="BC49" s="222"/>
    </row>
    <row r="50" spans="1:63" s="50" customFormat="1" ht="22.5" customHeight="1">
      <c r="A50" s="224"/>
      <c r="B50" s="1517"/>
      <c r="C50" s="224"/>
      <c r="D50" s="1518" t="s">
        <v>49</v>
      </c>
      <c r="E50" s="4002" t="s">
        <v>1956</v>
      </c>
      <c r="F50" s="4002"/>
      <c r="G50" s="4002"/>
      <c r="H50" s="4002"/>
      <c r="I50" s="4002"/>
      <c r="J50" s="4002"/>
      <c r="K50" s="4002"/>
      <c r="L50" s="4002"/>
      <c r="M50" s="4003"/>
      <c r="N50" s="4004">
        <v>0</v>
      </c>
      <c r="O50" s="4005"/>
      <c r="P50" s="4006"/>
      <c r="Q50" s="4007">
        <v>0</v>
      </c>
      <c r="R50" s="4005"/>
      <c r="S50" s="4008"/>
      <c r="T50" s="4005">
        <v>0</v>
      </c>
      <c r="U50" s="4005"/>
      <c r="V50" s="4006"/>
      <c r="W50" s="4007">
        <v>0</v>
      </c>
      <c r="X50" s="4005"/>
      <c r="Y50" s="4005"/>
      <c r="Z50" s="4009">
        <v>0</v>
      </c>
      <c r="AA50" s="4005"/>
      <c r="AB50" s="4006"/>
      <c r="AC50" s="4007">
        <v>0</v>
      </c>
      <c r="AD50" s="4005"/>
      <c r="AE50" s="4008"/>
      <c r="AF50" s="4005">
        <v>0</v>
      </c>
      <c r="AG50" s="4005"/>
      <c r="AH50" s="4006"/>
      <c r="AI50" s="4007">
        <v>0</v>
      </c>
      <c r="AJ50" s="4005"/>
      <c r="AK50" s="4010"/>
      <c r="AL50" s="224"/>
      <c r="AM50" s="224"/>
      <c r="AN50" s="224"/>
      <c r="AO50" s="224"/>
      <c r="AP50" s="224"/>
      <c r="AQ50" s="224"/>
      <c r="AR50" s="224"/>
      <c r="AS50" s="224"/>
      <c r="AT50" s="224"/>
      <c r="AU50" s="224"/>
      <c r="AV50" s="1519"/>
      <c r="AW50" s="224"/>
      <c r="AX50" s="224"/>
      <c r="AY50" s="224"/>
      <c r="AZ50" s="224"/>
      <c r="BA50" s="224"/>
      <c r="BB50" s="224"/>
      <c r="BC50" s="224"/>
    </row>
    <row r="51" spans="1:63" s="50" customFormat="1" ht="22.5" customHeight="1" thickBot="1">
      <c r="A51" s="224"/>
      <c r="B51" s="1517"/>
      <c r="C51" s="224"/>
      <c r="D51" s="1520" t="s">
        <v>50</v>
      </c>
      <c r="E51" s="3992" t="s">
        <v>1975</v>
      </c>
      <c r="F51" s="3993"/>
      <c r="G51" s="3993"/>
      <c r="H51" s="3993"/>
      <c r="I51" s="3993"/>
      <c r="J51" s="3993"/>
      <c r="K51" s="3993"/>
      <c r="L51" s="3993"/>
      <c r="M51" s="3994"/>
      <c r="N51" s="3995">
        <v>0</v>
      </c>
      <c r="O51" s="3996"/>
      <c r="P51" s="3997"/>
      <c r="Q51" s="3998">
        <v>0</v>
      </c>
      <c r="R51" s="3996"/>
      <c r="S51" s="3999"/>
      <c r="T51" s="3996">
        <v>0</v>
      </c>
      <c r="U51" s="3996"/>
      <c r="V51" s="3997"/>
      <c r="W51" s="3998">
        <v>0</v>
      </c>
      <c r="X51" s="3996"/>
      <c r="Y51" s="3996"/>
      <c r="Z51" s="4000">
        <v>0</v>
      </c>
      <c r="AA51" s="3996"/>
      <c r="AB51" s="3997"/>
      <c r="AC51" s="3998">
        <v>0</v>
      </c>
      <c r="AD51" s="3996"/>
      <c r="AE51" s="3999"/>
      <c r="AF51" s="3996">
        <v>0</v>
      </c>
      <c r="AG51" s="3996"/>
      <c r="AH51" s="3997"/>
      <c r="AI51" s="3998">
        <v>0</v>
      </c>
      <c r="AJ51" s="3996"/>
      <c r="AK51" s="4001"/>
      <c r="AL51" s="224"/>
      <c r="AM51" s="224"/>
      <c r="AN51" s="224"/>
      <c r="AO51" s="224"/>
      <c r="AP51" s="224"/>
      <c r="AQ51" s="224"/>
      <c r="AR51" s="224"/>
      <c r="AS51" s="224"/>
      <c r="AT51" s="224"/>
      <c r="AU51" s="224"/>
      <c r="AV51" s="1519"/>
      <c r="AW51" s="224"/>
      <c r="AX51" s="224"/>
      <c r="AY51" s="224"/>
      <c r="AZ51" s="224"/>
      <c r="BA51" s="224"/>
      <c r="BB51" s="224"/>
      <c r="BC51" s="224"/>
    </row>
    <row r="52" spans="1:63" s="50" customFormat="1" ht="5.0999999999999996" customHeight="1" thickTop="1">
      <c r="A52" s="224"/>
      <c r="B52" s="1517"/>
      <c r="C52" s="224"/>
      <c r="D52" s="1521"/>
      <c r="E52" s="1522"/>
      <c r="F52" s="1522"/>
      <c r="G52" s="1522"/>
      <c r="H52" s="1522"/>
      <c r="I52" s="1522"/>
      <c r="J52" s="1522"/>
      <c r="K52" s="1522"/>
      <c r="L52" s="1522"/>
      <c r="M52" s="1522"/>
      <c r="N52" s="502"/>
      <c r="O52" s="502"/>
      <c r="P52" s="502"/>
      <c r="Q52" s="502"/>
      <c r="R52" s="502"/>
      <c r="S52" s="502"/>
      <c r="T52" s="502"/>
      <c r="U52" s="502"/>
      <c r="V52" s="502"/>
      <c r="W52" s="502"/>
      <c r="X52" s="502"/>
      <c r="Y52" s="502"/>
      <c r="Z52" s="502"/>
      <c r="AA52" s="502"/>
      <c r="AB52" s="502"/>
      <c r="AC52" s="502"/>
      <c r="AD52" s="502"/>
      <c r="AE52" s="502"/>
      <c r="AF52" s="502"/>
      <c r="AG52" s="502"/>
      <c r="AH52" s="502"/>
      <c r="AI52" s="502"/>
      <c r="AJ52" s="502"/>
      <c r="AK52" s="502"/>
      <c r="AL52" s="224"/>
      <c r="AM52" s="224"/>
      <c r="AN52" s="224"/>
      <c r="AO52" s="224"/>
      <c r="AP52" s="224"/>
      <c r="AQ52" s="224"/>
      <c r="AR52" s="224"/>
      <c r="AS52" s="224"/>
      <c r="AT52" s="224"/>
      <c r="AU52" s="224"/>
      <c r="AV52" s="1519"/>
      <c r="AW52" s="224"/>
      <c r="AX52" s="224"/>
      <c r="AY52" s="224"/>
      <c r="AZ52" s="224"/>
      <c r="BA52" s="224"/>
      <c r="BB52" s="224"/>
      <c r="BC52" s="224"/>
    </row>
    <row r="53" spans="1:63" s="184" customFormat="1" ht="22.5" customHeight="1">
      <c r="A53" s="799"/>
      <c r="B53" s="1429"/>
      <c r="C53" s="1506"/>
      <c r="D53" s="377" t="s">
        <v>268</v>
      </c>
      <c r="E53" s="1306"/>
      <c r="F53" s="1306"/>
      <c r="G53" s="3991" t="s">
        <v>1843</v>
      </c>
      <c r="H53" s="3991"/>
      <c r="I53" s="3991"/>
      <c r="J53" s="3991"/>
      <c r="K53" s="3991"/>
      <c r="L53" s="3991"/>
      <c r="M53" s="3991"/>
      <c r="N53" s="3991"/>
      <c r="O53" s="3991"/>
      <c r="P53" s="3991"/>
      <c r="Q53" s="3991"/>
      <c r="R53" s="3991"/>
      <c r="S53" s="3991"/>
      <c r="T53" s="3991"/>
      <c r="U53" s="3991"/>
      <c r="V53" s="3991"/>
      <c r="W53" s="3991"/>
      <c r="X53" s="3991"/>
      <c r="Y53" s="3991"/>
      <c r="Z53" s="3991"/>
      <c r="AA53" s="3991"/>
      <c r="AB53" s="3991"/>
      <c r="AC53" s="3991"/>
      <c r="AD53" s="3991"/>
      <c r="AE53" s="3991"/>
      <c r="AF53" s="3991"/>
      <c r="AG53" s="3991"/>
      <c r="AH53" s="3991"/>
      <c r="AI53" s="3991"/>
      <c r="AJ53" s="3991"/>
      <c r="AK53" s="3991"/>
      <c r="AL53" s="3991"/>
      <c r="AM53" s="799"/>
      <c r="AN53" s="799"/>
      <c r="AO53" s="799"/>
      <c r="AP53" s="799"/>
      <c r="AQ53" s="799"/>
      <c r="AR53" s="799"/>
      <c r="AS53" s="799"/>
      <c r="AT53" s="799"/>
      <c r="AU53" s="799"/>
      <c r="AV53" s="1523"/>
      <c r="AW53" s="799"/>
      <c r="AX53" s="799"/>
      <c r="AY53" s="799"/>
      <c r="AZ53" s="799"/>
      <c r="BA53" s="799"/>
      <c r="BB53" s="799"/>
      <c r="BC53" s="799"/>
    </row>
    <row r="54" spans="1:63" s="185" customFormat="1" ht="9.9499999999999993" customHeight="1" thickBot="1">
      <c r="A54" s="798"/>
      <c r="B54" s="1437"/>
      <c r="C54" s="1311"/>
      <c r="D54" s="1524"/>
      <c r="E54" s="1525"/>
      <c r="F54" s="1525"/>
      <c r="G54" s="1525"/>
      <c r="H54" s="1525"/>
      <c r="I54" s="1525"/>
      <c r="J54" s="1525"/>
      <c r="K54" s="1441"/>
      <c r="L54" s="1441"/>
      <c r="M54" s="1441"/>
      <c r="N54" s="1441"/>
      <c r="O54" s="1441"/>
      <c r="P54" s="1441"/>
      <c r="Q54" s="1441"/>
      <c r="R54" s="1441"/>
      <c r="S54" s="1441"/>
      <c r="T54" s="1441"/>
      <c r="U54" s="1441"/>
      <c r="V54" s="1441"/>
      <c r="W54" s="1441"/>
      <c r="X54" s="1441"/>
      <c r="Y54" s="1441"/>
      <c r="Z54" s="1441"/>
      <c r="AA54" s="1441"/>
      <c r="AB54" s="1441"/>
      <c r="AC54" s="1441"/>
      <c r="AD54" s="1441"/>
      <c r="AE54" s="1441"/>
      <c r="AF54" s="1441"/>
      <c r="AG54" s="1441"/>
      <c r="AH54" s="1441"/>
      <c r="AI54" s="1441"/>
      <c r="AJ54" s="1441"/>
      <c r="AK54" s="1441"/>
      <c r="AL54" s="1441"/>
      <c r="AM54" s="1441"/>
      <c r="AN54" s="1441"/>
      <c r="AO54" s="1441"/>
      <c r="AP54" s="1441"/>
      <c r="AQ54" s="1441"/>
      <c r="AR54" s="1441"/>
      <c r="AS54" s="1441"/>
      <c r="AT54" s="1441"/>
      <c r="AU54" s="1441"/>
      <c r="AV54" s="1499"/>
      <c r="AW54" s="798"/>
      <c r="AX54" s="798"/>
      <c r="AY54" s="798"/>
      <c r="AZ54" s="798"/>
      <c r="BA54" s="798"/>
      <c r="BB54" s="798"/>
      <c r="BC54" s="798"/>
    </row>
    <row r="55" spans="1:63" s="185" customFormat="1" ht="9.9499999999999993" customHeight="1" thickTop="1">
      <c r="A55" s="798"/>
      <c r="B55" s="1443"/>
      <c r="C55" s="1321"/>
      <c r="D55" s="799"/>
      <c r="E55" s="1444"/>
      <c r="F55" s="1444"/>
      <c r="G55" s="1444"/>
      <c r="H55" s="1444"/>
      <c r="I55" s="1444"/>
      <c r="J55" s="1444"/>
      <c r="K55" s="798"/>
      <c r="L55" s="798"/>
      <c r="M55" s="798"/>
      <c r="N55" s="798"/>
      <c r="O55" s="798"/>
      <c r="P55" s="798"/>
      <c r="Q55" s="798"/>
      <c r="R55" s="798"/>
      <c r="S55" s="798"/>
      <c r="T55" s="798"/>
      <c r="U55" s="798"/>
      <c r="V55" s="798"/>
      <c r="W55" s="798"/>
      <c r="X55" s="798"/>
      <c r="Y55" s="798"/>
      <c r="Z55" s="798"/>
      <c r="AA55" s="798"/>
      <c r="AB55" s="798"/>
      <c r="AC55" s="798"/>
      <c r="AD55" s="798"/>
      <c r="AE55" s="798"/>
      <c r="AF55" s="798"/>
      <c r="AG55" s="798"/>
      <c r="AH55" s="798"/>
      <c r="AI55" s="798"/>
      <c r="AJ55" s="798"/>
      <c r="AK55" s="798"/>
      <c r="AL55" s="798"/>
      <c r="AM55" s="798"/>
      <c r="AN55" s="798"/>
      <c r="AO55" s="798"/>
      <c r="AP55" s="798"/>
      <c r="AQ55" s="798"/>
      <c r="AR55" s="798"/>
      <c r="AS55" s="798"/>
      <c r="AT55" s="798"/>
      <c r="AU55" s="798"/>
      <c r="AV55" s="798"/>
      <c r="AW55" s="798"/>
      <c r="AX55" s="798"/>
      <c r="AY55" s="798"/>
      <c r="AZ55" s="798"/>
      <c r="BA55" s="798"/>
      <c r="BB55" s="798"/>
      <c r="BC55" s="798"/>
    </row>
    <row r="56" spans="1:63" s="51" customFormat="1" ht="17.25" customHeight="1">
      <c r="A56" s="238"/>
      <c r="B56" s="3778" t="s">
        <v>1940</v>
      </c>
      <c r="C56" s="3778"/>
      <c r="D56" s="3778"/>
      <c r="E56" s="3778"/>
      <c r="F56" s="3778"/>
      <c r="G56" s="3778"/>
      <c r="H56" s="3778"/>
      <c r="I56" s="3778"/>
      <c r="J56" s="3778"/>
      <c r="K56" s="3778"/>
      <c r="L56" s="3778"/>
      <c r="M56" s="3778"/>
      <c r="N56" s="3778"/>
      <c r="O56" s="3778"/>
      <c r="P56" s="3778"/>
      <c r="Q56" s="3778"/>
      <c r="R56" s="3778"/>
      <c r="S56" s="3778"/>
      <c r="T56" s="3778"/>
      <c r="U56" s="3778"/>
      <c r="V56" s="3778"/>
      <c r="W56" s="3778"/>
      <c r="X56" s="3778"/>
      <c r="Y56" s="3778"/>
      <c r="Z56" s="3778"/>
      <c r="AA56" s="3778"/>
      <c r="AB56" s="3778"/>
      <c r="AC56" s="3778"/>
      <c r="AD56" s="3778"/>
      <c r="AE56" s="238"/>
      <c r="AF56" s="238"/>
      <c r="AG56" s="238"/>
      <c r="AH56" s="238"/>
      <c r="AI56" s="238"/>
      <c r="AJ56" s="238"/>
      <c r="AK56" s="238"/>
      <c r="AL56" s="238"/>
      <c r="AM56" s="238"/>
      <c r="AN56" s="238"/>
      <c r="AO56" s="238"/>
      <c r="AP56" s="238"/>
      <c r="AQ56" s="238"/>
      <c r="AR56" s="238"/>
      <c r="AS56" s="238"/>
      <c r="AT56" s="238"/>
      <c r="AU56" s="238"/>
      <c r="AV56" s="238"/>
      <c r="AW56" s="238"/>
      <c r="AX56" s="238"/>
      <c r="AY56" s="238"/>
      <c r="AZ56" s="238"/>
      <c r="BA56" s="238"/>
      <c r="BB56" s="238"/>
      <c r="BC56" s="238"/>
    </row>
    <row r="57" spans="1:63" s="3" customFormat="1" ht="24.95" customHeight="1">
      <c r="A57" s="240"/>
      <c r="B57" s="240"/>
      <c r="C57" s="240"/>
      <c r="D57" s="239"/>
      <c r="E57" s="240"/>
      <c r="F57" s="239"/>
      <c r="G57" s="240"/>
      <c r="H57" s="239"/>
      <c r="I57" s="240"/>
      <c r="J57" s="239"/>
      <c r="K57" s="240"/>
      <c r="L57" s="239"/>
      <c r="M57" s="240"/>
      <c r="N57" s="239"/>
      <c r="O57" s="240"/>
      <c r="P57" s="240"/>
      <c r="Q57" s="240"/>
      <c r="R57" s="240"/>
      <c r="S57" s="240"/>
      <c r="T57" s="240"/>
      <c r="U57" s="240"/>
      <c r="V57" s="239"/>
      <c r="W57" s="240"/>
      <c r="X57" s="239"/>
      <c r="Y57" s="240"/>
      <c r="Z57" s="239"/>
      <c r="AA57" s="240"/>
      <c r="AB57" s="239"/>
      <c r="AC57" s="240"/>
      <c r="AD57" s="239"/>
      <c r="AE57" s="240"/>
      <c r="AF57" s="239"/>
      <c r="AG57" s="331"/>
      <c r="AH57" s="331"/>
      <c r="AI57" s="331"/>
      <c r="AJ57" s="331"/>
      <c r="AK57" s="331"/>
      <c r="AL57" s="240"/>
      <c r="AM57" s="331"/>
      <c r="AN57" s="331"/>
      <c r="AO57" s="331"/>
      <c r="AP57" s="331"/>
      <c r="AQ57" s="331"/>
      <c r="AR57" s="331"/>
      <c r="AS57" s="331"/>
      <c r="AT57" s="331"/>
      <c r="AU57" s="331"/>
      <c r="AV57" s="240"/>
      <c r="AW57" s="331"/>
      <c r="AX57" s="331"/>
      <c r="AY57" s="331"/>
      <c r="AZ57" s="331"/>
      <c r="BA57" s="331"/>
      <c r="BB57" s="331"/>
      <c r="BC57" s="331"/>
      <c r="BD57" s="1"/>
      <c r="BE57" s="1"/>
      <c r="BF57" s="1"/>
      <c r="BG57" s="1"/>
      <c r="BH57" s="1"/>
      <c r="BI57" s="1"/>
      <c r="BJ57" s="1"/>
      <c r="BK57" s="1"/>
    </row>
    <row r="58" spans="1:63" s="1" customFormat="1" ht="15">
      <c r="A58" s="331"/>
      <c r="B58" s="332" t="s">
        <v>32</v>
      </c>
      <c r="C58" s="331"/>
      <c r="D58" s="331"/>
      <c r="E58" s="331"/>
      <c r="F58" s="331"/>
      <c r="G58" s="331"/>
      <c r="H58" s="331"/>
      <c r="I58" s="331"/>
      <c r="J58" s="331"/>
      <c r="K58" s="331"/>
      <c r="L58" s="331"/>
      <c r="M58" s="331"/>
      <c r="N58" s="331"/>
      <c r="O58" s="331"/>
      <c r="P58" s="331"/>
      <c r="Q58" s="331"/>
      <c r="R58" s="331"/>
      <c r="S58" s="331"/>
      <c r="T58" s="332" t="s">
        <v>856</v>
      </c>
      <c r="U58" s="331"/>
      <c r="V58" s="331"/>
      <c r="W58" s="331"/>
      <c r="X58" s="331"/>
      <c r="Y58" s="331"/>
      <c r="Z58" s="331"/>
      <c r="AA58" s="331"/>
      <c r="AB58" s="331"/>
      <c r="AC58" s="331"/>
      <c r="AD58" s="331"/>
      <c r="AE58" s="331"/>
      <c r="AF58" s="331"/>
      <c r="AG58" s="331"/>
      <c r="AH58" s="331"/>
      <c r="AI58" s="331"/>
      <c r="AJ58" s="331"/>
      <c r="AK58" s="331"/>
      <c r="AL58" s="332" t="s">
        <v>33</v>
      </c>
      <c r="AM58" s="332"/>
      <c r="AN58" s="332"/>
      <c r="AO58" s="332"/>
      <c r="AP58" s="332"/>
      <c r="AQ58" s="332"/>
      <c r="AR58" s="332"/>
      <c r="AS58" s="332"/>
      <c r="AT58" s="332"/>
      <c r="AU58" s="332"/>
      <c r="AV58" s="332"/>
      <c r="AW58" s="332"/>
      <c r="AX58" s="332"/>
      <c r="AY58" s="332"/>
      <c r="AZ58" s="332"/>
      <c r="BA58" s="332"/>
      <c r="BB58" s="332"/>
      <c r="BC58" s="332"/>
    </row>
    <row r="59" spans="1:63" s="1" customFormat="1" ht="21.75" customHeight="1">
      <c r="A59" s="331"/>
      <c r="B59" s="332" t="s">
        <v>73</v>
      </c>
      <c r="C59" s="331"/>
      <c r="D59" s="331"/>
      <c r="E59" s="331"/>
      <c r="F59" s="1891" t="str">
        <f>activesheet!E21</f>
        <v>MELCHESIEDICK Q. BOLANIO / March 17, 2023</v>
      </c>
      <c r="G59" s="1891"/>
      <c r="H59" s="1891"/>
      <c r="I59" s="1891"/>
      <c r="J59" s="1891"/>
      <c r="K59" s="1891"/>
      <c r="L59" s="1891"/>
      <c r="M59" s="1891"/>
      <c r="N59" s="1891"/>
      <c r="O59" s="1891"/>
      <c r="P59" s="331"/>
      <c r="Q59" s="331"/>
      <c r="R59" s="331"/>
      <c r="S59" s="331"/>
      <c r="T59" s="1891" t="str">
        <f>activesheet!E3344</f>
        <v>ELYN KENDRA D. DELA CRUZ / March 17, 2023</v>
      </c>
      <c r="U59" s="1891"/>
      <c r="V59" s="1891"/>
      <c r="W59" s="1891"/>
      <c r="X59" s="1891"/>
      <c r="Y59" s="1891"/>
      <c r="Z59" s="1891"/>
      <c r="AA59" s="1891"/>
      <c r="AB59" s="1891"/>
      <c r="AC59" s="1891"/>
      <c r="AD59" s="1891"/>
      <c r="AE59" s="1891"/>
      <c r="AF59" s="1891"/>
      <c r="AG59" s="1891"/>
      <c r="AH59" s="331"/>
      <c r="AI59" s="331"/>
      <c r="AJ59" s="360"/>
      <c r="AK59" s="360"/>
      <c r="AL59" s="1891" t="str">
        <f>activesheet!E25</f>
        <v>MICHAEL T. JAMIS / March 17, 2023</v>
      </c>
      <c r="AM59" s="1891"/>
      <c r="AN59" s="1891"/>
      <c r="AO59" s="1891"/>
      <c r="AP59" s="1891"/>
      <c r="AQ59" s="1891"/>
      <c r="AR59" s="1891"/>
      <c r="AS59" s="1891"/>
      <c r="AT59" s="1891"/>
      <c r="AU59" s="1891"/>
      <c r="AV59" s="332"/>
      <c r="AW59" s="332"/>
      <c r="AX59" s="332"/>
      <c r="AY59" s="332"/>
      <c r="AZ59" s="332"/>
      <c r="BA59" s="332"/>
      <c r="BB59" s="332"/>
      <c r="BC59" s="332"/>
      <c r="BD59" s="2"/>
      <c r="BE59" s="2"/>
      <c r="BF59" s="2"/>
      <c r="BG59" s="2"/>
      <c r="BH59" s="2"/>
      <c r="BI59" s="2"/>
      <c r="BJ59" s="2"/>
      <c r="BK59" s="2"/>
    </row>
    <row r="60" spans="1:63" s="2" customFormat="1" ht="15" customHeight="1">
      <c r="A60" s="325"/>
      <c r="B60" s="228"/>
      <c r="C60" s="325"/>
      <c r="D60" s="325"/>
      <c r="E60" s="325"/>
      <c r="F60" s="1811" t="s">
        <v>37</v>
      </c>
      <c r="G60" s="1811"/>
      <c r="H60" s="1811"/>
      <c r="I60" s="1811"/>
      <c r="J60" s="1811"/>
      <c r="K60" s="1811"/>
      <c r="L60" s="1811"/>
      <c r="M60" s="1811"/>
      <c r="N60" s="1811"/>
      <c r="O60" s="1811"/>
      <c r="P60" s="228"/>
      <c r="Q60" s="228"/>
      <c r="R60" s="228"/>
      <c r="S60" s="228"/>
      <c r="T60" s="1811" t="s">
        <v>37</v>
      </c>
      <c r="U60" s="1811"/>
      <c r="V60" s="1811"/>
      <c r="W60" s="1811"/>
      <c r="X60" s="1811"/>
      <c r="Y60" s="1811"/>
      <c r="Z60" s="1811"/>
      <c r="AA60" s="1811"/>
      <c r="AB60" s="1811"/>
      <c r="AC60" s="1811"/>
      <c r="AD60" s="1811"/>
      <c r="AE60" s="1811"/>
      <c r="AF60" s="1811"/>
      <c r="AG60" s="1811"/>
      <c r="AH60" s="325"/>
      <c r="AI60" s="325"/>
      <c r="AJ60" s="247"/>
      <c r="AK60" s="247"/>
      <c r="AL60" s="1811" t="s">
        <v>37</v>
      </c>
      <c r="AM60" s="1811"/>
      <c r="AN60" s="1811"/>
      <c r="AO60" s="1811"/>
      <c r="AP60" s="1811"/>
      <c r="AQ60" s="1811"/>
      <c r="AR60" s="1811"/>
      <c r="AS60" s="1811"/>
      <c r="AT60" s="1811"/>
      <c r="AU60" s="1811"/>
      <c r="AV60" s="358"/>
      <c r="AW60" s="358"/>
      <c r="AX60" s="358"/>
      <c r="AY60" s="358"/>
      <c r="AZ60" s="358"/>
      <c r="BA60" s="358"/>
      <c r="BB60" s="358"/>
      <c r="BC60" s="358"/>
      <c r="BD60" s="1"/>
      <c r="BE60" s="1"/>
      <c r="BF60" s="1"/>
      <c r="BG60" s="1"/>
      <c r="BH60" s="1"/>
      <c r="BI60" s="1"/>
      <c r="BJ60" s="1"/>
      <c r="BK60" s="1"/>
    </row>
    <row r="61" spans="1:63" s="1" customFormat="1" ht="21.75" customHeight="1">
      <c r="A61" s="331"/>
      <c r="B61" s="332" t="s">
        <v>58</v>
      </c>
      <c r="C61" s="331"/>
      <c r="D61" s="331"/>
      <c r="E61" s="331"/>
      <c r="F61" s="1891" t="str">
        <f>activesheet!E22</f>
        <v>SECONDARY SCHOOL PRINCIPAL IV</v>
      </c>
      <c r="G61" s="1891"/>
      <c r="H61" s="1891"/>
      <c r="I61" s="1891"/>
      <c r="J61" s="1891"/>
      <c r="K61" s="1891"/>
      <c r="L61" s="1891"/>
      <c r="M61" s="1891"/>
      <c r="N61" s="1891"/>
      <c r="O61" s="1891"/>
      <c r="P61" s="331"/>
      <c r="Q61" s="331"/>
      <c r="R61" s="331"/>
      <c r="S61" s="331"/>
      <c r="T61" s="332" t="s">
        <v>58</v>
      </c>
      <c r="U61" s="331"/>
      <c r="V61" s="331"/>
      <c r="W61" s="331"/>
      <c r="X61" s="1891" t="str">
        <f>activesheet!E3345</f>
        <v>PROJECT DEVELOPMENT OFFICER II</v>
      </c>
      <c r="Y61" s="1891"/>
      <c r="Z61" s="1891"/>
      <c r="AA61" s="1891"/>
      <c r="AB61" s="1891"/>
      <c r="AC61" s="1891"/>
      <c r="AD61" s="1891"/>
      <c r="AE61" s="1891"/>
      <c r="AF61" s="1891"/>
      <c r="AG61" s="1891"/>
      <c r="AH61" s="331"/>
      <c r="AI61" s="331"/>
      <c r="AJ61" s="360"/>
      <c r="AK61" s="360"/>
      <c r="AL61" s="360"/>
      <c r="AM61" s="360"/>
      <c r="AN61" s="360"/>
      <c r="AO61" s="802"/>
      <c r="AP61" s="802"/>
      <c r="AQ61" s="802"/>
      <c r="AR61" s="802"/>
      <c r="AS61" s="802"/>
      <c r="AT61" s="802"/>
      <c r="AU61" s="802"/>
      <c r="AV61" s="802"/>
      <c r="AW61" s="802"/>
      <c r="AX61" s="802"/>
      <c r="AY61" s="802"/>
      <c r="AZ61" s="802"/>
      <c r="BA61" s="802"/>
      <c r="BB61" s="802"/>
      <c r="BC61" s="802"/>
      <c r="BD61" s="186"/>
      <c r="BE61" s="186"/>
      <c r="BF61" s="186"/>
      <c r="BG61" s="186"/>
      <c r="BH61" s="186"/>
      <c r="BI61" s="186"/>
      <c r="BJ61" s="186"/>
      <c r="BK61" s="186"/>
    </row>
    <row r="62" spans="1:63" s="154" customFormat="1" ht="16.5">
      <c r="A62" s="1450"/>
      <c r="B62" s="1451"/>
      <c r="C62" s="1450"/>
      <c r="D62" s="1450"/>
      <c r="E62" s="1450"/>
      <c r="F62" s="1450"/>
      <c r="G62" s="1450"/>
      <c r="H62" s="1450"/>
      <c r="I62" s="1450"/>
      <c r="J62" s="1450"/>
      <c r="K62" s="1450"/>
      <c r="L62" s="1450"/>
      <c r="M62" s="1450"/>
      <c r="N62" s="1450"/>
      <c r="O62" s="1450"/>
      <c r="P62" s="1450"/>
      <c r="Q62" s="1450"/>
      <c r="R62" s="1450"/>
      <c r="S62" s="1450"/>
      <c r="T62" s="1450"/>
      <c r="U62" s="1450"/>
      <c r="V62" s="1450"/>
      <c r="W62" s="1450"/>
      <c r="X62" s="1450"/>
      <c r="Y62" s="1450"/>
      <c r="Z62" s="1450"/>
      <c r="AA62" s="1450"/>
      <c r="AB62" s="1450"/>
      <c r="AC62" s="1450"/>
      <c r="AD62" s="1450"/>
      <c r="AE62" s="1450"/>
      <c r="AF62" s="1450"/>
      <c r="AG62" s="1450"/>
      <c r="AH62" s="1450"/>
      <c r="AI62" s="1450"/>
      <c r="AJ62" s="1450"/>
      <c r="AK62" s="1450"/>
      <c r="AL62" s="1450"/>
      <c r="AM62" s="1450"/>
      <c r="AN62" s="1450"/>
      <c r="AO62" s="1450"/>
      <c r="AP62" s="1450"/>
      <c r="AQ62" s="1450"/>
      <c r="AR62" s="1450"/>
      <c r="AS62" s="1450"/>
      <c r="AT62" s="1450"/>
      <c r="AU62" s="1450"/>
      <c r="AV62" s="1450"/>
      <c r="AW62" s="1450"/>
      <c r="AX62" s="1450"/>
      <c r="AY62" s="1450"/>
      <c r="AZ62" s="1450"/>
      <c r="BA62" s="1450"/>
      <c r="BB62" s="1450"/>
      <c r="BC62" s="1450"/>
    </row>
    <row r="63" spans="1:63" s="154" customFormat="1" ht="9" customHeight="1">
      <c r="A63" s="1450"/>
      <c r="B63" s="1452"/>
      <c r="C63" s="1450"/>
      <c r="D63" s="1450"/>
      <c r="E63" s="1450"/>
      <c r="F63" s="1450"/>
      <c r="G63" s="1450"/>
      <c r="H63" s="1450"/>
      <c r="I63" s="1450"/>
      <c r="J63" s="1450"/>
      <c r="K63" s="1450"/>
      <c r="L63" s="1450"/>
      <c r="M63" s="1450"/>
      <c r="N63" s="1450"/>
      <c r="O63" s="1450"/>
      <c r="P63" s="1450"/>
      <c r="Q63" s="1450"/>
      <c r="R63" s="1450"/>
      <c r="S63" s="1450"/>
      <c r="T63" s="1450"/>
      <c r="U63" s="1450"/>
      <c r="V63" s="1450"/>
      <c r="W63" s="1450"/>
      <c r="X63" s="1450"/>
      <c r="Y63" s="1450"/>
      <c r="Z63" s="1450"/>
      <c r="AA63" s="1450"/>
      <c r="AB63" s="1450"/>
      <c r="AC63" s="1450"/>
      <c r="AD63" s="1450"/>
      <c r="AE63" s="1450"/>
      <c r="AF63" s="1450"/>
      <c r="AG63" s="1450"/>
      <c r="AH63" s="1450"/>
      <c r="AI63" s="1450"/>
      <c r="AJ63" s="1450"/>
      <c r="AK63" s="1450"/>
      <c r="AL63" s="1450"/>
      <c r="AM63" s="1450"/>
      <c r="AN63" s="1450"/>
      <c r="AO63" s="1450"/>
      <c r="AP63" s="1450"/>
      <c r="AQ63" s="1450"/>
      <c r="AR63" s="1450"/>
      <c r="AS63" s="1450"/>
      <c r="AT63" s="1450"/>
      <c r="AU63" s="1450"/>
      <c r="AV63" s="1450"/>
      <c r="AW63" s="1450"/>
      <c r="AX63" s="1450"/>
      <c r="AY63" s="1450"/>
      <c r="AZ63" s="1450"/>
      <c r="BA63" s="1450"/>
      <c r="BB63" s="1450"/>
      <c r="BC63" s="1450"/>
    </row>
    <row r="64" spans="1:63" ht="15.95" customHeight="1">
      <c r="A64" s="1447"/>
      <c r="B64" s="1526"/>
      <c r="C64" s="1491"/>
      <c r="D64" s="1321"/>
      <c r="E64" s="1527"/>
      <c r="F64" s="1527"/>
      <c r="G64" s="1527"/>
      <c r="H64" s="1527"/>
      <c r="I64" s="1527"/>
      <c r="J64" s="1527"/>
      <c r="K64" s="1527"/>
      <c r="L64" s="1527"/>
      <c r="M64" s="1527"/>
      <c r="N64" s="1527"/>
      <c r="O64" s="1527"/>
      <c r="P64" s="1527"/>
      <c r="Q64" s="1527"/>
      <c r="R64" s="1527"/>
      <c r="S64" s="1527"/>
      <c r="T64" s="1527"/>
      <c r="U64" s="1527"/>
      <c r="V64" s="1527"/>
      <c r="W64" s="1527"/>
      <c r="X64" s="1527"/>
      <c r="Y64" s="1527"/>
      <c r="Z64" s="1527"/>
      <c r="AA64" s="1527"/>
      <c r="AB64" s="1492"/>
      <c r="AC64" s="1528"/>
      <c r="AD64" s="1529"/>
      <c r="AE64" s="1529"/>
      <c r="AF64" s="1529"/>
      <c r="AG64" s="1529"/>
      <c r="AH64" s="1529"/>
      <c r="AI64" s="1529"/>
      <c r="AJ64" s="1529"/>
      <c r="AK64" s="1529"/>
      <c r="AL64" s="1529"/>
      <c r="AM64" s="1529"/>
      <c r="AN64" s="1529"/>
      <c r="AO64" s="1529"/>
      <c r="AP64" s="1529"/>
      <c r="AQ64" s="1529"/>
      <c r="AR64" s="1529"/>
      <c r="AS64" s="1529"/>
      <c r="AT64" s="1529"/>
      <c r="AU64" s="1529"/>
      <c r="AV64" s="1529"/>
      <c r="AW64" s="1529"/>
      <c r="AX64" s="1529"/>
      <c r="AY64" s="1529"/>
      <c r="AZ64" s="1529"/>
      <c r="BA64" s="1447"/>
      <c r="BB64" s="1447"/>
      <c r="BC64" s="1447"/>
    </row>
    <row r="65" spans="1:55" ht="15.95" customHeight="1">
      <c r="A65" s="1447"/>
      <c r="B65" s="1526"/>
      <c r="C65" s="1491"/>
      <c r="D65" s="1321"/>
      <c r="E65" s="1527"/>
      <c r="F65" s="1527"/>
      <c r="G65" s="1527"/>
      <c r="H65" s="1527"/>
      <c r="I65" s="1527"/>
      <c r="J65" s="1527"/>
      <c r="K65" s="1527"/>
      <c r="L65" s="1527"/>
      <c r="M65" s="1527"/>
      <c r="N65" s="1527"/>
      <c r="O65" s="1527"/>
      <c r="P65" s="1527"/>
      <c r="Q65" s="1527"/>
      <c r="R65" s="1527"/>
      <c r="S65" s="1527"/>
      <c r="T65" s="1527"/>
      <c r="U65" s="1527"/>
      <c r="V65" s="1527"/>
      <c r="W65" s="1527"/>
      <c r="X65" s="1527"/>
      <c r="Y65" s="1527"/>
      <c r="Z65" s="1527"/>
      <c r="AA65" s="1527"/>
      <c r="AB65" s="1492"/>
      <c r="AC65" s="1530"/>
      <c r="AD65" s="1529"/>
      <c r="AE65" s="1529"/>
      <c r="AF65" s="1529"/>
      <c r="AG65" s="1529"/>
      <c r="AH65" s="1529"/>
      <c r="AI65" s="1529"/>
      <c r="AJ65" s="1529"/>
      <c r="AK65" s="1529"/>
      <c r="AL65" s="1529"/>
      <c r="AM65" s="1529"/>
      <c r="AN65" s="1529"/>
      <c r="AO65" s="1529"/>
      <c r="AP65" s="1529"/>
      <c r="AQ65" s="1529"/>
      <c r="AR65" s="1529"/>
      <c r="AS65" s="1529"/>
      <c r="AT65" s="1529"/>
      <c r="AU65" s="1529"/>
      <c r="AV65" s="1529"/>
      <c r="AW65" s="1529"/>
      <c r="AX65" s="1529"/>
      <c r="AY65" s="1529"/>
      <c r="AZ65" s="1529"/>
      <c r="BA65" s="1447"/>
      <c r="BB65" s="1447"/>
      <c r="BC65" s="1447"/>
    </row>
    <row r="66" spans="1:55" ht="15.95" customHeight="1">
      <c r="A66" s="1447"/>
      <c r="B66" s="1526"/>
      <c r="C66" s="1447"/>
      <c r="D66" s="1447"/>
      <c r="E66" s="1447"/>
      <c r="F66" s="1447"/>
      <c r="G66" s="1447"/>
      <c r="H66" s="1447"/>
      <c r="I66" s="1447"/>
      <c r="J66" s="1447"/>
      <c r="K66" s="1447"/>
      <c r="L66" s="1447"/>
      <c r="M66" s="1447"/>
      <c r="N66" s="1447"/>
      <c r="O66" s="1447"/>
      <c r="P66" s="1447"/>
      <c r="Q66" s="1447"/>
      <c r="R66" s="1447"/>
      <c r="S66" s="1447"/>
      <c r="T66" s="1447"/>
      <c r="U66" s="1447"/>
      <c r="V66" s="1447"/>
      <c r="W66" s="1447"/>
      <c r="X66" s="1447"/>
      <c r="Y66" s="1447"/>
      <c r="Z66" s="1447"/>
      <c r="AA66" s="1447"/>
      <c r="AB66" s="1492"/>
      <c r="AC66" s="1531"/>
      <c r="AD66" s="1532"/>
      <c r="AE66" s="1532"/>
      <c r="AF66" s="1532"/>
      <c r="AG66" s="1532"/>
      <c r="AH66" s="1532"/>
      <c r="AI66" s="1532"/>
      <c r="AJ66" s="1532"/>
      <c r="AK66" s="1532"/>
      <c r="AL66" s="1532"/>
      <c r="AM66" s="1532"/>
      <c r="AN66" s="1532"/>
      <c r="AO66" s="1447"/>
      <c r="AP66" s="1447"/>
      <c r="AQ66" s="1447"/>
      <c r="AR66" s="1447"/>
      <c r="AS66" s="1447"/>
      <c r="AT66" s="1447"/>
      <c r="AU66" s="1447"/>
      <c r="AV66" s="1447"/>
      <c r="AW66" s="1447"/>
      <c r="AX66" s="1447"/>
      <c r="AY66" s="1447"/>
      <c r="AZ66" s="1447"/>
      <c r="BA66" s="1447"/>
      <c r="BB66" s="1447"/>
      <c r="BC66" s="1447"/>
    </row>
    <row r="67" spans="1:55" ht="19.5">
      <c r="A67" s="1447"/>
      <c r="B67" s="1526"/>
      <c r="C67" s="1491"/>
      <c r="D67" s="1321"/>
      <c r="E67" s="1492"/>
      <c r="F67" s="1492"/>
      <c r="G67" s="1492"/>
      <c r="H67" s="1492"/>
      <c r="I67" s="1492"/>
      <c r="J67" s="1492"/>
      <c r="K67" s="1492"/>
      <c r="L67" s="1492"/>
      <c r="M67" s="1492"/>
      <c r="N67" s="1492"/>
      <c r="O67" s="1492"/>
      <c r="P67" s="1492"/>
      <c r="Q67" s="1492"/>
      <c r="R67" s="1492"/>
      <c r="S67" s="1492"/>
      <c r="T67" s="1492"/>
      <c r="U67" s="1492"/>
      <c r="V67" s="1492"/>
      <c r="W67" s="1492"/>
      <c r="X67" s="1492"/>
      <c r="Y67" s="1492"/>
      <c r="Z67" s="1492"/>
      <c r="AA67" s="1492"/>
      <c r="AB67" s="1492"/>
      <c r="AC67" s="1531"/>
      <c r="AD67" s="1532"/>
      <c r="AE67" s="1532"/>
      <c r="AF67" s="1532"/>
      <c r="AG67" s="1532"/>
      <c r="AH67" s="1532"/>
      <c r="AI67" s="1532"/>
      <c r="AJ67" s="1532"/>
      <c r="AK67" s="1532"/>
      <c r="AL67" s="1532"/>
      <c r="AM67" s="1532"/>
      <c r="AN67" s="1532"/>
      <c r="AO67" s="1447"/>
      <c r="AP67" s="1447"/>
      <c r="AQ67" s="1447"/>
      <c r="AR67" s="1447"/>
      <c r="AS67" s="1447"/>
      <c r="AT67" s="1447"/>
      <c r="AU67" s="1447"/>
      <c r="AV67" s="1447"/>
      <c r="AW67" s="1447"/>
      <c r="AX67" s="1447"/>
      <c r="AY67" s="1447"/>
      <c r="AZ67" s="1447"/>
      <c r="BA67" s="1447"/>
      <c r="BB67" s="1447"/>
      <c r="BC67" s="1447"/>
    </row>
    <row r="68" spans="1:55" ht="19.5" customHeight="1">
      <c r="A68" s="1447"/>
      <c r="B68" s="1526"/>
      <c r="C68" s="1447"/>
      <c r="D68" s="1447"/>
      <c r="E68" s="1447"/>
      <c r="F68" s="1447"/>
      <c r="G68" s="1447"/>
      <c r="H68" s="1447"/>
      <c r="I68" s="1447"/>
      <c r="J68" s="1447"/>
      <c r="K68" s="1447"/>
      <c r="L68" s="1447"/>
      <c r="M68" s="1447"/>
      <c r="N68" s="1447"/>
      <c r="O68" s="1447"/>
      <c r="P68" s="1492"/>
      <c r="Q68" s="1492"/>
      <c r="R68" s="1492"/>
      <c r="S68" s="1492"/>
      <c r="T68" s="1492"/>
      <c r="U68" s="1492"/>
      <c r="V68" s="1492"/>
      <c r="W68" s="1492"/>
      <c r="X68" s="1492"/>
      <c r="Y68" s="1492"/>
      <c r="Z68" s="1492"/>
      <c r="AA68" s="1492"/>
      <c r="AB68" s="1492"/>
      <c r="AC68" s="1492"/>
      <c r="AD68" s="1533"/>
      <c r="AE68" s="1533"/>
      <c r="AF68" s="1533"/>
      <c r="AG68" s="1533"/>
      <c r="AH68" s="1533"/>
      <c r="AI68" s="1533"/>
      <c r="AJ68" s="1533"/>
      <c r="AK68" s="1533"/>
      <c r="AL68" s="1533"/>
      <c r="AM68" s="1533"/>
      <c r="AN68" s="1533"/>
      <c r="AO68" s="1447"/>
      <c r="AP68" s="1447"/>
      <c r="AQ68" s="1447"/>
      <c r="AR68" s="1447"/>
      <c r="AS68" s="1447"/>
      <c r="AT68" s="1447"/>
      <c r="AU68" s="1447"/>
      <c r="AV68" s="1447"/>
      <c r="AW68" s="1447"/>
      <c r="AX68" s="1447"/>
      <c r="AY68" s="1447"/>
      <c r="AZ68" s="1447"/>
      <c r="BA68" s="1447"/>
      <c r="BB68" s="1447"/>
      <c r="BC68" s="1447"/>
    </row>
    <row r="69" spans="1:55" ht="24.6" customHeight="1">
      <c r="A69" s="1447"/>
      <c r="B69" s="1526"/>
      <c r="C69" s="1447"/>
      <c r="D69" s="1447"/>
      <c r="E69" s="1447"/>
      <c r="F69" s="1447"/>
      <c r="G69" s="1447"/>
      <c r="H69" s="1447"/>
      <c r="I69" s="1447"/>
      <c r="J69" s="1447"/>
      <c r="K69" s="1447"/>
      <c r="L69" s="1447"/>
      <c r="M69" s="1447"/>
      <c r="N69" s="1447"/>
      <c r="O69" s="1447"/>
      <c r="P69" s="1492"/>
      <c r="Q69" s="1492"/>
      <c r="R69" s="1492"/>
      <c r="S69" s="1492"/>
      <c r="T69" s="1492"/>
      <c r="U69" s="1492"/>
      <c r="V69" s="1492"/>
      <c r="W69" s="1492"/>
      <c r="X69" s="1492"/>
      <c r="Y69" s="1492"/>
      <c r="Z69" s="1492"/>
      <c r="AA69" s="1492"/>
      <c r="AB69" s="1492"/>
      <c r="AC69" s="1492"/>
      <c r="AD69" s="1534"/>
      <c r="AE69" s="1534"/>
      <c r="AF69" s="1534"/>
      <c r="AG69" s="1261"/>
      <c r="AH69" s="1261"/>
      <c r="AI69" s="1261"/>
      <c r="AJ69" s="1534"/>
      <c r="AK69" s="1534"/>
      <c r="AL69" s="1534"/>
      <c r="AM69" s="1261"/>
      <c r="AN69" s="1261"/>
      <c r="AO69" s="1447"/>
      <c r="AP69" s="1447"/>
      <c r="AQ69" s="1447"/>
      <c r="AR69" s="1447"/>
      <c r="AS69" s="1447"/>
      <c r="AT69" s="1447"/>
      <c r="AU69" s="1447"/>
      <c r="AV69" s="1447"/>
      <c r="AW69" s="1447"/>
      <c r="AX69" s="1447"/>
      <c r="AY69" s="1447"/>
      <c r="AZ69" s="1447"/>
      <c r="BA69" s="1447"/>
      <c r="BB69" s="1447"/>
      <c r="BC69" s="1447"/>
    </row>
    <row r="70" spans="1:55" ht="9.9499999999999993" customHeight="1">
      <c r="A70" s="1447"/>
      <c r="B70" s="1526"/>
      <c r="C70" s="1491"/>
      <c r="D70" s="1321"/>
      <c r="E70" s="1492"/>
      <c r="F70" s="1492"/>
      <c r="G70" s="1492"/>
      <c r="H70" s="1492"/>
      <c r="I70" s="1492"/>
      <c r="J70" s="1492"/>
      <c r="K70" s="1492"/>
      <c r="L70" s="1492"/>
      <c r="M70" s="1492"/>
      <c r="N70" s="1492"/>
      <c r="O70" s="1492"/>
      <c r="P70" s="1492"/>
      <c r="Q70" s="1492"/>
      <c r="R70" s="1492"/>
      <c r="S70" s="1492"/>
      <c r="T70" s="1492"/>
      <c r="U70" s="1492"/>
      <c r="V70" s="1492"/>
      <c r="W70" s="1492"/>
      <c r="X70" s="1492"/>
      <c r="Y70" s="1492"/>
      <c r="Z70" s="1492"/>
      <c r="AA70" s="1492"/>
      <c r="AB70" s="1492"/>
      <c r="AC70" s="1492"/>
      <c r="AD70" s="1492"/>
      <c r="AE70" s="1492"/>
      <c r="AF70" s="1492"/>
      <c r="AG70" s="1492"/>
      <c r="AH70" s="1492"/>
      <c r="AI70" s="1492"/>
      <c r="AJ70" s="1492"/>
      <c r="AK70" s="1492"/>
      <c r="AL70" s="1447"/>
      <c r="AM70" s="1447"/>
      <c r="AN70" s="1447"/>
      <c r="AO70" s="1447"/>
      <c r="AP70" s="1447"/>
      <c r="AQ70" s="1447"/>
      <c r="AR70" s="1447"/>
      <c r="AS70" s="1447"/>
      <c r="AT70" s="1447"/>
      <c r="AU70" s="1447"/>
      <c r="AV70" s="1447"/>
      <c r="AW70" s="1447"/>
      <c r="AX70" s="1447"/>
      <c r="AY70" s="1447"/>
      <c r="AZ70" s="1447"/>
      <c r="BA70" s="1447"/>
      <c r="BB70" s="1447"/>
      <c r="BC70" s="1447"/>
    </row>
    <row r="71" spans="1:55" ht="15.95" customHeight="1">
      <c r="A71" s="1447"/>
      <c r="B71" s="1526"/>
      <c r="C71" s="1535"/>
      <c r="D71" s="1536"/>
      <c r="E71" s="1536"/>
      <c r="F71" s="1536"/>
      <c r="G71" s="1536"/>
      <c r="H71" s="1536"/>
      <c r="I71" s="1536"/>
      <c r="J71" s="1536"/>
      <c r="K71" s="1536"/>
      <c r="L71" s="1536"/>
      <c r="M71" s="1536"/>
      <c r="N71" s="1536"/>
      <c r="O71" s="1536"/>
      <c r="P71" s="1536"/>
      <c r="Q71" s="1536"/>
      <c r="R71" s="1536"/>
      <c r="S71" s="1536"/>
      <c r="T71" s="1536"/>
      <c r="U71" s="1536"/>
      <c r="V71" s="1536"/>
      <c r="W71" s="1536"/>
      <c r="X71" s="1536"/>
      <c r="Y71" s="1536"/>
      <c r="Z71" s="1536"/>
      <c r="AA71" s="1536"/>
      <c r="AB71" s="1492"/>
      <c r="AC71" s="1492"/>
      <c r="AD71" s="1492"/>
      <c r="AE71" s="1492"/>
      <c r="AF71" s="1492"/>
      <c r="AG71" s="1492"/>
      <c r="AH71" s="1492"/>
      <c r="AI71" s="1492"/>
      <c r="AJ71" s="1492"/>
      <c r="AK71" s="1492"/>
      <c r="AL71" s="1447"/>
      <c r="AM71" s="1447"/>
      <c r="AN71" s="1447"/>
      <c r="AO71" s="1447"/>
      <c r="AP71" s="1447"/>
      <c r="AQ71" s="1447"/>
      <c r="AR71" s="1447"/>
      <c r="AS71" s="1447"/>
      <c r="AT71" s="1447"/>
      <c r="AU71" s="1447"/>
      <c r="AV71" s="1447"/>
      <c r="AW71" s="1447"/>
      <c r="AX71" s="1447"/>
      <c r="AY71" s="1447"/>
      <c r="AZ71" s="1447"/>
      <c r="BA71" s="1447"/>
      <c r="BB71" s="1447"/>
      <c r="BC71" s="1447"/>
    </row>
    <row r="72" spans="1:55" ht="15.95" customHeight="1">
      <c r="A72" s="1447"/>
      <c r="B72" s="1526"/>
      <c r="C72" s="1447"/>
      <c r="D72" s="1536"/>
      <c r="E72" s="1536"/>
      <c r="F72" s="1536"/>
      <c r="G72" s="1536"/>
      <c r="H72" s="1536"/>
      <c r="I72" s="1536"/>
      <c r="J72" s="1536"/>
      <c r="K72" s="1536"/>
      <c r="L72" s="1536"/>
      <c r="M72" s="1536"/>
      <c r="N72" s="1536"/>
      <c r="O72" s="1536"/>
      <c r="P72" s="1536"/>
      <c r="Q72" s="1536"/>
      <c r="R72" s="1536"/>
      <c r="S72" s="1536"/>
      <c r="T72" s="1536"/>
      <c r="U72" s="1536"/>
      <c r="V72" s="1536"/>
      <c r="W72" s="1536"/>
      <c r="X72" s="1536"/>
      <c r="Y72" s="1536"/>
      <c r="Z72" s="1536"/>
      <c r="AA72" s="1536"/>
      <c r="AB72" s="1529"/>
      <c r="AC72" s="1528"/>
      <c r="AD72" s="1529"/>
      <c r="AE72" s="1529"/>
      <c r="AF72" s="1529"/>
      <c r="AG72" s="1529"/>
      <c r="AH72" s="1529"/>
      <c r="AI72" s="1529"/>
      <c r="AJ72" s="1529"/>
      <c r="AK72" s="1529"/>
      <c r="AL72" s="1529"/>
      <c r="AM72" s="1529"/>
      <c r="AN72" s="1529"/>
      <c r="AO72" s="1529"/>
      <c r="AP72" s="1529"/>
      <c r="AQ72" s="1529"/>
      <c r="AR72" s="1529"/>
      <c r="AS72" s="1529"/>
      <c r="AT72" s="1529"/>
      <c r="AU72" s="1529"/>
      <c r="AV72" s="1529"/>
      <c r="AW72" s="1529"/>
      <c r="AX72" s="1529"/>
      <c r="AY72" s="1529"/>
      <c r="AZ72" s="1529"/>
      <c r="BA72" s="1447"/>
      <c r="BB72" s="1447"/>
      <c r="BC72" s="1447"/>
    </row>
    <row r="73" spans="1:55" ht="5.0999999999999996" customHeight="1">
      <c r="A73" s="1447"/>
      <c r="B73" s="1526"/>
      <c r="C73" s="1528"/>
      <c r="D73" s="1529"/>
      <c r="E73" s="1529"/>
      <c r="F73" s="1529"/>
      <c r="G73" s="1529"/>
      <c r="H73" s="1529"/>
      <c r="I73" s="1529"/>
      <c r="J73" s="1529"/>
      <c r="K73" s="1529"/>
      <c r="L73" s="1529"/>
      <c r="M73" s="1529"/>
      <c r="N73" s="1529"/>
      <c r="O73" s="1529"/>
      <c r="P73" s="1529"/>
      <c r="Q73" s="1529"/>
      <c r="R73" s="1529"/>
      <c r="S73" s="1529"/>
      <c r="T73" s="1529"/>
      <c r="U73" s="1529"/>
      <c r="V73" s="1529"/>
      <c r="W73" s="1529"/>
      <c r="X73" s="1529"/>
      <c r="Y73" s="1529"/>
      <c r="Z73" s="1529"/>
      <c r="AA73" s="1529"/>
      <c r="AB73" s="1529"/>
      <c r="AC73" s="1528"/>
      <c r="AD73" s="1529"/>
      <c r="AE73" s="1529"/>
      <c r="AF73" s="1529"/>
      <c r="AG73" s="1529"/>
      <c r="AH73" s="1529"/>
      <c r="AI73" s="1529"/>
      <c r="AJ73" s="1529"/>
      <c r="AK73" s="1529"/>
      <c r="AL73" s="1529"/>
      <c r="AM73" s="1529"/>
      <c r="AN73" s="1529"/>
      <c r="AO73" s="1529"/>
      <c r="AP73" s="1529"/>
      <c r="AQ73" s="1529"/>
      <c r="AR73" s="1529"/>
      <c r="AS73" s="1529"/>
      <c r="AT73" s="1529"/>
      <c r="AU73" s="1529"/>
      <c r="AV73" s="1529"/>
      <c r="AW73" s="1529"/>
      <c r="AX73" s="1529"/>
      <c r="AY73" s="1529"/>
      <c r="AZ73" s="1529"/>
      <c r="BA73" s="1447"/>
      <c r="BB73" s="1447"/>
      <c r="BC73" s="1447"/>
    </row>
    <row r="74" spans="1:55" ht="57.6" customHeight="1">
      <c r="A74" s="1447"/>
      <c r="B74" s="1526"/>
      <c r="C74" s="1530"/>
      <c r="D74" s="1532"/>
      <c r="E74" s="1532"/>
      <c r="F74" s="1532"/>
      <c r="G74" s="1532"/>
      <c r="H74" s="1532"/>
      <c r="I74" s="1532"/>
      <c r="J74" s="1532"/>
      <c r="K74" s="1532"/>
      <c r="L74" s="1532"/>
      <c r="M74" s="1532"/>
      <c r="N74" s="1532"/>
      <c r="O74" s="1532"/>
      <c r="P74" s="1532"/>
      <c r="Q74" s="1532"/>
      <c r="R74" s="1532"/>
      <c r="S74" s="1532"/>
      <c r="T74" s="1532"/>
      <c r="U74" s="1532"/>
      <c r="V74" s="1532"/>
      <c r="W74" s="1532"/>
      <c r="X74" s="1532"/>
      <c r="Y74" s="1532"/>
      <c r="Z74" s="1532"/>
      <c r="AA74" s="1532"/>
      <c r="AB74" s="1530"/>
      <c r="AC74" s="1530"/>
      <c r="AD74" s="1532"/>
      <c r="AE74" s="1532"/>
      <c r="AF74" s="1532"/>
      <c r="AG74" s="1532"/>
      <c r="AH74" s="1532"/>
      <c r="AI74" s="1532"/>
      <c r="AJ74" s="1532"/>
      <c r="AK74" s="1532"/>
      <c r="AL74" s="1532"/>
      <c r="AM74" s="1532"/>
      <c r="AN74" s="1532"/>
      <c r="AO74" s="1532"/>
      <c r="AP74" s="1532"/>
      <c r="AQ74" s="1532"/>
      <c r="AR74" s="1532"/>
      <c r="AS74" s="1532"/>
      <c r="AT74" s="1532"/>
      <c r="AU74" s="1532"/>
      <c r="AV74" s="1532"/>
      <c r="AW74" s="1532"/>
      <c r="AX74" s="1532"/>
      <c r="AY74" s="1532"/>
      <c r="AZ74" s="1532"/>
      <c r="BA74" s="1447"/>
      <c r="BB74" s="1447"/>
      <c r="BC74" s="1447"/>
    </row>
    <row r="75" spans="1:55" ht="19.5" customHeight="1">
      <c r="A75" s="1447"/>
      <c r="B75" s="1526"/>
      <c r="C75" s="1531"/>
      <c r="D75" s="1533"/>
      <c r="E75" s="1533"/>
      <c r="F75" s="1533"/>
      <c r="G75" s="1533"/>
      <c r="H75" s="1533"/>
      <c r="I75" s="1533"/>
      <c r="J75" s="1533"/>
      <c r="K75" s="1533"/>
      <c r="L75" s="1533"/>
      <c r="M75" s="1533"/>
      <c r="N75" s="1533"/>
      <c r="O75" s="1533"/>
      <c r="P75" s="1533"/>
      <c r="Q75" s="1533"/>
      <c r="R75" s="1533"/>
      <c r="S75" s="1533"/>
      <c r="T75" s="1533"/>
      <c r="U75" s="1533"/>
      <c r="V75" s="1533"/>
      <c r="W75" s="1533"/>
      <c r="X75" s="1533"/>
      <c r="Y75" s="1533"/>
      <c r="Z75" s="1533"/>
      <c r="AA75" s="1533"/>
      <c r="AB75" s="1537"/>
      <c r="AC75" s="1531"/>
      <c r="AD75" s="1533"/>
      <c r="AE75" s="1533"/>
      <c r="AF75" s="1533"/>
      <c r="AG75" s="1533"/>
      <c r="AH75" s="1533"/>
      <c r="AI75" s="1533"/>
      <c r="AJ75" s="1533"/>
      <c r="AK75" s="1533"/>
      <c r="AL75" s="1533"/>
      <c r="AM75" s="1533"/>
      <c r="AN75" s="1533"/>
      <c r="AO75" s="1533"/>
      <c r="AP75" s="1533"/>
      <c r="AQ75" s="1533"/>
      <c r="AR75" s="1533"/>
      <c r="AS75" s="1533"/>
      <c r="AT75" s="1533"/>
      <c r="AU75" s="1533"/>
      <c r="AV75" s="1533"/>
      <c r="AW75" s="1533"/>
      <c r="AX75" s="1533"/>
      <c r="AY75" s="1533"/>
      <c r="AZ75" s="1533"/>
      <c r="BA75" s="1447"/>
      <c r="BB75" s="1447"/>
      <c r="BC75" s="1447"/>
    </row>
    <row r="76" spans="1:55" ht="24.75" customHeight="1">
      <c r="A76" s="1447"/>
      <c r="B76" s="1526"/>
      <c r="C76" s="1531"/>
      <c r="D76" s="1534"/>
      <c r="E76" s="1534"/>
      <c r="F76" s="1534"/>
      <c r="G76" s="1261"/>
      <c r="H76" s="1261"/>
      <c r="I76" s="1261"/>
      <c r="J76" s="1534"/>
      <c r="K76" s="1534"/>
      <c r="L76" s="1534"/>
      <c r="M76" s="1261"/>
      <c r="N76" s="1261"/>
      <c r="O76" s="1261"/>
      <c r="P76" s="1534"/>
      <c r="Q76" s="1534"/>
      <c r="R76" s="1534"/>
      <c r="S76" s="1261"/>
      <c r="T76" s="1261"/>
      <c r="U76" s="1261"/>
      <c r="V76" s="1534"/>
      <c r="W76" s="1534"/>
      <c r="X76" s="1534"/>
      <c r="Y76" s="1261"/>
      <c r="Z76" s="1261"/>
      <c r="AA76" s="1261"/>
      <c r="AB76" s="1537"/>
      <c r="AC76" s="1531"/>
      <c r="AD76" s="1534"/>
      <c r="AE76" s="1534"/>
      <c r="AF76" s="1534"/>
      <c r="AG76" s="1261"/>
      <c r="AH76" s="1261"/>
      <c r="AI76" s="1261"/>
      <c r="AJ76" s="1534"/>
      <c r="AK76" s="1534"/>
      <c r="AL76" s="1534"/>
      <c r="AM76" s="1261"/>
      <c r="AN76" s="1261"/>
      <c r="AO76" s="1534"/>
      <c r="AP76" s="1534"/>
      <c r="AQ76" s="1534"/>
      <c r="AR76" s="1261"/>
      <c r="AS76" s="1261"/>
      <c r="AT76" s="1261"/>
      <c r="AU76" s="1534"/>
      <c r="AV76" s="1534"/>
      <c r="AW76" s="1534"/>
      <c r="AX76" s="1261"/>
      <c r="AY76" s="1261"/>
      <c r="AZ76" s="1261"/>
      <c r="BA76" s="1447"/>
      <c r="BB76" s="1447"/>
      <c r="BC76" s="1447"/>
    </row>
    <row r="77" spans="1:55" ht="9.9499999999999993" customHeight="1">
      <c r="A77" s="1447"/>
      <c r="B77" s="1526"/>
      <c r="C77" s="1491"/>
      <c r="D77" s="1321"/>
      <c r="E77" s="1492"/>
      <c r="F77" s="1492"/>
      <c r="G77" s="1492"/>
      <c r="H77" s="1492"/>
      <c r="I77" s="1492"/>
      <c r="J77" s="1492"/>
      <c r="K77" s="1492"/>
      <c r="L77" s="1492"/>
      <c r="M77" s="1492"/>
      <c r="N77" s="1492"/>
      <c r="O77" s="1492"/>
      <c r="P77" s="1492"/>
      <c r="Q77" s="1492"/>
      <c r="R77" s="1492"/>
      <c r="S77" s="1492"/>
      <c r="T77" s="1492"/>
      <c r="U77" s="1492"/>
      <c r="V77" s="1492"/>
      <c r="W77" s="1492"/>
      <c r="X77" s="1492"/>
      <c r="Y77" s="1492"/>
      <c r="Z77" s="1492"/>
      <c r="AA77" s="1492"/>
      <c r="AB77" s="1492"/>
      <c r="AC77" s="1491"/>
      <c r="AD77" s="1321"/>
      <c r="AE77" s="1492"/>
      <c r="AF77" s="1492"/>
      <c r="AG77" s="1492"/>
      <c r="AH77" s="1492"/>
      <c r="AI77" s="1492"/>
      <c r="AJ77" s="1492"/>
      <c r="AK77" s="1492"/>
      <c r="AL77" s="1492"/>
      <c r="AM77" s="1492"/>
      <c r="AN77" s="1492"/>
      <c r="AO77" s="1492"/>
      <c r="AP77" s="1492"/>
      <c r="AQ77" s="1492"/>
      <c r="AR77" s="1492"/>
      <c r="AS77" s="1492"/>
      <c r="AT77" s="1492"/>
      <c r="AU77" s="1492"/>
      <c r="AV77" s="1492"/>
      <c r="AW77" s="1492"/>
      <c r="AX77" s="1492"/>
      <c r="AY77" s="1492"/>
      <c r="AZ77" s="1492"/>
      <c r="BA77" s="1447"/>
      <c r="BB77" s="1447"/>
      <c r="BC77" s="1447"/>
    </row>
    <row r="78" spans="1:55" ht="15.6" customHeight="1">
      <c r="A78" s="1447"/>
      <c r="B78" s="1526"/>
      <c r="C78" s="1538"/>
      <c r="D78" s="1539"/>
      <c r="E78" s="1539"/>
      <c r="F78" s="1539"/>
      <c r="G78" s="1539"/>
      <c r="H78" s="1539"/>
      <c r="I78" s="1539"/>
      <c r="J78" s="1539"/>
      <c r="K78" s="1539"/>
      <c r="L78" s="1539"/>
      <c r="M78" s="1539"/>
      <c r="N78" s="1539"/>
      <c r="O78" s="1539"/>
      <c r="P78" s="1539"/>
      <c r="Q78" s="1539"/>
      <c r="R78" s="1539"/>
      <c r="S78" s="1539"/>
      <c r="T78" s="1539"/>
      <c r="U78" s="1539"/>
      <c r="V78" s="1539"/>
      <c r="W78" s="1539"/>
      <c r="X78" s="1539"/>
      <c r="Y78" s="1539"/>
      <c r="Z78" s="1539"/>
      <c r="AA78" s="1539"/>
      <c r="AB78" s="1529"/>
      <c r="AC78" s="1528"/>
      <c r="AD78" s="1529"/>
      <c r="AE78" s="1529"/>
      <c r="AF78" s="1529"/>
      <c r="AG78" s="1529"/>
      <c r="AH78" s="1529"/>
      <c r="AI78" s="1529"/>
      <c r="AJ78" s="1529"/>
      <c r="AK78" s="1529"/>
      <c r="AL78" s="1529"/>
      <c r="AM78" s="1529"/>
      <c r="AN78" s="1529"/>
      <c r="AO78" s="1529"/>
      <c r="AP78" s="1529"/>
      <c r="AQ78" s="1529"/>
      <c r="AR78" s="1529"/>
      <c r="AS78" s="1529"/>
      <c r="AT78" s="1529"/>
      <c r="AU78" s="1529"/>
      <c r="AV78" s="1529"/>
      <c r="AW78" s="1529"/>
      <c r="AX78" s="1529"/>
      <c r="AY78" s="1529"/>
      <c r="AZ78" s="1529"/>
      <c r="BA78" s="1447"/>
      <c r="BB78" s="1447"/>
      <c r="BC78" s="1447"/>
    </row>
    <row r="79" spans="1:55" ht="5.0999999999999996" customHeight="1">
      <c r="B79" s="187"/>
      <c r="C79" s="190"/>
      <c r="D79" s="193"/>
      <c r="E79" s="193"/>
      <c r="F79" s="193"/>
      <c r="G79" s="193"/>
      <c r="H79" s="193"/>
      <c r="I79" s="193"/>
      <c r="J79" s="193"/>
      <c r="K79" s="193"/>
      <c r="L79" s="193"/>
      <c r="M79" s="193"/>
      <c r="N79" s="193"/>
      <c r="O79" s="193"/>
      <c r="P79" s="193"/>
      <c r="Q79" s="193"/>
      <c r="R79" s="193"/>
      <c r="S79" s="193"/>
      <c r="T79" s="193"/>
      <c r="U79" s="193"/>
      <c r="V79" s="193"/>
      <c r="W79" s="193"/>
      <c r="X79" s="193"/>
      <c r="Y79" s="193"/>
      <c r="Z79" s="193"/>
      <c r="AA79" s="193"/>
      <c r="AB79" s="193"/>
      <c r="AC79" s="190"/>
      <c r="AD79" s="193"/>
      <c r="AE79" s="193"/>
      <c r="AF79" s="193"/>
      <c r="AG79" s="193"/>
      <c r="AH79" s="193"/>
      <c r="AI79" s="193"/>
      <c r="AJ79" s="193"/>
      <c r="AK79" s="193"/>
      <c r="AL79" s="193"/>
      <c r="AM79" s="193"/>
      <c r="AN79" s="193"/>
      <c r="AO79" s="193"/>
      <c r="AP79" s="193"/>
      <c r="AQ79" s="193"/>
      <c r="AR79" s="193"/>
      <c r="AS79" s="193"/>
      <c r="AT79" s="193"/>
      <c r="AU79" s="193"/>
      <c r="AV79" s="193"/>
      <c r="AW79" s="193"/>
      <c r="AX79" s="193"/>
      <c r="AY79" s="193"/>
      <c r="AZ79" s="193"/>
    </row>
    <row r="80" spans="1:55" ht="57.6" customHeight="1">
      <c r="B80" s="187"/>
      <c r="C80" s="191"/>
      <c r="D80" s="197"/>
      <c r="E80" s="197"/>
      <c r="F80" s="197"/>
      <c r="G80" s="197"/>
      <c r="H80" s="197"/>
      <c r="I80" s="197"/>
      <c r="J80" s="197"/>
      <c r="K80" s="197"/>
      <c r="L80" s="197"/>
      <c r="M80" s="197"/>
      <c r="N80" s="197"/>
      <c r="O80" s="197"/>
      <c r="P80" s="197"/>
      <c r="Q80" s="197"/>
      <c r="R80" s="197"/>
      <c r="S80" s="197"/>
      <c r="T80" s="197"/>
      <c r="U80" s="197"/>
      <c r="V80" s="197"/>
      <c r="W80" s="197"/>
      <c r="X80" s="197"/>
      <c r="Y80" s="197"/>
      <c r="Z80" s="197"/>
      <c r="AA80" s="197"/>
      <c r="AB80" s="191"/>
      <c r="AC80" s="191"/>
      <c r="AD80" s="197"/>
      <c r="AE80" s="197"/>
      <c r="AF80" s="197"/>
      <c r="AG80" s="197"/>
      <c r="AH80" s="197"/>
      <c r="AI80" s="197"/>
      <c r="AJ80" s="197"/>
      <c r="AK80" s="197"/>
      <c r="AL80" s="197"/>
      <c r="AM80" s="197"/>
      <c r="AN80" s="197"/>
      <c r="AO80" s="197"/>
      <c r="AP80" s="197"/>
      <c r="AQ80" s="197"/>
      <c r="AR80" s="197"/>
      <c r="AS80" s="197"/>
      <c r="AT80" s="197"/>
      <c r="AU80" s="197"/>
      <c r="AV80" s="197"/>
      <c r="AW80" s="197"/>
      <c r="AX80" s="197"/>
      <c r="AY80" s="197"/>
      <c r="AZ80" s="197"/>
    </row>
    <row r="81" spans="2:54" ht="19.5" customHeight="1">
      <c r="B81" s="187"/>
      <c r="C81" s="192"/>
      <c r="D81" s="196"/>
      <c r="E81" s="196"/>
      <c r="F81" s="196"/>
      <c r="G81" s="196"/>
      <c r="H81" s="196"/>
      <c r="I81" s="196"/>
      <c r="J81" s="196"/>
      <c r="K81" s="196"/>
      <c r="L81" s="196"/>
      <c r="M81" s="196"/>
      <c r="N81" s="196"/>
      <c r="O81" s="196"/>
      <c r="P81" s="196"/>
      <c r="Q81" s="196"/>
      <c r="R81" s="196"/>
      <c r="S81" s="196"/>
      <c r="T81" s="196"/>
      <c r="U81" s="196"/>
      <c r="V81" s="196"/>
      <c r="W81" s="196"/>
      <c r="X81" s="196"/>
      <c r="Y81" s="196"/>
      <c r="Z81" s="196"/>
      <c r="AA81" s="196"/>
      <c r="AB81" s="159"/>
      <c r="AC81" s="192"/>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row>
    <row r="82" spans="2:54" ht="24.75" customHeight="1">
      <c r="B82" s="187"/>
      <c r="C82" s="192"/>
      <c r="D82" s="194"/>
      <c r="E82" s="194"/>
      <c r="F82" s="194"/>
      <c r="G82" s="195"/>
      <c r="H82" s="195"/>
      <c r="I82" s="195"/>
      <c r="J82" s="194"/>
      <c r="K82" s="194"/>
      <c r="L82" s="194"/>
      <c r="M82" s="195"/>
      <c r="N82" s="195"/>
      <c r="O82" s="195"/>
      <c r="P82" s="194"/>
      <c r="Q82" s="194"/>
      <c r="R82" s="194"/>
      <c r="S82" s="195"/>
      <c r="T82" s="195"/>
      <c r="U82" s="195"/>
      <c r="V82" s="194"/>
      <c r="W82" s="194"/>
      <c r="X82" s="194"/>
      <c r="Y82" s="195"/>
      <c r="Z82" s="195"/>
      <c r="AA82" s="195"/>
      <c r="AB82" s="159"/>
      <c r="AC82" s="192"/>
      <c r="AD82" s="194"/>
      <c r="AE82" s="194"/>
      <c r="AF82" s="194"/>
      <c r="AG82" s="195"/>
      <c r="AH82" s="195"/>
      <c r="AI82" s="195"/>
      <c r="AJ82" s="194"/>
      <c r="AK82" s="194"/>
      <c r="AL82" s="194"/>
      <c r="AM82" s="195"/>
      <c r="AN82" s="195"/>
      <c r="AO82" s="194"/>
      <c r="AP82" s="194"/>
      <c r="AQ82" s="194"/>
      <c r="AR82" s="195"/>
      <c r="AS82" s="195"/>
      <c r="AT82" s="195"/>
      <c r="AU82" s="194"/>
      <c r="AV82" s="194"/>
      <c r="AW82" s="194"/>
      <c r="AX82" s="195"/>
      <c r="AY82" s="195"/>
      <c r="AZ82" s="195"/>
    </row>
    <row r="83" spans="2:54" ht="9.9499999999999993" customHeight="1">
      <c r="B83" s="187"/>
      <c r="C83" s="188"/>
      <c r="D83" s="158"/>
      <c r="E83" s="189"/>
      <c r="F83" s="189"/>
      <c r="G83" s="189"/>
      <c r="H83" s="189"/>
      <c r="I83" s="189"/>
      <c r="J83" s="189"/>
      <c r="K83" s="189"/>
      <c r="L83" s="189"/>
      <c r="M83" s="189"/>
      <c r="N83" s="189"/>
      <c r="O83" s="189"/>
      <c r="P83" s="189"/>
      <c r="Q83" s="189"/>
      <c r="R83" s="189"/>
      <c r="S83" s="189"/>
      <c r="T83" s="189"/>
      <c r="U83" s="189"/>
      <c r="V83" s="189"/>
      <c r="W83" s="189"/>
      <c r="X83" s="189"/>
      <c r="Y83" s="189"/>
      <c r="Z83" s="189"/>
      <c r="AA83" s="189"/>
      <c r="AB83" s="189"/>
      <c r="AC83" s="154"/>
      <c r="AD83" s="154"/>
      <c r="AE83" s="154"/>
      <c r="AF83" s="154"/>
      <c r="AG83" s="154"/>
      <c r="AH83" s="154"/>
      <c r="AI83" s="154"/>
      <c r="AJ83" s="154"/>
      <c r="AK83" s="154"/>
      <c r="AL83" s="154"/>
      <c r="AM83" s="154"/>
      <c r="AN83" s="154"/>
      <c r="AO83" s="154"/>
      <c r="AP83" s="154"/>
      <c r="AQ83" s="154"/>
      <c r="AR83" s="154"/>
      <c r="AS83" s="154"/>
      <c r="AT83" s="154"/>
      <c r="AU83" s="154"/>
      <c r="AV83" s="154"/>
      <c r="AW83" s="154"/>
      <c r="AX83" s="154"/>
      <c r="AY83" s="154"/>
      <c r="AZ83" s="154"/>
    </row>
    <row r="84" spans="2:54" s="154" customFormat="1" ht="9.9499999999999993" customHeight="1">
      <c r="D84" s="160"/>
      <c r="E84" s="158"/>
      <c r="F84" s="159"/>
      <c r="G84" s="174"/>
      <c r="H84" s="174"/>
      <c r="I84" s="174"/>
      <c r="J84" s="174"/>
      <c r="K84" s="174"/>
      <c r="L84" s="174"/>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row>
    <row r="85" spans="2:54" s="102" customFormat="1" ht="16.5" customHeight="1">
      <c r="B85" s="38"/>
      <c r="E85" s="117"/>
      <c r="F85" s="135"/>
      <c r="G85" s="135"/>
      <c r="H85" s="135"/>
      <c r="I85" s="135"/>
      <c r="J85" s="135"/>
      <c r="K85" s="135"/>
      <c r="L85" s="135"/>
      <c r="M85" s="135"/>
      <c r="N85" s="135"/>
      <c r="O85" s="135"/>
      <c r="P85" s="135"/>
      <c r="Q85" s="135"/>
      <c r="R85" s="135"/>
      <c r="S85" s="135"/>
      <c r="AR85" s="3"/>
      <c r="AS85" s="21"/>
      <c r="AT85" s="3"/>
      <c r="AU85" s="3"/>
      <c r="AV85" s="3"/>
      <c r="AW85" s="3"/>
      <c r="AX85" s="3"/>
      <c r="AY85" s="3"/>
      <c r="AZ85" s="3"/>
      <c r="BA85" s="3"/>
      <c r="BB85" s="3"/>
    </row>
    <row r="86" spans="2:54">
      <c r="R86" s="152"/>
    </row>
  </sheetData>
  <sheetProtection algorithmName="SHA-512" hashValue="GiVF90nFvsaXDwQQ9PIhNklb98bqRepXx6absvd9Y9EUKyOFlMkZSUOgZ9191H1zY1jZBrZMps+FEJPU6/Mjow==" saltValue="D7rKMXPAjFsMaAmgBZgXag==" spinCount="100000" sheet="1" objects="1" scenarios="1"/>
  <customSheetViews>
    <customSheetView guid="{6EFEFCA0-BF14-457A-85A3-29CBF2A862A5}" showGridLines="0" fitToPage="1">
      <selection sqref="A1:AZ64"/>
      <rowBreaks count="1" manualBreakCount="1">
        <brk id="61" max="51" man="1"/>
      </rowBreaks>
      <pageMargins left="0.23622047244094491" right="0.23622047244094491" top="0.19685039370078741" bottom="0.19685039370078741" header="0" footer="0.11811023622047245"/>
      <printOptions horizontalCentered="1" verticalCentered="1"/>
      <pageSetup paperSize="9" scale="45" orientation="landscape" r:id="rId1"/>
      <headerFooter>
        <oddFooter>&amp;L&amp;10&amp;F &amp;A&amp;R&amp;10Page 56 of 61</oddFooter>
      </headerFooter>
    </customSheetView>
  </customSheetViews>
  <mergeCells count="117">
    <mergeCell ref="AO9:AZ9"/>
    <mergeCell ref="R9:W9"/>
    <mergeCell ref="I28:M28"/>
    <mergeCell ref="N28:R28"/>
    <mergeCell ref="S28:W28"/>
    <mergeCell ref="X28:AB28"/>
    <mergeCell ref="I27:M27"/>
    <mergeCell ref="N27:R27"/>
    <mergeCell ref="X9:AC9"/>
    <mergeCell ref="AD9:AI9"/>
    <mergeCell ref="AL42:AN42"/>
    <mergeCell ref="AO42:AQ42"/>
    <mergeCell ref="AF41:AH41"/>
    <mergeCell ref="AI41:AK41"/>
    <mergeCell ref="AL41:AN41"/>
    <mergeCell ref="R10:T10"/>
    <mergeCell ref="AH26:AL26"/>
    <mergeCell ref="AX10:AZ10"/>
    <mergeCell ref="AU10:AW10"/>
    <mergeCell ref="AR10:AT10"/>
    <mergeCell ref="U10:W10"/>
    <mergeCell ref="X10:Z10"/>
    <mergeCell ref="I24:W24"/>
    <mergeCell ref="E35:AA36"/>
    <mergeCell ref="AF35:AS37"/>
    <mergeCell ref="I25:M25"/>
    <mergeCell ref="AC24:AG25"/>
    <mergeCell ref="N25:R25"/>
    <mergeCell ref="X24:AB25"/>
    <mergeCell ref="AG10:AI10"/>
    <mergeCell ref="AJ10:AL10"/>
    <mergeCell ref="AM10:AN10"/>
    <mergeCell ref="AO10:AQ10"/>
    <mergeCell ref="D9:Q10"/>
    <mergeCell ref="D44:AA44"/>
    <mergeCell ref="AO41:AQ41"/>
    <mergeCell ref="AA10:AC10"/>
    <mergeCell ref="AD10:AF10"/>
    <mergeCell ref="E39:AA39"/>
    <mergeCell ref="AF39:AK40"/>
    <mergeCell ref="AL39:AQ40"/>
    <mergeCell ref="I26:M26"/>
    <mergeCell ref="N26:R26"/>
    <mergeCell ref="S26:W26"/>
    <mergeCell ref="X26:AB26"/>
    <mergeCell ref="AC26:AG26"/>
    <mergeCell ref="AH24:AL25"/>
    <mergeCell ref="S27:W27"/>
    <mergeCell ref="X27:AB27"/>
    <mergeCell ref="AC27:AG27"/>
    <mergeCell ref="AH27:AL27"/>
    <mergeCell ref="D22:AL22"/>
    <mergeCell ref="D24:H25"/>
    <mergeCell ref="S25:W25"/>
    <mergeCell ref="AF42:AH42"/>
    <mergeCell ref="AI42:AK42"/>
    <mergeCell ref="AC28:AG28"/>
    <mergeCell ref="AH28:AL28"/>
    <mergeCell ref="D46:M47"/>
    <mergeCell ref="N46:S46"/>
    <mergeCell ref="T46:Y46"/>
    <mergeCell ref="Z46:AE46"/>
    <mergeCell ref="AF46:AK46"/>
    <mergeCell ref="N47:P47"/>
    <mergeCell ref="Q47:S47"/>
    <mergeCell ref="T47:V47"/>
    <mergeCell ref="W47:Y47"/>
    <mergeCell ref="Z47:AB47"/>
    <mergeCell ref="AC47:AE47"/>
    <mergeCell ref="AF47:AH47"/>
    <mergeCell ref="AI47:AK47"/>
    <mergeCell ref="E48:M48"/>
    <mergeCell ref="N48:P48"/>
    <mergeCell ref="Q48:S48"/>
    <mergeCell ref="T48:V48"/>
    <mergeCell ref="W48:Y48"/>
    <mergeCell ref="Z48:AB48"/>
    <mergeCell ref="AC48:AE48"/>
    <mergeCell ref="AF48:AH48"/>
    <mergeCell ref="AI48:AK48"/>
    <mergeCell ref="E49:M49"/>
    <mergeCell ref="N49:P49"/>
    <mergeCell ref="Q49:S49"/>
    <mergeCell ref="T49:V49"/>
    <mergeCell ref="W49:Y49"/>
    <mergeCell ref="Z49:AB49"/>
    <mergeCell ref="AC49:AE49"/>
    <mergeCell ref="AF49:AH49"/>
    <mergeCell ref="AI49:AK49"/>
    <mergeCell ref="E50:M50"/>
    <mergeCell ref="N50:P50"/>
    <mergeCell ref="Q50:S50"/>
    <mergeCell ref="T50:V50"/>
    <mergeCell ref="W50:Y50"/>
    <mergeCell ref="Z50:AB50"/>
    <mergeCell ref="AC50:AE50"/>
    <mergeCell ref="AF50:AH50"/>
    <mergeCell ref="AI50:AK50"/>
    <mergeCell ref="G53:AL53"/>
    <mergeCell ref="B56:AD56"/>
    <mergeCell ref="F59:O59"/>
    <mergeCell ref="F60:O60"/>
    <mergeCell ref="F61:O61"/>
    <mergeCell ref="AL60:AU60"/>
    <mergeCell ref="T60:AG60"/>
    <mergeCell ref="E51:M51"/>
    <mergeCell ref="N51:P51"/>
    <mergeCell ref="Q51:S51"/>
    <mergeCell ref="T51:V51"/>
    <mergeCell ref="W51:Y51"/>
    <mergeCell ref="Z51:AB51"/>
    <mergeCell ref="AC51:AE51"/>
    <mergeCell ref="AF51:AH51"/>
    <mergeCell ref="AI51:AK51"/>
    <mergeCell ref="T59:AG59"/>
    <mergeCell ref="X61:AG61"/>
    <mergeCell ref="AL59:AU59"/>
  </mergeCells>
  <dataValidations count="2">
    <dataValidation type="whole" allowBlank="1" showInputMessage="1" showErrorMessage="1" errorTitle="GSHSP SY 2022-2023" error="Please enter valid number between 0-20,000." sqref="N48:AK51" xr:uid="{F0D9B3A2-6387-4078-A8F6-C27B350B5576}">
      <formula1>0</formula1>
      <formula2>20000</formula2>
    </dataValidation>
    <dataValidation type="whole" allowBlank="1" showInputMessage="1" showErrorMessage="1" errorTitle="GSHSP SY 2022-2023" error="Please enter valid number between 0-999." sqref="AF42:AQ42 I26:AL28" xr:uid="{ABB061A4-3B32-42EC-AFEB-3F6C068A82EF}">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45" orientation="landscape" r:id="rId2"/>
  <headerFooter>
    <oddFooter>&amp;L&amp;10&amp;F &amp;A&amp;R&amp;10Page 56 of 61</oddFooter>
  </headerFooter>
  <rowBreaks count="1" manualBreakCount="1">
    <brk id="61" max="51" man="1"/>
  </rowBreaks>
  <drawing r:id="rId3"/>
  <legacyDrawing r:id="rId4"/>
  <mc:AlternateContent xmlns:mc="http://schemas.openxmlformats.org/markup-compatibility/2006">
    <mc:Choice Requires="x14">
      <controls>
        <mc:AlternateContent xmlns:mc="http://schemas.openxmlformats.org/markup-compatibility/2006">
          <mc:Choice Requires="x14">
            <control shapeId="123905" r:id="rId5" name="Check Box 1">
              <controlPr defaultSize="0" autoFill="0" autoLine="0" autoPict="0">
                <anchor moveWithCells="1">
                  <from>
                    <xdr:col>18</xdr:col>
                    <xdr:colOff>28575</xdr:colOff>
                    <xdr:row>10</xdr:row>
                    <xdr:rowOff>28575</xdr:rowOff>
                  </from>
                  <to>
                    <xdr:col>18</xdr:col>
                    <xdr:colOff>257175</xdr:colOff>
                    <xdr:row>10</xdr:row>
                    <xdr:rowOff>276225</xdr:rowOff>
                  </to>
                </anchor>
              </controlPr>
            </control>
          </mc:Choice>
        </mc:AlternateContent>
        <mc:AlternateContent xmlns:mc="http://schemas.openxmlformats.org/markup-compatibility/2006">
          <mc:Choice Requires="x14">
            <control shapeId="123906" r:id="rId6" name="Check Box 2">
              <controlPr defaultSize="0" autoFill="0" autoLine="0" autoPict="0">
                <anchor moveWithCells="1">
                  <from>
                    <xdr:col>21</xdr:col>
                    <xdr:colOff>28575</xdr:colOff>
                    <xdr:row>10</xdr:row>
                    <xdr:rowOff>38100</xdr:rowOff>
                  </from>
                  <to>
                    <xdr:col>21</xdr:col>
                    <xdr:colOff>257175</xdr:colOff>
                    <xdr:row>10</xdr:row>
                    <xdr:rowOff>257175</xdr:rowOff>
                  </to>
                </anchor>
              </controlPr>
            </control>
          </mc:Choice>
        </mc:AlternateContent>
        <mc:AlternateContent xmlns:mc="http://schemas.openxmlformats.org/markup-compatibility/2006">
          <mc:Choice Requires="x14">
            <control shapeId="123907" r:id="rId7" name="Check Box 3">
              <controlPr defaultSize="0" autoFill="0" autoLine="0" autoPict="0">
                <anchor moveWithCells="1">
                  <from>
                    <xdr:col>24</xdr:col>
                    <xdr:colOff>28575</xdr:colOff>
                    <xdr:row>10</xdr:row>
                    <xdr:rowOff>28575</xdr:rowOff>
                  </from>
                  <to>
                    <xdr:col>24</xdr:col>
                    <xdr:colOff>238125</xdr:colOff>
                    <xdr:row>10</xdr:row>
                    <xdr:rowOff>276225</xdr:rowOff>
                  </to>
                </anchor>
              </controlPr>
            </control>
          </mc:Choice>
        </mc:AlternateContent>
        <mc:AlternateContent xmlns:mc="http://schemas.openxmlformats.org/markup-compatibility/2006">
          <mc:Choice Requires="x14">
            <control shapeId="123908" r:id="rId8" name="Check Box 4">
              <controlPr defaultSize="0" autoFill="0" autoLine="0" autoPict="0">
                <anchor moveWithCells="1">
                  <from>
                    <xdr:col>27</xdr:col>
                    <xdr:colOff>28575</xdr:colOff>
                    <xdr:row>10</xdr:row>
                    <xdr:rowOff>66675</xdr:rowOff>
                  </from>
                  <to>
                    <xdr:col>27</xdr:col>
                    <xdr:colOff>257175</xdr:colOff>
                    <xdr:row>10</xdr:row>
                    <xdr:rowOff>257175</xdr:rowOff>
                  </to>
                </anchor>
              </controlPr>
            </control>
          </mc:Choice>
        </mc:AlternateContent>
        <mc:AlternateContent xmlns:mc="http://schemas.openxmlformats.org/markup-compatibility/2006">
          <mc:Choice Requires="x14">
            <control shapeId="123909" r:id="rId9" name="Check Box 5">
              <controlPr defaultSize="0" autoFill="0" autoLine="0" autoPict="0">
                <anchor moveWithCells="1">
                  <from>
                    <xdr:col>30</xdr:col>
                    <xdr:colOff>28575</xdr:colOff>
                    <xdr:row>10</xdr:row>
                    <xdr:rowOff>28575</xdr:rowOff>
                  </from>
                  <to>
                    <xdr:col>30</xdr:col>
                    <xdr:colOff>228600</xdr:colOff>
                    <xdr:row>10</xdr:row>
                    <xdr:rowOff>257175</xdr:rowOff>
                  </to>
                </anchor>
              </controlPr>
            </control>
          </mc:Choice>
        </mc:AlternateContent>
        <mc:AlternateContent xmlns:mc="http://schemas.openxmlformats.org/markup-compatibility/2006">
          <mc:Choice Requires="x14">
            <control shapeId="123910" r:id="rId10" name="Check Box 6">
              <controlPr defaultSize="0" autoFill="0" autoLine="0" autoPict="0">
                <anchor moveWithCells="1">
                  <from>
                    <xdr:col>33</xdr:col>
                    <xdr:colOff>28575</xdr:colOff>
                    <xdr:row>10</xdr:row>
                    <xdr:rowOff>47625</xdr:rowOff>
                  </from>
                  <to>
                    <xdr:col>33</xdr:col>
                    <xdr:colOff>228600</xdr:colOff>
                    <xdr:row>10</xdr:row>
                    <xdr:rowOff>238125</xdr:rowOff>
                  </to>
                </anchor>
              </controlPr>
            </control>
          </mc:Choice>
        </mc:AlternateContent>
        <mc:AlternateContent xmlns:mc="http://schemas.openxmlformats.org/markup-compatibility/2006">
          <mc:Choice Requires="x14">
            <control shapeId="123911" r:id="rId11" name="Check Box 7">
              <controlPr defaultSize="0" autoFill="0" autoLine="0" autoPict="0">
                <anchor moveWithCells="1">
                  <from>
                    <xdr:col>18</xdr:col>
                    <xdr:colOff>28575</xdr:colOff>
                    <xdr:row>11</xdr:row>
                    <xdr:rowOff>28575</xdr:rowOff>
                  </from>
                  <to>
                    <xdr:col>18</xdr:col>
                    <xdr:colOff>238125</xdr:colOff>
                    <xdr:row>11</xdr:row>
                    <xdr:rowOff>257175</xdr:rowOff>
                  </to>
                </anchor>
              </controlPr>
            </control>
          </mc:Choice>
        </mc:AlternateContent>
        <mc:AlternateContent xmlns:mc="http://schemas.openxmlformats.org/markup-compatibility/2006">
          <mc:Choice Requires="x14">
            <control shapeId="123912" r:id="rId12" name="Check Box 8">
              <controlPr defaultSize="0" autoFill="0" autoLine="0" autoPict="0">
                <anchor moveWithCells="1">
                  <from>
                    <xdr:col>21</xdr:col>
                    <xdr:colOff>28575</xdr:colOff>
                    <xdr:row>11</xdr:row>
                    <xdr:rowOff>38100</xdr:rowOff>
                  </from>
                  <to>
                    <xdr:col>21</xdr:col>
                    <xdr:colOff>266700</xdr:colOff>
                    <xdr:row>11</xdr:row>
                    <xdr:rowOff>238125</xdr:rowOff>
                  </to>
                </anchor>
              </controlPr>
            </control>
          </mc:Choice>
        </mc:AlternateContent>
        <mc:AlternateContent xmlns:mc="http://schemas.openxmlformats.org/markup-compatibility/2006">
          <mc:Choice Requires="x14">
            <control shapeId="123913" r:id="rId13" name="Check Box 9">
              <controlPr defaultSize="0" autoFill="0" autoLine="0" autoPict="0">
                <anchor moveWithCells="1">
                  <from>
                    <xdr:col>24</xdr:col>
                    <xdr:colOff>28575</xdr:colOff>
                    <xdr:row>11</xdr:row>
                    <xdr:rowOff>28575</xdr:rowOff>
                  </from>
                  <to>
                    <xdr:col>24</xdr:col>
                    <xdr:colOff>257175</xdr:colOff>
                    <xdr:row>11</xdr:row>
                    <xdr:rowOff>257175</xdr:rowOff>
                  </to>
                </anchor>
              </controlPr>
            </control>
          </mc:Choice>
        </mc:AlternateContent>
        <mc:AlternateContent xmlns:mc="http://schemas.openxmlformats.org/markup-compatibility/2006">
          <mc:Choice Requires="x14">
            <control shapeId="123914" r:id="rId14" name="Check Box 10">
              <controlPr defaultSize="0" autoFill="0" autoLine="0" autoPict="0">
                <anchor moveWithCells="1">
                  <from>
                    <xdr:col>27</xdr:col>
                    <xdr:colOff>28575</xdr:colOff>
                    <xdr:row>11</xdr:row>
                    <xdr:rowOff>28575</xdr:rowOff>
                  </from>
                  <to>
                    <xdr:col>27</xdr:col>
                    <xdr:colOff>257175</xdr:colOff>
                    <xdr:row>11</xdr:row>
                    <xdr:rowOff>257175</xdr:rowOff>
                  </to>
                </anchor>
              </controlPr>
            </control>
          </mc:Choice>
        </mc:AlternateContent>
        <mc:AlternateContent xmlns:mc="http://schemas.openxmlformats.org/markup-compatibility/2006">
          <mc:Choice Requires="x14">
            <control shapeId="123915" r:id="rId15" name="Check Box 11">
              <controlPr defaultSize="0" autoFill="0" autoLine="0" autoPict="0">
                <anchor moveWithCells="1">
                  <from>
                    <xdr:col>30</xdr:col>
                    <xdr:colOff>28575</xdr:colOff>
                    <xdr:row>11</xdr:row>
                    <xdr:rowOff>38100</xdr:rowOff>
                  </from>
                  <to>
                    <xdr:col>30</xdr:col>
                    <xdr:colOff>238125</xdr:colOff>
                    <xdr:row>11</xdr:row>
                    <xdr:rowOff>257175</xdr:rowOff>
                  </to>
                </anchor>
              </controlPr>
            </control>
          </mc:Choice>
        </mc:AlternateContent>
        <mc:AlternateContent xmlns:mc="http://schemas.openxmlformats.org/markup-compatibility/2006">
          <mc:Choice Requires="x14">
            <control shapeId="123916" r:id="rId16" name="Check Box 12">
              <controlPr defaultSize="0" autoFill="0" autoLine="0" autoPict="0">
                <anchor moveWithCells="1">
                  <from>
                    <xdr:col>33</xdr:col>
                    <xdr:colOff>28575</xdr:colOff>
                    <xdr:row>11</xdr:row>
                    <xdr:rowOff>38100</xdr:rowOff>
                  </from>
                  <to>
                    <xdr:col>33</xdr:col>
                    <xdr:colOff>238125</xdr:colOff>
                    <xdr:row>11</xdr:row>
                    <xdr:rowOff>257175</xdr:rowOff>
                  </to>
                </anchor>
              </controlPr>
            </control>
          </mc:Choice>
        </mc:AlternateContent>
        <mc:AlternateContent xmlns:mc="http://schemas.openxmlformats.org/markup-compatibility/2006">
          <mc:Choice Requires="x14">
            <control shapeId="123917" r:id="rId17" name="Check Box 13">
              <controlPr defaultSize="0" autoFill="0" autoLine="0" autoPict="0">
                <anchor moveWithCells="1">
                  <from>
                    <xdr:col>18</xdr:col>
                    <xdr:colOff>28575</xdr:colOff>
                    <xdr:row>12</xdr:row>
                    <xdr:rowOff>9525</xdr:rowOff>
                  </from>
                  <to>
                    <xdr:col>18</xdr:col>
                    <xdr:colOff>238125</xdr:colOff>
                    <xdr:row>12</xdr:row>
                    <xdr:rowOff>295275</xdr:rowOff>
                  </to>
                </anchor>
              </controlPr>
            </control>
          </mc:Choice>
        </mc:AlternateContent>
        <mc:AlternateContent xmlns:mc="http://schemas.openxmlformats.org/markup-compatibility/2006">
          <mc:Choice Requires="x14">
            <control shapeId="123918" r:id="rId18" name="Check Box 14">
              <controlPr defaultSize="0" autoFill="0" autoLine="0" autoPict="0">
                <anchor moveWithCells="1">
                  <from>
                    <xdr:col>21</xdr:col>
                    <xdr:colOff>28575</xdr:colOff>
                    <xdr:row>12</xdr:row>
                    <xdr:rowOff>28575</xdr:rowOff>
                  </from>
                  <to>
                    <xdr:col>21</xdr:col>
                    <xdr:colOff>257175</xdr:colOff>
                    <xdr:row>12</xdr:row>
                    <xdr:rowOff>238125</xdr:rowOff>
                  </to>
                </anchor>
              </controlPr>
            </control>
          </mc:Choice>
        </mc:AlternateContent>
        <mc:AlternateContent xmlns:mc="http://schemas.openxmlformats.org/markup-compatibility/2006">
          <mc:Choice Requires="x14">
            <control shapeId="123919" r:id="rId19" name="Check Box 15">
              <controlPr defaultSize="0" autoFill="0" autoLine="0" autoPict="0">
                <anchor moveWithCells="1">
                  <from>
                    <xdr:col>24</xdr:col>
                    <xdr:colOff>28575</xdr:colOff>
                    <xdr:row>12</xdr:row>
                    <xdr:rowOff>66675</xdr:rowOff>
                  </from>
                  <to>
                    <xdr:col>25</xdr:col>
                    <xdr:colOff>9525</xdr:colOff>
                    <xdr:row>12</xdr:row>
                    <xdr:rowOff>276225</xdr:rowOff>
                  </to>
                </anchor>
              </controlPr>
            </control>
          </mc:Choice>
        </mc:AlternateContent>
        <mc:AlternateContent xmlns:mc="http://schemas.openxmlformats.org/markup-compatibility/2006">
          <mc:Choice Requires="x14">
            <control shapeId="123920" r:id="rId20" name="Check Box 16">
              <controlPr defaultSize="0" autoFill="0" autoLine="0" autoPict="0">
                <anchor moveWithCells="1">
                  <from>
                    <xdr:col>27</xdr:col>
                    <xdr:colOff>28575</xdr:colOff>
                    <xdr:row>12</xdr:row>
                    <xdr:rowOff>66675</xdr:rowOff>
                  </from>
                  <to>
                    <xdr:col>27</xdr:col>
                    <xdr:colOff>257175</xdr:colOff>
                    <xdr:row>12</xdr:row>
                    <xdr:rowOff>266700</xdr:rowOff>
                  </to>
                </anchor>
              </controlPr>
            </control>
          </mc:Choice>
        </mc:AlternateContent>
        <mc:AlternateContent xmlns:mc="http://schemas.openxmlformats.org/markup-compatibility/2006">
          <mc:Choice Requires="x14">
            <control shapeId="123921" r:id="rId21" name="Check Box 17">
              <controlPr defaultSize="0" autoFill="0" autoLine="0" autoPict="0">
                <anchor moveWithCells="1">
                  <from>
                    <xdr:col>30</xdr:col>
                    <xdr:colOff>28575</xdr:colOff>
                    <xdr:row>12</xdr:row>
                    <xdr:rowOff>38100</xdr:rowOff>
                  </from>
                  <to>
                    <xdr:col>30</xdr:col>
                    <xdr:colOff>228600</xdr:colOff>
                    <xdr:row>12</xdr:row>
                    <xdr:rowOff>257175</xdr:rowOff>
                  </to>
                </anchor>
              </controlPr>
            </control>
          </mc:Choice>
        </mc:AlternateContent>
        <mc:AlternateContent xmlns:mc="http://schemas.openxmlformats.org/markup-compatibility/2006">
          <mc:Choice Requires="x14">
            <control shapeId="123922" r:id="rId22" name="Check Box 18">
              <controlPr defaultSize="0" autoFill="0" autoLine="0" autoPict="0">
                <anchor moveWithCells="1">
                  <from>
                    <xdr:col>33</xdr:col>
                    <xdr:colOff>28575</xdr:colOff>
                    <xdr:row>12</xdr:row>
                    <xdr:rowOff>28575</xdr:rowOff>
                  </from>
                  <to>
                    <xdr:col>33</xdr:col>
                    <xdr:colOff>238125</xdr:colOff>
                    <xdr:row>12</xdr:row>
                    <xdr:rowOff>266700</xdr:rowOff>
                  </to>
                </anchor>
              </controlPr>
            </control>
          </mc:Choice>
        </mc:AlternateContent>
        <mc:AlternateContent xmlns:mc="http://schemas.openxmlformats.org/markup-compatibility/2006">
          <mc:Choice Requires="x14">
            <control shapeId="123923" r:id="rId23" name="Check Box 19">
              <controlPr defaultSize="0" autoFill="0" autoLine="0" autoPict="0">
                <anchor moveWithCells="1">
                  <from>
                    <xdr:col>18</xdr:col>
                    <xdr:colOff>28575</xdr:colOff>
                    <xdr:row>13</xdr:row>
                    <xdr:rowOff>28575</xdr:rowOff>
                  </from>
                  <to>
                    <xdr:col>18</xdr:col>
                    <xdr:colOff>266700</xdr:colOff>
                    <xdr:row>13</xdr:row>
                    <xdr:rowOff>276225</xdr:rowOff>
                  </to>
                </anchor>
              </controlPr>
            </control>
          </mc:Choice>
        </mc:AlternateContent>
        <mc:AlternateContent xmlns:mc="http://schemas.openxmlformats.org/markup-compatibility/2006">
          <mc:Choice Requires="x14">
            <control shapeId="123924" r:id="rId24" name="Check Box 20">
              <controlPr defaultSize="0" autoFill="0" autoLine="0" autoPict="0">
                <anchor moveWithCells="1">
                  <from>
                    <xdr:col>21</xdr:col>
                    <xdr:colOff>38100</xdr:colOff>
                    <xdr:row>13</xdr:row>
                    <xdr:rowOff>47625</xdr:rowOff>
                  </from>
                  <to>
                    <xdr:col>22</xdr:col>
                    <xdr:colOff>0</xdr:colOff>
                    <xdr:row>13</xdr:row>
                    <xdr:rowOff>266700</xdr:rowOff>
                  </to>
                </anchor>
              </controlPr>
            </control>
          </mc:Choice>
        </mc:AlternateContent>
        <mc:AlternateContent xmlns:mc="http://schemas.openxmlformats.org/markup-compatibility/2006">
          <mc:Choice Requires="x14">
            <control shapeId="123925" r:id="rId25" name="Check Box 21">
              <controlPr defaultSize="0" autoFill="0" autoLine="0" autoPict="0">
                <anchor moveWithCells="1">
                  <from>
                    <xdr:col>24</xdr:col>
                    <xdr:colOff>28575</xdr:colOff>
                    <xdr:row>13</xdr:row>
                    <xdr:rowOff>28575</xdr:rowOff>
                  </from>
                  <to>
                    <xdr:col>24</xdr:col>
                    <xdr:colOff>257175</xdr:colOff>
                    <xdr:row>13</xdr:row>
                    <xdr:rowOff>257175</xdr:rowOff>
                  </to>
                </anchor>
              </controlPr>
            </control>
          </mc:Choice>
        </mc:AlternateContent>
        <mc:AlternateContent xmlns:mc="http://schemas.openxmlformats.org/markup-compatibility/2006">
          <mc:Choice Requires="x14">
            <control shapeId="123926" r:id="rId26" name="Check Box 22">
              <controlPr defaultSize="0" autoFill="0" autoLine="0" autoPict="0">
                <anchor moveWithCells="1">
                  <from>
                    <xdr:col>27</xdr:col>
                    <xdr:colOff>28575</xdr:colOff>
                    <xdr:row>13</xdr:row>
                    <xdr:rowOff>47625</xdr:rowOff>
                  </from>
                  <to>
                    <xdr:col>27</xdr:col>
                    <xdr:colOff>219075</xdr:colOff>
                    <xdr:row>13</xdr:row>
                    <xdr:rowOff>266700</xdr:rowOff>
                  </to>
                </anchor>
              </controlPr>
            </control>
          </mc:Choice>
        </mc:AlternateContent>
        <mc:AlternateContent xmlns:mc="http://schemas.openxmlformats.org/markup-compatibility/2006">
          <mc:Choice Requires="x14">
            <control shapeId="123927" r:id="rId27" name="Check Box 23">
              <controlPr defaultSize="0" autoFill="0" autoLine="0" autoPict="0">
                <anchor moveWithCells="1">
                  <from>
                    <xdr:col>30</xdr:col>
                    <xdr:colOff>38100</xdr:colOff>
                    <xdr:row>13</xdr:row>
                    <xdr:rowOff>47625</xdr:rowOff>
                  </from>
                  <to>
                    <xdr:col>30</xdr:col>
                    <xdr:colOff>238125</xdr:colOff>
                    <xdr:row>13</xdr:row>
                    <xdr:rowOff>238125</xdr:rowOff>
                  </to>
                </anchor>
              </controlPr>
            </control>
          </mc:Choice>
        </mc:AlternateContent>
        <mc:AlternateContent xmlns:mc="http://schemas.openxmlformats.org/markup-compatibility/2006">
          <mc:Choice Requires="x14">
            <control shapeId="123928" r:id="rId28" name="Check Box 24">
              <controlPr defaultSize="0" autoFill="0" autoLine="0" autoPict="0">
                <anchor moveWithCells="1">
                  <from>
                    <xdr:col>33</xdr:col>
                    <xdr:colOff>38100</xdr:colOff>
                    <xdr:row>13</xdr:row>
                    <xdr:rowOff>66675</xdr:rowOff>
                  </from>
                  <to>
                    <xdr:col>33</xdr:col>
                    <xdr:colOff>219075</xdr:colOff>
                    <xdr:row>13</xdr:row>
                    <xdr:rowOff>257175</xdr:rowOff>
                  </to>
                </anchor>
              </controlPr>
            </control>
          </mc:Choice>
        </mc:AlternateContent>
        <mc:AlternateContent xmlns:mc="http://schemas.openxmlformats.org/markup-compatibility/2006">
          <mc:Choice Requires="x14">
            <control shapeId="123929" r:id="rId29" name="Check Box 25">
              <controlPr defaultSize="0" autoFill="0" autoLine="0" autoPict="0">
                <anchor moveWithCells="1">
                  <from>
                    <xdr:col>18</xdr:col>
                    <xdr:colOff>28575</xdr:colOff>
                    <xdr:row>14</xdr:row>
                    <xdr:rowOff>47625</xdr:rowOff>
                  </from>
                  <to>
                    <xdr:col>18</xdr:col>
                    <xdr:colOff>257175</xdr:colOff>
                    <xdr:row>14</xdr:row>
                    <xdr:rowOff>257175</xdr:rowOff>
                  </to>
                </anchor>
              </controlPr>
            </control>
          </mc:Choice>
        </mc:AlternateContent>
        <mc:AlternateContent xmlns:mc="http://schemas.openxmlformats.org/markup-compatibility/2006">
          <mc:Choice Requires="x14">
            <control shapeId="123930" r:id="rId30" name="Check Box 26">
              <controlPr defaultSize="0" autoFill="0" autoLine="0" autoPict="0">
                <anchor moveWithCells="1">
                  <from>
                    <xdr:col>21</xdr:col>
                    <xdr:colOff>28575</xdr:colOff>
                    <xdr:row>14</xdr:row>
                    <xdr:rowOff>47625</xdr:rowOff>
                  </from>
                  <to>
                    <xdr:col>21</xdr:col>
                    <xdr:colOff>257175</xdr:colOff>
                    <xdr:row>14</xdr:row>
                    <xdr:rowOff>295275</xdr:rowOff>
                  </to>
                </anchor>
              </controlPr>
            </control>
          </mc:Choice>
        </mc:AlternateContent>
        <mc:AlternateContent xmlns:mc="http://schemas.openxmlformats.org/markup-compatibility/2006">
          <mc:Choice Requires="x14">
            <control shapeId="123931" r:id="rId31" name="Check Box 27">
              <controlPr defaultSize="0" autoFill="0" autoLine="0" autoPict="0">
                <anchor moveWithCells="1">
                  <from>
                    <xdr:col>24</xdr:col>
                    <xdr:colOff>28575</xdr:colOff>
                    <xdr:row>14</xdr:row>
                    <xdr:rowOff>47625</xdr:rowOff>
                  </from>
                  <to>
                    <xdr:col>24</xdr:col>
                    <xdr:colOff>219075</xdr:colOff>
                    <xdr:row>14</xdr:row>
                    <xdr:rowOff>266700</xdr:rowOff>
                  </to>
                </anchor>
              </controlPr>
            </control>
          </mc:Choice>
        </mc:AlternateContent>
        <mc:AlternateContent xmlns:mc="http://schemas.openxmlformats.org/markup-compatibility/2006">
          <mc:Choice Requires="x14">
            <control shapeId="123932" r:id="rId32" name="Check Box 28">
              <controlPr defaultSize="0" autoFill="0" autoLine="0" autoPict="0">
                <anchor moveWithCells="1">
                  <from>
                    <xdr:col>27</xdr:col>
                    <xdr:colOff>28575</xdr:colOff>
                    <xdr:row>14</xdr:row>
                    <xdr:rowOff>47625</xdr:rowOff>
                  </from>
                  <to>
                    <xdr:col>27</xdr:col>
                    <xdr:colOff>219075</xdr:colOff>
                    <xdr:row>14</xdr:row>
                    <xdr:rowOff>257175</xdr:rowOff>
                  </to>
                </anchor>
              </controlPr>
            </control>
          </mc:Choice>
        </mc:AlternateContent>
        <mc:AlternateContent xmlns:mc="http://schemas.openxmlformats.org/markup-compatibility/2006">
          <mc:Choice Requires="x14">
            <control shapeId="123933" r:id="rId33" name="Check Box 29">
              <controlPr defaultSize="0" autoFill="0" autoLine="0" autoPict="0">
                <anchor moveWithCells="1">
                  <from>
                    <xdr:col>30</xdr:col>
                    <xdr:colOff>38100</xdr:colOff>
                    <xdr:row>14</xdr:row>
                    <xdr:rowOff>47625</xdr:rowOff>
                  </from>
                  <to>
                    <xdr:col>30</xdr:col>
                    <xdr:colOff>257175</xdr:colOff>
                    <xdr:row>14</xdr:row>
                    <xdr:rowOff>276225</xdr:rowOff>
                  </to>
                </anchor>
              </controlPr>
            </control>
          </mc:Choice>
        </mc:AlternateContent>
        <mc:AlternateContent xmlns:mc="http://schemas.openxmlformats.org/markup-compatibility/2006">
          <mc:Choice Requires="x14">
            <control shapeId="123934" r:id="rId34" name="Check Box 30">
              <controlPr defaultSize="0" autoFill="0" autoLine="0" autoPict="0">
                <anchor moveWithCells="1">
                  <from>
                    <xdr:col>33</xdr:col>
                    <xdr:colOff>38100</xdr:colOff>
                    <xdr:row>14</xdr:row>
                    <xdr:rowOff>66675</xdr:rowOff>
                  </from>
                  <to>
                    <xdr:col>33</xdr:col>
                    <xdr:colOff>228600</xdr:colOff>
                    <xdr:row>14</xdr:row>
                    <xdr:rowOff>257175</xdr:rowOff>
                  </to>
                </anchor>
              </controlPr>
            </control>
          </mc:Choice>
        </mc:AlternateContent>
        <mc:AlternateContent xmlns:mc="http://schemas.openxmlformats.org/markup-compatibility/2006">
          <mc:Choice Requires="x14">
            <control shapeId="123935" r:id="rId35" name="Check Box 31">
              <controlPr defaultSize="0" autoFill="0" autoLine="0" autoPict="0">
                <anchor moveWithCells="1">
                  <from>
                    <xdr:col>18</xdr:col>
                    <xdr:colOff>28575</xdr:colOff>
                    <xdr:row>15</xdr:row>
                    <xdr:rowOff>28575</xdr:rowOff>
                  </from>
                  <to>
                    <xdr:col>18</xdr:col>
                    <xdr:colOff>266700</xdr:colOff>
                    <xdr:row>15</xdr:row>
                    <xdr:rowOff>257175</xdr:rowOff>
                  </to>
                </anchor>
              </controlPr>
            </control>
          </mc:Choice>
        </mc:AlternateContent>
        <mc:AlternateContent xmlns:mc="http://schemas.openxmlformats.org/markup-compatibility/2006">
          <mc:Choice Requires="x14">
            <control shapeId="123936" r:id="rId36" name="Check Box 32">
              <controlPr defaultSize="0" autoFill="0" autoLine="0" autoPict="0">
                <anchor moveWithCells="1">
                  <from>
                    <xdr:col>21</xdr:col>
                    <xdr:colOff>28575</xdr:colOff>
                    <xdr:row>15</xdr:row>
                    <xdr:rowOff>28575</xdr:rowOff>
                  </from>
                  <to>
                    <xdr:col>22</xdr:col>
                    <xdr:colOff>0</xdr:colOff>
                    <xdr:row>15</xdr:row>
                    <xdr:rowOff>295275</xdr:rowOff>
                  </to>
                </anchor>
              </controlPr>
            </control>
          </mc:Choice>
        </mc:AlternateContent>
        <mc:AlternateContent xmlns:mc="http://schemas.openxmlformats.org/markup-compatibility/2006">
          <mc:Choice Requires="x14">
            <control shapeId="123937" r:id="rId37" name="Check Box 33">
              <controlPr defaultSize="0" autoFill="0" autoLine="0" autoPict="0">
                <anchor moveWithCells="1">
                  <from>
                    <xdr:col>24</xdr:col>
                    <xdr:colOff>28575</xdr:colOff>
                    <xdr:row>15</xdr:row>
                    <xdr:rowOff>47625</xdr:rowOff>
                  </from>
                  <to>
                    <xdr:col>24</xdr:col>
                    <xdr:colOff>228600</xdr:colOff>
                    <xdr:row>15</xdr:row>
                    <xdr:rowOff>257175</xdr:rowOff>
                  </to>
                </anchor>
              </controlPr>
            </control>
          </mc:Choice>
        </mc:AlternateContent>
        <mc:AlternateContent xmlns:mc="http://schemas.openxmlformats.org/markup-compatibility/2006">
          <mc:Choice Requires="x14">
            <control shapeId="123938" r:id="rId38" name="Check Box 34">
              <controlPr defaultSize="0" autoFill="0" autoLine="0" autoPict="0">
                <anchor moveWithCells="1">
                  <from>
                    <xdr:col>27</xdr:col>
                    <xdr:colOff>28575</xdr:colOff>
                    <xdr:row>15</xdr:row>
                    <xdr:rowOff>47625</xdr:rowOff>
                  </from>
                  <to>
                    <xdr:col>27</xdr:col>
                    <xdr:colOff>238125</xdr:colOff>
                    <xdr:row>15</xdr:row>
                    <xdr:rowOff>276225</xdr:rowOff>
                  </to>
                </anchor>
              </controlPr>
            </control>
          </mc:Choice>
        </mc:AlternateContent>
        <mc:AlternateContent xmlns:mc="http://schemas.openxmlformats.org/markup-compatibility/2006">
          <mc:Choice Requires="x14">
            <control shapeId="123939" r:id="rId39" name="Check Box 35">
              <controlPr defaultSize="0" autoFill="0" autoLine="0" autoPict="0">
                <anchor moveWithCells="1">
                  <from>
                    <xdr:col>30</xdr:col>
                    <xdr:colOff>38100</xdr:colOff>
                    <xdr:row>15</xdr:row>
                    <xdr:rowOff>28575</xdr:rowOff>
                  </from>
                  <to>
                    <xdr:col>30</xdr:col>
                    <xdr:colOff>257175</xdr:colOff>
                    <xdr:row>15</xdr:row>
                    <xdr:rowOff>266700</xdr:rowOff>
                  </to>
                </anchor>
              </controlPr>
            </control>
          </mc:Choice>
        </mc:AlternateContent>
        <mc:AlternateContent xmlns:mc="http://schemas.openxmlformats.org/markup-compatibility/2006">
          <mc:Choice Requires="x14">
            <control shapeId="123940" r:id="rId40" name="Check Box 36">
              <controlPr defaultSize="0" autoFill="0" autoLine="0" autoPict="0">
                <anchor moveWithCells="1">
                  <from>
                    <xdr:col>33</xdr:col>
                    <xdr:colOff>28575</xdr:colOff>
                    <xdr:row>15</xdr:row>
                    <xdr:rowOff>47625</xdr:rowOff>
                  </from>
                  <to>
                    <xdr:col>33</xdr:col>
                    <xdr:colOff>257175</xdr:colOff>
                    <xdr:row>15</xdr:row>
                    <xdr:rowOff>257175</xdr:rowOff>
                  </to>
                </anchor>
              </controlPr>
            </control>
          </mc:Choice>
        </mc:AlternateContent>
        <mc:AlternateContent xmlns:mc="http://schemas.openxmlformats.org/markup-compatibility/2006">
          <mc:Choice Requires="x14">
            <control shapeId="123941" r:id="rId41" name="Check Box 37">
              <controlPr defaultSize="0" autoFill="0" autoLine="0" autoPict="0">
                <anchor moveWithCells="1">
                  <from>
                    <xdr:col>18</xdr:col>
                    <xdr:colOff>28575</xdr:colOff>
                    <xdr:row>16</xdr:row>
                    <xdr:rowOff>66675</xdr:rowOff>
                  </from>
                  <to>
                    <xdr:col>18</xdr:col>
                    <xdr:colOff>257175</xdr:colOff>
                    <xdr:row>16</xdr:row>
                    <xdr:rowOff>219075</xdr:rowOff>
                  </to>
                </anchor>
              </controlPr>
            </control>
          </mc:Choice>
        </mc:AlternateContent>
        <mc:AlternateContent xmlns:mc="http://schemas.openxmlformats.org/markup-compatibility/2006">
          <mc:Choice Requires="x14">
            <control shapeId="123942" r:id="rId42" name="Check Box 38">
              <controlPr defaultSize="0" autoFill="0" autoLine="0" autoPict="0">
                <anchor moveWithCells="1">
                  <from>
                    <xdr:col>21</xdr:col>
                    <xdr:colOff>28575</xdr:colOff>
                    <xdr:row>16</xdr:row>
                    <xdr:rowOff>38100</xdr:rowOff>
                  </from>
                  <to>
                    <xdr:col>22</xdr:col>
                    <xdr:colOff>9525</xdr:colOff>
                    <xdr:row>16</xdr:row>
                    <xdr:rowOff>295275</xdr:rowOff>
                  </to>
                </anchor>
              </controlPr>
            </control>
          </mc:Choice>
        </mc:AlternateContent>
        <mc:AlternateContent xmlns:mc="http://schemas.openxmlformats.org/markup-compatibility/2006">
          <mc:Choice Requires="x14">
            <control shapeId="123943" r:id="rId43" name="Check Box 39">
              <controlPr defaultSize="0" autoFill="0" autoLine="0" autoPict="0">
                <anchor moveWithCells="1">
                  <from>
                    <xdr:col>24</xdr:col>
                    <xdr:colOff>28575</xdr:colOff>
                    <xdr:row>16</xdr:row>
                    <xdr:rowOff>66675</xdr:rowOff>
                  </from>
                  <to>
                    <xdr:col>24</xdr:col>
                    <xdr:colOff>238125</xdr:colOff>
                    <xdr:row>16</xdr:row>
                    <xdr:rowOff>238125</xdr:rowOff>
                  </to>
                </anchor>
              </controlPr>
            </control>
          </mc:Choice>
        </mc:AlternateContent>
        <mc:AlternateContent xmlns:mc="http://schemas.openxmlformats.org/markup-compatibility/2006">
          <mc:Choice Requires="x14">
            <control shapeId="123944" r:id="rId44" name="Check Box 40">
              <controlPr defaultSize="0" autoFill="0" autoLine="0" autoPict="0">
                <anchor moveWithCells="1">
                  <from>
                    <xdr:col>27</xdr:col>
                    <xdr:colOff>28575</xdr:colOff>
                    <xdr:row>16</xdr:row>
                    <xdr:rowOff>66675</xdr:rowOff>
                  </from>
                  <to>
                    <xdr:col>27</xdr:col>
                    <xdr:colOff>228600</xdr:colOff>
                    <xdr:row>16</xdr:row>
                    <xdr:rowOff>266700</xdr:rowOff>
                  </to>
                </anchor>
              </controlPr>
            </control>
          </mc:Choice>
        </mc:AlternateContent>
        <mc:AlternateContent xmlns:mc="http://schemas.openxmlformats.org/markup-compatibility/2006">
          <mc:Choice Requires="x14">
            <control shapeId="123945" r:id="rId45" name="Check Box 41">
              <controlPr defaultSize="0" autoFill="0" autoLine="0" autoPict="0">
                <anchor moveWithCells="1">
                  <from>
                    <xdr:col>30</xdr:col>
                    <xdr:colOff>28575</xdr:colOff>
                    <xdr:row>16</xdr:row>
                    <xdr:rowOff>47625</xdr:rowOff>
                  </from>
                  <to>
                    <xdr:col>30</xdr:col>
                    <xdr:colOff>219075</xdr:colOff>
                    <xdr:row>16</xdr:row>
                    <xdr:rowOff>257175</xdr:rowOff>
                  </to>
                </anchor>
              </controlPr>
            </control>
          </mc:Choice>
        </mc:AlternateContent>
        <mc:AlternateContent xmlns:mc="http://schemas.openxmlformats.org/markup-compatibility/2006">
          <mc:Choice Requires="x14">
            <control shapeId="123946" r:id="rId46" name="Check Box 42">
              <controlPr defaultSize="0" autoFill="0" autoLine="0" autoPict="0">
                <anchor moveWithCells="1">
                  <from>
                    <xdr:col>33</xdr:col>
                    <xdr:colOff>28575</xdr:colOff>
                    <xdr:row>16</xdr:row>
                    <xdr:rowOff>66675</xdr:rowOff>
                  </from>
                  <to>
                    <xdr:col>33</xdr:col>
                    <xdr:colOff>219075</xdr:colOff>
                    <xdr:row>16</xdr:row>
                    <xdr:rowOff>266700</xdr:rowOff>
                  </to>
                </anchor>
              </controlPr>
            </control>
          </mc:Choice>
        </mc:AlternateContent>
        <mc:AlternateContent xmlns:mc="http://schemas.openxmlformats.org/markup-compatibility/2006">
          <mc:Choice Requires="x14">
            <control shapeId="123947" r:id="rId47" name="Check Box 43">
              <controlPr defaultSize="0" autoFill="0" autoLine="0" autoPict="0">
                <anchor moveWithCells="1">
                  <from>
                    <xdr:col>18</xdr:col>
                    <xdr:colOff>28575</xdr:colOff>
                    <xdr:row>17</xdr:row>
                    <xdr:rowOff>28575</xdr:rowOff>
                  </from>
                  <to>
                    <xdr:col>18</xdr:col>
                    <xdr:colOff>266700</xdr:colOff>
                    <xdr:row>17</xdr:row>
                    <xdr:rowOff>257175</xdr:rowOff>
                  </to>
                </anchor>
              </controlPr>
            </control>
          </mc:Choice>
        </mc:AlternateContent>
        <mc:AlternateContent xmlns:mc="http://schemas.openxmlformats.org/markup-compatibility/2006">
          <mc:Choice Requires="x14">
            <control shapeId="123948" r:id="rId48" name="Check Box 44">
              <controlPr defaultSize="0" autoFill="0" autoLine="0" autoPict="0">
                <anchor moveWithCells="1">
                  <from>
                    <xdr:col>21</xdr:col>
                    <xdr:colOff>28575</xdr:colOff>
                    <xdr:row>17</xdr:row>
                    <xdr:rowOff>47625</xdr:rowOff>
                  </from>
                  <to>
                    <xdr:col>21</xdr:col>
                    <xdr:colOff>257175</xdr:colOff>
                    <xdr:row>17</xdr:row>
                    <xdr:rowOff>257175</xdr:rowOff>
                  </to>
                </anchor>
              </controlPr>
            </control>
          </mc:Choice>
        </mc:AlternateContent>
        <mc:AlternateContent xmlns:mc="http://schemas.openxmlformats.org/markup-compatibility/2006">
          <mc:Choice Requires="x14">
            <control shapeId="123949" r:id="rId49" name="Check Box 45">
              <controlPr defaultSize="0" autoFill="0" autoLine="0" autoPict="0">
                <anchor moveWithCells="1">
                  <from>
                    <xdr:col>24</xdr:col>
                    <xdr:colOff>28575</xdr:colOff>
                    <xdr:row>17</xdr:row>
                    <xdr:rowOff>28575</xdr:rowOff>
                  </from>
                  <to>
                    <xdr:col>24</xdr:col>
                    <xdr:colOff>257175</xdr:colOff>
                    <xdr:row>17</xdr:row>
                    <xdr:rowOff>257175</xdr:rowOff>
                  </to>
                </anchor>
              </controlPr>
            </control>
          </mc:Choice>
        </mc:AlternateContent>
        <mc:AlternateContent xmlns:mc="http://schemas.openxmlformats.org/markup-compatibility/2006">
          <mc:Choice Requires="x14">
            <control shapeId="123950" r:id="rId50" name="Check Box 46">
              <controlPr defaultSize="0" autoFill="0" autoLine="0" autoPict="0">
                <anchor moveWithCells="1">
                  <from>
                    <xdr:col>27</xdr:col>
                    <xdr:colOff>28575</xdr:colOff>
                    <xdr:row>17</xdr:row>
                    <xdr:rowOff>66675</xdr:rowOff>
                  </from>
                  <to>
                    <xdr:col>27</xdr:col>
                    <xdr:colOff>219075</xdr:colOff>
                    <xdr:row>17</xdr:row>
                    <xdr:rowOff>257175</xdr:rowOff>
                  </to>
                </anchor>
              </controlPr>
            </control>
          </mc:Choice>
        </mc:AlternateContent>
        <mc:AlternateContent xmlns:mc="http://schemas.openxmlformats.org/markup-compatibility/2006">
          <mc:Choice Requires="x14">
            <control shapeId="123951" r:id="rId51" name="Check Box 47">
              <controlPr defaultSize="0" autoFill="0" autoLine="0" autoPict="0">
                <anchor moveWithCells="1">
                  <from>
                    <xdr:col>30</xdr:col>
                    <xdr:colOff>28575</xdr:colOff>
                    <xdr:row>17</xdr:row>
                    <xdr:rowOff>66675</xdr:rowOff>
                  </from>
                  <to>
                    <xdr:col>30</xdr:col>
                    <xdr:colOff>238125</xdr:colOff>
                    <xdr:row>17</xdr:row>
                    <xdr:rowOff>257175</xdr:rowOff>
                  </to>
                </anchor>
              </controlPr>
            </control>
          </mc:Choice>
        </mc:AlternateContent>
        <mc:AlternateContent xmlns:mc="http://schemas.openxmlformats.org/markup-compatibility/2006">
          <mc:Choice Requires="x14">
            <control shapeId="123952" r:id="rId52" name="Check Box 48">
              <controlPr defaultSize="0" autoFill="0" autoLine="0" autoPict="0">
                <anchor moveWithCells="1">
                  <from>
                    <xdr:col>33</xdr:col>
                    <xdr:colOff>28575</xdr:colOff>
                    <xdr:row>17</xdr:row>
                    <xdr:rowOff>47625</xdr:rowOff>
                  </from>
                  <to>
                    <xdr:col>33</xdr:col>
                    <xdr:colOff>228600</xdr:colOff>
                    <xdr:row>17</xdr:row>
                    <xdr:rowOff>266700</xdr:rowOff>
                  </to>
                </anchor>
              </controlPr>
            </control>
          </mc:Choice>
        </mc:AlternateContent>
        <mc:AlternateContent xmlns:mc="http://schemas.openxmlformats.org/markup-compatibility/2006">
          <mc:Choice Requires="x14">
            <control shapeId="123953" r:id="rId53" name="Check Box 49">
              <controlPr defaultSize="0" autoFill="0" autoLine="0" autoPict="0">
                <anchor moveWithCells="1">
                  <from>
                    <xdr:col>18</xdr:col>
                    <xdr:colOff>28575</xdr:colOff>
                    <xdr:row>18</xdr:row>
                    <xdr:rowOff>28575</xdr:rowOff>
                  </from>
                  <to>
                    <xdr:col>19</xdr:col>
                    <xdr:colOff>9525</xdr:colOff>
                    <xdr:row>18</xdr:row>
                    <xdr:rowOff>295275</xdr:rowOff>
                  </to>
                </anchor>
              </controlPr>
            </control>
          </mc:Choice>
        </mc:AlternateContent>
        <mc:AlternateContent xmlns:mc="http://schemas.openxmlformats.org/markup-compatibility/2006">
          <mc:Choice Requires="x14">
            <control shapeId="123954" r:id="rId54" name="Check Box 50">
              <controlPr defaultSize="0" autoFill="0" autoLine="0" autoPict="0">
                <anchor moveWithCells="1">
                  <from>
                    <xdr:col>21</xdr:col>
                    <xdr:colOff>28575</xdr:colOff>
                    <xdr:row>18</xdr:row>
                    <xdr:rowOff>47625</xdr:rowOff>
                  </from>
                  <to>
                    <xdr:col>21</xdr:col>
                    <xdr:colOff>257175</xdr:colOff>
                    <xdr:row>18</xdr:row>
                    <xdr:rowOff>295275</xdr:rowOff>
                  </to>
                </anchor>
              </controlPr>
            </control>
          </mc:Choice>
        </mc:AlternateContent>
        <mc:AlternateContent xmlns:mc="http://schemas.openxmlformats.org/markup-compatibility/2006">
          <mc:Choice Requires="x14">
            <control shapeId="123955" r:id="rId55" name="Check Box 51">
              <controlPr defaultSize="0" autoFill="0" autoLine="0" autoPict="0">
                <anchor moveWithCells="1">
                  <from>
                    <xdr:col>24</xdr:col>
                    <xdr:colOff>28575</xdr:colOff>
                    <xdr:row>18</xdr:row>
                    <xdr:rowOff>66675</xdr:rowOff>
                  </from>
                  <to>
                    <xdr:col>24</xdr:col>
                    <xdr:colOff>238125</xdr:colOff>
                    <xdr:row>18</xdr:row>
                    <xdr:rowOff>276225</xdr:rowOff>
                  </to>
                </anchor>
              </controlPr>
            </control>
          </mc:Choice>
        </mc:AlternateContent>
        <mc:AlternateContent xmlns:mc="http://schemas.openxmlformats.org/markup-compatibility/2006">
          <mc:Choice Requires="x14">
            <control shapeId="123956" r:id="rId56" name="Check Box 52">
              <controlPr defaultSize="0" autoFill="0" autoLine="0" autoPict="0">
                <anchor moveWithCells="1">
                  <from>
                    <xdr:col>27</xdr:col>
                    <xdr:colOff>28575</xdr:colOff>
                    <xdr:row>18</xdr:row>
                    <xdr:rowOff>47625</xdr:rowOff>
                  </from>
                  <to>
                    <xdr:col>27</xdr:col>
                    <xdr:colOff>219075</xdr:colOff>
                    <xdr:row>18</xdr:row>
                    <xdr:rowOff>276225</xdr:rowOff>
                  </to>
                </anchor>
              </controlPr>
            </control>
          </mc:Choice>
        </mc:AlternateContent>
        <mc:AlternateContent xmlns:mc="http://schemas.openxmlformats.org/markup-compatibility/2006">
          <mc:Choice Requires="x14">
            <control shapeId="123957" r:id="rId57" name="Check Box 53">
              <controlPr defaultSize="0" autoFill="0" autoLine="0" autoPict="0">
                <anchor moveWithCells="1">
                  <from>
                    <xdr:col>30</xdr:col>
                    <xdr:colOff>28575</xdr:colOff>
                    <xdr:row>18</xdr:row>
                    <xdr:rowOff>66675</xdr:rowOff>
                  </from>
                  <to>
                    <xdr:col>30</xdr:col>
                    <xdr:colOff>238125</xdr:colOff>
                    <xdr:row>18</xdr:row>
                    <xdr:rowOff>276225</xdr:rowOff>
                  </to>
                </anchor>
              </controlPr>
            </control>
          </mc:Choice>
        </mc:AlternateContent>
        <mc:AlternateContent xmlns:mc="http://schemas.openxmlformats.org/markup-compatibility/2006">
          <mc:Choice Requires="x14">
            <control shapeId="123958" r:id="rId58" name="Check Box 54">
              <controlPr defaultSize="0" autoFill="0" autoLine="0" autoPict="0">
                <anchor moveWithCells="1">
                  <from>
                    <xdr:col>33</xdr:col>
                    <xdr:colOff>28575</xdr:colOff>
                    <xdr:row>18</xdr:row>
                    <xdr:rowOff>47625</xdr:rowOff>
                  </from>
                  <to>
                    <xdr:col>33</xdr:col>
                    <xdr:colOff>238125</xdr:colOff>
                    <xdr:row>18</xdr:row>
                    <xdr:rowOff>295275</xdr:rowOff>
                  </to>
                </anchor>
              </controlPr>
            </control>
          </mc:Choice>
        </mc:AlternateContent>
        <mc:AlternateContent xmlns:mc="http://schemas.openxmlformats.org/markup-compatibility/2006">
          <mc:Choice Requires="x14">
            <control shapeId="123959" r:id="rId59" name="Check Box 55">
              <controlPr defaultSize="0" autoFill="0" autoLine="0" autoPict="0">
                <anchor moveWithCells="1">
                  <from>
                    <xdr:col>18</xdr:col>
                    <xdr:colOff>28575</xdr:colOff>
                    <xdr:row>19</xdr:row>
                    <xdr:rowOff>47625</xdr:rowOff>
                  </from>
                  <to>
                    <xdr:col>18</xdr:col>
                    <xdr:colOff>266700</xdr:colOff>
                    <xdr:row>19</xdr:row>
                    <xdr:rowOff>295275</xdr:rowOff>
                  </to>
                </anchor>
              </controlPr>
            </control>
          </mc:Choice>
        </mc:AlternateContent>
        <mc:AlternateContent xmlns:mc="http://schemas.openxmlformats.org/markup-compatibility/2006">
          <mc:Choice Requires="x14">
            <control shapeId="123960" r:id="rId60" name="Check Box 56">
              <controlPr defaultSize="0" autoFill="0" autoLine="0" autoPict="0">
                <anchor moveWithCells="1">
                  <from>
                    <xdr:col>21</xdr:col>
                    <xdr:colOff>28575</xdr:colOff>
                    <xdr:row>19</xdr:row>
                    <xdr:rowOff>38100</xdr:rowOff>
                  </from>
                  <to>
                    <xdr:col>21</xdr:col>
                    <xdr:colOff>219075</xdr:colOff>
                    <xdr:row>19</xdr:row>
                    <xdr:rowOff>295275</xdr:rowOff>
                  </to>
                </anchor>
              </controlPr>
            </control>
          </mc:Choice>
        </mc:AlternateContent>
        <mc:AlternateContent xmlns:mc="http://schemas.openxmlformats.org/markup-compatibility/2006">
          <mc:Choice Requires="x14">
            <control shapeId="123961" r:id="rId61" name="Check Box 57">
              <controlPr defaultSize="0" autoFill="0" autoLine="0" autoPict="0">
                <anchor moveWithCells="1">
                  <from>
                    <xdr:col>24</xdr:col>
                    <xdr:colOff>28575</xdr:colOff>
                    <xdr:row>19</xdr:row>
                    <xdr:rowOff>28575</xdr:rowOff>
                  </from>
                  <to>
                    <xdr:col>24</xdr:col>
                    <xdr:colOff>219075</xdr:colOff>
                    <xdr:row>19</xdr:row>
                    <xdr:rowOff>257175</xdr:rowOff>
                  </to>
                </anchor>
              </controlPr>
            </control>
          </mc:Choice>
        </mc:AlternateContent>
        <mc:AlternateContent xmlns:mc="http://schemas.openxmlformats.org/markup-compatibility/2006">
          <mc:Choice Requires="x14">
            <control shapeId="123962" r:id="rId62" name="Check Box 58">
              <controlPr defaultSize="0" autoFill="0" autoLine="0" autoPict="0">
                <anchor moveWithCells="1">
                  <from>
                    <xdr:col>27</xdr:col>
                    <xdr:colOff>28575</xdr:colOff>
                    <xdr:row>19</xdr:row>
                    <xdr:rowOff>28575</xdr:rowOff>
                  </from>
                  <to>
                    <xdr:col>27</xdr:col>
                    <xdr:colOff>238125</xdr:colOff>
                    <xdr:row>19</xdr:row>
                    <xdr:rowOff>257175</xdr:rowOff>
                  </to>
                </anchor>
              </controlPr>
            </control>
          </mc:Choice>
        </mc:AlternateContent>
        <mc:AlternateContent xmlns:mc="http://schemas.openxmlformats.org/markup-compatibility/2006">
          <mc:Choice Requires="x14">
            <control shapeId="123963" r:id="rId63" name="Check Box 59">
              <controlPr defaultSize="0" autoFill="0" autoLine="0" autoPict="0">
                <anchor moveWithCells="1">
                  <from>
                    <xdr:col>30</xdr:col>
                    <xdr:colOff>28575</xdr:colOff>
                    <xdr:row>19</xdr:row>
                    <xdr:rowOff>66675</xdr:rowOff>
                  </from>
                  <to>
                    <xdr:col>30</xdr:col>
                    <xdr:colOff>200025</xdr:colOff>
                    <xdr:row>19</xdr:row>
                    <xdr:rowOff>257175</xdr:rowOff>
                  </to>
                </anchor>
              </controlPr>
            </control>
          </mc:Choice>
        </mc:AlternateContent>
        <mc:AlternateContent xmlns:mc="http://schemas.openxmlformats.org/markup-compatibility/2006">
          <mc:Choice Requires="x14">
            <control shapeId="123964" r:id="rId64" name="Check Box 60">
              <controlPr defaultSize="0" autoFill="0" autoLine="0" autoPict="0">
                <anchor moveWithCells="1">
                  <from>
                    <xdr:col>33</xdr:col>
                    <xdr:colOff>28575</xdr:colOff>
                    <xdr:row>19</xdr:row>
                    <xdr:rowOff>66675</xdr:rowOff>
                  </from>
                  <to>
                    <xdr:col>33</xdr:col>
                    <xdr:colOff>238125</xdr:colOff>
                    <xdr:row>19</xdr:row>
                    <xdr:rowOff>238125</xdr:rowOff>
                  </to>
                </anchor>
              </controlPr>
            </control>
          </mc:Choice>
        </mc:AlternateContent>
        <mc:AlternateContent xmlns:mc="http://schemas.openxmlformats.org/markup-compatibility/2006">
          <mc:Choice Requires="x14">
            <control shapeId="123965" r:id="rId65" name="Check Box 61">
              <controlPr defaultSize="0" autoFill="0" autoLine="0" autoPict="0">
                <anchor moveWithCells="1">
                  <from>
                    <xdr:col>3</xdr:col>
                    <xdr:colOff>28575</xdr:colOff>
                    <xdr:row>29</xdr:row>
                    <xdr:rowOff>47625</xdr:rowOff>
                  </from>
                  <to>
                    <xdr:col>4</xdr:col>
                    <xdr:colOff>9525</xdr:colOff>
                    <xdr:row>29</xdr:row>
                    <xdr:rowOff>257175</xdr:rowOff>
                  </to>
                </anchor>
              </controlPr>
            </control>
          </mc:Choice>
        </mc:AlternateContent>
        <mc:AlternateContent xmlns:mc="http://schemas.openxmlformats.org/markup-compatibility/2006">
          <mc:Choice Requires="x14">
            <control shapeId="123966" r:id="rId66" name="Check Box 62">
              <controlPr defaultSize="0" autoFill="0" autoLine="0" autoPict="0">
                <anchor moveWithCells="1">
                  <from>
                    <xdr:col>3</xdr:col>
                    <xdr:colOff>28575</xdr:colOff>
                    <xdr:row>33</xdr:row>
                    <xdr:rowOff>76200</xdr:rowOff>
                  </from>
                  <to>
                    <xdr:col>4</xdr:col>
                    <xdr:colOff>9525</xdr:colOff>
                    <xdr:row>35</xdr:row>
                    <xdr:rowOff>28575</xdr:rowOff>
                  </to>
                </anchor>
              </controlPr>
            </control>
          </mc:Choice>
        </mc:AlternateContent>
        <mc:AlternateContent xmlns:mc="http://schemas.openxmlformats.org/markup-compatibility/2006">
          <mc:Choice Requires="x14">
            <control shapeId="123967" r:id="rId67" name="Check Box 63">
              <controlPr defaultSize="0" autoFill="0" autoLine="0" autoPict="0">
                <anchor moveWithCells="1">
                  <from>
                    <xdr:col>3</xdr:col>
                    <xdr:colOff>28575</xdr:colOff>
                    <xdr:row>37</xdr:row>
                    <xdr:rowOff>66675</xdr:rowOff>
                  </from>
                  <to>
                    <xdr:col>3</xdr:col>
                    <xdr:colOff>257175</xdr:colOff>
                    <xdr:row>39</xdr:row>
                    <xdr:rowOff>9525</xdr:rowOff>
                  </to>
                </anchor>
              </controlPr>
            </control>
          </mc:Choice>
        </mc:AlternateContent>
      </controls>
    </mc:Choice>
  </mc:AlternateConten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6EF7-B64A-4D57-8CA7-F53F54888445}">
  <sheetPr codeName="Sheet59">
    <tabColor rgb="FFFFFF00"/>
    <pageSetUpPr fitToPage="1"/>
  </sheetPr>
  <dimension ref="A1:BD85"/>
  <sheetViews>
    <sheetView showGridLines="0" zoomScaleNormal="100" zoomScaleSheetLayoutView="100" workbookViewId="0">
      <selection sqref="A1:AR62"/>
    </sheetView>
  </sheetViews>
  <sheetFormatPr defaultColWidth="8" defaultRowHeight="15.75"/>
  <cols>
    <col min="1" max="1" width="2.125" style="154" customWidth="1"/>
    <col min="2" max="3" width="3.625" style="154" customWidth="1"/>
    <col min="4" max="38" width="3.625" style="159" customWidth="1"/>
    <col min="39" max="41" width="3.625" style="154" customWidth="1"/>
    <col min="42" max="42" width="2.125" style="154" customWidth="1"/>
    <col min="43" max="174" width="3.625" style="154" customWidth="1"/>
    <col min="175" max="16384" width="8" style="154"/>
  </cols>
  <sheetData>
    <row r="1" spans="1:56" ht="12" customHeight="1">
      <c r="A1" s="1450"/>
      <c r="B1" s="1450"/>
      <c r="C1" s="1450"/>
      <c r="D1" s="1537"/>
      <c r="E1" s="1537"/>
      <c r="F1" s="1537"/>
      <c r="G1" s="1537"/>
      <c r="H1" s="1537"/>
      <c r="I1" s="1537"/>
      <c r="J1" s="1537"/>
      <c r="K1" s="1537"/>
      <c r="L1" s="1537"/>
      <c r="M1" s="1537"/>
      <c r="N1" s="1537"/>
      <c r="O1" s="1537"/>
      <c r="P1" s="1537"/>
      <c r="Q1" s="1537"/>
      <c r="R1" s="1537"/>
      <c r="S1" s="1537"/>
      <c r="T1" s="1537"/>
      <c r="U1" s="1537"/>
      <c r="V1" s="1537"/>
      <c r="W1" s="1537"/>
      <c r="X1" s="1537"/>
      <c r="Y1" s="1537"/>
      <c r="Z1" s="1537"/>
      <c r="AA1" s="1537"/>
      <c r="AB1" s="1537"/>
      <c r="AC1" s="1537"/>
      <c r="AD1" s="1537"/>
      <c r="AE1" s="1537"/>
      <c r="AF1" s="1537"/>
      <c r="AG1" s="1537"/>
      <c r="AH1" s="1537"/>
      <c r="AI1" s="1537"/>
      <c r="AJ1" s="1537"/>
      <c r="AK1" s="1537"/>
      <c r="AL1" s="1537"/>
      <c r="AM1" s="1450"/>
      <c r="AN1" s="1450"/>
      <c r="AO1" s="1450"/>
      <c r="AP1" s="1450"/>
      <c r="AQ1" s="1450"/>
      <c r="AR1" s="1450"/>
      <c r="AS1" s="1450"/>
      <c r="AT1" s="1450"/>
      <c r="AU1" s="1450"/>
      <c r="AV1" s="1450"/>
      <c r="AW1" s="1450"/>
      <c r="AX1" s="1450"/>
      <c r="AY1" s="1450"/>
      <c r="AZ1" s="1450"/>
      <c r="BA1" s="1450"/>
      <c r="BB1" s="1450"/>
      <c r="BC1" s="1450"/>
      <c r="BD1" s="1450"/>
    </row>
    <row r="2" spans="1:56" ht="17.25" thickBot="1">
      <c r="A2" s="1450"/>
      <c r="B2" s="1450"/>
      <c r="C2" s="1450"/>
      <c r="D2" s="1451" t="s">
        <v>1787</v>
      </c>
      <c r="E2" s="1450"/>
      <c r="F2" s="1450"/>
      <c r="G2" s="1450"/>
      <c r="H2" s="1450"/>
      <c r="I2" s="1450"/>
      <c r="J2" s="1450"/>
      <c r="K2" s="1450"/>
      <c r="L2" s="1450"/>
      <c r="M2" s="1450"/>
      <c r="N2" s="1450"/>
      <c r="O2" s="1450"/>
      <c r="P2" s="1450"/>
      <c r="Q2" s="1450"/>
      <c r="R2" s="1450"/>
      <c r="S2" s="1450"/>
      <c r="T2" s="1450"/>
      <c r="U2" s="1450"/>
      <c r="V2" s="1450"/>
      <c r="W2" s="1450"/>
      <c r="X2" s="1450"/>
      <c r="Y2" s="1450"/>
      <c r="Z2" s="1450"/>
      <c r="AA2" s="1450"/>
      <c r="AB2" s="1450"/>
      <c r="AC2" s="1450"/>
      <c r="AD2" s="1450"/>
      <c r="AE2" s="1450"/>
      <c r="AF2" s="1450"/>
      <c r="AG2" s="1450"/>
      <c r="AH2" s="1450"/>
      <c r="AI2" s="1450"/>
      <c r="AJ2" s="1450"/>
      <c r="AK2" s="1450"/>
      <c r="AL2" s="1450"/>
      <c r="AM2" s="1450"/>
      <c r="AN2" s="1450"/>
      <c r="AO2" s="1450"/>
      <c r="AP2" s="1450"/>
      <c r="AQ2" s="1450"/>
      <c r="AR2" s="1450"/>
      <c r="AS2" s="1450"/>
      <c r="AT2" s="1450"/>
      <c r="AU2" s="1450"/>
      <c r="AV2" s="1450"/>
      <c r="AW2" s="1450"/>
      <c r="AX2" s="1450"/>
      <c r="AY2" s="1450"/>
      <c r="AZ2" s="1450"/>
      <c r="BA2" s="1450"/>
      <c r="BB2" s="1450"/>
      <c r="BC2" s="1450"/>
      <c r="BD2" s="1450"/>
    </row>
    <row r="3" spans="1:56" ht="5.0999999999999996" customHeight="1">
      <c r="A3" s="1450"/>
      <c r="B3" s="1450"/>
      <c r="C3" s="1450"/>
      <c r="D3" s="1552"/>
      <c r="E3" s="1553"/>
      <c r="F3" s="1553"/>
      <c r="G3" s="1553"/>
      <c r="H3" s="1553"/>
      <c r="I3" s="1553"/>
      <c r="J3" s="1553"/>
      <c r="K3" s="1553"/>
      <c r="L3" s="1553"/>
      <c r="M3" s="1553"/>
      <c r="N3" s="1553"/>
      <c r="O3" s="1553"/>
      <c r="P3" s="1553"/>
      <c r="Q3" s="1553"/>
      <c r="R3" s="1553"/>
      <c r="S3" s="1553"/>
      <c r="T3" s="1553"/>
      <c r="U3" s="1553"/>
      <c r="V3" s="1553"/>
      <c r="W3" s="1553"/>
      <c r="X3" s="1553"/>
      <c r="Y3" s="1553"/>
      <c r="Z3" s="1553"/>
      <c r="AA3" s="1553"/>
      <c r="AB3" s="1553"/>
      <c r="AC3" s="1553"/>
      <c r="AD3" s="1553"/>
      <c r="AE3" s="1553"/>
      <c r="AF3" s="1553"/>
      <c r="AG3" s="1553"/>
      <c r="AH3" s="1553"/>
      <c r="AI3" s="1553"/>
      <c r="AJ3" s="1553"/>
      <c r="AK3" s="1553"/>
      <c r="AL3" s="1553"/>
      <c r="AM3" s="1554"/>
      <c r="AN3" s="1555"/>
      <c r="AO3" s="1555"/>
      <c r="AP3" s="1450"/>
      <c r="AQ3" s="1450"/>
      <c r="AR3" s="1450"/>
      <c r="AS3" s="1450"/>
      <c r="AT3" s="1450"/>
      <c r="AU3" s="1450"/>
      <c r="AV3" s="1450"/>
      <c r="AW3" s="1450"/>
      <c r="AX3" s="1450"/>
      <c r="AY3" s="1450"/>
      <c r="AZ3" s="1450"/>
      <c r="BA3" s="1450"/>
      <c r="BB3" s="1450"/>
      <c r="BC3" s="1450"/>
      <c r="BD3" s="1450"/>
    </row>
    <row r="4" spans="1:56" ht="15.6" customHeight="1">
      <c r="A4" s="1450"/>
      <c r="B4" s="1450"/>
      <c r="C4" s="1450"/>
      <c r="D4" s="1456"/>
      <c r="E4" s="1528" t="s">
        <v>47</v>
      </c>
      <c r="F4" s="1556" t="s">
        <v>1621</v>
      </c>
      <c r="G4" s="1529"/>
      <c r="H4" s="1529"/>
      <c r="I4" s="1529"/>
      <c r="J4" s="1529"/>
      <c r="K4" s="1529"/>
      <c r="L4" s="1529"/>
      <c r="M4" s="1529"/>
      <c r="N4" s="1529"/>
      <c r="O4" s="1529"/>
      <c r="P4" s="1529"/>
      <c r="Q4" s="1529"/>
      <c r="R4" s="1529"/>
      <c r="S4" s="1529"/>
      <c r="T4" s="1529"/>
      <c r="U4" s="1529"/>
      <c r="V4" s="1529"/>
      <c r="W4" s="1529"/>
      <c r="X4" s="1529"/>
      <c r="Y4" s="1529"/>
      <c r="Z4" s="1529"/>
      <c r="AA4" s="1529"/>
      <c r="AB4" s="1529"/>
      <c r="AC4" s="1529"/>
      <c r="AD4" s="1529"/>
      <c r="AE4" s="1529"/>
      <c r="AF4" s="1529"/>
      <c r="AG4" s="1529"/>
      <c r="AH4" s="1529"/>
      <c r="AI4" s="1529"/>
      <c r="AJ4" s="1529"/>
      <c r="AK4" s="1536"/>
      <c r="AL4" s="1536"/>
      <c r="AM4" s="1557"/>
      <c r="AN4" s="1536"/>
      <c r="AO4" s="1536"/>
      <c r="AP4" s="1450"/>
      <c r="AQ4" s="1450"/>
      <c r="AR4" s="1450"/>
      <c r="AS4" s="1450"/>
      <c r="AT4" s="1450"/>
      <c r="AU4" s="1450"/>
      <c r="AV4" s="1450"/>
      <c r="AW4" s="1450"/>
      <c r="AX4" s="1450"/>
      <c r="AY4" s="1450"/>
      <c r="AZ4" s="1450"/>
      <c r="BA4" s="1450"/>
      <c r="BB4" s="1450"/>
      <c r="BC4" s="1450"/>
      <c r="BD4" s="1450"/>
    </row>
    <row r="5" spans="1:56" ht="5.0999999999999996" customHeight="1" thickBot="1">
      <c r="A5" s="1450"/>
      <c r="B5" s="1450"/>
      <c r="C5" s="1450"/>
      <c r="D5" s="1558"/>
      <c r="E5" s="1555"/>
      <c r="F5" s="1555"/>
      <c r="G5" s="1555"/>
      <c r="H5" s="1555"/>
      <c r="I5" s="1555"/>
      <c r="J5" s="1555"/>
      <c r="K5" s="1555"/>
      <c r="L5" s="1555"/>
      <c r="M5" s="1555"/>
      <c r="N5" s="1555"/>
      <c r="O5" s="1555"/>
      <c r="P5" s="1555"/>
      <c r="Q5" s="1555"/>
      <c r="R5" s="1555"/>
      <c r="S5" s="1555"/>
      <c r="T5" s="1555"/>
      <c r="U5" s="1555"/>
      <c r="V5" s="1555"/>
      <c r="W5" s="1555"/>
      <c r="X5" s="1555"/>
      <c r="Y5" s="1555"/>
      <c r="Z5" s="1555"/>
      <c r="AA5" s="1555"/>
      <c r="AB5" s="1555"/>
      <c r="AC5" s="1555"/>
      <c r="AD5" s="1555"/>
      <c r="AE5" s="1555"/>
      <c r="AF5" s="1555"/>
      <c r="AG5" s="1555"/>
      <c r="AH5" s="1555"/>
      <c r="AI5" s="1555"/>
      <c r="AJ5" s="1555"/>
      <c r="AK5" s="1555"/>
      <c r="AL5" s="1555"/>
      <c r="AM5" s="1559"/>
      <c r="AN5" s="1555"/>
      <c r="AO5" s="1555"/>
      <c r="AP5" s="1450"/>
      <c r="AQ5" s="1450"/>
      <c r="AR5" s="1450"/>
      <c r="AS5" s="1450"/>
      <c r="AT5" s="1450"/>
      <c r="AU5" s="1450"/>
      <c r="AV5" s="1450"/>
      <c r="AW5" s="1450"/>
      <c r="AX5" s="1450"/>
      <c r="AY5" s="1450"/>
      <c r="AZ5" s="1450"/>
      <c r="BA5" s="1450"/>
      <c r="BB5" s="1450"/>
      <c r="BC5" s="1450"/>
      <c r="BD5" s="1450"/>
    </row>
    <row r="6" spans="1:56" s="159" customFormat="1" ht="30.6" customHeight="1">
      <c r="A6" s="1537"/>
      <c r="B6" s="1537"/>
      <c r="C6" s="1537"/>
      <c r="D6" s="1558"/>
      <c r="E6" s="1530"/>
      <c r="F6" s="4085" t="s">
        <v>940</v>
      </c>
      <c r="G6" s="2986"/>
      <c r="H6" s="2986"/>
      <c r="I6" s="2986"/>
      <c r="J6" s="2986"/>
      <c r="K6" s="2987"/>
      <c r="L6" s="2985" t="s">
        <v>941</v>
      </c>
      <c r="M6" s="2986"/>
      <c r="N6" s="2986"/>
      <c r="O6" s="2986"/>
      <c r="P6" s="2986"/>
      <c r="Q6" s="4086"/>
      <c r="R6" s="1530"/>
      <c r="S6" s="1530"/>
      <c r="T6" s="1530"/>
      <c r="U6" s="1530"/>
      <c r="V6" s="1530"/>
      <c r="W6" s="1530"/>
      <c r="X6" s="1530"/>
      <c r="Y6" s="1530"/>
      <c r="Z6" s="1530"/>
      <c r="AA6" s="1530"/>
      <c r="AB6" s="1530"/>
      <c r="AC6" s="1530"/>
      <c r="AD6" s="1530"/>
      <c r="AE6" s="1530"/>
      <c r="AF6" s="1530"/>
      <c r="AG6" s="1530"/>
      <c r="AH6" s="1530"/>
      <c r="AI6" s="1530"/>
      <c r="AJ6" s="1530"/>
      <c r="AK6" s="1530"/>
      <c r="AL6" s="1530"/>
      <c r="AM6" s="1560"/>
      <c r="AN6" s="1530"/>
      <c r="AO6" s="1530"/>
      <c r="AP6" s="1537"/>
      <c r="AQ6" s="1537"/>
      <c r="AR6" s="1537"/>
      <c r="AS6" s="1537"/>
      <c r="AT6" s="1537"/>
      <c r="AU6" s="1537"/>
      <c r="AV6" s="1537"/>
      <c r="AW6" s="1537"/>
      <c r="AX6" s="1537"/>
      <c r="AY6" s="1537"/>
      <c r="AZ6" s="1537"/>
      <c r="BA6" s="1537"/>
      <c r="BB6" s="1537"/>
      <c r="BC6" s="1537"/>
      <c r="BD6" s="1537"/>
    </row>
    <row r="7" spans="1:56" s="159" customFormat="1" ht="19.5" customHeight="1" thickBot="1">
      <c r="A7" s="1537"/>
      <c r="B7" s="1537"/>
      <c r="C7" s="1537"/>
      <c r="D7" s="1561"/>
      <c r="E7" s="1531"/>
      <c r="F7" s="4087" t="s">
        <v>45</v>
      </c>
      <c r="G7" s="4088"/>
      <c r="H7" s="4089"/>
      <c r="I7" s="4090" t="s">
        <v>46</v>
      </c>
      <c r="J7" s="4088"/>
      <c r="K7" s="4089"/>
      <c r="L7" s="4090" t="s">
        <v>45</v>
      </c>
      <c r="M7" s="4088"/>
      <c r="N7" s="4089"/>
      <c r="O7" s="4090" t="s">
        <v>46</v>
      </c>
      <c r="P7" s="4088"/>
      <c r="Q7" s="4091"/>
      <c r="R7" s="1537"/>
      <c r="S7" s="1537"/>
      <c r="T7" s="1537"/>
      <c r="U7" s="1537"/>
      <c r="V7" s="1537"/>
      <c r="W7" s="1537"/>
      <c r="X7" s="1537"/>
      <c r="Y7" s="1537"/>
      <c r="Z7" s="1537"/>
      <c r="AA7" s="1537"/>
      <c r="AB7" s="1537"/>
      <c r="AC7" s="1537"/>
      <c r="AD7" s="1537"/>
      <c r="AE7" s="1537"/>
      <c r="AF7" s="1537"/>
      <c r="AG7" s="1537"/>
      <c r="AH7" s="1537"/>
      <c r="AI7" s="1537"/>
      <c r="AJ7" s="1537"/>
      <c r="AK7" s="1537"/>
      <c r="AL7" s="1537"/>
      <c r="AM7" s="1562"/>
      <c r="AN7" s="1537"/>
      <c r="AO7" s="1537"/>
      <c r="AP7" s="1537"/>
      <c r="AQ7" s="1537"/>
      <c r="AR7" s="1537"/>
      <c r="AS7" s="1537"/>
      <c r="AT7" s="1537"/>
      <c r="AU7" s="1537"/>
      <c r="AV7" s="1537"/>
      <c r="AW7" s="1537"/>
      <c r="AX7" s="1537"/>
      <c r="AY7" s="1537"/>
      <c r="AZ7" s="1537"/>
      <c r="BA7" s="1537"/>
      <c r="BB7" s="1537"/>
      <c r="BC7" s="1537"/>
      <c r="BD7" s="1537"/>
    </row>
    <row r="8" spans="1:56" s="159" customFormat="1" ht="24.95" customHeight="1" thickBot="1">
      <c r="A8" s="1537"/>
      <c r="B8" s="1537"/>
      <c r="C8" s="1537"/>
      <c r="D8" s="1561"/>
      <c r="E8" s="1531"/>
      <c r="F8" s="4076">
        <v>1</v>
      </c>
      <c r="G8" s="4077"/>
      <c r="H8" s="4078"/>
      <c r="I8" s="4079">
        <v>0</v>
      </c>
      <c r="J8" s="4080"/>
      <c r="K8" s="4081"/>
      <c r="L8" s="4082">
        <v>2</v>
      </c>
      <c r="M8" s="4077"/>
      <c r="N8" s="4078"/>
      <c r="O8" s="4079">
        <v>0</v>
      </c>
      <c r="P8" s="4080"/>
      <c r="Q8" s="4083"/>
      <c r="R8" s="1537"/>
      <c r="S8" s="1537"/>
      <c r="T8" s="1537"/>
      <c r="U8" s="1537"/>
      <c r="V8" s="1537"/>
      <c r="W8" s="1537"/>
      <c r="X8" s="1537"/>
      <c r="Y8" s="1537"/>
      <c r="Z8" s="1537"/>
      <c r="AA8" s="1537"/>
      <c r="AB8" s="1537"/>
      <c r="AC8" s="1537"/>
      <c r="AD8" s="1537"/>
      <c r="AE8" s="1537"/>
      <c r="AF8" s="1537"/>
      <c r="AG8" s="1537"/>
      <c r="AH8" s="1537"/>
      <c r="AI8" s="1537"/>
      <c r="AJ8" s="1537"/>
      <c r="AK8" s="1537"/>
      <c r="AL8" s="1537"/>
      <c r="AM8" s="1562"/>
      <c r="AN8" s="1537"/>
      <c r="AO8" s="1537"/>
      <c r="AP8" s="1537"/>
      <c r="AQ8" s="1537"/>
      <c r="AR8" s="1537"/>
      <c r="AS8" s="1537"/>
      <c r="AT8" s="1537"/>
      <c r="AU8" s="1537"/>
      <c r="AV8" s="1537"/>
      <c r="AW8" s="1537"/>
      <c r="AX8" s="1537"/>
      <c r="AY8" s="1537"/>
      <c r="AZ8" s="1537"/>
      <c r="BA8" s="1537"/>
      <c r="BB8" s="1537"/>
      <c r="BC8" s="1537"/>
      <c r="BD8" s="1537"/>
    </row>
    <row r="9" spans="1:56" s="159" customFormat="1" ht="9.9499999999999993" customHeight="1">
      <c r="A9" s="1537"/>
      <c r="B9" s="1537"/>
      <c r="C9" s="1537"/>
      <c r="D9" s="1561"/>
      <c r="E9" s="1531"/>
      <c r="F9" s="1531"/>
      <c r="G9" s="707"/>
      <c r="H9" s="1537"/>
      <c r="I9" s="1537"/>
      <c r="J9" s="1537"/>
      <c r="K9" s="1537"/>
      <c r="L9" s="1537"/>
      <c r="M9" s="1537"/>
      <c r="N9" s="1537"/>
      <c r="O9" s="1537"/>
      <c r="P9" s="1537"/>
      <c r="Q9" s="1537"/>
      <c r="R9" s="1537"/>
      <c r="S9" s="1537"/>
      <c r="T9" s="1537"/>
      <c r="U9" s="1537"/>
      <c r="V9" s="1537"/>
      <c r="W9" s="1537"/>
      <c r="X9" s="1537"/>
      <c r="Y9" s="1537"/>
      <c r="Z9" s="1537"/>
      <c r="AA9" s="1537"/>
      <c r="AB9" s="1537"/>
      <c r="AC9" s="1537"/>
      <c r="AD9" s="1537"/>
      <c r="AE9" s="1537"/>
      <c r="AF9" s="1537"/>
      <c r="AG9" s="1537"/>
      <c r="AH9" s="1537"/>
      <c r="AI9" s="1537"/>
      <c r="AJ9" s="1537"/>
      <c r="AK9" s="1537"/>
      <c r="AL9" s="1537"/>
      <c r="AM9" s="1562"/>
      <c r="AN9" s="1537"/>
      <c r="AO9" s="1537"/>
      <c r="AP9" s="1537"/>
      <c r="AQ9" s="1537"/>
      <c r="AR9" s="1537"/>
      <c r="AS9" s="1537"/>
      <c r="AT9" s="1537"/>
      <c r="AU9" s="1537"/>
      <c r="AV9" s="1537"/>
      <c r="AW9" s="1537"/>
      <c r="AX9" s="1537"/>
      <c r="AY9" s="1537"/>
      <c r="AZ9" s="1537"/>
      <c r="BA9" s="1537"/>
      <c r="BB9" s="1537"/>
      <c r="BC9" s="1537"/>
      <c r="BD9" s="1537"/>
    </row>
    <row r="10" spans="1:56" ht="15.6" customHeight="1">
      <c r="A10" s="1450"/>
      <c r="B10" s="1450"/>
      <c r="C10" s="1450"/>
      <c r="D10" s="1456"/>
      <c r="E10" s="1528" t="s">
        <v>48</v>
      </c>
      <c r="F10" s="1556" t="s">
        <v>1622</v>
      </c>
      <c r="G10" s="1529"/>
      <c r="H10" s="1529"/>
      <c r="I10" s="1529"/>
      <c r="J10" s="1529"/>
      <c r="K10" s="1529"/>
      <c r="L10" s="1529"/>
      <c r="M10" s="1529"/>
      <c r="N10" s="1529"/>
      <c r="O10" s="1529"/>
      <c r="P10" s="1529"/>
      <c r="Q10" s="1529"/>
      <c r="R10" s="1529"/>
      <c r="S10" s="1529"/>
      <c r="T10" s="1529"/>
      <c r="U10" s="1529"/>
      <c r="V10" s="1529"/>
      <c r="W10" s="1529"/>
      <c r="X10" s="1529"/>
      <c r="Y10" s="1529"/>
      <c r="Z10" s="1529"/>
      <c r="AA10" s="1529"/>
      <c r="AB10" s="1529"/>
      <c r="AC10" s="1529"/>
      <c r="AD10" s="1529"/>
      <c r="AE10" s="1529"/>
      <c r="AF10" s="1529"/>
      <c r="AG10" s="1529"/>
      <c r="AH10" s="1529"/>
      <c r="AI10" s="1529"/>
      <c r="AJ10" s="1529"/>
      <c r="AK10" s="1536"/>
      <c r="AL10" s="1536"/>
      <c r="AM10" s="1557"/>
      <c r="AN10" s="1536"/>
      <c r="AO10" s="1536"/>
      <c r="AP10" s="1450"/>
      <c r="AQ10" s="1450"/>
      <c r="AR10" s="1450"/>
      <c r="AS10" s="1450"/>
      <c r="AT10" s="1450"/>
      <c r="AU10" s="1450"/>
      <c r="AV10" s="1450"/>
      <c r="AW10" s="1450"/>
      <c r="AX10" s="1450"/>
      <c r="AY10" s="1450"/>
      <c r="AZ10" s="1450"/>
      <c r="BA10" s="1450"/>
      <c r="BB10" s="1450"/>
      <c r="BC10" s="1450"/>
      <c r="BD10" s="1450"/>
    </row>
    <row r="11" spans="1:56" ht="5.0999999999999996" customHeight="1" thickBot="1">
      <c r="A11" s="1450"/>
      <c r="B11" s="1450"/>
      <c r="C11" s="1450"/>
      <c r="D11" s="1558"/>
      <c r="E11" s="1555"/>
      <c r="F11" s="1555"/>
      <c r="G11" s="1555"/>
      <c r="H11" s="1555"/>
      <c r="I11" s="1555"/>
      <c r="J11" s="1555"/>
      <c r="K11" s="1555"/>
      <c r="L11" s="1555"/>
      <c r="M11" s="1555"/>
      <c r="N11" s="1555"/>
      <c r="O11" s="1555"/>
      <c r="P11" s="1555"/>
      <c r="Q11" s="1555"/>
      <c r="R11" s="1555"/>
      <c r="S11" s="1555"/>
      <c r="T11" s="1555"/>
      <c r="U11" s="1555"/>
      <c r="V11" s="1555"/>
      <c r="W11" s="1555"/>
      <c r="X11" s="1555"/>
      <c r="Y11" s="1555"/>
      <c r="Z11" s="1555"/>
      <c r="AA11" s="1555"/>
      <c r="AB11" s="1555"/>
      <c r="AC11" s="1555"/>
      <c r="AD11" s="1555"/>
      <c r="AE11" s="1555"/>
      <c r="AF11" s="1555"/>
      <c r="AG11" s="1555"/>
      <c r="AH11" s="1555"/>
      <c r="AI11" s="1555"/>
      <c r="AJ11" s="1555"/>
      <c r="AK11" s="1555"/>
      <c r="AL11" s="1555"/>
      <c r="AM11" s="1559"/>
      <c r="AN11" s="1555"/>
      <c r="AO11" s="1555"/>
      <c r="AP11" s="1450"/>
      <c r="AQ11" s="1450"/>
      <c r="AR11" s="1450"/>
      <c r="AS11" s="1450"/>
      <c r="AT11" s="1450"/>
      <c r="AU11" s="1450"/>
      <c r="AV11" s="1450"/>
      <c r="AW11" s="1450"/>
      <c r="AX11" s="1450"/>
      <c r="AY11" s="1450"/>
      <c r="AZ11" s="1450"/>
      <c r="BA11" s="1450"/>
      <c r="BB11" s="1450"/>
      <c r="BC11" s="1450"/>
      <c r="BD11" s="1450"/>
    </row>
    <row r="12" spans="1:56" s="159" customFormat="1" ht="33.6" customHeight="1" thickBot="1">
      <c r="A12" s="1537"/>
      <c r="B12" s="1537"/>
      <c r="C12" s="1537"/>
      <c r="D12" s="1561"/>
      <c r="E12" s="1531"/>
      <c r="F12" s="4084" t="s">
        <v>910</v>
      </c>
      <c r="G12" s="4070"/>
      <c r="H12" s="4070"/>
      <c r="I12" s="4070"/>
      <c r="J12" s="4070"/>
      <c r="K12" s="4069" t="s">
        <v>978</v>
      </c>
      <c r="L12" s="4069"/>
      <c r="M12" s="4069"/>
      <c r="N12" s="4069"/>
      <c r="O12" s="4069"/>
      <c r="P12" s="4069" t="s">
        <v>726</v>
      </c>
      <c r="Q12" s="4069"/>
      <c r="R12" s="4069"/>
      <c r="S12" s="4069"/>
      <c r="T12" s="4069"/>
      <c r="U12" s="4069" t="s">
        <v>1423</v>
      </c>
      <c r="V12" s="4069"/>
      <c r="W12" s="4069"/>
      <c r="X12" s="4069"/>
      <c r="Y12" s="4069"/>
      <c r="Z12" s="4070" t="s">
        <v>1424</v>
      </c>
      <c r="AA12" s="4070"/>
      <c r="AB12" s="4070"/>
      <c r="AC12" s="4070"/>
      <c r="AD12" s="4071"/>
      <c r="AE12" s="1537"/>
      <c r="AF12" s="1537"/>
      <c r="AG12" s="1537"/>
      <c r="AH12" s="1537"/>
      <c r="AI12" s="1537"/>
      <c r="AJ12" s="1537"/>
      <c r="AK12" s="1537"/>
      <c r="AL12" s="1537"/>
      <c r="AM12" s="1562"/>
      <c r="AN12" s="1537"/>
      <c r="AO12" s="1537"/>
      <c r="AP12" s="1537"/>
      <c r="AQ12" s="1537"/>
      <c r="AR12" s="1537"/>
      <c r="AS12" s="1537"/>
      <c r="AT12" s="1537"/>
      <c r="AU12" s="1537"/>
      <c r="AV12" s="1537"/>
      <c r="AW12" s="1537"/>
      <c r="AX12" s="1537"/>
      <c r="AY12" s="1537"/>
      <c r="AZ12" s="1537"/>
      <c r="BA12" s="1537"/>
      <c r="BB12" s="1537"/>
      <c r="BC12" s="1537"/>
      <c r="BD12" s="1537"/>
    </row>
    <row r="13" spans="1:56" s="159" customFormat="1" ht="30" customHeight="1" thickBot="1">
      <c r="A13" s="1537"/>
      <c r="B13" s="1537"/>
      <c r="C13" s="1537"/>
      <c r="D13" s="1561"/>
      <c r="E13" s="1531"/>
      <c r="F13" s="4072">
        <v>0</v>
      </c>
      <c r="G13" s="4073"/>
      <c r="H13" s="4073"/>
      <c r="I13" s="4073"/>
      <c r="J13" s="4073"/>
      <c r="K13" s="4074">
        <v>2</v>
      </c>
      <c r="L13" s="4074"/>
      <c r="M13" s="4074"/>
      <c r="N13" s="4074"/>
      <c r="O13" s="4074"/>
      <c r="P13" s="4074">
        <v>0</v>
      </c>
      <c r="Q13" s="4074"/>
      <c r="R13" s="4074"/>
      <c r="S13" s="4074"/>
      <c r="T13" s="4074"/>
      <c r="U13" s="4074">
        <v>0</v>
      </c>
      <c r="V13" s="4074"/>
      <c r="W13" s="4074"/>
      <c r="X13" s="4074"/>
      <c r="Y13" s="4074"/>
      <c r="Z13" s="4073">
        <v>0</v>
      </c>
      <c r="AA13" s="4073"/>
      <c r="AB13" s="4073"/>
      <c r="AC13" s="4073"/>
      <c r="AD13" s="4075"/>
      <c r="AE13" s="1537"/>
      <c r="AF13" s="1537"/>
      <c r="AG13" s="1537"/>
      <c r="AH13" s="1537"/>
      <c r="AI13" s="1537"/>
      <c r="AJ13" s="1537"/>
      <c r="AK13" s="1537"/>
      <c r="AL13" s="1537"/>
      <c r="AM13" s="1562"/>
      <c r="AN13" s="1537"/>
      <c r="AO13" s="1537"/>
      <c r="AP13" s="1537"/>
      <c r="AQ13" s="1537"/>
      <c r="AR13" s="1537"/>
      <c r="AS13" s="1537"/>
      <c r="AT13" s="1537"/>
      <c r="AU13" s="1537"/>
      <c r="AV13" s="1537"/>
      <c r="AW13" s="1537"/>
      <c r="AX13" s="1537"/>
      <c r="AY13" s="1537"/>
      <c r="AZ13" s="1537"/>
      <c r="BA13" s="1537"/>
      <c r="BB13" s="1537"/>
      <c r="BC13" s="1537"/>
      <c r="BD13" s="1537"/>
    </row>
    <row r="14" spans="1:56" s="159" customFormat="1" ht="9.9499999999999993" customHeight="1">
      <c r="A14" s="1537"/>
      <c r="B14" s="1537"/>
      <c r="C14" s="1537"/>
      <c r="D14" s="1561"/>
      <c r="E14" s="1531"/>
      <c r="F14" s="1531"/>
      <c r="G14" s="707"/>
      <c r="H14" s="1537"/>
      <c r="I14" s="1537"/>
      <c r="J14" s="1537"/>
      <c r="K14" s="1537"/>
      <c r="L14" s="1537"/>
      <c r="M14" s="1537"/>
      <c r="N14" s="1537"/>
      <c r="O14" s="1537"/>
      <c r="P14" s="1537"/>
      <c r="Q14" s="1537"/>
      <c r="R14" s="1537"/>
      <c r="S14" s="1537"/>
      <c r="T14" s="1537"/>
      <c r="U14" s="1537"/>
      <c r="V14" s="1537"/>
      <c r="W14" s="1537"/>
      <c r="X14" s="1537"/>
      <c r="Y14" s="1537"/>
      <c r="Z14" s="1537"/>
      <c r="AA14" s="1537"/>
      <c r="AB14" s="1537"/>
      <c r="AC14" s="1537"/>
      <c r="AD14" s="1537"/>
      <c r="AE14" s="1537"/>
      <c r="AF14" s="1537"/>
      <c r="AG14" s="1537"/>
      <c r="AH14" s="1537"/>
      <c r="AI14" s="1537"/>
      <c r="AJ14" s="1537"/>
      <c r="AK14" s="1537"/>
      <c r="AL14" s="1537"/>
      <c r="AM14" s="1562"/>
      <c r="AN14" s="1537"/>
      <c r="AO14" s="1537"/>
      <c r="AP14" s="1537"/>
      <c r="AQ14" s="1537"/>
      <c r="AR14" s="1537"/>
      <c r="AS14" s="1537"/>
      <c r="AT14" s="1537"/>
      <c r="AU14" s="1537"/>
      <c r="AV14" s="1537"/>
      <c r="AW14" s="1537"/>
      <c r="AX14" s="1537"/>
      <c r="AY14" s="1537"/>
      <c r="AZ14" s="1537"/>
      <c r="BA14" s="1537"/>
      <c r="BB14" s="1537"/>
      <c r="BC14" s="1537"/>
      <c r="BD14" s="1537"/>
    </row>
    <row r="15" spans="1:56" ht="15.6" customHeight="1">
      <c r="A15" s="1450"/>
      <c r="B15" s="1450"/>
      <c r="C15" s="1450"/>
      <c r="D15" s="1456"/>
      <c r="E15" s="1528" t="s">
        <v>49</v>
      </c>
      <c r="F15" s="1556" t="s">
        <v>11359</v>
      </c>
      <c r="G15" s="1529"/>
      <c r="H15" s="1529"/>
      <c r="I15" s="1529"/>
      <c r="J15" s="1529"/>
      <c r="K15" s="1529"/>
      <c r="L15" s="1529"/>
      <c r="M15" s="1529"/>
      <c r="N15" s="1529"/>
      <c r="O15" s="1529"/>
      <c r="P15" s="1529"/>
      <c r="Q15" s="1529"/>
      <c r="R15" s="1529"/>
      <c r="S15" s="1529"/>
      <c r="T15" s="1529"/>
      <c r="U15" s="1529"/>
      <c r="V15" s="1529"/>
      <c r="W15" s="1529"/>
      <c r="X15" s="1529"/>
      <c r="Y15" s="1529"/>
      <c r="Z15" s="1529"/>
      <c r="AA15" s="1529"/>
      <c r="AB15" s="1529"/>
      <c r="AC15" s="1529"/>
      <c r="AD15" s="1529"/>
      <c r="AE15" s="1529"/>
      <c r="AF15" s="1529"/>
      <c r="AG15" s="1529"/>
      <c r="AH15" s="1529"/>
      <c r="AI15" s="1529"/>
      <c r="AJ15" s="1529"/>
      <c r="AK15" s="1536"/>
      <c r="AL15" s="1536"/>
      <c r="AM15" s="1557"/>
      <c r="AN15" s="1536"/>
      <c r="AO15" s="1536"/>
      <c r="AP15" s="1450"/>
      <c r="AQ15" s="1450"/>
      <c r="AR15" s="1450"/>
      <c r="AS15" s="1450"/>
      <c r="AT15" s="1450"/>
      <c r="AU15" s="1450"/>
      <c r="AV15" s="1450"/>
      <c r="AW15" s="1450"/>
      <c r="AX15" s="1450"/>
      <c r="AY15" s="1450"/>
      <c r="AZ15" s="1450"/>
      <c r="BA15" s="1450"/>
      <c r="BB15" s="1450"/>
      <c r="BC15" s="1450"/>
      <c r="BD15" s="1450"/>
    </row>
    <row r="16" spans="1:56" ht="5.0999999999999996" customHeight="1" thickBot="1">
      <c r="A16" s="1450"/>
      <c r="B16" s="1450"/>
      <c r="C16" s="1450"/>
      <c r="D16" s="1558"/>
      <c r="E16" s="1555"/>
      <c r="F16" s="1555"/>
      <c r="G16" s="1555"/>
      <c r="H16" s="1555"/>
      <c r="I16" s="1555"/>
      <c r="J16" s="1555"/>
      <c r="K16" s="1555"/>
      <c r="L16" s="1555"/>
      <c r="M16" s="1555"/>
      <c r="N16" s="1555"/>
      <c r="O16" s="1555"/>
      <c r="P16" s="1555"/>
      <c r="Q16" s="1555"/>
      <c r="R16" s="1555"/>
      <c r="S16" s="1555"/>
      <c r="T16" s="1555"/>
      <c r="U16" s="1555"/>
      <c r="V16" s="1555"/>
      <c r="W16" s="1555"/>
      <c r="X16" s="1555"/>
      <c r="Y16" s="1555"/>
      <c r="Z16" s="1555"/>
      <c r="AA16" s="1555"/>
      <c r="AB16" s="1555"/>
      <c r="AC16" s="1555"/>
      <c r="AD16" s="1555"/>
      <c r="AE16" s="1555"/>
      <c r="AF16" s="1555"/>
      <c r="AG16" s="1555"/>
      <c r="AH16" s="1555"/>
      <c r="AI16" s="1555"/>
      <c r="AJ16" s="1555"/>
      <c r="AK16" s="1555"/>
      <c r="AL16" s="1555"/>
      <c r="AM16" s="1559"/>
      <c r="AN16" s="1555"/>
      <c r="AO16" s="1555"/>
      <c r="AP16" s="1450"/>
      <c r="AQ16" s="1450"/>
      <c r="AR16" s="1450"/>
      <c r="AS16" s="1450"/>
      <c r="AT16" s="1450"/>
      <c r="AU16" s="1450"/>
      <c r="AV16" s="1450"/>
      <c r="AW16" s="1450"/>
      <c r="AX16" s="1450"/>
      <c r="AY16" s="1450"/>
      <c r="AZ16" s="1450"/>
      <c r="BA16" s="1450"/>
      <c r="BB16" s="1450"/>
      <c r="BC16" s="1450"/>
      <c r="BD16" s="1450"/>
    </row>
    <row r="17" spans="1:56" s="47" customFormat="1" ht="33" customHeight="1">
      <c r="A17" s="260"/>
      <c r="B17" s="260"/>
      <c r="C17" s="260"/>
      <c r="D17" s="603"/>
      <c r="E17" s="260"/>
      <c r="F17" s="2698" t="s">
        <v>1788</v>
      </c>
      <c r="G17" s="4064" t="s">
        <v>1789</v>
      </c>
      <c r="H17" s="4064"/>
      <c r="I17" s="4064"/>
      <c r="J17" s="4064"/>
      <c r="K17" s="4064"/>
      <c r="L17" s="4064"/>
      <c r="M17" s="4064"/>
      <c r="N17" s="4064"/>
      <c r="O17" s="4064"/>
      <c r="P17" s="4064"/>
      <c r="Q17" s="4064"/>
      <c r="R17" s="4064"/>
      <c r="S17" s="4064"/>
      <c r="T17" s="4064"/>
      <c r="U17" s="4064"/>
      <c r="V17" s="4064"/>
      <c r="W17" s="4064"/>
      <c r="X17" s="4064"/>
      <c r="Y17" s="1563"/>
      <c r="Z17" s="2703" t="s">
        <v>940</v>
      </c>
      <c r="AA17" s="2704"/>
      <c r="AB17" s="2704"/>
      <c r="AC17" s="2704"/>
      <c r="AD17" s="2704"/>
      <c r="AE17" s="2704"/>
      <c r="AF17" s="2703" t="s">
        <v>941</v>
      </c>
      <c r="AG17" s="2704"/>
      <c r="AH17" s="2704"/>
      <c r="AI17" s="2704"/>
      <c r="AJ17" s="2704"/>
      <c r="AK17" s="2705"/>
      <c r="AL17" s="260"/>
      <c r="AM17" s="605"/>
      <c r="AN17" s="260"/>
      <c r="AO17" s="260"/>
      <c r="AP17" s="260"/>
      <c r="AQ17" s="260"/>
      <c r="AR17" s="260"/>
      <c r="AS17" s="260"/>
      <c r="AT17" s="260"/>
      <c r="AU17" s="260"/>
      <c r="AV17" s="260"/>
      <c r="AW17" s="260"/>
      <c r="AX17" s="260"/>
      <c r="AY17" s="260"/>
      <c r="AZ17" s="260"/>
      <c r="BA17" s="260"/>
      <c r="BB17" s="260"/>
      <c r="BC17" s="260"/>
      <c r="BD17" s="260"/>
    </row>
    <row r="18" spans="1:56" s="47" customFormat="1" ht="19.5" customHeight="1" thickBot="1">
      <c r="A18" s="260"/>
      <c r="B18" s="260"/>
      <c r="C18" s="260"/>
      <c r="D18" s="603"/>
      <c r="E18" s="260"/>
      <c r="F18" s="2699"/>
      <c r="G18" s="4065"/>
      <c r="H18" s="4065"/>
      <c r="I18" s="4065"/>
      <c r="J18" s="4065"/>
      <c r="K18" s="4065"/>
      <c r="L18" s="4065"/>
      <c r="M18" s="4065"/>
      <c r="N18" s="4065"/>
      <c r="O18" s="4065"/>
      <c r="P18" s="4065"/>
      <c r="Q18" s="4065"/>
      <c r="R18" s="4065"/>
      <c r="S18" s="4065"/>
      <c r="T18" s="4065"/>
      <c r="U18" s="4065"/>
      <c r="V18" s="4065"/>
      <c r="W18" s="4065"/>
      <c r="X18" s="4065"/>
      <c r="Y18" s="1564"/>
      <c r="Z18" s="2763" t="s">
        <v>45</v>
      </c>
      <c r="AA18" s="2764"/>
      <c r="AB18" s="2765"/>
      <c r="AC18" s="2766" t="s">
        <v>46</v>
      </c>
      <c r="AD18" s="2764"/>
      <c r="AE18" s="2771"/>
      <c r="AF18" s="2763" t="s">
        <v>45</v>
      </c>
      <c r="AG18" s="2764"/>
      <c r="AH18" s="2765"/>
      <c r="AI18" s="2766" t="s">
        <v>46</v>
      </c>
      <c r="AJ18" s="2764"/>
      <c r="AK18" s="2771"/>
      <c r="AL18" s="260"/>
      <c r="AM18" s="605"/>
      <c r="AN18" s="260"/>
      <c r="AO18" s="260"/>
      <c r="AP18" s="260"/>
      <c r="AQ18" s="260"/>
      <c r="AR18" s="260"/>
      <c r="AS18" s="260"/>
      <c r="AT18" s="260"/>
      <c r="AU18" s="260"/>
      <c r="AV18" s="260"/>
      <c r="AW18" s="260"/>
      <c r="AX18" s="260"/>
      <c r="AY18" s="260"/>
      <c r="AZ18" s="260"/>
      <c r="BA18" s="260"/>
      <c r="BB18" s="260"/>
      <c r="BC18" s="260"/>
      <c r="BD18" s="260"/>
    </row>
    <row r="19" spans="1:56" s="47" customFormat="1" ht="22.5" customHeight="1">
      <c r="A19" s="260"/>
      <c r="B19" s="260"/>
      <c r="C19" s="260"/>
      <c r="D19" s="603"/>
      <c r="E19" s="260"/>
      <c r="F19" s="1565"/>
      <c r="G19" s="4068" t="s">
        <v>939</v>
      </c>
      <c r="H19" s="4068"/>
      <c r="I19" s="4068"/>
      <c r="J19" s="4068"/>
      <c r="K19" s="4068"/>
      <c r="L19" s="4068"/>
      <c r="M19" s="4068"/>
      <c r="N19" s="4068"/>
      <c r="O19" s="4068"/>
      <c r="P19" s="4068"/>
      <c r="Q19" s="4068"/>
      <c r="R19" s="4068"/>
      <c r="S19" s="4068"/>
      <c r="T19" s="4068"/>
      <c r="U19" s="4068"/>
      <c r="V19" s="4068"/>
      <c r="W19" s="4068"/>
      <c r="X19" s="4068"/>
      <c r="Y19" s="1462"/>
      <c r="Z19" s="4040">
        <v>1</v>
      </c>
      <c r="AA19" s="4041"/>
      <c r="AB19" s="4042"/>
      <c r="AC19" s="4043">
        <v>0</v>
      </c>
      <c r="AD19" s="4041"/>
      <c r="AE19" s="4044"/>
      <c r="AF19" s="4040">
        <v>1</v>
      </c>
      <c r="AG19" s="4041"/>
      <c r="AH19" s="4042"/>
      <c r="AI19" s="4043">
        <v>0</v>
      </c>
      <c r="AJ19" s="4041"/>
      <c r="AK19" s="4044"/>
      <c r="AL19" s="260"/>
      <c r="AM19" s="605"/>
      <c r="AN19" s="260"/>
      <c r="AO19" s="260"/>
      <c r="AP19" s="260"/>
      <c r="AQ19" s="260"/>
      <c r="AR19" s="260"/>
      <c r="AS19" s="260"/>
      <c r="AT19" s="260"/>
      <c r="AU19" s="260"/>
      <c r="AV19" s="260"/>
      <c r="AW19" s="260"/>
      <c r="AX19" s="260"/>
      <c r="AY19" s="260"/>
      <c r="AZ19" s="260"/>
      <c r="BA19" s="260"/>
      <c r="BB19" s="260"/>
      <c r="BC19" s="260"/>
      <c r="BD19" s="260"/>
    </row>
    <row r="20" spans="1:56" s="47" customFormat="1" ht="22.5" customHeight="1">
      <c r="A20" s="260"/>
      <c r="B20" s="260"/>
      <c r="C20" s="260"/>
      <c r="D20" s="603"/>
      <c r="E20" s="260"/>
      <c r="F20" s="1566"/>
      <c r="G20" s="4062" t="s">
        <v>893</v>
      </c>
      <c r="H20" s="4062"/>
      <c r="I20" s="4062"/>
      <c r="J20" s="4062"/>
      <c r="K20" s="4062"/>
      <c r="L20" s="4062"/>
      <c r="M20" s="4062"/>
      <c r="N20" s="4062"/>
      <c r="O20" s="4062"/>
      <c r="P20" s="4062"/>
      <c r="Q20" s="4062"/>
      <c r="R20" s="4062"/>
      <c r="S20" s="4062"/>
      <c r="T20" s="4062"/>
      <c r="U20" s="4062"/>
      <c r="V20" s="4062"/>
      <c r="W20" s="4062"/>
      <c r="X20" s="4062"/>
      <c r="Y20" s="1473"/>
      <c r="Z20" s="4048">
        <v>1</v>
      </c>
      <c r="AA20" s="3881"/>
      <c r="AB20" s="3882"/>
      <c r="AC20" s="3883">
        <v>0</v>
      </c>
      <c r="AD20" s="3881"/>
      <c r="AE20" s="4047"/>
      <c r="AF20" s="4048">
        <v>1</v>
      </c>
      <c r="AG20" s="3881"/>
      <c r="AH20" s="3882"/>
      <c r="AI20" s="3883">
        <v>0</v>
      </c>
      <c r="AJ20" s="3881"/>
      <c r="AK20" s="4047"/>
      <c r="AL20" s="260"/>
      <c r="AM20" s="605"/>
      <c r="AN20" s="260"/>
      <c r="AO20" s="260"/>
      <c r="AP20" s="260"/>
      <c r="AQ20" s="260"/>
      <c r="AR20" s="260"/>
      <c r="AS20" s="260"/>
      <c r="AT20" s="260"/>
      <c r="AU20" s="260"/>
      <c r="AV20" s="260"/>
      <c r="AW20" s="260"/>
      <c r="AX20" s="260"/>
      <c r="AY20" s="260"/>
      <c r="AZ20" s="260"/>
      <c r="BA20" s="260"/>
      <c r="BB20" s="260"/>
      <c r="BC20" s="260"/>
      <c r="BD20" s="260"/>
    </row>
    <row r="21" spans="1:56" s="47" customFormat="1" ht="22.5" customHeight="1">
      <c r="A21" s="260"/>
      <c r="B21" s="260"/>
      <c r="C21" s="260"/>
      <c r="D21" s="603"/>
      <c r="E21" s="260"/>
      <c r="F21" s="1567"/>
      <c r="G21" s="4062" t="s">
        <v>891</v>
      </c>
      <c r="H21" s="4062"/>
      <c r="I21" s="4062"/>
      <c r="J21" s="4062"/>
      <c r="K21" s="4062"/>
      <c r="L21" s="4062"/>
      <c r="M21" s="4062"/>
      <c r="N21" s="4062"/>
      <c r="O21" s="4062"/>
      <c r="P21" s="4062"/>
      <c r="Q21" s="4062"/>
      <c r="R21" s="4062"/>
      <c r="S21" s="4062"/>
      <c r="T21" s="4062"/>
      <c r="U21" s="4062"/>
      <c r="V21" s="4062"/>
      <c r="W21" s="4062"/>
      <c r="X21" s="4062"/>
      <c r="Y21" s="1568"/>
      <c r="Z21" s="4048">
        <v>1</v>
      </c>
      <c r="AA21" s="3881"/>
      <c r="AB21" s="3882"/>
      <c r="AC21" s="3883">
        <v>0</v>
      </c>
      <c r="AD21" s="3881"/>
      <c r="AE21" s="4047"/>
      <c r="AF21" s="4048">
        <v>1</v>
      </c>
      <c r="AG21" s="3881"/>
      <c r="AH21" s="3882"/>
      <c r="AI21" s="3883">
        <v>0</v>
      </c>
      <c r="AJ21" s="3881"/>
      <c r="AK21" s="4047"/>
      <c r="AL21" s="260"/>
      <c r="AM21" s="605"/>
      <c r="AN21" s="260"/>
      <c r="AO21" s="260"/>
      <c r="AP21" s="260"/>
      <c r="AQ21" s="260"/>
      <c r="AR21" s="260"/>
      <c r="AS21" s="260"/>
      <c r="AT21" s="260"/>
      <c r="AU21" s="260"/>
      <c r="AV21" s="260"/>
      <c r="AW21" s="260"/>
      <c r="AX21" s="260"/>
      <c r="AY21" s="260"/>
      <c r="AZ21" s="260"/>
      <c r="BA21" s="260"/>
      <c r="BB21" s="260"/>
      <c r="BC21" s="260"/>
      <c r="BD21" s="260"/>
    </row>
    <row r="22" spans="1:56" s="47" customFormat="1" ht="22.5" customHeight="1">
      <c r="A22" s="260"/>
      <c r="B22" s="260"/>
      <c r="C22" s="260"/>
      <c r="D22" s="603"/>
      <c r="E22" s="260"/>
      <c r="F22" s="1566"/>
      <c r="G22" s="4063" t="s">
        <v>1623</v>
      </c>
      <c r="H22" s="4063"/>
      <c r="I22" s="4063"/>
      <c r="J22" s="4063"/>
      <c r="K22" s="4063"/>
      <c r="L22" s="4063"/>
      <c r="M22" s="4063"/>
      <c r="N22" s="4063"/>
      <c r="O22" s="4063"/>
      <c r="P22" s="4063"/>
      <c r="Q22" s="4063"/>
      <c r="R22" s="4063"/>
      <c r="S22" s="4063"/>
      <c r="T22" s="4063"/>
      <c r="U22" s="4063"/>
      <c r="V22" s="4063"/>
      <c r="W22" s="4063"/>
      <c r="X22" s="4063"/>
      <c r="Y22" s="1473"/>
      <c r="Z22" s="4048">
        <v>0</v>
      </c>
      <c r="AA22" s="3881"/>
      <c r="AB22" s="3882"/>
      <c r="AC22" s="3883">
        <v>0</v>
      </c>
      <c r="AD22" s="3881"/>
      <c r="AE22" s="4047"/>
      <c r="AF22" s="4048">
        <v>0</v>
      </c>
      <c r="AG22" s="3881"/>
      <c r="AH22" s="3882"/>
      <c r="AI22" s="3883">
        <v>0</v>
      </c>
      <c r="AJ22" s="3881"/>
      <c r="AK22" s="4047"/>
      <c r="AL22" s="260"/>
      <c r="AM22" s="605"/>
      <c r="AN22" s="260"/>
      <c r="AO22" s="260"/>
      <c r="AP22" s="260"/>
      <c r="AQ22" s="260"/>
      <c r="AR22" s="260"/>
      <c r="AS22" s="260"/>
      <c r="AT22" s="260"/>
      <c r="AU22" s="260"/>
      <c r="AV22" s="260"/>
      <c r="AW22" s="260"/>
      <c r="AX22" s="260"/>
      <c r="AY22" s="260"/>
      <c r="AZ22" s="260"/>
      <c r="BA22" s="260"/>
      <c r="BB22" s="260"/>
      <c r="BC22" s="260"/>
      <c r="BD22" s="260"/>
    </row>
    <row r="23" spans="1:56" s="47" customFormat="1" ht="22.5" customHeight="1">
      <c r="A23" s="260"/>
      <c r="B23" s="260"/>
      <c r="C23" s="260"/>
      <c r="D23" s="603"/>
      <c r="E23" s="260"/>
      <c r="F23" s="1566"/>
      <c r="G23" s="4063" t="s">
        <v>1624</v>
      </c>
      <c r="H23" s="4063"/>
      <c r="I23" s="4063"/>
      <c r="J23" s="4063"/>
      <c r="K23" s="4063"/>
      <c r="L23" s="4063"/>
      <c r="M23" s="4063"/>
      <c r="N23" s="4063"/>
      <c r="O23" s="4063"/>
      <c r="P23" s="4063"/>
      <c r="Q23" s="4063"/>
      <c r="R23" s="4063"/>
      <c r="S23" s="4063"/>
      <c r="T23" s="4063"/>
      <c r="U23" s="4063"/>
      <c r="V23" s="4063"/>
      <c r="W23" s="4063"/>
      <c r="X23" s="4063"/>
      <c r="Y23" s="1473"/>
      <c r="Z23" s="4048">
        <v>0</v>
      </c>
      <c r="AA23" s="3881"/>
      <c r="AB23" s="3882"/>
      <c r="AC23" s="3883">
        <v>0</v>
      </c>
      <c r="AD23" s="3881"/>
      <c r="AE23" s="4047"/>
      <c r="AF23" s="4048">
        <v>0</v>
      </c>
      <c r="AG23" s="3881"/>
      <c r="AH23" s="3882"/>
      <c r="AI23" s="3883">
        <v>0</v>
      </c>
      <c r="AJ23" s="3881"/>
      <c r="AK23" s="4047"/>
      <c r="AL23" s="260"/>
      <c r="AM23" s="605"/>
      <c r="AN23" s="260"/>
      <c r="AO23" s="260"/>
      <c r="AP23" s="260"/>
      <c r="AQ23" s="260"/>
      <c r="AR23" s="260"/>
      <c r="AS23" s="260"/>
      <c r="AT23" s="260"/>
      <c r="AU23" s="260"/>
      <c r="AV23" s="260"/>
      <c r="AW23" s="260"/>
      <c r="AX23" s="260"/>
      <c r="AY23" s="260"/>
      <c r="AZ23" s="260"/>
      <c r="BA23" s="260"/>
      <c r="BB23" s="260"/>
      <c r="BC23" s="260"/>
      <c r="BD23" s="260"/>
    </row>
    <row r="24" spans="1:56" s="47" customFormat="1" ht="22.5" customHeight="1">
      <c r="A24" s="260"/>
      <c r="B24" s="260"/>
      <c r="C24" s="260"/>
      <c r="D24" s="603"/>
      <c r="E24" s="260"/>
      <c r="F24" s="1566"/>
      <c r="G24" s="4063" t="s">
        <v>1625</v>
      </c>
      <c r="H24" s="4063"/>
      <c r="I24" s="4063"/>
      <c r="J24" s="4063"/>
      <c r="K24" s="4063"/>
      <c r="L24" s="4063"/>
      <c r="M24" s="4063"/>
      <c r="N24" s="4063"/>
      <c r="O24" s="4063"/>
      <c r="P24" s="4063"/>
      <c r="Q24" s="4063"/>
      <c r="R24" s="4063"/>
      <c r="S24" s="4063"/>
      <c r="T24" s="4063"/>
      <c r="U24" s="4063"/>
      <c r="V24" s="4063"/>
      <c r="W24" s="4063"/>
      <c r="X24" s="4063"/>
      <c r="Y24" s="1473"/>
      <c r="Z24" s="4048">
        <v>0</v>
      </c>
      <c r="AA24" s="3881"/>
      <c r="AB24" s="3882"/>
      <c r="AC24" s="3883">
        <v>0</v>
      </c>
      <c r="AD24" s="3881"/>
      <c r="AE24" s="4047"/>
      <c r="AF24" s="4048">
        <v>0</v>
      </c>
      <c r="AG24" s="3881"/>
      <c r="AH24" s="3882"/>
      <c r="AI24" s="3883">
        <v>0</v>
      </c>
      <c r="AJ24" s="3881"/>
      <c r="AK24" s="4047"/>
      <c r="AL24" s="260"/>
      <c r="AM24" s="605"/>
      <c r="AN24" s="260"/>
      <c r="AO24" s="260"/>
      <c r="AP24" s="260"/>
      <c r="AQ24" s="260"/>
      <c r="AR24" s="260"/>
      <c r="AS24" s="260"/>
      <c r="AT24" s="260"/>
      <c r="AU24" s="260"/>
      <c r="AV24" s="260"/>
      <c r="AW24" s="260"/>
      <c r="AX24" s="260"/>
      <c r="AY24" s="260"/>
      <c r="AZ24" s="260"/>
      <c r="BA24" s="260"/>
      <c r="BB24" s="260"/>
      <c r="BC24" s="260"/>
      <c r="BD24" s="260"/>
    </row>
    <row r="25" spans="1:56" s="47" customFormat="1" ht="22.5" customHeight="1">
      <c r="A25" s="260"/>
      <c r="B25" s="260"/>
      <c r="C25" s="260"/>
      <c r="D25" s="603"/>
      <c r="E25" s="260"/>
      <c r="F25" s="1566"/>
      <c r="G25" s="4063" t="s">
        <v>1626</v>
      </c>
      <c r="H25" s="4063"/>
      <c r="I25" s="4063"/>
      <c r="J25" s="4063"/>
      <c r="K25" s="4063"/>
      <c r="L25" s="4063"/>
      <c r="M25" s="4063"/>
      <c r="N25" s="4063"/>
      <c r="O25" s="4063"/>
      <c r="P25" s="4063"/>
      <c r="Q25" s="4063"/>
      <c r="R25" s="4063"/>
      <c r="S25" s="4063"/>
      <c r="T25" s="4063"/>
      <c r="U25" s="4063"/>
      <c r="V25" s="4063"/>
      <c r="W25" s="4063"/>
      <c r="X25" s="4063"/>
      <c r="Y25" s="1473"/>
      <c r="Z25" s="4048">
        <v>0</v>
      </c>
      <c r="AA25" s="3881"/>
      <c r="AB25" s="3882"/>
      <c r="AC25" s="3883">
        <v>0</v>
      </c>
      <c r="AD25" s="3881"/>
      <c r="AE25" s="4047"/>
      <c r="AF25" s="4048">
        <v>0</v>
      </c>
      <c r="AG25" s="3881"/>
      <c r="AH25" s="3882"/>
      <c r="AI25" s="3883">
        <v>0</v>
      </c>
      <c r="AJ25" s="3881"/>
      <c r="AK25" s="4047"/>
      <c r="AL25" s="260"/>
      <c r="AM25" s="605"/>
      <c r="AN25" s="260"/>
      <c r="AO25" s="260"/>
      <c r="AP25" s="260"/>
      <c r="AQ25" s="260"/>
      <c r="AR25" s="260"/>
      <c r="AS25" s="260"/>
      <c r="AT25" s="260"/>
      <c r="AU25" s="260"/>
      <c r="AV25" s="260"/>
      <c r="AW25" s="260"/>
      <c r="AX25" s="260"/>
      <c r="AY25" s="260"/>
      <c r="AZ25" s="260"/>
      <c r="BA25" s="260"/>
      <c r="BB25" s="260"/>
      <c r="BC25" s="260"/>
      <c r="BD25" s="260"/>
    </row>
    <row r="26" spans="1:56" s="47" customFormat="1" ht="36.6" customHeight="1">
      <c r="A26" s="260"/>
      <c r="B26" s="260"/>
      <c r="C26" s="260"/>
      <c r="D26" s="603"/>
      <c r="E26" s="260"/>
      <c r="F26" s="1566"/>
      <c r="G26" s="4062" t="s">
        <v>1627</v>
      </c>
      <c r="H26" s="4062"/>
      <c r="I26" s="4062"/>
      <c r="J26" s="4062"/>
      <c r="K26" s="4062"/>
      <c r="L26" s="4062"/>
      <c r="M26" s="4062"/>
      <c r="N26" s="4062"/>
      <c r="O26" s="4062"/>
      <c r="P26" s="4062"/>
      <c r="Q26" s="4062"/>
      <c r="R26" s="4062"/>
      <c r="S26" s="4062"/>
      <c r="T26" s="4062"/>
      <c r="U26" s="4062"/>
      <c r="V26" s="4062"/>
      <c r="W26" s="4062"/>
      <c r="X26" s="4062"/>
      <c r="Y26" s="1473"/>
      <c r="Z26" s="4048">
        <v>0</v>
      </c>
      <c r="AA26" s="3881"/>
      <c r="AB26" s="3882"/>
      <c r="AC26" s="3883">
        <v>0</v>
      </c>
      <c r="AD26" s="3881"/>
      <c r="AE26" s="4047"/>
      <c r="AF26" s="4048">
        <v>0</v>
      </c>
      <c r="AG26" s="3881"/>
      <c r="AH26" s="3882"/>
      <c r="AI26" s="3883">
        <v>0</v>
      </c>
      <c r="AJ26" s="3881"/>
      <c r="AK26" s="4047"/>
      <c r="AL26" s="260"/>
      <c r="AM26" s="605"/>
      <c r="AN26" s="260"/>
      <c r="AO26" s="260"/>
      <c r="AP26" s="260"/>
      <c r="AQ26" s="260"/>
      <c r="AR26" s="260"/>
      <c r="AS26" s="260"/>
      <c r="AT26" s="260"/>
      <c r="AU26" s="260"/>
      <c r="AV26" s="260"/>
      <c r="AW26" s="260"/>
      <c r="AX26" s="260"/>
      <c r="AY26" s="260"/>
      <c r="AZ26" s="260"/>
      <c r="BA26" s="260"/>
      <c r="BB26" s="260"/>
      <c r="BC26" s="260"/>
      <c r="BD26" s="260"/>
    </row>
    <row r="27" spans="1:56" s="47" customFormat="1" ht="22.5" customHeight="1">
      <c r="A27" s="260"/>
      <c r="B27" s="260"/>
      <c r="C27" s="260"/>
      <c r="D27" s="603"/>
      <c r="E27" s="260"/>
      <c r="F27" s="1569"/>
      <c r="G27" s="1570" t="s">
        <v>1790</v>
      </c>
      <c r="H27" s="1570"/>
      <c r="I27" s="1570"/>
      <c r="J27" s="1570"/>
      <c r="K27" s="3881"/>
      <c r="L27" s="3881"/>
      <c r="M27" s="3881"/>
      <c r="N27" s="3881"/>
      <c r="O27" s="3881"/>
      <c r="P27" s="3881"/>
      <c r="Q27" s="3881"/>
      <c r="R27" s="3881"/>
      <c r="S27" s="3881"/>
      <c r="T27" s="3881"/>
      <c r="U27" s="3881"/>
      <c r="V27" s="3881"/>
      <c r="W27" s="3881"/>
      <c r="X27" s="3881"/>
      <c r="Y27" s="1571"/>
      <c r="Z27" s="3906">
        <v>0</v>
      </c>
      <c r="AA27" s="3901"/>
      <c r="AB27" s="3907"/>
      <c r="AC27" s="3900">
        <v>0</v>
      </c>
      <c r="AD27" s="3901"/>
      <c r="AE27" s="3940"/>
      <c r="AF27" s="3906">
        <v>0</v>
      </c>
      <c r="AG27" s="3901"/>
      <c r="AH27" s="3907"/>
      <c r="AI27" s="3900">
        <v>0</v>
      </c>
      <c r="AJ27" s="3901"/>
      <c r="AK27" s="3940"/>
      <c r="AL27" s="260"/>
      <c r="AM27" s="605"/>
      <c r="AN27" s="260"/>
      <c r="AO27" s="260"/>
      <c r="AP27" s="260"/>
      <c r="AQ27" s="260"/>
      <c r="AR27" s="260"/>
      <c r="AS27" s="260"/>
      <c r="AT27" s="260"/>
      <c r="AU27" s="260"/>
      <c r="AV27" s="260"/>
      <c r="AW27" s="260"/>
      <c r="AX27" s="260"/>
      <c r="AY27" s="260"/>
      <c r="AZ27" s="260"/>
      <c r="BA27" s="260"/>
      <c r="BB27" s="260"/>
      <c r="BC27" s="260"/>
      <c r="BD27" s="260"/>
    </row>
    <row r="28" spans="1:56" s="47" customFormat="1" ht="15" customHeight="1" thickBot="1">
      <c r="A28" s="260"/>
      <c r="B28" s="260"/>
      <c r="C28" s="260"/>
      <c r="D28" s="603"/>
      <c r="E28" s="260"/>
      <c r="F28" s="1572"/>
      <c r="G28" s="1590"/>
      <c r="H28" s="1590"/>
      <c r="I28" s="1590"/>
      <c r="J28" s="1590"/>
      <c r="K28" s="4067" t="str">
        <f>IF(AND(ISBLANK(resilince_num_drrm_others_specify), SUM(Z27:AK28)&gt;0), "Please specify.", IF(AND(resilince_num_drrm_others_specify&gt;0, SUM(Z27:AK28)=0), "Please provide details.", ""))</f>
        <v/>
      </c>
      <c r="L28" s="4067"/>
      <c r="M28" s="4067"/>
      <c r="N28" s="4067"/>
      <c r="O28" s="4067"/>
      <c r="P28" s="4067"/>
      <c r="Q28" s="4067"/>
      <c r="R28" s="4067"/>
      <c r="S28" s="4067"/>
      <c r="T28" s="4067"/>
      <c r="U28" s="4067"/>
      <c r="V28" s="4067"/>
      <c r="W28" s="4067"/>
      <c r="X28" s="4067"/>
      <c r="Y28" s="1573"/>
      <c r="Z28" s="1977"/>
      <c r="AA28" s="1978"/>
      <c r="AB28" s="1979"/>
      <c r="AC28" s="2004"/>
      <c r="AD28" s="1978"/>
      <c r="AE28" s="4061"/>
      <c r="AF28" s="1977"/>
      <c r="AG28" s="1978"/>
      <c r="AH28" s="1979"/>
      <c r="AI28" s="2004"/>
      <c r="AJ28" s="1978"/>
      <c r="AK28" s="4061"/>
      <c r="AL28" s="260"/>
      <c r="AM28" s="605"/>
      <c r="AN28" s="260"/>
      <c r="AO28" s="260"/>
      <c r="AP28" s="260"/>
      <c r="AQ28" s="260"/>
      <c r="AR28" s="260"/>
      <c r="AS28" s="260"/>
      <c r="AT28" s="260"/>
      <c r="AU28" s="260"/>
      <c r="AV28" s="260"/>
      <c r="AW28" s="260"/>
      <c r="AX28" s="260"/>
      <c r="AY28" s="260"/>
      <c r="AZ28" s="260"/>
      <c r="BA28" s="260"/>
      <c r="BB28" s="260"/>
      <c r="BC28" s="260"/>
      <c r="BD28" s="260"/>
    </row>
    <row r="29" spans="1:56" s="47" customFormat="1" ht="33" customHeight="1">
      <c r="A29" s="260"/>
      <c r="B29" s="260"/>
      <c r="C29" s="260"/>
      <c r="D29" s="603"/>
      <c r="E29" s="260"/>
      <c r="F29" s="2698" t="s">
        <v>1791</v>
      </c>
      <c r="G29" s="4064" t="s">
        <v>1792</v>
      </c>
      <c r="H29" s="4064"/>
      <c r="I29" s="4064"/>
      <c r="J29" s="4064"/>
      <c r="K29" s="4064"/>
      <c r="L29" s="4064"/>
      <c r="M29" s="4064"/>
      <c r="N29" s="4064"/>
      <c r="O29" s="4064"/>
      <c r="P29" s="4064"/>
      <c r="Q29" s="4064"/>
      <c r="R29" s="4064"/>
      <c r="S29" s="4064"/>
      <c r="T29" s="4064"/>
      <c r="U29" s="4064"/>
      <c r="V29" s="4064"/>
      <c r="W29" s="4064"/>
      <c r="X29" s="4064"/>
      <c r="Y29" s="1563"/>
      <c r="Z29" s="2703" t="s">
        <v>940</v>
      </c>
      <c r="AA29" s="2704"/>
      <c r="AB29" s="2704"/>
      <c r="AC29" s="2704"/>
      <c r="AD29" s="2704"/>
      <c r="AE29" s="2704"/>
      <c r="AF29" s="2703" t="s">
        <v>941</v>
      </c>
      <c r="AG29" s="2704"/>
      <c r="AH29" s="2704"/>
      <c r="AI29" s="2704"/>
      <c r="AJ29" s="2704"/>
      <c r="AK29" s="2705"/>
      <c r="AL29" s="260"/>
      <c r="AM29" s="605"/>
      <c r="AN29" s="260"/>
      <c r="AO29" s="260"/>
      <c r="AP29" s="260"/>
      <c r="AQ29" s="260"/>
      <c r="AR29" s="260"/>
      <c r="AS29" s="260"/>
      <c r="AT29" s="260"/>
      <c r="AU29" s="260"/>
      <c r="AV29" s="260"/>
      <c r="AW29" s="260"/>
      <c r="AX29" s="260"/>
      <c r="AY29" s="260"/>
      <c r="AZ29" s="260"/>
      <c r="BA29" s="260"/>
      <c r="BB29" s="260"/>
      <c r="BC29" s="260"/>
      <c r="BD29" s="260"/>
    </row>
    <row r="30" spans="1:56" s="47" customFormat="1" ht="19.5" customHeight="1" thickBot="1">
      <c r="A30" s="260"/>
      <c r="B30" s="260"/>
      <c r="C30" s="260"/>
      <c r="D30" s="603"/>
      <c r="E30" s="260"/>
      <c r="F30" s="2699"/>
      <c r="G30" s="4065"/>
      <c r="H30" s="4065"/>
      <c r="I30" s="4065"/>
      <c r="J30" s="4065"/>
      <c r="K30" s="4065"/>
      <c r="L30" s="4065"/>
      <c r="M30" s="4065"/>
      <c r="N30" s="4065"/>
      <c r="O30" s="4065"/>
      <c r="P30" s="4065"/>
      <c r="Q30" s="4065"/>
      <c r="R30" s="4065"/>
      <c r="S30" s="4065"/>
      <c r="T30" s="4065"/>
      <c r="U30" s="4065"/>
      <c r="V30" s="4065"/>
      <c r="W30" s="4065"/>
      <c r="X30" s="4065"/>
      <c r="Y30" s="1564"/>
      <c r="Z30" s="2763" t="s">
        <v>45</v>
      </c>
      <c r="AA30" s="2764"/>
      <c r="AB30" s="2765"/>
      <c r="AC30" s="2766" t="s">
        <v>46</v>
      </c>
      <c r="AD30" s="2764"/>
      <c r="AE30" s="2771"/>
      <c r="AF30" s="2763" t="s">
        <v>45</v>
      </c>
      <c r="AG30" s="2764"/>
      <c r="AH30" s="2765"/>
      <c r="AI30" s="2766" t="s">
        <v>46</v>
      </c>
      <c r="AJ30" s="2764"/>
      <c r="AK30" s="2771"/>
      <c r="AL30" s="260"/>
      <c r="AM30" s="605"/>
      <c r="AN30" s="260"/>
      <c r="AO30" s="260"/>
      <c r="AP30" s="260"/>
      <c r="AQ30" s="260"/>
      <c r="AR30" s="260"/>
      <c r="AS30" s="260"/>
      <c r="AT30" s="260"/>
      <c r="AU30" s="260"/>
      <c r="AV30" s="260"/>
      <c r="AW30" s="260"/>
      <c r="AX30" s="260"/>
      <c r="AY30" s="260"/>
      <c r="AZ30" s="260"/>
      <c r="BA30" s="260"/>
      <c r="BB30" s="260"/>
      <c r="BC30" s="260"/>
      <c r="BD30" s="260"/>
    </row>
    <row r="31" spans="1:56" s="47" customFormat="1" ht="22.5" customHeight="1">
      <c r="A31" s="260"/>
      <c r="B31" s="260"/>
      <c r="C31" s="260"/>
      <c r="D31" s="603"/>
      <c r="E31" s="260"/>
      <c r="F31" s="1565"/>
      <c r="G31" s="4066" t="s">
        <v>1628</v>
      </c>
      <c r="H31" s="4066"/>
      <c r="I31" s="4066"/>
      <c r="J31" s="4066"/>
      <c r="K31" s="4066"/>
      <c r="L31" s="4066"/>
      <c r="M31" s="4066"/>
      <c r="N31" s="4066"/>
      <c r="O31" s="4066"/>
      <c r="P31" s="4066"/>
      <c r="Q31" s="4066"/>
      <c r="R31" s="4066"/>
      <c r="S31" s="4066"/>
      <c r="T31" s="4066"/>
      <c r="U31" s="4066"/>
      <c r="V31" s="4066"/>
      <c r="W31" s="4066"/>
      <c r="X31" s="4066"/>
      <c r="Y31" s="1462"/>
      <c r="Z31" s="4040">
        <v>0</v>
      </c>
      <c r="AA31" s="4041"/>
      <c r="AB31" s="4042"/>
      <c r="AC31" s="4043">
        <v>0</v>
      </c>
      <c r="AD31" s="4041"/>
      <c r="AE31" s="4044"/>
      <c r="AF31" s="4040">
        <v>0</v>
      </c>
      <c r="AG31" s="4041"/>
      <c r="AH31" s="4042"/>
      <c r="AI31" s="4043">
        <v>0</v>
      </c>
      <c r="AJ31" s="4041"/>
      <c r="AK31" s="4044"/>
      <c r="AL31" s="260"/>
      <c r="AM31" s="605"/>
      <c r="AN31" s="260"/>
      <c r="AO31" s="260"/>
      <c r="AP31" s="260"/>
      <c r="AQ31" s="260"/>
      <c r="AR31" s="260"/>
      <c r="AS31" s="260"/>
      <c r="AT31" s="260"/>
      <c r="AU31" s="260"/>
      <c r="AV31" s="260"/>
      <c r="AW31" s="260"/>
      <c r="AX31" s="260"/>
      <c r="AY31" s="260"/>
      <c r="AZ31" s="260"/>
      <c r="BA31" s="260"/>
      <c r="BB31" s="260"/>
      <c r="BC31" s="260"/>
      <c r="BD31" s="260"/>
    </row>
    <row r="32" spans="1:56" s="47" customFormat="1" ht="22.5" customHeight="1">
      <c r="A32" s="260"/>
      <c r="B32" s="260"/>
      <c r="C32" s="260"/>
      <c r="D32" s="603"/>
      <c r="E32" s="260"/>
      <c r="F32" s="1566"/>
      <c r="G32" s="4063" t="s">
        <v>1629</v>
      </c>
      <c r="H32" s="4063"/>
      <c r="I32" s="4063"/>
      <c r="J32" s="4063"/>
      <c r="K32" s="4063"/>
      <c r="L32" s="4063"/>
      <c r="M32" s="4063"/>
      <c r="N32" s="4063"/>
      <c r="O32" s="4063"/>
      <c r="P32" s="4063"/>
      <c r="Q32" s="4063"/>
      <c r="R32" s="4063"/>
      <c r="S32" s="4063"/>
      <c r="T32" s="4063"/>
      <c r="U32" s="4063"/>
      <c r="V32" s="4063"/>
      <c r="W32" s="4063"/>
      <c r="X32" s="4063"/>
      <c r="Y32" s="1473"/>
      <c r="Z32" s="4048">
        <v>0</v>
      </c>
      <c r="AA32" s="3881"/>
      <c r="AB32" s="3882"/>
      <c r="AC32" s="3883">
        <v>0</v>
      </c>
      <c r="AD32" s="3881"/>
      <c r="AE32" s="4047"/>
      <c r="AF32" s="4048">
        <v>0</v>
      </c>
      <c r="AG32" s="3881"/>
      <c r="AH32" s="3882"/>
      <c r="AI32" s="3883">
        <v>0</v>
      </c>
      <c r="AJ32" s="3881"/>
      <c r="AK32" s="4047"/>
      <c r="AL32" s="260"/>
      <c r="AM32" s="605"/>
      <c r="AN32" s="260"/>
      <c r="AO32" s="260"/>
      <c r="AP32" s="260"/>
      <c r="AQ32" s="260"/>
      <c r="AR32" s="260"/>
      <c r="AS32" s="260"/>
      <c r="AT32" s="260"/>
      <c r="AU32" s="260"/>
      <c r="AV32" s="260"/>
      <c r="AW32" s="260"/>
      <c r="AX32" s="260"/>
      <c r="AY32" s="260"/>
      <c r="AZ32" s="260"/>
      <c r="BA32" s="260"/>
      <c r="BB32" s="260"/>
      <c r="BC32" s="260"/>
      <c r="BD32" s="260"/>
    </row>
    <row r="33" spans="1:56" s="47" customFormat="1" ht="22.5" customHeight="1">
      <c r="A33" s="260"/>
      <c r="B33" s="260"/>
      <c r="C33" s="260"/>
      <c r="D33" s="603"/>
      <c r="E33" s="260"/>
      <c r="F33" s="1567"/>
      <c r="G33" s="4063" t="s">
        <v>1630</v>
      </c>
      <c r="H33" s="4063"/>
      <c r="I33" s="4063"/>
      <c r="J33" s="4063"/>
      <c r="K33" s="4063"/>
      <c r="L33" s="4063"/>
      <c r="M33" s="4063"/>
      <c r="N33" s="4063"/>
      <c r="O33" s="4063"/>
      <c r="P33" s="4063"/>
      <c r="Q33" s="4063"/>
      <c r="R33" s="4063"/>
      <c r="S33" s="4063"/>
      <c r="T33" s="4063"/>
      <c r="U33" s="4063"/>
      <c r="V33" s="4063"/>
      <c r="W33" s="4063"/>
      <c r="X33" s="4063"/>
      <c r="Y33" s="1568"/>
      <c r="Z33" s="4048">
        <v>0</v>
      </c>
      <c r="AA33" s="3881"/>
      <c r="AB33" s="3882"/>
      <c r="AC33" s="3883">
        <v>0</v>
      </c>
      <c r="AD33" s="3881"/>
      <c r="AE33" s="4047"/>
      <c r="AF33" s="4048">
        <v>0</v>
      </c>
      <c r="AG33" s="3881"/>
      <c r="AH33" s="3882"/>
      <c r="AI33" s="3883">
        <v>0</v>
      </c>
      <c r="AJ33" s="3881"/>
      <c r="AK33" s="4047"/>
      <c r="AL33" s="260"/>
      <c r="AM33" s="605"/>
      <c r="AN33" s="260"/>
      <c r="AO33" s="260"/>
      <c r="AP33" s="260"/>
      <c r="AQ33" s="260"/>
      <c r="AR33" s="260"/>
      <c r="AS33" s="260"/>
      <c r="AT33" s="260"/>
      <c r="AU33" s="260"/>
      <c r="AV33" s="260"/>
      <c r="AW33" s="260"/>
      <c r="AX33" s="260"/>
      <c r="AY33" s="260"/>
      <c r="AZ33" s="260"/>
      <c r="BA33" s="260"/>
      <c r="BB33" s="260"/>
      <c r="BC33" s="260"/>
      <c r="BD33" s="260"/>
    </row>
    <row r="34" spans="1:56" s="47" customFormat="1" ht="22.5" customHeight="1">
      <c r="A34" s="260"/>
      <c r="B34" s="260"/>
      <c r="C34" s="260"/>
      <c r="D34" s="603"/>
      <c r="E34" s="260"/>
      <c r="F34" s="1566"/>
      <c r="G34" s="4063" t="s">
        <v>1631</v>
      </c>
      <c r="H34" s="4063"/>
      <c r="I34" s="4063"/>
      <c r="J34" s="4063"/>
      <c r="K34" s="4063"/>
      <c r="L34" s="4063"/>
      <c r="M34" s="4063"/>
      <c r="N34" s="4063"/>
      <c r="O34" s="4063"/>
      <c r="P34" s="4063"/>
      <c r="Q34" s="4063"/>
      <c r="R34" s="4063"/>
      <c r="S34" s="4063"/>
      <c r="T34" s="4063"/>
      <c r="U34" s="4063"/>
      <c r="V34" s="4063"/>
      <c r="W34" s="4063"/>
      <c r="X34" s="4063"/>
      <c r="Y34" s="1473"/>
      <c r="Z34" s="4048">
        <v>0</v>
      </c>
      <c r="AA34" s="3881"/>
      <c r="AB34" s="3882"/>
      <c r="AC34" s="3883">
        <v>0</v>
      </c>
      <c r="AD34" s="3881"/>
      <c r="AE34" s="4047"/>
      <c r="AF34" s="4048">
        <v>0</v>
      </c>
      <c r="AG34" s="3881"/>
      <c r="AH34" s="3882"/>
      <c r="AI34" s="3883">
        <v>0</v>
      </c>
      <c r="AJ34" s="3881"/>
      <c r="AK34" s="4047"/>
      <c r="AL34" s="260"/>
      <c r="AM34" s="605"/>
      <c r="AN34" s="260"/>
      <c r="AO34" s="260"/>
      <c r="AP34" s="260"/>
      <c r="AQ34" s="260"/>
      <c r="AR34" s="260"/>
      <c r="AS34" s="260"/>
      <c r="AT34" s="260"/>
      <c r="AU34" s="260"/>
      <c r="AV34" s="260"/>
      <c r="AW34" s="260"/>
      <c r="AX34" s="260"/>
      <c r="AY34" s="260"/>
      <c r="AZ34" s="260"/>
      <c r="BA34" s="260"/>
      <c r="BB34" s="260"/>
      <c r="BC34" s="260"/>
      <c r="BD34" s="260"/>
    </row>
    <row r="35" spans="1:56" s="47" customFormat="1" ht="22.5" customHeight="1">
      <c r="A35" s="260"/>
      <c r="B35" s="260"/>
      <c r="C35" s="260"/>
      <c r="D35" s="603"/>
      <c r="E35" s="260"/>
      <c r="F35" s="1566"/>
      <c r="G35" s="4063" t="s">
        <v>1632</v>
      </c>
      <c r="H35" s="4063"/>
      <c r="I35" s="4063"/>
      <c r="J35" s="4063"/>
      <c r="K35" s="4063"/>
      <c r="L35" s="4063"/>
      <c r="M35" s="4063"/>
      <c r="N35" s="4063"/>
      <c r="O35" s="4063"/>
      <c r="P35" s="4063"/>
      <c r="Q35" s="4063"/>
      <c r="R35" s="4063"/>
      <c r="S35" s="4063"/>
      <c r="T35" s="4063"/>
      <c r="U35" s="4063"/>
      <c r="V35" s="4063"/>
      <c r="W35" s="4063"/>
      <c r="X35" s="4063"/>
      <c r="Y35" s="1473"/>
      <c r="Z35" s="4048">
        <v>0</v>
      </c>
      <c r="AA35" s="3881"/>
      <c r="AB35" s="3882"/>
      <c r="AC35" s="3883">
        <v>0</v>
      </c>
      <c r="AD35" s="3881"/>
      <c r="AE35" s="4047"/>
      <c r="AF35" s="4048">
        <v>0</v>
      </c>
      <c r="AG35" s="3881"/>
      <c r="AH35" s="3882"/>
      <c r="AI35" s="3883">
        <v>0</v>
      </c>
      <c r="AJ35" s="3881"/>
      <c r="AK35" s="4047"/>
      <c r="AL35" s="260"/>
      <c r="AM35" s="605"/>
      <c r="AN35" s="260"/>
      <c r="AO35" s="260"/>
      <c r="AP35" s="260"/>
      <c r="AQ35" s="260"/>
      <c r="AR35" s="260"/>
      <c r="AS35" s="260"/>
      <c r="AT35" s="260"/>
      <c r="AU35" s="260"/>
      <c r="AV35" s="260"/>
      <c r="AW35" s="260"/>
      <c r="AX35" s="260"/>
      <c r="AY35" s="260"/>
      <c r="AZ35" s="260"/>
      <c r="BA35" s="260"/>
      <c r="BB35" s="260"/>
      <c r="BC35" s="260"/>
      <c r="BD35" s="260"/>
    </row>
    <row r="36" spans="1:56" s="47" customFormat="1" ht="22.5" customHeight="1">
      <c r="A36" s="260"/>
      <c r="B36" s="260"/>
      <c r="C36" s="260"/>
      <c r="D36" s="603"/>
      <c r="E36" s="260"/>
      <c r="F36" s="1566"/>
      <c r="G36" s="4063" t="s">
        <v>933</v>
      </c>
      <c r="H36" s="4063"/>
      <c r="I36" s="4063"/>
      <c r="J36" s="4063"/>
      <c r="K36" s="4063"/>
      <c r="L36" s="4063"/>
      <c r="M36" s="4063"/>
      <c r="N36" s="4063"/>
      <c r="O36" s="4063"/>
      <c r="P36" s="4063"/>
      <c r="Q36" s="4063"/>
      <c r="R36" s="4063"/>
      <c r="S36" s="4063"/>
      <c r="T36" s="4063"/>
      <c r="U36" s="4063"/>
      <c r="V36" s="4063"/>
      <c r="W36" s="4063"/>
      <c r="X36" s="4063"/>
      <c r="Y36" s="1473"/>
      <c r="Z36" s="4048">
        <v>2</v>
      </c>
      <c r="AA36" s="3881"/>
      <c r="AB36" s="3882"/>
      <c r="AC36" s="3883">
        <v>2</v>
      </c>
      <c r="AD36" s="3881"/>
      <c r="AE36" s="4047"/>
      <c r="AF36" s="4048">
        <v>0</v>
      </c>
      <c r="AG36" s="3881"/>
      <c r="AH36" s="3882"/>
      <c r="AI36" s="3883">
        <v>0</v>
      </c>
      <c r="AJ36" s="3881"/>
      <c r="AK36" s="4047"/>
      <c r="AL36" s="260"/>
      <c r="AM36" s="605"/>
      <c r="AN36" s="260"/>
      <c r="AO36" s="260"/>
      <c r="AP36" s="260"/>
      <c r="AQ36" s="260"/>
      <c r="AR36" s="260"/>
      <c r="AS36" s="260"/>
      <c r="AT36" s="260"/>
      <c r="AU36" s="260"/>
      <c r="AV36" s="260"/>
      <c r="AW36" s="260"/>
      <c r="AX36" s="260"/>
      <c r="AY36" s="260"/>
      <c r="AZ36" s="260"/>
      <c r="BA36" s="260"/>
      <c r="BB36" s="260"/>
      <c r="BC36" s="260"/>
      <c r="BD36" s="260"/>
    </row>
    <row r="37" spans="1:56" s="47" customFormat="1" ht="22.5" customHeight="1">
      <c r="A37" s="260"/>
      <c r="B37" s="260"/>
      <c r="C37" s="260"/>
      <c r="D37" s="603"/>
      <c r="E37" s="260"/>
      <c r="F37" s="1566"/>
      <c r="G37" s="4063" t="s">
        <v>1633</v>
      </c>
      <c r="H37" s="4063"/>
      <c r="I37" s="4063"/>
      <c r="J37" s="4063"/>
      <c r="K37" s="4063"/>
      <c r="L37" s="4063"/>
      <c r="M37" s="4063"/>
      <c r="N37" s="4063"/>
      <c r="O37" s="4063"/>
      <c r="P37" s="4063"/>
      <c r="Q37" s="4063"/>
      <c r="R37" s="4063"/>
      <c r="S37" s="4063"/>
      <c r="T37" s="4063"/>
      <c r="U37" s="4063"/>
      <c r="V37" s="4063"/>
      <c r="W37" s="4063"/>
      <c r="X37" s="4063"/>
      <c r="Y37" s="1473"/>
      <c r="Z37" s="4048">
        <v>0</v>
      </c>
      <c r="AA37" s="3881"/>
      <c r="AB37" s="3882"/>
      <c r="AC37" s="3883">
        <v>0</v>
      </c>
      <c r="AD37" s="3881"/>
      <c r="AE37" s="4047"/>
      <c r="AF37" s="4048">
        <v>0</v>
      </c>
      <c r="AG37" s="3881"/>
      <c r="AH37" s="3882"/>
      <c r="AI37" s="3883">
        <v>0</v>
      </c>
      <c r="AJ37" s="3881"/>
      <c r="AK37" s="4047"/>
      <c r="AL37" s="260"/>
      <c r="AM37" s="605"/>
      <c r="AN37" s="260"/>
      <c r="AO37" s="260"/>
      <c r="AP37" s="260"/>
      <c r="AQ37" s="260"/>
      <c r="AR37" s="260"/>
      <c r="AS37" s="260"/>
      <c r="AT37" s="260"/>
      <c r="AU37" s="260"/>
      <c r="AV37" s="260"/>
      <c r="AW37" s="260"/>
      <c r="AX37" s="260"/>
      <c r="AY37" s="260"/>
      <c r="AZ37" s="260"/>
      <c r="BA37" s="260"/>
      <c r="BB37" s="260"/>
      <c r="BC37" s="260"/>
      <c r="BD37" s="260"/>
    </row>
    <row r="38" spans="1:56" s="47" customFormat="1" ht="22.5" customHeight="1">
      <c r="A38" s="260"/>
      <c r="B38" s="260"/>
      <c r="C38" s="260"/>
      <c r="D38" s="603"/>
      <c r="E38" s="260"/>
      <c r="F38" s="1566"/>
      <c r="G38" s="4063" t="s">
        <v>1634</v>
      </c>
      <c r="H38" s="4063"/>
      <c r="I38" s="4063"/>
      <c r="J38" s="4063"/>
      <c r="K38" s="4063"/>
      <c r="L38" s="4063"/>
      <c r="M38" s="4063"/>
      <c r="N38" s="4063"/>
      <c r="O38" s="4063"/>
      <c r="P38" s="4063"/>
      <c r="Q38" s="4063"/>
      <c r="R38" s="4063"/>
      <c r="S38" s="4063"/>
      <c r="T38" s="4063"/>
      <c r="U38" s="4063"/>
      <c r="V38" s="4063"/>
      <c r="W38" s="4063"/>
      <c r="X38" s="4063"/>
      <c r="Y38" s="1473"/>
      <c r="Z38" s="4048">
        <v>0</v>
      </c>
      <c r="AA38" s="3881"/>
      <c r="AB38" s="3882"/>
      <c r="AC38" s="3883">
        <v>0</v>
      </c>
      <c r="AD38" s="3881"/>
      <c r="AE38" s="4047"/>
      <c r="AF38" s="4048">
        <v>0</v>
      </c>
      <c r="AG38" s="3881"/>
      <c r="AH38" s="3882"/>
      <c r="AI38" s="3883">
        <v>0</v>
      </c>
      <c r="AJ38" s="3881"/>
      <c r="AK38" s="4047"/>
      <c r="AL38" s="260"/>
      <c r="AM38" s="605"/>
      <c r="AN38" s="260"/>
      <c r="AO38" s="260"/>
      <c r="AP38" s="260"/>
      <c r="AQ38" s="260"/>
      <c r="AR38" s="260"/>
      <c r="AS38" s="260"/>
      <c r="AT38" s="260"/>
      <c r="AU38" s="260"/>
      <c r="AV38" s="260"/>
      <c r="AW38" s="260"/>
      <c r="AX38" s="260"/>
      <c r="AY38" s="260"/>
      <c r="AZ38" s="260"/>
      <c r="BA38" s="260"/>
      <c r="BB38" s="260"/>
      <c r="BC38" s="260"/>
      <c r="BD38" s="260"/>
    </row>
    <row r="39" spans="1:56" s="47" customFormat="1" ht="22.5" customHeight="1">
      <c r="A39" s="260"/>
      <c r="B39" s="260"/>
      <c r="C39" s="260"/>
      <c r="D39" s="603"/>
      <c r="E39" s="260"/>
      <c r="F39" s="1566"/>
      <c r="G39" s="4063" t="s">
        <v>935</v>
      </c>
      <c r="H39" s="4063"/>
      <c r="I39" s="4063"/>
      <c r="J39" s="4063"/>
      <c r="K39" s="4063"/>
      <c r="L39" s="4063"/>
      <c r="M39" s="4063"/>
      <c r="N39" s="4063"/>
      <c r="O39" s="4063"/>
      <c r="P39" s="4063"/>
      <c r="Q39" s="4063"/>
      <c r="R39" s="4063"/>
      <c r="S39" s="4063"/>
      <c r="T39" s="4063"/>
      <c r="U39" s="4063"/>
      <c r="V39" s="4063"/>
      <c r="W39" s="4063"/>
      <c r="X39" s="4063"/>
      <c r="Y39" s="1473"/>
      <c r="Z39" s="4048">
        <v>0</v>
      </c>
      <c r="AA39" s="3881"/>
      <c r="AB39" s="3882"/>
      <c r="AC39" s="3883">
        <v>0</v>
      </c>
      <c r="AD39" s="3881"/>
      <c r="AE39" s="4047"/>
      <c r="AF39" s="4048">
        <v>0</v>
      </c>
      <c r="AG39" s="3881"/>
      <c r="AH39" s="3882"/>
      <c r="AI39" s="3883">
        <v>0</v>
      </c>
      <c r="AJ39" s="3881"/>
      <c r="AK39" s="4047"/>
      <c r="AL39" s="260"/>
      <c r="AM39" s="605"/>
      <c r="AN39" s="260"/>
      <c r="AO39" s="260"/>
      <c r="AP39" s="260"/>
      <c r="AQ39" s="260"/>
      <c r="AR39" s="260"/>
      <c r="AS39" s="260"/>
      <c r="AT39" s="260"/>
      <c r="AU39" s="260"/>
      <c r="AV39" s="260"/>
      <c r="AW39" s="260"/>
      <c r="AX39" s="260"/>
      <c r="AY39" s="260"/>
      <c r="AZ39" s="260"/>
      <c r="BA39" s="260"/>
      <c r="BB39" s="260"/>
      <c r="BC39" s="260"/>
      <c r="BD39" s="260"/>
    </row>
    <row r="40" spans="1:56" s="47" customFormat="1" ht="22.5" customHeight="1">
      <c r="A40" s="260"/>
      <c r="B40" s="260"/>
      <c r="C40" s="260"/>
      <c r="D40" s="603"/>
      <c r="E40" s="260"/>
      <c r="F40" s="1566"/>
      <c r="G40" s="4063" t="s">
        <v>936</v>
      </c>
      <c r="H40" s="4063"/>
      <c r="I40" s="4063"/>
      <c r="J40" s="4063"/>
      <c r="K40" s="4063"/>
      <c r="L40" s="4063"/>
      <c r="M40" s="4063"/>
      <c r="N40" s="4063"/>
      <c r="O40" s="4063"/>
      <c r="P40" s="4063"/>
      <c r="Q40" s="4063"/>
      <c r="R40" s="4063"/>
      <c r="S40" s="4063"/>
      <c r="T40" s="4063"/>
      <c r="U40" s="4063"/>
      <c r="V40" s="4063"/>
      <c r="W40" s="4063"/>
      <c r="X40" s="4063"/>
      <c r="Y40" s="1473"/>
      <c r="Z40" s="4048">
        <v>0</v>
      </c>
      <c r="AA40" s="3881"/>
      <c r="AB40" s="3882"/>
      <c r="AC40" s="3883">
        <v>0</v>
      </c>
      <c r="AD40" s="3881"/>
      <c r="AE40" s="4047"/>
      <c r="AF40" s="4048">
        <v>0</v>
      </c>
      <c r="AG40" s="3881"/>
      <c r="AH40" s="3882"/>
      <c r="AI40" s="3883">
        <v>0</v>
      </c>
      <c r="AJ40" s="3881"/>
      <c r="AK40" s="4047"/>
      <c r="AL40" s="260"/>
      <c r="AM40" s="605"/>
      <c r="AN40" s="260"/>
      <c r="AO40" s="260"/>
      <c r="AP40" s="260"/>
      <c r="AQ40" s="260"/>
      <c r="AR40" s="260"/>
      <c r="AS40" s="260"/>
      <c r="AT40" s="260"/>
      <c r="AU40" s="260"/>
      <c r="AV40" s="260"/>
      <c r="AW40" s="260"/>
      <c r="AX40" s="260"/>
      <c r="AY40" s="260"/>
      <c r="AZ40" s="260"/>
      <c r="BA40" s="260"/>
      <c r="BB40" s="260"/>
      <c r="BC40" s="260"/>
      <c r="BD40" s="260"/>
    </row>
    <row r="41" spans="1:56" s="47" customFormat="1" ht="22.5" customHeight="1">
      <c r="A41" s="260"/>
      <c r="B41" s="260"/>
      <c r="C41" s="260"/>
      <c r="D41" s="603"/>
      <c r="E41" s="260"/>
      <c r="F41" s="1566"/>
      <c r="G41" s="4063" t="s">
        <v>938</v>
      </c>
      <c r="H41" s="4063"/>
      <c r="I41" s="4063"/>
      <c r="J41" s="4063"/>
      <c r="K41" s="4063"/>
      <c r="L41" s="4063"/>
      <c r="M41" s="4063"/>
      <c r="N41" s="4063"/>
      <c r="O41" s="4063"/>
      <c r="P41" s="4063"/>
      <c r="Q41" s="4063"/>
      <c r="R41" s="4063"/>
      <c r="S41" s="4063"/>
      <c r="T41" s="4063"/>
      <c r="U41" s="4063"/>
      <c r="V41" s="4063"/>
      <c r="W41" s="4063"/>
      <c r="X41" s="4063"/>
      <c r="Y41" s="1473"/>
      <c r="Z41" s="4048">
        <v>0</v>
      </c>
      <c r="AA41" s="3881"/>
      <c r="AB41" s="3882"/>
      <c r="AC41" s="3883">
        <v>0</v>
      </c>
      <c r="AD41" s="3881"/>
      <c r="AE41" s="4047"/>
      <c r="AF41" s="4048">
        <v>0</v>
      </c>
      <c r="AG41" s="3881"/>
      <c r="AH41" s="3882"/>
      <c r="AI41" s="3883">
        <v>0</v>
      </c>
      <c r="AJ41" s="3881"/>
      <c r="AK41" s="4047"/>
      <c r="AL41" s="260"/>
      <c r="AM41" s="605"/>
      <c r="AN41" s="260"/>
      <c r="AO41" s="260"/>
      <c r="AP41" s="260"/>
      <c r="AQ41" s="260"/>
      <c r="AR41" s="260"/>
      <c r="AS41" s="260"/>
      <c r="AT41" s="260"/>
      <c r="AU41" s="260"/>
      <c r="AV41" s="260"/>
      <c r="AW41" s="260"/>
      <c r="AX41" s="260"/>
      <c r="AY41" s="260"/>
      <c r="AZ41" s="260"/>
      <c r="BA41" s="260"/>
      <c r="BB41" s="260"/>
      <c r="BC41" s="260"/>
      <c r="BD41" s="260"/>
    </row>
    <row r="42" spans="1:56" s="47" customFormat="1" ht="22.5" customHeight="1">
      <c r="A42" s="260"/>
      <c r="B42" s="260"/>
      <c r="C42" s="260"/>
      <c r="D42" s="603"/>
      <c r="E42" s="260"/>
      <c r="F42" s="1566"/>
      <c r="G42" s="4063" t="s">
        <v>1635</v>
      </c>
      <c r="H42" s="4063"/>
      <c r="I42" s="4063"/>
      <c r="J42" s="4063"/>
      <c r="K42" s="4063"/>
      <c r="L42" s="4063"/>
      <c r="M42" s="4063"/>
      <c r="N42" s="4063"/>
      <c r="O42" s="4063"/>
      <c r="P42" s="4063"/>
      <c r="Q42" s="4063"/>
      <c r="R42" s="4063"/>
      <c r="S42" s="4063"/>
      <c r="T42" s="4063"/>
      <c r="U42" s="4063"/>
      <c r="V42" s="4063"/>
      <c r="W42" s="4063"/>
      <c r="X42" s="4063"/>
      <c r="Y42" s="1473"/>
      <c r="Z42" s="4048">
        <v>0</v>
      </c>
      <c r="AA42" s="3881"/>
      <c r="AB42" s="3882"/>
      <c r="AC42" s="3883">
        <v>0</v>
      </c>
      <c r="AD42" s="3881"/>
      <c r="AE42" s="4047"/>
      <c r="AF42" s="4048">
        <v>0</v>
      </c>
      <c r="AG42" s="3881"/>
      <c r="AH42" s="3882"/>
      <c r="AI42" s="3883">
        <v>0</v>
      </c>
      <c r="AJ42" s="3881"/>
      <c r="AK42" s="4047"/>
      <c r="AL42" s="260"/>
      <c r="AM42" s="605"/>
      <c r="AN42" s="260"/>
      <c r="AO42" s="260"/>
      <c r="AP42" s="260"/>
      <c r="AQ42" s="260"/>
      <c r="AR42" s="260"/>
      <c r="AS42" s="260"/>
      <c r="AT42" s="260"/>
      <c r="AU42" s="260"/>
      <c r="AV42" s="260"/>
      <c r="AW42" s="260"/>
      <c r="AX42" s="260"/>
      <c r="AY42" s="260"/>
      <c r="AZ42" s="260"/>
      <c r="BA42" s="260"/>
      <c r="BB42" s="260"/>
      <c r="BC42" s="260"/>
      <c r="BD42" s="260"/>
    </row>
    <row r="43" spans="1:56" s="47" customFormat="1" ht="22.5" customHeight="1">
      <c r="A43" s="260"/>
      <c r="B43" s="260"/>
      <c r="C43" s="260"/>
      <c r="D43" s="603"/>
      <c r="E43" s="260"/>
      <c r="F43" s="1566"/>
      <c r="G43" s="4063" t="s">
        <v>1636</v>
      </c>
      <c r="H43" s="4063"/>
      <c r="I43" s="4063"/>
      <c r="J43" s="4063"/>
      <c r="K43" s="4063"/>
      <c r="L43" s="4063"/>
      <c r="M43" s="4063"/>
      <c r="N43" s="4063"/>
      <c r="O43" s="4063"/>
      <c r="P43" s="4063"/>
      <c r="Q43" s="4063"/>
      <c r="R43" s="4063"/>
      <c r="S43" s="4063"/>
      <c r="T43" s="4063"/>
      <c r="U43" s="4063"/>
      <c r="V43" s="4063"/>
      <c r="W43" s="4063"/>
      <c r="X43" s="4063"/>
      <c r="Y43" s="1473"/>
      <c r="Z43" s="4048">
        <v>0</v>
      </c>
      <c r="AA43" s="3881"/>
      <c r="AB43" s="3882"/>
      <c r="AC43" s="3883">
        <v>0</v>
      </c>
      <c r="AD43" s="3881"/>
      <c r="AE43" s="4047"/>
      <c r="AF43" s="4048">
        <v>0</v>
      </c>
      <c r="AG43" s="3881"/>
      <c r="AH43" s="3882"/>
      <c r="AI43" s="3883">
        <v>0</v>
      </c>
      <c r="AJ43" s="3881"/>
      <c r="AK43" s="4047"/>
      <c r="AL43" s="260"/>
      <c r="AM43" s="605"/>
      <c r="AN43" s="260"/>
      <c r="AO43" s="260"/>
      <c r="AP43" s="260"/>
      <c r="AQ43" s="260"/>
      <c r="AR43" s="260"/>
      <c r="AS43" s="260"/>
      <c r="AT43" s="260"/>
      <c r="AU43" s="260"/>
      <c r="AV43" s="260"/>
      <c r="AW43" s="260"/>
      <c r="AX43" s="260"/>
      <c r="AY43" s="260"/>
      <c r="AZ43" s="260"/>
      <c r="BA43" s="260"/>
      <c r="BB43" s="260"/>
      <c r="BC43" s="260"/>
      <c r="BD43" s="260"/>
    </row>
    <row r="44" spans="1:56" s="47" customFormat="1" ht="22.5" customHeight="1">
      <c r="A44" s="260"/>
      <c r="B44" s="260"/>
      <c r="C44" s="260"/>
      <c r="D44" s="603"/>
      <c r="E44" s="260"/>
      <c r="F44" s="1569"/>
      <c r="G44" s="1570" t="s">
        <v>1790</v>
      </c>
      <c r="H44" s="1570"/>
      <c r="I44" s="1570"/>
      <c r="J44" s="1570"/>
      <c r="K44" s="3881"/>
      <c r="L44" s="3881"/>
      <c r="M44" s="3881"/>
      <c r="N44" s="3881"/>
      <c r="O44" s="3881"/>
      <c r="P44" s="3881"/>
      <c r="Q44" s="3881"/>
      <c r="R44" s="3881"/>
      <c r="S44" s="3881"/>
      <c r="T44" s="3881"/>
      <c r="U44" s="3881"/>
      <c r="V44" s="3881"/>
      <c r="W44" s="3881"/>
      <c r="X44" s="3881"/>
      <c r="Y44" s="1571"/>
      <c r="Z44" s="3906">
        <v>0</v>
      </c>
      <c r="AA44" s="3901"/>
      <c r="AB44" s="3907"/>
      <c r="AC44" s="3900">
        <v>0</v>
      </c>
      <c r="AD44" s="3901"/>
      <c r="AE44" s="3940"/>
      <c r="AF44" s="3906">
        <v>0</v>
      </c>
      <c r="AG44" s="3901"/>
      <c r="AH44" s="3907"/>
      <c r="AI44" s="3900">
        <v>0</v>
      </c>
      <c r="AJ44" s="3901"/>
      <c r="AK44" s="3940"/>
      <c r="AL44" s="260"/>
      <c r="AM44" s="605"/>
      <c r="AN44" s="260"/>
      <c r="AO44" s="260"/>
      <c r="AP44" s="260"/>
      <c r="AQ44" s="260"/>
      <c r="AR44" s="260"/>
      <c r="AS44" s="260"/>
      <c r="AT44" s="260"/>
      <c r="AU44" s="260"/>
      <c r="AV44" s="260"/>
      <c r="AW44" s="260"/>
      <c r="AX44" s="260"/>
      <c r="AY44" s="260"/>
      <c r="AZ44" s="260"/>
      <c r="BA44" s="260"/>
      <c r="BB44" s="260"/>
      <c r="BC44" s="260"/>
      <c r="BD44" s="260"/>
    </row>
    <row r="45" spans="1:56" s="47" customFormat="1" ht="15" customHeight="1" thickBot="1">
      <c r="A45" s="260"/>
      <c r="B45" s="260"/>
      <c r="C45" s="260"/>
      <c r="D45" s="603"/>
      <c r="E45" s="260"/>
      <c r="F45" s="1572"/>
      <c r="G45" s="1590"/>
      <c r="H45" s="1590"/>
      <c r="I45" s="1590"/>
      <c r="J45" s="1590"/>
      <c r="K45" s="1752" t="str">
        <f>IF(AND(ISBLANK(resilince_num_ccam_others_specify), SUM(Z44:AK45)&gt;0), "Please specify.", IF(AND(resilince_num_ccam_others_specify&gt;0, SUM(Z44:AK45)=0), "Please provide details.", ""))</f>
        <v/>
      </c>
      <c r="L45" s="1590"/>
      <c r="M45" s="1590"/>
      <c r="N45" s="1590"/>
      <c r="O45" s="1590"/>
      <c r="P45" s="1590"/>
      <c r="Q45" s="1590"/>
      <c r="R45" s="1590"/>
      <c r="S45" s="1590"/>
      <c r="T45" s="1590"/>
      <c r="U45" s="1590"/>
      <c r="V45" s="1590"/>
      <c r="W45" s="1590"/>
      <c r="X45" s="1590"/>
      <c r="Y45" s="1573"/>
      <c r="Z45" s="1977"/>
      <c r="AA45" s="1978"/>
      <c r="AB45" s="1979"/>
      <c r="AC45" s="2004"/>
      <c r="AD45" s="1978"/>
      <c r="AE45" s="4061"/>
      <c r="AF45" s="1977"/>
      <c r="AG45" s="1978"/>
      <c r="AH45" s="1979"/>
      <c r="AI45" s="2004"/>
      <c r="AJ45" s="1978"/>
      <c r="AK45" s="4061"/>
      <c r="AL45" s="260"/>
      <c r="AM45" s="605"/>
      <c r="AN45" s="260"/>
      <c r="AO45" s="260"/>
      <c r="AP45" s="260"/>
      <c r="AQ45" s="260"/>
      <c r="AR45" s="260"/>
      <c r="AS45" s="260"/>
      <c r="AT45" s="260"/>
      <c r="AU45" s="260"/>
      <c r="AV45" s="260"/>
      <c r="AW45" s="260"/>
      <c r="AX45" s="260"/>
      <c r="AY45" s="260"/>
      <c r="AZ45" s="260"/>
      <c r="BA45" s="260"/>
      <c r="BB45" s="260"/>
      <c r="BC45" s="260"/>
      <c r="BD45" s="260"/>
    </row>
    <row r="46" spans="1:56" s="47" customFormat="1" ht="33" customHeight="1">
      <c r="A46" s="260"/>
      <c r="B46" s="260"/>
      <c r="C46" s="260"/>
      <c r="D46" s="603"/>
      <c r="E46" s="260"/>
      <c r="F46" s="2698" t="s">
        <v>1793</v>
      </c>
      <c r="G46" s="4064" t="s">
        <v>1794</v>
      </c>
      <c r="H46" s="4064"/>
      <c r="I46" s="4064"/>
      <c r="J46" s="4064"/>
      <c r="K46" s="4064"/>
      <c r="L46" s="4064"/>
      <c r="M46" s="4064"/>
      <c r="N46" s="4064"/>
      <c r="O46" s="4064"/>
      <c r="P46" s="4064"/>
      <c r="Q46" s="4064"/>
      <c r="R46" s="4064"/>
      <c r="S46" s="4064"/>
      <c r="T46" s="4064"/>
      <c r="U46" s="4064"/>
      <c r="V46" s="4064"/>
      <c r="W46" s="4064"/>
      <c r="X46" s="4064"/>
      <c r="Y46" s="1563"/>
      <c r="Z46" s="2703" t="s">
        <v>940</v>
      </c>
      <c r="AA46" s="2704"/>
      <c r="AB46" s="2704"/>
      <c r="AC46" s="2704"/>
      <c r="AD46" s="2704"/>
      <c r="AE46" s="2704"/>
      <c r="AF46" s="2703" t="s">
        <v>941</v>
      </c>
      <c r="AG46" s="2704"/>
      <c r="AH46" s="2704"/>
      <c r="AI46" s="2704"/>
      <c r="AJ46" s="2704"/>
      <c r="AK46" s="2705"/>
      <c r="AL46" s="260"/>
      <c r="AM46" s="605"/>
      <c r="AN46" s="260"/>
      <c r="AO46" s="260"/>
      <c r="AP46" s="260"/>
      <c r="AQ46" s="260"/>
      <c r="AR46" s="260"/>
      <c r="AS46" s="260"/>
      <c r="AT46" s="260"/>
      <c r="AU46" s="260"/>
      <c r="AV46" s="260"/>
      <c r="AW46" s="260"/>
      <c r="AX46" s="260"/>
      <c r="AY46" s="260"/>
      <c r="AZ46" s="260"/>
      <c r="BA46" s="260"/>
      <c r="BB46" s="260"/>
      <c r="BC46" s="260"/>
      <c r="BD46" s="260"/>
    </row>
    <row r="47" spans="1:56" s="47" customFormat="1" ht="19.5" customHeight="1" thickBot="1">
      <c r="A47" s="260"/>
      <c r="B47" s="260"/>
      <c r="C47" s="260"/>
      <c r="D47" s="603"/>
      <c r="E47" s="260"/>
      <c r="F47" s="2699"/>
      <c r="G47" s="4065"/>
      <c r="H47" s="4065"/>
      <c r="I47" s="4065"/>
      <c r="J47" s="4065"/>
      <c r="K47" s="4065"/>
      <c r="L47" s="4065"/>
      <c r="M47" s="4065"/>
      <c r="N47" s="4065"/>
      <c r="O47" s="4065"/>
      <c r="P47" s="4065"/>
      <c r="Q47" s="4065"/>
      <c r="R47" s="4065"/>
      <c r="S47" s="4065"/>
      <c r="T47" s="4065"/>
      <c r="U47" s="4065"/>
      <c r="V47" s="4065"/>
      <c r="W47" s="4065"/>
      <c r="X47" s="4065"/>
      <c r="Y47" s="1564"/>
      <c r="Z47" s="2763" t="s">
        <v>45</v>
      </c>
      <c r="AA47" s="2764"/>
      <c r="AB47" s="2765"/>
      <c r="AC47" s="2766" t="s">
        <v>46</v>
      </c>
      <c r="AD47" s="2764"/>
      <c r="AE47" s="2771"/>
      <c r="AF47" s="2763" t="s">
        <v>45</v>
      </c>
      <c r="AG47" s="2764"/>
      <c r="AH47" s="2765"/>
      <c r="AI47" s="2766" t="s">
        <v>46</v>
      </c>
      <c r="AJ47" s="2764"/>
      <c r="AK47" s="2771"/>
      <c r="AL47" s="260"/>
      <c r="AM47" s="605"/>
      <c r="AN47" s="260"/>
      <c r="AO47" s="260"/>
      <c r="AP47" s="260"/>
      <c r="AQ47" s="260"/>
      <c r="AR47" s="260"/>
      <c r="AS47" s="260"/>
      <c r="AT47" s="260"/>
      <c r="AU47" s="260"/>
      <c r="AV47" s="260"/>
      <c r="AW47" s="260"/>
      <c r="AX47" s="260"/>
      <c r="AY47" s="260"/>
      <c r="AZ47" s="260"/>
      <c r="BA47" s="260"/>
      <c r="BB47" s="260"/>
      <c r="BC47" s="260"/>
      <c r="BD47" s="260"/>
    </row>
    <row r="48" spans="1:56" s="47" customFormat="1" ht="22.5" customHeight="1">
      <c r="A48" s="260"/>
      <c r="B48" s="260"/>
      <c r="C48" s="260"/>
      <c r="D48" s="603"/>
      <c r="E48" s="260"/>
      <c r="F48" s="1565"/>
      <c r="G48" s="4066" t="s">
        <v>934</v>
      </c>
      <c r="H48" s="4066"/>
      <c r="I48" s="4066"/>
      <c r="J48" s="4066"/>
      <c r="K48" s="4066"/>
      <c r="L48" s="4066"/>
      <c r="M48" s="4066"/>
      <c r="N48" s="4066"/>
      <c r="O48" s="4066"/>
      <c r="P48" s="4066"/>
      <c r="Q48" s="4066"/>
      <c r="R48" s="4066"/>
      <c r="S48" s="4066"/>
      <c r="T48" s="4066"/>
      <c r="U48" s="4066"/>
      <c r="V48" s="4066"/>
      <c r="W48" s="4066"/>
      <c r="X48" s="4066"/>
      <c r="Y48" s="1462"/>
      <c r="Z48" s="4040">
        <v>0</v>
      </c>
      <c r="AA48" s="4041"/>
      <c r="AB48" s="4042"/>
      <c r="AC48" s="4043">
        <v>0</v>
      </c>
      <c r="AD48" s="4041"/>
      <c r="AE48" s="4044"/>
      <c r="AF48" s="4040">
        <v>0</v>
      </c>
      <c r="AG48" s="4041"/>
      <c r="AH48" s="4042"/>
      <c r="AI48" s="4043">
        <v>0</v>
      </c>
      <c r="AJ48" s="4041"/>
      <c r="AK48" s="4044"/>
      <c r="AL48" s="260"/>
      <c r="AM48" s="605"/>
      <c r="AN48" s="260"/>
      <c r="AO48" s="260"/>
      <c r="AP48" s="260"/>
      <c r="AQ48" s="260"/>
      <c r="AR48" s="260"/>
      <c r="AS48" s="260"/>
      <c r="AT48" s="260"/>
      <c r="AU48" s="260"/>
      <c r="AV48" s="260"/>
      <c r="AW48" s="260"/>
      <c r="AX48" s="260"/>
      <c r="AY48" s="260"/>
      <c r="AZ48" s="260"/>
      <c r="BA48" s="260"/>
      <c r="BB48" s="260"/>
      <c r="BC48" s="260"/>
      <c r="BD48" s="260"/>
    </row>
    <row r="49" spans="1:56" s="47" customFormat="1" ht="22.5" customHeight="1">
      <c r="A49" s="260"/>
      <c r="B49" s="260"/>
      <c r="C49" s="260"/>
      <c r="D49" s="603"/>
      <c r="E49" s="260"/>
      <c r="F49" s="1566"/>
      <c r="G49" s="4063" t="s">
        <v>1637</v>
      </c>
      <c r="H49" s="4063"/>
      <c r="I49" s="4063"/>
      <c r="J49" s="4063"/>
      <c r="K49" s="4063"/>
      <c r="L49" s="4063"/>
      <c r="M49" s="4063"/>
      <c r="N49" s="4063"/>
      <c r="O49" s="4063"/>
      <c r="P49" s="4063"/>
      <c r="Q49" s="4063"/>
      <c r="R49" s="4063"/>
      <c r="S49" s="4063"/>
      <c r="T49" s="4063"/>
      <c r="U49" s="4063"/>
      <c r="V49" s="4063"/>
      <c r="W49" s="4063"/>
      <c r="X49" s="4063"/>
      <c r="Y49" s="1473"/>
      <c r="Z49" s="4048">
        <v>0</v>
      </c>
      <c r="AA49" s="3881"/>
      <c r="AB49" s="3882"/>
      <c r="AC49" s="3883">
        <v>0</v>
      </c>
      <c r="AD49" s="3881"/>
      <c r="AE49" s="4047"/>
      <c r="AF49" s="4048">
        <v>0</v>
      </c>
      <c r="AG49" s="3881"/>
      <c r="AH49" s="3882"/>
      <c r="AI49" s="3883">
        <v>0</v>
      </c>
      <c r="AJ49" s="3881"/>
      <c r="AK49" s="4047"/>
      <c r="AL49" s="260"/>
      <c r="AM49" s="605"/>
      <c r="AN49" s="260"/>
      <c r="AO49" s="260"/>
      <c r="AP49" s="260"/>
      <c r="AQ49" s="260"/>
      <c r="AR49" s="260"/>
      <c r="AS49" s="260"/>
      <c r="AT49" s="260"/>
      <c r="AU49" s="260"/>
      <c r="AV49" s="260"/>
      <c r="AW49" s="260"/>
      <c r="AX49" s="260"/>
      <c r="AY49" s="260"/>
      <c r="AZ49" s="260"/>
      <c r="BA49" s="260"/>
      <c r="BB49" s="260"/>
      <c r="BC49" s="260"/>
      <c r="BD49" s="260"/>
    </row>
    <row r="50" spans="1:56" s="47" customFormat="1" ht="22.5" customHeight="1">
      <c r="A50" s="260"/>
      <c r="B50" s="260"/>
      <c r="C50" s="260"/>
      <c r="D50" s="603"/>
      <c r="E50" s="260"/>
      <c r="F50" s="1567"/>
      <c r="G50" s="4063" t="s">
        <v>937</v>
      </c>
      <c r="H50" s="4063"/>
      <c r="I50" s="4063"/>
      <c r="J50" s="4063"/>
      <c r="K50" s="4063"/>
      <c r="L50" s="4063"/>
      <c r="M50" s="4063"/>
      <c r="N50" s="4063"/>
      <c r="O50" s="4063"/>
      <c r="P50" s="4063"/>
      <c r="Q50" s="4063"/>
      <c r="R50" s="4063"/>
      <c r="S50" s="4063"/>
      <c r="T50" s="4063"/>
      <c r="U50" s="4063"/>
      <c r="V50" s="4063"/>
      <c r="W50" s="4063"/>
      <c r="X50" s="4063"/>
      <c r="Y50" s="1568"/>
      <c r="Z50" s="4048">
        <v>0</v>
      </c>
      <c r="AA50" s="3881"/>
      <c r="AB50" s="3882"/>
      <c r="AC50" s="3883">
        <v>0</v>
      </c>
      <c r="AD50" s="3881"/>
      <c r="AE50" s="4047"/>
      <c r="AF50" s="4048">
        <v>0</v>
      </c>
      <c r="AG50" s="3881"/>
      <c r="AH50" s="3882"/>
      <c r="AI50" s="3883">
        <v>0</v>
      </c>
      <c r="AJ50" s="3881"/>
      <c r="AK50" s="4047"/>
      <c r="AL50" s="260"/>
      <c r="AM50" s="605"/>
      <c r="AN50" s="260"/>
      <c r="AO50" s="260"/>
      <c r="AP50" s="260"/>
      <c r="AQ50" s="260"/>
      <c r="AR50" s="260"/>
      <c r="AS50" s="260"/>
      <c r="AT50" s="260"/>
      <c r="AU50" s="260"/>
      <c r="AV50" s="260"/>
      <c r="AW50" s="260"/>
      <c r="AX50" s="260"/>
      <c r="AY50" s="260"/>
      <c r="AZ50" s="260"/>
      <c r="BA50" s="260"/>
      <c r="BB50" s="260"/>
      <c r="BC50" s="260"/>
      <c r="BD50" s="260"/>
    </row>
    <row r="51" spans="1:56" s="47" customFormat="1" ht="36.6" customHeight="1">
      <c r="A51" s="260"/>
      <c r="B51" s="260"/>
      <c r="C51" s="260"/>
      <c r="D51" s="603"/>
      <c r="E51" s="260"/>
      <c r="F51" s="1566"/>
      <c r="G51" s="4062" t="s">
        <v>1795</v>
      </c>
      <c r="H51" s="4062"/>
      <c r="I51" s="4062"/>
      <c r="J51" s="4062"/>
      <c r="K51" s="4062"/>
      <c r="L51" s="4062"/>
      <c r="M51" s="4062"/>
      <c r="N51" s="4062"/>
      <c r="O51" s="4062"/>
      <c r="P51" s="4062"/>
      <c r="Q51" s="4062"/>
      <c r="R51" s="4062"/>
      <c r="S51" s="4062"/>
      <c r="T51" s="4062"/>
      <c r="U51" s="4062"/>
      <c r="V51" s="4062"/>
      <c r="W51" s="4062"/>
      <c r="X51" s="4062"/>
      <c r="Y51" s="1473"/>
      <c r="Z51" s="4048">
        <v>0</v>
      </c>
      <c r="AA51" s="3881"/>
      <c r="AB51" s="3882"/>
      <c r="AC51" s="3883">
        <v>0</v>
      </c>
      <c r="AD51" s="3881"/>
      <c r="AE51" s="4047"/>
      <c r="AF51" s="4048">
        <v>0</v>
      </c>
      <c r="AG51" s="3881"/>
      <c r="AH51" s="3882"/>
      <c r="AI51" s="3883">
        <v>0</v>
      </c>
      <c r="AJ51" s="3881"/>
      <c r="AK51" s="4047"/>
      <c r="AL51" s="260"/>
      <c r="AM51" s="605"/>
      <c r="AN51" s="260"/>
      <c r="AO51" s="260"/>
      <c r="AP51" s="260"/>
      <c r="AQ51" s="260"/>
      <c r="AR51" s="260"/>
      <c r="AS51" s="260"/>
      <c r="AT51" s="260"/>
      <c r="AU51" s="260"/>
      <c r="AV51" s="260"/>
      <c r="AW51" s="260"/>
      <c r="AX51" s="260"/>
      <c r="AY51" s="260"/>
      <c r="AZ51" s="260"/>
      <c r="BA51" s="260"/>
      <c r="BB51" s="260"/>
      <c r="BC51" s="260"/>
      <c r="BD51" s="260"/>
    </row>
    <row r="52" spans="1:56" s="47" customFormat="1" ht="22.5" customHeight="1">
      <c r="A52" s="260"/>
      <c r="B52" s="260"/>
      <c r="C52" s="260"/>
      <c r="D52" s="603"/>
      <c r="E52" s="260"/>
      <c r="F52" s="1569"/>
      <c r="G52" s="1570" t="s">
        <v>1790</v>
      </c>
      <c r="H52" s="1570"/>
      <c r="I52" s="1570"/>
      <c r="J52" s="1570"/>
      <c r="K52" s="3881"/>
      <c r="L52" s="3881"/>
      <c r="M52" s="3881"/>
      <c r="N52" s="3881"/>
      <c r="O52" s="3881"/>
      <c r="P52" s="3881"/>
      <c r="Q52" s="3881"/>
      <c r="R52" s="3881"/>
      <c r="S52" s="3881"/>
      <c r="T52" s="3881"/>
      <c r="U52" s="3881"/>
      <c r="V52" s="3881"/>
      <c r="W52" s="3881"/>
      <c r="X52" s="3881"/>
      <c r="Y52" s="1571"/>
      <c r="Z52" s="3906">
        <v>0</v>
      </c>
      <c r="AA52" s="3901"/>
      <c r="AB52" s="3907"/>
      <c r="AC52" s="3900">
        <v>0</v>
      </c>
      <c r="AD52" s="3901"/>
      <c r="AE52" s="3940"/>
      <c r="AF52" s="3906">
        <v>0</v>
      </c>
      <c r="AG52" s="3901"/>
      <c r="AH52" s="3907"/>
      <c r="AI52" s="3900">
        <v>0</v>
      </c>
      <c r="AJ52" s="3901"/>
      <c r="AK52" s="3940"/>
      <c r="AL52" s="260"/>
      <c r="AM52" s="605"/>
      <c r="AN52" s="260"/>
      <c r="AO52" s="260"/>
      <c r="AP52" s="260"/>
      <c r="AQ52" s="260"/>
      <c r="AR52" s="260"/>
      <c r="AS52" s="260"/>
      <c r="AT52" s="260"/>
      <c r="AU52" s="260"/>
      <c r="AV52" s="260"/>
      <c r="AW52" s="260"/>
      <c r="AX52" s="260"/>
      <c r="AY52" s="260"/>
      <c r="AZ52" s="260"/>
      <c r="BA52" s="260"/>
      <c r="BB52" s="260"/>
      <c r="BC52" s="260"/>
      <c r="BD52" s="260"/>
    </row>
    <row r="53" spans="1:56" s="47" customFormat="1" ht="15" customHeight="1" thickBot="1">
      <c r="A53" s="260"/>
      <c r="B53" s="260"/>
      <c r="C53" s="260"/>
      <c r="D53" s="603"/>
      <c r="E53" s="260"/>
      <c r="F53" s="1572"/>
      <c r="G53" s="1590"/>
      <c r="H53" s="1590"/>
      <c r="I53" s="1590"/>
      <c r="J53" s="1590"/>
      <c r="K53" s="1752" t="str">
        <f>IF(AND(ISBLANK(resilince_num_peace_others_specify), SUM(Z52:AK53)&gt;0), "Please specify.", IF(AND(resilince_num_peace_others_specify&gt;0, SUM(Z52:AK53)=0), "Please provide details.", ""))</f>
        <v/>
      </c>
      <c r="L53" s="1590"/>
      <c r="M53" s="1590"/>
      <c r="N53" s="1590"/>
      <c r="O53" s="1590"/>
      <c r="P53" s="1590"/>
      <c r="Q53" s="1590"/>
      <c r="R53" s="1590"/>
      <c r="S53" s="1590"/>
      <c r="T53" s="1590"/>
      <c r="U53" s="1590"/>
      <c r="V53" s="1590"/>
      <c r="W53" s="1590"/>
      <c r="X53" s="1590"/>
      <c r="Y53" s="1573"/>
      <c r="Z53" s="1977"/>
      <c r="AA53" s="1978"/>
      <c r="AB53" s="1979"/>
      <c r="AC53" s="2004"/>
      <c r="AD53" s="1978"/>
      <c r="AE53" s="4061"/>
      <c r="AF53" s="1977"/>
      <c r="AG53" s="1978"/>
      <c r="AH53" s="1979"/>
      <c r="AI53" s="2004"/>
      <c r="AJ53" s="1978"/>
      <c r="AK53" s="4061"/>
      <c r="AL53" s="260"/>
      <c r="AM53" s="605"/>
      <c r="AN53" s="260"/>
      <c r="AO53" s="260"/>
      <c r="AP53" s="260"/>
      <c r="AQ53" s="260"/>
      <c r="AR53" s="260"/>
      <c r="AS53" s="260"/>
      <c r="AT53" s="260"/>
      <c r="AU53" s="260"/>
      <c r="AV53" s="260"/>
      <c r="AW53" s="260"/>
      <c r="AX53" s="260"/>
      <c r="AY53" s="260"/>
      <c r="AZ53" s="260"/>
      <c r="BA53" s="260"/>
      <c r="BB53" s="260"/>
      <c r="BC53" s="260"/>
      <c r="BD53" s="260"/>
    </row>
    <row r="54" spans="1:56" ht="9.9499999999999993" customHeight="1" thickBot="1">
      <c r="A54" s="1450"/>
      <c r="B54" s="1450"/>
      <c r="C54" s="1450"/>
      <c r="D54" s="1574"/>
      <c r="E54" s="1495"/>
      <c r="F54" s="1575"/>
      <c r="G54" s="1576"/>
      <c r="H54" s="1576"/>
      <c r="I54" s="1576"/>
      <c r="J54" s="1576"/>
      <c r="K54" s="1576"/>
      <c r="L54" s="1576"/>
      <c r="M54" s="1577"/>
      <c r="N54" s="1577"/>
      <c r="O54" s="1577"/>
      <c r="P54" s="1577"/>
      <c r="Q54" s="1577"/>
      <c r="R54" s="1577"/>
      <c r="S54" s="1577"/>
      <c r="T54" s="1577"/>
      <c r="U54" s="1577"/>
      <c r="V54" s="1577"/>
      <c r="W54" s="1577"/>
      <c r="X54" s="1577"/>
      <c r="Y54" s="1577"/>
      <c r="Z54" s="1577"/>
      <c r="AA54" s="1577"/>
      <c r="AB54" s="1577"/>
      <c r="AC54" s="1577"/>
      <c r="AD54" s="1577"/>
      <c r="AE54" s="1577"/>
      <c r="AF54" s="1577"/>
      <c r="AG54" s="1577"/>
      <c r="AH54" s="1577"/>
      <c r="AI54" s="1577"/>
      <c r="AJ54" s="1577"/>
      <c r="AK54" s="1577"/>
      <c r="AL54" s="1577"/>
      <c r="AM54" s="1578"/>
      <c r="AN54" s="1450"/>
      <c r="AO54" s="1450"/>
      <c r="AP54" s="1450"/>
      <c r="AQ54" s="1450"/>
      <c r="AR54" s="1450"/>
      <c r="AS54" s="1450"/>
      <c r="AT54" s="1450"/>
      <c r="AU54" s="1450"/>
      <c r="AV54" s="1450"/>
      <c r="AW54" s="1450"/>
      <c r="AX54" s="1450"/>
      <c r="AY54" s="1450"/>
      <c r="AZ54" s="1450"/>
      <c r="BA54" s="1450"/>
      <c r="BB54" s="1450"/>
      <c r="BC54" s="1450"/>
      <c r="BD54" s="1450"/>
    </row>
    <row r="55" spans="1:56" ht="9.9499999999999993" customHeight="1">
      <c r="A55" s="1450"/>
      <c r="B55" s="1579"/>
      <c r="C55" s="1321"/>
      <c r="D55" s="1537"/>
      <c r="E55" s="1536"/>
      <c r="F55" s="1536"/>
      <c r="G55" s="1536"/>
      <c r="H55" s="1536"/>
      <c r="I55" s="1536"/>
      <c r="J55" s="1536"/>
      <c r="K55" s="1450"/>
      <c r="L55" s="1450"/>
      <c r="M55" s="1450"/>
      <c r="N55" s="1450"/>
      <c r="O55" s="1450"/>
      <c r="P55" s="1450"/>
      <c r="Q55" s="1450"/>
      <c r="R55" s="1450"/>
      <c r="S55" s="1450"/>
      <c r="T55" s="1450"/>
      <c r="U55" s="1450"/>
      <c r="V55" s="1450"/>
      <c r="W55" s="1450"/>
      <c r="X55" s="1450"/>
      <c r="Y55" s="1450"/>
      <c r="Z55" s="1450"/>
      <c r="AA55" s="1450"/>
      <c r="AB55" s="1450"/>
      <c r="AC55" s="1450"/>
      <c r="AD55" s="1450"/>
      <c r="AE55" s="1450"/>
      <c r="AF55" s="1450"/>
      <c r="AG55" s="1450"/>
      <c r="AH55" s="1450"/>
      <c r="AI55" s="1450"/>
      <c r="AJ55" s="1450"/>
      <c r="AK55" s="1450"/>
      <c r="AL55" s="1450"/>
      <c r="AM55" s="1450"/>
      <c r="AN55" s="1450"/>
      <c r="AO55" s="1450"/>
      <c r="AP55" s="1450"/>
      <c r="AQ55" s="1450"/>
      <c r="AR55" s="1450"/>
      <c r="AS55" s="1450"/>
      <c r="AT55" s="1450"/>
      <c r="AU55" s="1450"/>
      <c r="AV55" s="1450"/>
      <c r="AW55" s="1450"/>
      <c r="AX55" s="1450"/>
      <c r="AY55" s="1450"/>
      <c r="AZ55" s="1450"/>
      <c r="BA55" s="1450"/>
      <c r="BB55" s="1450"/>
      <c r="BC55" s="1450"/>
      <c r="BD55" s="1450"/>
    </row>
    <row r="56" spans="1:56" s="51" customFormat="1" ht="17.25" customHeight="1">
      <c r="A56" s="238"/>
      <c r="B56" s="238"/>
      <c r="C56" s="238"/>
      <c r="D56" s="3778" t="s">
        <v>1940</v>
      </c>
      <c r="E56" s="3778"/>
      <c r="F56" s="3778"/>
      <c r="G56" s="3778"/>
      <c r="H56" s="3778"/>
      <c r="I56" s="3778"/>
      <c r="J56" s="3778"/>
      <c r="K56" s="3778"/>
      <c r="L56" s="3778"/>
      <c r="M56" s="3778"/>
      <c r="N56" s="3778"/>
      <c r="O56" s="3778"/>
      <c r="P56" s="3778"/>
      <c r="Q56" s="3778"/>
      <c r="R56" s="3778"/>
      <c r="S56" s="3778"/>
      <c r="T56" s="3778"/>
      <c r="U56" s="3778"/>
      <c r="V56" s="3778"/>
      <c r="W56" s="3778"/>
      <c r="X56" s="3778"/>
      <c r="Y56" s="3778"/>
      <c r="Z56" s="3778"/>
      <c r="AA56" s="3778"/>
      <c r="AB56" s="3778"/>
      <c r="AC56" s="3778"/>
      <c r="AD56" s="3778"/>
      <c r="AE56" s="3778"/>
      <c r="AF56" s="3778"/>
      <c r="AG56" s="238"/>
      <c r="AH56" s="238"/>
      <c r="AI56" s="238"/>
      <c r="AJ56" s="238"/>
      <c r="AK56" s="238"/>
      <c r="AL56" s="238"/>
      <c r="AM56" s="238"/>
      <c r="AN56" s="238"/>
      <c r="AO56" s="238"/>
      <c r="AP56" s="238"/>
      <c r="AQ56" s="238"/>
      <c r="AR56" s="238"/>
      <c r="AS56" s="238"/>
      <c r="AT56" s="238"/>
      <c r="AU56" s="238"/>
      <c r="AV56" s="238"/>
      <c r="AW56" s="238"/>
      <c r="AX56" s="238"/>
      <c r="AY56" s="238"/>
      <c r="AZ56" s="238"/>
      <c r="BA56" s="238"/>
      <c r="BB56" s="238"/>
      <c r="BC56" s="238"/>
      <c r="BD56" s="238"/>
    </row>
    <row r="57" spans="1:56" s="44" customFormat="1" ht="30.75" customHeight="1">
      <c r="A57" s="434"/>
      <c r="B57" s="434"/>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4"/>
      <c r="AU57" s="434"/>
      <c r="AV57" s="434"/>
      <c r="AW57" s="434"/>
      <c r="AX57" s="434"/>
      <c r="AY57" s="434"/>
      <c r="AZ57" s="434"/>
      <c r="BA57" s="434"/>
      <c r="BB57" s="434"/>
      <c r="BC57" s="434"/>
      <c r="BD57" s="434"/>
    </row>
    <row r="58" spans="1:56" s="37" customFormat="1" ht="15">
      <c r="A58" s="263"/>
      <c r="B58" s="332" t="s">
        <v>32</v>
      </c>
      <c r="C58" s="263"/>
      <c r="D58" s="263"/>
      <c r="E58" s="263"/>
      <c r="F58" s="263"/>
      <c r="G58" s="263"/>
      <c r="H58" s="263"/>
      <c r="I58" s="263"/>
      <c r="J58" s="263"/>
      <c r="K58" s="263"/>
      <c r="L58" s="263"/>
      <c r="M58" s="263"/>
      <c r="N58" s="263"/>
      <c r="O58" s="263"/>
      <c r="P58" s="332" t="s">
        <v>856</v>
      </c>
      <c r="Q58" s="263"/>
      <c r="R58" s="263"/>
      <c r="S58" s="263"/>
      <c r="T58" s="263"/>
      <c r="U58" s="263"/>
      <c r="V58" s="263"/>
      <c r="W58" s="263"/>
      <c r="X58" s="263"/>
      <c r="Y58" s="263"/>
      <c r="Z58" s="263"/>
      <c r="AA58" s="263"/>
      <c r="AB58" s="263"/>
      <c r="AC58" s="263"/>
      <c r="AD58" s="332" t="s">
        <v>33</v>
      </c>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row>
    <row r="59" spans="1:56" s="37" customFormat="1" ht="21.75" customHeight="1">
      <c r="A59" s="263"/>
      <c r="B59" s="332" t="s">
        <v>75</v>
      </c>
      <c r="C59" s="263"/>
      <c r="D59" s="263"/>
      <c r="E59" s="263"/>
      <c r="F59" s="2790" t="str">
        <f>activesheet!E21</f>
        <v>MELCHESIEDICK Q. BOLANIO / March 17, 2023</v>
      </c>
      <c r="G59" s="2790"/>
      <c r="H59" s="2790"/>
      <c r="I59" s="2790"/>
      <c r="J59" s="2790"/>
      <c r="K59" s="2790"/>
      <c r="L59" s="2790"/>
      <c r="M59" s="2790"/>
      <c r="N59" s="263"/>
      <c r="O59" s="263"/>
      <c r="P59" s="2790" t="str">
        <f>activesheet!E3344</f>
        <v>ELYN KENDRA D. DELA CRUZ / March 17, 2023</v>
      </c>
      <c r="Q59" s="2790"/>
      <c r="R59" s="2790"/>
      <c r="S59" s="2790"/>
      <c r="T59" s="2790"/>
      <c r="U59" s="2790"/>
      <c r="V59" s="2790"/>
      <c r="W59" s="2790"/>
      <c r="X59" s="2790"/>
      <c r="Y59" s="2790"/>
      <c r="Z59" s="2790"/>
      <c r="AA59" s="2790"/>
      <c r="AB59" s="263"/>
      <c r="AC59" s="263"/>
      <c r="AD59" s="3784" t="str">
        <f>activesheet!E25</f>
        <v>MICHAEL T. JAMIS / March 17, 2023</v>
      </c>
      <c r="AE59" s="3784"/>
      <c r="AF59" s="3784"/>
      <c r="AG59" s="3784"/>
      <c r="AH59" s="3784"/>
      <c r="AI59" s="3784"/>
      <c r="AJ59" s="3784"/>
      <c r="AK59" s="3784"/>
      <c r="AL59" s="3784"/>
      <c r="AM59" s="3784"/>
      <c r="AN59" s="3784"/>
      <c r="AO59" s="3784"/>
      <c r="AP59" s="263"/>
      <c r="AQ59" s="263"/>
      <c r="AR59" s="263"/>
      <c r="AS59" s="263"/>
      <c r="AT59" s="263"/>
      <c r="AU59" s="263"/>
      <c r="AV59" s="263"/>
      <c r="AW59" s="263"/>
      <c r="AX59" s="263"/>
      <c r="AY59" s="263"/>
      <c r="AZ59" s="263"/>
      <c r="BA59" s="263"/>
      <c r="BB59" s="263"/>
      <c r="BC59" s="263"/>
      <c r="BD59" s="263"/>
    </row>
    <row r="60" spans="1:56" s="39" customFormat="1" ht="14.1" customHeight="1">
      <c r="A60" s="280"/>
      <c r="B60" s="228"/>
      <c r="C60" s="280"/>
      <c r="D60" s="280"/>
      <c r="E60" s="280"/>
      <c r="F60" s="1807" t="s">
        <v>37</v>
      </c>
      <c r="G60" s="1807"/>
      <c r="H60" s="1807"/>
      <c r="I60" s="1807"/>
      <c r="J60" s="1807"/>
      <c r="K60" s="1807"/>
      <c r="L60" s="1807"/>
      <c r="M60" s="1807"/>
      <c r="N60" s="322"/>
      <c r="O60" s="322"/>
      <c r="P60" s="1807" t="s">
        <v>37</v>
      </c>
      <c r="Q60" s="1807"/>
      <c r="R60" s="1807"/>
      <c r="S60" s="1807"/>
      <c r="T60" s="1807"/>
      <c r="U60" s="1807"/>
      <c r="V60" s="1807"/>
      <c r="W60" s="1807"/>
      <c r="X60" s="1807"/>
      <c r="Y60" s="1807"/>
      <c r="Z60" s="1807"/>
      <c r="AA60" s="1807"/>
      <c r="AB60" s="322"/>
      <c r="AC60" s="322"/>
      <c r="AD60" s="3785"/>
      <c r="AE60" s="3785"/>
      <c r="AF60" s="3785"/>
      <c r="AG60" s="3785"/>
      <c r="AH60" s="3785"/>
      <c r="AI60" s="3785"/>
      <c r="AJ60" s="3785"/>
      <c r="AK60" s="3785"/>
      <c r="AL60" s="3785"/>
      <c r="AM60" s="3785"/>
      <c r="AN60" s="3785"/>
      <c r="AO60" s="3785"/>
      <c r="AP60" s="280"/>
      <c r="AQ60" s="280"/>
      <c r="AR60" s="280"/>
      <c r="AS60" s="280"/>
      <c r="AT60" s="280"/>
      <c r="AU60" s="280"/>
      <c r="AV60" s="280"/>
      <c r="AW60" s="280"/>
      <c r="AX60" s="280"/>
      <c r="AY60" s="280"/>
      <c r="AZ60" s="280"/>
      <c r="BA60" s="280"/>
      <c r="BB60" s="280"/>
      <c r="BC60" s="280"/>
      <c r="BD60" s="280"/>
    </row>
    <row r="61" spans="1:56" s="37" customFormat="1" ht="21.75" customHeight="1">
      <c r="A61" s="263"/>
      <c r="B61" s="332" t="s">
        <v>58</v>
      </c>
      <c r="C61" s="263"/>
      <c r="D61" s="263"/>
      <c r="E61" s="263"/>
      <c r="F61" s="2790" t="str">
        <f>activesheet!E22</f>
        <v>SECONDARY SCHOOL PRINCIPAL IV</v>
      </c>
      <c r="G61" s="2790"/>
      <c r="H61" s="2790"/>
      <c r="I61" s="2790"/>
      <c r="J61" s="2790"/>
      <c r="K61" s="2790"/>
      <c r="L61" s="2790"/>
      <c r="M61" s="2790"/>
      <c r="N61" s="263"/>
      <c r="O61" s="263"/>
      <c r="P61" s="332" t="s">
        <v>58</v>
      </c>
      <c r="Q61" s="263"/>
      <c r="R61" s="263"/>
      <c r="S61" s="263"/>
      <c r="T61" s="263"/>
      <c r="U61" s="263"/>
      <c r="V61" s="2790" t="str">
        <f>activesheet!E3345</f>
        <v>PROJECT DEVELOPMENT OFFICER II</v>
      </c>
      <c r="W61" s="2790"/>
      <c r="X61" s="2790"/>
      <c r="Y61" s="2790"/>
      <c r="Z61" s="2790"/>
      <c r="AA61" s="2790"/>
      <c r="AB61" s="263"/>
      <c r="AC61" s="263"/>
      <c r="AD61" s="1807" t="s">
        <v>37</v>
      </c>
      <c r="AE61" s="1807"/>
      <c r="AF61" s="1807"/>
      <c r="AG61" s="1807"/>
      <c r="AH61" s="1807"/>
      <c r="AI61" s="1807"/>
      <c r="AJ61" s="1807"/>
      <c r="AK61" s="1807"/>
      <c r="AL61" s="1807"/>
      <c r="AM61" s="1807"/>
      <c r="AN61" s="1807"/>
      <c r="AO61" s="1807"/>
      <c r="AP61" s="263"/>
      <c r="AQ61" s="263"/>
      <c r="AR61" s="263"/>
      <c r="AS61" s="263"/>
      <c r="AT61" s="263"/>
      <c r="AU61" s="263"/>
      <c r="AV61" s="263"/>
      <c r="AW61" s="263"/>
      <c r="AX61" s="263"/>
      <c r="AY61" s="263"/>
      <c r="AZ61" s="263"/>
      <c r="BA61" s="263"/>
      <c r="BB61" s="263"/>
      <c r="BC61" s="263"/>
      <c r="BD61" s="263"/>
    </row>
    <row r="62" spans="1:56">
      <c r="A62" s="1450"/>
      <c r="B62" s="1450"/>
      <c r="C62" s="1450"/>
      <c r="D62" s="1450"/>
      <c r="E62" s="1450"/>
      <c r="F62" s="1450"/>
      <c r="G62" s="1450"/>
      <c r="H62" s="1450"/>
      <c r="I62" s="1450"/>
      <c r="J62" s="1450"/>
      <c r="K62" s="1450"/>
      <c r="L62" s="1450"/>
      <c r="M62" s="1450"/>
      <c r="N62" s="434"/>
      <c r="O62" s="434"/>
      <c r="P62" s="1450"/>
      <c r="Q62" s="1450"/>
      <c r="R62" s="1450"/>
      <c r="S62" s="1450"/>
      <c r="T62" s="1450"/>
      <c r="U62" s="1450"/>
      <c r="V62" s="1450"/>
      <c r="W62" s="1450"/>
      <c r="X62" s="1450"/>
      <c r="Y62" s="1450"/>
      <c r="Z62" s="1450"/>
      <c r="AA62" s="1450"/>
      <c r="AB62" s="434"/>
      <c r="AC62" s="434"/>
      <c r="AD62" s="1450"/>
      <c r="AE62" s="1450"/>
      <c r="AF62" s="1450"/>
      <c r="AG62" s="1450"/>
      <c r="AH62" s="1450"/>
      <c r="AI62" s="1450"/>
      <c r="AJ62" s="1450"/>
      <c r="AK62" s="1450"/>
      <c r="AL62" s="1450"/>
      <c r="AM62" s="1450"/>
      <c r="AN62" s="1450"/>
      <c r="AO62" s="1450"/>
      <c r="AP62" s="1450"/>
      <c r="AQ62" s="1450"/>
      <c r="AR62" s="1450"/>
      <c r="AS62" s="1450"/>
      <c r="AT62" s="1450"/>
      <c r="AU62" s="1450"/>
      <c r="AV62" s="1450"/>
      <c r="AW62" s="1450"/>
      <c r="AX62" s="1450"/>
      <c r="AY62" s="1450"/>
      <c r="AZ62" s="1450"/>
      <c r="BA62" s="1450"/>
      <c r="BB62" s="1450"/>
      <c r="BC62" s="1450"/>
      <c r="BD62" s="1450"/>
    </row>
    <row r="63" spans="1:56">
      <c r="A63" s="1450"/>
      <c r="B63" s="1450"/>
      <c r="C63" s="1450"/>
      <c r="D63" s="263"/>
      <c r="E63" s="263"/>
      <c r="F63" s="263"/>
      <c r="G63" s="263"/>
      <c r="H63" s="263"/>
      <c r="I63" s="263"/>
      <c r="J63" s="263"/>
      <c r="K63" s="263"/>
      <c r="L63" s="263"/>
      <c r="M63" s="263"/>
      <c r="N63" s="1537"/>
      <c r="O63" s="1537"/>
      <c r="P63" s="1537"/>
      <c r="Q63" s="1537"/>
      <c r="R63" s="1537"/>
      <c r="S63" s="1537"/>
      <c r="T63" s="1537"/>
      <c r="U63" s="1537"/>
      <c r="V63" s="1537"/>
      <c r="W63" s="1537"/>
      <c r="X63" s="1537"/>
      <c r="Y63" s="1537"/>
      <c r="Z63" s="1537"/>
      <c r="AA63" s="1537"/>
      <c r="AB63" s="1537"/>
      <c r="AC63" s="1537"/>
      <c r="AD63" s="1537"/>
      <c r="AE63" s="263"/>
      <c r="AF63" s="263"/>
      <c r="AG63" s="263"/>
      <c r="AH63" s="263"/>
      <c r="AI63" s="263"/>
      <c r="AJ63" s="263"/>
      <c r="AK63" s="263"/>
      <c r="AL63" s="263"/>
      <c r="AM63" s="263"/>
      <c r="AN63" s="263"/>
      <c r="AO63" s="263"/>
      <c r="AP63" s="1450"/>
      <c r="AQ63" s="1450"/>
      <c r="AR63" s="1450"/>
      <c r="AS63" s="1450"/>
      <c r="AT63" s="1450"/>
      <c r="AU63" s="1450"/>
      <c r="AV63" s="1450"/>
      <c r="AW63" s="1450"/>
      <c r="AX63" s="1450"/>
      <c r="AY63" s="1450"/>
      <c r="AZ63" s="1450"/>
      <c r="BA63" s="1450"/>
      <c r="BB63" s="1450"/>
      <c r="BC63" s="1450"/>
      <c r="BD63" s="1450"/>
    </row>
    <row r="64" spans="1:56">
      <c r="A64" s="1450"/>
      <c r="B64" s="1450"/>
      <c r="C64" s="1450"/>
      <c r="D64" s="1537"/>
      <c r="E64" s="1537"/>
      <c r="F64" s="1537"/>
      <c r="G64" s="1537"/>
      <c r="H64" s="1537"/>
      <c r="I64" s="1537"/>
      <c r="J64" s="1537"/>
      <c r="K64" s="1537"/>
      <c r="L64" s="1537"/>
      <c r="M64" s="1537"/>
      <c r="N64" s="1537"/>
      <c r="O64" s="1537"/>
      <c r="P64" s="1537"/>
      <c r="Q64" s="1537"/>
      <c r="R64" s="1537"/>
      <c r="S64" s="1537"/>
      <c r="T64" s="1537"/>
      <c r="U64" s="1537"/>
      <c r="V64" s="1537"/>
      <c r="W64" s="1537"/>
      <c r="X64" s="1537"/>
      <c r="Y64" s="1537"/>
      <c r="Z64" s="1537"/>
      <c r="AA64" s="1537"/>
      <c r="AB64" s="1537"/>
      <c r="AC64" s="1537"/>
      <c r="AD64" s="1537"/>
      <c r="AE64" s="1537"/>
      <c r="AF64" s="1537"/>
      <c r="AG64" s="1537"/>
      <c r="AH64" s="1537"/>
      <c r="AI64" s="1537"/>
      <c r="AJ64" s="1537"/>
      <c r="AK64" s="1537"/>
      <c r="AL64" s="1537"/>
      <c r="AM64" s="1450"/>
      <c r="AN64" s="1450"/>
      <c r="AO64" s="1450"/>
      <c r="AP64" s="1450"/>
      <c r="AQ64" s="1450"/>
      <c r="AR64" s="1450"/>
      <c r="AS64" s="1450"/>
      <c r="AT64" s="1450"/>
      <c r="AU64" s="1450"/>
      <c r="AV64" s="1450"/>
      <c r="AW64" s="1450"/>
      <c r="AX64" s="1450"/>
      <c r="AY64" s="1450"/>
      <c r="AZ64" s="1450"/>
      <c r="BA64" s="1450"/>
      <c r="BB64" s="1450"/>
      <c r="BC64" s="1450"/>
      <c r="BD64" s="1450"/>
    </row>
    <row r="65" spans="1:56">
      <c r="A65" s="1450"/>
      <c r="B65" s="1450"/>
      <c r="C65" s="1450"/>
      <c r="D65" s="1537"/>
      <c r="E65" s="1537"/>
      <c r="F65" s="1537"/>
      <c r="G65" s="1537"/>
      <c r="H65" s="1537"/>
      <c r="I65" s="1537"/>
      <c r="J65" s="1537"/>
      <c r="K65" s="1537"/>
      <c r="L65" s="1537"/>
      <c r="M65" s="1537"/>
      <c r="N65" s="1537"/>
      <c r="O65" s="1537"/>
      <c r="P65" s="1537"/>
      <c r="Q65" s="1537"/>
      <c r="R65" s="1537"/>
      <c r="S65" s="1537"/>
      <c r="T65" s="1537"/>
      <c r="U65" s="1537"/>
      <c r="V65" s="1537"/>
      <c r="W65" s="1537"/>
      <c r="X65" s="1537"/>
      <c r="Y65" s="1537"/>
      <c r="Z65" s="1537"/>
      <c r="AA65" s="1537"/>
      <c r="AB65" s="1537"/>
      <c r="AC65" s="1537"/>
      <c r="AD65" s="1537"/>
      <c r="AE65" s="1537"/>
      <c r="AF65" s="1537"/>
      <c r="AG65" s="1537"/>
      <c r="AH65" s="1537"/>
      <c r="AI65" s="1537"/>
      <c r="AJ65" s="1537"/>
      <c r="AK65" s="1537"/>
      <c r="AL65" s="1537"/>
      <c r="AM65" s="1450"/>
      <c r="AN65" s="1450"/>
      <c r="AO65" s="1450"/>
      <c r="AP65" s="1450"/>
      <c r="AQ65" s="1450"/>
      <c r="AR65" s="1450"/>
      <c r="AS65" s="1450"/>
      <c r="AT65" s="1450"/>
      <c r="AU65" s="1450"/>
      <c r="AV65" s="1450"/>
      <c r="AW65" s="1450"/>
      <c r="AX65" s="1450"/>
      <c r="AY65" s="1450"/>
      <c r="AZ65" s="1450"/>
      <c r="BA65" s="1450"/>
      <c r="BB65" s="1450"/>
      <c r="BC65" s="1450"/>
      <c r="BD65" s="1450"/>
    </row>
    <row r="66" spans="1:56">
      <c r="A66" s="1450"/>
      <c r="B66" s="1450"/>
      <c r="C66" s="1450"/>
      <c r="D66" s="1537"/>
      <c r="E66" s="1537"/>
      <c r="F66" s="1537"/>
      <c r="G66" s="1537"/>
      <c r="H66" s="1537"/>
      <c r="I66" s="1537"/>
      <c r="J66" s="1537"/>
      <c r="K66" s="1537"/>
      <c r="L66" s="1537"/>
      <c r="M66" s="1537"/>
      <c r="N66" s="1537"/>
      <c r="O66" s="1537"/>
      <c r="P66" s="1537"/>
      <c r="Q66" s="1537"/>
      <c r="R66" s="1537"/>
      <c r="S66" s="1537"/>
      <c r="T66" s="1537"/>
      <c r="U66" s="1537"/>
      <c r="V66" s="1537"/>
      <c r="W66" s="1537"/>
      <c r="X66" s="1537"/>
      <c r="Y66" s="1537"/>
      <c r="Z66" s="1537"/>
      <c r="AA66" s="1537"/>
      <c r="AB66" s="1537"/>
      <c r="AC66" s="1537"/>
      <c r="AD66" s="1537"/>
      <c r="AE66" s="1537"/>
      <c r="AF66" s="1537"/>
      <c r="AG66" s="1537"/>
      <c r="AH66" s="1537"/>
      <c r="AI66" s="1537"/>
      <c r="AJ66" s="1537"/>
      <c r="AK66" s="1537"/>
      <c r="AL66" s="1537"/>
      <c r="AM66" s="1450"/>
      <c r="AN66" s="1450"/>
      <c r="AO66" s="1450"/>
      <c r="AP66" s="1450"/>
      <c r="AQ66" s="1450"/>
      <c r="AR66" s="1450"/>
      <c r="AS66" s="1450"/>
      <c r="AT66" s="1450"/>
      <c r="AU66" s="1450"/>
      <c r="AV66" s="1450"/>
      <c r="AW66" s="1450"/>
      <c r="AX66" s="1450"/>
      <c r="AY66" s="1450"/>
      <c r="AZ66" s="1450"/>
      <c r="BA66" s="1450"/>
      <c r="BB66" s="1450"/>
      <c r="BC66" s="1450"/>
      <c r="BD66" s="1450"/>
    </row>
    <row r="67" spans="1:56">
      <c r="A67" s="1450"/>
      <c r="B67" s="1450"/>
      <c r="C67" s="1450"/>
      <c r="D67" s="1537"/>
      <c r="E67" s="1537"/>
      <c r="F67" s="1537"/>
      <c r="G67" s="1537"/>
      <c r="H67" s="1537"/>
      <c r="I67" s="1537"/>
      <c r="J67" s="1537"/>
      <c r="K67" s="1537"/>
      <c r="L67" s="1537"/>
      <c r="M67" s="1537"/>
      <c r="N67" s="1537"/>
      <c r="O67" s="1537"/>
      <c r="P67" s="1537"/>
      <c r="Q67" s="1537"/>
      <c r="R67" s="1537"/>
      <c r="S67" s="1537"/>
      <c r="T67" s="1537"/>
      <c r="U67" s="1537"/>
      <c r="V67" s="1537"/>
      <c r="W67" s="1537"/>
      <c r="X67" s="1537"/>
      <c r="Y67" s="1537"/>
      <c r="Z67" s="1537"/>
      <c r="AA67" s="1537"/>
      <c r="AB67" s="1537"/>
      <c r="AC67" s="1537"/>
      <c r="AD67" s="1537"/>
      <c r="AE67" s="1537"/>
      <c r="AF67" s="1537"/>
      <c r="AG67" s="1537"/>
      <c r="AH67" s="1537"/>
      <c r="AI67" s="1537"/>
      <c r="AJ67" s="1537"/>
      <c r="AK67" s="1537"/>
      <c r="AL67" s="1537"/>
      <c r="AM67" s="1450"/>
      <c r="AN67" s="1450"/>
      <c r="AO67" s="1450"/>
      <c r="AP67" s="1450"/>
      <c r="AQ67" s="1450"/>
      <c r="AR67" s="1450"/>
      <c r="AS67" s="1450"/>
      <c r="AT67" s="1450"/>
      <c r="AU67" s="1450"/>
      <c r="AV67" s="1450"/>
      <c r="AW67" s="1450"/>
      <c r="AX67" s="1450"/>
      <c r="AY67" s="1450"/>
      <c r="AZ67" s="1450"/>
      <c r="BA67" s="1450"/>
      <c r="BB67" s="1450"/>
      <c r="BC67" s="1450"/>
      <c r="BD67" s="1450"/>
    </row>
    <row r="68" spans="1:56">
      <c r="A68" s="1450"/>
      <c r="B68" s="1450"/>
      <c r="C68" s="1450"/>
      <c r="D68" s="1537"/>
      <c r="E68" s="1537"/>
      <c r="F68" s="1537"/>
      <c r="G68" s="1537"/>
      <c r="H68" s="1537"/>
      <c r="I68" s="1537"/>
      <c r="J68" s="1537"/>
      <c r="K68" s="1537"/>
      <c r="L68" s="1537"/>
      <c r="M68" s="1537"/>
      <c r="N68" s="1537"/>
      <c r="O68" s="1537"/>
      <c r="P68" s="1537"/>
      <c r="Q68" s="1537"/>
      <c r="R68" s="1537"/>
      <c r="S68" s="1537"/>
      <c r="T68" s="1537"/>
      <c r="U68" s="1537"/>
      <c r="V68" s="1537"/>
      <c r="W68" s="1537"/>
      <c r="X68" s="1537"/>
      <c r="Y68" s="1537"/>
      <c r="Z68" s="1537"/>
      <c r="AA68" s="1537"/>
      <c r="AB68" s="1537"/>
      <c r="AC68" s="1537"/>
      <c r="AD68" s="1537"/>
      <c r="AE68" s="1537"/>
      <c r="AF68" s="1537"/>
      <c r="AG68" s="1537"/>
      <c r="AH68" s="1537"/>
      <c r="AI68" s="1537"/>
      <c r="AJ68" s="1537"/>
      <c r="AK68" s="1537"/>
      <c r="AL68" s="1537"/>
      <c r="AM68" s="1450"/>
      <c r="AN68" s="1450"/>
      <c r="AO68" s="1450"/>
      <c r="AP68" s="1450"/>
      <c r="AQ68" s="1450"/>
      <c r="AR68" s="1450"/>
      <c r="AS68" s="1450"/>
      <c r="AT68" s="1450"/>
      <c r="AU68" s="1450"/>
      <c r="AV68" s="1450"/>
      <c r="AW68" s="1450"/>
      <c r="AX68" s="1450"/>
      <c r="AY68" s="1450"/>
      <c r="AZ68" s="1450"/>
      <c r="BA68" s="1450"/>
      <c r="BB68" s="1450"/>
      <c r="BC68" s="1450"/>
      <c r="BD68" s="1450"/>
    </row>
    <row r="69" spans="1:56">
      <c r="A69" s="1450"/>
      <c r="B69" s="1450"/>
      <c r="C69" s="1450"/>
      <c r="D69" s="1537"/>
      <c r="E69" s="1537"/>
      <c r="F69" s="1537"/>
      <c r="G69" s="1537"/>
      <c r="H69" s="1537"/>
      <c r="I69" s="1537"/>
      <c r="J69" s="1537"/>
      <c r="K69" s="1537"/>
      <c r="L69" s="1537"/>
      <c r="M69" s="1537"/>
      <c r="N69" s="1537"/>
      <c r="O69" s="1537"/>
      <c r="P69" s="1537"/>
      <c r="Q69" s="1537"/>
      <c r="R69" s="1537"/>
      <c r="S69" s="1537"/>
      <c r="T69" s="1537"/>
      <c r="U69" s="1537"/>
      <c r="V69" s="1537"/>
      <c r="W69" s="1537"/>
      <c r="X69" s="1537"/>
      <c r="Y69" s="1537"/>
      <c r="Z69" s="1537"/>
      <c r="AA69" s="1537"/>
      <c r="AB69" s="1537"/>
      <c r="AC69" s="1537"/>
      <c r="AD69" s="1537"/>
      <c r="AE69" s="1537"/>
      <c r="AF69" s="1537"/>
      <c r="AG69" s="1537"/>
      <c r="AH69" s="1537"/>
      <c r="AI69" s="1537"/>
      <c r="AJ69" s="1537"/>
      <c r="AK69" s="1537"/>
      <c r="AL69" s="1537"/>
      <c r="AM69" s="1450"/>
      <c r="AN69" s="1450"/>
      <c r="AO69" s="1450"/>
      <c r="AP69" s="1450"/>
      <c r="AQ69" s="1450"/>
      <c r="AR69" s="1450"/>
      <c r="AS69" s="1450"/>
      <c r="AT69" s="1450"/>
      <c r="AU69" s="1450"/>
      <c r="AV69" s="1450"/>
      <c r="AW69" s="1450"/>
      <c r="AX69" s="1450"/>
      <c r="AY69" s="1450"/>
      <c r="AZ69" s="1450"/>
      <c r="BA69" s="1450"/>
      <c r="BB69" s="1450"/>
      <c r="BC69" s="1450"/>
      <c r="BD69" s="1450"/>
    </row>
    <row r="70" spans="1:56">
      <c r="A70" s="1450"/>
      <c r="B70" s="1450"/>
      <c r="C70" s="1450"/>
      <c r="D70" s="1537"/>
      <c r="E70" s="1537"/>
      <c r="F70" s="1537"/>
      <c r="G70" s="1537"/>
      <c r="H70" s="1537"/>
      <c r="I70" s="1537"/>
      <c r="J70" s="1537"/>
      <c r="K70" s="1537"/>
      <c r="L70" s="1537"/>
      <c r="M70" s="1537"/>
      <c r="N70" s="1537"/>
      <c r="O70" s="1537"/>
      <c r="P70" s="1537"/>
      <c r="Q70" s="1537"/>
      <c r="R70" s="1537"/>
      <c r="S70" s="1537"/>
      <c r="T70" s="1537"/>
      <c r="U70" s="1537"/>
      <c r="V70" s="1537"/>
      <c r="W70" s="1537"/>
      <c r="X70" s="1537"/>
      <c r="Y70" s="1537"/>
      <c r="Z70" s="1537"/>
      <c r="AA70" s="1537"/>
      <c r="AB70" s="1537"/>
      <c r="AC70" s="1537"/>
      <c r="AD70" s="1537"/>
      <c r="AE70" s="1537"/>
      <c r="AF70" s="1537"/>
      <c r="AG70" s="1537"/>
      <c r="AH70" s="1537"/>
      <c r="AI70" s="1537"/>
      <c r="AJ70" s="1537"/>
      <c r="AK70" s="1537"/>
      <c r="AL70" s="1537"/>
      <c r="AM70" s="1450"/>
      <c r="AN70" s="1450"/>
      <c r="AO70" s="1450"/>
      <c r="AP70" s="1450"/>
      <c r="AQ70" s="1450"/>
      <c r="AR70" s="1450"/>
      <c r="AS70" s="1450"/>
      <c r="AT70" s="1450"/>
      <c r="AU70" s="1450"/>
      <c r="AV70" s="1450"/>
      <c r="AW70" s="1450"/>
      <c r="AX70" s="1450"/>
      <c r="AY70" s="1450"/>
      <c r="AZ70" s="1450"/>
      <c r="BA70" s="1450"/>
      <c r="BB70" s="1450"/>
      <c r="BC70" s="1450"/>
      <c r="BD70" s="1450"/>
    </row>
    <row r="71" spans="1:56">
      <c r="A71" s="1450"/>
      <c r="B71" s="1450"/>
      <c r="C71" s="1450"/>
      <c r="D71" s="1537"/>
      <c r="E71" s="1537"/>
      <c r="F71" s="1537"/>
      <c r="G71" s="1537"/>
      <c r="H71" s="1537"/>
      <c r="I71" s="1537"/>
      <c r="J71" s="1537"/>
      <c r="K71" s="1537"/>
      <c r="L71" s="1537"/>
      <c r="M71" s="1537"/>
      <c r="N71" s="1537"/>
      <c r="O71" s="1537"/>
      <c r="P71" s="1537"/>
      <c r="Q71" s="1537"/>
      <c r="R71" s="1537"/>
      <c r="S71" s="1537"/>
      <c r="T71" s="1537"/>
      <c r="U71" s="1537"/>
      <c r="V71" s="1537"/>
      <c r="W71" s="1537"/>
      <c r="X71" s="1537"/>
      <c r="Y71" s="1537"/>
      <c r="Z71" s="1537"/>
      <c r="AA71" s="1537"/>
      <c r="AB71" s="1537"/>
      <c r="AC71" s="1537"/>
      <c r="AD71" s="1537"/>
      <c r="AE71" s="1537"/>
      <c r="AF71" s="1537"/>
      <c r="AG71" s="1537"/>
      <c r="AH71" s="1537"/>
      <c r="AI71" s="1537"/>
      <c r="AJ71" s="1537"/>
      <c r="AK71" s="1537"/>
      <c r="AL71" s="1537"/>
      <c r="AM71" s="1450"/>
      <c r="AN71" s="1450"/>
      <c r="AO71" s="1450"/>
      <c r="AP71" s="1450"/>
      <c r="AQ71" s="1450"/>
      <c r="AR71" s="1450"/>
      <c r="AS71" s="1450"/>
      <c r="AT71" s="1450"/>
      <c r="AU71" s="1450"/>
      <c r="AV71" s="1450"/>
      <c r="AW71" s="1450"/>
      <c r="AX71" s="1450"/>
      <c r="AY71" s="1450"/>
      <c r="AZ71" s="1450"/>
      <c r="BA71" s="1450"/>
      <c r="BB71" s="1450"/>
      <c r="BC71" s="1450"/>
      <c r="BD71" s="1450"/>
    </row>
    <row r="72" spans="1:56">
      <c r="A72" s="1450"/>
      <c r="B72" s="1450"/>
      <c r="C72" s="1450"/>
      <c r="D72" s="1537"/>
      <c r="E72" s="1537"/>
      <c r="F72" s="1537"/>
      <c r="G72" s="1537"/>
      <c r="H72" s="1537"/>
      <c r="I72" s="1537"/>
      <c r="J72" s="1537"/>
      <c r="K72" s="1537"/>
      <c r="L72" s="1537"/>
      <c r="M72" s="1537"/>
      <c r="N72" s="1537"/>
      <c r="O72" s="1537"/>
      <c r="P72" s="1537"/>
      <c r="Q72" s="1537"/>
      <c r="R72" s="1537"/>
      <c r="S72" s="1537"/>
      <c r="T72" s="1537"/>
      <c r="U72" s="1537"/>
      <c r="V72" s="1537"/>
      <c r="W72" s="1537"/>
      <c r="X72" s="1537"/>
      <c r="Y72" s="1537"/>
      <c r="Z72" s="1537"/>
      <c r="AA72" s="1537"/>
      <c r="AB72" s="1537"/>
      <c r="AC72" s="1537"/>
      <c r="AD72" s="1537"/>
      <c r="AE72" s="1537"/>
      <c r="AF72" s="1537"/>
      <c r="AG72" s="1537"/>
      <c r="AH72" s="1537"/>
      <c r="AI72" s="1537"/>
      <c r="AJ72" s="1537"/>
      <c r="AK72" s="1537"/>
      <c r="AL72" s="1537"/>
      <c r="AM72" s="1450"/>
      <c r="AN72" s="1450"/>
      <c r="AO72" s="1450"/>
      <c r="AP72" s="1450"/>
      <c r="AQ72" s="1450"/>
      <c r="AR72" s="1450"/>
      <c r="AS72" s="1450"/>
      <c r="AT72" s="1450"/>
      <c r="AU72" s="1450"/>
      <c r="AV72" s="1450"/>
      <c r="AW72" s="1450"/>
      <c r="AX72" s="1450"/>
      <c r="AY72" s="1450"/>
      <c r="AZ72" s="1450"/>
      <c r="BA72" s="1450"/>
      <c r="BB72" s="1450"/>
      <c r="BC72" s="1450"/>
      <c r="BD72" s="1450"/>
    </row>
    <row r="73" spans="1:56">
      <c r="A73" s="1450"/>
      <c r="B73" s="1450"/>
      <c r="C73" s="1450"/>
      <c r="D73" s="1537"/>
      <c r="E73" s="1537"/>
      <c r="F73" s="1537"/>
      <c r="G73" s="1537"/>
      <c r="H73" s="1537"/>
      <c r="I73" s="1537"/>
      <c r="J73" s="1537"/>
      <c r="K73" s="1537"/>
      <c r="L73" s="1537"/>
      <c r="M73" s="1537"/>
      <c r="N73" s="1537"/>
      <c r="O73" s="1537"/>
      <c r="P73" s="1537"/>
      <c r="Q73" s="1537"/>
      <c r="R73" s="1537"/>
      <c r="S73" s="1537"/>
      <c r="T73" s="1537"/>
      <c r="U73" s="1537"/>
      <c r="V73" s="1537"/>
      <c r="W73" s="1537"/>
      <c r="X73" s="1537"/>
      <c r="Y73" s="1537"/>
      <c r="Z73" s="1537"/>
      <c r="AA73" s="1537"/>
      <c r="AB73" s="1537"/>
      <c r="AC73" s="1537"/>
      <c r="AD73" s="1537"/>
      <c r="AE73" s="1537"/>
      <c r="AF73" s="1537"/>
      <c r="AG73" s="1537"/>
      <c r="AH73" s="1537"/>
      <c r="AI73" s="1537"/>
      <c r="AJ73" s="1537"/>
      <c r="AK73" s="1537"/>
      <c r="AL73" s="1537"/>
      <c r="AM73" s="1450"/>
      <c r="AN73" s="1450"/>
      <c r="AO73" s="1450"/>
      <c r="AP73" s="1450"/>
      <c r="AQ73" s="1450"/>
      <c r="AR73" s="1450"/>
      <c r="AS73" s="1450"/>
      <c r="AT73" s="1450"/>
      <c r="AU73" s="1450"/>
      <c r="AV73" s="1450"/>
      <c r="AW73" s="1450"/>
      <c r="AX73" s="1450"/>
      <c r="AY73" s="1450"/>
      <c r="AZ73" s="1450"/>
      <c r="BA73" s="1450"/>
      <c r="BB73" s="1450"/>
      <c r="BC73" s="1450"/>
      <c r="BD73" s="1450"/>
    </row>
    <row r="74" spans="1:56">
      <c r="A74" s="1450"/>
      <c r="B74" s="1450"/>
      <c r="C74" s="1450"/>
      <c r="D74" s="1537"/>
      <c r="E74" s="1537"/>
      <c r="F74" s="1537"/>
      <c r="G74" s="1537"/>
      <c r="H74" s="1537"/>
      <c r="I74" s="1537"/>
      <c r="J74" s="1537"/>
      <c r="K74" s="1537"/>
      <c r="L74" s="1537"/>
      <c r="M74" s="1537"/>
      <c r="N74" s="1537"/>
      <c r="O74" s="1537"/>
      <c r="P74" s="1537"/>
      <c r="Q74" s="1537"/>
      <c r="R74" s="1537"/>
      <c r="S74" s="1537"/>
      <c r="T74" s="1537"/>
      <c r="U74" s="1537"/>
      <c r="V74" s="1537"/>
      <c r="W74" s="1537"/>
      <c r="X74" s="1537"/>
      <c r="Y74" s="1537"/>
      <c r="Z74" s="1537"/>
      <c r="AA74" s="1537"/>
      <c r="AB74" s="1537"/>
      <c r="AC74" s="1537"/>
      <c r="AD74" s="1537"/>
      <c r="AE74" s="1537"/>
      <c r="AF74" s="1537"/>
      <c r="AG74" s="1537"/>
      <c r="AH74" s="1537"/>
      <c r="AI74" s="1537"/>
      <c r="AJ74" s="1537"/>
      <c r="AK74" s="1537"/>
      <c r="AL74" s="1537"/>
      <c r="AM74" s="1450"/>
      <c r="AN74" s="1450"/>
      <c r="AO74" s="1450"/>
      <c r="AP74" s="1450"/>
      <c r="AQ74" s="1450"/>
      <c r="AR74" s="1450"/>
      <c r="AS74" s="1450"/>
      <c r="AT74" s="1450"/>
      <c r="AU74" s="1450"/>
      <c r="AV74" s="1450"/>
      <c r="AW74" s="1450"/>
      <c r="AX74" s="1450"/>
      <c r="AY74" s="1450"/>
      <c r="AZ74" s="1450"/>
      <c r="BA74" s="1450"/>
      <c r="BB74" s="1450"/>
      <c r="BC74" s="1450"/>
      <c r="BD74" s="1450"/>
    </row>
    <row r="75" spans="1:56">
      <c r="A75" s="1450"/>
      <c r="B75" s="1450"/>
      <c r="C75" s="1450"/>
      <c r="D75" s="1537"/>
      <c r="E75" s="1537"/>
      <c r="F75" s="1537"/>
      <c r="G75" s="1537"/>
      <c r="H75" s="1537"/>
      <c r="I75" s="1537"/>
      <c r="J75" s="1537"/>
      <c r="K75" s="1537"/>
      <c r="L75" s="1537"/>
      <c r="M75" s="1537"/>
      <c r="N75" s="1537"/>
      <c r="O75" s="1537"/>
      <c r="P75" s="1537"/>
      <c r="Q75" s="1537"/>
      <c r="R75" s="1537"/>
      <c r="S75" s="1537"/>
      <c r="T75" s="1537"/>
      <c r="U75" s="1537"/>
      <c r="V75" s="1537"/>
      <c r="W75" s="1537"/>
      <c r="X75" s="1537"/>
      <c r="Y75" s="1537"/>
      <c r="Z75" s="1537"/>
      <c r="AA75" s="1537"/>
      <c r="AB75" s="1537"/>
      <c r="AC75" s="1537"/>
      <c r="AD75" s="1537"/>
      <c r="AE75" s="1537"/>
      <c r="AF75" s="1537"/>
      <c r="AG75" s="1537"/>
      <c r="AH75" s="1537"/>
      <c r="AI75" s="1537"/>
      <c r="AJ75" s="1537"/>
      <c r="AK75" s="1537"/>
      <c r="AL75" s="1537"/>
      <c r="AM75" s="1450"/>
      <c r="AN75" s="1450"/>
      <c r="AO75" s="1450"/>
      <c r="AP75" s="1450"/>
      <c r="AQ75" s="1450"/>
      <c r="AR75" s="1450"/>
      <c r="AS75" s="1450"/>
      <c r="AT75" s="1450"/>
      <c r="AU75" s="1450"/>
      <c r="AV75" s="1450"/>
      <c r="AW75" s="1450"/>
      <c r="AX75" s="1450"/>
      <c r="AY75" s="1450"/>
      <c r="AZ75" s="1450"/>
      <c r="BA75" s="1450"/>
      <c r="BB75" s="1450"/>
      <c r="BC75" s="1450"/>
      <c r="BD75" s="1450"/>
    </row>
    <row r="76" spans="1:56">
      <c r="A76" s="1450"/>
      <c r="B76" s="1450"/>
      <c r="C76" s="1450"/>
      <c r="D76" s="1537"/>
      <c r="E76" s="1537"/>
      <c r="F76" s="1537"/>
      <c r="G76" s="1537"/>
      <c r="H76" s="1537"/>
      <c r="I76" s="1537"/>
      <c r="J76" s="1537"/>
      <c r="K76" s="1537"/>
      <c r="L76" s="1537"/>
      <c r="M76" s="1537"/>
      <c r="N76" s="1537"/>
      <c r="O76" s="1537"/>
      <c r="P76" s="1537"/>
      <c r="Q76" s="1537"/>
      <c r="R76" s="1537"/>
      <c r="S76" s="1537"/>
      <c r="T76" s="1537"/>
      <c r="U76" s="1537"/>
      <c r="V76" s="1537"/>
      <c r="W76" s="1537"/>
      <c r="X76" s="1537"/>
      <c r="Y76" s="1537"/>
      <c r="Z76" s="1537"/>
      <c r="AA76" s="1537"/>
      <c r="AB76" s="1537"/>
      <c r="AC76" s="1537"/>
      <c r="AD76" s="1537"/>
      <c r="AE76" s="1537"/>
      <c r="AF76" s="1537"/>
      <c r="AG76" s="1537"/>
      <c r="AH76" s="1537"/>
      <c r="AI76" s="1537"/>
      <c r="AJ76" s="1537"/>
      <c r="AK76" s="1537"/>
      <c r="AL76" s="1537"/>
      <c r="AM76" s="1450"/>
      <c r="AN76" s="1450"/>
      <c r="AO76" s="1450"/>
      <c r="AP76" s="1450"/>
      <c r="AQ76" s="1450"/>
      <c r="AR76" s="1450"/>
      <c r="AS76" s="1450"/>
      <c r="AT76" s="1450"/>
      <c r="AU76" s="1450"/>
      <c r="AV76" s="1450"/>
      <c r="AW76" s="1450"/>
      <c r="AX76" s="1450"/>
      <c r="AY76" s="1450"/>
      <c r="AZ76" s="1450"/>
      <c r="BA76" s="1450"/>
      <c r="BB76" s="1450"/>
      <c r="BC76" s="1450"/>
      <c r="BD76" s="1450"/>
    </row>
    <row r="77" spans="1:56">
      <c r="A77" s="1450"/>
      <c r="B77" s="1450"/>
      <c r="C77" s="1450"/>
      <c r="D77" s="1537"/>
      <c r="E77" s="1537"/>
      <c r="F77" s="1537"/>
      <c r="G77" s="1537"/>
      <c r="H77" s="1537"/>
      <c r="I77" s="1537"/>
      <c r="J77" s="1537"/>
      <c r="K77" s="1537"/>
      <c r="L77" s="1537"/>
      <c r="M77" s="1537"/>
      <c r="N77" s="1537"/>
      <c r="O77" s="1537"/>
      <c r="P77" s="1537"/>
      <c r="Q77" s="1537"/>
      <c r="R77" s="1537"/>
      <c r="S77" s="1537"/>
      <c r="T77" s="1537"/>
      <c r="U77" s="1537"/>
      <c r="V77" s="1537"/>
      <c r="W77" s="1537"/>
      <c r="X77" s="1537"/>
      <c r="Y77" s="1537"/>
      <c r="Z77" s="1537"/>
      <c r="AA77" s="1537"/>
      <c r="AB77" s="1537"/>
      <c r="AC77" s="1537"/>
      <c r="AD77" s="1537"/>
      <c r="AE77" s="1537"/>
      <c r="AF77" s="1537"/>
      <c r="AG77" s="1537"/>
      <c r="AH77" s="1537"/>
      <c r="AI77" s="1537"/>
      <c r="AJ77" s="1537"/>
      <c r="AK77" s="1537"/>
      <c r="AL77" s="1537"/>
      <c r="AM77" s="1450"/>
      <c r="AN77" s="1450"/>
      <c r="AO77" s="1450"/>
      <c r="AP77" s="1450"/>
      <c r="AQ77" s="1450"/>
      <c r="AR77" s="1450"/>
      <c r="AS77" s="1450"/>
      <c r="AT77" s="1450"/>
      <c r="AU77" s="1450"/>
      <c r="AV77" s="1450"/>
      <c r="AW77" s="1450"/>
      <c r="AX77" s="1450"/>
      <c r="AY77" s="1450"/>
      <c r="AZ77" s="1450"/>
      <c r="BA77" s="1450"/>
      <c r="BB77" s="1450"/>
      <c r="BC77" s="1450"/>
      <c r="BD77" s="1450"/>
    </row>
    <row r="78" spans="1:56">
      <c r="A78" s="1450"/>
      <c r="B78" s="1450"/>
      <c r="C78" s="1450"/>
      <c r="D78" s="1537"/>
      <c r="E78" s="1537"/>
      <c r="F78" s="1537"/>
      <c r="G78" s="1537"/>
      <c r="H78" s="1537"/>
      <c r="I78" s="1537"/>
      <c r="J78" s="1537"/>
      <c r="K78" s="1537"/>
      <c r="L78" s="1537"/>
      <c r="M78" s="1537"/>
      <c r="N78" s="1537"/>
      <c r="O78" s="1537"/>
      <c r="P78" s="1537"/>
      <c r="Q78" s="1537"/>
      <c r="R78" s="1537"/>
      <c r="S78" s="1537"/>
      <c r="T78" s="1537"/>
      <c r="U78" s="1537"/>
      <c r="V78" s="1537"/>
      <c r="W78" s="1537"/>
      <c r="X78" s="1537"/>
      <c r="Y78" s="1537"/>
      <c r="Z78" s="1537"/>
      <c r="AA78" s="1537"/>
      <c r="AB78" s="1537"/>
      <c r="AC78" s="1537"/>
      <c r="AD78" s="1537"/>
      <c r="AE78" s="1537"/>
      <c r="AF78" s="1537"/>
      <c r="AG78" s="1537"/>
      <c r="AH78" s="1537"/>
      <c r="AI78" s="1537"/>
      <c r="AJ78" s="1537"/>
      <c r="AK78" s="1537"/>
      <c r="AL78" s="1537"/>
      <c r="AM78" s="1450"/>
      <c r="AN78" s="1450"/>
      <c r="AO78" s="1450"/>
      <c r="AP78" s="1450"/>
      <c r="AQ78" s="1450"/>
      <c r="AR78" s="1450"/>
      <c r="AS78" s="1450"/>
      <c r="AT78" s="1450"/>
      <c r="AU78" s="1450"/>
      <c r="AV78" s="1450"/>
      <c r="AW78" s="1450"/>
      <c r="AX78" s="1450"/>
      <c r="AY78" s="1450"/>
      <c r="AZ78" s="1450"/>
      <c r="BA78" s="1450"/>
      <c r="BB78" s="1450"/>
      <c r="BC78" s="1450"/>
      <c r="BD78" s="1450"/>
    </row>
    <row r="79" spans="1:56">
      <c r="A79" s="1450"/>
      <c r="B79" s="1450"/>
      <c r="C79" s="1450"/>
      <c r="D79" s="1537"/>
      <c r="E79" s="1537"/>
      <c r="F79" s="1537"/>
      <c r="G79" s="1537"/>
      <c r="H79" s="1537"/>
      <c r="I79" s="1537"/>
      <c r="J79" s="1537"/>
      <c r="K79" s="1537"/>
      <c r="L79" s="1537"/>
      <c r="M79" s="1537"/>
      <c r="N79" s="1537"/>
      <c r="O79" s="1537"/>
      <c r="P79" s="1537"/>
      <c r="Q79" s="1537"/>
      <c r="R79" s="1537"/>
      <c r="S79" s="1537"/>
      <c r="T79" s="1537"/>
      <c r="U79" s="1537"/>
      <c r="V79" s="1537"/>
      <c r="W79" s="1537"/>
      <c r="X79" s="1537"/>
      <c r="Y79" s="1537"/>
      <c r="Z79" s="1537"/>
      <c r="AA79" s="1537"/>
      <c r="AB79" s="1537"/>
      <c r="AC79" s="1537"/>
      <c r="AD79" s="1537"/>
      <c r="AE79" s="1537"/>
      <c r="AF79" s="1537"/>
      <c r="AG79" s="1537"/>
      <c r="AH79" s="1537"/>
      <c r="AI79" s="1537"/>
      <c r="AJ79" s="1537"/>
      <c r="AK79" s="1537"/>
      <c r="AL79" s="1537"/>
      <c r="AM79" s="1450"/>
      <c r="AN79" s="1450"/>
      <c r="AO79" s="1450"/>
      <c r="AP79" s="1450"/>
      <c r="AQ79" s="1450"/>
      <c r="AR79" s="1450"/>
      <c r="AS79" s="1450"/>
      <c r="AT79" s="1450"/>
      <c r="AU79" s="1450"/>
      <c r="AV79" s="1450"/>
      <c r="AW79" s="1450"/>
      <c r="AX79" s="1450"/>
      <c r="AY79" s="1450"/>
      <c r="AZ79" s="1450"/>
      <c r="BA79" s="1450"/>
      <c r="BB79" s="1450"/>
      <c r="BC79" s="1450"/>
      <c r="BD79" s="1450"/>
    </row>
    <row r="80" spans="1:56">
      <c r="A80" s="1450"/>
      <c r="B80" s="1450"/>
      <c r="C80" s="1450"/>
      <c r="D80" s="1537"/>
      <c r="E80" s="1537"/>
      <c r="F80" s="1537"/>
      <c r="G80" s="1537"/>
      <c r="H80" s="1537"/>
      <c r="I80" s="1537"/>
      <c r="J80" s="1537"/>
      <c r="K80" s="1537"/>
      <c r="L80" s="1537"/>
      <c r="M80" s="1537"/>
      <c r="N80" s="1537"/>
      <c r="O80" s="1537"/>
      <c r="P80" s="1537"/>
      <c r="Q80" s="1537"/>
      <c r="R80" s="1537"/>
      <c r="S80" s="1537"/>
      <c r="T80" s="1537"/>
      <c r="U80" s="1537"/>
      <c r="V80" s="1537"/>
      <c r="W80" s="1537"/>
      <c r="X80" s="1537"/>
      <c r="Y80" s="1537"/>
      <c r="Z80" s="1537"/>
      <c r="AA80" s="1537"/>
      <c r="AB80" s="1537"/>
      <c r="AC80" s="1537"/>
      <c r="AD80" s="1537"/>
      <c r="AE80" s="1537"/>
      <c r="AF80" s="1537"/>
      <c r="AG80" s="1537"/>
      <c r="AH80" s="1537"/>
      <c r="AI80" s="1537"/>
      <c r="AJ80" s="1537"/>
      <c r="AK80" s="1537"/>
      <c r="AL80" s="1537"/>
      <c r="AM80" s="1450"/>
      <c r="AN80" s="1450"/>
      <c r="AO80" s="1450"/>
      <c r="AP80" s="1450"/>
      <c r="AQ80" s="1450"/>
      <c r="AR80" s="1450"/>
      <c r="AS80" s="1450"/>
      <c r="AT80" s="1450"/>
      <c r="AU80" s="1450"/>
      <c r="AV80" s="1450"/>
      <c r="AW80" s="1450"/>
      <c r="AX80" s="1450"/>
      <c r="AY80" s="1450"/>
      <c r="AZ80" s="1450"/>
      <c r="BA80" s="1450"/>
      <c r="BB80" s="1450"/>
      <c r="BC80" s="1450"/>
      <c r="BD80" s="1450"/>
    </row>
    <row r="81" spans="1:56">
      <c r="A81" s="1450"/>
      <c r="B81" s="1450"/>
      <c r="C81" s="1450"/>
      <c r="D81" s="1537"/>
      <c r="E81" s="1537"/>
      <c r="F81" s="1537"/>
      <c r="G81" s="1537"/>
      <c r="H81" s="1537"/>
      <c r="I81" s="1537"/>
      <c r="J81" s="1537"/>
      <c r="K81" s="1537"/>
      <c r="L81" s="1537"/>
      <c r="M81" s="1537"/>
      <c r="N81" s="1537"/>
      <c r="O81" s="1537"/>
      <c r="P81" s="1537"/>
      <c r="Q81" s="1537"/>
      <c r="R81" s="1537"/>
      <c r="S81" s="1537"/>
      <c r="T81" s="1537"/>
      <c r="U81" s="1537"/>
      <c r="V81" s="1537"/>
      <c r="W81" s="1537"/>
      <c r="X81" s="1537"/>
      <c r="Y81" s="1537"/>
      <c r="Z81" s="1537"/>
      <c r="AA81" s="1537"/>
      <c r="AB81" s="1537"/>
      <c r="AC81" s="1537"/>
      <c r="AD81" s="1537"/>
      <c r="AE81" s="1537"/>
      <c r="AF81" s="1537"/>
      <c r="AG81" s="1537"/>
      <c r="AH81" s="1537"/>
      <c r="AI81" s="1537"/>
      <c r="AJ81" s="1537"/>
      <c r="AK81" s="1537"/>
      <c r="AL81" s="1537"/>
      <c r="AM81" s="1450"/>
      <c r="AN81" s="1450"/>
      <c r="AO81" s="1450"/>
      <c r="AP81" s="1450"/>
      <c r="AQ81" s="1450"/>
      <c r="AR81" s="1450"/>
      <c r="AS81" s="1450"/>
      <c r="AT81" s="1450"/>
      <c r="AU81" s="1450"/>
      <c r="AV81" s="1450"/>
      <c r="AW81" s="1450"/>
      <c r="AX81" s="1450"/>
      <c r="AY81" s="1450"/>
      <c r="AZ81" s="1450"/>
      <c r="BA81" s="1450"/>
      <c r="BB81" s="1450"/>
      <c r="BC81" s="1450"/>
      <c r="BD81" s="1450"/>
    </row>
    <row r="82" spans="1:56">
      <c r="A82" s="1450"/>
      <c r="B82" s="1450"/>
      <c r="C82" s="1450"/>
      <c r="D82" s="1537"/>
      <c r="E82" s="1537"/>
      <c r="F82" s="1537"/>
      <c r="G82" s="1537"/>
      <c r="H82" s="1537"/>
      <c r="I82" s="1537"/>
      <c r="J82" s="1537"/>
      <c r="K82" s="1537"/>
      <c r="L82" s="1537"/>
      <c r="M82" s="1537"/>
      <c r="N82" s="1537"/>
      <c r="O82" s="1537"/>
      <c r="P82" s="1537"/>
      <c r="Q82" s="1537"/>
      <c r="R82" s="1537"/>
      <c r="S82" s="1537"/>
      <c r="T82" s="1537"/>
      <c r="U82" s="1537"/>
      <c r="V82" s="1537"/>
      <c r="W82" s="1537"/>
      <c r="X82" s="1537"/>
      <c r="Y82" s="1537"/>
      <c r="Z82" s="1537"/>
      <c r="AA82" s="1537"/>
      <c r="AB82" s="1537"/>
      <c r="AC82" s="1537"/>
      <c r="AD82" s="1537"/>
      <c r="AE82" s="1537"/>
      <c r="AF82" s="1537"/>
      <c r="AG82" s="1537"/>
      <c r="AH82" s="1537"/>
      <c r="AI82" s="1537"/>
      <c r="AJ82" s="1537"/>
      <c r="AK82" s="1537"/>
      <c r="AL82" s="1537"/>
      <c r="AM82" s="1450"/>
      <c r="AN82" s="1450"/>
      <c r="AO82" s="1450"/>
      <c r="AP82" s="1450"/>
      <c r="AQ82" s="1450"/>
      <c r="AR82" s="1450"/>
      <c r="AS82" s="1450"/>
      <c r="AT82" s="1450"/>
      <c r="AU82" s="1450"/>
      <c r="AV82" s="1450"/>
      <c r="AW82" s="1450"/>
      <c r="AX82" s="1450"/>
      <c r="AY82" s="1450"/>
      <c r="AZ82" s="1450"/>
      <c r="BA82" s="1450"/>
      <c r="BB82" s="1450"/>
      <c r="BC82" s="1450"/>
      <c r="BD82" s="1450"/>
    </row>
    <row r="83" spans="1:56">
      <c r="A83" s="1450"/>
      <c r="B83" s="1450"/>
      <c r="C83" s="1450"/>
      <c r="D83" s="1537"/>
      <c r="E83" s="1537"/>
      <c r="F83" s="1537"/>
      <c r="G83" s="1537"/>
      <c r="H83" s="1537"/>
      <c r="I83" s="1537"/>
      <c r="J83" s="1537"/>
      <c r="K83" s="1537"/>
      <c r="L83" s="1537"/>
      <c r="M83" s="1537"/>
      <c r="N83" s="1537"/>
      <c r="O83" s="1537"/>
      <c r="P83" s="1537"/>
      <c r="Q83" s="1537"/>
      <c r="R83" s="1537"/>
      <c r="S83" s="1537"/>
      <c r="T83" s="1537"/>
      <c r="U83" s="1537"/>
      <c r="V83" s="1537"/>
      <c r="W83" s="1537"/>
      <c r="X83" s="1537"/>
      <c r="Y83" s="1537"/>
      <c r="Z83" s="1537"/>
      <c r="AA83" s="1537"/>
      <c r="AB83" s="1537"/>
      <c r="AC83" s="1537"/>
      <c r="AD83" s="1537"/>
      <c r="AE83" s="1537"/>
      <c r="AF83" s="1537"/>
      <c r="AG83" s="1537"/>
      <c r="AH83" s="1537"/>
      <c r="AI83" s="1537"/>
      <c r="AJ83" s="1537"/>
      <c r="AK83" s="1537"/>
      <c r="AL83" s="1537"/>
      <c r="AM83" s="1450"/>
      <c r="AN83" s="1450"/>
      <c r="AO83" s="1450"/>
      <c r="AP83" s="1450"/>
      <c r="AQ83" s="1450"/>
      <c r="AR83" s="1450"/>
      <c r="AS83" s="1450"/>
      <c r="AT83" s="1450"/>
      <c r="AU83" s="1450"/>
      <c r="AV83" s="1450"/>
      <c r="AW83" s="1450"/>
      <c r="AX83" s="1450"/>
      <c r="AY83" s="1450"/>
      <c r="AZ83" s="1450"/>
      <c r="BA83" s="1450"/>
      <c r="BB83" s="1450"/>
      <c r="BC83" s="1450"/>
      <c r="BD83" s="1450"/>
    </row>
    <row r="84" spans="1:56">
      <c r="A84" s="1450"/>
      <c r="B84" s="1450"/>
      <c r="C84" s="1450"/>
      <c r="D84" s="1537"/>
      <c r="E84" s="1537"/>
      <c r="F84" s="1537"/>
      <c r="G84" s="1537"/>
      <c r="H84" s="1537"/>
      <c r="I84" s="1537"/>
      <c r="J84" s="1537"/>
      <c r="K84" s="1537"/>
      <c r="L84" s="1537"/>
      <c r="M84" s="1537"/>
      <c r="N84" s="1537"/>
      <c r="O84" s="1537"/>
      <c r="P84" s="1537"/>
      <c r="Q84" s="1537"/>
      <c r="R84" s="1537"/>
      <c r="S84" s="1537"/>
      <c r="T84" s="1537"/>
      <c r="U84" s="1537"/>
      <c r="V84" s="1537"/>
      <c r="W84" s="1537"/>
      <c r="X84" s="1537"/>
      <c r="Y84" s="1537"/>
      <c r="Z84" s="1537"/>
      <c r="AA84" s="1537"/>
      <c r="AB84" s="1537"/>
      <c r="AC84" s="1537"/>
      <c r="AD84" s="1537"/>
      <c r="AE84" s="1537"/>
      <c r="AF84" s="1537"/>
      <c r="AG84" s="1537"/>
      <c r="AH84" s="1537"/>
      <c r="AI84" s="1537"/>
      <c r="AJ84" s="1537"/>
      <c r="AK84" s="1537"/>
      <c r="AL84" s="1537"/>
      <c r="AM84" s="1450"/>
      <c r="AN84" s="1450"/>
      <c r="AO84" s="1450"/>
      <c r="AP84" s="1450"/>
      <c r="AQ84" s="1450"/>
      <c r="AR84" s="1450"/>
      <c r="AS84" s="1450"/>
      <c r="AT84" s="1450"/>
      <c r="AU84" s="1450"/>
      <c r="AV84" s="1450"/>
      <c r="AW84" s="1450"/>
      <c r="AX84" s="1450"/>
      <c r="AY84" s="1450"/>
      <c r="AZ84" s="1450"/>
      <c r="BA84" s="1450"/>
      <c r="BB84" s="1450"/>
      <c r="BC84" s="1450"/>
      <c r="BD84" s="1450"/>
    </row>
    <row r="85" spans="1:56">
      <c r="A85" s="1450"/>
      <c r="B85" s="1450"/>
      <c r="C85" s="1450"/>
      <c r="D85" s="1537"/>
      <c r="E85" s="1537"/>
      <c r="F85" s="1537"/>
      <c r="G85" s="1537"/>
      <c r="H85" s="1537"/>
      <c r="I85" s="1537"/>
      <c r="J85" s="1537"/>
      <c r="K85" s="1537"/>
      <c r="L85" s="1537"/>
      <c r="M85" s="1537"/>
      <c r="N85" s="1537"/>
      <c r="O85" s="1537"/>
      <c r="P85" s="1537"/>
      <c r="Q85" s="1537"/>
      <c r="R85" s="1537"/>
      <c r="S85" s="1537"/>
      <c r="T85" s="1537"/>
      <c r="U85" s="1537"/>
      <c r="V85" s="1537"/>
      <c r="W85" s="1537"/>
      <c r="X85" s="1537"/>
      <c r="Y85" s="1537"/>
      <c r="Z85" s="1537"/>
      <c r="AA85" s="1537"/>
      <c r="AB85" s="1537"/>
      <c r="AC85" s="1537"/>
      <c r="AD85" s="1537"/>
      <c r="AE85" s="1537"/>
      <c r="AF85" s="1537"/>
      <c r="AG85" s="1537"/>
      <c r="AH85" s="1537"/>
      <c r="AI85" s="1537"/>
      <c r="AJ85" s="1537"/>
      <c r="AK85" s="1537"/>
      <c r="AL85" s="1537"/>
      <c r="AM85" s="1450"/>
      <c r="AN85" s="1450"/>
      <c r="AO85" s="1450"/>
      <c r="AP85" s="1450"/>
      <c r="AQ85" s="1450"/>
      <c r="AR85" s="1450"/>
      <c r="AS85" s="1450"/>
      <c r="AT85" s="1450"/>
      <c r="AU85" s="1450"/>
      <c r="AV85" s="1450"/>
      <c r="AW85" s="1450"/>
      <c r="AX85" s="1450"/>
      <c r="AY85" s="1450"/>
      <c r="AZ85" s="1450"/>
      <c r="BA85" s="1450"/>
      <c r="BB85" s="1450"/>
      <c r="BC85" s="1450"/>
      <c r="BD85" s="1450"/>
    </row>
  </sheetData>
  <sheetProtection algorithmName="SHA-512" hashValue="s+TmZi33m8uFodR13C5rHjPLaScHOAC3lU5YUuqK/cahUHqTY0Hr0EAR5ziP2Qre7Axyn5N1HL0eFBPPDaBteg==" saltValue="+gPdBKujB8obTb54sFrzhQ==" spinCount="100000" sheet="1" objects="1" scenarios="1"/>
  <customSheetViews>
    <customSheetView guid="{6EFEFCA0-BF14-457A-85A3-29CBF2A862A5}" showGridLines="0" fitToPage="1">
      <selection sqref="A1:AR62"/>
      <pageMargins left="0.23622047244094491" right="0.23622047244094491" top="0.39370078740157483" bottom="0.19685039370078741" header="0" footer="0.11811023622047245"/>
      <printOptions horizontalCentered="1" verticalCentered="1"/>
      <pageSetup paperSize="9" scale="59" orientation="portrait" r:id="rId1"/>
      <headerFooter>
        <oddFooter>&amp;L&amp;10&amp;F &amp;A&amp;R&amp;10Page 57 of 61</oddFooter>
      </headerFooter>
    </customSheetView>
  </customSheetViews>
  <mergeCells count="194">
    <mergeCell ref="F8:H8"/>
    <mergeCell ref="I8:K8"/>
    <mergeCell ref="L8:N8"/>
    <mergeCell ref="O8:Q8"/>
    <mergeCell ref="F12:J12"/>
    <mergeCell ref="K12:O12"/>
    <mergeCell ref="P12:T12"/>
    <mergeCell ref="F6:K6"/>
    <mergeCell ref="L6:Q6"/>
    <mergeCell ref="F7:H7"/>
    <mergeCell ref="I7:K7"/>
    <mergeCell ref="L7:N7"/>
    <mergeCell ref="O7:Q7"/>
    <mergeCell ref="F17:F18"/>
    <mergeCell ref="G17:X18"/>
    <mergeCell ref="Z17:AE17"/>
    <mergeCell ref="AF17:AK17"/>
    <mergeCell ref="Z18:AB18"/>
    <mergeCell ref="AC18:AE18"/>
    <mergeCell ref="AF18:AH18"/>
    <mergeCell ref="AI18:AK18"/>
    <mergeCell ref="U12:Y12"/>
    <mergeCell ref="Z12:AD12"/>
    <mergeCell ref="F13:J13"/>
    <mergeCell ref="K13:O13"/>
    <mergeCell ref="P13:T13"/>
    <mergeCell ref="U13:Y13"/>
    <mergeCell ref="Z13:AD13"/>
    <mergeCell ref="G19:X19"/>
    <mergeCell ref="Z19:AB19"/>
    <mergeCell ref="AC19:AE19"/>
    <mergeCell ref="AF19:AH19"/>
    <mergeCell ref="AI19:AK19"/>
    <mergeCell ref="G20:X20"/>
    <mergeCell ref="Z20:AB20"/>
    <mergeCell ref="AC20:AE20"/>
    <mergeCell ref="AF20:AH20"/>
    <mergeCell ref="AI20:AK20"/>
    <mergeCell ref="G21:X21"/>
    <mergeCell ref="Z21:AB21"/>
    <mergeCell ref="AC21:AE21"/>
    <mergeCell ref="AF21:AH21"/>
    <mergeCell ref="AI21:AK21"/>
    <mergeCell ref="G22:X22"/>
    <mergeCell ref="Z22:AB22"/>
    <mergeCell ref="AC22:AE22"/>
    <mergeCell ref="AF22:AH22"/>
    <mergeCell ref="AI22:AK22"/>
    <mergeCell ref="G23:X23"/>
    <mergeCell ref="Z23:AB23"/>
    <mergeCell ref="AC23:AE23"/>
    <mergeCell ref="AF23:AH23"/>
    <mergeCell ref="AI23:AK23"/>
    <mergeCell ref="G24:X24"/>
    <mergeCell ref="Z24:AB24"/>
    <mergeCell ref="AC24:AE24"/>
    <mergeCell ref="AF24:AH24"/>
    <mergeCell ref="AI24:AK24"/>
    <mergeCell ref="G25:X25"/>
    <mergeCell ref="Z25:AB25"/>
    <mergeCell ref="AC25:AE25"/>
    <mergeCell ref="AF25:AH25"/>
    <mergeCell ref="AI25:AK25"/>
    <mergeCell ref="G26:X26"/>
    <mergeCell ref="Z26:AB26"/>
    <mergeCell ref="AC26:AE26"/>
    <mergeCell ref="AF26:AH26"/>
    <mergeCell ref="AI26:AK26"/>
    <mergeCell ref="F29:F30"/>
    <mergeCell ref="G29:X30"/>
    <mergeCell ref="Z29:AE29"/>
    <mergeCell ref="AF29:AK29"/>
    <mergeCell ref="Z30:AB30"/>
    <mergeCell ref="AC30:AE30"/>
    <mergeCell ref="AF30:AH30"/>
    <mergeCell ref="AI30:AK30"/>
    <mergeCell ref="K27:X27"/>
    <mergeCell ref="Z27:AB28"/>
    <mergeCell ref="AC27:AE28"/>
    <mergeCell ref="AF27:AH28"/>
    <mergeCell ref="AI27:AK28"/>
    <mergeCell ref="K28:X28"/>
    <mergeCell ref="G31:X31"/>
    <mergeCell ref="Z31:AB31"/>
    <mergeCell ref="AC31:AE31"/>
    <mergeCell ref="AF31:AH31"/>
    <mergeCell ref="AI31:AK31"/>
    <mergeCell ref="G32:X32"/>
    <mergeCell ref="Z32:AB32"/>
    <mergeCell ref="AC32:AE32"/>
    <mergeCell ref="AF32:AH32"/>
    <mergeCell ref="AI32:AK32"/>
    <mergeCell ref="G33:X33"/>
    <mergeCell ref="Z33:AB33"/>
    <mergeCell ref="AC33:AE33"/>
    <mergeCell ref="AF33:AH33"/>
    <mergeCell ref="AI33:AK33"/>
    <mergeCell ref="G34:X34"/>
    <mergeCell ref="Z34:AB34"/>
    <mergeCell ref="AC34:AE34"/>
    <mergeCell ref="AF34:AH34"/>
    <mergeCell ref="AI34:AK34"/>
    <mergeCell ref="G35:X35"/>
    <mergeCell ref="Z35:AB35"/>
    <mergeCell ref="AC35:AE35"/>
    <mergeCell ref="AF35:AH35"/>
    <mergeCell ref="AI35:AK35"/>
    <mergeCell ref="G36:X36"/>
    <mergeCell ref="Z36:AB36"/>
    <mergeCell ref="AC36:AE36"/>
    <mergeCell ref="AF36:AH36"/>
    <mergeCell ref="AI36:AK36"/>
    <mergeCell ref="G37:X37"/>
    <mergeCell ref="Z37:AB37"/>
    <mergeCell ref="AC37:AE37"/>
    <mergeCell ref="AF37:AH37"/>
    <mergeCell ref="AI37:AK37"/>
    <mergeCell ref="G38:X38"/>
    <mergeCell ref="Z38:AB38"/>
    <mergeCell ref="AC38:AE38"/>
    <mergeCell ref="AF38:AH38"/>
    <mergeCell ref="AI38:AK38"/>
    <mergeCell ref="G39:X39"/>
    <mergeCell ref="Z39:AB39"/>
    <mergeCell ref="AC39:AE39"/>
    <mergeCell ref="AF39:AH39"/>
    <mergeCell ref="AI39:AK39"/>
    <mergeCell ref="G40:X40"/>
    <mergeCell ref="Z40:AB40"/>
    <mergeCell ref="AC40:AE40"/>
    <mergeCell ref="AF40:AH40"/>
    <mergeCell ref="AI40:AK40"/>
    <mergeCell ref="G41:X41"/>
    <mergeCell ref="Z41:AB41"/>
    <mergeCell ref="AC41:AE41"/>
    <mergeCell ref="AF41:AH41"/>
    <mergeCell ref="AI41:AK41"/>
    <mergeCell ref="G42:X42"/>
    <mergeCell ref="Z42:AB42"/>
    <mergeCell ref="AC42:AE42"/>
    <mergeCell ref="AF42:AH42"/>
    <mergeCell ref="AI42:AK42"/>
    <mergeCell ref="G43:X43"/>
    <mergeCell ref="Z43:AB43"/>
    <mergeCell ref="AC43:AE43"/>
    <mergeCell ref="AF43:AH43"/>
    <mergeCell ref="AI43:AK43"/>
    <mergeCell ref="K44:X44"/>
    <mergeCell ref="Z44:AB45"/>
    <mergeCell ref="AC44:AE45"/>
    <mergeCell ref="AF44:AH45"/>
    <mergeCell ref="AI44:AK45"/>
    <mergeCell ref="F46:F47"/>
    <mergeCell ref="G46:X47"/>
    <mergeCell ref="Z46:AE46"/>
    <mergeCell ref="AF46:AK46"/>
    <mergeCell ref="Z47:AB47"/>
    <mergeCell ref="AC47:AE47"/>
    <mergeCell ref="AF47:AH47"/>
    <mergeCell ref="AI47:AK47"/>
    <mergeCell ref="G48:X48"/>
    <mergeCell ref="Z48:AB48"/>
    <mergeCell ref="AC48:AE48"/>
    <mergeCell ref="AF48:AH48"/>
    <mergeCell ref="AI48:AK48"/>
    <mergeCell ref="G49:X49"/>
    <mergeCell ref="Z49:AB49"/>
    <mergeCell ref="AC49:AE49"/>
    <mergeCell ref="AF49:AH49"/>
    <mergeCell ref="AI49:AK49"/>
    <mergeCell ref="G50:X50"/>
    <mergeCell ref="Z50:AB50"/>
    <mergeCell ref="AC50:AE50"/>
    <mergeCell ref="AF50:AH50"/>
    <mergeCell ref="AI50:AK50"/>
    <mergeCell ref="G51:X51"/>
    <mergeCell ref="Z51:AB51"/>
    <mergeCell ref="AC51:AE51"/>
    <mergeCell ref="AF51:AH51"/>
    <mergeCell ref="AI51:AK51"/>
    <mergeCell ref="F59:M59"/>
    <mergeCell ref="P59:AA59"/>
    <mergeCell ref="AD59:AO60"/>
    <mergeCell ref="F60:M60"/>
    <mergeCell ref="P60:AA60"/>
    <mergeCell ref="F61:M61"/>
    <mergeCell ref="V61:AA61"/>
    <mergeCell ref="AD61:AO61"/>
    <mergeCell ref="K52:X52"/>
    <mergeCell ref="Z52:AB53"/>
    <mergeCell ref="AC52:AE53"/>
    <mergeCell ref="AF52:AH53"/>
    <mergeCell ref="AI52:AK53"/>
    <mergeCell ref="D56:AF56"/>
  </mergeCells>
  <dataValidations count="2">
    <dataValidation type="whole" allowBlank="1" showInputMessage="1" showErrorMessage="1" errorTitle="GSHSP SY 2022-2023" error="Please enter valid number between 0-20,000." sqref="F13:AD13" xr:uid="{AD1A495A-9C70-4C47-91C2-83FC098906CB}">
      <formula1>0</formula1>
      <formula2>20000</formula2>
    </dataValidation>
    <dataValidation type="whole" allowBlank="1" showInputMessage="1" showErrorMessage="1" errorTitle="GSHSP SY 2022-2023" error="Please enter valid number between 0-999." sqref="F8:Q8 Z19:AK28 Z31:AK45 Z48:AK53" xr:uid="{E2890FB6-CCD2-47DE-ACFB-E54DF77F29CD}">
      <formula1>0</formula1>
      <formula2>999</formula2>
    </dataValidation>
  </dataValidations>
  <printOptions horizontalCentered="1" verticalCentered="1"/>
  <pageMargins left="0.23622047244094491" right="0.23622047244094491" top="0.39370078740157483" bottom="0.19685039370078741" header="0" footer="0.11811023622047245"/>
  <pageSetup paperSize="9" scale="59" orientation="portrait" r:id="rId2"/>
  <headerFooter>
    <oddFooter>&amp;L&amp;10&amp;F &amp;A&amp;R&amp;10Page 57 of 61</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ABFE4-B5FF-46C3-BA05-6F30B5027C39}">
  <sheetPr codeName="Sheet60">
    <tabColor rgb="FFFFFF00"/>
    <pageSetUpPr fitToPage="1"/>
  </sheetPr>
  <dimension ref="A1:BA80"/>
  <sheetViews>
    <sheetView showGridLines="0" zoomScaleNormal="100" zoomScaleSheetLayoutView="100" workbookViewId="0">
      <selection sqref="A1:AU63"/>
    </sheetView>
  </sheetViews>
  <sheetFormatPr defaultColWidth="8" defaultRowHeight="15.75"/>
  <cols>
    <col min="1" max="1" width="2.125" style="185" customWidth="1"/>
    <col min="2" max="40" width="3.625" style="184" customWidth="1"/>
    <col min="41" max="41" width="3.625" style="185" customWidth="1"/>
    <col min="42" max="42" width="2.125" style="185" customWidth="1"/>
    <col min="43" max="174" width="3.625" style="185" customWidth="1"/>
    <col min="175" max="16384" width="8" style="185"/>
  </cols>
  <sheetData>
    <row r="1" spans="1:53" ht="12" customHeight="1">
      <c r="A1" s="798"/>
      <c r="B1" s="799"/>
      <c r="C1" s="799"/>
      <c r="D1" s="799"/>
      <c r="E1" s="799"/>
      <c r="F1" s="799"/>
      <c r="G1" s="799"/>
      <c r="H1" s="799"/>
      <c r="I1" s="799"/>
      <c r="J1" s="799"/>
      <c r="K1" s="799"/>
      <c r="L1" s="799"/>
      <c r="M1" s="799"/>
      <c r="N1" s="799"/>
      <c r="O1" s="799"/>
      <c r="P1" s="799"/>
      <c r="Q1" s="799"/>
      <c r="R1" s="799"/>
      <c r="S1" s="799"/>
      <c r="T1" s="799"/>
      <c r="U1" s="799"/>
      <c r="V1" s="799"/>
      <c r="W1" s="799"/>
      <c r="X1" s="799"/>
      <c r="Y1" s="799"/>
      <c r="Z1" s="799"/>
      <c r="AA1" s="799"/>
      <c r="AB1" s="799"/>
      <c r="AC1" s="799"/>
      <c r="AD1" s="799"/>
      <c r="AE1" s="799"/>
      <c r="AF1" s="799"/>
      <c r="AG1" s="799"/>
      <c r="AH1" s="799"/>
      <c r="AI1" s="799"/>
      <c r="AJ1" s="799"/>
      <c r="AK1" s="799"/>
      <c r="AL1" s="799"/>
      <c r="AM1" s="799"/>
      <c r="AN1" s="799"/>
      <c r="AO1" s="798"/>
      <c r="AP1" s="798"/>
      <c r="AQ1" s="798"/>
      <c r="AR1" s="798"/>
      <c r="AS1" s="798"/>
      <c r="AT1" s="798"/>
      <c r="AU1" s="798"/>
      <c r="AV1" s="798"/>
      <c r="AW1" s="798"/>
      <c r="AX1" s="798"/>
      <c r="AY1" s="798"/>
      <c r="AZ1" s="798"/>
      <c r="BA1" s="798"/>
    </row>
    <row r="2" spans="1:53" ht="17.25" thickBot="1">
      <c r="A2" s="798"/>
      <c r="B2" s="1412" t="s">
        <v>1796</v>
      </c>
      <c r="C2" s="798"/>
      <c r="D2" s="798"/>
      <c r="E2" s="798"/>
      <c r="F2" s="798"/>
      <c r="G2" s="798"/>
      <c r="H2" s="798"/>
      <c r="I2" s="798"/>
      <c r="J2" s="798"/>
      <c r="K2" s="798"/>
      <c r="L2" s="798"/>
      <c r="M2" s="798"/>
      <c r="N2" s="798"/>
      <c r="O2" s="798"/>
      <c r="P2" s="798"/>
      <c r="Q2" s="798"/>
      <c r="R2" s="798"/>
      <c r="S2" s="798"/>
      <c r="T2" s="798"/>
      <c r="U2" s="798"/>
      <c r="V2" s="798"/>
      <c r="W2" s="798"/>
      <c r="X2" s="798"/>
      <c r="Y2" s="798"/>
      <c r="Z2" s="798"/>
      <c r="AA2" s="798"/>
      <c r="AB2" s="798"/>
      <c r="AC2" s="798"/>
      <c r="AD2" s="798"/>
      <c r="AE2" s="798"/>
      <c r="AF2" s="798"/>
      <c r="AG2" s="798"/>
      <c r="AH2" s="798"/>
      <c r="AI2" s="798"/>
      <c r="AJ2" s="798"/>
      <c r="AK2" s="798"/>
      <c r="AL2" s="798"/>
      <c r="AM2" s="798"/>
      <c r="AN2" s="798"/>
      <c r="AO2" s="798"/>
      <c r="AP2" s="798"/>
      <c r="AQ2" s="798"/>
      <c r="AR2" s="798"/>
      <c r="AS2" s="798"/>
      <c r="AT2" s="798"/>
      <c r="AU2" s="798"/>
      <c r="AV2" s="798"/>
      <c r="AW2" s="798"/>
      <c r="AX2" s="798"/>
      <c r="AY2" s="798"/>
      <c r="AZ2" s="798"/>
      <c r="BA2" s="798"/>
    </row>
    <row r="3" spans="1:53" ht="5.0999999999999996" customHeight="1" thickTop="1">
      <c r="A3" s="798"/>
      <c r="B3" s="1413"/>
      <c r="C3" s="1415"/>
      <c r="D3" s="1415"/>
      <c r="E3" s="1415"/>
      <c r="F3" s="1415"/>
      <c r="G3" s="1415"/>
      <c r="H3" s="1415"/>
      <c r="I3" s="1415"/>
      <c r="J3" s="1415"/>
      <c r="K3" s="1415"/>
      <c r="L3" s="1415"/>
      <c r="M3" s="1415"/>
      <c r="N3" s="1415"/>
      <c r="O3" s="1415"/>
      <c r="P3" s="1415"/>
      <c r="Q3" s="1415"/>
      <c r="R3" s="1415"/>
      <c r="S3" s="1415"/>
      <c r="T3" s="1415"/>
      <c r="U3" s="1415"/>
      <c r="V3" s="1415"/>
      <c r="W3" s="1415"/>
      <c r="X3" s="1415"/>
      <c r="Y3" s="1415"/>
      <c r="Z3" s="1415"/>
      <c r="AA3" s="1415"/>
      <c r="AB3" s="1415"/>
      <c r="AC3" s="1415"/>
      <c r="AD3" s="1415"/>
      <c r="AE3" s="1415"/>
      <c r="AF3" s="1415"/>
      <c r="AG3" s="1415"/>
      <c r="AH3" s="1415"/>
      <c r="AI3" s="1415"/>
      <c r="AJ3" s="1415"/>
      <c r="AK3" s="1415"/>
      <c r="AL3" s="1415"/>
      <c r="AM3" s="1415"/>
      <c r="AN3" s="1415"/>
      <c r="AO3" s="1581"/>
      <c r="AP3" s="798"/>
      <c r="AQ3" s="798"/>
      <c r="AR3" s="798"/>
      <c r="AS3" s="798"/>
      <c r="AT3" s="798"/>
      <c r="AU3" s="798"/>
      <c r="AV3" s="798"/>
      <c r="AW3" s="798"/>
      <c r="AX3" s="798"/>
      <c r="AY3" s="798"/>
      <c r="AZ3" s="798"/>
      <c r="BA3" s="798"/>
    </row>
    <row r="4" spans="1:53" ht="15.6" customHeight="1">
      <c r="A4" s="798"/>
      <c r="B4" s="1417"/>
      <c r="C4" s="1418" t="s">
        <v>47</v>
      </c>
      <c r="D4" s="1545" t="s">
        <v>1797</v>
      </c>
      <c r="E4" s="1420"/>
      <c r="F4" s="1420"/>
      <c r="G4" s="1420"/>
      <c r="H4" s="1420"/>
      <c r="I4" s="1420"/>
      <c r="J4" s="1420"/>
      <c r="K4" s="1420"/>
      <c r="L4" s="1420"/>
      <c r="M4" s="1420"/>
      <c r="N4" s="1420"/>
      <c r="O4" s="1420"/>
      <c r="P4" s="1420"/>
      <c r="Q4" s="1420"/>
      <c r="R4" s="1420"/>
      <c r="S4" s="1420"/>
      <c r="T4" s="1420"/>
      <c r="U4" s="1420"/>
      <c r="V4" s="1420"/>
      <c r="W4" s="1420"/>
      <c r="X4" s="1420"/>
      <c r="Y4" s="1420"/>
      <c r="Z4" s="1420"/>
      <c r="AA4" s="1420"/>
      <c r="AB4" s="1420"/>
      <c r="AC4" s="1420"/>
      <c r="AD4" s="1420"/>
      <c r="AE4" s="1420"/>
      <c r="AF4" s="1420"/>
      <c r="AG4" s="1420"/>
      <c r="AH4" s="1420"/>
      <c r="AI4" s="1420"/>
      <c r="AJ4" s="1420"/>
      <c r="AK4" s="1420"/>
      <c r="AL4" s="1420"/>
      <c r="AM4" s="1444"/>
      <c r="AN4" s="1444"/>
      <c r="AO4" s="1582"/>
      <c r="AP4" s="798"/>
      <c r="AQ4" s="798"/>
      <c r="AR4" s="798"/>
      <c r="AS4" s="798"/>
      <c r="AT4" s="798"/>
      <c r="AU4" s="798"/>
      <c r="AV4" s="798"/>
      <c r="AW4" s="798"/>
      <c r="AX4" s="798"/>
      <c r="AY4" s="798"/>
      <c r="AZ4" s="798"/>
      <c r="BA4" s="798"/>
    </row>
    <row r="5" spans="1:53" ht="5.0999999999999996" customHeight="1" thickBot="1">
      <c r="A5" s="798"/>
      <c r="B5" s="1425"/>
      <c r="C5" s="1423"/>
      <c r="D5" s="1423"/>
      <c r="E5" s="1423"/>
      <c r="F5" s="1423"/>
      <c r="G5" s="1423"/>
      <c r="H5" s="1423"/>
      <c r="I5" s="1423"/>
      <c r="J5" s="1423"/>
      <c r="K5" s="1423"/>
      <c r="L5" s="1423"/>
      <c r="M5" s="1423"/>
      <c r="N5" s="1423"/>
      <c r="O5" s="1423"/>
      <c r="P5" s="1423"/>
      <c r="Q5" s="1423"/>
      <c r="R5" s="1423"/>
      <c r="S5" s="1423"/>
      <c r="T5" s="1423"/>
      <c r="U5" s="1423"/>
      <c r="V5" s="1423"/>
      <c r="W5" s="1423"/>
      <c r="X5" s="1423"/>
      <c r="Y5" s="1423"/>
      <c r="Z5" s="1423"/>
      <c r="AA5" s="1423"/>
      <c r="AB5" s="1423"/>
      <c r="AC5" s="1423"/>
      <c r="AD5" s="1423"/>
      <c r="AE5" s="1423"/>
      <c r="AF5" s="1423"/>
      <c r="AG5" s="1423"/>
      <c r="AH5" s="1423"/>
      <c r="AI5" s="1423"/>
      <c r="AJ5" s="1423"/>
      <c r="AK5" s="1423"/>
      <c r="AL5" s="1423"/>
      <c r="AM5" s="1423"/>
      <c r="AN5" s="1423"/>
      <c r="AO5" s="1583"/>
      <c r="AP5" s="798"/>
      <c r="AQ5" s="798"/>
      <c r="AR5" s="798"/>
      <c r="AS5" s="798"/>
      <c r="AT5" s="798"/>
      <c r="AU5" s="798"/>
      <c r="AV5" s="798"/>
      <c r="AW5" s="798"/>
      <c r="AX5" s="798"/>
      <c r="AY5" s="798"/>
      <c r="AZ5" s="798"/>
      <c r="BA5" s="798"/>
    </row>
    <row r="6" spans="1:53" s="47" customFormat="1" ht="60.95" customHeight="1" thickTop="1" thickBot="1">
      <c r="A6" s="260"/>
      <c r="B6" s="1387"/>
      <c r="C6" s="260"/>
      <c r="D6" s="3859" t="s">
        <v>1936</v>
      </c>
      <c r="E6" s="3860"/>
      <c r="F6" s="3860"/>
      <c r="G6" s="3860"/>
      <c r="H6" s="3860"/>
      <c r="I6" s="3860"/>
      <c r="J6" s="3860"/>
      <c r="K6" s="3860"/>
      <c r="L6" s="3860"/>
      <c r="M6" s="3860"/>
      <c r="N6" s="3860"/>
      <c r="O6" s="3861"/>
      <c r="P6" s="3709" t="s">
        <v>1842</v>
      </c>
      <c r="Q6" s="3710"/>
      <c r="R6" s="3710"/>
      <c r="S6" s="3710"/>
      <c r="T6" s="3710"/>
      <c r="U6" s="3711"/>
      <c r="V6" s="3710" t="s">
        <v>1574</v>
      </c>
      <c r="W6" s="3710"/>
      <c r="X6" s="3710"/>
      <c r="Y6" s="3710"/>
      <c r="Z6" s="3710"/>
      <c r="AA6" s="3710"/>
      <c r="AB6" s="3712" t="s">
        <v>1575</v>
      </c>
      <c r="AC6" s="3710"/>
      <c r="AD6" s="3710"/>
      <c r="AE6" s="3710"/>
      <c r="AF6" s="3710"/>
      <c r="AG6" s="3711"/>
      <c r="AH6" s="3710" t="s">
        <v>1786</v>
      </c>
      <c r="AI6" s="3710"/>
      <c r="AJ6" s="3710"/>
      <c r="AK6" s="3710"/>
      <c r="AL6" s="3710"/>
      <c r="AM6" s="3713"/>
      <c r="AN6" s="260"/>
      <c r="AO6" s="1407"/>
      <c r="AP6" s="260"/>
      <c r="AQ6" s="260"/>
      <c r="AR6" s="260"/>
      <c r="AS6" s="260"/>
      <c r="AT6" s="260"/>
      <c r="AU6" s="260"/>
      <c r="AV6" s="260"/>
      <c r="AW6" s="260"/>
      <c r="AX6" s="260"/>
      <c r="AY6" s="260"/>
      <c r="AZ6" s="260"/>
      <c r="BA6" s="260"/>
    </row>
    <row r="7" spans="1:53" s="47" customFormat="1" ht="19.5" customHeight="1" thickBot="1">
      <c r="A7" s="260"/>
      <c r="B7" s="1387"/>
      <c r="C7" s="260"/>
      <c r="D7" s="3862"/>
      <c r="E7" s="3863"/>
      <c r="F7" s="3863"/>
      <c r="G7" s="3863"/>
      <c r="H7" s="3863"/>
      <c r="I7" s="3863"/>
      <c r="J7" s="3863"/>
      <c r="K7" s="3863"/>
      <c r="L7" s="3863"/>
      <c r="M7" s="3863"/>
      <c r="N7" s="3863"/>
      <c r="O7" s="3864"/>
      <c r="P7" s="3862" t="s">
        <v>45</v>
      </c>
      <c r="Q7" s="3863"/>
      <c r="R7" s="3865"/>
      <c r="S7" s="3866" t="s">
        <v>46</v>
      </c>
      <c r="T7" s="3863"/>
      <c r="U7" s="3867"/>
      <c r="V7" s="3863" t="s">
        <v>45</v>
      </c>
      <c r="W7" s="3863"/>
      <c r="X7" s="3865"/>
      <c r="Y7" s="3866" t="s">
        <v>46</v>
      </c>
      <c r="Z7" s="3863"/>
      <c r="AA7" s="3863"/>
      <c r="AB7" s="3868" t="s">
        <v>45</v>
      </c>
      <c r="AC7" s="3863"/>
      <c r="AD7" s="3865"/>
      <c r="AE7" s="3866" t="s">
        <v>46</v>
      </c>
      <c r="AF7" s="3863"/>
      <c r="AG7" s="3867"/>
      <c r="AH7" s="3863" t="s">
        <v>45</v>
      </c>
      <c r="AI7" s="3863"/>
      <c r="AJ7" s="3865"/>
      <c r="AK7" s="3866" t="s">
        <v>46</v>
      </c>
      <c r="AL7" s="3863"/>
      <c r="AM7" s="3864"/>
      <c r="AN7" s="260"/>
      <c r="AO7" s="1407"/>
      <c r="AP7" s="260"/>
      <c r="AQ7" s="260"/>
      <c r="AR7" s="260"/>
      <c r="AS7" s="260"/>
      <c r="AT7" s="260"/>
      <c r="AU7" s="260"/>
      <c r="AV7" s="260"/>
      <c r="AW7" s="260"/>
      <c r="AX7" s="260"/>
      <c r="AY7" s="260"/>
      <c r="AZ7" s="260"/>
      <c r="BA7" s="260"/>
    </row>
    <row r="8" spans="1:53" s="47" customFormat="1" ht="19.5" customHeight="1" thickTop="1" thickBot="1">
      <c r="A8" s="260"/>
      <c r="B8" s="1387"/>
      <c r="C8" s="260"/>
      <c r="D8" s="1584" t="s">
        <v>1937</v>
      </c>
      <c r="E8" s="1585"/>
      <c r="F8" s="1585"/>
      <c r="G8" s="1585"/>
      <c r="H8" s="1585"/>
      <c r="I8" s="1585"/>
      <c r="J8" s="1585"/>
      <c r="K8" s="1585"/>
      <c r="L8" s="1585"/>
      <c r="M8" s="1585"/>
      <c r="N8" s="1585"/>
      <c r="O8" s="1585"/>
      <c r="P8" s="4149"/>
      <c r="Q8" s="4150"/>
      <c r="R8" s="4150"/>
      <c r="S8" s="4150"/>
      <c r="T8" s="4150"/>
      <c r="U8" s="4150"/>
      <c r="V8" s="4150"/>
      <c r="W8" s="4150"/>
      <c r="X8" s="4150"/>
      <c r="Y8" s="4150"/>
      <c r="Z8" s="4150"/>
      <c r="AA8" s="4150"/>
      <c r="AB8" s="4150"/>
      <c r="AC8" s="4150"/>
      <c r="AD8" s="4150"/>
      <c r="AE8" s="4150"/>
      <c r="AF8" s="4150"/>
      <c r="AG8" s="4150"/>
      <c r="AH8" s="4150"/>
      <c r="AI8" s="4150"/>
      <c r="AJ8" s="4150"/>
      <c r="AK8" s="4150"/>
      <c r="AL8" s="4150"/>
      <c r="AM8" s="4151"/>
      <c r="AN8" s="260"/>
      <c r="AO8" s="1407"/>
      <c r="AP8" s="260"/>
      <c r="AQ8" s="260"/>
      <c r="AR8" s="260"/>
      <c r="AS8" s="260"/>
      <c r="AT8" s="260"/>
      <c r="AU8" s="260"/>
      <c r="AV8" s="260"/>
      <c r="AW8" s="260"/>
      <c r="AX8" s="260"/>
      <c r="AY8" s="260"/>
      <c r="AZ8" s="260"/>
      <c r="BA8" s="260"/>
    </row>
    <row r="9" spans="1:53" s="47" customFormat="1" ht="22.5" customHeight="1">
      <c r="A9" s="260"/>
      <c r="B9" s="1387"/>
      <c r="C9" s="260"/>
      <c r="D9" s="4147" t="s">
        <v>939</v>
      </c>
      <c r="E9" s="4148"/>
      <c r="F9" s="4148"/>
      <c r="G9" s="4148"/>
      <c r="H9" s="4148"/>
      <c r="I9" s="4148"/>
      <c r="J9" s="4148"/>
      <c r="K9" s="4148"/>
      <c r="L9" s="4148"/>
      <c r="M9" s="4148"/>
      <c r="N9" s="4148"/>
      <c r="O9" s="1586"/>
      <c r="P9" s="3851">
        <v>0</v>
      </c>
      <c r="Q9" s="3852"/>
      <c r="R9" s="3853"/>
      <c r="S9" s="3854">
        <v>0</v>
      </c>
      <c r="T9" s="3852"/>
      <c r="U9" s="3855"/>
      <c r="V9" s="3852">
        <v>0</v>
      </c>
      <c r="W9" s="3852"/>
      <c r="X9" s="3853"/>
      <c r="Y9" s="3854">
        <v>0</v>
      </c>
      <c r="Z9" s="3852"/>
      <c r="AA9" s="3852"/>
      <c r="AB9" s="3856">
        <v>0</v>
      </c>
      <c r="AC9" s="3852"/>
      <c r="AD9" s="3853"/>
      <c r="AE9" s="3854">
        <v>0</v>
      </c>
      <c r="AF9" s="3852"/>
      <c r="AG9" s="3855"/>
      <c r="AH9" s="3852">
        <v>0</v>
      </c>
      <c r="AI9" s="3852"/>
      <c r="AJ9" s="3853"/>
      <c r="AK9" s="3854">
        <v>0</v>
      </c>
      <c r="AL9" s="3852"/>
      <c r="AM9" s="3857"/>
      <c r="AN9" s="260"/>
      <c r="AO9" s="1407"/>
      <c r="AP9" s="260"/>
      <c r="AQ9" s="260"/>
      <c r="AR9" s="260"/>
      <c r="AS9" s="260"/>
      <c r="AT9" s="260"/>
      <c r="AU9" s="260"/>
      <c r="AV9" s="260"/>
      <c r="AW9" s="260"/>
      <c r="AX9" s="260"/>
      <c r="AY9" s="260"/>
      <c r="AZ9" s="260"/>
      <c r="BA9" s="260"/>
    </row>
    <row r="10" spans="1:53" s="47" customFormat="1" ht="22.5" customHeight="1">
      <c r="A10" s="260"/>
      <c r="B10" s="1387"/>
      <c r="C10" s="260"/>
      <c r="D10" s="4126" t="s">
        <v>893</v>
      </c>
      <c r="E10" s="4127"/>
      <c r="F10" s="4127"/>
      <c r="G10" s="4127"/>
      <c r="H10" s="4127"/>
      <c r="I10" s="4127"/>
      <c r="J10" s="4127"/>
      <c r="K10" s="4127"/>
      <c r="L10" s="4127"/>
      <c r="M10" s="4127"/>
      <c r="N10" s="4127"/>
      <c r="O10" s="1587"/>
      <c r="P10" s="3842">
        <v>0</v>
      </c>
      <c r="Q10" s="3843"/>
      <c r="R10" s="3844"/>
      <c r="S10" s="3845">
        <v>0</v>
      </c>
      <c r="T10" s="3843"/>
      <c r="U10" s="3846"/>
      <c r="V10" s="3843">
        <v>0</v>
      </c>
      <c r="W10" s="3843"/>
      <c r="X10" s="3844"/>
      <c r="Y10" s="3845">
        <v>0</v>
      </c>
      <c r="Z10" s="3843"/>
      <c r="AA10" s="3843"/>
      <c r="AB10" s="3847">
        <v>0</v>
      </c>
      <c r="AC10" s="3843"/>
      <c r="AD10" s="3844"/>
      <c r="AE10" s="3845">
        <v>0</v>
      </c>
      <c r="AF10" s="3843"/>
      <c r="AG10" s="3846"/>
      <c r="AH10" s="3843">
        <v>0</v>
      </c>
      <c r="AI10" s="3843"/>
      <c r="AJ10" s="3844"/>
      <c r="AK10" s="3845">
        <v>0</v>
      </c>
      <c r="AL10" s="3843"/>
      <c r="AM10" s="3848"/>
      <c r="AN10" s="260"/>
      <c r="AO10" s="1407"/>
      <c r="AP10" s="260"/>
      <c r="AQ10" s="260"/>
      <c r="AR10" s="260"/>
      <c r="AS10" s="260"/>
      <c r="AT10" s="260"/>
      <c r="AU10" s="260"/>
      <c r="AV10" s="260"/>
      <c r="AW10" s="260"/>
      <c r="AX10" s="260"/>
      <c r="AY10" s="260"/>
      <c r="AZ10" s="260"/>
      <c r="BA10" s="260"/>
    </row>
    <row r="11" spans="1:53" s="47" customFormat="1" ht="22.5" customHeight="1">
      <c r="A11" s="260"/>
      <c r="B11" s="1387"/>
      <c r="C11" s="260"/>
      <c r="D11" s="4126" t="s">
        <v>891</v>
      </c>
      <c r="E11" s="4127"/>
      <c r="F11" s="4127"/>
      <c r="G11" s="4127"/>
      <c r="H11" s="4127"/>
      <c r="I11" s="4127"/>
      <c r="J11" s="4127"/>
      <c r="K11" s="4127"/>
      <c r="L11" s="4127"/>
      <c r="M11" s="4127"/>
      <c r="N11" s="4127"/>
      <c r="O11" s="1544"/>
      <c r="P11" s="3842">
        <v>0</v>
      </c>
      <c r="Q11" s="3843"/>
      <c r="R11" s="3844"/>
      <c r="S11" s="3845">
        <v>0</v>
      </c>
      <c r="T11" s="3843"/>
      <c r="U11" s="3846"/>
      <c r="V11" s="3843">
        <v>0</v>
      </c>
      <c r="W11" s="3843"/>
      <c r="X11" s="3844"/>
      <c r="Y11" s="3845">
        <v>0</v>
      </c>
      <c r="Z11" s="3843"/>
      <c r="AA11" s="3843"/>
      <c r="AB11" s="3847">
        <v>0</v>
      </c>
      <c r="AC11" s="3843"/>
      <c r="AD11" s="3844"/>
      <c r="AE11" s="3845">
        <v>0</v>
      </c>
      <c r="AF11" s="3843"/>
      <c r="AG11" s="3846"/>
      <c r="AH11" s="3843">
        <v>0</v>
      </c>
      <c r="AI11" s="3843"/>
      <c r="AJ11" s="3844"/>
      <c r="AK11" s="3845">
        <v>0</v>
      </c>
      <c r="AL11" s="3843"/>
      <c r="AM11" s="3848"/>
      <c r="AN11" s="260"/>
      <c r="AO11" s="1407"/>
      <c r="AP11" s="260"/>
      <c r="AQ11" s="260"/>
      <c r="AR11" s="260"/>
      <c r="AS11" s="260"/>
      <c r="AT11" s="260"/>
      <c r="AU11" s="260"/>
      <c r="AV11" s="260"/>
      <c r="AW11" s="260"/>
      <c r="AX11" s="260"/>
      <c r="AY11" s="260"/>
      <c r="AZ11" s="260"/>
      <c r="BA11" s="260"/>
    </row>
    <row r="12" spans="1:53" s="47" customFormat="1" ht="22.5" customHeight="1">
      <c r="A12" s="260"/>
      <c r="B12" s="1387"/>
      <c r="C12" s="260"/>
      <c r="D12" s="4126" t="s">
        <v>1638</v>
      </c>
      <c r="E12" s="4127"/>
      <c r="F12" s="4127"/>
      <c r="G12" s="4127"/>
      <c r="H12" s="4127"/>
      <c r="I12" s="4127"/>
      <c r="J12" s="4127"/>
      <c r="K12" s="4127"/>
      <c r="L12" s="4127"/>
      <c r="M12" s="4127"/>
      <c r="N12" s="4127"/>
      <c r="O12" s="1587"/>
      <c r="P12" s="3842">
        <v>0</v>
      </c>
      <c r="Q12" s="3843"/>
      <c r="R12" s="3844"/>
      <c r="S12" s="3845">
        <v>0</v>
      </c>
      <c r="T12" s="3843"/>
      <c r="U12" s="3846"/>
      <c r="V12" s="3843">
        <v>0</v>
      </c>
      <c r="W12" s="3843"/>
      <c r="X12" s="3844"/>
      <c r="Y12" s="3845">
        <v>0</v>
      </c>
      <c r="Z12" s="3843"/>
      <c r="AA12" s="3843"/>
      <c r="AB12" s="3847">
        <v>0</v>
      </c>
      <c r="AC12" s="3843"/>
      <c r="AD12" s="3844"/>
      <c r="AE12" s="3845">
        <v>0</v>
      </c>
      <c r="AF12" s="3843"/>
      <c r="AG12" s="3846"/>
      <c r="AH12" s="3843">
        <v>0</v>
      </c>
      <c r="AI12" s="3843"/>
      <c r="AJ12" s="3844"/>
      <c r="AK12" s="3845">
        <v>0</v>
      </c>
      <c r="AL12" s="3843"/>
      <c r="AM12" s="3848"/>
      <c r="AN12" s="260"/>
      <c r="AO12" s="1407"/>
      <c r="AP12" s="260"/>
      <c r="AQ12" s="260"/>
      <c r="AR12" s="260"/>
      <c r="AS12" s="260"/>
      <c r="AT12" s="260"/>
      <c r="AU12" s="260"/>
      <c r="AV12" s="260"/>
      <c r="AW12" s="260"/>
      <c r="AX12" s="260"/>
      <c r="AY12" s="260"/>
      <c r="AZ12" s="260"/>
      <c r="BA12" s="260"/>
    </row>
    <row r="13" spans="1:53" s="47" customFormat="1" ht="36.6" customHeight="1">
      <c r="A13" s="260"/>
      <c r="B13" s="1387"/>
      <c r="C13" s="260"/>
      <c r="D13" s="4126" t="s">
        <v>1798</v>
      </c>
      <c r="E13" s="4127"/>
      <c r="F13" s="4127"/>
      <c r="G13" s="4127"/>
      <c r="H13" s="4127"/>
      <c r="I13" s="4127"/>
      <c r="J13" s="4127"/>
      <c r="K13" s="4127"/>
      <c r="L13" s="4127"/>
      <c r="M13" s="4127"/>
      <c r="N13" s="4127"/>
      <c r="O13" s="1587"/>
      <c r="P13" s="3842">
        <v>0</v>
      </c>
      <c r="Q13" s="3843"/>
      <c r="R13" s="3844"/>
      <c r="S13" s="3845">
        <v>0</v>
      </c>
      <c r="T13" s="3843"/>
      <c r="U13" s="3846"/>
      <c r="V13" s="3843">
        <v>0</v>
      </c>
      <c r="W13" s="3843"/>
      <c r="X13" s="3844"/>
      <c r="Y13" s="3845">
        <v>0</v>
      </c>
      <c r="Z13" s="3843"/>
      <c r="AA13" s="3843"/>
      <c r="AB13" s="3847">
        <v>0</v>
      </c>
      <c r="AC13" s="3843"/>
      <c r="AD13" s="3844"/>
      <c r="AE13" s="3845">
        <v>0</v>
      </c>
      <c r="AF13" s="3843"/>
      <c r="AG13" s="3846"/>
      <c r="AH13" s="3843">
        <v>0</v>
      </c>
      <c r="AI13" s="3843"/>
      <c r="AJ13" s="3844"/>
      <c r="AK13" s="3845">
        <v>0</v>
      </c>
      <c r="AL13" s="3843"/>
      <c r="AM13" s="3848"/>
      <c r="AN13" s="260"/>
      <c r="AO13" s="1407"/>
      <c r="AP13" s="260"/>
      <c r="AQ13" s="260"/>
      <c r="AR13" s="260"/>
      <c r="AS13" s="260"/>
      <c r="AT13" s="260"/>
      <c r="AU13" s="260"/>
      <c r="AV13" s="260"/>
      <c r="AW13" s="260"/>
      <c r="AX13" s="260"/>
      <c r="AY13" s="260"/>
      <c r="AZ13" s="260"/>
      <c r="BA13" s="260"/>
    </row>
    <row r="14" spans="1:53" s="47" customFormat="1" ht="22.5" customHeight="1">
      <c r="A14" s="260"/>
      <c r="B14" s="1387"/>
      <c r="C14" s="260"/>
      <c r="D14" s="4126" t="s">
        <v>1624</v>
      </c>
      <c r="E14" s="4127"/>
      <c r="F14" s="4127"/>
      <c r="G14" s="4127"/>
      <c r="H14" s="4127"/>
      <c r="I14" s="4127"/>
      <c r="J14" s="4127"/>
      <c r="K14" s="4127"/>
      <c r="L14" s="4127"/>
      <c r="M14" s="4127"/>
      <c r="N14" s="4127"/>
      <c r="O14" s="1587"/>
      <c r="P14" s="3842">
        <v>0</v>
      </c>
      <c r="Q14" s="3843"/>
      <c r="R14" s="3844"/>
      <c r="S14" s="3845">
        <v>0</v>
      </c>
      <c r="T14" s="3843"/>
      <c r="U14" s="3846"/>
      <c r="V14" s="3843">
        <v>0</v>
      </c>
      <c r="W14" s="3843"/>
      <c r="X14" s="3844"/>
      <c r="Y14" s="3845">
        <v>0</v>
      </c>
      <c r="Z14" s="3843"/>
      <c r="AA14" s="3843"/>
      <c r="AB14" s="3847">
        <v>0</v>
      </c>
      <c r="AC14" s="3843"/>
      <c r="AD14" s="3844"/>
      <c r="AE14" s="3845">
        <v>0</v>
      </c>
      <c r="AF14" s="3843"/>
      <c r="AG14" s="3846"/>
      <c r="AH14" s="3843">
        <v>0</v>
      </c>
      <c r="AI14" s="3843"/>
      <c r="AJ14" s="3844"/>
      <c r="AK14" s="3845">
        <v>0</v>
      </c>
      <c r="AL14" s="3843"/>
      <c r="AM14" s="3848"/>
      <c r="AN14" s="260"/>
      <c r="AO14" s="1407"/>
      <c r="AP14" s="260"/>
      <c r="AQ14" s="260"/>
      <c r="AR14" s="260"/>
      <c r="AS14" s="260"/>
      <c r="AT14" s="260"/>
      <c r="AU14" s="260"/>
      <c r="AV14" s="260"/>
      <c r="AW14" s="260"/>
      <c r="AX14" s="260"/>
      <c r="AY14" s="260"/>
      <c r="AZ14" s="260"/>
      <c r="BA14" s="260"/>
    </row>
    <row r="15" spans="1:53" s="47" customFormat="1" ht="22.5" customHeight="1">
      <c r="A15" s="260"/>
      <c r="B15" s="1387"/>
      <c r="C15" s="260"/>
      <c r="D15" s="4126" t="s">
        <v>1625</v>
      </c>
      <c r="E15" s="4127"/>
      <c r="F15" s="4127"/>
      <c r="G15" s="4127"/>
      <c r="H15" s="4127"/>
      <c r="I15" s="4127"/>
      <c r="J15" s="4127"/>
      <c r="K15" s="4127"/>
      <c r="L15" s="4127"/>
      <c r="M15" s="4127"/>
      <c r="N15" s="4127"/>
      <c r="O15" s="1587"/>
      <c r="P15" s="3842">
        <v>0</v>
      </c>
      <c r="Q15" s="3843"/>
      <c r="R15" s="3844"/>
      <c r="S15" s="3845">
        <v>0</v>
      </c>
      <c r="T15" s="3843"/>
      <c r="U15" s="3846"/>
      <c r="V15" s="3843">
        <v>0</v>
      </c>
      <c r="W15" s="3843"/>
      <c r="X15" s="3844"/>
      <c r="Y15" s="3845">
        <v>0</v>
      </c>
      <c r="Z15" s="3843"/>
      <c r="AA15" s="3843"/>
      <c r="AB15" s="3847">
        <v>0</v>
      </c>
      <c r="AC15" s="3843"/>
      <c r="AD15" s="3844"/>
      <c r="AE15" s="3845">
        <v>0</v>
      </c>
      <c r="AF15" s="3843"/>
      <c r="AG15" s="3846"/>
      <c r="AH15" s="3843">
        <v>0</v>
      </c>
      <c r="AI15" s="3843"/>
      <c r="AJ15" s="3844"/>
      <c r="AK15" s="3845">
        <v>0</v>
      </c>
      <c r="AL15" s="3843"/>
      <c r="AM15" s="3848"/>
      <c r="AN15" s="260"/>
      <c r="AO15" s="1407"/>
      <c r="AP15" s="260"/>
      <c r="AQ15" s="260"/>
      <c r="AR15" s="260"/>
      <c r="AS15" s="260"/>
      <c r="AT15" s="260"/>
      <c r="AU15" s="260"/>
      <c r="AV15" s="260"/>
      <c r="AW15" s="260"/>
      <c r="AX15" s="260"/>
      <c r="AY15" s="260"/>
      <c r="AZ15" s="260"/>
      <c r="BA15" s="260"/>
    </row>
    <row r="16" spans="1:53" s="47" customFormat="1" ht="22.5" customHeight="1">
      <c r="A16" s="260"/>
      <c r="B16" s="1387"/>
      <c r="C16" s="260"/>
      <c r="D16" s="4126" t="s">
        <v>1626</v>
      </c>
      <c r="E16" s="4127"/>
      <c r="F16" s="4127"/>
      <c r="G16" s="4127"/>
      <c r="H16" s="4127"/>
      <c r="I16" s="4127"/>
      <c r="J16" s="4127"/>
      <c r="K16" s="4127"/>
      <c r="L16" s="4127"/>
      <c r="M16" s="4127"/>
      <c r="N16" s="4127"/>
      <c r="O16" s="1587"/>
      <c r="P16" s="3842">
        <v>0</v>
      </c>
      <c r="Q16" s="3843"/>
      <c r="R16" s="3844"/>
      <c r="S16" s="3845">
        <v>0</v>
      </c>
      <c r="T16" s="3843"/>
      <c r="U16" s="3846"/>
      <c r="V16" s="3843">
        <v>0</v>
      </c>
      <c r="W16" s="3843"/>
      <c r="X16" s="3844"/>
      <c r="Y16" s="3845">
        <v>0</v>
      </c>
      <c r="Z16" s="3843"/>
      <c r="AA16" s="3843"/>
      <c r="AB16" s="3847">
        <v>0</v>
      </c>
      <c r="AC16" s="3843"/>
      <c r="AD16" s="3844"/>
      <c r="AE16" s="3845">
        <v>0</v>
      </c>
      <c r="AF16" s="3843"/>
      <c r="AG16" s="3846"/>
      <c r="AH16" s="3843">
        <v>0</v>
      </c>
      <c r="AI16" s="3843"/>
      <c r="AJ16" s="3844"/>
      <c r="AK16" s="3845">
        <v>0</v>
      </c>
      <c r="AL16" s="3843"/>
      <c r="AM16" s="3848"/>
      <c r="AN16" s="260"/>
      <c r="AO16" s="1407"/>
      <c r="AP16" s="260"/>
      <c r="AQ16" s="260"/>
      <c r="AR16" s="260"/>
      <c r="AS16" s="260"/>
      <c r="AT16" s="260"/>
      <c r="AU16" s="260"/>
      <c r="AV16" s="260"/>
      <c r="AW16" s="260"/>
      <c r="AX16" s="260"/>
      <c r="AY16" s="260"/>
      <c r="AZ16" s="260"/>
      <c r="BA16" s="260"/>
    </row>
    <row r="17" spans="1:53" s="47" customFormat="1" ht="68.099999999999994" customHeight="1">
      <c r="A17" s="260"/>
      <c r="B17" s="1387"/>
      <c r="C17" s="260"/>
      <c r="D17" s="4126" t="s">
        <v>1627</v>
      </c>
      <c r="E17" s="4127"/>
      <c r="F17" s="4127"/>
      <c r="G17" s="4127"/>
      <c r="H17" s="4127"/>
      <c r="I17" s="4127"/>
      <c r="J17" s="4127"/>
      <c r="K17" s="4127"/>
      <c r="L17" s="4127"/>
      <c r="M17" s="4127"/>
      <c r="N17" s="4127"/>
      <c r="O17" s="1587"/>
      <c r="P17" s="3842">
        <v>0</v>
      </c>
      <c r="Q17" s="3843"/>
      <c r="R17" s="3844"/>
      <c r="S17" s="3845">
        <v>0</v>
      </c>
      <c r="T17" s="3843"/>
      <c r="U17" s="3846"/>
      <c r="V17" s="3843">
        <v>0</v>
      </c>
      <c r="W17" s="3843"/>
      <c r="X17" s="3844"/>
      <c r="Y17" s="3845">
        <v>0</v>
      </c>
      <c r="Z17" s="3843"/>
      <c r="AA17" s="3843"/>
      <c r="AB17" s="3847">
        <v>0</v>
      </c>
      <c r="AC17" s="3843"/>
      <c r="AD17" s="3844"/>
      <c r="AE17" s="3845">
        <v>0</v>
      </c>
      <c r="AF17" s="3843"/>
      <c r="AG17" s="3846"/>
      <c r="AH17" s="3843">
        <v>0</v>
      </c>
      <c r="AI17" s="3843"/>
      <c r="AJ17" s="3844"/>
      <c r="AK17" s="3845">
        <v>0</v>
      </c>
      <c r="AL17" s="3843"/>
      <c r="AM17" s="3848"/>
      <c r="AN17" s="260"/>
      <c r="AO17" s="1407"/>
      <c r="AP17" s="260"/>
      <c r="AQ17" s="260"/>
      <c r="AR17" s="260"/>
      <c r="AS17" s="260"/>
      <c r="AT17" s="260"/>
      <c r="AU17" s="260"/>
      <c r="AV17" s="260"/>
      <c r="AW17" s="260"/>
      <c r="AX17" s="260"/>
      <c r="AY17" s="260"/>
      <c r="AZ17" s="260"/>
      <c r="BA17" s="260"/>
    </row>
    <row r="18" spans="1:53" s="47" customFormat="1" ht="22.5" customHeight="1">
      <c r="A18" s="260"/>
      <c r="B18" s="1387"/>
      <c r="C18" s="260"/>
      <c r="D18" s="4112" t="s">
        <v>1790</v>
      </c>
      <c r="E18" s="4113"/>
      <c r="F18" s="4113"/>
      <c r="G18" s="4113"/>
      <c r="H18" s="4113"/>
      <c r="I18" s="4113"/>
      <c r="J18" s="4113"/>
      <c r="K18" s="4113"/>
      <c r="L18" s="4113"/>
      <c r="M18" s="4113"/>
      <c r="N18" s="4113"/>
      <c r="O18" s="1570"/>
      <c r="P18" s="4114">
        <v>0</v>
      </c>
      <c r="Q18" s="4099"/>
      <c r="R18" s="4115"/>
      <c r="S18" s="4098">
        <v>0</v>
      </c>
      <c r="T18" s="4099"/>
      <c r="U18" s="4120"/>
      <c r="V18" s="4099">
        <v>0</v>
      </c>
      <c r="W18" s="4099"/>
      <c r="X18" s="4115"/>
      <c r="Y18" s="4098">
        <v>0</v>
      </c>
      <c r="Z18" s="4099"/>
      <c r="AA18" s="4099"/>
      <c r="AB18" s="4123">
        <v>0</v>
      </c>
      <c r="AC18" s="4099"/>
      <c r="AD18" s="4115"/>
      <c r="AE18" s="4098">
        <v>0</v>
      </c>
      <c r="AF18" s="4099"/>
      <c r="AG18" s="4120"/>
      <c r="AH18" s="4099">
        <v>0</v>
      </c>
      <c r="AI18" s="4099"/>
      <c r="AJ18" s="4115"/>
      <c r="AK18" s="4098">
        <v>0</v>
      </c>
      <c r="AL18" s="4099"/>
      <c r="AM18" s="4100"/>
      <c r="AN18" s="260"/>
      <c r="AO18" s="1407"/>
      <c r="AP18" s="260"/>
      <c r="AQ18" s="260"/>
      <c r="AR18" s="260"/>
      <c r="AS18" s="260"/>
      <c r="AT18" s="260"/>
      <c r="AU18" s="260"/>
      <c r="AV18" s="260"/>
      <c r="AW18" s="260"/>
      <c r="AX18" s="260"/>
      <c r="AY18" s="260"/>
      <c r="AZ18" s="260"/>
      <c r="BA18" s="260"/>
    </row>
    <row r="19" spans="1:53" s="47" customFormat="1" ht="22.5" customHeight="1">
      <c r="A19" s="260"/>
      <c r="B19" s="1387"/>
      <c r="C19" s="260"/>
      <c r="D19" s="1588"/>
      <c r="E19" s="3938"/>
      <c r="F19" s="3938"/>
      <c r="G19" s="3938"/>
      <c r="H19" s="3938"/>
      <c r="I19" s="3938"/>
      <c r="J19" s="3938"/>
      <c r="K19" s="3938"/>
      <c r="L19" s="3938"/>
      <c r="M19" s="3938"/>
      <c r="N19" s="3938"/>
      <c r="O19" s="1046"/>
      <c r="P19" s="4116"/>
      <c r="Q19" s="4102"/>
      <c r="R19" s="4117"/>
      <c r="S19" s="4101"/>
      <c r="T19" s="4102"/>
      <c r="U19" s="4121"/>
      <c r="V19" s="4102"/>
      <c r="W19" s="4102"/>
      <c r="X19" s="4117"/>
      <c r="Y19" s="4101"/>
      <c r="Z19" s="4102"/>
      <c r="AA19" s="4102"/>
      <c r="AB19" s="4124"/>
      <c r="AC19" s="4102"/>
      <c r="AD19" s="4117"/>
      <c r="AE19" s="4101"/>
      <c r="AF19" s="4102"/>
      <c r="AG19" s="4121"/>
      <c r="AH19" s="4102"/>
      <c r="AI19" s="4102"/>
      <c r="AJ19" s="4117"/>
      <c r="AK19" s="4101"/>
      <c r="AL19" s="4102"/>
      <c r="AM19" s="4103"/>
      <c r="AN19" s="260"/>
      <c r="AO19" s="1407"/>
      <c r="AP19" s="260"/>
      <c r="AQ19" s="260"/>
      <c r="AR19" s="260"/>
      <c r="AS19" s="260"/>
      <c r="AT19" s="260"/>
      <c r="AU19" s="260"/>
      <c r="AV19" s="260"/>
      <c r="AW19" s="260"/>
      <c r="AX19" s="260"/>
      <c r="AY19" s="260"/>
      <c r="AZ19" s="260"/>
      <c r="BA19" s="260"/>
    </row>
    <row r="20" spans="1:53" s="47" customFormat="1" ht="15" customHeight="1" thickBot="1">
      <c r="A20" s="260"/>
      <c r="B20" s="1387"/>
      <c r="C20" s="260"/>
      <c r="D20" s="1589"/>
      <c r="E20" s="1752" t="str">
        <f>IF(AND(ISBLANK(resilince_num_drrm_learners_others_specify), SUM(P18:AM20)&gt;0), "Please specify.", IF(AND(resilince_num_drrm_learners_others_specify&gt;0, SUM(P18:AM20)=0), "Please provide details.", ""))</f>
        <v/>
      </c>
      <c r="F20" s="1590"/>
      <c r="G20" s="1590"/>
      <c r="H20" s="1590"/>
      <c r="I20" s="1590"/>
      <c r="J20" s="1590"/>
      <c r="K20" s="1590"/>
      <c r="L20" s="1590"/>
      <c r="M20" s="1590"/>
      <c r="N20" s="1590"/>
      <c r="O20" s="1590"/>
      <c r="P20" s="4140"/>
      <c r="Q20" s="4141"/>
      <c r="R20" s="4142"/>
      <c r="S20" s="4143"/>
      <c r="T20" s="4141"/>
      <c r="U20" s="4144"/>
      <c r="V20" s="4141"/>
      <c r="W20" s="4141"/>
      <c r="X20" s="4142"/>
      <c r="Y20" s="4143"/>
      <c r="Z20" s="4141"/>
      <c r="AA20" s="4141"/>
      <c r="AB20" s="4145"/>
      <c r="AC20" s="4141"/>
      <c r="AD20" s="4142"/>
      <c r="AE20" s="4143"/>
      <c r="AF20" s="4141"/>
      <c r="AG20" s="4144"/>
      <c r="AH20" s="4141"/>
      <c r="AI20" s="4141"/>
      <c r="AJ20" s="4142"/>
      <c r="AK20" s="4143"/>
      <c r="AL20" s="4141"/>
      <c r="AM20" s="4146"/>
      <c r="AN20" s="260"/>
      <c r="AO20" s="1407"/>
      <c r="AP20" s="260"/>
      <c r="AQ20" s="260"/>
      <c r="AR20" s="260"/>
      <c r="AS20" s="260"/>
      <c r="AT20" s="260"/>
      <c r="AU20" s="260"/>
      <c r="AV20" s="260"/>
      <c r="AW20" s="260"/>
      <c r="AX20" s="260"/>
      <c r="AY20" s="260"/>
      <c r="AZ20" s="260"/>
      <c r="BA20" s="260"/>
    </row>
    <row r="21" spans="1:53" s="47" customFormat="1" ht="19.5" customHeight="1" thickTop="1" thickBot="1">
      <c r="A21" s="260"/>
      <c r="B21" s="1387"/>
      <c r="C21" s="260"/>
      <c r="D21" s="1584" t="s">
        <v>1938</v>
      </c>
      <c r="E21" s="1585"/>
      <c r="F21" s="1585"/>
      <c r="G21" s="1585"/>
      <c r="H21" s="1585"/>
      <c r="I21" s="1585"/>
      <c r="J21" s="1585"/>
      <c r="K21" s="1585"/>
      <c r="L21" s="1585"/>
      <c r="M21" s="1585"/>
      <c r="N21" s="1585"/>
      <c r="O21" s="1585"/>
      <c r="P21" s="4128"/>
      <c r="Q21" s="4129"/>
      <c r="R21" s="4129"/>
      <c r="S21" s="4129"/>
      <c r="T21" s="4129"/>
      <c r="U21" s="4129"/>
      <c r="V21" s="4129"/>
      <c r="W21" s="4129"/>
      <c r="X21" s="4129"/>
      <c r="Y21" s="4129"/>
      <c r="Z21" s="4129"/>
      <c r="AA21" s="4129"/>
      <c r="AB21" s="4129"/>
      <c r="AC21" s="4129"/>
      <c r="AD21" s="4129"/>
      <c r="AE21" s="4129"/>
      <c r="AF21" s="4129"/>
      <c r="AG21" s="4129"/>
      <c r="AH21" s="4129"/>
      <c r="AI21" s="4129"/>
      <c r="AJ21" s="4129"/>
      <c r="AK21" s="4129"/>
      <c r="AL21" s="4129"/>
      <c r="AM21" s="4130"/>
      <c r="AN21" s="260"/>
      <c r="AO21" s="1407"/>
      <c r="AP21" s="260"/>
      <c r="AQ21" s="260"/>
      <c r="AR21" s="260"/>
      <c r="AS21" s="260"/>
      <c r="AT21" s="260"/>
      <c r="AU21" s="260"/>
      <c r="AV21" s="260"/>
      <c r="AW21" s="260"/>
      <c r="AX21" s="260"/>
      <c r="AY21" s="260"/>
      <c r="AZ21" s="260"/>
      <c r="BA21" s="260"/>
    </row>
    <row r="22" spans="1:53" s="47" customFormat="1" ht="36.6" customHeight="1">
      <c r="A22" s="260"/>
      <c r="B22" s="1387"/>
      <c r="C22" s="260"/>
      <c r="D22" s="4147" t="s">
        <v>1799</v>
      </c>
      <c r="E22" s="4148"/>
      <c r="F22" s="4148"/>
      <c r="G22" s="4148"/>
      <c r="H22" s="4148"/>
      <c r="I22" s="4148"/>
      <c r="J22" s="4148"/>
      <c r="K22" s="4148"/>
      <c r="L22" s="4148"/>
      <c r="M22" s="4148"/>
      <c r="N22" s="4148"/>
      <c r="O22" s="1586"/>
      <c r="P22" s="3851">
        <v>0</v>
      </c>
      <c r="Q22" s="3852"/>
      <c r="R22" s="3853"/>
      <c r="S22" s="3854">
        <v>0</v>
      </c>
      <c r="T22" s="3852"/>
      <c r="U22" s="3855"/>
      <c r="V22" s="3852">
        <v>0</v>
      </c>
      <c r="W22" s="3852"/>
      <c r="X22" s="3853"/>
      <c r="Y22" s="3854">
        <v>0</v>
      </c>
      <c r="Z22" s="3852"/>
      <c r="AA22" s="3852"/>
      <c r="AB22" s="3856">
        <v>0</v>
      </c>
      <c r="AC22" s="3852"/>
      <c r="AD22" s="3853"/>
      <c r="AE22" s="3854">
        <v>0</v>
      </c>
      <c r="AF22" s="3852"/>
      <c r="AG22" s="3855"/>
      <c r="AH22" s="3852">
        <v>0</v>
      </c>
      <c r="AI22" s="3852"/>
      <c r="AJ22" s="3853"/>
      <c r="AK22" s="3854">
        <v>0</v>
      </c>
      <c r="AL22" s="3852"/>
      <c r="AM22" s="3857"/>
      <c r="AN22" s="260"/>
      <c r="AO22" s="1407"/>
      <c r="AP22" s="260"/>
      <c r="AQ22" s="260"/>
      <c r="AR22" s="260"/>
      <c r="AS22" s="260"/>
      <c r="AT22" s="260"/>
      <c r="AU22" s="260"/>
      <c r="AV22" s="260"/>
      <c r="AW22" s="260"/>
      <c r="AX22" s="260"/>
      <c r="AY22" s="260"/>
      <c r="AZ22" s="260"/>
      <c r="BA22" s="260"/>
    </row>
    <row r="23" spans="1:53" s="47" customFormat="1" ht="36.6" customHeight="1">
      <c r="A23" s="260"/>
      <c r="B23" s="1387"/>
      <c r="C23" s="260"/>
      <c r="D23" s="4126" t="s">
        <v>1800</v>
      </c>
      <c r="E23" s="4127"/>
      <c r="F23" s="4127"/>
      <c r="G23" s="4127"/>
      <c r="H23" s="4127"/>
      <c r="I23" s="4127"/>
      <c r="J23" s="4127"/>
      <c r="K23" s="4127"/>
      <c r="L23" s="4127"/>
      <c r="M23" s="4127"/>
      <c r="N23" s="4127"/>
      <c r="O23" s="1587"/>
      <c r="P23" s="3842">
        <v>0</v>
      </c>
      <c r="Q23" s="3843"/>
      <c r="R23" s="3844"/>
      <c r="S23" s="3845">
        <v>0</v>
      </c>
      <c r="T23" s="3843"/>
      <c r="U23" s="3846"/>
      <c r="V23" s="3843">
        <v>0</v>
      </c>
      <c r="W23" s="3843"/>
      <c r="X23" s="3844"/>
      <c r="Y23" s="3845">
        <v>0</v>
      </c>
      <c r="Z23" s="3843"/>
      <c r="AA23" s="3843"/>
      <c r="AB23" s="3847">
        <v>0</v>
      </c>
      <c r="AC23" s="3843"/>
      <c r="AD23" s="3844"/>
      <c r="AE23" s="3845">
        <v>0</v>
      </c>
      <c r="AF23" s="3843"/>
      <c r="AG23" s="3846"/>
      <c r="AH23" s="3843">
        <v>0</v>
      </c>
      <c r="AI23" s="3843"/>
      <c r="AJ23" s="3844"/>
      <c r="AK23" s="3845">
        <v>0</v>
      </c>
      <c r="AL23" s="3843"/>
      <c r="AM23" s="3848"/>
      <c r="AN23" s="260"/>
      <c r="AO23" s="1407"/>
      <c r="AP23" s="260"/>
      <c r="AQ23" s="260"/>
      <c r="AR23" s="260"/>
      <c r="AS23" s="260"/>
      <c r="AT23" s="260"/>
      <c r="AU23" s="260"/>
      <c r="AV23" s="260"/>
      <c r="AW23" s="260"/>
      <c r="AX23" s="260"/>
      <c r="AY23" s="260"/>
      <c r="AZ23" s="260"/>
      <c r="BA23" s="260"/>
    </row>
    <row r="24" spans="1:53" s="47" customFormat="1" ht="36.6" customHeight="1">
      <c r="A24" s="260"/>
      <c r="B24" s="1387"/>
      <c r="C24" s="260"/>
      <c r="D24" s="4126" t="s">
        <v>1801</v>
      </c>
      <c r="E24" s="4127"/>
      <c r="F24" s="4127"/>
      <c r="G24" s="4127"/>
      <c r="H24" s="4127"/>
      <c r="I24" s="4127"/>
      <c r="J24" s="4127"/>
      <c r="K24" s="4127"/>
      <c r="L24" s="4127"/>
      <c r="M24" s="4127"/>
      <c r="N24" s="4127"/>
      <c r="O24" s="1587"/>
      <c r="P24" s="3842">
        <v>0</v>
      </c>
      <c r="Q24" s="3843"/>
      <c r="R24" s="3844"/>
      <c r="S24" s="3845">
        <v>0</v>
      </c>
      <c r="T24" s="3843"/>
      <c r="U24" s="3846"/>
      <c r="V24" s="3843">
        <v>0</v>
      </c>
      <c r="W24" s="3843"/>
      <c r="X24" s="3844"/>
      <c r="Y24" s="3845">
        <v>0</v>
      </c>
      <c r="Z24" s="3843"/>
      <c r="AA24" s="3843"/>
      <c r="AB24" s="3847">
        <v>0</v>
      </c>
      <c r="AC24" s="3843"/>
      <c r="AD24" s="3844"/>
      <c r="AE24" s="3845">
        <v>0</v>
      </c>
      <c r="AF24" s="3843"/>
      <c r="AG24" s="3846"/>
      <c r="AH24" s="3843">
        <v>0</v>
      </c>
      <c r="AI24" s="3843"/>
      <c r="AJ24" s="3844"/>
      <c r="AK24" s="3845">
        <v>0</v>
      </c>
      <c r="AL24" s="3843"/>
      <c r="AM24" s="3848"/>
      <c r="AN24" s="260"/>
      <c r="AO24" s="1407"/>
      <c r="AP24" s="260"/>
      <c r="AQ24" s="260"/>
      <c r="AR24" s="260"/>
      <c r="AS24" s="260"/>
      <c r="AT24" s="260"/>
      <c r="AU24" s="260"/>
      <c r="AV24" s="260"/>
      <c r="AW24" s="260"/>
      <c r="AX24" s="260"/>
      <c r="AY24" s="260"/>
      <c r="AZ24" s="260"/>
      <c r="BA24" s="260"/>
    </row>
    <row r="25" spans="1:53" s="47" customFormat="1" ht="22.5" customHeight="1">
      <c r="A25" s="260"/>
      <c r="B25" s="1387"/>
      <c r="C25" s="260"/>
      <c r="D25" s="4126" t="s">
        <v>1632</v>
      </c>
      <c r="E25" s="4127"/>
      <c r="F25" s="4127"/>
      <c r="G25" s="4127"/>
      <c r="H25" s="4127"/>
      <c r="I25" s="4127"/>
      <c r="J25" s="4127"/>
      <c r="K25" s="4127"/>
      <c r="L25" s="4127"/>
      <c r="M25" s="4127"/>
      <c r="N25" s="4127"/>
      <c r="O25" s="1587"/>
      <c r="P25" s="3842">
        <v>0</v>
      </c>
      <c r="Q25" s="3843"/>
      <c r="R25" s="3844"/>
      <c r="S25" s="3845">
        <v>0</v>
      </c>
      <c r="T25" s="3843"/>
      <c r="U25" s="3846"/>
      <c r="V25" s="3843">
        <v>0</v>
      </c>
      <c r="W25" s="3843"/>
      <c r="X25" s="3844"/>
      <c r="Y25" s="3845">
        <v>0</v>
      </c>
      <c r="Z25" s="3843"/>
      <c r="AA25" s="3843"/>
      <c r="AB25" s="3847">
        <v>0</v>
      </c>
      <c r="AC25" s="3843"/>
      <c r="AD25" s="3844"/>
      <c r="AE25" s="3845">
        <v>0</v>
      </c>
      <c r="AF25" s="3843"/>
      <c r="AG25" s="3846"/>
      <c r="AH25" s="3843">
        <v>0</v>
      </c>
      <c r="AI25" s="3843"/>
      <c r="AJ25" s="3844"/>
      <c r="AK25" s="3845">
        <v>0</v>
      </c>
      <c r="AL25" s="3843"/>
      <c r="AM25" s="3848"/>
      <c r="AN25" s="260"/>
      <c r="AO25" s="1407"/>
      <c r="AP25" s="260"/>
      <c r="AQ25" s="260"/>
      <c r="AR25" s="260"/>
      <c r="AS25" s="260"/>
      <c r="AT25" s="260"/>
      <c r="AU25" s="260"/>
      <c r="AV25" s="260"/>
      <c r="AW25" s="260"/>
      <c r="AX25" s="260"/>
      <c r="AY25" s="260"/>
      <c r="AZ25" s="260"/>
      <c r="BA25" s="260"/>
    </row>
    <row r="26" spans="1:53" s="47" customFormat="1" ht="22.5" customHeight="1">
      <c r="A26" s="260"/>
      <c r="B26" s="1387"/>
      <c r="C26" s="260"/>
      <c r="D26" s="4126" t="s">
        <v>933</v>
      </c>
      <c r="E26" s="4127"/>
      <c r="F26" s="4127"/>
      <c r="G26" s="4127"/>
      <c r="H26" s="4127"/>
      <c r="I26" s="4127"/>
      <c r="J26" s="4127"/>
      <c r="K26" s="4127"/>
      <c r="L26" s="4127"/>
      <c r="M26" s="4127"/>
      <c r="N26" s="4127"/>
      <c r="O26" s="1587"/>
      <c r="P26" s="3842">
        <v>24</v>
      </c>
      <c r="Q26" s="3843"/>
      <c r="R26" s="3844"/>
      <c r="S26" s="3845">
        <v>22</v>
      </c>
      <c r="T26" s="3843"/>
      <c r="U26" s="3846"/>
      <c r="V26" s="3843">
        <v>0</v>
      </c>
      <c r="W26" s="3843"/>
      <c r="X26" s="3844"/>
      <c r="Y26" s="3845">
        <v>0</v>
      </c>
      <c r="Z26" s="3843"/>
      <c r="AA26" s="3843"/>
      <c r="AB26" s="3847">
        <v>0</v>
      </c>
      <c r="AC26" s="3843"/>
      <c r="AD26" s="3844"/>
      <c r="AE26" s="3845">
        <v>0</v>
      </c>
      <c r="AF26" s="3843"/>
      <c r="AG26" s="3846"/>
      <c r="AH26" s="3843">
        <v>0</v>
      </c>
      <c r="AI26" s="3843"/>
      <c r="AJ26" s="3844"/>
      <c r="AK26" s="3845">
        <v>0</v>
      </c>
      <c r="AL26" s="3843"/>
      <c r="AM26" s="3848"/>
      <c r="AN26" s="260"/>
      <c r="AO26" s="1407"/>
      <c r="AP26" s="260"/>
      <c r="AQ26" s="260"/>
      <c r="AR26" s="260"/>
      <c r="AS26" s="260"/>
      <c r="AT26" s="260"/>
      <c r="AU26" s="260"/>
      <c r="AV26" s="260"/>
      <c r="AW26" s="260"/>
      <c r="AX26" s="260"/>
      <c r="AY26" s="260"/>
      <c r="AZ26" s="260"/>
      <c r="BA26" s="260"/>
    </row>
    <row r="27" spans="1:53" s="47" customFormat="1" ht="36.6" customHeight="1">
      <c r="A27" s="260"/>
      <c r="B27" s="1387"/>
      <c r="C27" s="260"/>
      <c r="D27" s="4126" t="s">
        <v>1802</v>
      </c>
      <c r="E27" s="4127"/>
      <c r="F27" s="4127"/>
      <c r="G27" s="4127"/>
      <c r="H27" s="4127"/>
      <c r="I27" s="4127"/>
      <c r="J27" s="4127"/>
      <c r="K27" s="4127"/>
      <c r="L27" s="4127"/>
      <c r="M27" s="4127"/>
      <c r="N27" s="4127"/>
      <c r="O27" s="1587"/>
      <c r="P27" s="3842">
        <v>0</v>
      </c>
      <c r="Q27" s="3843"/>
      <c r="R27" s="3844"/>
      <c r="S27" s="3845">
        <v>0</v>
      </c>
      <c r="T27" s="3843"/>
      <c r="U27" s="3846"/>
      <c r="V27" s="3843">
        <v>0</v>
      </c>
      <c r="W27" s="3843"/>
      <c r="X27" s="3844"/>
      <c r="Y27" s="3845">
        <v>0</v>
      </c>
      <c r="Z27" s="3843"/>
      <c r="AA27" s="3843"/>
      <c r="AB27" s="3847">
        <v>0</v>
      </c>
      <c r="AC27" s="3843"/>
      <c r="AD27" s="3844"/>
      <c r="AE27" s="3845">
        <v>0</v>
      </c>
      <c r="AF27" s="3843"/>
      <c r="AG27" s="3846"/>
      <c r="AH27" s="3843">
        <v>0</v>
      </c>
      <c r="AI27" s="3843"/>
      <c r="AJ27" s="3844"/>
      <c r="AK27" s="3845">
        <v>0</v>
      </c>
      <c r="AL27" s="3843"/>
      <c r="AM27" s="3848"/>
      <c r="AN27" s="260"/>
      <c r="AO27" s="1407"/>
      <c r="AP27" s="260"/>
      <c r="AQ27" s="260"/>
      <c r="AR27" s="260"/>
      <c r="AS27" s="260"/>
      <c r="AT27" s="260"/>
      <c r="AU27" s="260"/>
      <c r="AV27" s="260"/>
      <c r="AW27" s="260"/>
      <c r="AX27" s="260"/>
      <c r="AY27" s="260"/>
      <c r="AZ27" s="260"/>
      <c r="BA27" s="260"/>
    </row>
    <row r="28" spans="1:53" s="47" customFormat="1" ht="22.5" customHeight="1">
      <c r="A28" s="260"/>
      <c r="B28" s="1387"/>
      <c r="C28" s="260"/>
      <c r="D28" s="4126" t="s">
        <v>935</v>
      </c>
      <c r="E28" s="4127"/>
      <c r="F28" s="4127"/>
      <c r="G28" s="4127"/>
      <c r="H28" s="4127"/>
      <c r="I28" s="4127"/>
      <c r="J28" s="4127"/>
      <c r="K28" s="4127"/>
      <c r="L28" s="4127"/>
      <c r="M28" s="4127"/>
      <c r="N28" s="4127"/>
      <c r="O28" s="1587"/>
      <c r="P28" s="3842">
        <v>0</v>
      </c>
      <c r="Q28" s="3843"/>
      <c r="R28" s="3844"/>
      <c r="S28" s="3845">
        <v>0</v>
      </c>
      <c r="T28" s="3843"/>
      <c r="U28" s="3846"/>
      <c r="V28" s="3843">
        <v>0</v>
      </c>
      <c r="W28" s="3843"/>
      <c r="X28" s="3844"/>
      <c r="Y28" s="3845">
        <v>0</v>
      </c>
      <c r="Z28" s="3843"/>
      <c r="AA28" s="3843"/>
      <c r="AB28" s="3847">
        <v>0</v>
      </c>
      <c r="AC28" s="3843"/>
      <c r="AD28" s="3844"/>
      <c r="AE28" s="3845">
        <v>0</v>
      </c>
      <c r="AF28" s="3843"/>
      <c r="AG28" s="3846"/>
      <c r="AH28" s="3843">
        <v>0</v>
      </c>
      <c r="AI28" s="3843"/>
      <c r="AJ28" s="3844"/>
      <c r="AK28" s="3845">
        <v>0</v>
      </c>
      <c r="AL28" s="3843"/>
      <c r="AM28" s="3848"/>
      <c r="AN28" s="260"/>
      <c r="AO28" s="1407"/>
      <c r="AP28" s="260"/>
      <c r="AQ28" s="260"/>
      <c r="AR28" s="260"/>
      <c r="AS28" s="260"/>
      <c r="AT28" s="260"/>
      <c r="AU28" s="260"/>
      <c r="AV28" s="260"/>
      <c r="AW28" s="260"/>
      <c r="AX28" s="260"/>
      <c r="AY28" s="260"/>
      <c r="AZ28" s="260"/>
      <c r="BA28" s="260"/>
    </row>
    <row r="29" spans="1:53" s="47" customFormat="1" ht="22.5" customHeight="1">
      <c r="A29" s="260"/>
      <c r="B29" s="1387"/>
      <c r="C29" s="260"/>
      <c r="D29" s="4126" t="s">
        <v>936</v>
      </c>
      <c r="E29" s="4127"/>
      <c r="F29" s="4127"/>
      <c r="G29" s="4127"/>
      <c r="H29" s="4127"/>
      <c r="I29" s="4127"/>
      <c r="J29" s="4127"/>
      <c r="K29" s="4127"/>
      <c r="L29" s="4127"/>
      <c r="M29" s="4127"/>
      <c r="N29" s="4127"/>
      <c r="O29" s="1587"/>
      <c r="P29" s="3842">
        <v>0</v>
      </c>
      <c r="Q29" s="3843"/>
      <c r="R29" s="3844"/>
      <c r="S29" s="3845">
        <v>0</v>
      </c>
      <c r="T29" s="3843"/>
      <c r="U29" s="3846"/>
      <c r="V29" s="3843">
        <v>0</v>
      </c>
      <c r="W29" s="3843"/>
      <c r="X29" s="3844"/>
      <c r="Y29" s="3845">
        <v>0</v>
      </c>
      <c r="Z29" s="3843"/>
      <c r="AA29" s="3843"/>
      <c r="AB29" s="3847">
        <v>0</v>
      </c>
      <c r="AC29" s="3843"/>
      <c r="AD29" s="3844"/>
      <c r="AE29" s="3845">
        <v>0</v>
      </c>
      <c r="AF29" s="3843"/>
      <c r="AG29" s="3846"/>
      <c r="AH29" s="3843">
        <v>0</v>
      </c>
      <c r="AI29" s="3843"/>
      <c r="AJ29" s="3844"/>
      <c r="AK29" s="3845">
        <v>0</v>
      </c>
      <c r="AL29" s="3843"/>
      <c r="AM29" s="3848"/>
      <c r="AN29" s="260"/>
      <c r="AO29" s="1407"/>
      <c r="AP29" s="260"/>
      <c r="AQ29" s="260"/>
      <c r="AR29" s="260"/>
      <c r="AS29" s="260"/>
      <c r="AT29" s="260"/>
      <c r="AU29" s="260"/>
      <c r="AV29" s="260"/>
      <c r="AW29" s="260"/>
      <c r="AX29" s="260"/>
      <c r="AY29" s="260"/>
      <c r="AZ29" s="260"/>
      <c r="BA29" s="260"/>
    </row>
    <row r="30" spans="1:53" s="47" customFormat="1" ht="22.5" customHeight="1">
      <c r="A30" s="260"/>
      <c r="B30" s="1387"/>
      <c r="C30" s="260"/>
      <c r="D30" s="4126" t="s">
        <v>938</v>
      </c>
      <c r="E30" s="4127"/>
      <c r="F30" s="4127"/>
      <c r="G30" s="4127"/>
      <c r="H30" s="4127"/>
      <c r="I30" s="4127"/>
      <c r="J30" s="4127"/>
      <c r="K30" s="4127"/>
      <c r="L30" s="4127"/>
      <c r="M30" s="4127"/>
      <c r="N30" s="4127"/>
      <c r="O30" s="1587"/>
      <c r="P30" s="3842">
        <v>0</v>
      </c>
      <c r="Q30" s="3843"/>
      <c r="R30" s="3844"/>
      <c r="S30" s="3845">
        <v>0</v>
      </c>
      <c r="T30" s="3843"/>
      <c r="U30" s="3846"/>
      <c r="V30" s="3843">
        <v>0</v>
      </c>
      <c r="W30" s="3843"/>
      <c r="X30" s="3844"/>
      <c r="Y30" s="3845">
        <v>0</v>
      </c>
      <c r="Z30" s="3843"/>
      <c r="AA30" s="3843"/>
      <c r="AB30" s="3847">
        <v>0</v>
      </c>
      <c r="AC30" s="3843"/>
      <c r="AD30" s="3844"/>
      <c r="AE30" s="3845">
        <v>0</v>
      </c>
      <c r="AF30" s="3843"/>
      <c r="AG30" s="3846"/>
      <c r="AH30" s="3843">
        <v>0</v>
      </c>
      <c r="AI30" s="3843"/>
      <c r="AJ30" s="3844"/>
      <c r="AK30" s="3845">
        <v>0</v>
      </c>
      <c r="AL30" s="3843"/>
      <c r="AM30" s="3848"/>
      <c r="AN30" s="260"/>
      <c r="AO30" s="1407"/>
      <c r="AP30" s="260"/>
      <c r="AQ30" s="260"/>
      <c r="AR30" s="260"/>
      <c r="AS30" s="260"/>
      <c r="AT30" s="260"/>
      <c r="AU30" s="260"/>
      <c r="AV30" s="260"/>
      <c r="AW30" s="260"/>
      <c r="AX30" s="260"/>
      <c r="AY30" s="260"/>
      <c r="AZ30" s="260"/>
      <c r="BA30" s="260"/>
    </row>
    <row r="31" spans="1:53" s="47" customFormat="1" ht="22.5" customHeight="1">
      <c r="A31" s="260"/>
      <c r="B31" s="1387"/>
      <c r="C31" s="260"/>
      <c r="D31" s="4126" t="s">
        <v>1635</v>
      </c>
      <c r="E31" s="4127"/>
      <c r="F31" s="4127"/>
      <c r="G31" s="4127"/>
      <c r="H31" s="4127"/>
      <c r="I31" s="4127"/>
      <c r="J31" s="4127"/>
      <c r="K31" s="4127"/>
      <c r="L31" s="4127"/>
      <c r="M31" s="4127"/>
      <c r="N31" s="4127"/>
      <c r="O31" s="1587"/>
      <c r="P31" s="3842">
        <v>0</v>
      </c>
      <c r="Q31" s="3843"/>
      <c r="R31" s="3844"/>
      <c r="S31" s="3845">
        <v>0</v>
      </c>
      <c r="T31" s="3843"/>
      <c r="U31" s="3846"/>
      <c r="V31" s="3843">
        <v>0</v>
      </c>
      <c r="W31" s="3843"/>
      <c r="X31" s="3844"/>
      <c r="Y31" s="3845">
        <v>0</v>
      </c>
      <c r="Z31" s="3843"/>
      <c r="AA31" s="3843"/>
      <c r="AB31" s="3847">
        <v>0</v>
      </c>
      <c r="AC31" s="3843"/>
      <c r="AD31" s="3844"/>
      <c r="AE31" s="3845">
        <v>0</v>
      </c>
      <c r="AF31" s="3843"/>
      <c r="AG31" s="3846"/>
      <c r="AH31" s="3843">
        <v>0</v>
      </c>
      <c r="AI31" s="3843"/>
      <c r="AJ31" s="3844"/>
      <c r="AK31" s="3845">
        <v>0</v>
      </c>
      <c r="AL31" s="3843"/>
      <c r="AM31" s="3848"/>
      <c r="AN31" s="260"/>
      <c r="AO31" s="1407"/>
      <c r="AP31" s="260"/>
      <c r="AQ31" s="260"/>
      <c r="AR31" s="260"/>
      <c r="AS31" s="260"/>
      <c r="AT31" s="260"/>
      <c r="AU31" s="260"/>
      <c r="AV31" s="260"/>
      <c r="AW31" s="260"/>
      <c r="AX31" s="260"/>
      <c r="AY31" s="260"/>
      <c r="AZ31" s="260"/>
      <c r="BA31" s="260"/>
    </row>
    <row r="32" spans="1:53" s="47" customFormat="1" ht="36.6" customHeight="1">
      <c r="A32" s="260"/>
      <c r="B32" s="1387"/>
      <c r="C32" s="260"/>
      <c r="D32" s="4126" t="s">
        <v>1803</v>
      </c>
      <c r="E32" s="4127"/>
      <c r="F32" s="4127"/>
      <c r="G32" s="4127"/>
      <c r="H32" s="4127"/>
      <c r="I32" s="4127"/>
      <c r="J32" s="4127"/>
      <c r="K32" s="4127"/>
      <c r="L32" s="4127"/>
      <c r="M32" s="4127"/>
      <c r="N32" s="4127"/>
      <c r="O32" s="1587"/>
      <c r="P32" s="3842">
        <v>0</v>
      </c>
      <c r="Q32" s="3843"/>
      <c r="R32" s="3844"/>
      <c r="S32" s="3845">
        <v>0</v>
      </c>
      <c r="T32" s="3843"/>
      <c r="U32" s="3846"/>
      <c r="V32" s="3843">
        <v>0</v>
      </c>
      <c r="W32" s="3843"/>
      <c r="X32" s="3844"/>
      <c r="Y32" s="3845">
        <v>0</v>
      </c>
      <c r="Z32" s="3843"/>
      <c r="AA32" s="3843"/>
      <c r="AB32" s="3847">
        <v>0</v>
      </c>
      <c r="AC32" s="3843"/>
      <c r="AD32" s="3844"/>
      <c r="AE32" s="3845">
        <v>0</v>
      </c>
      <c r="AF32" s="3843"/>
      <c r="AG32" s="3846"/>
      <c r="AH32" s="3843">
        <v>0</v>
      </c>
      <c r="AI32" s="3843"/>
      <c r="AJ32" s="3844"/>
      <c r="AK32" s="3845">
        <v>0</v>
      </c>
      <c r="AL32" s="3843"/>
      <c r="AM32" s="3848"/>
      <c r="AN32" s="260"/>
      <c r="AO32" s="1407"/>
      <c r="AP32" s="260"/>
      <c r="AQ32" s="260"/>
      <c r="AR32" s="260"/>
      <c r="AS32" s="260"/>
      <c r="AT32" s="260"/>
      <c r="AU32" s="260"/>
      <c r="AV32" s="260"/>
      <c r="AW32" s="260"/>
      <c r="AX32" s="260"/>
      <c r="AY32" s="260"/>
      <c r="AZ32" s="260"/>
      <c r="BA32" s="260"/>
    </row>
    <row r="33" spans="1:53" s="47" customFormat="1" ht="22.5" customHeight="1">
      <c r="A33" s="260"/>
      <c r="B33" s="1387"/>
      <c r="C33" s="260"/>
      <c r="D33" s="4112" t="s">
        <v>1790</v>
      </c>
      <c r="E33" s="4113"/>
      <c r="F33" s="4113"/>
      <c r="G33" s="4113"/>
      <c r="H33" s="4113"/>
      <c r="I33" s="4113"/>
      <c r="J33" s="4113"/>
      <c r="K33" s="4113"/>
      <c r="L33" s="4113"/>
      <c r="M33" s="4113"/>
      <c r="N33" s="4113"/>
      <c r="O33" s="1570"/>
      <c r="P33" s="4114">
        <v>0</v>
      </c>
      <c r="Q33" s="4099"/>
      <c r="R33" s="4115"/>
      <c r="S33" s="4098">
        <v>0</v>
      </c>
      <c r="T33" s="4099"/>
      <c r="U33" s="4120"/>
      <c r="V33" s="4099">
        <v>0</v>
      </c>
      <c r="W33" s="4099"/>
      <c r="X33" s="4115"/>
      <c r="Y33" s="4098">
        <v>0</v>
      </c>
      <c r="Z33" s="4099"/>
      <c r="AA33" s="4099"/>
      <c r="AB33" s="4123">
        <v>0</v>
      </c>
      <c r="AC33" s="4099"/>
      <c r="AD33" s="4115"/>
      <c r="AE33" s="4098">
        <v>0</v>
      </c>
      <c r="AF33" s="4099"/>
      <c r="AG33" s="4120"/>
      <c r="AH33" s="4099">
        <v>0</v>
      </c>
      <c r="AI33" s="4099"/>
      <c r="AJ33" s="4115"/>
      <c r="AK33" s="4098">
        <v>0</v>
      </c>
      <c r="AL33" s="4099"/>
      <c r="AM33" s="4100"/>
      <c r="AN33" s="260"/>
      <c r="AO33" s="1407"/>
      <c r="AP33" s="260"/>
      <c r="AQ33" s="260"/>
      <c r="AR33" s="260"/>
      <c r="AS33" s="260"/>
      <c r="AT33" s="260"/>
      <c r="AU33" s="260"/>
      <c r="AV33" s="260"/>
      <c r="AW33" s="260"/>
      <c r="AX33" s="260"/>
      <c r="AY33" s="260"/>
      <c r="AZ33" s="260"/>
      <c r="BA33" s="260"/>
    </row>
    <row r="34" spans="1:53" s="47" customFormat="1" ht="22.5" customHeight="1">
      <c r="A34" s="260"/>
      <c r="B34" s="1387"/>
      <c r="C34" s="260"/>
      <c r="D34" s="1588"/>
      <c r="E34" s="3938"/>
      <c r="F34" s="3938"/>
      <c r="G34" s="3938"/>
      <c r="H34" s="3938"/>
      <c r="I34" s="3938"/>
      <c r="J34" s="3938"/>
      <c r="K34" s="3938"/>
      <c r="L34" s="3938"/>
      <c r="M34" s="3938"/>
      <c r="N34" s="3938"/>
      <c r="O34" s="1046"/>
      <c r="P34" s="4116"/>
      <c r="Q34" s="4102"/>
      <c r="R34" s="4117"/>
      <c r="S34" s="4101"/>
      <c r="T34" s="4102"/>
      <c r="U34" s="4121"/>
      <c r="V34" s="4102"/>
      <c r="W34" s="4102"/>
      <c r="X34" s="4117"/>
      <c r="Y34" s="4101"/>
      <c r="Z34" s="4102"/>
      <c r="AA34" s="4102"/>
      <c r="AB34" s="4124"/>
      <c r="AC34" s="4102"/>
      <c r="AD34" s="4117"/>
      <c r="AE34" s="4101"/>
      <c r="AF34" s="4102"/>
      <c r="AG34" s="4121"/>
      <c r="AH34" s="4102"/>
      <c r="AI34" s="4102"/>
      <c r="AJ34" s="4117"/>
      <c r="AK34" s="4101"/>
      <c r="AL34" s="4102"/>
      <c r="AM34" s="4103"/>
      <c r="AN34" s="260"/>
      <c r="AO34" s="1407"/>
      <c r="AP34" s="260"/>
      <c r="AQ34" s="260"/>
      <c r="AR34" s="260"/>
      <c r="AS34" s="260"/>
      <c r="AT34" s="260"/>
      <c r="AU34" s="260"/>
      <c r="AV34" s="260"/>
      <c r="AW34" s="260"/>
      <c r="AX34" s="260"/>
      <c r="AY34" s="260"/>
      <c r="AZ34" s="260"/>
      <c r="BA34" s="260"/>
    </row>
    <row r="35" spans="1:53" s="47" customFormat="1" ht="15" customHeight="1" thickBot="1">
      <c r="A35" s="260"/>
      <c r="B35" s="1387"/>
      <c r="C35" s="260"/>
      <c r="D35" s="1589"/>
      <c r="E35" s="1752" t="str">
        <f>IF(AND(ISBLANK(resilince_num_ccam_l_others_secify), SUM(P33:AM35)&gt;0), "Please specify.", IF(AND(resilince_num_ccam_l_others_secify&gt;0, SUM(P33:AM35)=0), "Please provide details.", ""))</f>
        <v/>
      </c>
      <c r="F35" s="1590"/>
      <c r="G35" s="1590"/>
      <c r="H35" s="1590"/>
      <c r="I35" s="1590"/>
      <c r="J35" s="1590"/>
      <c r="K35" s="1590"/>
      <c r="L35" s="1590"/>
      <c r="M35" s="1590"/>
      <c r="N35" s="1590"/>
      <c r="O35" s="1590"/>
      <c r="P35" s="4140"/>
      <c r="Q35" s="4141"/>
      <c r="R35" s="4142"/>
      <c r="S35" s="4143"/>
      <c r="T35" s="4141"/>
      <c r="U35" s="4144"/>
      <c r="V35" s="4141"/>
      <c r="W35" s="4141"/>
      <c r="X35" s="4142"/>
      <c r="Y35" s="4143"/>
      <c r="Z35" s="4141"/>
      <c r="AA35" s="4141"/>
      <c r="AB35" s="4145"/>
      <c r="AC35" s="4141"/>
      <c r="AD35" s="4142"/>
      <c r="AE35" s="4143"/>
      <c r="AF35" s="4141"/>
      <c r="AG35" s="4144"/>
      <c r="AH35" s="4141"/>
      <c r="AI35" s="4141"/>
      <c r="AJ35" s="4142"/>
      <c r="AK35" s="4143"/>
      <c r="AL35" s="4141"/>
      <c r="AM35" s="4146"/>
      <c r="AN35" s="260"/>
      <c r="AO35" s="1407"/>
      <c r="AP35" s="260"/>
      <c r="AQ35" s="260"/>
      <c r="AR35" s="260"/>
      <c r="AS35" s="260"/>
      <c r="AT35" s="260"/>
      <c r="AU35" s="260"/>
      <c r="AV35" s="260"/>
      <c r="AW35" s="260"/>
      <c r="AX35" s="260"/>
      <c r="AY35" s="260"/>
      <c r="AZ35" s="260"/>
      <c r="BA35" s="260"/>
    </row>
    <row r="36" spans="1:53" s="47" customFormat="1" ht="19.5" customHeight="1" thickTop="1" thickBot="1">
      <c r="A36" s="260"/>
      <c r="B36" s="1387"/>
      <c r="C36" s="260"/>
      <c r="D36" s="1584" t="s">
        <v>1939</v>
      </c>
      <c r="E36" s="1585"/>
      <c r="F36" s="1585"/>
      <c r="G36" s="1585"/>
      <c r="H36" s="1585"/>
      <c r="I36" s="1585"/>
      <c r="J36" s="1585"/>
      <c r="K36" s="1585"/>
      <c r="L36" s="1585"/>
      <c r="M36" s="1585"/>
      <c r="N36" s="1585"/>
      <c r="O36" s="1585"/>
      <c r="P36" s="4128"/>
      <c r="Q36" s="4129"/>
      <c r="R36" s="4129"/>
      <c r="S36" s="4129"/>
      <c r="T36" s="4129"/>
      <c r="U36" s="4129"/>
      <c r="V36" s="4129"/>
      <c r="W36" s="4129"/>
      <c r="X36" s="4129"/>
      <c r="Y36" s="4129"/>
      <c r="Z36" s="4129"/>
      <c r="AA36" s="4129"/>
      <c r="AB36" s="4129"/>
      <c r="AC36" s="4129"/>
      <c r="AD36" s="4129"/>
      <c r="AE36" s="4129"/>
      <c r="AF36" s="4129"/>
      <c r="AG36" s="4129"/>
      <c r="AH36" s="4129"/>
      <c r="AI36" s="4129"/>
      <c r="AJ36" s="4129"/>
      <c r="AK36" s="4129"/>
      <c r="AL36" s="4129"/>
      <c r="AM36" s="4130"/>
      <c r="AN36" s="260"/>
      <c r="AO36" s="1407"/>
      <c r="AP36" s="260"/>
      <c r="AQ36" s="260"/>
      <c r="AR36" s="260"/>
      <c r="AS36" s="260"/>
      <c r="AT36" s="260"/>
      <c r="AU36" s="260"/>
      <c r="AV36" s="260"/>
      <c r="AW36" s="260"/>
      <c r="AX36" s="260"/>
      <c r="AY36" s="260"/>
      <c r="AZ36" s="260"/>
      <c r="BA36" s="260"/>
    </row>
    <row r="37" spans="1:53" s="47" customFormat="1" ht="22.5" customHeight="1">
      <c r="A37" s="260"/>
      <c r="B37" s="1387"/>
      <c r="C37" s="260"/>
      <c r="D37" s="4131" t="s">
        <v>934</v>
      </c>
      <c r="E37" s="4132"/>
      <c r="F37" s="4132"/>
      <c r="G37" s="4132"/>
      <c r="H37" s="4132"/>
      <c r="I37" s="4132"/>
      <c r="J37" s="4132"/>
      <c r="K37" s="4132"/>
      <c r="L37" s="4132"/>
      <c r="M37" s="4132"/>
      <c r="N37" s="4132"/>
      <c r="O37" s="1591"/>
      <c r="P37" s="4133">
        <v>0</v>
      </c>
      <c r="Q37" s="4134"/>
      <c r="R37" s="4135"/>
      <c r="S37" s="4136">
        <v>0</v>
      </c>
      <c r="T37" s="4134"/>
      <c r="U37" s="4137"/>
      <c r="V37" s="4134">
        <v>0</v>
      </c>
      <c r="W37" s="4134"/>
      <c r="X37" s="4135"/>
      <c r="Y37" s="4136">
        <v>0</v>
      </c>
      <c r="Z37" s="4134"/>
      <c r="AA37" s="4134"/>
      <c r="AB37" s="4138">
        <v>0</v>
      </c>
      <c r="AC37" s="4134"/>
      <c r="AD37" s="4135"/>
      <c r="AE37" s="4136">
        <v>0</v>
      </c>
      <c r="AF37" s="4134"/>
      <c r="AG37" s="4137"/>
      <c r="AH37" s="4134">
        <v>0</v>
      </c>
      <c r="AI37" s="4134"/>
      <c r="AJ37" s="4135"/>
      <c r="AK37" s="4136">
        <v>0</v>
      </c>
      <c r="AL37" s="4134"/>
      <c r="AM37" s="4139"/>
      <c r="AN37" s="260"/>
      <c r="AO37" s="1407"/>
      <c r="AP37" s="260"/>
      <c r="AQ37" s="260"/>
      <c r="AR37" s="260"/>
      <c r="AS37" s="260"/>
      <c r="AT37" s="260"/>
      <c r="AU37" s="260"/>
      <c r="AV37" s="260"/>
      <c r="AW37" s="260"/>
      <c r="AX37" s="260"/>
      <c r="AY37" s="260"/>
      <c r="AZ37" s="260"/>
      <c r="BA37" s="260"/>
    </row>
    <row r="38" spans="1:53" s="47" customFormat="1" ht="36.6" customHeight="1">
      <c r="A38" s="260"/>
      <c r="B38" s="1387"/>
      <c r="C38" s="260"/>
      <c r="D38" s="4126" t="s">
        <v>1637</v>
      </c>
      <c r="E38" s="4127"/>
      <c r="F38" s="4127"/>
      <c r="G38" s="4127"/>
      <c r="H38" s="4127"/>
      <c r="I38" s="4127"/>
      <c r="J38" s="4127"/>
      <c r="K38" s="4127"/>
      <c r="L38" s="4127"/>
      <c r="M38" s="4127"/>
      <c r="N38" s="4127"/>
      <c r="O38" s="1587"/>
      <c r="P38" s="3842">
        <v>0</v>
      </c>
      <c r="Q38" s="3843"/>
      <c r="R38" s="3844"/>
      <c r="S38" s="3845">
        <v>0</v>
      </c>
      <c r="T38" s="3843"/>
      <c r="U38" s="3846"/>
      <c r="V38" s="3843">
        <v>0</v>
      </c>
      <c r="W38" s="3843"/>
      <c r="X38" s="3844"/>
      <c r="Y38" s="3845">
        <v>0</v>
      </c>
      <c r="Z38" s="3843"/>
      <c r="AA38" s="3843"/>
      <c r="AB38" s="3847">
        <v>0</v>
      </c>
      <c r="AC38" s="3843"/>
      <c r="AD38" s="3844"/>
      <c r="AE38" s="3845">
        <v>0</v>
      </c>
      <c r="AF38" s="3843"/>
      <c r="AG38" s="3846"/>
      <c r="AH38" s="3843">
        <v>0</v>
      </c>
      <c r="AI38" s="3843"/>
      <c r="AJ38" s="3844"/>
      <c r="AK38" s="3845">
        <v>0</v>
      </c>
      <c r="AL38" s="3843"/>
      <c r="AM38" s="3848"/>
      <c r="AN38" s="260"/>
      <c r="AO38" s="1407"/>
      <c r="AP38" s="260"/>
      <c r="AQ38" s="260"/>
      <c r="AR38" s="260"/>
      <c r="AS38" s="260"/>
      <c r="AT38" s="260"/>
      <c r="AU38" s="260"/>
      <c r="AV38" s="260"/>
      <c r="AW38" s="260"/>
      <c r="AX38" s="260"/>
      <c r="AY38" s="260"/>
      <c r="AZ38" s="260"/>
      <c r="BA38" s="260"/>
    </row>
    <row r="39" spans="1:53" s="47" customFormat="1" ht="22.5" customHeight="1">
      <c r="A39" s="260"/>
      <c r="B39" s="1387"/>
      <c r="C39" s="260"/>
      <c r="D39" s="4126" t="s">
        <v>937</v>
      </c>
      <c r="E39" s="4127"/>
      <c r="F39" s="4127"/>
      <c r="G39" s="4127"/>
      <c r="H39" s="4127"/>
      <c r="I39" s="4127"/>
      <c r="J39" s="4127"/>
      <c r="K39" s="4127"/>
      <c r="L39" s="4127"/>
      <c r="M39" s="4127"/>
      <c r="N39" s="4127"/>
      <c r="O39" s="1544"/>
      <c r="P39" s="3842">
        <v>0</v>
      </c>
      <c r="Q39" s="3843"/>
      <c r="R39" s="3844"/>
      <c r="S39" s="3845">
        <v>0</v>
      </c>
      <c r="T39" s="3843"/>
      <c r="U39" s="3846"/>
      <c r="V39" s="3843">
        <v>0</v>
      </c>
      <c r="W39" s="3843"/>
      <c r="X39" s="3844"/>
      <c r="Y39" s="3845">
        <v>0</v>
      </c>
      <c r="Z39" s="3843"/>
      <c r="AA39" s="3843"/>
      <c r="AB39" s="3847">
        <v>0</v>
      </c>
      <c r="AC39" s="3843"/>
      <c r="AD39" s="3844"/>
      <c r="AE39" s="3845">
        <v>0</v>
      </c>
      <c r="AF39" s="3843"/>
      <c r="AG39" s="3846"/>
      <c r="AH39" s="3843">
        <v>0</v>
      </c>
      <c r="AI39" s="3843"/>
      <c r="AJ39" s="3844"/>
      <c r="AK39" s="3845">
        <v>0</v>
      </c>
      <c r="AL39" s="3843"/>
      <c r="AM39" s="3848"/>
      <c r="AN39" s="260"/>
      <c r="AO39" s="1407"/>
      <c r="AP39" s="260"/>
      <c r="AQ39" s="260"/>
      <c r="AR39" s="260"/>
      <c r="AS39" s="260"/>
      <c r="AT39" s="260"/>
      <c r="AU39" s="260"/>
      <c r="AV39" s="260"/>
      <c r="AW39" s="260"/>
      <c r="AX39" s="260"/>
      <c r="AY39" s="260"/>
      <c r="AZ39" s="260"/>
      <c r="BA39" s="260"/>
    </row>
    <row r="40" spans="1:53" s="47" customFormat="1" ht="36.6" customHeight="1">
      <c r="A40" s="260"/>
      <c r="B40" s="1387"/>
      <c r="C40" s="260"/>
      <c r="D40" s="4126" t="s">
        <v>1804</v>
      </c>
      <c r="E40" s="4127"/>
      <c r="F40" s="4127"/>
      <c r="G40" s="4127"/>
      <c r="H40" s="4127"/>
      <c r="I40" s="4127"/>
      <c r="J40" s="4127"/>
      <c r="K40" s="4127"/>
      <c r="L40" s="4127"/>
      <c r="M40" s="4127"/>
      <c r="N40" s="4127"/>
      <c r="O40" s="1587"/>
      <c r="P40" s="3842">
        <v>0</v>
      </c>
      <c r="Q40" s="3843"/>
      <c r="R40" s="3844"/>
      <c r="S40" s="3845">
        <v>0</v>
      </c>
      <c r="T40" s="3843"/>
      <c r="U40" s="3846"/>
      <c r="V40" s="3843">
        <v>0</v>
      </c>
      <c r="W40" s="3843"/>
      <c r="X40" s="3844"/>
      <c r="Y40" s="3845">
        <v>0</v>
      </c>
      <c r="Z40" s="3843"/>
      <c r="AA40" s="3843"/>
      <c r="AB40" s="3847">
        <v>0</v>
      </c>
      <c r="AC40" s="3843"/>
      <c r="AD40" s="3844"/>
      <c r="AE40" s="3845">
        <v>0</v>
      </c>
      <c r="AF40" s="3843"/>
      <c r="AG40" s="3846"/>
      <c r="AH40" s="3843">
        <v>0</v>
      </c>
      <c r="AI40" s="3843"/>
      <c r="AJ40" s="3844"/>
      <c r="AK40" s="3845">
        <v>0</v>
      </c>
      <c r="AL40" s="3843"/>
      <c r="AM40" s="3848"/>
      <c r="AN40" s="260"/>
      <c r="AO40" s="1407"/>
      <c r="AP40" s="260"/>
      <c r="AQ40" s="260"/>
      <c r="AR40" s="260"/>
      <c r="AS40" s="260"/>
      <c r="AT40" s="260"/>
      <c r="AU40" s="260"/>
      <c r="AV40" s="260"/>
      <c r="AW40" s="260"/>
      <c r="AX40" s="260"/>
      <c r="AY40" s="260"/>
      <c r="AZ40" s="260"/>
      <c r="BA40" s="260"/>
    </row>
    <row r="41" spans="1:53" s="47" customFormat="1" ht="22.5" customHeight="1">
      <c r="A41" s="260"/>
      <c r="B41" s="1387"/>
      <c r="C41" s="260"/>
      <c r="D41" s="4112" t="s">
        <v>1790</v>
      </c>
      <c r="E41" s="4113"/>
      <c r="F41" s="4113"/>
      <c r="G41" s="4113"/>
      <c r="H41" s="4113"/>
      <c r="I41" s="4113"/>
      <c r="J41" s="4113"/>
      <c r="K41" s="4113"/>
      <c r="L41" s="4113"/>
      <c r="M41" s="4113"/>
      <c r="N41" s="4113"/>
      <c r="O41" s="1570"/>
      <c r="P41" s="4114">
        <v>0</v>
      </c>
      <c r="Q41" s="4099"/>
      <c r="R41" s="4115"/>
      <c r="S41" s="4098">
        <v>0</v>
      </c>
      <c r="T41" s="4099"/>
      <c r="U41" s="4120"/>
      <c r="V41" s="4099">
        <v>0</v>
      </c>
      <c r="W41" s="4099"/>
      <c r="X41" s="4115"/>
      <c r="Y41" s="4098">
        <v>0</v>
      </c>
      <c r="Z41" s="4099"/>
      <c r="AA41" s="4099"/>
      <c r="AB41" s="4123">
        <v>0</v>
      </c>
      <c r="AC41" s="4099"/>
      <c r="AD41" s="4115"/>
      <c r="AE41" s="4098">
        <v>0</v>
      </c>
      <c r="AF41" s="4099"/>
      <c r="AG41" s="4120"/>
      <c r="AH41" s="4099">
        <v>0</v>
      </c>
      <c r="AI41" s="4099"/>
      <c r="AJ41" s="4115"/>
      <c r="AK41" s="4098">
        <v>0</v>
      </c>
      <c r="AL41" s="4099"/>
      <c r="AM41" s="4100"/>
      <c r="AN41" s="260"/>
      <c r="AO41" s="1407"/>
      <c r="AP41" s="260"/>
      <c r="AQ41" s="260"/>
      <c r="AR41" s="260"/>
      <c r="AS41" s="260"/>
      <c r="AT41" s="260"/>
      <c r="AU41" s="260"/>
      <c r="AV41" s="260"/>
      <c r="AW41" s="260"/>
      <c r="AX41" s="260"/>
      <c r="AY41" s="260"/>
      <c r="AZ41" s="260"/>
      <c r="BA41" s="260"/>
    </row>
    <row r="42" spans="1:53" s="47" customFormat="1" ht="22.5" customHeight="1">
      <c r="A42" s="260"/>
      <c r="B42" s="1387"/>
      <c r="C42" s="260"/>
      <c r="D42" s="1588"/>
      <c r="E42" s="3938"/>
      <c r="F42" s="3938"/>
      <c r="G42" s="3938"/>
      <c r="H42" s="3938"/>
      <c r="I42" s="3938"/>
      <c r="J42" s="3938"/>
      <c r="K42" s="3938"/>
      <c r="L42" s="3938"/>
      <c r="M42" s="3938"/>
      <c r="N42" s="3938"/>
      <c r="O42" s="1046"/>
      <c r="P42" s="4116"/>
      <c r="Q42" s="4102"/>
      <c r="R42" s="4117"/>
      <c r="S42" s="4101"/>
      <c r="T42" s="4102"/>
      <c r="U42" s="4121"/>
      <c r="V42" s="4102"/>
      <c r="W42" s="4102"/>
      <c r="X42" s="4117"/>
      <c r="Y42" s="4101"/>
      <c r="Z42" s="4102"/>
      <c r="AA42" s="4102"/>
      <c r="AB42" s="4124"/>
      <c r="AC42" s="4102"/>
      <c r="AD42" s="4117"/>
      <c r="AE42" s="4101"/>
      <c r="AF42" s="4102"/>
      <c r="AG42" s="4121"/>
      <c r="AH42" s="4102"/>
      <c r="AI42" s="4102"/>
      <c r="AJ42" s="4117"/>
      <c r="AK42" s="4101"/>
      <c r="AL42" s="4102"/>
      <c r="AM42" s="4103"/>
      <c r="AN42" s="260"/>
      <c r="AO42" s="1407"/>
      <c r="AP42" s="260"/>
      <c r="AQ42" s="260"/>
      <c r="AR42" s="260"/>
      <c r="AS42" s="260"/>
      <c r="AT42" s="260"/>
      <c r="AU42" s="260"/>
      <c r="AV42" s="260"/>
      <c r="AW42" s="260"/>
      <c r="AX42" s="260"/>
      <c r="AY42" s="260"/>
      <c r="AZ42" s="260"/>
      <c r="BA42" s="260"/>
    </row>
    <row r="43" spans="1:53" s="47" customFormat="1" ht="15" customHeight="1" thickBot="1">
      <c r="A43" s="260"/>
      <c r="B43" s="1387"/>
      <c r="C43" s="260"/>
      <c r="D43" s="1592"/>
      <c r="E43" s="1753" t="str">
        <f>IF(AND(ISBLANK(resilince_num_peace_l_others_specify), SUM(P41:AM43)&gt;0), "Please specify.", IF(AND(resilince_num_peace_l_others_specify&gt;0, SUM(P41:AM43)=0), "Please provide details.", ""))</f>
        <v/>
      </c>
      <c r="F43" s="1440"/>
      <c r="G43" s="1440"/>
      <c r="H43" s="1440"/>
      <c r="I43" s="1440"/>
      <c r="J43" s="1440"/>
      <c r="K43" s="1440"/>
      <c r="L43" s="1440"/>
      <c r="M43" s="1440"/>
      <c r="N43" s="1440"/>
      <c r="O43" s="1440"/>
      <c r="P43" s="4118"/>
      <c r="Q43" s="4105"/>
      <c r="R43" s="4119"/>
      <c r="S43" s="4104"/>
      <c r="T43" s="4105"/>
      <c r="U43" s="4122"/>
      <c r="V43" s="4105"/>
      <c r="W43" s="4105"/>
      <c r="X43" s="4119"/>
      <c r="Y43" s="4104"/>
      <c r="Z43" s="4105"/>
      <c r="AA43" s="4105"/>
      <c r="AB43" s="4125"/>
      <c r="AC43" s="4105"/>
      <c r="AD43" s="4119"/>
      <c r="AE43" s="4104"/>
      <c r="AF43" s="4105"/>
      <c r="AG43" s="4122"/>
      <c r="AH43" s="4105"/>
      <c r="AI43" s="4105"/>
      <c r="AJ43" s="4119"/>
      <c r="AK43" s="4104"/>
      <c r="AL43" s="4105"/>
      <c r="AM43" s="4106"/>
      <c r="AN43" s="260"/>
      <c r="AO43" s="1407"/>
      <c r="AP43" s="260"/>
      <c r="AQ43" s="260"/>
      <c r="AR43" s="260"/>
      <c r="AS43" s="260"/>
      <c r="AT43" s="260"/>
      <c r="AU43" s="260"/>
      <c r="AV43" s="260"/>
      <c r="AW43" s="260"/>
      <c r="AX43" s="260"/>
      <c r="AY43" s="260"/>
      <c r="AZ43" s="260"/>
      <c r="BA43" s="260"/>
    </row>
    <row r="44" spans="1:53" s="47" customFormat="1" ht="5.0999999999999996" customHeight="1" thickTop="1">
      <c r="A44" s="1407"/>
      <c r="B44" s="260"/>
      <c r="C44" s="260"/>
      <c r="D44" s="1039"/>
      <c r="E44" s="1046"/>
      <c r="F44" s="1046"/>
      <c r="G44" s="1046"/>
      <c r="H44" s="1046"/>
      <c r="I44" s="1046"/>
      <c r="J44" s="1046"/>
      <c r="K44" s="1046"/>
      <c r="L44" s="1046"/>
      <c r="M44" s="1046"/>
      <c r="N44" s="1046"/>
      <c r="O44" s="1046"/>
      <c r="P44" s="1406"/>
      <c r="Q44" s="1406"/>
      <c r="R44" s="1406"/>
      <c r="S44" s="1406"/>
      <c r="T44" s="1406"/>
      <c r="U44" s="1406"/>
      <c r="V44" s="1406"/>
      <c r="W44" s="1406"/>
      <c r="X44" s="1406"/>
      <c r="Y44" s="1406"/>
      <c r="Z44" s="1406"/>
      <c r="AA44" s="1406"/>
      <c r="AB44" s="1406"/>
      <c r="AC44" s="1406"/>
      <c r="AD44" s="1406"/>
      <c r="AE44" s="1406"/>
      <c r="AF44" s="1406"/>
      <c r="AG44" s="1406"/>
      <c r="AH44" s="1406"/>
      <c r="AI44" s="1406"/>
      <c r="AJ44" s="1406"/>
      <c r="AK44" s="1406"/>
      <c r="AL44" s="1406"/>
      <c r="AM44" s="1406"/>
      <c r="AN44" s="260"/>
      <c r="AO44" s="1407"/>
      <c r="AP44" s="260"/>
      <c r="AQ44" s="260"/>
      <c r="AR44" s="260"/>
      <c r="AS44" s="260"/>
      <c r="AT44" s="260"/>
      <c r="AU44" s="260"/>
      <c r="AV44" s="260"/>
      <c r="AW44" s="260"/>
      <c r="AX44" s="260"/>
      <c r="AY44" s="260"/>
      <c r="AZ44" s="260"/>
      <c r="BA44" s="260"/>
    </row>
    <row r="45" spans="1:53" s="184" customFormat="1" ht="22.5" customHeight="1">
      <c r="A45" s="799"/>
      <c r="B45" s="1429"/>
      <c r="C45" s="1506"/>
      <c r="D45" s="377" t="s">
        <v>268</v>
      </c>
      <c r="E45" s="1306"/>
      <c r="F45" s="1306"/>
      <c r="G45" s="3991" t="s">
        <v>1843</v>
      </c>
      <c r="H45" s="3991"/>
      <c r="I45" s="3991"/>
      <c r="J45" s="3991"/>
      <c r="K45" s="3991"/>
      <c r="L45" s="3991"/>
      <c r="M45" s="3991"/>
      <c r="N45" s="3991"/>
      <c r="O45" s="3991"/>
      <c r="P45" s="3991"/>
      <c r="Q45" s="3991"/>
      <c r="R45" s="3991"/>
      <c r="S45" s="3991"/>
      <c r="T45" s="3991"/>
      <c r="U45" s="3991"/>
      <c r="V45" s="3991"/>
      <c r="W45" s="3991"/>
      <c r="X45" s="3991"/>
      <c r="Y45" s="3991"/>
      <c r="Z45" s="3991"/>
      <c r="AA45" s="3991"/>
      <c r="AB45" s="3991"/>
      <c r="AC45" s="3991"/>
      <c r="AD45" s="3991"/>
      <c r="AE45" s="3991"/>
      <c r="AF45" s="3991"/>
      <c r="AG45" s="3991"/>
      <c r="AH45" s="3991"/>
      <c r="AI45" s="3991"/>
      <c r="AJ45" s="3991"/>
      <c r="AK45" s="3991"/>
      <c r="AL45" s="3991"/>
      <c r="AM45" s="3991"/>
      <c r="AN45" s="799"/>
      <c r="AO45" s="1593"/>
      <c r="AP45" s="799"/>
      <c r="AQ45" s="799"/>
      <c r="AR45" s="799"/>
      <c r="AS45" s="799"/>
      <c r="AT45" s="799"/>
      <c r="AU45" s="799"/>
      <c r="AV45" s="799"/>
      <c r="AW45" s="799"/>
      <c r="AX45" s="799"/>
      <c r="AY45" s="799"/>
      <c r="AZ45" s="799"/>
      <c r="BA45" s="799"/>
    </row>
    <row r="46" spans="1:53" s="47" customFormat="1" ht="9.9499999999999993" customHeight="1">
      <c r="A46" s="260"/>
      <c r="B46" s="1387"/>
      <c r="C46" s="260"/>
      <c r="D46" s="1039"/>
      <c r="E46" s="1046"/>
      <c r="F46" s="1046"/>
      <c r="G46" s="1046"/>
      <c r="H46" s="1046"/>
      <c r="I46" s="1046"/>
      <c r="J46" s="1046"/>
      <c r="K46" s="1046"/>
      <c r="L46" s="1046"/>
      <c r="M46" s="1046"/>
      <c r="N46" s="1046"/>
      <c r="O46" s="1046"/>
      <c r="P46" s="1406"/>
      <c r="Q46" s="1406"/>
      <c r="R46" s="1406"/>
      <c r="S46" s="1406"/>
      <c r="T46" s="1406"/>
      <c r="U46" s="1406"/>
      <c r="V46" s="1406"/>
      <c r="W46" s="1406"/>
      <c r="X46" s="1406"/>
      <c r="Y46" s="1406"/>
      <c r="Z46" s="1406"/>
      <c r="AA46" s="1406"/>
      <c r="AB46" s="1406"/>
      <c r="AC46" s="1406"/>
      <c r="AD46" s="1406"/>
      <c r="AE46" s="1406"/>
      <c r="AF46" s="1406"/>
      <c r="AG46" s="1406"/>
      <c r="AH46" s="1406"/>
      <c r="AI46" s="1406"/>
      <c r="AJ46" s="1406"/>
      <c r="AK46" s="1406"/>
      <c r="AL46" s="1406"/>
      <c r="AM46" s="1406"/>
      <c r="AN46" s="260"/>
      <c r="AO46" s="1407"/>
      <c r="AP46" s="260"/>
      <c r="AQ46" s="260"/>
      <c r="AR46" s="260"/>
      <c r="AS46" s="260"/>
      <c r="AT46" s="260"/>
      <c r="AU46" s="260"/>
      <c r="AV46" s="260"/>
      <c r="AW46" s="260"/>
      <c r="AX46" s="260"/>
      <c r="AY46" s="260"/>
      <c r="AZ46" s="260"/>
      <c r="BA46" s="260"/>
    </row>
    <row r="47" spans="1:53" s="186" customFormat="1" ht="24.75" customHeight="1">
      <c r="A47" s="802"/>
      <c r="B47" s="1500"/>
      <c r="C47" s="1501" t="s">
        <v>48</v>
      </c>
      <c r="D47" s="1340" t="b">
        <v>0</v>
      </c>
      <c r="E47" s="1505" t="s">
        <v>1639</v>
      </c>
      <c r="F47" s="1502"/>
      <c r="G47" s="1502"/>
      <c r="H47" s="1502"/>
      <c r="I47" s="1502"/>
      <c r="J47" s="1502"/>
      <c r="K47" s="1502"/>
      <c r="L47" s="1502"/>
      <c r="M47" s="1502"/>
      <c r="N47" s="1502"/>
      <c r="O47" s="1502"/>
      <c r="P47" s="1502"/>
      <c r="Q47" s="1502"/>
      <c r="R47" s="1502"/>
      <c r="S47" s="1502"/>
      <c r="T47" s="1502"/>
      <c r="U47" s="1502"/>
      <c r="V47" s="1502"/>
      <c r="W47" s="1502"/>
      <c r="X47" s="1502"/>
      <c r="Y47" s="1502"/>
      <c r="Z47" s="1502"/>
      <c r="AA47" s="1502"/>
      <c r="AB47" s="1502"/>
      <c r="AC47" s="1502"/>
      <c r="AD47" s="1502"/>
      <c r="AE47" s="1502"/>
      <c r="AF47" s="1502"/>
      <c r="AG47" s="1502"/>
      <c r="AH47" s="1502"/>
      <c r="AI47" s="1502"/>
      <c r="AJ47" s="1502"/>
      <c r="AK47" s="1502"/>
      <c r="AL47" s="1502"/>
      <c r="AM47" s="1502"/>
      <c r="AN47" s="802"/>
      <c r="AO47" s="1594"/>
      <c r="AP47" s="802"/>
      <c r="AQ47" s="802"/>
      <c r="AR47" s="802"/>
      <c r="AS47" s="802"/>
      <c r="AT47" s="802"/>
      <c r="AU47" s="802"/>
      <c r="AV47" s="802"/>
      <c r="AW47" s="802"/>
      <c r="AX47" s="802"/>
      <c r="AY47" s="802"/>
      <c r="AZ47" s="802"/>
      <c r="BA47" s="802"/>
    </row>
    <row r="48" spans="1:53" s="186" customFormat="1" ht="15.95" customHeight="1">
      <c r="A48" s="802"/>
      <c r="B48" s="1500"/>
      <c r="C48" s="1418" t="s">
        <v>49</v>
      </c>
      <c r="D48" s="1545" t="s">
        <v>1640</v>
      </c>
      <c r="E48" s="1420"/>
      <c r="F48" s="1420"/>
      <c r="G48" s="1420"/>
      <c r="H48" s="1420"/>
      <c r="I48" s="1420"/>
      <c r="J48" s="1420"/>
      <c r="K48" s="1420"/>
      <c r="L48" s="1420"/>
      <c r="M48" s="1420"/>
      <c r="N48" s="1420"/>
      <c r="O48" s="1420"/>
      <c r="P48" s="1420"/>
      <c r="Q48" s="1420"/>
      <c r="R48" s="1420"/>
      <c r="S48" s="1420"/>
      <c r="T48" s="1420"/>
      <c r="U48" s="1420"/>
      <c r="V48" s="1420"/>
      <c r="W48" s="1420"/>
      <c r="X48" s="1420"/>
      <c r="Y48" s="1420"/>
      <c r="Z48" s="1420"/>
      <c r="AA48" s="1420"/>
      <c r="AB48" s="802"/>
      <c r="AC48" s="802"/>
      <c r="AD48" s="802"/>
      <c r="AE48" s="802"/>
      <c r="AF48" s="802"/>
      <c r="AG48" s="802"/>
      <c r="AH48" s="802"/>
      <c r="AI48" s="802"/>
      <c r="AJ48" s="802"/>
      <c r="AK48" s="802"/>
      <c r="AL48" s="802"/>
      <c r="AM48" s="802"/>
      <c r="AN48" s="802"/>
      <c r="AO48" s="1594"/>
      <c r="AP48" s="802"/>
      <c r="AQ48" s="802"/>
      <c r="AR48" s="802"/>
      <c r="AS48" s="802"/>
      <c r="AT48" s="802"/>
      <c r="AU48" s="802"/>
      <c r="AV48" s="802"/>
      <c r="AW48" s="802"/>
      <c r="AX48" s="802"/>
      <c r="AY48" s="802"/>
      <c r="AZ48" s="802"/>
      <c r="BA48" s="802"/>
    </row>
    <row r="49" spans="1:53" s="47" customFormat="1" ht="5.0999999999999996" customHeight="1" thickBot="1">
      <c r="A49" s="260"/>
      <c r="B49" s="1595"/>
      <c r="C49" s="1039"/>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1407"/>
      <c r="AP49" s="260"/>
      <c r="AQ49" s="260"/>
      <c r="AR49" s="260"/>
      <c r="AS49" s="260"/>
      <c r="AT49" s="260"/>
      <c r="AU49" s="260"/>
      <c r="AV49" s="260"/>
      <c r="AW49" s="260"/>
      <c r="AX49" s="260"/>
      <c r="AY49" s="260"/>
      <c r="AZ49" s="260"/>
      <c r="BA49" s="260"/>
    </row>
    <row r="50" spans="1:53" s="171" customFormat="1" ht="18.600000000000001" customHeight="1" thickTop="1">
      <c r="A50" s="1046"/>
      <c r="B50" s="1596"/>
      <c r="C50" s="1458"/>
      <c r="D50" s="3859" t="s">
        <v>1805</v>
      </c>
      <c r="E50" s="3860"/>
      <c r="F50" s="3860"/>
      <c r="G50" s="3860"/>
      <c r="H50" s="3860"/>
      <c r="I50" s="3861"/>
      <c r="J50" s="3860" t="s">
        <v>1806</v>
      </c>
      <c r="K50" s="3860"/>
      <c r="L50" s="3860"/>
      <c r="M50" s="3860"/>
      <c r="N50" s="3860"/>
      <c r="O50" s="3861"/>
      <c r="P50" s="771"/>
      <c r="Q50" s="771"/>
      <c r="R50" s="771"/>
      <c r="S50" s="771"/>
      <c r="T50" s="771"/>
      <c r="U50" s="771"/>
      <c r="V50" s="771"/>
      <c r="W50" s="771"/>
      <c r="X50" s="771"/>
      <c r="Y50" s="771"/>
      <c r="Z50" s="771"/>
      <c r="AA50" s="771"/>
      <c r="AB50" s="771"/>
      <c r="AC50" s="771"/>
      <c r="AD50" s="771"/>
      <c r="AE50" s="771"/>
      <c r="AF50" s="771"/>
      <c r="AG50" s="771"/>
      <c r="AH50" s="771"/>
      <c r="AI50" s="771"/>
      <c r="AJ50" s="771"/>
      <c r="AK50" s="771"/>
      <c r="AL50" s="1046"/>
      <c r="AM50" s="1046"/>
      <c r="AN50" s="1046"/>
      <c r="AO50" s="1597"/>
      <c r="AP50" s="1046"/>
      <c r="AQ50" s="1046"/>
      <c r="AR50" s="1046"/>
      <c r="AS50" s="1046"/>
      <c r="AT50" s="1046"/>
      <c r="AU50" s="1046"/>
      <c r="AV50" s="1046"/>
      <c r="AW50" s="1046"/>
      <c r="AX50" s="1046"/>
      <c r="AY50" s="1046"/>
      <c r="AZ50" s="1046"/>
      <c r="BA50" s="1046"/>
    </row>
    <row r="51" spans="1:53" s="171" customFormat="1" ht="18.600000000000001" customHeight="1" thickBot="1">
      <c r="A51" s="1046"/>
      <c r="B51" s="1596"/>
      <c r="C51" s="1458"/>
      <c r="D51" s="3974"/>
      <c r="E51" s="3975"/>
      <c r="F51" s="3975"/>
      <c r="G51" s="3975"/>
      <c r="H51" s="3975"/>
      <c r="I51" s="3976"/>
      <c r="J51" s="3975"/>
      <c r="K51" s="3975"/>
      <c r="L51" s="3975"/>
      <c r="M51" s="3975"/>
      <c r="N51" s="3975"/>
      <c r="O51" s="3976"/>
      <c r="P51" s="771"/>
      <c r="Q51" s="771"/>
      <c r="R51" s="771"/>
      <c r="S51" s="771"/>
      <c r="T51" s="771"/>
      <c r="U51" s="771"/>
      <c r="V51" s="771"/>
      <c r="W51" s="771"/>
      <c r="X51" s="771"/>
      <c r="Y51" s="771"/>
      <c r="Z51" s="771"/>
      <c r="AA51" s="771"/>
      <c r="AB51" s="771"/>
      <c r="AC51" s="771"/>
      <c r="AD51" s="771"/>
      <c r="AE51" s="771"/>
      <c r="AF51" s="771"/>
      <c r="AG51" s="771"/>
      <c r="AH51" s="771"/>
      <c r="AI51" s="771"/>
      <c r="AJ51" s="771"/>
      <c r="AK51" s="771"/>
      <c r="AL51" s="1046"/>
      <c r="AM51" s="1046"/>
      <c r="AN51" s="1046"/>
      <c r="AO51" s="1597"/>
      <c r="AP51" s="1046"/>
      <c r="AQ51" s="1046"/>
      <c r="AR51" s="1046"/>
      <c r="AS51" s="1046"/>
      <c r="AT51" s="1046"/>
      <c r="AU51" s="1046"/>
      <c r="AV51" s="1046"/>
      <c r="AW51" s="1046"/>
      <c r="AX51" s="1046"/>
      <c r="AY51" s="1046"/>
      <c r="AZ51" s="1046"/>
      <c r="BA51" s="1046"/>
    </row>
    <row r="52" spans="1:53" s="171" customFormat="1" ht="24.6" customHeight="1" thickTop="1">
      <c r="A52" s="1046"/>
      <c r="B52" s="1596"/>
      <c r="C52" s="1458"/>
      <c r="D52" s="4107" t="s">
        <v>932</v>
      </c>
      <c r="E52" s="4108"/>
      <c r="F52" s="4108"/>
      <c r="G52" s="4108"/>
      <c r="H52" s="4108"/>
      <c r="I52" s="4109"/>
      <c r="J52" s="4110">
        <v>0</v>
      </c>
      <c r="K52" s="4110"/>
      <c r="L52" s="4110"/>
      <c r="M52" s="4110"/>
      <c r="N52" s="4110"/>
      <c r="O52" s="4111"/>
      <c r="P52" s="1467"/>
      <c r="Q52" s="1468"/>
      <c r="R52" s="1467"/>
      <c r="S52" s="1467"/>
      <c r="T52" s="1468"/>
      <c r="U52" s="1467"/>
      <c r="V52" s="1467"/>
      <c r="W52" s="1468"/>
      <c r="X52" s="1467"/>
      <c r="Y52" s="1467"/>
      <c r="Z52" s="1468"/>
      <c r="AA52" s="1467"/>
      <c r="AB52" s="1467"/>
      <c r="AC52" s="1468"/>
      <c r="AD52" s="1467"/>
      <c r="AE52" s="1467"/>
      <c r="AF52" s="1467"/>
      <c r="AG52" s="1468"/>
      <c r="AH52" s="1467"/>
      <c r="AI52" s="1467"/>
      <c r="AJ52" s="1468"/>
      <c r="AK52" s="1467"/>
      <c r="AL52" s="1046"/>
      <c r="AM52" s="1046"/>
      <c r="AN52" s="1046"/>
      <c r="AO52" s="1597"/>
      <c r="AP52" s="1046"/>
      <c r="AQ52" s="1046"/>
      <c r="AR52" s="1046"/>
      <c r="AS52" s="1046"/>
      <c r="AT52" s="1046"/>
      <c r="AU52" s="1046"/>
      <c r="AV52" s="1046"/>
      <c r="AW52" s="1046"/>
      <c r="AX52" s="1046"/>
      <c r="AY52" s="1046"/>
      <c r="AZ52" s="1046"/>
      <c r="BA52" s="1046"/>
    </row>
    <row r="53" spans="1:53" s="171" customFormat="1" ht="24.6" customHeight="1">
      <c r="A53" s="1046"/>
      <c r="B53" s="1596"/>
      <c r="C53" s="1458"/>
      <c r="D53" s="4092" t="s">
        <v>1614</v>
      </c>
      <c r="E53" s="4093"/>
      <c r="F53" s="4093"/>
      <c r="G53" s="4093"/>
      <c r="H53" s="4093"/>
      <c r="I53" s="4094"/>
      <c r="J53" s="3881">
        <v>0</v>
      </c>
      <c r="K53" s="3881"/>
      <c r="L53" s="3881"/>
      <c r="M53" s="3881"/>
      <c r="N53" s="3881"/>
      <c r="O53" s="3884"/>
      <c r="P53" s="1467"/>
      <c r="Q53" s="1468"/>
      <c r="R53" s="1467"/>
      <c r="S53" s="1467"/>
      <c r="T53" s="1468"/>
      <c r="U53" s="1467"/>
      <c r="V53" s="1467"/>
      <c r="W53" s="1468"/>
      <c r="X53" s="1467"/>
      <c r="Y53" s="1467"/>
      <c r="Z53" s="1468"/>
      <c r="AA53" s="1467"/>
      <c r="AB53" s="1467"/>
      <c r="AC53" s="1468"/>
      <c r="AD53" s="1467"/>
      <c r="AE53" s="1467"/>
      <c r="AF53" s="1467"/>
      <c r="AG53" s="1468"/>
      <c r="AH53" s="1467"/>
      <c r="AI53" s="1467"/>
      <c r="AJ53" s="1468"/>
      <c r="AK53" s="1467"/>
      <c r="AL53" s="1046"/>
      <c r="AM53" s="1046"/>
      <c r="AN53" s="1046"/>
      <c r="AO53" s="1597"/>
      <c r="AP53" s="1046"/>
      <c r="AQ53" s="1046"/>
      <c r="AR53" s="1046"/>
      <c r="AS53" s="1046"/>
      <c r="AT53" s="1046"/>
      <c r="AU53" s="1046"/>
      <c r="AV53" s="1046"/>
      <c r="AW53" s="1046"/>
      <c r="AX53" s="1046"/>
      <c r="AY53" s="1046"/>
      <c r="AZ53" s="1046"/>
      <c r="BA53" s="1046"/>
    </row>
    <row r="54" spans="1:53" s="171" customFormat="1" ht="24.6" customHeight="1" thickBot="1">
      <c r="A54" s="1046"/>
      <c r="B54" s="1596"/>
      <c r="C54" s="1458"/>
      <c r="D54" s="4095" t="s">
        <v>931</v>
      </c>
      <c r="E54" s="4096"/>
      <c r="F54" s="4096"/>
      <c r="G54" s="4096"/>
      <c r="H54" s="4096"/>
      <c r="I54" s="4097"/>
      <c r="J54" s="3876">
        <v>0</v>
      </c>
      <c r="K54" s="3876"/>
      <c r="L54" s="3876"/>
      <c r="M54" s="3876"/>
      <c r="N54" s="3876"/>
      <c r="O54" s="3879"/>
      <c r="P54" s="1467"/>
      <c r="Q54" s="1468"/>
      <c r="R54" s="1467"/>
      <c r="S54" s="1467"/>
      <c r="T54" s="1468"/>
      <c r="U54" s="1467"/>
      <c r="V54" s="1467"/>
      <c r="W54" s="1468"/>
      <c r="X54" s="1467"/>
      <c r="Y54" s="1467"/>
      <c r="Z54" s="1468"/>
      <c r="AA54" s="1467"/>
      <c r="AB54" s="1467"/>
      <c r="AC54" s="1468"/>
      <c r="AD54" s="1467"/>
      <c r="AE54" s="1467"/>
      <c r="AF54" s="1467"/>
      <c r="AG54" s="1468"/>
      <c r="AH54" s="1467"/>
      <c r="AI54" s="1467"/>
      <c r="AJ54" s="1468"/>
      <c r="AK54" s="1467"/>
      <c r="AL54" s="1046"/>
      <c r="AM54" s="1046"/>
      <c r="AN54" s="1046"/>
      <c r="AO54" s="1597"/>
      <c r="AP54" s="1046"/>
      <c r="AQ54" s="1046"/>
      <c r="AR54" s="1046"/>
      <c r="AS54" s="1046"/>
      <c r="AT54" s="1046"/>
      <c r="AU54" s="1046"/>
      <c r="AV54" s="1046"/>
      <c r="AW54" s="1046"/>
      <c r="AX54" s="1046"/>
      <c r="AY54" s="1046"/>
      <c r="AZ54" s="1046"/>
      <c r="BA54" s="1046"/>
    </row>
    <row r="55" spans="1:53" ht="9.9499999999999993" customHeight="1" thickTop="1" thickBot="1">
      <c r="A55" s="798"/>
      <c r="B55" s="1437"/>
      <c r="C55" s="1311"/>
      <c r="D55" s="1524"/>
      <c r="E55" s="1525"/>
      <c r="F55" s="1525"/>
      <c r="G55" s="1525"/>
      <c r="H55" s="1525"/>
      <c r="I55" s="1525"/>
      <c r="J55" s="1525"/>
      <c r="K55" s="1525"/>
      <c r="L55" s="1525"/>
      <c r="M55" s="1525"/>
      <c r="N55" s="1525"/>
      <c r="O55" s="1441"/>
      <c r="P55" s="1441"/>
      <c r="Q55" s="1441"/>
      <c r="R55" s="1441"/>
      <c r="S55" s="1441"/>
      <c r="T55" s="1441"/>
      <c r="U55" s="1441"/>
      <c r="V55" s="1441"/>
      <c r="W55" s="1441"/>
      <c r="X55" s="1441"/>
      <c r="Y55" s="1441"/>
      <c r="Z55" s="1441"/>
      <c r="AA55" s="1441"/>
      <c r="AB55" s="1441"/>
      <c r="AC55" s="1441"/>
      <c r="AD55" s="1441"/>
      <c r="AE55" s="1441"/>
      <c r="AF55" s="1441"/>
      <c r="AG55" s="1441"/>
      <c r="AH55" s="1441"/>
      <c r="AI55" s="1441"/>
      <c r="AJ55" s="1441"/>
      <c r="AK55" s="1441"/>
      <c r="AL55" s="1441"/>
      <c r="AM55" s="1441"/>
      <c r="AN55" s="1441"/>
      <c r="AO55" s="1442"/>
      <c r="AP55" s="798"/>
      <c r="AQ55" s="798"/>
      <c r="AR55" s="798"/>
      <c r="AS55" s="798"/>
      <c r="AT55" s="798"/>
      <c r="AU55" s="798"/>
      <c r="AV55" s="798"/>
      <c r="AW55" s="798"/>
      <c r="AX55" s="798"/>
      <c r="AY55" s="798"/>
      <c r="AZ55" s="798"/>
      <c r="BA55" s="798"/>
    </row>
    <row r="56" spans="1:53" ht="9.9499999999999993" customHeight="1" thickTop="1">
      <c r="A56" s="798"/>
      <c r="B56" s="1443"/>
      <c r="C56" s="1321"/>
      <c r="D56" s="799"/>
      <c r="E56" s="1444"/>
      <c r="F56" s="1444"/>
      <c r="G56" s="1444"/>
      <c r="H56" s="1444"/>
      <c r="I56" s="1444"/>
      <c r="J56" s="1444"/>
      <c r="K56" s="798"/>
      <c r="L56" s="798"/>
      <c r="M56" s="798"/>
      <c r="N56" s="798"/>
      <c r="O56" s="798"/>
      <c r="P56" s="798"/>
      <c r="Q56" s="798"/>
      <c r="R56" s="798"/>
      <c r="S56" s="798"/>
      <c r="T56" s="798"/>
      <c r="U56" s="798"/>
      <c r="V56" s="798"/>
      <c r="W56" s="798"/>
      <c r="X56" s="798"/>
      <c r="Y56" s="798"/>
      <c r="Z56" s="798"/>
      <c r="AA56" s="798"/>
      <c r="AB56" s="798"/>
      <c r="AC56" s="798"/>
      <c r="AD56" s="798"/>
      <c r="AE56" s="798"/>
      <c r="AF56" s="798"/>
      <c r="AG56" s="798"/>
      <c r="AH56" s="798"/>
      <c r="AI56" s="798"/>
      <c r="AJ56" s="798"/>
      <c r="AK56" s="798"/>
      <c r="AL56" s="798"/>
      <c r="AM56" s="798"/>
      <c r="AN56" s="798"/>
      <c r="AO56" s="798"/>
      <c r="AP56" s="798"/>
      <c r="AQ56" s="798"/>
      <c r="AR56" s="798"/>
      <c r="AS56" s="798"/>
      <c r="AT56" s="798"/>
      <c r="AU56" s="798"/>
      <c r="AV56" s="798"/>
      <c r="AW56" s="798"/>
      <c r="AX56" s="798"/>
      <c r="AY56" s="798"/>
      <c r="AZ56" s="798"/>
      <c r="BA56" s="798"/>
    </row>
    <row r="57" spans="1:53" s="51" customFormat="1" ht="17.25" customHeight="1">
      <c r="A57" s="238"/>
      <c r="B57" s="3778" t="s">
        <v>1940</v>
      </c>
      <c r="C57" s="3778"/>
      <c r="D57" s="3778"/>
      <c r="E57" s="3778"/>
      <c r="F57" s="3778"/>
      <c r="G57" s="3778"/>
      <c r="H57" s="3778"/>
      <c r="I57" s="3778"/>
      <c r="J57" s="3778"/>
      <c r="K57" s="3778"/>
      <c r="L57" s="3778"/>
      <c r="M57" s="3778"/>
      <c r="N57" s="3778"/>
      <c r="O57" s="3778"/>
      <c r="P57" s="3778"/>
      <c r="Q57" s="3778"/>
      <c r="R57" s="3778"/>
      <c r="S57" s="3778"/>
      <c r="T57" s="3778"/>
      <c r="U57" s="3778"/>
      <c r="V57" s="3778"/>
      <c r="W57" s="3778"/>
      <c r="X57" s="3778"/>
      <c r="Y57" s="3778"/>
      <c r="Z57" s="3778"/>
      <c r="AA57" s="3778"/>
      <c r="AB57" s="3778"/>
      <c r="AC57" s="3778"/>
      <c r="AD57" s="3778"/>
      <c r="AE57" s="238"/>
      <c r="AF57" s="238"/>
      <c r="AG57" s="238"/>
      <c r="AH57" s="238"/>
      <c r="AI57" s="238"/>
      <c r="AJ57" s="238"/>
      <c r="AK57" s="238"/>
      <c r="AL57" s="238"/>
      <c r="AM57" s="238"/>
      <c r="AN57" s="238"/>
      <c r="AO57" s="238"/>
      <c r="AP57" s="238"/>
      <c r="AQ57" s="238"/>
      <c r="AR57" s="238"/>
      <c r="AS57" s="238"/>
      <c r="AT57" s="238"/>
      <c r="AU57" s="238"/>
      <c r="AV57" s="238"/>
      <c r="AW57" s="238"/>
      <c r="AX57" s="238"/>
      <c r="AY57" s="238"/>
      <c r="AZ57" s="238"/>
      <c r="BA57" s="238"/>
    </row>
    <row r="58" spans="1:53" s="44" customFormat="1" ht="30.75" customHeight="1">
      <c r="A58" s="434"/>
      <c r="B58" s="434"/>
      <c r="C58" s="434"/>
      <c r="D58" s="434"/>
      <c r="E58" s="434"/>
      <c r="F58" s="434"/>
      <c r="G58" s="434"/>
      <c r="H58" s="434"/>
      <c r="I58" s="434"/>
      <c r="J58" s="434"/>
      <c r="K58" s="434"/>
      <c r="L58" s="434"/>
      <c r="M58" s="434"/>
      <c r="N58" s="434"/>
      <c r="O58" s="434"/>
      <c r="P58" s="434"/>
      <c r="Q58" s="434"/>
      <c r="R58" s="434"/>
      <c r="S58" s="434"/>
      <c r="T58" s="434"/>
      <c r="U58" s="434"/>
      <c r="V58" s="434"/>
      <c r="W58" s="434"/>
      <c r="X58" s="434"/>
      <c r="Y58" s="434"/>
      <c r="Z58" s="434"/>
      <c r="AA58" s="434"/>
      <c r="AB58" s="434"/>
      <c r="AC58" s="434"/>
      <c r="AD58" s="434"/>
      <c r="AE58" s="434"/>
      <c r="AF58" s="434"/>
      <c r="AG58" s="434"/>
      <c r="AH58" s="434"/>
      <c r="AI58" s="434"/>
      <c r="AJ58" s="434"/>
      <c r="AK58" s="434"/>
      <c r="AL58" s="434"/>
      <c r="AM58" s="434"/>
      <c r="AN58" s="434"/>
      <c r="AO58" s="434"/>
      <c r="AP58" s="434"/>
      <c r="AQ58" s="434"/>
      <c r="AR58" s="434"/>
      <c r="AS58" s="434"/>
      <c r="AT58" s="434"/>
      <c r="AU58" s="434"/>
      <c r="AV58" s="434"/>
      <c r="AW58" s="434"/>
      <c r="AX58" s="434"/>
      <c r="AY58" s="434"/>
      <c r="AZ58" s="434"/>
      <c r="BA58" s="434"/>
    </row>
    <row r="59" spans="1:53" s="37" customFormat="1" ht="15">
      <c r="A59" s="263"/>
      <c r="B59" s="332" t="s">
        <v>32</v>
      </c>
      <c r="C59" s="263"/>
      <c r="D59" s="263"/>
      <c r="E59" s="263"/>
      <c r="F59" s="263"/>
      <c r="G59" s="263"/>
      <c r="H59" s="263"/>
      <c r="I59" s="263"/>
      <c r="J59" s="263"/>
      <c r="K59" s="263"/>
      <c r="L59" s="263"/>
      <c r="M59" s="263"/>
      <c r="N59" s="263"/>
      <c r="O59" s="263"/>
      <c r="P59" s="332" t="s">
        <v>856</v>
      </c>
      <c r="Q59" s="263"/>
      <c r="R59" s="263"/>
      <c r="S59" s="263"/>
      <c r="T59" s="263"/>
      <c r="U59" s="263"/>
      <c r="V59" s="263"/>
      <c r="W59" s="263"/>
      <c r="X59" s="263"/>
      <c r="Y59" s="263"/>
      <c r="Z59" s="263"/>
      <c r="AA59" s="263"/>
      <c r="AB59" s="263"/>
      <c r="AC59" s="263"/>
      <c r="AD59" s="332" t="s">
        <v>33</v>
      </c>
      <c r="AE59" s="263"/>
      <c r="AF59" s="263"/>
      <c r="AG59" s="263"/>
      <c r="AH59" s="263"/>
      <c r="AI59" s="263"/>
      <c r="AJ59" s="263"/>
      <c r="AK59" s="263"/>
      <c r="AL59" s="263"/>
      <c r="AM59" s="263"/>
      <c r="AN59" s="263"/>
      <c r="AO59" s="263"/>
      <c r="AP59" s="263"/>
      <c r="AQ59" s="263"/>
      <c r="AR59" s="263"/>
      <c r="AS59" s="263"/>
      <c r="AT59" s="263"/>
      <c r="AU59" s="263"/>
      <c r="AV59" s="263"/>
      <c r="AW59" s="263"/>
      <c r="AX59" s="263"/>
      <c r="AY59" s="263"/>
      <c r="AZ59" s="263"/>
      <c r="BA59" s="263"/>
    </row>
    <row r="60" spans="1:53" s="37" customFormat="1" ht="21.75" customHeight="1">
      <c r="A60" s="263"/>
      <c r="B60" s="332" t="s">
        <v>75</v>
      </c>
      <c r="C60" s="263"/>
      <c r="D60" s="263"/>
      <c r="E60" s="263"/>
      <c r="F60" s="2790" t="str">
        <f>activesheet!E21</f>
        <v>MELCHESIEDICK Q. BOLANIO / March 17, 2023</v>
      </c>
      <c r="G60" s="2790"/>
      <c r="H60" s="2790"/>
      <c r="I60" s="2790"/>
      <c r="J60" s="2790"/>
      <c r="K60" s="2790"/>
      <c r="L60" s="2790"/>
      <c r="M60" s="2790"/>
      <c r="N60" s="263"/>
      <c r="O60" s="263"/>
      <c r="P60" s="2790" t="str">
        <f>activesheet!E3344</f>
        <v>ELYN KENDRA D. DELA CRUZ / March 17, 2023</v>
      </c>
      <c r="Q60" s="2790"/>
      <c r="R60" s="2790"/>
      <c r="S60" s="2790"/>
      <c r="T60" s="2790"/>
      <c r="U60" s="2790"/>
      <c r="V60" s="2790"/>
      <c r="W60" s="2790"/>
      <c r="X60" s="2790"/>
      <c r="Y60" s="2790"/>
      <c r="Z60" s="2790"/>
      <c r="AA60" s="2790"/>
      <c r="AB60" s="263"/>
      <c r="AC60" s="263"/>
      <c r="AD60" s="3784" t="str">
        <f>activesheet!E25</f>
        <v>MICHAEL T. JAMIS / March 17, 2023</v>
      </c>
      <c r="AE60" s="3784"/>
      <c r="AF60" s="3784"/>
      <c r="AG60" s="3784"/>
      <c r="AH60" s="3784"/>
      <c r="AI60" s="3784"/>
      <c r="AJ60" s="3784"/>
      <c r="AK60" s="3784"/>
      <c r="AL60" s="3784"/>
      <c r="AM60" s="3784"/>
      <c r="AN60" s="3784"/>
      <c r="AO60" s="3784"/>
      <c r="AP60" s="263"/>
      <c r="AQ60" s="263"/>
      <c r="AR60" s="263"/>
      <c r="AS60" s="263"/>
      <c r="AT60" s="263"/>
      <c r="AU60" s="263"/>
      <c r="AV60" s="263"/>
      <c r="AW60" s="263"/>
      <c r="AX60" s="263"/>
      <c r="AY60" s="263"/>
      <c r="AZ60" s="263"/>
      <c r="BA60" s="263"/>
    </row>
    <row r="61" spans="1:53" s="39" customFormat="1" ht="14.1" customHeight="1">
      <c r="A61" s="280"/>
      <c r="B61" s="228"/>
      <c r="C61" s="280"/>
      <c r="D61" s="280"/>
      <c r="E61" s="280"/>
      <c r="F61" s="1807" t="s">
        <v>37</v>
      </c>
      <c r="G61" s="1807"/>
      <c r="H61" s="1807"/>
      <c r="I61" s="1807"/>
      <c r="J61" s="1807"/>
      <c r="K61" s="1807"/>
      <c r="L61" s="1807"/>
      <c r="M61" s="1807"/>
      <c r="N61" s="322"/>
      <c r="O61" s="322"/>
      <c r="P61" s="1807" t="s">
        <v>37</v>
      </c>
      <c r="Q61" s="1807"/>
      <c r="R61" s="1807"/>
      <c r="S61" s="1807"/>
      <c r="T61" s="1807"/>
      <c r="U61" s="1807"/>
      <c r="V61" s="1807"/>
      <c r="W61" s="1807"/>
      <c r="X61" s="1807"/>
      <c r="Y61" s="1807"/>
      <c r="Z61" s="1807"/>
      <c r="AA61" s="1807"/>
      <c r="AB61" s="322"/>
      <c r="AC61" s="322"/>
      <c r="AD61" s="3785"/>
      <c r="AE61" s="3785"/>
      <c r="AF61" s="3785"/>
      <c r="AG61" s="3785"/>
      <c r="AH61" s="3785"/>
      <c r="AI61" s="3785"/>
      <c r="AJ61" s="3785"/>
      <c r="AK61" s="3785"/>
      <c r="AL61" s="3785"/>
      <c r="AM61" s="3785"/>
      <c r="AN61" s="3785"/>
      <c r="AO61" s="3785"/>
      <c r="AP61" s="280"/>
      <c r="AQ61" s="280"/>
      <c r="AR61" s="280"/>
      <c r="AS61" s="280"/>
      <c r="AT61" s="280"/>
      <c r="AU61" s="280"/>
      <c r="AV61" s="280"/>
      <c r="AW61" s="280"/>
      <c r="AX61" s="280"/>
      <c r="AY61" s="280"/>
      <c r="AZ61" s="280"/>
      <c r="BA61" s="280"/>
    </row>
    <row r="62" spans="1:53" s="37" customFormat="1" ht="21.75" customHeight="1">
      <c r="A62" s="263"/>
      <c r="B62" s="332" t="s">
        <v>58</v>
      </c>
      <c r="C62" s="263"/>
      <c r="D62" s="263"/>
      <c r="E62" s="263"/>
      <c r="F62" s="2790" t="str">
        <f>activesheet!E22</f>
        <v>SECONDARY SCHOOL PRINCIPAL IV</v>
      </c>
      <c r="G62" s="2790"/>
      <c r="H62" s="2790"/>
      <c r="I62" s="2790"/>
      <c r="J62" s="2790"/>
      <c r="K62" s="2790"/>
      <c r="L62" s="2790"/>
      <c r="M62" s="2790"/>
      <c r="N62" s="263"/>
      <c r="O62" s="263"/>
      <c r="P62" s="332" t="s">
        <v>58</v>
      </c>
      <c r="Q62" s="263"/>
      <c r="R62" s="263"/>
      <c r="S62" s="263"/>
      <c r="T62" s="263"/>
      <c r="U62" s="263"/>
      <c r="V62" s="2790" t="str">
        <f>activesheet!E3345</f>
        <v>PROJECT DEVELOPMENT OFFICER II</v>
      </c>
      <c r="W62" s="2790"/>
      <c r="X62" s="2790"/>
      <c r="Y62" s="2790"/>
      <c r="Z62" s="2790"/>
      <c r="AA62" s="2790"/>
      <c r="AB62" s="263"/>
      <c r="AC62" s="263"/>
      <c r="AD62" s="1807" t="s">
        <v>37</v>
      </c>
      <c r="AE62" s="1807"/>
      <c r="AF62" s="1807"/>
      <c r="AG62" s="1807"/>
      <c r="AH62" s="1807"/>
      <c r="AI62" s="1807"/>
      <c r="AJ62" s="1807"/>
      <c r="AK62" s="1807"/>
      <c r="AL62" s="1807"/>
      <c r="AM62" s="1807"/>
      <c r="AN62" s="1807"/>
      <c r="AO62" s="1807"/>
      <c r="AP62" s="263"/>
      <c r="AQ62" s="263"/>
      <c r="AR62" s="263"/>
      <c r="AS62" s="263"/>
      <c r="AT62" s="263"/>
      <c r="AU62" s="263"/>
      <c r="AV62" s="263"/>
      <c r="AW62" s="263"/>
      <c r="AX62" s="263"/>
      <c r="AY62" s="263"/>
      <c r="AZ62" s="263"/>
      <c r="BA62" s="263"/>
    </row>
    <row r="63" spans="1:53">
      <c r="A63" s="798"/>
      <c r="B63" s="798"/>
      <c r="C63" s="798"/>
      <c r="D63" s="798"/>
      <c r="E63" s="798"/>
      <c r="F63" s="798"/>
      <c r="G63" s="798"/>
      <c r="H63" s="798"/>
      <c r="I63" s="798"/>
      <c r="J63" s="798"/>
      <c r="K63" s="798"/>
      <c r="L63" s="798"/>
      <c r="M63" s="798"/>
      <c r="N63" s="434"/>
      <c r="O63" s="434"/>
      <c r="P63" s="798"/>
      <c r="Q63" s="798"/>
      <c r="R63" s="798"/>
      <c r="S63" s="798"/>
      <c r="T63" s="798"/>
      <c r="U63" s="798"/>
      <c r="V63" s="798"/>
      <c r="W63" s="798"/>
      <c r="X63" s="798"/>
      <c r="Y63" s="798"/>
      <c r="Z63" s="798"/>
      <c r="AA63" s="798"/>
      <c r="AB63" s="798"/>
      <c r="AC63" s="798"/>
      <c r="AD63" s="798"/>
      <c r="AE63" s="798"/>
      <c r="AF63" s="798"/>
      <c r="AG63" s="798"/>
      <c r="AH63" s="798"/>
      <c r="AI63" s="798"/>
      <c r="AJ63" s="798"/>
      <c r="AK63" s="798"/>
      <c r="AL63" s="798"/>
      <c r="AM63" s="798"/>
      <c r="AN63" s="798"/>
      <c r="AO63" s="798"/>
      <c r="AP63" s="798"/>
      <c r="AQ63" s="798"/>
      <c r="AR63" s="798"/>
      <c r="AS63" s="798"/>
      <c r="AT63" s="798"/>
      <c r="AU63" s="798"/>
      <c r="AV63" s="798"/>
      <c r="AW63" s="798"/>
      <c r="AX63" s="798"/>
      <c r="AY63" s="798"/>
      <c r="AZ63" s="798"/>
      <c r="BA63" s="798"/>
    </row>
    <row r="64" spans="1:53">
      <c r="A64" s="798"/>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c r="AH64" s="799"/>
      <c r="AI64" s="799"/>
      <c r="AJ64" s="799"/>
      <c r="AK64" s="799"/>
      <c r="AL64" s="799"/>
      <c r="AM64" s="799"/>
      <c r="AN64" s="799"/>
      <c r="AO64" s="798"/>
      <c r="AP64" s="798"/>
      <c r="AQ64" s="798"/>
      <c r="AR64" s="798"/>
      <c r="AS64" s="798"/>
      <c r="AT64" s="798"/>
      <c r="AU64" s="798"/>
      <c r="AV64" s="798"/>
      <c r="AW64" s="798"/>
      <c r="AX64" s="798"/>
      <c r="AY64" s="798"/>
      <c r="AZ64" s="798"/>
      <c r="BA64" s="798"/>
    </row>
    <row r="65" spans="1:53">
      <c r="A65" s="798"/>
      <c r="B65" s="799"/>
      <c r="C65" s="799"/>
      <c r="D65" s="799"/>
      <c r="E65" s="799"/>
      <c r="F65" s="799"/>
      <c r="G65" s="799"/>
      <c r="H65" s="799"/>
      <c r="I65" s="799"/>
      <c r="J65" s="799"/>
      <c r="K65" s="799"/>
      <c r="L65" s="799"/>
      <c r="M65" s="799"/>
      <c r="N65" s="799"/>
      <c r="O65" s="799"/>
      <c r="P65" s="799"/>
      <c r="Q65" s="799"/>
      <c r="R65" s="799"/>
      <c r="S65" s="799"/>
      <c r="T65" s="799"/>
      <c r="U65" s="799"/>
      <c r="V65" s="799"/>
      <c r="W65" s="799"/>
      <c r="X65" s="799"/>
      <c r="Y65" s="799"/>
      <c r="Z65" s="799"/>
      <c r="AA65" s="799"/>
      <c r="AB65" s="799"/>
      <c r="AC65" s="799"/>
      <c r="AD65" s="799"/>
      <c r="AE65" s="799"/>
      <c r="AF65" s="799"/>
      <c r="AG65" s="799"/>
      <c r="AH65" s="799"/>
      <c r="AI65" s="799"/>
      <c r="AJ65" s="799"/>
      <c r="AK65" s="799"/>
      <c r="AL65" s="799"/>
      <c r="AM65" s="799"/>
      <c r="AN65" s="799"/>
      <c r="AO65" s="798"/>
      <c r="AP65" s="798"/>
      <c r="AQ65" s="798"/>
      <c r="AR65" s="798"/>
      <c r="AS65" s="798"/>
      <c r="AT65" s="798"/>
      <c r="AU65" s="798"/>
      <c r="AV65" s="798"/>
      <c r="AW65" s="798"/>
      <c r="AX65" s="798"/>
      <c r="AY65" s="798"/>
      <c r="AZ65" s="798"/>
      <c r="BA65" s="798"/>
    </row>
    <row r="66" spans="1:53">
      <c r="A66" s="798"/>
      <c r="B66" s="799"/>
      <c r="C66" s="799"/>
      <c r="D66" s="799"/>
      <c r="E66" s="799"/>
      <c r="F66" s="799"/>
      <c r="G66" s="799"/>
      <c r="H66" s="799"/>
      <c r="I66" s="799"/>
      <c r="J66" s="799"/>
      <c r="K66" s="799"/>
      <c r="L66" s="799"/>
      <c r="M66" s="799"/>
      <c r="N66" s="799"/>
      <c r="O66" s="799"/>
      <c r="P66" s="799"/>
      <c r="Q66" s="799"/>
      <c r="R66" s="799"/>
      <c r="S66" s="799"/>
      <c r="T66" s="799"/>
      <c r="U66" s="799"/>
      <c r="V66" s="799"/>
      <c r="W66" s="799"/>
      <c r="X66" s="799"/>
      <c r="Y66" s="799"/>
      <c r="Z66" s="799"/>
      <c r="AA66" s="799"/>
      <c r="AB66" s="799"/>
      <c r="AC66" s="799"/>
      <c r="AD66" s="799"/>
      <c r="AE66" s="799"/>
      <c r="AF66" s="799"/>
      <c r="AG66" s="799"/>
      <c r="AH66" s="799"/>
      <c r="AI66" s="799"/>
      <c r="AJ66" s="799"/>
      <c r="AK66" s="799"/>
      <c r="AL66" s="799"/>
      <c r="AM66" s="799"/>
      <c r="AN66" s="799"/>
      <c r="AO66" s="798"/>
      <c r="AP66" s="798"/>
      <c r="AQ66" s="798"/>
      <c r="AR66" s="798"/>
      <c r="AS66" s="798"/>
      <c r="AT66" s="798"/>
      <c r="AU66" s="798"/>
      <c r="AV66" s="798"/>
      <c r="AW66" s="798"/>
      <c r="AX66" s="798"/>
      <c r="AY66" s="798"/>
      <c r="AZ66" s="798"/>
      <c r="BA66" s="798"/>
    </row>
    <row r="67" spans="1:53">
      <c r="A67" s="798"/>
      <c r="B67" s="799"/>
      <c r="C67" s="799"/>
      <c r="D67" s="799"/>
      <c r="E67" s="799"/>
      <c r="F67" s="799"/>
      <c r="G67" s="799"/>
      <c r="H67" s="799"/>
      <c r="I67" s="799"/>
      <c r="J67" s="799"/>
      <c r="K67" s="799"/>
      <c r="L67" s="799"/>
      <c r="M67" s="799"/>
      <c r="N67" s="799"/>
      <c r="O67" s="799"/>
      <c r="P67" s="799"/>
      <c r="Q67" s="799"/>
      <c r="R67" s="799"/>
      <c r="S67" s="799"/>
      <c r="T67" s="799"/>
      <c r="U67" s="799"/>
      <c r="V67" s="799"/>
      <c r="W67" s="799"/>
      <c r="X67" s="799"/>
      <c r="Y67" s="799"/>
      <c r="Z67" s="799"/>
      <c r="AA67" s="799"/>
      <c r="AB67" s="799"/>
      <c r="AC67" s="799"/>
      <c r="AD67" s="799"/>
      <c r="AE67" s="799"/>
      <c r="AF67" s="799"/>
      <c r="AG67" s="799"/>
      <c r="AH67" s="799"/>
      <c r="AI67" s="799"/>
      <c r="AJ67" s="799"/>
      <c r="AK67" s="799"/>
      <c r="AL67" s="799"/>
      <c r="AM67" s="799"/>
      <c r="AN67" s="799"/>
      <c r="AO67" s="798"/>
      <c r="AP67" s="798"/>
      <c r="AQ67" s="798"/>
      <c r="AR67" s="798"/>
      <c r="AS67" s="798"/>
      <c r="AT67" s="798"/>
      <c r="AU67" s="798"/>
      <c r="AV67" s="798"/>
      <c r="AW67" s="798"/>
      <c r="AX67" s="798"/>
      <c r="AY67" s="798"/>
      <c r="AZ67" s="798"/>
      <c r="BA67" s="798"/>
    </row>
    <row r="68" spans="1:53">
      <c r="A68" s="798"/>
      <c r="B68" s="799"/>
      <c r="C68" s="799"/>
      <c r="D68" s="799"/>
      <c r="E68" s="799"/>
      <c r="F68" s="799"/>
      <c r="G68" s="799"/>
      <c r="H68" s="799"/>
      <c r="I68" s="799"/>
      <c r="J68" s="799"/>
      <c r="K68" s="799"/>
      <c r="L68" s="799"/>
      <c r="M68" s="799"/>
      <c r="N68" s="799"/>
      <c r="O68" s="799"/>
      <c r="P68" s="799"/>
      <c r="Q68" s="799"/>
      <c r="R68" s="799"/>
      <c r="S68" s="799"/>
      <c r="T68" s="799"/>
      <c r="U68" s="799"/>
      <c r="V68" s="799"/>
      <c r="W68" s="799"/>
      <c r="X68" s="799"/>
      <c r="Y68" s="799"/>
      <c r="Z68" s="799"/>
      <c r="AA68" s="799"/>
      <c r="AB68" s="799"/>
      <c r="AC68" s="799"/>
      <c r="AD68" s="799"/>
      <c r="AE68" s="799"/>
      <c r="AF68" s="799"/>
      <c r="AG68" s="799"/>
      <c r="AH68" s="799"/>
      <c r="AI68" s="799"/>
      <c r="AJ68" s="799"/>
      <c r="AK68" s="799"/>
      <c r="AL68" s="799"/>
      <c r="AM68" s="799"/>
      <c r="AN68" s="799"/>
      <c r="AO68" s="798"/>
      <c r="AP68" s="798"/>
      <c r="AQ68" s="798"/>
      <c r="AR68" s="798"/>
      <c r="AS68" s="798"/>
      <c r="AT68" s="798"/>
      <c r="AU68" s="798"/>
      <c r="AV68" s="798"/>
      <c r="AW68" s="798"/>
      <c r="AX68" s="798"/>
      <c r="AY68" s="798"/>
      <c r="AZ68" s="798"/>
      <c r="BA68" s="798"/>
    </row>
    <row r="69" spans="1:53">
      <c r="A69" s="798"/>
      <c r="B69" s="799"/>
      <c r="C69" s="799"/>
      <c r="D69" s="799"/>
      <c r="E69" s="799"/>
      <c r="F69" s="799"/>
      <c r="G69" s="799"/>
      <c r="H69" s="799"/>
      <c r="I69" s="799"/>
      <c r="J69" s="799"/>
      <c r="K69" s="799"/>
      <c r="L69" s="799"/>
      <c r="M69" s="799"/>
      <c r="N69" s="799"/>
      <c r="O69" s="799"/>
      <c r="P69" s="799"/>
      <c r="Q69" s="799"/>
      <c r="R69" s="799"/>
      <c r="S69" s="799"/>
      <c r="T69" s="799"/>
      <c r="U69" s="799"/>
      <c r="V69" s="799"/>
      <c r="W69" s="799"/>
      <c r="X69" s="799"/>
      <c r="Y69" s="799"/>
      <c r="Z69" s="799"/>
      <c r="AA69" s="799"/>
      <c r="AB69" s="799"/>
      <c r="AC69" s="799"/>
      <c r="AD69" s="799"/>
      <c r="AE69" s="799"/>
      <c r="AF69" s="799"/>
      <c r="AG69" s="799"/>
      <c r="AH69" s="799"/>
      <c r="AI69" s="799"/>
      <c r="AJ69" s="799"/>
      <c r="AK69" s="799"/>
      <c r="AL69" s="799"/>
      <c r="AM69" s="799"/>
      <c r="AN69" s="799"/>
      <c r="AO69" s="798"/>
      <c r="AP69" s="798"/>
      <c r="AQ69" s="798"/>
      <c r="AR69" s="798"/>
      <c r="AS69" s="798"/>
      <c r="AT69" s="798"/>
      <c r="AU69" s="798"/>
      <c r="AV69" s="798"/>
      <c r="AW69" s="798"/>
      <c r="AX69" s="798"/>
      <c r="AY69" s="798"/>
      <c r="AZ69" s="798"/>
      <c r="BA69" s="798"/>
    </row>
    <row r="70" spans="1:53">
      <c r="A70" s="798"/>
      <c r="B70" s="799"/>
      <c r="C70" s="799"/>
      <c r="D70" s="799"/>
      <c r="E70" s="799"/>
      <c r="F70" s="799"/>
      <c r="G70" s="799"/>
      <c r="H70" s="799"/>
      <c r="I70" s="799"/>
      <c r="J70" s="799"/>
      <c r="K70" s="799"/>
      <c r="L70" s="799"/>
      <c r="M70" s="799"/>
      <c r="N70" s="799"/>
      <c r="O70" s="799"/>
      <c r="P70" s="799"/>
      <c r="Q70" s="799"/>
      <c r="R70" s="799"/>
      <c r="S70" s="799"/>
      <c r="T70" s="799"/>
      <c r="U70" s="799"/>
      <c r="V70" s="799"/>
      <c r="W70" s="799"/>
      <c r="X70" s="799"/>
      <c r="Y70" s="799"/>
      <c r="Z70" s="799"/>
      <c r="AA70" s="799"/>
      <c r="AB70" s="799"/>
      <c r="AC70" s="799"/>
      <c r="AD70" s="799"/>
      <c r="AE70" s="799"/>
      <c r="AF70" s="799"/>
      <c r="AG70" s="799"/>
      <c r="AH70" s="799"/>
      <c r="AI70" s="799"/>
      <c r="AJ70" s="799"/>
      <c r="AK70" s="799"/>
      <c r="AL70" s="799"/>
      <c r="AM70" s="799"/>
      <c r="AN70" s="799"/>
      <c r="AO70" s="798"/>
      <c r="AP70" s="798"/>
      <c r="AQ70" s="798"/>
      <c r="AR70" s="798"/>
      <c r="AS70" s="798"/>
      <c r="AT70" s="798"/>
      <c r="AU70" s="798"/>
      <c r="AV70" s="798"/>
      <c r="AW70" s="798"/>
      <c r="AX70" s="798"/>
      <c r="AY70" s="798"/>
      <c r="AZ70" s="798"/>
      <c r="BA70" s="798"/>
    </row>
    <row r="71" spans="1:53">
      <c r="A71" s="798"/>
      <c r="B71" s="799"/>
      <c r="C71" s="799"/>
      <c r="D71" s="799"/>
      <c r="E71" s="799"/>
      <c r="F71" s="799"/>
      <c r="G71" s="799"/>
      <c r="H71" s="799"/>
      <c r="I71" s="799"/>
      <c r="J71" s="799"/>
      <c r="K71" s="799"/>
      <c r="L71" s="799"/>
      <c r="M71" s="799"/>
      <c r="N71" s="799"/>
      <c r="O71" s="799"/>
      <c r="P71" s="799"/>
      <c r="Q71" s="799"/>
      <c r="R71" s="799"/>
      <c r="S71" s="799"/>
      <c r="T71" s="799"/>
      <c r="U71" s="799"/>
      <c r="V71" s="799"/>
      <c r="W71" s="799"/>
      <c r="X71" s="799"/>
      <c r="Y71" s="799"/>
      <c r="Z71" s="799"/>
      <c r="AA71" s="799"/>
      <c r="AB71" s="799"/>
      <c r="AC71" s="799"/>
      <c r="AD71" s="799"/>
      <c r="AE71" s="799"/>
      <c r="AF71" s="799"/>
      <c r="AG71" s="799"/>
      <c r="AH71" s="799"/>
      <c r="AI71" s="799"/>
      <c r="AJ71" s="799"/>
      <c r="AK71" s="799"/>
      <c r="AL71" s="799"/>
      <c r="AM71" s="799"/>
      <c r="AN71" s="799"/>
      <c r="AO71" s="798"/>
      <c r="AP71" s="798"/>
      <c r="AQ71" s="798"/>
      <c r="AR71" s="798"/>
      <c r="AS71" s="798"/>
      <c r="AT71" s="798"/>
      <c r="AU71" s="798"/>
      <c r="AV71" s="798"/>
      <c r="AW71" s="798"/>
      <c r="AX71" s="798"/>
      <c r="AY71" s="798"/>
      <c r="AZ71" s="798"/>
      <c r="BA71" s="798"/>
    </row>
    <row r="72" spans="1:53">
      <c r="A72" s="798"/>
      <c r="B72" s="799"/>
      <c r="C72" s="799"/>
      <c r="D72" s="799"/>
      <c r="E72" s="799"/>
      <c r="F72" s="799"/>
      <c r="G72" s="799"/>
      <c r="H72" s="799"/>
      <c r="I72" s="799"/>
      <c r="J72" s="799"/>
      <c r="K72" s="799"/>
      <c r="L72" s="799"/>
      <c r="M72" s="799"/>
      <c r="N72" s="799"/>
      <c r="O72" s="799"/>
      <c r="P72" s="799"/>
      <c r="Q72" s="799"/>
      <c r="R72" s="799"/>
      <c r="S72" s="799"/>
      <c r="T72" s="799"/>
      <c r="U72" s="799"/>
      <c r="V72" s="799"/>
      <c r="W72" s="799"/>
      <c r="X72" s="799"/>
      <c r="Y72" s="799"/>
      <c r="Z72" s="799"/>
      <c r="AA72" s="799"/>
      <c r="AB72" s="799"/>
      <c r="AC72" s="799"/>
      <c r="AD72" s="799"/>
      <c r="AE72" s="799"/>
      <c r="AF72" s="799"/>
      <c r="AG72" s="799"/>
      <c r="AH72" s="799"/>
      <c r="AI72" s="799"/>
      <c r="AJ72" s="799"/>
      <c r="AK72" s="799"/>
      <c r="AL72" s="799"/>
      <c r="AM72" s="799"/>
      <c r="AN72" s="799"/>
      <c r="AO72" s="798"/>
      <c r="AP72" s="798"/>
      <c r="AQ72" s="798"/>
      <c r="AR72" s="798"/>
      <c r="AS72" s="798"/>
      <c r="AT72" s="798"/>
      <c r="AU72" s="798"/>
      <c r="AV72" s="798"/>
      <c r="AW72" s="798"/>
      <c r="AX72" s="798"/>
      <c r="AY72" s="798"/>
      <c r="AZ72" s="798"/>
      <c r="BA72" s="798"/>
    </row>
    <row r="73" spans="1:53">
      <c r="A73" s="798"/>
      <c r="B73" s="799"/>
      <c r="C73" s="799"/>
      <c r="D73" s="799"/>
      <c r="E73" s="799"/>
      <c r="F73" s="799"/>
      <c r="G73" s="799"/>
      <c r="H73" s="799"/>
      <c r="I73" s="799"/>
      <c r="J73" s="799"/>
      <c r="K73" s="799"/>
      <c r="L73" s="799"/>
      <c r="M73" s="799"/>
      <c r="N73" s="799"/>
      <c r="O73" s="799"/>
      <c r="P73" s="799"/>
      <c r="Q73" s="799"/>
      <c r="R73" s="799"/>
      <c r="S73" s="799"/>
      <c r="T73" s="799"/>
      <c r="U73" s="799"/>
      <c r="V73" s="799"/>
      <c r="W73" s="799"/>
      <c r="X73" s="799"/>
      <c r="Y73" s="799"/>
      <c r="Z73" s="799"/>
      <c r="AA73" s="799"/>
      <c r="AB73" s="799"/>
      <c r="AC73" s="799"/>
      <c r="AD73" s="799"/>
      <c r="AE73" s="799"/>
      <c r="AF73" s="799"/>
      <c r="AG73" s="799"/>
      <c r="AH73" s="799"/>
      <c r="AI73" s="799"/>
      <c r="AJ73" s="799"/>
      <c r="AK73" s="799"/>
      <c r="AL73" s="799"/>
      <c r="AM73" s="799"/>
      <c r="AN73" s="799"/>
      <c r="AO73" s="798"/>
      <c r="AP73" s="798"/>
      <c r="AQ73" s="798"/>
      <c r="AR73" s="798"/>
      <c r="AS73" s="798"/>
      <c r="AT73" s="798"/>
      <c r="AU73" s="798"/>
      <c r="AV73" s="798"/>
      <c r="AW73" s="798"/>
      <c r="AX73" s="798"/>
      <c r="AY73" s="798"/>
      <c r="AZ73" s="798"/>
      <c r="BA73" s="798"/>
    </row>
    <row r="74" spans="1:53">
      <c r="A74" s="798"/>
      <c r="B74" s="799"/>
      <c r="C74" s="799"/>
      <c r="D74" s="799"/>
      <c r="E74" s="799"/>
      <c r="F74" s="799"/>
      <c r="G74" s="799"/>
      <c r="H74" s="799"/>
      <c r="I74" s="799"/>
      <c r="J74" s="799"/>
      <c r="K74" s="799"/>
      <c r="L74" s="799"/>
      <c r="M74" s="799"/>
      <c r="N74" s="799"/>
      <c r="O74" s="799"/>
      <c r="P74" s="799"/>
      <c r="Q74" s="799"/>
      <c r="R74" s="799"/>
      <c r="S74" s="799"/>
      <c r="T74" s="799"/>
      <c r="U74" s="799"/>
      <c r="V74" s="799"/>
      <c r="W74" s="799"/>
      <c r="X74" s="799"/>
      <c r="Y74" s="799"/>
      <c r="Z74" s="799"/>
      <c r="AA74" s="799"/>
      <c r="AB74" s="799"/>
      <c r="AC74" s="799"/>
      <c r="AD74" s="799"/>
      <c r="AE74" s="799"/>
      <c r="AF74" s="799"/>
      <c r="AG74" s="799"/>
      <c r="AH74" s="799"/>
      <c r="AI74" s="799"/>
      <c r="AJ74" s="799"/>
      <c r="AK74" s="799"/>
      <c r="AL74" s="799"/>
      <c r="AM74" s="799"/>
      <c r="AN74" s="799"/>
      <c r="AO74" s="798"/>
      <c r="AP74" s="798"/>
      <c r="AQ74" s="798"/>
      <c r="AR74" s="798"/>
      <c r="AS74" s="798"/>
      <c r="AT74" s="798"/>
      <c r="AU74" s="798"/>
      <c r="AV74" s="798"/>
      <c r="AW74" s="798"/>
      <c r="AX74" s="798"/>
      <c r="AY74" s="798"/>
      <c r="AZ74" s="798"/>
      <c r="BA74" s="798"/>
    </row>
    <row r="75" spans="1:53">
      <c r="A75" s="798"/>
      <c r="B75" s="799"/>
      <c r="C75" s="799"/>
      <c r="D75" s="799"/>
      <c r="E75" s="799"/>
      <c r="F75" s="799"/>
      <c r="G75" s="799"/>
      <c r="H75" s="799"/>
      <c r="I75" s="799"/>
      <c r="J75" s="799"/>
      <c r="K75" s="799"/>
      <c r="L75" s="799"/>
      <c r="M75" s="799"/>
      <c r="N75" s="799"/>
      <c r="O75" s="799"/>
      <c r="P75" s="799"/>
      <c r="Q75" s="799"/>
      <c r="R75" s="799"/>
      <c r="S75" s="799"/>
      <c r="T75" s="799"/>
      <c r="U75" s="799"/>
      <c r="V75" s="799"/>
      <c r="W75" s="799"/>
      <c r="X75" s="799"/>
      <c r="Y75" s="799"/>
      <c r="Z75" s="799"/>
      <c r="AA75" s="799"/>
      <c r="AB75" s="799"/>
      <c r="AC75" s="799"/>
      <c r="AD75" s="799"/>
      <c r="AE75" s="799"/>
      <c r="AF75" s="799"/>
      <c r="AG75" s="799"/>
      <c r="AH75" s="799"/>
      <c r="AI75" s="799"/>
      <c r="AJ75" s="799"/>
      <c r="AK75" s="799"/>
      <c r="AL75" s="799"/>
      <c r="AM75" s="799"/>
      <c r="AN75" s="799"/>
      <c r="AO75" s="798"/>
      <c r="AP75" s="798"/>
      <c r="AQ75" s="798"/>
      <c r="AR75" s="798"/>
      <c r="AS75" s="798"/>
      <c r="AT75" s="798"/>
      <c r="AU75" s="798"/>
      <c r="AV75" s="798"/>
      <c r="AW75" s="798"/>
      <c r="AX75" s="798"/>
      <c r="AY75" s="798"/>
      <c r="AZ75" s="798"/>
      <c r="BA75" s="798"/>
    </row>
    <row r="76" spans="1:53">
      <c r="A76" s="798"/>
      <c r="B76" s="799"/>
      <c r="C76" s="799"/>
      <c r="D76" s="799"/>
      <c r="E76" s="799"/>
      <c r="F76" s="799"/>
      <c r="G76" s="799"/>
      <c r="H76" s="799"/>
      <c r="I76" s="799"/>
      <c r="J76" s="799"/>
      <c r="K76" s="799"/>
      <c r="L76" s="799"/>
      <c r="M76" s="799"/>
      <c r="N76" s="799"/>
      <c r="O76" s="799"/>
      <c r="P76" s="799"/>
      <c r="Q76" s="799"/>
      <c r="R76" s="799"/>
      <c r="S76" s="799"/>
      <c r="T76" s="799"/>
      <c r="U76" s="799"/>
      <c r="V76" s="799"/>
      <c r="W76" s="799"/>
      <c r="X76" s="799"/>
      <c r="Y76" s="799"/>
      <c r="Z76" s="799"/>
      <c r="AA76" s="799"/>
      <c r="AB76" s="799"/>
      <c r="AC76" s="799"/>
      <c r="AD76" s="799"/>
      <c r="AE76" s="799"/>
      <c r="AF76" s="799"/>
      <c r="AG76" s="799"/>
      <c r="AH76" s="799"/>
      <c r="AI76" s="799"/>
      <c r="AJ76" s="799"/>
      <c r="AK76" s="799"/>
      <c r="AL76" s="799"/>
      <c r="AM76" s="799"/>
      <c r="AN76" s="799"/>
      <c r="AO76" s="798"/>
      <c r="AP76" s="798"/>
      <c r="AQ76" s="798"/>
      <c r="AR76" s="798"/>
      <c r="AS76" s="798"/>
      <c r="AT76" s="798"/>
      <c r="AU76" s="798"/>
      <c r="AV76" s="798"/>
      <c r="AW76" s="798"/>
      <c r="AX76" s="798"/>
      <c r="AY76" s="798"/>
      <c r="AZ76" s="798"/>
      <c r="BA76" s="798"/>
    </row>
    <row r="77" spans="1:53">
      <c r="A77" s="798"/>
      <c r="B77" s="799"/>
      <c r="C77" s="799"/>
      <c r="D77" s="799"/>
      <c r="E77" s="799"/>
      <c r="F77" s="799"/>
      <c r="G77" s="799"/>
      <c r="H77" s="799"/>
      <c r="I77" s="799"/>
      <c r="J77" s="799"/>
      <c r="K77" s="799"/>
      <c r="L77" s="799"/>
      <c r="M77" s="799"/>
      <c r="N77" s="799"/>
      <c r="O77" s="799"/>
      <c r="P77" s="799"/>
      <c r="Q77" s="799"/>
      <c r="R77" s="799"/>
      <c r="S77" s="799"/>
      <c r="T77" s="799"/>
      <c r="U77" s="799"/>
      <c r="V77" s="799"/>
      <c r="W77" s="799"/>
      <c r="X77" s="799"/>
      <c r="Y77" s="799"/>
      <c r="Z77" s="799"/>
      <c r="AA77" s="799"/>
      <c r="AB77" s="799"/>
      <c r="AC77" s="799"/>
      <c r="AD77" s="799"/>
      <c r="AE77" s="799"/>
      <c r="AF77" s="799"/>
      <c r="AG77" s="799"/>
      <c r="AH77" s="799"/>
      <c r="AI77" s="799"/>
      <c r="AJ77" s="799"/>
      <c r="AK77" s="799"/>
      <c r="AL77" s="799"/>
      <c r="AM77" s="799"/>
      <c r="AN77" s="799"/>
      <c r="AO77" s="798"/>
      <c r="AP77" s="798"/>
      <c r="AQ77" s="798"/>
      <c r="AR77" s="798"/>
      <c r="AS77" s="798"/>
      <c r="AT77" s="798"/>
      <c r="AU77" s="798"/>
      <c r="AV77" s="798"/>
      <c r="AW77" s="798"/>
      <c r="AX77" s="798"/>
      <c r="AY77" s="798"/>
      <c r="AZ77" s="798"/>
      <c r="BA77" s="798"/>
    </row>
    <row r="78" spans="1:53">
      <c r="A78" s="798"/>
      <c r="B78" s="799"/>
      <c r="C78" s="799"/>
      <c r="D78" s="799"/>
      <c r="E78" s="799"/>
      <c r="F78" s="799"/>
      <c r="G78" s="799"/>
      <c r="H78" s="799"/>
      <c r="I78" s="799"/>
      <c r="J78" s="799"/>
      <c r="K78" s="799"/>
      <c r="L78" s="799"/>
      <c r="M78" s="799"/>
      <c r="N78" s="799"/>
      <c r="O78" s="799"/>
      <c r="P78" s="799"/>
      <c r="Q78" s="799"/>
      <c r="R78" s="799"/>
      <c r="S78" s="799"/>
      <c r="T78" s="799"/>
      <c r="U78" s="799"/>
      <c r="V78" s="799"/>
      <c r="W78" s="799"/>
      <c r="X78" s="799"/>
      <c r="Y78" s="799"/>
      <c r="Z78" s="799"/>
      <c r="AA78" s="799"/>
      <c r="AB78" s="799"/>
      <c r="AC78" s="799"/>
      <c r="AD78" s="799"/>
      <c r="AE78" s="799"/>
      <c r="AF78" s="799"/>
      <c r="AG78" s="799"/>
      <c r="AH78" s="799"/>
      <c r="AI78" s="799"/>
      <c r="AJ78" s="799"/>
      <c r="AK78" s="799"/>
      <c r="AL78" s="799"/>
      <c r="AM78" s="799"/>
      <c r="AN78" s="799"/>
      <c r="AO78" s="798"/>
      <c r="AP78" s="798"/>
      <c r="AQ78" s="798"/>
      <c r="AR78" s="798"/>
      <c r="AS78" s="798"/>
      <c r="AT78" s="798"/>
      <c r="AU78" s="798"/>
      <c r="AV78" s="798"/>
      <c r="AW78" s="798"/>
      <c r="AX78" s="798"/>
      <c r="AY78" s="798"/>
      <c r="AZ78" s="798"/>
      <c r="BA78" s="798"/>
    </row>
    <row r="79" spans="1:53">
      <c r="A79" s="798"/>
      <c r="B79" s="799"/>
      <c r="C79" s="799"/>
      <c r="D79" s="799"/>
      <c r="E79" s="799"/>
      <c r="F79" s="799"/>
      <c r="G79" s="799"/>
      <c r="H79" s="799"/>
      <c r="I79" s="799"/>
      <c r="J79" s="799"/>
      <c r="K79" s="799"/>
      <c r="L79" s="799"/>
      <c r="M79" s="799"/>
      <c r="N79" s="799"/>
      <c r="O79" s="799"/>
      <c r="P79" s="799"/>
      <c r="Q79" s="799"/>
      <c r="R79" s="799"/>
      <c r="S79" s="799"/>
      <c r="T79" s="799"/>
      <c r="U79" s="799"/>
      <c r="V79" s="799"/>
      <c r="W79" s="799"/>
      <c r="X79" s="799"/>
      <c r="Y79" s="799"/>
      <c r="Z79" s="799"/>
      <c r="AA79" s="799"/>
      <c r="AB79" s="799"/>
      <c r="AC79" s="799"/>
      <c r="AD79" s="799"/>
      <c r="AE79" s="799"/>
      <c r="AF79" s="799"/>
      <c r="AG79" s="799"/>
      <c r="AH79" s="799"/>
      <c r="AI79" s="799"/>
      <c r="AJ79" s="799"/>
      <c r="AK79" s="799"/>
      <c r="AL79" s="799"/>
      <c r="AM79" s="799"/>
      <c r="AN79" s="799"/>
      <c r="AO79" s="798"/>
      <c r="AP79" s="798"/>
      <c r="AQ79" s="798"/>
      <c r="AR79" s="798"/>
      <c r="AS79" s="798"/>
      <c r="AT79" s="798"/>
      <c r="AU79" s="798"/>
      <c r="AV79" s="798"/>
      <c r="AW79" s="798"/>
      <c r="AX79" s="798"/>
      <c r="AY79" s="798"/>
      <c r="AZ79" s="798"/>
      <c r="BA79" s="798"/>
    </row>
    <row r="80" spans="1:53">
      <c r="A80" s="798"/>
      <c r="B80" s="799"/>
      <c r="C80" s="799"/>
      <c r="D80" s="799"/>
      <c r="E80" s="799"/>
      <c r="F80" s="799"/>
      <c r="G80" s="799"/>
      <c r="H80" s="799"/>
      <c r="I80" s="799"/>
      <c r="J80" s="799"/>
      <c r="K80" s="799"/>
      <c r="L80" s="799"/>
      <c r="M80" s="799"/>
      <c r="N80" s="799"/>
      <c r="O80" s="799"/>
      <c r="P80" s="799"/>
      <c r="Q80" s="799"/>
      <c r="R80" s="799"/>
      <c r="S80" s="799"/>
      <c r="T80" s="799"/>
      <c r="U80" s="799"/>
      <c r="V80" s="799"/>
      <c r="W80" s="799"/>
      <c r="X80" s="799"/>
      <c r="Y80" s="799"/>
      <c r="Z80" s="799"/>
      <c r="AA80" s="799"/>
      <c r="AB80" s="799"/>
      <c r="AC80" s="799"/>
      <c r="AD80" s="799"/>
      <c r="AE80" s="799"/>
      <c r="AF80" s="799"/>
      <c r="AG80" s="799"/>
      <c r="AH80" s="799"/>
      <c r="AI80" s="799"/>
      <c r="AJ80" s="799"/>
      <c r="AK80" s="799"/>
      <c r="AL80" s="799"/>
      <c r="AM80" s="799"/>
      <c r="AN80" s="799"/>
      <c r="AO80" s="798"/>
      <c r="AP80" s="798"/>
      <c r="AQ80" s="798"/>
      <c r="AR80" s="798"/>
      <c r="AS80" s="798"/>
      <c r="AT80" s="798"/>
      <c r="AU80" s="798"/>
      <c r="AV80" s="798"/>
      <c r="AW80" s="798"/>
      <c r="AX80" s="798"/>
      <c r="AY80" s="798"/>
      <c r="AZ80" s="798"/>
      <c r="BA80" s="798"/>
    </row>
  </sheetData>
  <sheetProtection algorithmName="SHA-512" hashValue="863NYtfcaxpwA1ggkvMxLQPpB+hUeXG9YQ8cSVuArzDhJXyQ4ROuyE+5+z4fEgzJvDiZ01IHRJbbLu/dQFY+lw==" saltValue="VjJGwk5/Ds8r5bSWDPOKHA==" spinCount="100000" sheet="1" objects="1" scenarios="1"/>
  <customSheetViews>
    <customSheetView guid="{6EFEFCA0-BF14-457A-85A3-29CBF2A862A5}" showGridLines="0" fitToPage="1">
      <selection sqref="A1:AU63"/>
      <pageMargins left="0.23622047244094491" right="0.23622047244094491" top="0.19685039370078741" bottom="0.19685039370078741" header="0" footer="0.11811023622047245"/>
      <printOptions horizontalCentered="1" verticalCentered="1"/>
      <pageSetup paperSize="9" scale="56" orientation="portrait" r:id="rId1"/>
      <headerFooter>
        <oddFooter>&amp;L&amp;10&amp;F &amp;A&amp;R&amp;10Page 58 of 61</oddFooter>
      </headerFooter>
    </customSheetView>
  </customSheetViews>
  <mergeCells count="280">
    <mergeCell ref="AE7:AG7"/>
    <mergeCell ref="AH7:AJ7"/>
    <mergeCell ref="AK7:AM7"/>
    <mergeCell ref="P8:AM8"/>
    <mergeCell ref="D9:N9"/>
    <mergeCell ref="P9:R9"/>
    <mergeCell ref="S9:U9"/>
    <mergeCell ref="V9:X9"/>
    <mergeCell ref="Y9:AA9"/>
    <mergeCell ref="AB9:AD9"/>
    <mergeCell ref="D6:O7"/>
    <mergeCell ref="P6:U6"/>
    <mergeCell ref="V6:AA6"/>
    <mergeCell ref="AB6:AG6"/>
    <mergeCell ref="AH6:AM6"/>
    <mergeCell ref="P7:R7"/>
    <mergeCell ref="S7:U7"/>
    <mergeCell ref="V7:X7"/>
    <mergeCell ref="Y7:AA7"/>
    <mergeCell ref="AB7:AD7"/>
    <mergeCell ref="AE9:AG9"/>
    <mergeCell ref="AH9:AJ9"/>
    <mergeCell ref="AK9:AM9"/>
    <mergeCell ref="D10:N10"/>
    <mergeCell ref="P10:R10"/>
    <mergeCell ref="S10:U10"/>
    <mergeCell ref="V10:X10"/>
    <mergeCell ref="Y10:AA10"/>
    <mergeCell ref="AB10:AD10"/>
    <mergeCell ref="AE10:AG10"/>
    <mergeCell ref="AH10:AJ10"/>
    <mergeCell ref="AK10:AM10"/>
    <mergeCell ref="D11:N11"/>
    <mergeCell ref="P11:R11"/>
    <mergeCell ref="S11:U11"/>
    <mergeCell ref="V11:X11"/>
    <mergeCell ref="Y11:AA11"/>
    <mergeCell ref="AB11:AD11"/>
    <mergeCell ref="AE11:AG11"/>
    <mergeCell ref="AH11:AJ11"/>
    <mergeCell ref="AK11:AM11"/>
    <mergeCell ref="D12:N12"/>
    <mergeCell ref="P12:R12"/>
    <mergeCell ref="S12:U12"/>
    <mergeCell ref="V12:X12"/>
    <mergeCell ref="Y12:AA12"/>
    <mergeCell ref="AB12:AD12"/>
    <mergeCell ref="AE12:AG12"/>
    <mergeCell ref="AH12:AJ12"/>
    <mergeCell ref="AK12:AM12"/>
    <mergeCell ref="AE13:AG13"/>
    <mergeCell ref="AH13:AJ13"/>
    <mergeCell ref="AK13:AM13"/>
    <mergeCell ref="D14:N14"/>
    <mergeCell ref="P14:R14"/>
    <mergeCell ref="S14:U14"/>
    <mergeCell ref="V14:X14"/>
    <mergeCell ref="Y14:AA14"/>
    <mergeCell ref="AB14:AD14"/>
    <mergeCell ref="AE14:AG14"/>
    <mergeCell ref="D13:N13"/>
    <mergeCell ref="P13:R13"/>
    <mergeCell ref="S13:U13"/>
    <mergeCell ref="V13:X13"/>
    <mergeCell ref="Y13:AA13"/>
    <mergeCell ref="AB13:AD13"/>
    <mergeCell ref="AH14:AJ14"/>
    <mergeCell ref="AK14:AM14"/>
    <mergeCell ref="D15:N15"/>
    <mergeCell ref="P15:R15"/>
    <mergeCell ref="S15:U15"/>
    <mergeCell ref="V15:X15"/>
    <mergeCell ref="Y15:AA15"/>
    <mergeCell ref="AB15:AD15"/>
    <mergeCell ref="AE15:AG15"/>
    <mergeCell ref="AH15:AJ15"/>
    <mergeCell ref="AK15:AM15"/>
    <mergeCell ref="D16:N16"/>
    <mergeCell ref="P16:R16"/>
    <mergeCell ref="S16:U16"/>
    <mergeCell ref="V16:X16"/>
    <mergeCell ref="Y16:AA16"/>
    <mergeCell ref="AB16:AD16"/>
    <mergeCell ref="AE16:AG16"/>
    <mergeCell ref="AH16:AJ16"/>
    <mergeCell ref="AK16:AM16"/>
    <mergeCell ref="AE17:AG17"/>
    <mergeCell ref="AH17:AJ17"/>
    <mergeCell ref="AK17:AM17"/>
    <mergeCell ref="D18:N18"/>
    <mergeCell ref="P18:R20"/>
    <mergeCell ref="S18:U20"/>
    <mergeCell ref="V18:X20"/>
    <mergeCell ref="Y18:AA20"/>
    <mergeCell ref="AB18:AD20"/>
    <mergeCell ref="AE18:AG20"/>
    <mergeCell ref="D17:N17"/>
    <mergeCell ref="P17:R17"/>
    <mergeCell ref="S17:U17"/>
    <mergeCell ref="V17:X17"/>
    <mergeCell ref="Y17:AA17"/>
    <mergeCell ref="AB17:AD17"/>
    <mergeCell ref="AH18:AJ20"/>
    <mergeCell ref="AK18:AM20"/>
    <mergeCell ref="E19:N19"/>
    <mergeCell ref="P21:AM21"/>
    <mergeCell ref="D22:N22"/>
    <mergeCell ref="P22:R22"/>
    <mergeCell ref="S22:U22"/>
    <mergeCell ref="V22:X22"/>
    <mergeCell ref="Y22:AA22"/>
    <mergeCell ref="AB22:AD22"/>
    <mergeCell ref="AE22:AG22"/>
    <mergeCell ref="AH22:AJ22"/>
    <mergeCell ref="AK22:AM22"/>
    <mergeCell ref="D23:N23"/>
    <mergeCell ref="P23:R23"/>
    <mergeCell ref="S23:U23"/>
    <mergeCell ref="V23:X23"/>
    <mergeCell ref="Y23:AA23"/>
    <mergeCell ref="AB23:AD23"/>
    <mergeCell ref="AE23:AG23"/>
    <mergeCell ref="AH23:AJ23"/>
    <mergeCell ref="AK23:AM23"/>
    <mergeCell ref="D24:N24"/>
    <mergeCell ref="P24:R24"/>
    <mergeCell ref="S24:U24"/>
    <mergeCell ref="V24:X24"/>
    <mergeCell ref="Y24:AA24"/>
    <mergeCell ref="AB24:AD24"/>
    <mergeCell ref="AE24:AG24"/>
    <mergeCell ref="AH24:AJ24"/>
    <mergeCell ref="AK24:AM24"/>
    <mergeCell ref="D25:N25"/>
    <mergeCell ref="P25:R25"/>
    <mergeCell ref="S25:U25"/>
    <mergeCell ref="V25:X25"/>
    <mergeCell ref="Y25:AA25"/>
    <mergeCell ref="AB25:AD25"/>
    <mergeCell ref="AE25:AG25"/>
    <mergeCell ref="AH25:AJ25"/>
    <mergeCell ref="AK25:AM25"/>
    <mergeCell ref="AE26:AG26"/>
    <mergeCell ref="AH26:AJ26"/>
    <mergeCell ref="AK26:AM26"/>
    <mergeCell ref="D27:N27"/>
    <mergeCell ref="P27:R27"/>
    <mergeCell ref="S27:U27"/>
    <mergeCell ref="V27:X27"/>
    <mergeCell ref="Y27:AA27"/>
    <mergeCell ref="AB27:AD27"/>
    <mergeCell ref="AE27:AG27"/>
    <mergeCell ref="D26:N26"/>
    <mergeCell ref="P26:R26"/>
    <mergeCell ref="S26:U26"/>
    <mergeCell ref="V26:X26"/>
    <mergeCell ref="Y26:AA26"/>
    <mergeCell ref="AB26:AD26"/>
    <mergeCell ref="AH27:AJ27"/>
    <mergeCell ref="AK27:AM27"/>
    <mergeCell ref="D28:N28"/>
    <mergeCell ref="P28:R28"/>
    <mergeCell ref="S28:U28"/>
    <mergeCell ref="V28:X28"/>
    <mergeCell ref="Y28:AA28"/>
    <mergeCell ref="AB28:AD28"/>
    <mergeCell ref="AE28:AG28"/>
    <mergeCell ref="AH28:AJ28"/>
    <mergeCell ref="AK28:AM28"/>
    <mergeCell ref="D29:N29"/>
    <mergeCell ref="P29:R29"/>
    <mergeCell ref="S29:U29"/>
    <mergeCell ref="V29:X29"/>
    <mergeCell ref="Y29:AA29"/>
    <mergeCell ref="AB29:AD29"/>
    <mergeCell ref="AE29:AG29"/>
    <mergeCell ref="AH29:AJ29"/>
    <mergeCell ref="AK29:AM29"/>
    <mergeCell ref="AE30:AG30"/>
    <mergeCell ref="AH30:AJ30"/>
    <mergeCell ref="AK30:AM30"/>
    <mergeCell ref="D31:N31"/>
    <mergeCell ref="P31:R31"/>
    <mergeCell ref="S31:U31"/>
    <mergeCell ref="V31:X31"/>
    <mergeCell ref="Y31:AA31"/>
    <mergeCell ref="AB31:AD31"/>
    <mergeCell ref="AE31:AG31"/>
    <mergeCell ref="D30:N30"/>
    <mergeCell ref="P30:R30"/>
    <mergeCell ref="S30:U30"/>
    <mergeCell ref="V30:X30"/>
    <mergeCell ref="Y30:AA30"/>
    <mergeCell ref="AB30:AD30"/>
    <mergeCell ref="AH31:AJ31"/>
    <mergeCell ref="AK31:AM31"/>
    <mergeCell ref="D32:N32"/>
    <mergeCell ref="P32:R32"/>
    <mergeCell ref="S32:U32"/>
    <mergeCell ref="V32:X32"/>
    <mergeCell ref="Y32:AA32"/>
    <mergeCell ref="AB32:AD32"/>
    <mergeCell ref="AE32:AG32"/>
    <mergeCell ref="AH32:AJ32"/>
    <mergeCell ref="AK32:AM32"/>
    <mergeCell ref="D33:N33"/>
    <mergeCell ref="P33:R35"/>
    <mergeCell ref="S33:U35"/>
    <mergeCell ref="V33:X35"/>
    <mergeCell ref="Y33:AA35"/>
    <mergeCell ref="AB33:AD35"/>
    <mergeCell ref="AE33:AG35"/>
    <mergeCell ref="AH33:AJ35"/>
    <mergeCell ref="AK33:AM35"/>
    <mergeCell ref="E34:N34"/>
    <mergeCell ref="P36:AM36"/>
    <mergeCell ref="D37:N37"/>
    <mergeCell ref="P37:R37"/>
    <mergeCell ref="S37:U37"/>
    <mergeCell ref="V37:X37"/>
    <mergeCell ref="Y37:AA37"/>
    <mergeCell ref="AB37:AD37"/>
    <mergeCell ref="AE37:AG37"/>
    <mergeCell ref="AH37:AJ37"/>
    <mergeCell ref="AK37:AM37"/>
    <mergeCell ref="D38:N38"/>
    <mergeCell ref="P38:R38"/>
    <mergeCell ref="S38:U38"/>
    <mergeCell ref="V38:X38"/>
    <mergeCell ref="Y38:AA38"/>
    <mergeCell ref="AB38:AD38"/>
    <mergeCell ref="AE38:AG38"/>
    <mergeCell ref="AH38:AJ38"/>
    <mergeCell ref="AK38:AM38"/>
    <mergeCell ref="AE39:AG39"/>
    <mergeCell ref="AH39:AJ39"/>
    <mergeCell ref="AK39:AM39"/>
    <mergeCell ref="D40:N40"/>
    <mergeCell ref="P40:R40"/>
    <mergeCell ref="S40:U40"/>
    <mergeCell ref="V40:X40"/>
    <mergeCell ref="Y40:AA40"/>
    <mergeCell ref="AB40:AD40"/>
    <mergeCell ref="AE40:AG40"/>
    <mergeCell ref="D39:N39"/>
    <mergeCell ref="P39:R39"/>
    <mergeCell ref="S39:U39"/>
    <mergeCell ref="V39:X39"/>
    <mergeCell ref="Y39:AA39"/>
    <mergeCell ref="AB39:AD39"/>
    <mergeCell ref="AK41:AM43"/>
    <mergeCell ref="E42:N42"/>
    <mergeCell ref="G45:AM45"/>
    <mergeCell ref="D50:I51"/>
    <mergeCell ref="J50:O51"/>
    <mergeCell ref="D52:I52"/>
    <mergeCell ref="J52:O52"/>
    <mergeCell ref="AH40:AJ40"/>
    <mergeCell ref="AK40:AM40"/>
    <mergeCell ref="D41:N41"/>
    <mergeCell ref="P41:R43"/>
    <mergeCell ref="S41:U43"/>
    <mergeCell ref="V41:X43"/>
    <mergeCell ref="Y41:AA43"/>
    <mergeCell ref="AB41:AD43"/>
    <mergeCell ref="AE41:AG43"/>
    <mergeCell ref="AH41:AJ43"/>
    <mergeCell ref="F62:M62"/>
    <mergeCell ref="V62:AA62"/>
    <mergeCell ref="AD62:AO62"/>
    <mergeCell ref="D53:I53"/>
    <mergeCell ref="J53:O53"/>
    <mergeCell ref="D54:I54"/>
    <mergeCell ref="J54:O54"/>
    <mergeCell ref="B57:AD57"/>
    <mergeCell ref="F60:M60"/>
    <mergeCell ref="P60:AA60"/>
    <mergeCell ref="AD60:AO61"/>
    <mergeCell ref="F61:M61"/>
    <mergeCell ref="P61:AA61"/>
  </mergeCells>
  <dataValidations count="2">
    <dataValidation type="whole" allowBlank="1" showInputMessage="1" showErrorMessage="1" errorTitle="GSHSP SY 2022-2023" error="Please enter valid number between 0-20,000." sqref="P9:AM20 P22:AM35 P37:AM43" xr:uid="{F041E614-CC0F-4CAF-9246-26F103D39192}">
      <formula1>0</formula1>
      <formula2>20000</formula2>
    </dataValidation>
    <dataValidation type="whole" allowBlank="1" showInputMessage="1" showErrorMessage="1" errorTitle="GSHSP SY 2022-2023" error="Please enter valid number between 0-999." sqref="J52:O54" xr:uid="{8868A6CC-5954-474C-8B3F-FCB5C2FDAC65}">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56" orientation="portrait" r:id="rId2"/>
  <headerFooter>
    <oddFooter>&amp;L&amp;10&amp;F &amp;A&amp;R&amp;10Page 58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63841" r:id="rId5" name="Check Box 1">
              <controlPr defaultSize="0" autoFill="0" autoLine="0" autoPict="0">
                <anchor moveWithCells="1">
                  <from>
                    <xdr:col>3</xdr:col>
                    <xdr:colOff>38100</xdr:colOff>
                    <xdr:row>46</xdr:row>
                    <xdr:rowOff>47625</xdr:rowOff>
                  </from>
                  <to>
                    <xdr:col>4</xdr:col>
                    <xdr:colOff>28575</xdr:colOff>
                    <xdr:row>46</xdr:row>
                    <xdr:rowOff>295275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BC21-0D64-470C-AF46-FE3F68ABB127}">
  <sheetPr codeName="Sheet61">
    <tabColor rgb="FFFFFF00"/>
    <pageSetUpPr fitToPage="1"/>
  </sheetPr>
  <dimension ref="A1:BD88"/>
  <sheetViews>
    <sheetView showGridLines="0" topLeftCell="A14" zoomScaleNormal="100" zoomScaleSheetLayoutView="100" workbookViewId="0">
      <selection sqref="A1:AS63"/>
    </sheetView>
  </sheetViews>
  <sheetFormatPr defaultColWidth="8" defaultRowHeight="15.75"/>
  <cols>
    <col min="1" max="1" width="2.125" style="185" customWidth="1"/>
    <col min="2" max="3" width="3.625" style="185" customWidth="1"/>
    <col min="4" max="41" width="3.625" style="184" customWidth="1"/>
    <col min="42" max="42" width="2.125" style="184" customWidth="1"/>
    <col min="43" max="43" width="3.625" style="185" customWidth="1"/>
    <col min="44" max="44" width="2.125" style="185" customWidth="1"/>
    <col min="45" max="176" width="3.625" style="185" customWidth="1"/>
    <col min="177" max="16384" width="8" style="185"/>
  </cols>
  <sheetData>
    <row r="1" spans="1:56" ht="12" customHeight="1">
      <c r="A1" s="798"/>
      <c r="B1" s="798"/>
      <c r="C1" s="798"/>
      <c r="D1" s="798"/>
      <c r="E1" s="799"/>
      <c r="F1" s="799"/>
      <c r="G1" s="799"/>
      <c r="H1" s="799"/>
      <c r="I1" s="799"/>
      <c r="J1" s="799"/>
      <c r="K1" s="799"/>
      <c r="L1" s="799"/>
      <c r="M1" s="799"/>
      <c r="N1" s="799"/>
      <c r="O1" s="799"/>
      <c r="P1" s="799"/>
      <c r="Q1" s="799"/>
      <c r="R1" s="799"/>
      <c r="S1" s="799"/>
      <c r="T1" s="799"/>
      <c r="U1" s="799"/>
      <c r="V1" s="799"/>
      <c r="W1" s="799"/>
      <c r="X1" s="799"/>
      <c r="Y1" s="799"/>
      <c r="Z1" s="799"/>
      <c r="AA1" s="799"/>
      <c r="AB1" s="799"/>
      <c r="AC1" s="799"/>
      <c r="AD1" s="799"/>
      <c r="AE1" s="799"/>
      <c r="AF1" s="799"/>
      <c r="AG1" s="799"/>
      <c r="AH1" s="799"/>
      <c r="AI1" s="799"/>
      <c r="AJ1" s="799"/>
      <c r="AK1" s="799"/>
      <c r="AL1" s="799"/>
      <c r="AM1" s="799"/>
      <c r="AN1" s="799"/>
      <c r="AO1" s="799"/>
      <c r="AP1" s="799"/>
      <c r="AQ1" s="799"/>
      <c r="AR1" s="798"/>
      <c r="AS1" s="798"/>
      <c r="AT1" s="798"/>
      <c r="AU1" s="798"/>
      <c r="AV1" s="798"/>
      <c r="AW1" s="798"/>
      <c r="AX1" s="798"/>
      <c r="AY1" s="798"/>
      <c r="AZ1" s="798"/>
      <c r="BA1" s="798"/>
      <c r="BB1" s="798"/>
      <c r="BC1" s="798"/>
      <c r="BD1" s="798"/>
    </row>
    <row r="2" spans="1:56" ht="17.25" thickBot="1">
      <c r="A2" s="798"/>
      <c r="B2" s="798"/>
      <c r="C2" s="1412" t="s">
        <v>1807</v>
      </c>
      <c r="D2" s="798"/>
      <c r="E2" s="799"/>
      <c r="F2" s="798"/>
      <c r="G2" s="798"/>
      <c r="H2" s="798"/>
      <c r="I2" s="798"/>
      <c r="J2" s="798"/>
      <c r="K2" s="798"/>
      <c r="L2" s="798"/>
      <c r="M2" s="798"/>
      <c r="N2" s="798"/>
      <c r="O2" s="798"/>
      <c r="P2" s="798"/>
      <c r="Q2" s="798"/>
      <c r="R2" s="798"/>
      <c r="S2" s="798"/>
      <c r="T2" s="798"/>
      <c r="U2" s="798"/>
      <c r="V2" s="798"/>
      <c r="W2" s="798"/>
      <c r="X2" s="798"/>
      <c r="Y2" s="798"/>
      <c r="Z2" s="798"/>
      <c r="AA2" s="798"/>
      <c r="AB2" s="798"/>
      <c r="AC2" s="798"/>
      <c r="AD2" s="798"/>
      <c r="AE2" s="798"/>
      <c r="AF2" s="798"/>
      <c r="AG2" s="798"/>
      <c r="AH2" s="798"/>
      <c r="AI2" s="798"/>
      <c r="AJ2" s="798"/>
      <c r="AK2" s="798"/>
      <c r="AL2" s="798"/>
      <c r="AM2" s="798"/>
      <c r="AN2" s="798"/>
      <c r="AO2" s="798"/>
      <c r="AP2" s="798"/>
      <c r="AQ2" s="798"/>
      <c r="AR2" s="798"/>
      <c r="AS2" s="798"/>
      <c r="AT2" s="798"/>
      <c r="AU2" s="798"/>
      <c r="AV2" s="798"/>
      <c r="AW2" s="798"/>
      <c r="AX2" s="798"/>
      <c r="AY2" s="798"/>
      <c r="AZ2" s="798"/>
      <c r="BA2" s="798"/>
      <c r="BB2" s="798"/>
      <c r="BC2" s="798"/>
      <c r="BD2" s="798"/>
    </row>
    <row r="3" spans="1:56" ht="5.0999999999999996" customHeight="1" thickTop="1">
      <c r="A3" s="798"/>
      <c r="B3" s="798"/>
      <c r="C3" s="1598"/>
      <c r="D3" s="1414"/>
      <c r="E3" s="1599"/>
      <c r="F3" s="1415"/>
      <c r="G3" s="1415"/>
      <c r="H3" s="1415"/>
      <c r="I3" s="1415"/>
      <c r="J3" s="1415"/>
      <c r="K3" s="1415"/>
      <c r="L3" s="1415"/>
      <c r="M3" s="1415"/>
      <c r="N3" s="1415"/>
      <c r="O3" s="1415"/>
      <c r="P3" s="1415"/>
      <c r="Q3" s="1415"/>
      <c r="R3" s="1415"/>
      <c r="S3" s="1415"/>
      <c r="T3" s="1415"/>
      <c r="U3" s="1415"/>
      <c r="V3" s="1415"/>
      <c r="W3" s="1415"/>
      <c r="X3" s="1415"/>
      <c r="Y3" s="1415"/>
      <c r="Z3" s="1415"/>
      <c r="AA3" s="1415"/>
      <c r="AB3" s="1415"/>
      <c r="AC3" s="1415"/>
      <c r="AD3" s="1415"/>
      <c r="AE3" s="1415"/>
      <c r="AF3" s="1415"/>
      <c r="AG3" s="1415"/>
      <c r="AH3" s="1415"/>
      <c r="AI3" s="1415"/>
      <c r="AJ3" s="1415"/>
      <c r="AK3" s="1415"/>
      <c r="AL3" s="1415"/>
      <c r="AM3" s="1415"/>
      <c r="AN3" s="1415"/>
      <c r="AO3" s="1417"/>
      <c r="AP3" s="798"/>
      <c r="AQ3" s="798"/>
      <c r="AR3" s="798"/>
      <c r="AS3" s="798"/>
      <c r="AT3" s="798"/>
      <c r="AU3" s="798"/>
      <c r="AV3" s="798"/>
      <c r="AW3" s="798"/>
      <c r="AX3" s="798"/>
      <c r="AY3" s="798"/>
      <c r="AZ3" s="798"/>
      <c r="BA3" s="798"/>
      <c r="BB3" s="798"/>
      <c r="BC3" s="798"/>
      <c r="BD3" s="798"/>
    </row>
    <row r="4" spans="1:56" s="186" customFormat="1">
      <c r="A4" s="802"/>
      <c r="B4" s="802"/>
      <c r="C4" s="1508"/>
      <c r="D4" s="1509" t="s">
        <v>47</v>
      </c>
      <c r="E4" s="4033" t="s">
        <v>1941</v>
      </c>
      <c r="F4" s="4033"/>
      <c r="G4" s="4033"/>
      <c r="H4" s="4033"/>
      <c r="I4" s="4033"/>
      <c r="J4" s="4033"/>
      <c r="K4" s="4033"/>
      <c r="L4" s="4033"/>
      <c r="M4" s="4033"/>
      <c r="N4" s="4033"/>
      <c r="O4" s="4033"/>
      <c r="P4" s="4033"/>
      <c r="Q4" s="4033"/>
      <c r="R4" s="4033"/>
      <c r="S4" s="4033"/>
      <c r="T4" s="4033"/>
      <c r="U4" s="4033"/>
      <c r="V4" s="4033"/>
      <c r="W4" s="4033"/>
      <c r="X4" s="4033"/>
      <c r="Y4" s="4033"/>
      <c r="Z4" s="4033"/>
      <c r="AA4" s="4033"/>
      <c r="AB4" s="4033"/>
      <c r="AC4" s="1420"/>
      <c r="AD4" s="802"/>
      <c r="AE4" s="802"/>
      <c r="AF4" s="802"/>
      <c r="AG4" s="802"/>
      <c r="AH4" s="802"/>
      <c r="AI4" s="802"/>
      <c r="AJ4" s="802"/>
      <c r="AK4" s="802"/>
      <c r="AL4" s="802"/>
      <c r="AM4" s="802"/>
      <c r="AN4" s="802"/>
      <c r="AO4" s="1508"/>
      <c r="AP4" s="802"/>
      <c r="AQ4" s="802"/>
      <c r="AR4" s="802"/>
      <c r="AS4" s="802"/>
      <c r="AT4" s="802"/>
      <c r="AU4" s="802"/>
      <c r="AV4" s="802"/>
      <c r="AW4" s="802"/>
      <c r="AX4" s="802"/>
      <c r="AY4" s="802"/>
      <c r="AZ4" s="802"/>
      <c r="BA4" s="802"/>
      <c r="BB4" s="802"/>
      <c r="BC4" s="802"/>
      <c r="BD4" s="802"/>
    </row>
    <row r="5" spans="1:56" s="186" customFormat="1" ht="5.0999999999999996" customHeight="1" thickBot="1">
      <c r="A5" s="802"/>
      <c r="B5" s="802"/>
      <c r="C5" s="1508"/>
      <c r="D5" s="802"/>
      <c r="E5" s="1510"/>
      <c r="F5" s="1511"/>
      <c r="G5" s="1512"/>
      <c r="H5" s="1512"/>
      <c r="I5" s="1512"/>
      <c r="J5" s="1512"/>
      <c r="K5" s="1512"/>
      <c r="L5" s="1512"/>
      <c r="M5" s="1512"/>
      <c r="N5" s="1512"/>
      <c r="O5" s="1512"/>
      <c r="P5" s="1512"/>
      <c r="Q5" s="1512"/>
      <c r="R5" s="1512"/>
      <c r="S5" s="1512"/>
      <c r="T5" s="1512"/>
      <c r="U5" s="1512"/>
      <c r="V5" s="1512"/>
      <c r="W5" s="1512"/>
      <c r="X5" s="1512"/>
      <c r="Y5" s="1512"/>
      <c r="Z5" s="1512"/>
      <c r="AA5" s="1512"/>
      <c r="AB5" s="1512"/>
      <c r="AC5" s="1512"/>
      <c r="AD5" s="1512"/>
      <c r="AE5" s="1512"/>
      <c r="AF5" s="1513"/>
      <c r="AG5" s="1513"/>
      <c r="AH5" s="1513"/>
      <c r="AI5" s="1513"/>
      <c r="AJ5" s="1513"/>
      <c r="AK5" s="1513"/>
      <c r="AL5" s="1513"/>
      <c r="AM5" s="802"/>
      <c r="AN5" s="802"/>
      <c r="AO5" s="1508"/>
      <c r="AP5" s="802"/>
      <c r="AQ5" s="802"/>
      <c r="AR5" s="802"/>
      <c r="AS5" s="802"/>
      <c r="AT5" s="802"/>
      <c r="AU5" s="802"/>
      <c r="AV5" s="802"/>
      <c r="AW5" s="802"/>
      <c r="AX5" s="802"/>
      <c r="AY5" s="802"/>
      <c r="AZ5" s="802"/>
      <c r="BA5" s="802"/>
      <c r="BB5" s="802"/>
      <c r="BC5" s="802"/>
      <c r="BD5" s="802"/>
    </row>
    <row r="6" spans="1:56" s="47" customFormat="1" ht="60.95" customHeight="1" thickTop="1" thickBot="1">
      <c r="A6" s="260"/>
      <c r="B6" s="260"/>
      <c r="C6" s="1387"/>
      <c r="D6" s="260"/>
      <c r="E6" s="3859" t="s">
        <v>1936</v>
      </c>
      <c r="F6" s="3860"/>
      <c r="G6" s="3860"/>
      <c r="H6" s="3860"/>
      <c r="I6" s="3860"/>
      <c r="J6" s="3860"/>
      <c r="K6" s="3860"/>
      <c r="L6" s="3860"/>
      <c r="M6" s="3860"/>
      <c r="N6" s="3861"/>
      <c r="O6" s="3709" t="s">
        <v>1842</v>
      </c>
      <c r="P6" s="3710"/>
      <c r="Q6" s="3710"/>
      <c r="R6" s="3710"/>
      <c r="S6" s="3710"/>
      <c r="T6" s="3711"/>
      <c r="U6" s="3710" t="s">
        <v>1574</v>
      </c>
      <c r="V6" s="3710"/>
      <c r="W6" s="3710"/>
      <c r="X6" s="3710"/>
      <c r="Y6" s="3710"/>
      <c r="Z6" s="3710"/>
      <c r="AA6" s="3712" t="s">
        <v>1575</v>
      </c>
      <c r="AB6" s="3710"/>
      <c r="AC6" s="3710"/>
      <c r="AD6" s="3710"/>
      <c r="AE6" s="3710"/>
      <c r="AF6" s="3711"/>
      <c r="AG6" s="3710" t="s">
        <v>1786</v>
      </c>
      <c r="AH6" s="3710"/>
      <c r="AI6" s="3710"/>
      <c r="AJ6" s="3710"/>
      <c r="AK6" s="3710"/>
      <c r="AL6" s="3713"/>
      <c r="AM6" s="1387"/>
      <c r="AN6" s="260"/>
      <c r="AO6" s="1387"/>
      <c r="AP6" s="260"/>
      <c r="AQ6" s="260"/>
      <c r="AR6" s="260"/>
      <c r="AS6" s="260"/>
      <c r="AT6" s="260"/>
      <c r="AU6" s="260"/>
      <c r="AV6" s="260"/>
      <c r="AW6" s="260"/>
      <c r="AX6" s="260"/>
      <c r="AY6" s="260"/>
      <c r="AZ6" s="260"/>
      <c r="BA6" s="260"/>
      <c r="BB6" s="260"/>
      <c r="BC6" s="260"/>
      <c r="BD6" s="260"/>
    </row>
    <row r="7" spans="1:56" s="47" customFormat="1" ht="19.5" customHeight="1" thickBot="1">
      <c r="A7" s="260"/>
      <c r="B7" s="260"/>
      <c r="C7" s="1387"/>
      <c r="D7" s="260"/>
      <c r="E7" s="3862"/>
      <c r="F7" s="3863"/>
      <c r="G7" s="3863"/>
      <c r="H7" s="3863"/>
      <c r="I7" s="3863"/>
      <c r="J7" s="3863"/>
      <c r="K7" s="3863"/>
      <c r="L7" s="3863"/>
      <c r="M7" s="3863"/>
      <c r="N7" s="3864"/>
      <c r="O7" s="3862" t="s">
        <v>45</v>
      </c>
      <c r="P7" s="3863"/>
      <c r="Q7" s="3865"/>
      <c r="R7" s="3866" t="s">
        <v>46</v>
      </c>
      <c r="S7" s="3863"/>
      <c r="T7" s="3867"/>
      <c r="U7" s="3863" t="s">
        <v>45</v>
      </c>
      <c r="V7" s="3863"/>
      <c r="W7" s="3865"/>
      <c r="X7" s="3866" t="s">
        <v>46</v>
      </c>
      <c r="Y7" s="3863"/>
      <c r="Z7" s="3863"/>
      <c r="AA7" s="3868" t="s">
        <v>45</v>
      </c>
      <c r="AB7" s="3863"/>
      <c r="AC7" s="3865"/>
      <c r="AD7" s="3866" t="s">
        <v>46</v>
      </c>
      <c r="AE7" s="3863"/>
      <c r="AF7" s="3867"/>
      <c r="AG7" s="3863" t="s">
        <v>45</v>
      </c>
      <c r="AH7" s="3863"/>
      <c r="AI7" s="3865"/>
      <c r="AJ7" s="3866" t="s">
        <v>46</v>
      </c>
      <c r="AK7" s="3863"/>
      <c r="AL7" s="3864"/>
      <c r="AM7" s="260"/>
      <c r="AN7" s="260"/>
      <c r="AO7" s="1387"/>
      <c r="AP7" s="260"/>
      <c r="AQ7" s="260"/>
      <c r="AR7" s="260"/>
      <c r="AS7" s="260"/>
      <c r="AT7" s="260"/>
      <c r="AU7" s="260"/>
      <c r="AV7" s="260"/>
      <c r="AW7" s="260"/>
      <c r="AX7" s="260"/>
      <c r="AY7" s="260"/>
      <c r="AZ7" s="260"/>
      <c r="BA7" s="260"/>
      <c r="BB7" s="260"/>
      <c r="BC7" s="260"/>
      <c r="BD7" s="260"/>
    </row>
    <row r="8" spans="1:56" s="47" customFormat="1" ht="22.5" customHeight="1" thickTop="1">
      <c r="A8" s="260"/>
      <c r="B8" s="260"/>
      <c r="C8" s="1387"/>
      <c r="D8" s="260"/>
      <c r="E8" s="1600" t="s">
        <v>47</v>
      </c>
      <c r="F8" s="4195" t="s">
        <v>1942</v>
      </c>
      <c r="G8" s="4195"/>
      <c r="H8" s="4195"/>
      <c r="I8" s="4195"/>
      <c r="J8" s="4195"/>
      <c r="K8" s="4195"/>
      <c r="L8" s="4195"/>
      <c r="M8" s="4195"/>
      <c r="N8" s="1601"/>
      <c r="O8" s="3851">
        <v>0</v>
      </c>
      <c r="P8" s="3852"/>
      <c r="Q8" s="3853"/>
      <c r="R8" s="3854">
        <v>0</v>
      </c>
      <c r="S8" s="3852"/>
      <c r="T8" s="3855"/>
      <c r="U8" s="3852">
        <v>0</v>
      </c>
      <c r="V8" s="3852"/>
      <c r="W8" s="3853"/>
      <c r="X8" s="3854">
        <v>0</v>
      </c>
      <c r="Y8" s="3852"/>
      <c r="Z8" s="3852"/>
      <c r="AA8" s="3856">
        <v>0</v>
      </c>
      <c r="AB8" s="3852"/>
      <c r="AC8" s="3853"/>
      <c r="AD8" s="3854">
        <v>0</v>
      </c>
      <c r="AE8" s="3852"/>
      <c r="AF8" s="3855"/>
      <c r="AG8" s="3852">
        <v>0</v>
      </c>
      <c r="AH8" s="3852"/>
      <c r="AI8" s="3853"/>
      <c r="AJ8" s="3854">
        <v>0</v>
      </c>
      <c r="AK8" s="3852"/>
      <c r="AL8" s="3857"/>
      <c r="AM8" s="260"/>
      <c r="AN8" s="260"/>
      <c r="AO8" s="1387"/>
      <c r="AP8" s="260"/>
      <c r="AQ8" s="260"/>
      <c r="AR8" s="260"/>
      <c r="AS8" s="260"/>
      <c r="AT8" s="260"/>
      <c r="AU8" s="260"/>
      <c r="AV8" s="260"/>
      <c r="AW8" s="260"/>
      <c r="AX8" s="260"/>
      <c r="AY8" s="260"/>
      <c r="AZ8" s="260"/>
      <c r="BA8" s="260"/>
      <c r="BB8" s="260"/>
      <c r="BC8" s="260"/>
      <c r="BD8" s="260"/>
    </row>
    <row r="9" spans="1:56" s="47" customFormat="1" ht="22.5" customHeight="1">
      <c r="A9" s="260"/>
      <c r="B9" s="260"/>
      <c r="C9" s="1387"/>
      <c r="D9" s="260"/>
      <c r="E9" s="1602" t="s">
        <v>48</v>
      </c>
      <c r="F9" s="4194" t="s">
        <v>1943</v>
      </c>
      <c r="G9" s="4194"/>
      <c r="H9" s="4194"/>
      <c r="I9" s="4194"/>
      <c r="J9" s="4194"/>
      <c r="K9" s="4194"/>
      <c r="L9" s="4194"/>
      <c r="M9" s="4194"/>
      <c r="N9" s="1603"/>
      <c r="O9" s="3842">
        <v>0</v>
      </c>
      <c r="P9" s="3843"/>
      <c r="Q9" s="3844"/>
      <c r="R9" s="3845">
        <v>0</v>
      </c>
      <c r="S9" s="3843"/>
      <c r="T9" s="3846"/>
      <c r="U9" s="3843">
        <v>0</v>
      </c>
      <c r="V9" s="3843"/>
      <c r="W9" s="3844"/>
      <c r="X9" s="3845">
        <v>0</v>
      </c>
      <c r="Y9" s="3843"/>
      <c r="Z9" s="3843"/>
      <c r="AA9" s="3847">
        <v>0</v>
      </c>
      <c r="AB9" s="3843"/>
      <c r="AC9" s="3844"/>
      <c r="AD9" s="3845">
        <v>0</v>
      </c>
      <c r="AE9" s="3843"/>
      <c r="AF9" s="3846"/>
      <c r="AG9" s="3843">
        <v>0</v>
      </c>
      <c r="AH9" s="3843"/>
      <c r="AI9" s="3844"/>
      <c r="AJ9" s="3845">
        <v>0</v>
      </c>
      <c r="AK9" s="3843"/>
      <c r="AL9" s="3848"/>
      <c r="AM9" s="260"/>
      <c r="AN9" s="260"/>
      <c r="AO9" s="1387"/>
      <c r="AP9" s="260"/>
      <c r="AQ9" s="260"/>
      <c r="AR9" s="260"/>
      <c r="AS9" s="260"/>
      <c r="AT9" s="260"/>
      <c r="AU9" s="260"/>
      <c r="AV9" s="260"/>
      <c r="AW9" s="260"/>
      <c r="AX9" s="260"/>
      <c r="AY9" s="260"/>
      <c r="AZ9" s="260"/>
      <c r="BA9" s="260"/>
      <c r="BB9" s="260"/>
      <c r="BC9" s="260"/>
      <c r="BD9" s="260"/>
    </row>
    <row r="10" spans="1:56" s="47" customFormat="1" ht="22.5" customHeight="1">
      <c r="A10" s="260"/>
      <c r="B10" s="260"/>
      <c r="C10" s="1387"/>
      <c r="D10" s="260"/>
      <c r="E10" s="1602" t="s">
        <v>49</v>
      </c>
      <c r="F10" s="4194" t="s">
        <v>1944</v>
      </c>
      <c r="G10" s="4194"/>
      <c r="H10" s="4194"/>
      <c r="I10" s="4194"/>
      <c r="J10" s="4194"/>
      <c r="K10" s="4194"/>
      <c r="L10" s="4194"/>
      <c r="M10" s="4194"/>
      <c r="N10" s="1604"/>
      <c r="O10" s="3842">
        <v>0</v>
      </c>
      <c r="P10" s="3843"/>
      <c r="Q10" s="3844"/>
      <c r="R10" s="3845">
        <v>0</v>
      </c>
      <c r="S10" s="3843"/>
      <c r="T10" s="3846"/>
      <c r="U10" s="3843">
        <v>0</v>
      </c>
      <c r="V10" s="3843"/>
      <c r="W10" s="3844"/>
      <c r="X10" s="3845">
        <v>0</v>
      </c>
      <c r="Y10" s="3843"/>
      <c r="Z10" s="3843"/>
      <c r="AA10" s="3847">
        <v>0</v>
      </c>
      <c r="AB10" s="3843"/>
      <c r="AC10" s="3844"/>
      <c r="AD10" s="3845">
        <v>0</v>
      </c>
      <c r="AE10" s="3843"/>
      <c r="AF10" s="3846"/>
      <c r="AG10" s="3843">
        <v>0</v>
      </c>
      <c r="AH10" s="3843"/>
      <c r="AI10" s="3844"/>
      <c r="AJ10" s="3845">
        <v>0</v>
      </c>
      <c r="AK10" s="3843"/>
      <c r="AL10" s="3848"/>
      <c r="AM10" s="260"/>
      <c r="AN10" s="260"/>
      <c r="AO10" s="1387"/>
      <c r="AP10" s="260"/>
      <c r="AQ10" s="260"/>
      <c r="AR10" s="260"/>
      <c r="AS10" s="260"/>
      <c r="AT10" s="260"/>
      <c r="AU10" s="260"/>
      <c r="AV10" s="260"/>
      <c r="AW10" s="260"/>
      <c r="AX10" s="260"/>
      <c r="AY10" s="260"/>
      <c r="AZ10" s="260"/>
      <c r="BA10" s="260"/>
      <c r="BB10" s="260"/>
      <c r="BC10" s="260"/>
      <c r="BD10" s="260"/>
    </row>
    <row r="11" spans="1:56" s="47" customFormat="1" ht="22.5" customHeight="1" thickBot="1">
      <c r="A11" s="260"/>
      <c r="B11" s="260"/>
      <c r="C11" s="1387"/>
      <c r="D11" s="260"/>
      <c r="E11" s="1401" t="s">
        <v>50</v>
      </c>
      <c r="F11" s="4193" t="s">
        <v>1945</v>
      </c>
      <c r="G11" s="4193"/>
      <c r="H11" s="4193"/>
      <c r="I11" s="4193"/>
      <c r="J11" s="4193"/>
      <c r="K11" s="4193"/>
      <c r="L11" s="4193"/>
      <c r="M11" s="4193"/>
      <c r="N11" s="1605"/>
      <c r="O11" s="3833">
        <v>0</v>
      </c>
      <c r="P11" s="3834"/>
      <c r="Q11" s="3835"/>
      <c r="R11" s="3836">
        <v>0</v>
      </c>
      <c r="S11" s="3834"/>
      <c r="T11" s="3837"/>
      <c r="U11" s="3834">
        <v>0</v>
      </c>
      <c r="V11" s="3834"/>
      <c r="W11" s="3835"/>
      <c r="X11" s="3836">
        <v>0</v>
      </c>
      <c r="Y11" s="3834"/>
      <c r="Z11" s="3834"/>
      <c r="AA11" s="3838">
        <v>0</v>
      </c>
      <c r="AB11" s="3834"/>
      <c r="AC11" s="3835"/>
      <c r="AD11" s="3836">
        <v>0</v>
      </c>
      <c r="AE11" s="3834"/>
      <c r="AF11" s="3837"/>
      <c r="AG11" s="3834">
        <v>0</v>
      </c>
      <c r="AH11" s="3834"/>
      <c r="AI11" s="3835"/>
      <c r="AJ11" s="3836">
        <v>0</v>
      </c>
      <c r="AK11" s="3834"/>
      <c r="AL11" s="3839"/>
      <c r="AM11" s="260"/>
      <c r="AN11" s="260"/>
      <c r="AO11" s="1387"/>
      <c r="AP11" s="260"/>
      <c r="AQ11" s="260"/>
      <c r="AR11" s="260"/>
      <c r="AS11" s="260"/>
      <c r="AT11" s="260"/>
      <c r="AU11" s="260"/>
      <c r="AV11" s="260"/>
      <c r="AW11" s="260"/>
      <c r="AX11" s="260"/>
      <c r="AY11" s="260"/>
      <c r="AZ11" s="260"/>
      <c r="BA11" s="260"/>
      <c r="BB11" s="260"/>
      <c r="BC11" s="260"/>
      <c r="BD11" s="260"/>
    </row>
    <row r="12" spans="1:56" s="47" customFormat="1" ht="5.0999999999999996" customHeight="1" thickTop="1">
      <c r="A12" s="260"/>
      <c r="B12" s="260"/>
      <c r="C12" s="1387"/>
      <c r="D12" s="260"/>
      <c r="E12" s="1403"/>
      <c r="F12" s="1606"/>
      <c r="G12" s="1606"/>
      <c r="H12" s="1606"/>
      <c r="I12" s="1606"/>
      <c r="J12" s="1606"/>
      <c r="K12" s="1606"/>
      <c r="L12" s="1606"/>
      <c r="M12" s="1606"/>
      <c r="N12" s="1606"/>
      <c r="O12" s="1406"/>
      <c r="P12" s="1406"/>
      <c r="Q12" s="1406"/>
      <c r="R12" s="1406"/>
      <c r="S12" s="1406"/>
      <c r="T12" s="1406"/>
      <c r="U12" s="1406"/>
      <c r="V12" s="1406"/>
      <c r="W12" s="1406"/>
      <c r="X12" s="1406"/>
      <c r="Y12" s="1406"/>
      <c r="Z12" s="1406"/>
      <c r="AA12" s="1406"/>
      <c r="AB12" s="1406"/>
      <c r="AC12" s="1406"/>
      <c r="AD12" s="1406"/>
      <c r="AE12" s="1406"/>
      <c r="AF12" s="1406"/>
      <c r="AG12" s="1406"/>
      <c r="AH12" s="1406"/>
      <c r="AI12" s="1406"/>
      <c r="AJ12" s="1406"/>
      <c r="AK12" s="1406"/>
      <c r="AL12" s="1406"/>
      <c r="AM12" s="260"/>
      <c r="AN12" s="1407"/>
      <c r="AO12" s="260"/>
      <c r="AP12" s="260"/>
      <c r="AQ12" s="260"/>
      <c r="AR12" s="260"/>
      <c r="AS12" s="260"/>
      <c r="AT12" s="260"/>
      <c r="AU12" s="260"/>
      <c r="AV12" s="260"/>
      <c r="AW12" s="260"/>
      <c r="AX12" s="260"/>
      <c r="AY12" s="260"/>
      <c r="AZ12" s="260"/>
      <c r="BA12" s="260"/>
      <c r="BB12" s="260"/>
      <c r="BC12" s="260"/>
      <c r="BD12" s="260"/>
    </row>
    <row r="13" spans="1:56" s="184" customFormat="1" ht="22.5" customHeight="1">
      <c r="A13" s="799"/>
      <c r="B13" s="799"/>
      <c r="C13" s="1429"/>
      <c r="D13" s="1506"/>
      <c r="E13" s="377" t="s">
        <v>268</v>
      </c>
      <c r="F13" s="1306"/>
      <c r="G13" s="1306"/>
      <c r="H13" s="1546" t="s">
        <v>1843</v>
      </c>
      <c r="I13" s="1546"/>
      <c r="J13" s="1546"/>
      <c r="K13" s="1546"/>
      <c r="L13" s="1546"/>
      <c r="M13" s="1546"/>
      <c r="N13" s="1546"/>
      <c r="O13" s="1546"/>
      <c r="P13" s="1546"/>
      <c r="Q13" s="1546"/>
      <c r="R13" s="1546"/>
      <c r="S13" s="1546"/>
      <c r="T13" s="1546"/>
      <c r="U13" s="1546"/>
      <c r="V13" s="1546"/>
      <c r="W13" s="1546"/>
      <c r="X13" s="1546"/>
      <c r="Y13" s="1546"/>
      <c r="Z13" s="1546"/>
      <c r="AA13" s="1546"/>
      <c r="AB13" s="1546"/>
      <c r="AC13" s="1546"/>
      <c r="AD13" s="1546"/>
      <c r="AE13" s="1546"/>
      <c r="AF13" s="1546"/>
      <c r="AG13" s="1546"/>
      <c r="AH13" s="1546"/>
      <c r="AI13" s="1546"/>
      <c r="AJ13" s="1546"/>
      <c r="AK13" s="1546"/>
      <c r="AL13" s="1546"/>
      <c r="AM13" s="1546"/>
      <c r="AN13" s="1593"/>
      <c r="AO13" s="799"/>
      <c r="AP13" s="799"/>
      <c r="AQ13" s="799"/>
      <c r="AR13" s="799"/>
      <c r="AS13" s="799"/>
      <c r="AT13" s="799"/>
      <c r="AU13" s="799"/>
      <c r="AV13" s="799"/>
      <c r="AW13" s="799"/>
      <c r="AX13" s="799"/>
      <c r="AY13" s="799"/>
      <c r="AZ13" s="799"/>
      <c r="BA13" s="799"/>
      <c r="BB13" s="799"/>
      <c r="BC13" s="799"/>
      <c r="BD13" s="799"/>
    </row>
    <row r="14" spans="1:56" s="186" customFormat="1" ht="9.9499999999999993" customHeight="1">
      <c r="A14" s="802"/>
      <c r="B14" s="802"/>
      <c r="C14" s="1500"/>
      <c r="D14" s="1506"/>
      <c r="E14" s="1306"/>
      <c r="F14" s="1306"/>
      <c r="G14" s="1306"/>
      <c r="H14" s="1543"/>
      <c r="I14" s="1543"/>
      <c r="J14" s="1543"/>
      <c r="K14" s="1306"/>
      <c r="L14" s="1306"/>
      <c r="M14" s="1306"/>
      <c r="N14" s="1543"/>
      <c r="O14" s="1543"/>
      <c r="P14" s="1543"/>
      <c r="Q14" s="1306"/>
      <c r="R14" s="1306"/>
      <c r="S14" s="1306"/>
      <c r="T14" s="1543"/>
      <c r="U14" s="1543"/>
      <c r="V14" s="1543"/>
      <c r="W14" s="1306"/>
      <c r="X14" s="1306"/>
      <c r="Y14" s="1306"/>
      <c r="Z14" s="1543"/>
      <c r="AA14" s="1543"/>
      <c r="AB14" s="1543"/>
      <c r="AC14" s="802"/>
      <c r="AD14" s="802"/>
      <c r="AE14" s="802"/>
      <c r="AF14" s="802"/>
      <c r="AG14" s="802"/>
      <c r="AH14" s="802"/>
      <c r="AI14" s="802"/>
      <c r="AJ14" s="802"/>
      <c r="AK14" s="802"/>
      <c r="AL14" s="802"/>
      <c r="AM14" s="802"/>
      <c r="AN14" s="802"/>
      <c r="AO14" s="1508"/>
      <c r="AP14" s="802"/>
      <c r="AQ14" s="802"/>
      <c r="AR14" s="802"/>
      <c r="AS14" s="802"/>
      <c r="AT14" s="802"/>
      <c r="AU14" s="802"/>
      <c r="AV14" s="802"/>
      <c r="AW14" s="802"/>
      <c r="AX14" s="802"/>
      <c r="AY14" s="802"/>
      <c r="AZ14" s="802"/>
      <c r="BA14" s="802"/>
      <c r="BB14" s="802"/>
      <c r="BC14" s="802"/>
      <c r="BD14" s="802"/>
    </row>
    <row r="15" spans="1:56" s="186" customFormat="1" ht="15.95" customHeight="1">
      <c r="A15" s="802"/>
      <c r="B15" s="802"/>
      <c r="C15" s="1500"/>
      <c r="D15" s="1418" t="s">
        <v>48</v>
      </c>
      <c r="E15" s="1545" t="s">
        <v>1641</v>
      </c>
      <c r="F15" s="1420"/>
      <c r="G15" s="1420"/>
      <c r="H15" s="1420"/>
      <c r="I15" s="1420"/>
      <c r="J15" s="1420"/>
      <c r="K15" s="1420"/>
      <c r="L15" s="1420"/>
      <c r="M15" s="1420"/>
      <c r="N15" s="1420"/>
      <c r="O15" s="1420"/>
      <c r="P15" s="1420"/>
      <c r="Q15" s="1420"/>
      <c r="R15" s="1420"/>
      <c r="S15" s="1420"/>
      <c r="T15" s="1420"/>
      <c r="U15" s="1420"/>
      <c r="V15" s="1420"/>
      <c r="W15" s="1420"/>
      <c r="X15" s="1420"/>
      <c r="Y15" s="1420"/>
      <c r="Z15" s="1420"/>
      <c r="AA15" s="1420"/>
      <c r="AB15" s="1420"/>
      <c r="AC15" s="802"/>
      <c r="AD15" s="1501"/>
      <c r="AE15" s="1607"/>
      <c r="AF15" s="1607"/>
      <c r="AG15" s="1607"/>
      <c r="AH15" s="1607"/>
      <c r="AI15" s="1607"/>
      <c r="AJ15" s="1607"/>
      <c r="AK15" s="1607"/>
      <c r="AL15" s="1607"/>
      <c r="AM15" s="1607"/>
      <c r="AN15" s="1607"/>
      <c r="AO15" s="1608"/>
      <c r="AP15" s="1607"/>
      <c r="AQ15" s="1607"/>
      <c r="AR15" s="1607"/>
      <c r="AS15" s="1607"/>
      <c r="AT15" s="1607"/>
      <c r="AU15" s="1607"/>
      <c r="AV15" s="1607"/>
      <c r="AW15" s="1607"/>
      <c r="AX15" s="802"/>
      <c r="AY15" s="802"/>
      <c r="AZ15" s="802"/>
      <c r="BA15" s="802"/>
      <c r="BB15" s="802"/>
      <c r="BC15" s="802"/>
      <c r="BD15" s="802"/>
    </row>
    <row r="16" spans="1:56" s="47" customFormat="1" ht="5.0999999999999996" customHeight="1" thickBot="1">
      <c r="A16" s="260"/>
      <c r="B16" s="260"/>
      <c r="C16" s="1595"/>
      <c r="D16" s="1039"/>
      <c r="E16" s="260"/>
      <c r="F16" s="260"/>
      <c r="G16" s="260"/>
      <c r="H16" s="260"/>
      <c r="I16" s="260"/>
      <c r="J16" s="260"/>
      <c r="K16" s="260"/>
      <c r="L16" s="260"/>
      <c r="M16" s="260"/>
      <c r="N16" s="260"/>
      <c r="O16" s="260"/>
      <c r="P16" s="260"/>
      <c r="Q16" s="260"/>
      <c r="R16" s="260"/>
      <c r="S16" s="260"/>
      <c r="T16" s="260"/>
      <c r="U16" s="260"/>
      <c r="V16" s="260"/>
      <c r="W16" s="260"/>
      <c r="X16" s="260"/>
      <c r="Y16" s="260"/>
      <c r="Z16" s="260"/>
      <c r="AA16" s="260"/>
      <c r="AB16" s="260"/>
      <c r="AC16" s="260"/>
      <c r="AD16" s="260"/>
      <c r="AE16" s="1607"/>
      <c r="AF16" s="1607"/>
      <c r="AG16" s="1607"/>
      <c r="AH16" s="1607"/>
      <c r="AI16" s="1607"/>
      <c r="AJ16" s="1607"/>
      <c r="AK16" s="1607"/>
      <c r="AL16" s="1607"/>
      <c r="AM16" s="1607"/>
      <c r="AN16" s="1607"/>
      <c r="AO16" s="1608"/>
      <c r="AP16" s="1607"/>
      <c r="AQ16" s="1607"/>
      <c r="AR16" s="1607"/>
      <c r="AS16" s="1607"/>
      <c r="AT16" s="1607"/>
      <c r="AU16" s="1607"/>
      <c r="AV16" s="1607"/>
      <c r="AW16" s="1607"/>
      <c r="AX16" s="1046"/>
      <c r="AY16" s="260"/>
      <c r="AZ16" s="260"/>
      <c r="BA16" s="260"/>
      <c r="BB16" s="260"/>
      <c r="BC16" s="260"/>
      <c r="BD16" s="260"/>
    </row>
    <row r="17" spans="1:56" s="171" customFormat="1" ht="18.600000000000001" customHeight="1" thickTop="1">
      <c r="A17" s="1046"/>
      <c r="B17" s="1046"/>
      <c r="C17" s="1596"/>
      <c r="D17" s="1458"/>
      <c r="E17" s="3859" t="s">
        <v>1805</v>
      </c>
      <c r="F17" s="3860"/>
      <c r="G17" s="3860"/>
      <c r="H17" s="3860"/>
      <c r="I17" s="3860"/>
      <c r="J17" s="3861"/>
      <c r="K17" s="3860" t="s">
        <v>1808</v>
      </c>
      <c r="L17" s="3860"/>
      <c r="M17" s="3860"/>
      <c r="N17" s="3860"/>
      <c r="O17" s="3860"/>
      <c r="P17" s="3861"/>
      <c r="Q17" s="771"/>
      <c r="R17" s="771"/>
      <c r="S17" s="771"/>
      <c r="T17" s="771"/>
      <c r="U17" s="771"/>
      <c r="V17" s="771"/>
      <c r="W17" s="726"/>
      <c r="X17" s="726"/>
      <c r="Y17" s="726"/>
      <c r="Z17" s="726"/>
      <c r="AA17" s="726"/>
      <c r="AB17" s="726"/>
      <c r="AC17" s="726"/>
      <c r="AD17" s="726"/>
      <c r="AE17" s="726"/>
      <c r="AF17" s="726"/>
      <c r="AG17" s="1607"/>
      <c r="AH17" s="1607"/>
      <c r="AI17" s="1607"/>
      <c r="AJ17" s="1607"/>
      <c r="AK17" s="1607"/>
      <c r="AL17" s="1607"/>
      <c r="AM17" s="1607"/>
      <c r="AN17" s="1607"/>
      <c r="AO17" s="1608"/>
      <c r="AP17" s="1607"/>
      <c r="AQ17" s="1607"/>
      <c r="AR17" s="1607"/>
      <c r="AS17" s="1607"/>
      <c r="AT17" s="1607"/>
      <c r="AU17" s="1607"/>
      <c r="AV17" s="1607"/>
      <c r="AW17" s="1607"/>
      <c r="AX17" s="1046"/>
      <c r="AY17" s="1046"/>
      <c r="AZ17" s="1046"/>
      <c r="BA17" s="1046"/>
      <c r="BB17" s="1046"/>
      <c r="BC17" s="1046"/>
      <c r="BD17" s="1046"/>
    </row>
    <row r="18" spans="1:56" s="171" customFormat="1" ht="18.600000000000001" customHeight="1" thickBot="1">
      <c r="A18" s="1046"/>
      <c r="B18" s="1046"/>
      <c r="C18" s="1596"/>
      <c r="D18" s="1458"/>
      <c r="E18" s="3974"/>
      <c r="F18" s="3975"/>
      <c r="G18" s="3975"/>
      <c r="H18" s="3975"/>
      <c r="I18" s="3975"/>
      <c r="J18" s="3976"/>
      <c r="K18" s="3975"/>
      <c r="L18" s="3975"/>
      <c r="M18" s="3975"/>
      <c r="N18" s="3975"/>
      <c r="O18" s="3975"/>
      <c r="P18" s="3976"/>
      <c r="Q18" s="771"/>
      <c r="R18" s="771"/>
      <c r="S18" s="771"/>
      <c r="T18" s="771"/>
      <c r="U18" s="771"/>
      <c r="V18" s="771"/>
      <c r="W18" s="726"/>
      <c r="X18" s="726"/>
      <c r="Y18" s="726"/>
      <c r="Z18" s="726"/>
      <c r="AA18" s="726"/>
      <c r="AB18" s="726"/>
      <c r="AC18" s="726"/>
      <c r="AD18" s="726"/>
      <c r="AE18" s="726"/>
      <c r="AF18" s="726"/>
      <c r="AG18" s="1046"/>
      <c r="AH18" s="1046"/>
      <c r="AI18" s="1046"/>
      <c r="AJ18" s="1046"/>
      <c r="AK18" s="1046"/>
      <c r="AL18" s="1046"/>
      <c r="AM18" s="1046"/>
      <c r="AN18" s="1046"/>
      <c r="AO18" s="1596"/>
      <c r="AP18" s="1046"/>
      <c r="AQ18" s="1046"/>
      <c r="AR18" s="1046"/>
      <c r="AS18" s="1046"/>
      <c r="AT18" s="1046"/>
      <c r="AU18" s="1046"/>
      <c r="AV18" s="1046"/>
      <c r="AW18" s="1046"/>
      <c r="AX18" s="1046"/>
      <c r="AY18" s="1046"/>
      <c r="AZ18" s="1046"/>
      <c r="BA18" s="1046"/>
      <c r="BB18" s="1046"/>
      <c r="BC18" s="1046"/>
      <c r="BD18" s="1046"/>
    </row>
    <row r="19" spans="1:56" s="171" customFormat="1" ht="24.6" customHeight="1" thickTop="1">
      <c r="A19" s="1046"/>
      <c r="B19" s="1046"/>
      <c r="C19" s="1596"/>
      <c r="D19" s="1458"/>
      <c r="E19" s="4107" t="s">
        <v>932</v>
      </c>
      <c r="F19" s="4108"/>
      <c r="G19" s="4108"/>
      <c r="H19" s="4108"/>
      <c r="I19" s="4108"/>
      <c r="J19" s="4109"/>
      <c r="K19" s="4191">
        <v>0</v>
      </c>
      <c r="L19" s="4191"/>
      <c r="M19" s="4191"/>
      <c r="N19" s="4191"/>
      <c r="O19" s="4191"/>
      <c r="P19" s="4192"/>
      <c r="Q19" s="1467"/>
      <c r="R19" s="1467"/>
      <c r="S19" s="1468"/>
      <c r="T19" s="1467"/>
      <c r="U19" s="1467"/>
      <c r="V19" s="1468"/>
      <c r="W19" s="1046"/>
      <c r="X19" s="1046"/>
      <c r="Y19" s="1046"/>
      <c r="Z19" s="1046"/>
      <c r="AA19" s="1046"/>
      <c r="AB19" s="1468"/>
      <c r="AC19" s="1468"/>
      <c r="AD19" s="1468"/>
      <c r="AE19" s="1468"/>
      <c r="AF19" s="1468"/>
      <c r="AG19" s="1046"/>
      <c r="AH19" s="1046"/>
      <c r="AI19" s="1046"/>
      <c r="AJ19" s="1046"/>
      <c r="AK19" s="1046"/>
      <c r="AL19" s="1046"/>
      <c r="AM19" s="1046"/>
      <c r="AN19" s="1046"/>
      <c r="AO19" s="1596"/>
      <c r="AP19" s="1046"/>
      <c r="AQ19" s="1046"/>
      <c r="AR19" s="1046"/>
      <c r="AS19" s="1046"/>
      <c r="AT19" s="1046"/>
      <c r="AU19" s="1046"/>
      <c r="AV19" s="1046"/>
      <c r="AW19" s="1046"/>
      <c r="AX19" s="1046"/>
      <c r="AY19" s="1046"/>
      <c r="AZ19" s="1046"/>
      <c r="BA19" s="1046"/>
      <c r="BB19" s="1046"/>
      <c r="BC19" s="1046"/>
      <c r="BD19" s="1046"/>
    </row>
    <row r="20" spans="1:56" s="171" customFormat="1" ht="24.6" customHeight="1">
      <c r="A20" s="1046"/>
      <c r="B20" s="1046"/>
      <c r="C20" s="1596"/>
      <c r="D20" s="1458"/>
      <c r="E20" s="4092" t="s">
        <v>1614</v>
      </c>
      <c r="F20" s="4093"/>
      <c r="G20" s="4093"/>
      <c r="H20" s="4093"/>
      <c r="I20" s="4093"/>
      <c r="J20" s="4094"/>
      <c r="K20" s="3843">
        <v>0</v>
      </c>
      <c r="L20" s="3843"/>
      <c r="M20" s="3843"/>
      <c r="N20" s="3843"/>
      <c r="O20" s="3843"/>
      <c r="P20" s="3848"/>
      <c r="Q20" s="1467"/>
      <c r="R20" s="1467"/>
      <c r="S20" s="1468"/>
      <c r="T20" s="1467"/>
      <c r="U20" s="1467"/>
      <c r="V20" s="1468"/>
      <c r="W20" s="1046"/>
      <c r="X20" s="1046"/>
      <c r="Y20" s="1046"/>
      <c r="Z20" s="1046"/>
      <c r="AA20" s="1046"/>
      <c r="AB20" s="1468"/>
      <c r="AC20" s="1468"/>
      <c r="AD20" s="1468"/>
      <c r="AE20" s="1468"/>
      <c r="AF20" s="1468"/>
      <c r="AG20" s="1046"/>
      <c r="AH20" s="1046"/>
      <c r="AI20" s="1046"/>
      <c r="AJ20" s="1046"/>
      <c r="AK20" s="1046"/>
      <c r="AL20" s="1046"/>
      <c r="AM20" s="1046"/>
      <c r="AN20" s="1046"/>
      <c r="AO20" s="1596"/>
      <c r="AP20" s="1046"/>
      <c r="AQ20" s="1046"/>
      <c r="AR20" s="1046"/>
      <c r="AS20" s="1046"/>
      <c r="AT20" s="1046"/>
      <c r="AU20" s="1046"/>
      <c r="AV20" s="1046"/>
      <c r="AW20" s="1046"/>
      <c r="AX20" s="1046"/>
      <c r="AY20" s="1046"/>
      <c r="AZ20" s="1046"/>
      <c r="BA20" s="1046"/>
      <c r="BB20" s="1046"/>
      <c r="BC20" s="1046"/>
      <c r="BD20" s="1046"/>
    </row>
    <row r="21" spans="1:56" s="171" customFormat="1" ht="24.6" customHeight="1" thickBot="1">
      <c r="A21" s="1046"/>
      <c r="B21" s="1046"/>
      <c r="C21" s="1596"/>
      <c r="D21" s="1458"/>
      <c r="E21" s="4095" t="s">
        <v>931</v>
      </c>
      <c r="F21" s="4096"/>
      <c r="G21" s="4096"/>
      <c r="H21" s="4096"/>
      <c r="I21" s="4096"/>
      <c r="J21" s="4097"/>
      <c r="K21" s="3834">
        <v>0</v>
      </c>
      <c r="L21" s="3834"/>
      <c r="M21" s="3834"/>
      <c r="N21" s="3834"/>
      <c r="O21" s="3834"/>
      <c r="P21" s="3839"/>
      <c r="Q21" s="1467"/>
      <c r="R21" s="1467"/>
      <c r="S21" s="1468"/>
      <c r="T21" s="1467"/>
      <c r="U21" s="1467"/>
      <c r="V21" s="1468"/>
      <c r="W21" s="1046"/>
      <c r="X21" s="1046"/>
      <c r="Y21" s="1046"/>
      <c r="Z21" s="1046"/>
      <c r="AA21" s="1046"/>
      <c r="AB21" s="1468"/>
      <c r="AC21" s="1468"/>
      <c r="AD21" s="1468"/>
      <c r="AE21" s="1468"/>
      <c r="AF21" s="1468"/>
      <c r="AG21" s="1467"/>
      <c r="AH21" s="1467"/>
      <c r="AI21" s="1468"/>
      <c r="AJ21" s="1467"/>
      <c r="AK21" s="1046"/>
      <c r="AL21" s="1046"/>
      <c r="AM21" s="1046"/>
      <c r="AN21" s="1046"/>
      <c r="AO21" s="1596"/>
      <c r="AP21" s="1046"/>
      <c r="AQ21" s="1046"/>
      <c r="AR21" s="1046"/>
      <c r="AS21" s="1467"/>
      <c r="AT21" s="1046"/>
      <c r="AU21" s="1046"/>
      <c r="AV21" s="1046"/>
      <c r="AW21" s="1046"/>
      <c r="AX21" s="1046"/>
      <c r="AY21" s="1046"/>
      <c r="AZ21" s="1046"/>
      <c r="BA21" s="1046"/>
      <c r="BB21" s="1046"/>
      <c r="BC21" s="1046"/>
      <c r="BD21" s="1046"/>
    </row>
    <row r="22" spans="1:56" s="186" customFormat="1" ht="24.75" customHeight="1" thickTop="1">
      <c r="A22" s="802"/>
      <c r="B22" s="802"/>
      <c r="C22" s="1500"/>
      <c r="D22" s="1501" t="s">
        <v>49</v>
      </c>
      <c r="E22" s="1340" t="b">
        <v>0</v>
      </c>
      <c r="F22" s="1505" t="s">
        <v>1642</v>
      </c>
      <c r="G22" s="1502"/>
      <c r="H22" s="1502"/>
      <c r="I22" s="1502"/>
      <c r="J22" s="1502"/>
      <c r="K22" s="1502"/>
      <c r="L22" s="1502"/>
      <c r="M22" s="1502"/>
      <c r="N22" s="1502"/>
      <c r="O22" s="1502"/>
      <c r="P22" s="1502"/>
      <c r="Q22" s="1502"/>
      <c r="R22" s="1502"/>
      <c r="S22" s="1502"/>
      <c r="T22" s="1502"/>
      <c r="U22" s="1502"/>
      <c r="V22" s="1502"/>
      <c r="W22" s="1502"/>
      <c r="X22" s="1502"/>
      <c r="Y22" s="1502"/>
      <c r="Z22" s="1502"/>
      <c r="AA22" s="1502"/>
      <c r="AB22" s="1502"/>
      <c r="AC22" s="1502"/>
      <c r="AD22" s="1502"/>
      <c r="AE22" s="1502"/>
      <c r="AF22" s="1502"/>
      <c r="AG22" s="1502"/>
      <c r="AH22" s="1502"/>
      <c r="AI22" s="1502"/>
      <c r="AJ22" s="1502"/>
      <c r="AK22" s="1502"/>
      <c r="AL22" s="1502"/>
      <c r="AM22" s="1502"/>
      <c r="AN22" s="1502"/>
      <c r="AO22" s="1609"/>
      <c r="AP22" s="1502"/>
      <c r="AQ22" s="1502"/>
      <c r="AR22" s="1502"/>
      <c r="AS22" s="1502"/>
      <c r="AT22" s="1502"/>
      <c r="AU22" s="1502"/>
      <c r="AV22" s="1502"/>
      <c r="AW22" s="1502"/>
      <c r="AX22" s="802"/>
      <c r="AY22" s="802"/>
      <c r="AZ22" s="802"/>
      <c r="BA22" s="802"/>
      <c r="BB22" s="802"/>
      <c r="BC22" s="802"/>
      <c r="BD22" s="802"/>
    </row>
    <row r="23" spans="1:56" s="186" customFormat="1" ht="9.9499999999999993" customHeight="1">
      <c r="A23" s="802"/>
      <c r="B23" s="802"/>
      <c r="C23" s="1500"/>
      <c r="D23" s="1501"/>
      <c r="E23" s="1321"/>
      <c r="F23" s="1505"/>
      <c r="G23" s="1502"/>
      <c r="H23" s="1502"/>
      <c r="I23" s="1502"/>
      <c r="J23" s="1502"/>
      <c r="K23" s="1502"/>
      <c r="L23" s="1502"/>
      <c r="M23" s="1502"/>
      <c r="N23" s="1502"/>
      <c r="O23" s="1502"/>
      <c r="P23" s="1502"/>
      <c r="Q23" s="1502"/>
      <c r="R23" s="1502"/>
      <c r="S23" s="1502"/>
      <c r="T23" s="1502"/>
      <c r="U23" s="1502"/>
      <c r="V23" s="1502"/>
      <c r="W23" s="1502"/>
      <c r="X23" s="1502"/>
      <c r="Y23" s="1502"/>
      <c r="Z23" s="1502"/>
      <c r="AA23" s="1502"/>
      <c r="AB23" s="1502"/>
      <c r="AC23" s="1502"/>
      <c r="AD23" s="1502"/>
      <c r="AE23" s="1502"/>
      <c r="AF23" s="1502"/>
      <c r="AG23" s="1502"/>
      <c r="AH23" s="1502"/>
      <c r="AI23" s="1502"/>
      <c r="AJ23" s="1502"/>
      <c r="AK23" s="1502"/>
      <c r="AL23" s="1502"/>
      <c r="AM23" s="1502"/>
      <c r="AN23" s="1502"/>
      <c r="AO23" s="1609"/>
      <c r="AP23" s="1502"/>
      <c r="AQ23" s="1502"/>
      <c r="AR23" s="1502"/>
      <c r="AS23" s="1502"/>
      <c r="AT23" s="1502"/>
      <c r="AU23" s="1502"/>
      <c r="AV23" s="1502"/>
      <c r="AW23" s="1502"/>
      <c r="AX23" s="802"/>
      <c r="AY23" s="802"/>
      <c r="AZ23" s="802"/>
      <c r="BA23" s="802"/>
      <c r="BB23" s="802"/>
      <c r="BC23" s="802"/>
      <c r="BD23" s="802"/>
    </row>
    <row r="24" spans="1:56" ht="15.6" customHeight="1">
      <c r="A24" s="798"/>
      <c r="B24" s="798"/>
      <c r="C24" s="1417"/>
      <c r="D24" s="1418" t="s">
        <v>50</v>
      </c>
      <c r="E24" s="1545" t="s">
        <v>1643</v>
      </c>
      <c r="F24" s="1420"/>
      <c r="G24" s="1420"/>
      <c r="H24" s="1420"/>
      <c r="I24" s="1420"/>
      <c r="J24" s="1420"/>
      <c r="K24" s="1420"/>
      <c r="L24" s="1420"/>
      <c r="M24" s="1420"/>
      <c r="N24" s="1420"/>
      <c r="O24" s="1420"/>
      <c r="P24" s="1420"/>
      <c r="Q24" s="1420"/>
      <c r="R24" s="1420"/>
      <c r="S24" s="1420"/>
      <c r="T24" s="1420"/>
      <c r="U24" s="1420"/>
      <c r="V24" s="1420"/>
      <c r="W24" s="1420"/>
      <c r="X24" s="1420"/>
      <c r="Y24" s="1420"/>
      <c r="Z24" s="1420"/>
      <c r="AA24" s="1420"/>
      <c r="AB24" s="1420"/>
      <c r="AC24" s="1420"/>
      <c r="AD24" s="1420"/>
      <c r="AE24" s="1420"/>
      <c r="AF24" s="1420"/>
      <c r="AG24" s="1420"/>
      <c r="AH24" s="1420"/>
      <c r="AI24" s="1420"/>
      <c r="AJ24" s="1420"/>
      <c r="AK24" s="1420"/>
      <c r="AL24" s="1420"/>
      <c r="AM24" s="1420"/>
      <c r="AN24" s="1420"/>
      <c r="AO24" s="1610"/>
      <c r="AP24" s="1420"/>
      <c r="AQ24" s="1420"/>
      <c r="AR24" s="1444"/>
      <c r="AS24" s="1420"/>
      <c r="AT24" s="1420"/>
      <c r="AU24" s="1420"/>
      <c r="AV24" s="1420"/>
      <c r="AW24" s="1444"/>
      <c r="AX24" s="798"/>
      <c r="AY24" s="798"/>
      <c r="AZ24" s="798"/>
      <c r="BA24" s="798"/>
      <c r="BB24" s="798"/>
      <c r="BC24" s="798"/>
      <c r="BD24" s="798"/>
    </row>
    <row r="25" spans="1:56" ht="5.0999999999999996" customHeight="1" thickBot="1">
      <c r="A25" s="798"/>
      <c r="B25" s="798"/>
      <c r="C25" s="1425"/>
      <c r="D25" s="1423"/>
      <c r="E25" s="1423"/>
      <c r="F25" s="1423"/>
      <c r="G25" s="1423"/>
      <c r="H25" s="1423"/>
      <c r="I25" s="1423"/>
      <c r="J25" s="1423"/>
      <c r="K25" s="1423"/>
      <c r="L25" s="1423"/>
      <c r="M25" s="1423"/>
      <c r="N25" s="1423"/>
      <c r="O25" s="1423"/>
      <c r="P25" s="1423"/>
      <c r="Q25" s="1423"/>
      <c r="R25" s="1423"/>
      <c r="S25" s="1423"/>
      <c r="T25" s="1423"/>
      <c r="U25" s="1423"/>
      <c r="V25" s="1423"/>
      <c r="W25" s="1423"/>
      <c r="X25" s="1423"/>
      <c r="Y25" s="1423"/>
      <c r="Z25" s="1423"/>
      <c r="AA25" s="1423"/>
      <c r="AB25" s="1423"/>
      <c r="AC25" s="1423"/>
      <c r="AD25" s="1423"/>
      <c r="AE25" s="1423"/>
      <c r="AF25" s="1423"/>
      <c r="AG25" s="1423"/>
      <c r="AH25" s="1423"/>
      <c r="AI25" s="1423"/>
      <c r="AJ25" s="1423"/>
      <c r="AK25" s="1423"/>
      <c r="AL25" s="1423"/>
      <c r="AM25" s="1423"/>
      <c r="AN25" s="1423"/>
      <c r="AO25" s="1611"/>
      <c r="AP25" s="1423"/>
      <c r="AQ25" s="1423"/>
      <c r="AR25" s="1423"/>
      <c r="AS25" s="1423"/>
      <c r="AT25" s="1423"/>
      <c r="AU25" s="1423"/>
      <c r="AV25" s="1423"/>
      <c r="AW25" s="1423"/>
      <c r="AX25" s="798"/>
      <c r="AY25" s="798"/>
      <c r="AZ25" s="798"/>
      <c r="BA25" s="798"/>
      <c r="BB25" s="798"/>
      <c r="BC25" s="798"/>
      <c r="BD25" s="798"/>
    </row>
    <row r="26" spans="1:56" s="47" customFormat="1" ht="15.75" customHeight="1" thickTop="1">
      <c r="A26" s="260"/>
      <c r="B26" s="260"/>
      <c r="C26" s="1387"/>
      <c r="D26" s="260"/>
      <c r="E26" s="4178" t="s">
        <v>1644</v>
      </c>
      <c r="F26" s="4179"/>
      <c r="G26" s="4179"/>
      <c r="H26" s="4179"/>
      <c r="I26" s="4179"/>
      <c r="J26" s="4179"/>
      <c r="K26" s="4179"/>
      <c r="L26" s="4179"/>
      <c r="M26" s="4179"/>
      <c r="N26" s="4179"/>
      <c r="O26" s="4179"/>
      <c r="P26" s="4179"/>
      <c r="Q26" s="4179"/>
      <c r="R26" s="4179"/>
      <c r="S26" s="4179"/>
      <c r="T26" s="4179"/>
      <c r="U26" s="4179"/>
      <c r="V26" s="4179"/>
      <c r="W26" s="4179"/>
      <c r="X26" s="4180"/>
      <c r="Y26" s="4178" t="s">
        <v>940</v>
      </c>
      <c r="Z26" s="4179"/>
      <c r="AA26" s="4179"/>
      <c r="AB26" s="4179"/>
      <c r="AC26" s="4179"/>
      <c r="AD26" s="4183"/>
      <c r="AE26" s="4185" t="s">
        <v>941</v>
      </c>
      <c r="AF26" s="3860"/>
      <c r="AG26" s="3860"/>
      <c r="AH26" s="3860"/>
      <c r="AI26" s="3860"/>
      <c r="AJ26" s="3861"/>
      <c r="AK26" s="260"/>
      <c r="AL26" s="260"/>
      <c r="AM26" s="260"/>
      <c r="AN26" s="260"/>
      <c r="AO26" s="1387"/>
      <c r="AP26" s="260"/>
      <c r="AQ26" s="260"/>
      <c r="AR26" s="260"/>
      <c r="AS26" s="260"/>
      <c r="AT26" s="260"/>
      <c r="AU26" s="260"/>
      <c r="AV26" s="260"/>
      <c r="AW26" s="260"/>
      <c r="AX26" s="260"/>
      <c r="AY26" s="260"/>
      <c r="AZ26" s="260"/>
      <c r="BA26" s="260"/>
      <c r="BB26" s="260"/>
      <c r="BC26" s="260"/>
      <c r="BD26" s="260"/>
    </row>
    <row r="27" spans="1:56" s="47" customFormat="1" ht="15.75" customHeight="1" thickBot="1">
      <c r="A27" s="260"/>
      <c r="B27" s="260"/>
      <c r="C27" s="1387"/>
      <c r="D27" s="260"/>
      <c r="E27" s="4181"/>
      <c r="F27" s="4035"/>
      <c r="G27" s="4035"/>
      <c r="H27" s="4035"/>
      <c r="I27" s="4035"/>
      <c r="J27" s="4035"/>
      <c r="K27" s="4035"/>
      <c r="L27" s="4035"/>
      <c r="M27" s="4035"/>
      <c r="N27" s="4035"/>
      <c r="O27" s="4035"/>
      <c r="P27" s="4035"/>
      <c r="Q27" s="4035"/>
      <c r="R27" s="4035"/>
      <c r="S27" s="4035"/>
      <c r="T27" s="4035"/>
      <c r="U27" s="4035"/>
      <c r="V27" s="4035"/>
      <c r="W27" s="4035"/>
      <c r="X27" s="4182"/>
      <c r="Y27" s="4184"/>
      <c r="Z27" s="2010"/>
      <c r="AA27" s="2010"/>
      <c r="AB27" s="2010"/>
      <c r="AC27" s="2010"/>
      <c r="AD27" s="2011"/>
      <c r="AE27" s="4046"/>
      <c r="AF27" s="1992"/>
      <c r="AG27" s="1992"/>
      <c r="AH27" s="1992"/>
      <c r="AI27" s="1992"/>
      <c r="AJ27" s="4186"/>
      <c r="AK27" s="260"/>
      <c r="AL27" s="260"/>
      <c r="AM27" s="260"/>
      <c r="AN27" s="260"/>
      <c r="AO27" s="1387"/>
      <c r="AP27" s="260"/>
      <c r="AQ27" s="260"/>
      <c r="AR27" s="260"/>
      <c r="AS27" s="260"/>
      <c r="AT27" s="260"/>
      <c r="AU27" s="260"/>
      <c r="AV27" s="260"/>
      <c r="AW27" s="260"/>
      <c r="AX27" s="260"/>
      <c r="AY27" s="260"/>
      <c r="AZ27" s="260"/>
      <c r="BA27" s="260"/>
      <c r="BB27" s="260"/>
      <c r="BC27" s="260"/>
      <c r="BD27" s="260"/>
    </row>
    <row r="28" spans="1:56" s="47" customFormat="1" ht="20.100000000000001" customHeight="1" thickBot="1">
      <c r="A28" s="260"/>
      <c r="B28" s="260"/>
      <c r="C28" s="1387"/>
      <c r="D28" s="260"/>
      <c r="E28" s="4181"/>
      <c r="F28" s="4035"/>
      <c r="G28" s="4035"/>
      <c r="H28" s="4035"/>
      <c r="I28" s="4035"/>
      <c r="J28" s="4035"/>
      <c r="K28" s="4035"/>
      <c r="L28" s="4035"/>
      <c r="M28" s="4035"/>
      <c r="N28" s="4035"/>
      <c r="O28" s="4035"/>
      <c r="P28" s="4035"/>
      <c r="Q28" s="4035"/>
      <c r="R28" s="4035"/>
      <c r="S28" s="4035"/>
      <c r="T28" s="4035"/>
      <c r="U28" s="4035"/>
      <c r="V28" s="4035"/>
      <c r="W28" s="4035"/>
      <c r="X28" s="4182"/>
      <c r="Y28" s="3975" t="s">
        <v>45</v>
      </c>
      <c r="Z28" s="3975"/>
      <c r="AA28" s="4187"/>
      <c r="AB28" s="4188" t="s">
        <v>46</v>
      </c>
      <c r="AC28" s="3975"/>
      <c r="AD28" s="4189"/>
      <c r="AE28" s="4190" t="s">
        <v>45</v>
      </c>
      <c r="AF28" s="3975"/>
      <c r="AG28" s="4187"/>
      <c r="AH28" s="4188" t="s">
        <v>46</v>
      </c>
      <c r="AI28" s="3975"/>
      <c r="AJ28" s="3976"/>
      <c r="AK28" s="260"/>
      <c r="AL28" s="260"/>
      <c r="AM28" s="260"/>
      <c r="AN28" s="260"/>
      <c r="AO28" s="1387"/>
      <c r="AP28" s="260"/>
      <c r="AQ28" s="260"/>
      <c r="AR28" s="260"/>
      <c r="AS28" s="260"/>
      <c r="AT28" s="260"/>
      <c r="AU28" s="260"/>
      <c r="AV28" s="260"/>
      <c r="AW28" s="260"/>
      <c r="AX28" s="260"/>
      <c r="AY28" s="260"/>
      <c r="AZ28" s="260"/>
      <c r="BA28" s="260"/>
      <c r="BB28" s="260"/>
      <c r="BC28" s="260"/>
      <c r="BD28" s="260"/>
    </row>
    <row r="29" spans="1:56" s="47" customFormat="1" ht="23.1" customHeight="1" thickTop="1">
      <c r="A29" s="260"/>
      <c r="B29" s="260"/>
      <c r="C29" s="1387"/>
      <c r="D29" s="260"/>
      <c r="E29" s="1612"/>
      <c r="F29" s="4173" t="s">
        <v>942</v>
      </c>
      <c r="G29" s="4173"/>
      <c r="H29" s="4173"/>
      <c r="I29" s="4173"/>
      <c r="J29" s="4173"/>
      <c r="K29" s="4173"/>
      <c r="L29" s="4173"/>
      <c r="M29" s="4173"/>
      <c r="N29" s="4173"/>
      <c r="O29" s="4173"/>
      <c r="P29" s="4173"/>
      <c r="Q29" s="4173"/>
      <c r="R29" s="4173"/>
      <c r="S29" s="4173"/>
      <c r="T29" s="4173"/>
      <c r="U29" s="4173"/>
      <c r="V29" s="4173"/>
      <c r="W29" s="4173"/>
      <c r="X29" s="1613"/>
      <c r="Y29" s="4110">
        <v>0</v>
      </c>
      <c r="Z29" s="4110"/>
      <c r="AA29" s="4174"/>
      <c r="AB29" s="4175">
        <v>0</v>
      </c>
      <c r="AC29" s="4110"/>
      <c r="AD29" s="4176"/>
      <c r="AE29" s="4177">
        <v>0</v>
      </c>
      <c r="AF29" s="4110"/>
      <c r="AG29" s="4174"/>
      <c r="AH29" s="4175">
        <v>0</v>
      </c>
      <c r="AI29" s="4110"/>
      <c r="AJ29" s="4111"/>
      <c r="AK29" s="260"/>
      <c r="AL29" s="260"/>
      <c r="AM29" s="260"/>
      <c r="AN29" s="260"/>
      <c r="AO29" s="1387"/>
      <c r="AP29" s="260"/>
      <c r="AQ29" s="260"/>
      <c r="AR29" s="260"/>
      <c r="AS29" s="260"/>
      <c r="AT29" s="260"/>
      <c r="AU29" s="260"/>
      <c r="AV29" s="260"/>
      <c r="AW29" s="260"/>
      <c r="AX29" s="260"/>
      <c r="AY29" s="260"/>
      <c r="AZ29" s="260"/>
      <c r="BA29" s="260"/>
      <c r="BB29" s="260"/>
      <c r="BC29" s="260"/>
      <c r="BD29" s="260"/>
    </row>
    <row r="30" spans="1:56" s="47" customFormat="1" ht="23.1" customHeight="1">
      <c r="A30" s="260"/>
      <c r="B30" s="260"/>
      <c r="C30" s="1387"/>
      <c r="D30" s="260"/>
      <c r="E30" s="1614"/>
      <c r="F30" s="4172" t="s">
        <v>943</v>
      </c>
      <c r="G30" s="4172"/>
      <c r="H30" s="4172"/>
      <c r="I30" s="4172"/>
      <c r="J30" s="4172"/>
      <c r="K30" s="4172"/>
      <c r="L30" s="4172"/>
      <c r="M30" s="4172"/>
      <c r="N30" s="4172"/>
      <c r="O30" s="4172"/>
      <c r="P30" s="4172"/>
      <c r="Q30" s="4172"/>
      <c r="R30" s="4172"/>
      <c r="S30" s="4172"/>
      <c r="T30" s="4172"/>
      <c r="U30" s="4172"/>
      <c r="V30" s="4172"/>
      <c r="W30" s="4172"/>
      <c r="X30" s="1615"/>
      <c r="Y30" s="3881">
        <v>0</v>
      </c>
      <c r="Z30" s="3881"/>
      <c r="AA30" s="3882"/>
      <c r="AB30" s="3883">
        <v>0</v>
      </c>
      <c r="AC30" s="3881"/>
      <c r="AD30" s="4047"/>
      <c r="AE30" s="4048">
        <v>0</v>
      </c>
      <c r="AF30" s="3881"/>
      <c r="AG30" s="3882"/>
      <c r="AH30" s="3883">
        <v>0</v>
      </c>
      <c r="AI30" s="3881"/>
      <c r="AJ30" s="3884"/>
      <c r="AK30" s="260"/>
      <c r="AL30" s="260"/>
      <c r="AM30" s="260"/>
      <c r="AN30" s="260"/>
      <c r="AO30" s="1387"/>
      <c r="AP30" s="260"/>
      <c r="AQ30" s="260"/>
      <c r="AR30" s="260"/>
      <c r="AS30" s="260"/>
      <c r="AT30" s="260"/>
      <c r="AU30" s="260"/>
      <c r="AV30" s="260"/>
      <c r="AW30" s="260"/>
      <c r="AX30" s="260"/>
      <c r="AY30" s="260"/>
      <c r="AZ30" s="260"/>
      <c r="BA30" s="260"/>
      <c r="BB30" s="260"/>
      <c r="BC30" s="260"/>
      <c r="BD30" s="260"/>
    </row>
    <row r="31" spans="1:56" s="47" customFormat="1" ht="32.25" customHeight="1">
      <c r="A31" s="260"/>
      <c r="B31" s="260"/>
      <c r="C31" s="1387"/>
      <c r="D31" s="260"/>
      <c r="E31" s="1616"/>
      <c r="F31" s="4172" t="s">
        <v>944</v>
      </c>
      <c r="G31" s="4172"/>
      <c r="H31" s="4172"/>
      <c r="I31" s="4172"/>
      <c r="J31" s="4172"/>
      <c r="K31" s="4172"/>
      <c r="L31" s="4172"/>
      <c r="M31" s="4172"/>
      <c r="N31" s="4172"/>
      <c r="O31" s="4172"/>
      <c r="P31" s="4172"/>
      <c r="Q31" s="4172"/>
      <c r="R31" s="4172"/>
      <c r="S31" s="4172"/>
      <c r="T31" s="4172"/>
      <c r="U31" s="4172"/>
      <c r="V31" s="4172"/>
      <c r="W31" s="4172"/>
      <c r="X31" s="1617"/>
      <c r="Y31" s="3881">
        <v>0</v>
      </c>
      <c r="Z31" s="3881"/>
      <c r="AA31" s="3882"/>
      <c r="AB31" s="3883">
        <v>0</v>
      </c>
      <c r="AC31" s="3881"/>
      <c r="AD31" s="4047"/>
      <c r="AE31" s="4048">
        <v>0</v>
      </c>
      <c r="AF31" s="3881"/>
      <c r="AG31" s="3882"/>
      <c r="AH31" s="3883">
        <v>0</v>
      </c>
      <c r="AI31" s="3881"/>
      <c r="AJ31" s="3884"/>
      <c r="AK31" s="260"/>
      <c r="AL31" s="260"/>
      <c r="AM31" s="260"/>
      <c r="AN31" s="260"/>
      <c r="AO31" s="1387"/>
      <c r="AP31" s="260"/>
      <c r="AQ31" s="260"/>
      <c r="AR31" s="260"/>
      <c r="AS31" s="260"/>
      <c r="AT31" s="260"/>
      <c r="AU31" s="260"/>
      <c r="AV31" s="260"/>
      <c r="AW31" s="260"/>
      <c r="AX31" s="260"/>
      <c r="AY31" s="260"/>
      <c r="AZ31" s="260"/>
      <c r="BA31" s="260"/>
      <c r="BB31" s="260"/>
      <c r="BC31" s="260"/>
      <c r="BD31" s="260"/>
    </row>
    <row r="32" spans="1:56" s="47" customFormat="1" ht="23.1" customHeight="1">
      <c r="A32" s="260"/>
      <c r="B32" s="260"/>
      <c r="C32" s="1387"/>
      <c r="D32" s="260"/>
      <c r="E32" s="1614"/>
      <c r="F32" s="4171" t="s">
        <v>945</v>
      </c>
      <c r="G32" s="4171"/>
      <c r="H32" s="4171"/>
      <c r="I32" s="4171"/>
      <c r="J32" s="4171"/>
      <c r="K32" s="4171"/>
      <c r="L32" s="4171"/>
      <c r="M32" s="4171"/>
      <c r="N32" s="4171"/>
      <c r="O32" s="4171"/>
      <c r="P32" s="4171"/>
      <c r="Q32" s="4171"/>
      <c r="R32" s="4171"/>
      <c r="S32" s="4171"/>
      <c r="T32" s="4171"/>
      <c r="U32" s="4171"/>
      <c r="V32" s="4171"/>
      <c r="W32" s="4171"/>
      <c r="X32" s="1615"/>
      <c r="Y32" s="3881">
        <v>0</v>
      </c>
      <c r="Z32" s="3881"/>
      <c r="AA32" s="3882"/>
      <c r="AB32" s="3883">
        <v>0</v>
      </c>
      <c r="AC32" s="3881"/>
      <c r="AD32" s="4047"/>
      <c r="AE32" s="4048">
        <v>0</v>
      </c>
      <c r="AF32" s="3881"/>
      <c r="AG32" s="3882"/>
      <c r="AH32" s="3883">
        <v>0</v>
      </c>
      <c r="AI32" s="3881"/>
      <c r="AJ32" s="3884"/>
      <c r="AK32" s="260"/>
      <c r="AL32" s="260"/>
      <c r="AM32" s="260"/>
      <c r="AN32" s="260"/>
      <c r="AO32" s="1387"/>
      <c r="AP32" s="260"/>
      <c r="AQ32" s="260"/>
      <c r="AR32" s="260"/>
      <c r="AS32" s="260"/>
      <c r="AT32" s="260"/>
      <c r="AU32" s="260"/>
      <c r="AV32" s="260"/>
      <c r="AW32" s="260"/>
      <c r="AX32" s="260"/>
      <c r="AY32" s="260"/>
      <c r="AZ32" s="260"/>
      <c r="BA32" s="260"/>
      <c r="BB32" s="260"/>
      <c r="BC32" s="260"/>
      <c r="BD32" s="260"/>
    </row>
    <row r="33" spans="1:56" s="47" customFormat="1" ht="23.1" customHeight="1">
      <c r="A33" s="260"/>
      <c r="B33" s="260"/>
      <c r="C33" s="1387"/>
      <c r="D33" s="260"/>
      <c r="E33" s="1614"/>
      <c r="F33" s="4171" t="s">
        <v>946</v>
      </c>
      <c r="G33" s="4171"/>
      <c r="H33" s="4171"/>
      <c r="I33" s="4171"/>
      <c r="J33" s="4171"/>
      <c r="K33" s="4171"/>
      <c r="L33" s="4171"/>
      <c r="M33" s="4171"/>
      <c r="N33" s="4171"/>
      <c r="O33" s="4171"/>
      <c r="P33" s="4171"/>
      <c r="Q33" s="4171"/>
      <c r="R33" s="4171"/>
      <c r="S33" s="4171"/>
      <c r="T33" s="4171"/>
      <c r="U33" s="4171"/>
      <c r="V33" s="4171"/>
      <c r="W33" s="4171"/>
      <c r="X33" s="1615"/>
      <c r="Y33" s="3881">
        <v>0</v>
      </c>
      <c r="Z33" s="3881"/>
      <c r="AA33" s="3882"/>
      <c r="AB33" s="3883">
        <v>0</v>
      </c>
      <c r="AC33" s="3881"/>
      <c r="AD33" s="4047"/>
      <c r="AE33" s="4048">
        <v>0</v>
      </c>
      <c r="AF33" s="3881"/>
      <c r="AG33" s="3882"/>
      <c r="AH33" s="3883">
        <v>0</v>
      </c>
      <c r="AI33" s="3881"/>
      <c r="AJ33" s="3884"/>
      <c r="AK33" s="260"/>
      <c r="AL33" s="260"/>
      <c r="AM33" s="260"/>
      <c r="AN33" s="260"/>
      <c r="AO33" s="1387"/>
      <c r="AP33" s="260"/>
      <c r="AQ33" s="260"/>
      <c r="AR33" s="260"/>
      <c r="AS33" s="260"/>
      <c r="AT33" s="260"/>
      <c r="AU33" s="260"/>
      <c r="AV33" s="260"/>
      <c r="AW33" s="260"/>
      <c r="AX33" s="260"/>
      <c r="AY33" s="260"/>
      <c r="AZ33" s="260"/>
      <c r="BA33" s="260"/>
      <c r="BB33" s="260"/>
      <c r="BC33" s="260"/>
      <c r="BD33" s="260"/>
    </row>
    <row r="34" spans="1:56" s="47" customFormat="1" ht="23.1" customHeight="1">
      <c r="A34" s="260"/>
      <c r="B34" s="260"/>
      <c r="C34" s="1387"/>
      <c r="D34" s="260"/>
      <c r="E34" s="1614"/>
      <c r="F34" s="4171" t="s">
        <v>947</v>
      </c>
      <c r="G34" s="4171"/>
      <c r="H34" s="4171"/>
      <c r="I34" s="4171"/>
      <c r="J34" s="4171"/>
      <c r="K34" s="4171"/>
      <c r="L34" s="4171"/>
      <c r="M34" s="4171"/>
      <c r="N34" s="4171"/>
      <c r="O34" s="4171"/>
      <c r="P34" s="4171"/>
      <c r="Q34" s="4171"/>
      <c r="R34" s="4171"/>
      <c r="S34" s="4171"/>
      <c r="T34" s="4171"/>
      <c r="U34" s="4171"/>
      <c r="V34" s="4171"/>
      <c r="W34" s="4171"/>
      <c r="X34" s="1615"/>
      <c r="Y34" s="3881">
        <v>0</v>
      </c>
      <c r="Z34" s="3881"/>
      <c r="AA34" s="3882"/>
      <c r="AB34" s="3883">
        <v>0</v>
      </c>
      <c r="AC34" s="3881"/>
      <c r="AD34" s="4047"/>
      <c r="AE34" s="4048">
        <v>0</v>
      </c>
      <c r="AF34" s="3881"/>
      <c r="AG34" s="3882"/>
      <c r="AH34" s="3883">
        <v>0</v>
      </c>
      <c r="AI34" s="3881"/>
      <c r="AJ34" s="3884"/>
      <c r="AK34" s="260"/>
      <c r="AL34" s="260"/>
      <c r="AM34" s="260"/>
      <c r="AN34" s="260"/>
      <c r="AO34" s="1387"/>
      <c r="AP34" s="260"/>
      <c r="AQ34" s="260"/>
      <c r="AR34" s="260"/>
      <c r="AS34" s="260"/>
      <c r="AT34" s="260"/>
      <c r="AU34" s="260"/>
      <c r="AV34" s="260"/>
      <c r="AW34" s="260"/>
      <c r="AX34" s="260"/>
      <c r="AY34" s="260"/>
      <c r="AZ34" s="260"/>
      <c r="BA34" s="260"/>
      <c r="BB34" s="260"/>
      <c r="BC34" s="260"/>
      <c r="BD34" s="260"/>
    </row>
    <row r="35" spans="1:56" s="47" customFormat="1" ht="23.1" customHeight="1">
      <c r="A35" s="260"/>
      <c r="B35" s="260"/>
      <c r="C35" s="1387"/>
      <c r="D35" s="260"/>
      <c r="E35" s="1614"/>
      <c r="F35" s="4171" t="s">
        <v>948</v>
      </c>
      <c r="G35" s="4171"/>
      <c r="H35" s="4171"/>
      <c r="I35" s="4171"/>
      <c r="J35" s="4171"/>
      <c r="K35" s="4171"/>
      <c r="L35" s="4171"/>
      <c r="M35" s="4171"/>
      <c r="N35" s="4171"/>
      <c r="O35" s="4171"/>
      <c r="P35" s="4171"/>
      <c r="Q35" s="4171"/>
      <c r="R35" s="4171"/>
      <c r="S35" s="4171"/>
      <c r="T35" s="4171"/>
      <c r="U35" s="4171"/>
      <c r="V35" s="4171"/>
      <c r="W35" s="4171"/>
      <c r="X35" s="1615"/>
      <c r="Y35" s="3881">
        <v>0</v>
      </c>
      <c r="Z35" s="3881"/>
      <c r="AA35" s="3882"/>
      <c r="AB35" s="3883">
        <v>0</v>
      </c>
      <c r="AC35" s="3881"/>
      <c r="AD35" s="4047"/>
      <c r="AE35" s="4048">
        <v>0</v>
      </c>
      <c r="AF35" s="3881"/>
      <c r="AG35" s="3882"/>
      <c r="AH35" s="3883">
        <v>0</v>
      </c>
      <c r="AI35" s="3881"/>
      <c r="AJ35" s="3884"/>
      <c r="AK35" s="260"/>
      <c r="AL35" s="260"/>
      <c r="AM35" s="260"/>
      <c r="AN35" s="260"/>
      <c r="AO35" s="1387"/>
      <c r="AP35" s="260"/>
      <c r="AQ35" s="260"/>
      <c r="AR35" s="260"/>
      <c r="AS35" s="260"/>
      <c r="AT35" s="260"/>
      <c r="AU35" s="260"/>
      <c r="AV35" s="260"/>
      <c r="AW35" s="260"/>
      <c r="AX35" s="260"/>
      <c r="AY35" s="260"/>
      <c r="AZ35" s="260"/>
      <c r="BA35" s="260"/>
      <c r="BB35" s="260"/>
      <c r="BC35" s="260"/>
      <c r="BD35" s="260"/>
    </row>
    <row r="36" spans="1:56" s="47" customFormat="1" ht="23.1" customHeight="1">
      <c r="A36" s="260"/>
      <c r="B36" s="260"/>
      <c r="C36" s="1387"/>
      <c r="D36" s="260"/>
      <c r="E36" s="1614"/>
      <c r="F36" s="4171" t="s">
        <v>949</v>
      </c>
      <c r="G36" s="4171"/>
      <c r="H36" s="4171"/>
      <c r="I36" s="4171"/>
      <c r="J36" s="4171"/>
      <c r="K36" s="4171"/>
      <c r="L36" s="4171"/>
      <c r="M36" s="4171"/>
      <c r="N36" s="4171"/>
      <c r="O36" s="4171"/>
      <c r="P36" s="4171"/>
      <c r="Q36" s="4171"/>
      <c r="R36" s="4171"/>
      <c r="S36" s="4171"/>
      <c r="T36" s="4171"/>
      <c r="U36" s="4171"/>
      <c r="V36" s="4171"/>
      <c r="W36" s="4171"/>
      <c r="X36" s="1615"/>
      <c r="Y36" s="3881">
        <v>0</v>
      </c>
      <c r="Z36" s="3881"/>
      <c r="AA36" s="3882"/>
      <c r="AB36" s="3883">
        <v>0</v>
      </c>
      <c r="AC36" s="3881"/>
      <c r="AD36" s="4047"/>
      <c r="AE36" s="4048">
        <v>0</v>
      </c>
      <c r="AF36" s="3881"/>
      <c r="AG36" s="3882"/>
      <c r="AH36" s="3883">
        <v>0</v>
      </c>
      <c r="AI36" s="3881"/>
      <c r="AJ36" s="3884"/>
      <c r="AK36" s="260"/>
      <c r="AL36" s="260"/>
      <c r="AM36" s="260"/>
      <c r="AN36" s="260"/>
      <c r="AO36" s="1387"/>
      <c r="AP36" s="260"/>
      <c r="AQ36" s="260"/>
      <c r="AR36" s="260"/>
      <c r="AS36" s="260"/>
      <c r="AT36" s="260"/>
      <c r="AU36" s="260"/>
      <c r="AV36" s="260"/>
      <c r="AW36" s="260"/>
      <c r="AX36" s="260"/>
      <c r="AY36" s="260"/>
      <c r="AZ36" s="260"/>
      <c r="BA36" s="260"/>
      <c r="BB36" s="260"/>
      <c r="BC36" s="260"/>
      <c r="BD36" s="260"/>
    </row>
    <row r="37" spans="1:56" s="47" customFormat="1" ht="23.1" customHeight="1">
      <c r="A37" s="260"/>
      <c r="B37" s="260"/>
      <c r="C37" s="1387"/>
      <c r="D37" s="260"/>
      <c r="E37" s="1614"/>
      <c r="F37" s="4171" t="s">
        <v>950</v>
      </c>
      <c r="G37" s="4171"/>
      <c r="H37" s="4171"/>
      <c r="I37" s="4171"/>
      <c r="J37" s="4171"/>
      <c r="K37" s="4171"/>
      <c r="L37" s="4171"/>
      <c r="M37" s="4171"/>
      <c r="N37" s="4171"/>
      <c r="O37" s="4171"/>
      <c r="P37" s="4171"/>
      <c r="Q37" s="4171"/>
      <c r="R37" s="4171"/>
      <c r="S37" s="4171"/>
      <c r="T37" s="4171"/>
      <c r="U37" s="4171"/>
      <c r="V37" s="4171"/>
      <c r="W37" s="4171"/>
      <c r="X37" s="1615"/>
      <c r="Y37" s="3881">
        <v>0</v>
      </c>
      <c r="Z37" s="3881"/>
      <c r="AA37" s="3882"/>
      <c r="AB37" s="3883">
        <v>0</v>
      </c>
      <c r="AC37" s="3881"/>
      <c r="AD37" s="4047"/>
      <c r="AE37" s="4048">
        <v>0</v>
      </c>
      <c r="AF37" s="3881"/>
      <c r="AG37" s="3882"/>
      <c r="AH37" s="3883">
        <v>0</v>
      </c>
      <c r="AI37" s="3881"/>
      <c r="AJ37" s="3884"/>
      <c r="AK37" s="260"/>
      <c r="AL37" s="260"/>
      <c r="AM37" s="260"/>
      <c r="AN37" s="260"/>
      <c r="AO37" s="1387"/>
      <c r="AP37" s="260"/>
      <c r="AQ37" s="260"/>
      <c r="AR37" s="260"/>
      <c r="AS37" s="260"/>
      <c r="AT37" s="260"/>
      <c r="AU37" s="260"/>
      <c r="AV37" s="260"/>
      <c r="AW37" s="260"/>
      <c r="AX37" s="260"/>
      <c r="AY37" s="260"/>
      <c r="AZ37" s="260"/>
      <c r="BA37" s="260"/>
      <c r="BB37" s="260"/>
      <c r="BC37" s="260"/>
      <c r="BD37" s="260"/>
    </row>
    <row r="38" spans="1:56" s="47" customFormat="1" ht="23.1" customHeight="1">
      <c r="A38" s="260"/>
      <c r="B38" s="260"/>
      <c r="C38" s="1387"/>
      <c r="D38" s="260"/>
      <c r="E38" s="1614"/>
      <c r="F38" s="4171" t="s">
        <v>921</v>
      </c>
      <c r="G38" s="4171"/>
      <c r="H38" s="4171"/>
      <c r="I38" s="4171"/>
      <c r="J38" s="4171"/>
      <c r="K38" s="4171"/>
      <c r="L38" s="4171"/>
      <c r="M38" s="4171"/>
      <c r="N38" s="4171"/>
      <c r="O38" s="4171"/>
      <c r="P38" s="4171"/>
      <c r="Q38" s="4171"/>
      <c r="R38" s="4171"/>
      <c r="S38" s="4171"/>
      <c r="T38" s="4171"/>
      <c r="U38" s="4171"/>
      <c r="V38" s="4171"/>
      <c r="W38" s="4171"/>
      <c r="X38" s="1615"/>
      <c r="Y38" s="3881">
        <v>0</v>
      </c>
      <c r="Z38" s="3881"/>
      <c r="AA38" s="3882"/>
      <c r="AB38" s="3883">
        <v>0</v>
      </c>
      <c r="AC38" s="3881"/>
      <c r="AD38" s="4047"/>
      <c r="AE38" s="4048">
        <v>0</v>
      </c>
      <c r="AF38" s="3881"/>
      <c r="AG38" s="3882"/>
      <c r="AH38" s="3883">
        <v>0</v>
      </c>
      <c r="AI38" s="3881"/>
      <c r="AJ38" s="3884"/>
      <c r="AK38" s="260"/>
      <c r="AL38" s="260"/>
      <c r="AM38" s="260"/>
      <c r="AN38" s="260"/>
      <c r="AO38" s="1387"/>
      <c r="AP38" s="260"/>
      <c r="AQ38" s="260"/>
      <c r="AR38" s="260"/>
      <c r="AS38" s="260"/>
      <c r="AT38" s="260"/>
      <c r="AU38" s="260"/>
      <c r="AV38" s="260"/>
      <c r="AW38" s="260"/>
      <c r="AX38" s="260"/>
      <c r="AY38" s="260"/>
      <c r="AZ38" s="260"/>
      <c r="BA38" s="260"/>
      <c r="BB38" s="260"/>
      <c r="BC38" s="260"/>
      <c r="BD38" s="260"/>
    </row>
    <row r="39" spans="1:56" s="47" customFormat="1" ht="23.1" customHeight="1">
      <c r="A39" s="260"/>
      <c r="B39" s="260"/>
      <c r="C39" s="1387"/>
      <c r="D39" s="260"/>
      <c r="E39" s="1614"/>
      <c r="F39" s="4171" t="s">
        <v>951</v>
      </c>
      <c r="G39" s="4171"/>
      <c r="H39" s="4171"/>
      <c r="I39" s="4171"/>
      <c r="J39" s="4171"/>
      <c r="K39" s="4171"/>
      <c r="L39" s="4171"/>
      <c r="M39" s="4171"/>
      <c r="N39" s="4171"/>
      <c r="O39" s="4171"/>
      <c r="P39" s="4171"/>
      <c r="Q39" s="4171"/>
      <c r="R39" s="4171"/>
      <c r="S39" s="4171"/>
      <c r="T39" s="4171"/>
      <c r="U39" s="4171"/>
      <c r="V39" s="4171"/>
      <c r="W39" s="4171"/>
      <c r="X39" s="1615"/>
      <c r="Y39" s="3881">
        <v>0</v>
      </c>
      <c r="Z39" s="3881"/>
      <c r="AA39" s="3882"/>
      <c r="AB39" s="3883">
        <v>0</v>
      </c>
      <c r="AC39" s="3881"/>
      <c r="AD39" s="4047"/>
      <c r="AE39" s="4048">
        <v>0</v>
      </c>
      <c r="AF39" s="3881"/>
      <c r="AG39" s="3882"/>
      <c r="AH39" s="3883">
        <v>0</v>
      </c>
      <c r="AI39" s="3881"/>
      <c r="AJ39" s="3884"/>
      <c r="AK39" s="260"/>
      <c r="AL39" s="260"/>
      <c r="AM39" s="260"/>
      <c r="AN39" s="260"/>
      <c r="AO39" s="1387"/>
      <c r="AP39" s="260"/>
      <c r="AQ39" s="260"/>
      <c r="AR39" s="260"/>
      <c r="AS39" s="260"/>
      <c r="AT39" s="260"/>
      <c r="AU39" s="260"/>
      <c r="AV39" s="260"/>
      <c r="AW39" s="260"/>
      <c r="AX39" s="260"/>
      <c r="AY39" s="260"/>
      <c r="AZ39" s="260"/>
      <c r="BA39" s="260"/>
      <c r="BB39" s="260"/>
      <c r="BC39" s="260"/>
      <c r="BD39" s="260"/>
    </row>
    <row r="40" spans="1:56" s="47" customFormat="1" ht="23.1" customHeight="1">
      <c r="A40" s="260"/>
      <c r="B40" s="260"/>
      <c r="C40" s="1387"/>
      <c r="D40" s="260"/>
      <c r="E40" s="1614"/>
      <c r="F40" s="4171" t="s">
        <v>952</v>
      </c>
      <c r="G40" s="4171"/>
      <c r="H40" s="4171"/>
      <c r="I40" s="4171"/>
      <c r="J40" s="4171"/>
      <c r="K40" s="4171"/>
      <c r="L40" s="4171"/>
      <c r="M40" s="4171"/>
      <c r="N40" s="4171"/>
      <c r="O40" s="4171"/>
      <c r="P40" s="4171"/>
      <c r="Q40" s="4171"/>
      <c r="R40" s="4171"/>
      <c r="S40" s="4171"/>
      <c r="T40" s="4171"/>
      <c r="U40" s="4171"/>
      <c r="V40" s="4171"/>
      <c r="W40" s="4171"/>
      <c r="X40" s="1615"/>
      <c r="Y40" s="3881">
        <v>0</v>
      </c>
      <c r="Z40" s="3881"/>
      <c r="AA40" s="3882"/>
      <c r="AB40" s="3883">
        <v>0</v>
      </c>
      <c r="AC40" s="3881"/>
      <c r="AD40" s="4047"/>
      <c r="AE40" s="4048">
        <v>0</v>
      </c>
      <c r="AF40" s="3881"/>
      <c r="AG40" s="3882"/>
      <c r="AH40" s="3883">
        <v>0</v>
      </c>
      <c r="AI40" s="3881"/>
      <c r="AJ40" s="3884"/>
      <c r="AK40" s="260"/>
      <c r="AL40" s="260"/>
      <c r="AM40" s="260"/>
      <c r="AN40" s="260"/>
      <c r="AO40" s="1387"/>
      <c r="AP40" s="260"/>
      <c r="AQ40" s="260"/>
      <c r="AR40" s="260"/>
      <c r="AS40" s="260"/>
      <c r="AT40" s="260"/>
      <c r="AU40" s="260"/>
      <c r="AV40" s="260"/>
      <c r="AW40" s="260"/>
      <c r="AX40" s="260"/>
      <c r="AY40" s="260"/>
      <c r="AZ40" s="260"/>
      <c r="BA40" s="260"/>
      <c r="BB40" s="260"/>
      <c r="BC40" s="260"/>
      <c r="BD40" s="260"/>
    </row>
    <row r="41" spans="1:56" s="47" customFormat="1" ht="23.1" customHeight="1">
      <c r="A41" s="260"/>
      <c r="B41" s="260"/>
      <c r="C41" s="1387"/>
      <c r="D41" s="260"/>
      <c r="E41" s="1614"/>
      <c r="F41" s="4171" t="s">
        <v>953</v>
      </c>
      <c r="G41" s="4171"/>
      <c r="H41" s="4171"/>
      <c r="I41" s="4171"/>
      <c r="J41" s="4171"/>
      <c r="K41" s="4171"/>
      <c r="L41" s="4171"/>
      <c r="M41" s="4171"/>
      <c r="N41" s="4171"/>
      <c r="O41" s="4171"/>
      <c r="P41" s="4171"/>
      <c r="Q41" s="4171"/>
      <c r="R41" s="4171"/>
      <c r="S41" s="4171"/>
      <c r="T41" s="4171"/>
      <c r="U41" s="4171"/>
      <c r="V41" s="4171"/>
      <c r="W41" s="4171"/>
      <c r="X41" s="1615"/>
      <c r="Y41" s="3881">
        <v>0</v>
      </c>
      <c r="Z41" s="3881"/>
      <c r="AA41" s="3882"/>
      <c r="AB41" s="3883">
        <v>0</v>
      </c>
      <c r="AC41" s="3881"/>
      <c r="AD41" s="4047"/>
      <c r="AE41" s="4048">
        <v>0</v>
      </c>
      <c r="AF41" s="3881"/>
      <c r="AG41" s="3882"/>
      <c r="AH41" s="3883">
        <v>0</v>
      </c>
      <c r="AI41" s="3881"/>
      <c r="AJ41" s="3884"/>
      <c r="AK41" s="260"/>
      <c r="AL41" s="260"/>
      <c r="AM41" s="260"/>
      <c r="AN41" s="260"/>
      <c r="AO41" s="1387"/>
      <c r="AP41" s="260"/>
      <c r="AQ41" s="260"/>
      <c r="AR41" s="260"/>
      <c r="AS41" s="260"/>
      <c r="AT41" s="260"/>
      <c r="AU41" s="260"/>
      <c r="AV41" s="260"/>
      <c r="AW41" s="260"/>
      <c r="AX41" s="260"/>
      <c r="AY41" s="260"/>
      <c r="AZ41" s="260"/>
      <c r="BA41" s="260"/>
      <c r="BB41" s="260"/>
      <c r="BC41" s="260"/>
      <c r="BD41" s="260"/>
    </row>
    <row r="42" spans="1:56" s="47" customFormat="1" ht="23.1" customHeight="1">
      <c r="A42" s="260"/>
      <c r="B42" s="260"/>
      <c r="C42" s="1387"/>
      <c r="D42" s="260"/>
      <c r="E42" s="1614"/>
      <c r="F42" s="4171" t="s">
        <v>954</v>
      </c>
      <c r="G42" s="4171"/>
      <c r="H42" s="4171"/>
      <c r="I42" s="4171"/>
      <c r="J42" s="4171"/>
      <c r="K42" s="4171"/>
      <c r="L42" s="4171"/>
      <c r="M42" s="4171"/>
      <c r="N42" s="4171"/>
      <c r="O42" s="4171"/>
      <c r="P42" s="4171"/>
      <c r="Q42" s="4171"/>
      <c r="R42" s="4171"/>
      <c r="S42" s="4171"/>
      <c r="T42" s="4171"/>
      <c r="U42" s="4171"/>
      <c r="V42" s="4171"/>
      <c r="W42" s="4171"/>
      <c r="X42" s="1615"/>
      <c r="Y42" s="3881">
        <v>0</v>
      </c>
      <c r="Z42" s="3881"/>
      <c r="AA42" s="3882"/>
      <c r="AB42" s="3883">
        <v>0</v>
      </c>
      <c r="AC42" s="3881"/>
      <c r="AD42" s="4047"/>
      <c r="AE42" s="4048">
        <v>0</v>
      </c>
      <c r="AF42" s="3881"/>
      <c r="AG42" s="3882"/>
      <c r="AH42" s="3883">
        <v>0</v>
      </c>
      <c r="AI42" s="3881"/>
      <c r="AJ42" s="3884"/>
      <c r="AK42" s="260"/>
      <c r="AL42" s="260"/>
      <c r="AM42" s="260"/>
      <c r="AN42" s="260"/>
      <c r="AO42" s="1387"/>
      <c r="AP42" s="260"/>
      <c r="AQ42" s="260"/>
      <c r="AR42" s="260"/>
      <c r="AS42" s="260"/>
      <c r="AT42" s="260"/>
      <c r="AU42" s="260"/>
      <c r="AV42" s="260"/>
      <c r="AW42" s="260"/>
      <c r="AX42" s="260"/>
      <c r="AY42" s="260"/>
      <c r="AZ42" s="260"/>
      <c r="BA42" s="260"/>
      <c r="BB42" s="260"/>
      <c r="BC42" s="260"/>
      <c r="BD42" s="260"/>
    </row>
    <row r="43" spans="1:56" s="47" customFormat="1" ht="23.1" customHeight="1">
      <c r="A43" s="260"/>
      <c r="B43" s="260"/>
      <c r="C43" s="1387"/>
      <c r="D43" s="260"/>
      <c r="E43" s="1614"/>
      <c r="F43" s="4171" t="s">
        <v>955</v>
      </c>
      <c r="G43" s="4171"/>
      <c r="H43" s="4171"/>
      <c r="I43" s="4171"/>
      <c r="J43" s="4171"/>
      <c r="K43" s="4171"/>
      <c r="L43" s="4171"/>
      <c r="M43" s="4171"/>
      <c r="N43" s="4171"/>
      <c r="O43" s="4171"/>
      <c r="P43" s="4171"/>
      <c r="Q43" s="4171"/>
      <c r="R43" s="4171"/>
      <c r="S43" s="4171"/>
      <c r="T43" s="4171"/>
      <c r="U43" s="4171"/>
      <c r="V43" s="4171"/>
      <c r="W43" s="4171"/>
      <c r="X43" s="1615"/>
      <c r="Y43" s="3881">
        <v>0</v>
      </c>
      <c r="Z43" s="3881"/>
      <c r="AA43" s="3882"/>
      <c r="AB43" s="3883">
        <v>0</v>
      </c>
      <c r="AC43" s="3881"/>
      <c r="AD43" s="4047"/>
      <c r="AE43" s="4048">
        <v>0</v>
      </c>
      <c r="AF43" s="3881"/>
      <c r="AG43" s="3882"/>
      <c r="AH43" s="3883">
        <v>0</v>
      </c>
      <c r="AI43" s="3881"/>
      <c r="AJ43" s="3884"/>
      <c r="AK43" s="260"/>
      <c r="AL43" s="260"/>
      <c r="AM43" s="260"/>
      <c r="AN43" s="260"/>
      <c r="AO43" s="1387"/>
      <c r="AP43" s="260"/>
      <c r="AQ43" s="260"/>
      <c r="AR43" s="260"/>
      <c r="AS43" s="260"/>
      <c r="AT43" s="260"/>
      <c r="AU43" s="260"/>
      <c r="AV43" s="260"/>
      <c r="AW43" s="260"/>
      <c r="AX43" s="260"/>
      <c r="AY43" s="260"/>
      <c r="AZ43" s="260"/>
      <c r="BA43" s="260"/>
      <c r="BB43" s="260"/>
      <c r="BC43" s="260"/>
      <c r="BD43" s="260"/>
    </row>
    <row r="44" spans="1:56" s="47" customFormat="1" ht="23.1" customHeight="1">
      <c r="A44" s="260"/>
      <c r="B44" s="260"/>
      <c r="C44" s="1387"/>
      <c r="D44" s="260"/>
      <c r="E44" s="1614"/>
      <c r="F44" s="4171" t="s">
        <v>956</v>
      </c>
      <c r="G44" s="4171"/>
      <c r="H44" s="4171"/>
      <c r="I44" s="4171"/>
      <c r="J44" s="4171"/>
      <c r="K44" s="4171"/>
      <c r="L44" s="4171"/>
      <c r="M44" s="4171"/>
      <c r="N44" s="4171"/>
      <c r="O44" s="4171"/>
      <c r="P44" s="4171"/>
      <c r="Q44" s="4171"/>
      <c r="R44" s="4171"/>
      <c r="S44" s="4171"/>
      <c r="T44" s="4171"/>
      <c r="U44" s="4171"/>
      <c r="V44" s="4171"/>
      <c r="W44" s="4171"/>
      <c r="X44" s="1615"/>
      <c r="Y44" s="3881">
        <v>0</v>
      </c>
      <c r="Z44" s="3881"/>
      <c r="AA44" s="3882"/>
      <c r="AB44" s="3883">
        <v>0</v>
      </c>
      <c r="AC44" s="3881"/>
      <c r="AD44" s="4047"/>
      <c r="AE44" s="4048">
        <v>0</v>
      </c>
      <c r="AF44" s="3881"/>
      <c r="AG44" s="3882"/>
      <c r="AH44" s="3883">
        <v>0</v>
      </c>
      <c r="AI44" s="3881"/>
      <c r="AJ44" s="3884"/>
      <c r="AK44" s="260"/>
      <c r="AL44" s="260"/>
      <c r="AM44" s="260"/>
      <c r="AN44" s="260"/>
      <c r="AO44" s="1387"/>
      <c r="AP44" s="260"/>
      <c r="AQ44" s="260"/>
      <c r="AR44" s="260"/>
      <c r="AS44" s="260"/>
      <c r="AT44" s="260"/>
      <c r="AU44" s="260"/>
      <c r="AV44" s="260"/>
      <c r="AW44" s="260"/>
      <c r="AX44" s="260"/>
      <c r="AY44" s="260"/>
      <c r="AZ44" s="260"/>
      <c r="BA44" s="260"/>
      <c r="BB44" s="260"/>
      <c r="BC44" s="260"/>
      <c r="BD44" s="260"/>
    </row>
    <row r="45" spans="1:56" s="47" customFormat="1" ht="23.1" customHeight="1">
      <c r="A45" s="260"/>
      <c r="B45" s="260"/>
      <c r="C45" s="1387"/>
      <c r="D45" s="260"/>
      <c r="E45" s="1614"/>
      <c r="F45" s="4171" t="s">
        <v>957</v>
      </c>
      <c r="G45" s="4171"/>
      <c r="H45" s="4171"/>
      <c r="I45" s="4171"/>
      <c r="J45" s="4171"/>
      <c r="K45" s="4171"/>
      <c r="L45" s="4171"/>
      <c r="M45" s="4171"/>
      <c r="N45" s="4171"/>
      <c r="O45" s="4171"/>
      <c r="P45" s="4171"/>
      <c r="Q45" s="4171"/>
      <c r="R45" s="4171"/>
      <c r="S45" s="4171"/>
      <c r="T45" s="4171"/>
      <c r="U45" s="4171"/>
      <c r="V45" s="4171"/>
      <c r="W45" s="4171"/>
      <c r="X45" s="1615"/>
      <c r="Y45" s="3881">
        <v>0</v>
      </c>
      <c r="Z45" s="3881"/>
      <c r="AA45" s="3882"/>
      <c r="AB45" s="3883">
        <v>0</v>
      </c>
      <c r="AC45" s="3881"/>
      <c r="AD45" s="4047"/>
      <c r="AE45" s="4048">
        <v>0</v>
      </c>
      <c r="AF45" s="3881"/>
      <c r="AG45" s="3882"/>
      <c r="AH45" s="3883">
        <v>0</v>
      </c>
      <c r="AI45" s="3881"/>
      <c r="AJ45" s="3884"/>
      <c r="AK45" s="260"/>
      <c r="AL45" s="260"/>
      <c r="AM45" s="260"/>
      <c r="AN45" s="260"/>
      <c r="AO45" s="1387"/>
      <c r="AP45" s="260"/>
      <c r="AQ45" s="260"/>
      <c r="AR45" s="260"/>
      <c r="AS45" s="260"/>
      <c r="AT45" s="260"/>
      <c r="AU45" s="260"/>
      <c r="AV45" s="260"/>
      <c r="AW45" s="260"/>
      <c r="AX45" s="260"/>
      <c r="AY45" s="260"/>
      <c r="AZ45" s="260"/>
      <c r="BA45" s="260"/>
      <c r="BB45" s="260"/>
      <c r="BC45" s="260"/>
      <c r="BD45" s="260"/>
    </row>
    <row r="46" spans="1:56" s="47" customFormat="1" ht="23.1" customHeight="1">
      <c r="A46" s="260"/>
      <c r="B46" s="260"/>
      <c r="C46" s="1387"/>
      <c r="D46" s="260"/>
      <c r="E46" s="1614"/>
      <c r="F46" s="4171" t="s">
        <v>958</v>
      </c>
      <c r="G46" s="4171"/>
      <c r="H46" s="4171"/>
      <c r="I46" s="4171"/>
      <c r="J46" s="4171"/>
      <c r="K46" s="4171"/>
      <c r="L46" s="4171"/>
      <c r="M46" s="4171"/>
      <c r="N46" s="4171"/>
      <c r="O46" s="4171"/>
      <c r="P46" s="4171"/>
      <c r="Q46" s="4171"/>
      <c r="R46" s="4171"/>
      <c r="S46" s="4171"/>
      <c r="T46" s="4171"/>
      <c r="U46" s="4171"/>
      <c r="V46" s="4171"/>
      <c r="W46" s="4171"/>
      <c r="X46" s="1615"/>
      <c r="Y46" s="3881">
        <v>0</v>
      </c>
      <c r="Z46" s="3881"/>
      <c r="AA46" s="3882"/>
      <c r="AB46" s="3883">
        <v>0</v>
      </c>
      <c r="AC46" s="3881"/>
      <c r="AD46" s="4047"/>
      <c r="AE46" s="4048">
        <v>0</v>
      </c>
      <c r="AF46" s="3881"/>
      <c r="AG46" s="3882"/>
      <c r="AH46" s="3883">
        <v>0</v>
      </c>
      <c r="AI46" s="3881"/>
      <c r="AJ46" s="3884"/>
      <c r="AK46" s="260"/>
      <c r="AL46" s="260"/>
      <c r="AM46" s="260"/>
      <c r="AN46" s="260"/>
      <c r="AO46" s="1387"/>
      <c r="AP46" s="260"/>
      <c r="AQ46" s="260"/>
      <c r="AR46" s="260"/>
      <c r="AS46" s="260"/>
      <c r="AT46" s="260"/>
      <c r="AU46" s="260"/>
      <c r="AV46" s="260"/>
      <c r="AW46" s="260"/>
      <c r="AX46" s="260"/>
      <c r="AY46" s="260"/>
      <c r="AZ46" s="260"/>
      <c r="BA46" s="260"/>
      <c r="BB46" s="260"/>
      <c r="BC46" s="260"/>
      <c r="BD46" s="260"/>
    </row>
    <row r="47" spans="1:56" s="47" customFormat="1" ht="23.1" customHeight="1">
      <c r="A47" s="260"/>
      <c r="B47" s="260"/>
      <c r="C47" s="1387"/>
      <c r="D47" s="260"/>
      <c r="E47" s="1614"/>
      <c r="F47" s="4171" t="s">
        <v>959</v>
      </c>
      <c r="G47" s="4171"/>
      <c r="H47" s="4171"/>
      <c r="I47" s="4171"/>
      <c r="J47" s="4171"/>
      <c r="K47" s="4171"/>
      <c r="L47" s="4171"/>
      <c r="M47" s="4171"/>
      <c r="N47" s="4171"/>
      <c r="O47" s="4171"/>
      <c r="P47" s="4171"/>
      <c r="Q47" s="4171"/>
      <c r="R47" s="4171"/>
      <c r="S47" s="4171"/>
      <c r="T47" s="4171"/>
      <c r="U47" s="4171"/>
      <c r="V47" s="4171"/>
      <c r="W47" s="4171"/>
      <c r="X47" s="1615"/>
      <c r="Y47" s="3881">
        <v>0</v>
      </c>
      <c r="Z47" s="3881"/>
      <c r="AA47" s="3882"/>
      <c r="AB47" s="3883">
        <v>0</v>
      </c>
      <c r="AC47" s="3881"/>
      <c r="AD47" s="4047"/>
      <c r="AE47" s="4048">
        <v>0</v>
      </c>
      <c r="AF47" s="3881"/>
      <c r="AG47" s="3882"/>
      <c r="AH47" s="3883">
        <v>0</v>
      </c>
      <c r="AI47" s="3881"/>
      <c r="AJ47" s="3884"/>
      <c r="AK47" s="260"/>
      <c r="AL47" s="260"/>
      <c r="AM47" s="260"/>
      <c r="AN47" s="260"/>
      <c r="AO47" s="1387"/>
      <c r="AP47" s="260"/>
      <c r="AQ47" s="260"/>
      <c r="AR47" s="260"/>
      <c r="AS47" s="260"/>
      <c r="AT47" s="260"/>
      <c r="AU47" s="260"/>
      <c r="AV47" s="260"/>
      <c r="AW47" s="260"/>
      <c r="AX47" s="260"/>
      <c r="AY47" s="260"/>
      <c r="AZ47" s="260"/>
      <c r="BA47" s="260"/>
      <c r="BB47" s="260"/>
      <c r="BC47" s="260"/>
      <c r="BD47" s="260"/>
    </row>
    <row r="48" spans="1:56" s="47" customFormat="1" ht="23.1" customHeight="1">
      <c r="A48" s="260"/>
      <c r="B48" s="260"/>
      <c r="C48" s="1387"/>
      <c r="D48" s="260"/>
      <c r="E48" s="1614"/>
      <c r="F48" s="4171" t="s">
        <v>1645</v>
      </c>
      <c r="G48" s="4171"/>
      <c r="H48" s="4171"/>
      <c r="I48" s="4171"/>
      <c r="J48" s="4171"/>
      <c r="K48" s="4171"/>
      <c r="L48" s="4171"/>
      <c r="M48" s="4171"/>
      <c r="N48" s="4171"/>
      <c r="O48" s="4171"/>
      <c r="P48" s="4171"/>
      <c r="Q48" s="4171"/>
      <c r="R48" s="4171"/>
      <c r="S48" s="4171"/>
      <c r="T48" s="4171"/>
      <c r="U48" s="4171"/>
      <c r="V48" s="4171"/>
      <c r="W48" s="4171"/>
      <c r="X48" s="1615"/>
      <c r="Y48" s="3881">
        <v>0</v>
      </c>
      <c r="Z48" s="3881"/>
      <c r="AA48" s="3882"/>
      <c r="AB48" s="3883">
        <v>0</v>
      </c>
      <c r="AC48" s="3881"/>
      <c r="AD48" s="4047"/>
      <c r="AE48" s="4048">
        <v>0</v>
      </c>
      <c r="AF48" s="3881"/>
      <c r="AG48" s="3882"/>
      <c r="AH48" s="3883">
        <v>0</v>
      </c>
      <c r="AI48" s="3881"/>
      <c r="AJ48" s="3884"/>
      <c r="AK48" s="260"/>
      <c r="AL48" s="260"/>
      <c r="AM48" s="260"/>
      <c r="AN48" s="260"/>
      <c r="AO48" s="1387"/>
      <c r="AP48" s="260"/>
      <c r="AQ48" s="260"/>
      <c r="AR48" s="260"/>
      <c r="AS48" s="260"/>
      <c r="AT48" s="260"/>
      <c r="AU48" s="260"/>
      <c r="AV48" s="260"/>
      <c r="AW48" s="260"/>
      <c r="AX48" s="260"/>
      <c r="AY48" s="260"/>
      <c r="AZ48" s="260"/>
      <c r="BA48" s="260"/>
      <c r="BB48" s="260"/>
      <c r="BC48" s="260"/>
      <c r="BD48" s="260"/>
    </row>
    <row r="49" spans="1:56" s="47" customFormat="1" ht="23.1" customHeight="1">
      <c r="A49" s="260"/>
      <c r="B49" s="260"/>
      <c r="C49" s="1387"/>
      <c r="D49" s="260"/>
      <c r="E49" s="1614"/>
      <c r="F49" s="4171" t="s">
        <v>960</v>
      </c>
      <c r="G49" s="4171"/>
      <c r="H49" s="4171"/>
      <c r="I49" s="4171"/>
      <c r="J49" s="4171"/>
      <c r="K49" s="4171"/>
      <c r="L49" s="4171"/>
      <c r="M49" s="4171"/>
      <c r="N49" s="4171"/>
      <c r="O49" s="4171"/>
      <c r="P49" s="4171"/>
      <c r="Q49" s="4171"/>
      <c r="R49" s="4171"/>
      <c r="S49" s="4171"/>
      <c r="T49" s="4171"/>
      <c r="U49" s="4171"/>
      <c r="V49" s="4171"/>
      <c r="W49" s="4171"/>
      <c r="X49" s="1615"/>
      <c r="Y49" s="3881">
        <v>0</v>
      </c>
      <c r="Z49" s="3881"/>
      <c r="AA49" s="3882"/>
      <c r="AB49" s="3883">
        <v>0</v>
      </c>
      <c r="AC49" s="3881"/>
      <c r="AD49" s="4047"/>
      <c r="AE49" s="4048">
        <v>0</v>
      </c>
      <c r="AF49" s="3881"/>
      <c r="AG49" s="3882"/>
      <c r="AH49" s="3883">
        <v>0</v>
      </c>
      <c r="AI49" s="3881"/>
      <c r="AJ49" s="3884"/>
      <c r="AK49" s="260"/>
      <c r="AL49" s="260"/>
      <c r="AM49" s="260"/>
      <c r="AN49" s="260"/>
      <c r="AO49" s="1387"/>
      <c r="AP49" s="260"/>
      <c r="AQ49" s="260"/>
      <c r="AR49" s="260"/>
      <c r="AS49" s="260"/>
      <c r="AT49" s="260"/>
      <c r="AU49" s="260"/>
      <c r="AV49" s="260"/>
      <c r="AW49" s="260"/>
      <c r="AX49" s="260"/>
      <c r="AY49" s="260"/>
      <c r="AZ49" s="260"/>
      <c r="BA49" s="260"/>
      <c r="BB49" s="260"/>
      <c r="BC49" s="260"/>
      <c r="BD49" s="260"/>
    </row>
    <row r="50" spans="1:56" s="47" customFormat="1" ht="23.1" customHeight="1">
      <c r="A50" s="260"/>
      <c r="B50" s="260"/>
      <c r="C50" s="1387"/>
      <c r="D50" s="260"/>
      <c r="E50" s="1614"/>
      <c r="F50" s="4171" t="s">
        <v>961</v>
      </c>
      <c r="G50" s="4171"/>
      <c r="H50" s="4171"/>
      <c r="I50" s="4171"/>
      <c r="J50" s="4171"/>
      <c r="K50" s="4171"/>
      <c r="L50" s="4171"/>
      <c r="M50" s="4171"/>
      <c r="N50" s="4171"/>
      <c r="O50" s="4171"/>
      <c r="P50" s="4171"/>
      <c r="Q50" s="4171"/>
      <c r="R50" s="4171"/>
      <c r="S50" s="4171"/>
      <c r="T50" s="4171"/>
      <c r="U50" s="4171"/>
      <c r="V50" s="4171"/>
      <c r="W50" s="4171"/>
      <c r="X50" s="1615"/>
      <c r="Y50" s="3881">
        <v>0</v>
      </c>
      <c r="Z50" s="3881"/>
      <c r="AA50" s="3882"/>
      <c r="AB50" s="3883">
        <v>0</v>
      </c>
      <c r="AC50" s="3881"/>
      <c r="AD50" s="4047"/>
      <c r="AE50" s="4048">
        <v>0</v>
      </c>
      <c r="AF50" s="3881"/>
      <c r="AG50" s="3882"/>
      <c r="AH50" s="3883">
        <v>0</v>
      </c>
      <c r="AI50" s="3881"/>
      <c r="AJ50" s="3884"/>
      <c r="AK50" s="260"/>
      <c r="AL50" s="260"/>
      <c r="AM50" s="260"/>
      <c r="AN50" s="260"/>
      <c r="AO50" s="1387"/>
      <c r="AP50" s="260"/>
      <c r="AQ50" s="260"/>
      <c r="AR50" s="260"/>
      <c r="AS50" s="260"/>
      <c r="AT50" s="260"/>
      <c r="AU50" s="260"/>
      <c r="AV50" s="260"/>
      <c r="AW50" s="260"/>
      <c r="AX50" s="260"/>
      <c r="AY50" s="260"/>
      <c r="AZ50" s="260"/>
      <c r="BA50" s="260"/>
      <c r="BB50" s="260"/>
      <c r="BC50" s="260"/>
      <c r="BD50" s="260"/>
    </row>
    <row r="51" spans="1:56" s="47" customFormat="1" ht="23.1" customHeight="1">
      <c r="A51" s="260"/>
      <c r="B51" s="260"/>
      <c r="C51" s="1387"/>
      <c r="D51" s="260"/>
      <c r="E51" s="1618"/>
      <c r="F51" s="4152" t="s">
        <v>1790</v>
      </c>
      <c r="G51" s="4152"/>
      <c r="H51" s="4152"/>
      <c r="I51" s="4152"/>
      <c r="J51" s="4152"/>
      <c r="K51" s="4152"/>
      <c r="L51" s="4152"/>
      <c r="M51" s="4152"/>
      <c r="N51" s="4152"/>
      <c r="O51" s="4152"/>
      <c r="P51" s="4152"/>
      <c r="Q51" s="4152"/>
      <c r="R51" s="4152"/>
      <c r="S51" s="4152"/>
      <c r="T51" s="4152"/>
      <c r="U51" s="4152"/>
      <c r="V51" s="4152"/>
      <c r="W51" s="4152"/>
      <c r="X51" s="1619"/>
      <c r="Y51" s="4153">
        <v>0</v>
      </c>
      <c r="Z51" s="4153"/>
      <c r="AA51" s="4154"/>
      <c r="AB51" s="4159">
        <v>0</v>
      </c>
      <c r="AC51" s="4153"/>
      <c r="AD51" s="4160"/>
      <c r="AE51" s="4165">
        <v>0</v>
      </c>
      <c r="AF51" s="4153"/>
      <c r="AG51" s="4154"/>
      <c r="AH51" s="4159">
        <v>0</v>
      </c>
      <c r="AI51" s="4153"/>
      <c r="AJ51" s="4168"/>
      <c r="AK51" s="260"/>
      <c r="AL51" s="260"/>
      <c r="AM51" s="260"/>
      <c r="AN51" s="260"/>
      <c r="AO51" s="1387"/>
      <c r="AP51" s="260"/>
      <c r="AQ51" s="260"/>
      <c r="AR51" s="260"/>
      <c r="AS51" s="260"/>
      <c r="AT51" s="260"/>
      <c r="AU51" s="260"/>
      <c r="AV51" s="260"/>
      <c r="AW51" s="260"/>
      <c r="AX51" s="260"/>
      <c r="AY51" s="260"/>
      <c r="AZ51" s="260"/>
      <c r="BA51" s="260"/>
      <c r="BB51" s="260"/>
      <c r="BC51" s="260"/>
      <c r="BD51" s="260"/>
    </row>
    <row r="52" spans="1:56" s="47" customFormat="1" ht="23.1" customHeight="1">
      <c r="A52" s="260"/>
      <c r="B52" s="260"/>
      <c r="C52" s="1387"/>
      <c r="D52" s="260"/>
      <c r="E52" s="1620"/>
      <c r="F52" s="3938"/>
      <c r="G52" s="3938"/>
      <c r="H52" s="3938"/>
      <c r="I52" s="3938"/>
      <c r="J52" s="3938"/>
      <c r="K52" s="3938"/>
      <c r="L52" s="3938"/>
      <c r="M52" s="3938"/>
      <c r="N52" s="3938"/>
      <c r="O52" s="3938"/>
      <c r="P52" s="3938"/>
      <c r="Q52" s="3938"/>
      <c r="R52" s="3938"/>
      <c r="S52" s="3938"/>
      <c r="T52" s="3938"/>
      <c r="U52" s="3938"/>
      <c r="V52" s="3938"/>
      <c r="W52" s="3938"/>
      <c r="X52" s="1597"/>
      <c r="Y52" s="4155"/>
      <c r="Z52" s="4155"/>
      <c r="AA52" s="4156"/>
      <c r="AB52" s="4161"/>
      <c r="AC52" s="4155"/>
      <c r="AD52" s="4162"/>
      <c r="AE52" s="4166"/>
      <c r="AF52" s="4155"/>
      <c r="AG52" s="4156"/>
      <c r="AH52" s="4161"/>
      <c r="AI52" s="4155"/>
      <c r="AJ52" s="4169"/>
      <c r="AK52" s="260"/>
      <c r="AL52" s="260"/>
      <c r="AM52" s="260"/>
      <c r="AN52" s="260"/>
      <c r="AO52" s="1387"/>
      <c r="AP52" s="260"/>
      <c r="AQ52" s="260"/>
      <c r="AR52" s="260"/>
      <c r="AS52" s="260"/>
      <c r="AT52" s="260"/>
      <c r="AU52" s="260"/>
      <c r="AV52" s="260"/>
      <c r="AW52" s="260"/>
      <c r="AX52" s="260"/>
      <c r="AY52" s="260"/>
      <c r="AZ52" s="260"/>
      <c r="BA52" s="260"/>
      <c r="BB52" s="260"/>
      <c r="BC52" s="260"/>
      <c r="BD52" s="260"/>
    </row>
    <row r="53" spans="1:56" ht="5.0999999999999996" customHeight="1" thickBot="1">
      <c r="A53" s="798"/>
      <c r="B53" s="798"/>
      <c r="C53" s="1621"/>
      <c r="D53" s="1321"/>
      <c r="E53" s="1622"/>
      <c r="F53" s="1525"/>
      <c r="G53" s="1525"/>
      <c r="H53" s="1525"/>
      <c r="I53" s="1525"/>
      <c r="J53" s="1525"/>
      <c r="K53" s="1525"/>
      <c r="L53" s="1525"/>
      <c r="M53" s="1525"/>
      <c r="N53" s="1525"/>
      <c r="O53" s="1525"/>
      <c r="P53" s="1441"/>
      <c r="Q53" s="1441"/>
      <c r="R53" s="1441"/>
      <c r="S53" s="1441"/>
      <c r="T53" s="1441"/>
      <c r="U53" s="1441"/>
      <c r="V53" s="1441"/>
      <c r="W53" s="1441"/>
      <c r="X53" s="1442"/>
      <c r="Y53" s="4157"/>
      <c r="Z53" s="4157"/>
      <c r="AA53" s="4158"/>
      <c r="AB53" s="4163"/>
      <c r="AC53" s="4157"/>
      <c r="AD53" s="4164"/>
      <c r="AE53" s="4167"/>
      <c r="AF53" s="4157"/>
      <c r="AG53" s="4158"/>
      <c r="AH53" s="4163"/>
      <c r="AI53" s="4157"/>
      <c r="AJ53" s="4170"/>
      <c r="AK53" s="798"/>
      <c r="AL53" s="798"/>
      <c r="AM53" s="798"/>
      <c r="AN53" s="798"/>
      <c r="AO53" s="1417"/>
      <c r="AP53" s="798"/>
      <c r="AQ53" s="798"/>
      <c r="AR53" s="798"/>
      <c r="AS53" s="798"/>
      <c r="AT53" s="798"/>
      <c r="AU53" s="798"/>
      <c r="AV53" s="798"/>
      <c r="AW53" s="798"/>
      <c r="AX53" s="798"/>
      <c r="AY53" s="798"/>
      <c r="AZ53" s="798"/>
      <c r="BA53" s="798"/>
      <c r="BB53" s="798"/>
      <c r="BC53" s="798"/>
      <c r="BD53" s="798"/>
    </row>
    <row r="54" spans="1:56" ht="15" customHeight="1" thickTop="1" thickBot="1">
      <c r="A54" s="798"/>
      <c r="B54" s="798"/>
      <c r="C54" s="1437"/>
      <c r="D54" s="1311"/>
      <c r="E54" s="1524"/>
      <c r="F54" s="1754" t="str">
        <f>IF(AND(ISBLANK(resilince_num_trainmodule_others_specify), SUM(Y51:AJ53)&gt;0), "Please specify.", IF(AND(resilince_num_trainmodule_others_specify&gt;0, SUM(Y51:AJ53)=0), "Please provide details.", ""))</f>
        <v/>
      </c>
      <c r="G54" s="1525"/>
      <c r="H54" s="1525"/>
      <c r="I54" s="1525"/>
      <c r="J54" s="1525"/>
      <c r="K54" s="1525"/>
      <c r="L54" s="1525"/>
      <c r="M54" s="1525"/>
      <c r="N54" s="1525"/>
      <c r="O54" s="1525"/>
      <c r="P54" s="1441"/>
      <c r="Q54" s="1441"/>
      <c r="R54" s="1441"/>
      <c r="S54" s="1441"/>
      <c r="T54" s="1441"/>
      <c r="U54" s="1441"/>
      <c r="V54" s="1441"/>
      <c r="W54" s="1441"/>
      <c r="X54" s="1441"/>
      <c r="Y54" s="1623"/>
      <c r="Z54" s="1623"/>
      <c r="AA54" s="1623"/>
      <c r="AB54" s="1623"/>
      <c r="AC54" s="1623"/>
      <c r="AD54" s="1623"/>
      <c r="AE54" s="1623"/>
      <c r="AF54" s="1623"/>
      <c r="AG54" s="1623"/>
      <c r="AH54" s="1623"/>
      <c r="AI54" s="1623"/>
      <c r="AJ54" s="1623"/>
      <c r="AK54" s="1441"/>
      <c r="AL54" s="1441"/>
      <c r="AM54" s="1441"/>
      <c r="AN54" s="1441"/>
      <c r="AO54" s="1417"/>
      <c r="AP54" s="798"/>
      <c r="AQ54" s="798"/>
      <c r="AR54" s="798"/>
      <c r="AS54" s="798"/>
      <c r="AT54" s="798"/>
      <c r="AU54" s="798"/>
      <c r="AV54" s="798"/>
      <c r="AW54" s="798"/>
      <c r="AX54" s="798"/>
      <c r="AY54" s="798"/>
      <c r="AZ54" s="798"/>
      <c r="BA54" s="798"/>
      <c r="BB54" s="798"/>
      <c r="BC54" s="798"/>
      <c r="BD54" s="798"/>
    </row>
    <row r="55" spans="1:56" ht="9.9499999999999993" customHeight="1" thickTop="1">
      <c r="A55" s="798"/>
      <c r="B55" s="1443"/>
      <c r="C55" s="1321"/>
      <c r="D55" s="799"/>
      <c r="E55" s="1444"/>
      <c r="F55" s="1444"/>
      <c r="G55" s="1444"/>
      <c r="H55" s="1444"/>
      <c r="I55" s="1444"/>
      <c r="J55" s="1444"/>
      <c r="K55" s="798"/>
      <c r="L55" s="798"/>
      <c r="M55" s="798"/>
      <c r="N55" s="798"/>
      <c r="O55" s="798"/>
      <c r="P55" s="798"/>
      <c r="Q55" s="798"/>
      <c r="R55" s="798"/>
      <c r="S55" s="798"/>
      <c r="T55" s="798"/>
      <c r="U55" s="798"/>
      <c r="V55" s="798"/>
      <c r="W55" s="798"/>
      <c r="X55" s="798"/>
      <c r="Y55" s="798"/>
      <c r="Z55" s="798"/>
      <c r="AA55" s="798"/>
      <c r="AB55" s="798"/>
      <c r="AC55" s="798"/>
      <c r="AD55" s="798"/>
      <c r="AE55" s="798"/>
      <c r="AF55" s="798"/>
      <c r="AG55" s="798"/>
      <c r="AH55" s="798"/>
      <c r="AI55" s="798"/>
      <c r="AJ55" s="798"/>
      <c r="AK55" s="798"/>
      <c r="AL55" s="798"/>
      <c r="AM55" s="798"/>
      <c r="AN55" s="798"/>
      <c r="AO55" s="798"/>
      <c r="AP55" s="798"/>
      <c r="AQ55" s="798"/>
      <c r="AR55" s="798"/>
      <c r="AS55" s="798"/>
      <c r="AT55" s="798"/>
      <c r="AU55" s="798"/>
      <c r="AV55" s="798"/>
      <c r="AW55" s="798"/>
      <c r="AX55" s="798"/>
      <c r="AY55" s="798"/>
      <c r="AZ55" s="798"/>
      <c r="BA55" s="798"/>
      <c r="BB55" s="798"/>
      <c r="BC55" s="798"/>
      <c r="BD55" s="798"/>
    </row>
    <row r="56" spans="1:56" s="102" customFormat="1" ht="17.25">
      <c r="A56" s="599"/>
      <c r="B56" s="599"/>
      <c r="C56" s="227" t="s">
        <v>1195</v>
      </c>
      <c r="D56" s="599"/>
      <c r="E56" s="1227"/>
      <c r="F56" s="1235"/>
      <c r="G56" s="1235"/>
      <c r="H56" s="1235"/>
      <c r="I56" s="1235"/>
      <c r="J56" s="1235"/>
      <c r="K56" s="1235"/>
      <c r="L56" s="1235"/>
      <c r="M56" s="1235"/>
      <c r="N56" s="1235"/>
      <c r="O56" s="1235"/>
      <c r="P56" s="1235"/>
      <c r="Q56" s="1235"/>
      <c r="R56" s="1235"/>
      <c r="S56" s="1235"/>
      <c r="T56" s="1235"/>
      <c r="U56" s="1235"/>
      <c r="V56" s="1235"/>
      <c r="W56" s="599"/>
      <c r="X56" s="599"/>
      <c r="Y56" s="599"/>
      <c r="Z56" s="599"/>
      <c r="AA56" s="599"/>
      <c r="AB56" s="599"/>
      <c r="AC56" s="599"/>
      <c r="AD56" s="599"/>
      <c r="AE56" s="599"/>
      <c r="AF56" s="599"/>
      <c r="AG56" s="599"/>
      <c r="AH56" s="599"/>
      <c r="AI56" s="599"/>
      <c r="AJ56" s="599"/>
      <c r="AK56" s="599"/>
      <c r="AL56" s="599"/>
      <c r="AM56" s="599"/>
      <c r="AN56" s="599"/>
      <c r="AO56" s="599"/>
      <c r="AP56" s="599"/>
      <c r="AQ56" s="599"/>
      <c r="AR56" s="599"/>
      <c r="AS56" s="599"/>
      <c r="AT56" s="599"/>
      <c r="AU56" s="599"/>
      <c r="AV56" s="599"/>
      <c r="AW56" s="599"/>
      <c r="AX56" s="599"/>
      <c r="AY56" s="599"/>
      <c r="AZ56" s="599"/>
      <c r="BA56" s="599"/>
      <c r="BB56" s="599"/>
      <c r="BC56" s="599"/>
      <c r="BD56" s="599"/>
    </row>
    <row r="57" spans="1:56" s="44" customFormat="1" ht="30.75" customHeight="1">
      <c r="A57" s="434"/>
      <c r="B57" s="434"/>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4"/>
      <c r="AU57" s="434"/>
      <c r="AV57" s="434"/>
      <c r="AW57" s="434"/>
      <c r="AX57" s="434"/>
      <c r="AY57" s="434"/>
      <c r="AZ57" s="434"/>
      <c r="BA57" s="434"/>
      <c r="BB57" s="434"/>
      <c r="BC57" s="434"/>
      <c r="BD57" s="434"/>
    </row>
    <row r="58" spans="1:56" s="37" customFormat="1" ht="15">
      <c r="A58" s="263"/>
      <c r="B58" s="332" t="s">
        <v>32</v>
      </c>
      <c r="C58" s="263"/>
      <c r="D58" s="263"/>
      <c r="E58" s="263"/>
      <c r="F58" s="263"/>
      <c r="G58" s="263"/>
      <c r="H58" s="263"/>
      <c r="I58" s="263"/>
      <c r="J58" s="263"/>
      <c r="K58" s="263"/>
      <c r="L58" s="263"/>
      <c r="M58" s="263"/>
      <c r="N58" s="263"/>
      <c r="O58" s="263"/>
      <c r="P58" s="332" t="s">
        <v>856</v>
      </c>
      <c r="Q58" s="263"/>
      <c r="R58" s="263"/>
      <c r="S58" s="263"/>
      <c r="T58" s="263"/>
      <c r="U58" s="263"/>
      <c r="V58" s="263"/>
      <c r="W58" s="263"/>
      <c r="X58" s="263"/>
      <c r="Y58" s="263"/>
      <c r="Z58" s="263"/>
      <c r="AA58" s="263"/>
      <c r="AB58" s="263"/>
      <c r="AC58" s="263"/>
      <c r="AD58" s="332" t="s">
        <v>33</v>
      </c>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row>
    <row r="59" spans="1:56" s="37" customFormat="1" ht="21.75" customHeight="1">
      <c r="A59" s="263"/>
      <c r="B59" s="332" t="s">
        <v>75</v>
      </c>
      <c r="C59" s="263"/>
      <c r="D59" s="263"/>
      <c r="E59" s="263"/>
      <c r="F59" s="2790" t="str">
        <f>activesheet!E21</f>
        <v>MELCHESIEDICK Q. BOLANIO / March 17, 2023</v>
      </c>
      <c r="G59" s="2790"/>
      <c r="H59" s="2790"/>
      <c r="I59" s="2790"/>
      <c r="J59" s="2790"/>
      <c r="K59" s="2790"/>
      <c r="L59" s="2790"/>
      <c r="M59" s="2790"/>
      <c r="N59" s="263"/>
      <c r="O59" s="263"/>
      <c r="P59" s="2790" t="str">
        <f>activesheet!E3344</f>
        <v>ELYN KENDRA D. DELA CRUZ / March 17, 2023</v>
      </c>
      <c r="Q59" s="2790"/>
      <c r="R59" s="2790"/>
      <c r="S59" s="2790"/>
      <c r="T59" s="2790"/>
      <c r="U59" s="2790"/>
      <c r="V59" s="2790"/>
      <c r="W59" s="2790"/>
      <c r="X59" s="2790"/>
      <c r="Y59" s="2790"/>
      <c r="Z59" s="2790"/>
      <c r="AA59" s="2790"/>
      <c r="AB59" s="263"/>
      <c r="AC59" s="263"/>
      <c r="AD59" s="3784" t="str">
        <f>activesheet!E25</f>
        <v>MICHAEL T. JAMIS / March 17, 2023</v>
      </c>
      <c r="AE59" s="3784"/>
      <c r="AF59" s="3784"/>
      <c r="AG59" s="3784"/>
      <c r="AH59" s="3784"/>
      <c r="AI59" s="3784"/>
      <c r="AJ59" s="3784"/>
      <c r="AK59" s="3784"/>
      <c r="AL59" s="3784"/>
      <c r="AM59" s="3784"/>
      <c r="AN59" s="3784"/>
      <c r="AO59" s="3784"/>
      <c r="AP59" s="263"/>
      <c r="AQ59" s="263"/>
      <c r="AR59" s="263"/>
      <c r="AS59" s="263"/>
      <c r="AT59" s="263"/>
      <c r="AU59" s="263"/>
      <c r="AV59" s="263"/>
      <c r="AW59" s="263"/>
      <c r="AX59" s="263"/>
      <c r="AY59" s="263"/>
      <c r="AZ59" s="263"/>
      <c r="BA59" s="263"/>
      <c r="BB59" s="263"/>
      <c r="BC59" s="263"/>
      <c r="BD59" s="263"/>
    </row>
    <row r="60" spans="1:56" s="39" customFormat="1" ht="14.1" customHeight="1">
      <c r="A60" s="280"/>
      <c r="B60" s="228"/>
      <c r="C60" s="280"/>
      <c r="D60" s="280"/>
      <c r="E60" s="280"/>
      <c r="F60" s="1807" t="s">
        <v>37</v>
      </c>
      <c r="G60" s="1807"/>
      <c r="H60" s="1807"/>
      <c r="I60" s="1807"/>
      <c r="J60" s="1807"/>
      <c r="K60" s="1807"/>
      <c r="L60" s="1807"/>
      <c r="M60" s="1807"/>
      <c r="N60" s="322"/>
      <c r="O60" s="322"/>
      <c r="P60" s="1807" t="s">
        <v>37</v>
      </c>
      <c r="Q60" s="1807"/>
      <c r="R60" s="1807"/>
      <c r="S60" s="1807"/>
      <c r="T60" s="1807"/>
      <c r="U60" s="1807"/>
      <c r="V60" s="1807"/>
      <c r="W60" s="1807"/>
      <c r="X60" s="1807"/>
      <c r="Y60" s="1807"/>
      <c r="Z60" s="1807"/>
      <c r="AA60" s="1807"/>
      <c r="AB60" s="322"/>
      <c r="AC60" s="322"/>
      <c r="AD60" s="3785"/>
      <c r="AE60" s="3785"/>
      <c r="AF60" s="3785"/>
      <c r="AG60" s="3785"/>
      <c r="AH60" s="3785"/>
      <c r="AI60" s="3785"/>
      <c r="AJ60" s="3785"/>
      <c r="AK60" s="3785"/>
      <c r="AL60" s="3785"/>
      <c r="AM60" s="3785"/>
      <c r="AN60" s="3785"/>
      <c r="AO60" s="3785"/>
      <c r="AP60" s="280"/>
      <c r="AQ60" s="280"/>
      <c r="AR60" s="280"/>
      <c r="AS60" s="280"/>
      <c r="AT60" s="280"/>
      <c r="AU60" s="280"/>
      <c r="AV60" s="280"/>
      <c r="AW60" s="280"/>
      <c r="AX60" s="280"/>
      <c r="AY60" s="280"/>
      <c r="AZ60" s="280"/>
      <c r="BA60" s="280"/>
      <c r="BB60" s="280"/>
      <c r="BC60" s="280"/>
      <c r="BD60" s="280"/>
    </row>
    <row r="61" spans="1:56" s="37" customFormat="1" ht="21.75" customHeight="1">
      <c r="A61" s="263"/>
      <c r="B61" s="332" t="s">
        <v>58</v>
      </c>
      <c r="C61" s="263"/>
      <c r="D61" s="263"/>
      <c r="E61" s="263"/>
      <c r="F61" s="2790" t="str">
        <f>activesheet!E22</f>
        <v>SECONDARY SCHOOL PRINCIPAL IV</v>
      </c>
      <c r="G61" s="2790"/>
      <c r="H61" s="2790"/>
      <c r="I61" s="2790"/>
      <c r="J61" s="2790"/>
      <c r="K61" s="2790"/>
      <c r="L61" s="2790"/>
      <c r="M61" s="2790"/>
      <c r="N61" s="263"/>
      <c r="O61" s="263"/>
      <c r="P61" s="332" t="s">
        <v>58</v>
      </c>
      <c r="Q61" s="263"/>
      <c r="R61" s="263"/>
      <c r="S61" s="263"/>
      <c r="T61" s="263"/>
      <c r="U61" s="263"/>
      <c r="V61" s="2790" t="str">
        <f>activesheet!E3345</f>
        <v>PROJECT DEVELOPMENT OFFICER II</v>
      </c>
      <c r="W61" s="2790"/>
      <c r="X61" s="2790"/>
      <c r="Y61" s="2790"/>
      <c r="Z61" s="2790"/>
      <c r="AA61" s="2790"/>
      <c r="AB61" s="263"/>
      <c r="AC61" s="263"/>
      <c r="AD61" s="1807" t="s">
        <v>37</v>
      </c>
      <c r="AE61" s="1807"/>
      <c r="AF61" s="1807"/>
      <c r="AG61" s="1807"/>
      <c r="AH61" s="1807"/>
      <c r="AI61" s="1807"/>
      <c r="AJ61" s="1807"/>
      <c r="AK61" s="1807"/>
      <c r="AL61" s="1807"/>
      <c r="AM61" s="1807"/>
      <c r="AN61" s="1807"/>
      <c r="AO61" s="1807"/>
      <c r="AP61" s="263"/>
      <c r="AQ61" s="263"/>
      <c r="AR61" s="263"/>
      <c r="AS61" s="263"/>
      <c r="AT61" s="263"/>
      <c r="AU61" s="263"/>
      <c r="AV61" s="263"/>
      <c r="AW61" s="263"/>
      <c r="AX61" s="263"/>
      <c r="AY61" s="263"/>
      <c r="AZ61" s="263"/>
      <c r="BA61" s="263"/>
      <c r="BB61" s="263"/>
      <c r="BC61" s="263"/>
      <c r="BD61" s="263"/>
    </row>
    <row r="62" spans="1:56">
      <c r="A62" s="798"/>
      <c r="B62" s="798"/>
      <c r="C62" s="798"/>
      <c r="D62" s="798"/>
      <c r="E62" s="798"/>
      <c r="F62" s="798"/>
      <c r="G62" s="798"/>
      <c r="H62" s="798"/>
      <c r="I62" s="798"/>
      <c r="J62" s="798"/>
      <c r="K62" s="798"/>
      <c r="L62" s="798"/>
      <c r="M62" s="798"/>
      <c r="N62" s="798"/>
      <c r="O62" s="798"/>
      <c r="P62" s="434"/>
      <c r="Q62" s="434"/>
      <c r="R62" s="798"/>
      <c r="S62" s="798"/>
      <c r="T62" s="798"/>
      <c r="U62" s="798"/>
      <c r="V62" s="798"/>
      <c r="W62" s="798"/>
      <c r="X62" s="798"/>
      <c r="Y62" s="798"/>
      <c r="Z62" s="798"/>
      <c r="AA62" s="798"/>
      <c r="AB62" s="798"/>
      <c r="AC62" s="798"/>
      <c r="AD62" s="798"/>
      <c r="AE62" s="798"/>
      <c r="AF62" s="798"/>
      <c r="AG62" s="798"/>
      <c r="AH62" s="798"/>
      <c r="AI62" s="798"/>
      <c r="AJ62" s="798"/>
      <c r="AK62" s="798"/>
      <c r="AL62" s="798"/>
      <c r="AM62" s="798"/>
      <c r="AN62" s="798"/>
      <c r="AO62" s="798"/>
      <c r="AP62" s="798"/>
      <c r="AQ62" s="798"/>
      <c r="AR62" s="798"/>
      <c r="AS62" s="798"/>
      <c r="AT62" s="798"/>
      <c r="AU62" s="798"/>
      <c r="AV62" s="798"/>
      <c r="AW62" s="798"/>
      <c r="AX62" s="798"/>
      <c r="AY62" s="798"/>
      <c r="AZ62" s="798"/>
      <c r="BA62" s="798"/>
      <c r="BB62" s="798"/>
      <c r="BC62" s="798"/>
      <c r="BD62" s="798"/>
    </row>
    <row r="63" spans="1:56">
      <c r="A63" s="798"/>
      <c r="B63" s="798"/>
      <c r="C63" s="798"/>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c r="AH63" s="799"/>
      <c r="AI63" s="799"/>
      <c r="AJ63" s="799"/>
      <c r="AK63" s="799"/>
      <c r="AL63" s="799"/>
      <c r="AM63" s="799"/>
      <c r="AN63" s="799"/>
      <c r="AO63" s="799"/>
      <c r="AP63" s="799"/>
      <c r="AQ63" s="798"/>
      <c r="AR63" s="798"/>
      <c r="AS63" s="798"/>
      <c r="AT63" s="798"/>
      <c r="AU63" s="798"/>
      <c r="AV63" s="798"/>
      <c r="AW63" s="798"/>
      <c r="AX63" s="798"/>
      <c r="AY63" s="798"/>
      <c r="AZ63" s="798"/>
      <c r="BA63" s="798"/>
      <c r="BB63" s="798"/>
      <c r="BC63" s="798"/>
      <c r="BD63" s="798"/>
    </row>
    <row r="64" spans="1:56">
      <c r="A64" s="798"/>
      <c r="B64" s="798"/>
      <c r="C64" s="798"/>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c r="AH64" s="799"/>
      <c r="AI64" s="799"/>
      <c r="AJ64" s="799"/>
      <c r="AK64" s="799"/>
      <c r="AL64" s="799"/>
      <c r="AM64" s="799"/>
      <c r="AN64" s="799"/>
      <c r="AO64" s="799"/>
      <c r="AP64" s="799"/>
      <c r="AQ64" s="798"/>
      <c r="AR64" s="798"/>
      <c r="AS64" s="798"/>
      <c r="AT64" s="798"/>
      <c r="AU64" s="798"/>
      <c r="AV64" s="798"/>
      <c r="AW64" s="798"/>
      <c r="AX64" s="798"/>
      <c r="AY64" s="798"/>
      <c r="AZ64" s="798"/>
      <c r="BA64" s="798"/>
      <c r="BB64" s="798"/>
      <c r="BC64" s="798"/>
      <c r="BD64" s="798"/>
    </row>
    <row r="65" spans="1:56">
      <c r="A65" s="798"/>
      <c r="B65" s="798"/>
      <c r="C65" s="798"/>
      <c r="D65" s="799"/>
      <c r="E65" s="799"/>
      <c r="F65" s="799"/>
      <c r="G65" s="799"/>
      <c r="H65" s="799"/>
      <c r="I65" s="799"/>
      <c r="J65" s="799"/>
      <c r="K65" s="799"/>
      <c r="L65" s="799"/>
      <c r="M65" s="799"/>
      <c r="N65" s="799"/>
      <c r="O65" s="799"/>
      <c r="P65" s="799"/>
      <c r="Q65" s="799"/>
      <c r="R65" s="799"/>
      <c r="S65" s="799"/>
      <c r="T65" s="799"/>
      <c r="U65" s="799"/>
      <c r="V65" s="799"/>
      <c r="W65" s="799"/>
      <c r="X65" s="799"/>
      <c r="Y65" s="799"/>
      <c r="Z65" s="799"/>
      <c r="AA65" s="799"/>
      <c r="AB65" s="799"/>
      <c r="AC65" s="799"/>
      <c r="AD65" s="799"/>
      <c r="AE65" s="799"/>
      <c r="AF65" s="799"/>
      <c r="AG65" s="799"/>
      <c r="AH65" s="799"/>
      <c r="AI65" s="799"/>
      <c r="AJ65" s="799"/>
      <c r="AK65" s="799"/>
      <c r="AL65" s="799"/>
      <c r="AM65" s="799"/>
      <c r="AN65" s="799"/>
      <c r="AO65" s="799"/>
      <c r="AP65" s="799"/>
      <c r="AQ65" s="798"/>
      <c r="AR65" s="798"/>
      <c r="AS65" s="798"/>
      <c r="AT65" s="798"/>
      <c r="AU65" s="798"/>
      <c r="AV65" s="798"/>
      <c r="AW65" s="798"/>
      <c r="AX65" s="798"/>
      <c r="AY65" s="798"/>
      <c r="AZ65" s="798"/>
      <c r="BA65" s="798"/>
      <c r="BB65" s="798"/>
      <c r="BC65" s="798"/>
      <c r="BD65" s="798"/>
    </row>
    <row r="66" spans="1:56">
      <c r="A66" s="798"/>
      <c r="B66" s="798"/>
      <c r="C66" s="798"/>
      <c r="D66" s="799"/>
      <c r="E66" s="799"/>
      <c r="F66" s="799"/>
      <c r="G66" s="799"/>
      <c r="H66" s="799"/>
      <c r="I66" s="799"/>
      <c r="J66" s="799"/>
      <c r="K66" s="799"/>
      <c r="L66" s="799"/>
      <c r="M66" s="799"/>
      <c r="N66" s="799"/>
      <c r="O66" s="799"/>
      <c r="P66" s="799"/>
      <c r="Q66" s="799"/>
      <c r="R66" s="799"/>
      <c r="S66" s="799"/>
      <c r="T66" s="799"/>
      <c r="U66" s="799"/>
      <c r="V66" s="799"/>
      <c r="W66" s="799"/>
      <c r="X66" s="799"/>
      <c r="Y66" s="799"/>
      <c r="Z66" s="799"/>
      <c r="AA66" s="799"/>
      <c r="AB66" s="799"/>
      <c r="AC66" s="799"/>
      <c r="AD66" s="799"/>
      <c r="AE66" s="799"/>
      <c r="AF66" s="799"/>
      <c r="AG66" s="799"/>
      <c r="AH66" s="799"/>
      <c r="AI66" s="799"/>
      <c r="AJ66" s="799"/>
      <c r="AK66" s="799"/>
      <c r="AL66" s="799"/>
      <c r="AM66" s="799"/>
      <c r="AN66" s="799"/>
      <c r="AO66" s="799"/>
      <c r="AP66" s="799"/>
      <c r="AQ66" s="798"/>
      <c r="AR66" s="798"/>
      <c r="AS66" s="798"/>
      <c r="AT66" s="798"/>
      <c r="AU66" s="798"/>
      <c r="AV66" s="798"/>
      <c r="AW66" s="798"/>
      <c r="AX66" s="798"/>
      <c r="AY66" s="798"/>
      <c r="AZ66" s="798"/>
      <c r="BA66" s="798"/>
      <c r="BB66" s="798"/>
      <c r="BC66" s="798"/>
      <c r="BD66" s="798"/>
    </row>
    <row r="67" spans="1:56">
      <c r="A67" s="798"/>
      <c r="B67" s="798"/>
      <c r="C67" s="798"/>
      <c r="D67" s="799"/>
      <c r="E67" s="799"/>
      <c r="F67" s="799"/>
      <c r="G67" s="799"/>
      <c r="H67" s="799"/>
      <c r="I67" s="799"/>
      <c r="J67" s="799"/>
      <c r="K67" s="799"/>
      <c r="L67" s="799"/>
      <c r="M67" s="799"/>
      <c r="N67" s="799"/>
      <c r="O67" s="799"/>
      <c r="P67" s="799"/>
      <c r="Q67" s="799"/>
      <c r="R67" s="799"/>
      <c r="S67" s="799"/>
      <c r="T67" s="799"/>
      <c r="U67" s="799"/>
      <c r="V67" s="799"/>
      <c r="W67" s="799"/>
      <c r="X67" s="799"/>
      <c r="Y67" s="799"/>
      <c r="Z67" s="799"/>
      <c r="AA67" s="799"/>
      <c r="AB67" s="799"/>
      <c r="AC67" s="799"/>
      <c r="AD67" s="799"/>
      <c r="AE67" s="799"/>
      <c r="AF67" s="799"/>
      <c r="AG67" s="799"/>
      <c r="AH67" s="799"/>
      <c r="AI67" s="799"/>
      <c r="AJ67" s="799"/>
      <c r="AK67" s="799"/>
      <c r="AL67" s="799"/>
      <c r="AM67" s="799"/>
      <c r="AN67" s="799"/>
      <c r="AO67" s="799"/>
      <c r="AP67" s="799"/>
      <c r="AQ67" s="798"/>
      <c r="AR67" s="798"/>
      <c r="AS67" s="798"/>
      <c r="AT67" s="798"/>
      <c r="AU67" s="798"/>
      <c r="AV67" s="798"/>
      <c r="AW67" s="798"/>
      <c r="AX67" s="798"/>
      <c r="AY67" s="798"/>
      <c r="AZ67" s="798"/>
      <c r="BA67" s="798"/>
      <c r="BB67" s="798"/>
      <c r="BC67" s="798"/>
      <c r="BD67" s="798"/>
    </row>
    <row r="68" spans="1:56">
      <c r="A68" s="798"/>
      <c r="B68" s="798"/>
      <c r="C68" s="798"/>
      <c r="D68" s="799"/>
      <c r="E68" s="799"/>
      <c r="F68" s="799"/>
      <c r="G68" s="799"/>
      <c r="H68" s="799"/>
      <c r="I68" s="799"/>
      <c r="J68" s="799"/>
      <c r="K68" s="799"/>
      <c r="L68" s="799"/>
      <c r="M68" s="799"/>
      <c r="N68" s="799"/>
      <c r="O68" s="799"/>
      <c r="P68" s="799"/>
      <c r="Q68" s="799"/>
      <c r="R68" s="799"/>
      <c r="S68" s="799"/>
      <c r="T68" s="799"/>
      <c r="U68" s="799"/>
      <c r="V68" s="799"/>
      <c r="W68" s="799"/>
      <c r="X68" s="799"/>
      <c r="Y68" s="799"/>
      <c r="Z68" s="799"/>
      <c r="AA68" s="799"/>
      <c r="AB68" s="799"/>
      <c r="AC68" s="799"/>
      <c r="AD68" s="799"/>
      <c r="AE68" s="799"/>
      <c r="AF68" s="799"/>
      <c r="AG68" s="799"/>
      <c r="AH68" s="799"/>
      <c r="AI68" s="799"/>
      <c r="AJ68" s="799"/>
      <c r="AK68" s="799"/>
      <c r="AL68" s="799"/>
      <c r="AM68" s="799"/>
      <c r="AN68" s="799"/>
      <c r="AO68" s="799"/>
      <c r="AP68" s="799"/>
      <c r="AQ68" s="798"/>
      <c r="AR68" s="798"/>
      <c r="AS68" s="798"/>
      <c r="AT68" s="798"/>
      <c r="AU68" s="798"/>
      <c r="AV68" s="798"/>
      <c r="AW68" s="798"/>
      <c r="AX68" s="798"/>
      <c r="AY68" s="798"/>
      <c r="AZ68" s="798"/>
      <c r="BA68" s="798"/>
      <c r="BB68" s="798"/>
      <c r="BC68" s="798"/>
      <c r="BD68" s="798"/>
    </row>
    <row r="69" spans="1:56">
      <c r="A69" s="798"/>
      <c r="B69" s="798"/>
      <c r="C69" s="798"/>
      <c r="D69" s="799"/>
      <c r="E69" s="799"/>
      <c r="F69" s="799"/>
      <c r="G69" s="799"/>
      <c r="H69" s="799"/>
      <c r="I69" s="799"/>
      <c r="J69" s="799"/>
      <c r="K69" s="799"/>
      <c r="L69" s="799"/>
      <c r="M69" s="799"/>
      <c r="N69" s="799"/>
      <c r="O69" s="799"/>
      <c r="P69" s="799"/>
      <c r="Q69" s="799"/>
      <c r="R69" s="799"/>
      <c r="S69" s="799"/>
      <c r="T69" s="799"/>
      <c r="U69" s="799"/>
      <c r="V69" s="799"/>
      <c r="W69" s="799"/>
      <c r="X69" s="799"/>
      <c r="Y69" s="799"/>
      <c r="Z69" s="799"/>
      <c r="AA69" s="799"/>
      <c r="AB69" s="799"/>
      <c r="AC69" s="799"/>
      <c r="AD69" s="799"/>
      <c r="AE69" s="799"/>
      <c r="AF69" s="799"/>
      <c r="AG69" s="799"/>
      <c r="AH69" s="799"/>
      <c r="AI69" s="799"/>
      <c r="AJ69" s="799"/>
      <c r="AK69" s="799"/>
      <c r="AL69" s="799"/>
      <c r="AM69" s="799"/>
      <c r="AN69" s="799"/>
      <c r="AO69" s="799"/>
      <c r="AP69" s="799"/>
      <c r="AQ69" s="798"/>
      <c r="AR69" s="798"/>
      <c r="AS69" s="798"/>
      <c r="AT69" s="798"/>
      <c r="AU69" s="798"/>
      <c r="AV69" s="798"/>
      <c r="AW69" s="798"/>
      <c r="AX69" s="798"/>
      <c r="AY69" s="798"/>
      <c r="AZ69" s="798"/>
      <c r="BA69" s="798"/>
      <c r="BB69" s="798"/>
      <c r="BC69" s="798"/>
      <c r="BD69" s="798"/>
    </row>
    <row r="70" spans="1:56">
      <c r="A70" s="798"/>
      <c r="B70" s="798"/>
      <c r="C70" s="798"/>
      <c r="D70" s="799"/>
      <c r="E70" s="799"/>
      <c r="F70" s="799"/>
      <c r="G70" s="799"/>
      <c r="H70" s="799"/>
      <c r="I70" s="799"/>
      <c r="J70" s="799"/>
      <c r="K70" s="799"/>
      <c r="L70" s="799"/>
      <c r="M70" s="799"/>
      <c r="N70" s="799"/>
      <c r="O70" s="799"/>
      <c r="P70" s="799"/>
      <c r="Q70" s="799"/>
      <c r="R70" s="799"/>
      <c r="S70" s="799"/>
      <c r="T70" s="799"/>
      <c r="U70" s="799"/>
      <c r="V70" s="799"/>
      <c r="W70" s="799"/>
      <c r="X70" s="799"/>
      <c r="Y70" s="799"/>
      <c r="Z70" s="799"/>
      <c r="AA70" s="799"/>
      <c r="AB70" s="799"/>
      <c r="AC70" s="799"/>
      <c r="AD70" s="799"/>
      <c r="AE70" s="799"/>
      <c r="AF70" s="799"/>
      <c r="AG70" s="799"/>
      <c r="AH70" s="799"/>
      <c r="AI70" s="799"/>
      <c r="AJ70" s="799"/>
      <c r="AK70" s="799"/>
      <c r="AL70" s="799"/>
      <c r="AM70" s="799"/>
      <c r="AN70" s="799"/>
      <c r="AO70" s="799"/>
      <c r="AP70" s="799"/>
      <c r="AQ70" s="798"/>
      <c r="AR70" s="798"/>
      <c r="AS70" s="798"/>
      <c r="AT70" s="798"/>
      <c r="AU70" s="798"/>
      <c r="AV70" s="798"/>
      <c r="AW70" s="798"/>
      <c r="AX70" s="798"/>
      <c r="AY70" s="798"/>
      <c r="AZ70" s="798"/>
      <c r="BA70" s="798"/>
      <c r="BB70" s="798"/>
      <c r="BC70" s="798"/>
      <c r="BD70" s="798"/>
    </row>
    <row r="71" spans="1:56">
      <c r="A71" s="798"/>
      <c r="B71" s="798"/>
      <c r="C71" s="798"/>
      <c r="D71" s="799"/>
      <c r="E71" s="799"/>
      <c r="F71" s="799"/>
      <c r="G71" s="799"/>
      <c r="H71" s="799"/>
      <c r="I71" s="799"/>
      <c r="J71" s="799"/>
      <c r="K71" s="799"/>
      <c r="L71" s="799"/>
      <c r="M71" s="799"/>
      <c r="N71" s="799"/>
      <c r="O71" s="799"/>
      <c r="P71" s="799"/>
      <c r="Q71" s="799"/>
      <c r="R71" s="799"/>
      <c r="S71" s="799"/>
      <c r="T71" s="799"/>
      <c r="U71" s="799"/>
      <c r="V71" s="799"/>
      <c r="W71" s="799"/>
      <c r="X71" s="799"/>
      <c r="Y71" s="799"/>
      <c r="Z71" s="799"/>
      <c r="AA71" s="799"/>
      <c r="AB71" s="799"/>
      <c r="AC71" s="799"/>
      <c r="AD71" s="799"/>
      <c r="AE71" s="799"/>
      <c r="AF71" s="799"/>
      <c r="AG71" s="799"/>
      <c r="AH71" s="799"/>
      <c r="AI71" s="799"/>
      <c r="AJ71" s="799"/>
      <c r="AK71" s="799"/>
      <c r="AL71" s="799"/>
      <c r="AM71" s="799"/>
      <c r="AN71" s="799"/>
      <c r="AO71" s="799"/>
      <c r="AP71" s="799"/>
      <c r="AQ71" s="798"/>
      <c r="AR71" s="798"/>
      <c r="AS71" s="798"/>
      <c r="AT71" s="798"/>
      <c r="AU71" s="798"/>
      <c r="AV71" s="798"/>
      <c r="AW71" s="798"/>
      <c r="AX71" s="798"/>
      <c r="AY71" s="798"/>
      <c r="AZ71" s="798"/>
      <c r="BA71" s="798"/>
      <c r="BB71" s="798"/>
      <c r="BC71" s="798"/>
      <c r="BD71" s="798"/>
    </row>
    <row r="72" spans="1:56">
      <c r="A72" s="798"/>
      <c r="B72" s="798"/>
      <c r="C72" s="798"/>
      <c r="D72" s="799"/>
      <c r="E72" s="799"/>
      <c r="F72" s="799"/>
      <c r="G72" s="799"/>
      <c r="H72" s="799"/>
      <c r="I72" s="799"/>
      <c r="J72" s="799"/>
      <c r="K72" s="799"/>
      <c r="L72" s="799"/>
      <c r="M72" s="799"/>
      <c r="N72" s="799"/>
      <c r="O72" s="799"/>
      <c r="P72" s="799"/>
      <c r="Q72" s="799"/>
      <c r="R72" s="799"/>
      <c r="S72" s="799"/>
      <c r="T72" s="799"/>
      <c r="U72" s="799"/>
      <c r="V72" s="799"/>
      <c r="W72" s="799"/>
      <c r="X72" s="799"/>
      <c r="Y72" s="799"/>
      <c r="Z72" s="799"/>
      <c r="AA72" s="799"/>
      <c r="AB72" s="799"/>
      <c r="AC72" s="799"/>
      <c r="AD72" s="799"/>
      <c r="AE72" s="799"/>
      <c r="AF72" s="799"/>
      <c r="AG72" s="799"/>
      <c r="AH72" s="799"/>
      <c r="AI72" s="799"/>
      <c r="AJ72" s="799"/>
      <c r="AK72" s="799"/>
      <c r="AL72" s="799"/>
      <c r="AM72" s="799"/>
      <c r="AN72" s="799"/>
      <c r="AO72" s="799"/>
      <c r="AP72" s="799"/>
      <c r="AQ72" s="798"/>
      <c r="AR72" s="798"/>
      <c r="AS72" s="798"/>
      <c r="AT72" s="798"/>
      <c r="AU72" s="798"/>
      <c r="AV72" s="798"/>
      <c r="AW72" s="798"/>
      <c r="AX72" s="798"/>
      <c r="AY72" s="798"/>
      <c r="AZ72" s="798"/>
      <c r="BA72" s="798"/>
      <c r="BB72" s="798"/>
      <c r="BC72" s="798"/>
      <c r="BD72" s="798"/>
    </row>
    <row r="73" spans="1:56">
      <c r="A73" s="798"/>
      <c r="B73" s="798"/>
      <c r="C73" s="798"/>
      <c r="D73" s="799"/>
      <c r="E73" s="799"/>
      <c r="F73" s="799"/>
      <c r="G73" s="799"/>
      <c r="H73" s="799"/>
      <c r="I73" s="799"/>
      <c r="J73" s="799"/>
      <c r="K73" s="799"/>
      <c r="L73" s="799"/>
      <c r="M73" s="799"/>
      <c r="N73" s="799"/>
      <c r="O73" s="799"/>
      <c r="P73" s="799"/>
      <c r="Q73" s="799"/>
      <c r="R73" s="799"/>
      <c r="S73" s="799"/>
      <c r="T73" s="799"/>
      <c r="U73" s="799"/>
      <c r="V73" s="799"/>
      <c r="W73" s="799"/>
      <c r="X73" s="799"/>
      <c r="Y73" s="799"/>
      <c r="Z73" s="799"/>
      <c r="AA73" s="799"/>
      <c r="AB73" s="799"/>
      <c r="AC73" s="799"/>
      <c r="AD73" s="799"/>
      <c r="AE73" s="799"/>
      <c r="AF73" s="799"/>
      <c r="AG73" s="799"/>
      <c r="AH73" s="799"/>
      <c r="AI73" s="799"/>
      <c r="AJ73" s="799"/>
      <c r="AK73" s="799"/>
      <c r="AL73" s="799"/>
      <c r="AM73" s="799"/>
      <c r="AN73" s="799"/>
      <c r="AO73" s="799"/>
      <c r="AP73" s="799"/>
      <c r="AQ73" s="798"/>
      <c r="AR73" s="798"/>
      <c r="AS73" s="798"/>
      <c r="AT73" s="798"/>
      <c r="AU73" s="798"/>
      <c r="AV73" s="798"/>
      <c r="AW73" s="798"/>
      <c r="AX73" s="798"/>
      <c r="AY73" s="798"/>
      <c r="AZ73" s="798"/>
      <c r="BA73" s="798"/>
      <c r="BB73" s="798"/>
      <c r="BC73" s="798"/>
      <c r="BD73" s="798"/>
    </row>
    <row r="74" spans="1:56">
      <c r="A74" s="798"/>
      <c r="B74" s="798"/>
      <c r="C74" s="798"/>
      <c r="D74" s="799"/>
      <c r="E74" s="799"/>
      <c r="F74" s="799"/>
      <c r="G74" s="799"/>
      <c r="H74" s="799"/>
      <c r="I74" s="799"/>
      <c r="J74" s="799"/>
      <c r="K74" s="799"/>
      <c r="L74" s="799"/>
      <c r="M74" s="799"/>
      <c r="N74" s="799"/>
      <c r="O74" s="799"/>
      <c r="P74" s="799"/>
      <c r="Q74" s="799"/>
      <c r="R74" s="799"/>
      <c r="S74" s="799"/>
      <c r="T74" s="799"/>
      <c r="U74" s="799"/>
      <c r="V74" s="799"/>
      <c r="W74" s="799"/>
      <c r="X74" s="799"/>
      <c r="Y74" s="799"/>
      <c r="Z74" s="799"/>
      <c r="AA74" s="799"/>
      <c r="AB74" s="799"/>
      <c r="AC74" s="799"/>
      <c r="AD74" s="799"/>
      <c r="AE74" s="799"/>
      <c r="AF74" s="799"/>
      <c r="AG74" s="799"/>
      <c r="AH74" s="799"/>
      <c r="AI74" s="799"/>
      <c r="AJ74" s="799"/>
      <c r="AK74" s="799"/>
      <c r="AL74" s="799"/>
      <c r="AM74" s="799"/>
      <c r="AN74" s="799"/>
      <c r="AO74" s="799"/>
      <c r="AP74" s="799"/>
      <c r="AQ74" s="798"/>
      <c r="AR74" s="798"/>
      <c r="AS74" s="798"/>
      <c r="AT74" s="798"/>
      <c r="AU74" s="798"/>
      <c r="AV74" s="798"/>
      <c r="AW74" s="798"/>
      <c r="AX74" s="798"/>
      <c r="AY74" s="798"/>
      <c r="AZ74" s="798"/>
      <c r="BA74" s="798"/>
      <c r="BB74" s="798"/>
      <c r="BC74" s="798"/>
      <c r="BD74" s="798"/>
    </row>
    <row r="75" spans="1:56">
      <c r="A75" s="798"/>
      <c r="B75" s="798"/>
      <c r="C75" s="798"/>
      <c r="D75" s="799"/>
      <c r="E75" s="799"/>
      <c r="F75" s="799"/>
      <c r="G75" s="799"/>
      <c r="H75" s="799"/>
      <c r="I75" s="799"/>
      <c r="J75" s="799"/>
      <c r="K75" s="799"/>
      <c r="L75" s="799"/>
      <c r="M75" s="799"/>
      <c r="N75" s="799"/>
      <c r="O75" s="799"/>
      <c r="P75" s="799"/>
      <c r="Q75" s="799"/>
      <c r="R75" s="799"/>
      <c r="S75" s="799"/>
      <c r="T75" s="799"/>
      <c r="U75" s="799"/>
      <c r="V75" s="799"/>
      <c r="W75" s="799"/>
      <c r="X75" s="799"/>
      <c r="Y75" s="799"/>
      <c r="Z75" s="799"/>
      <c r="AA75" s="799"/>
      <c r="AB75" s="799"/>
      <c r="AC75" s="799"/>
      <c r="AD75" s="799"/>
      <c r="AE75" s="799"/>
      <c r="AF75" s="799"/>
      <c r="AG75" s="799"/>
      <c r="AH75" s="799"/>
      <c r="AI75" s="799"/>
      <c r="AJ75" s="799"/>
      <c r="AK75" s="799"/>
      <c r="AL75" s="799"/>
      <c r="AM75" s="799"/>
      <c r="AN75" s="799"/>
      <c r="AO75" s="799"/>
      <c r="AP75" s="799"/>
      <c r="AQ75" s="798"/>
      <c r="AR75" s="798"/>
      <c r="AS75" s="798"/>
      <c r="AT75" s="798"/>
      <c r="AU75" s="798"/>
      <c r="AV75" s="798"/>
      <c r="AW75" s="798"/>
      <c r="AX75" s="798"/>
      <c r="AY75" s="798"/>
      <c r="AZ75" s="798"/>
      <c r="BA75" s="798"/>
      <c r="BB75" s="798"/>
      <c r="BC75" s="798"/>
      <c r="BD75" s="798"/>
    </row>
    <row r="76" spans="1:56">
      <c r="A76" s="798"/>
      <c r="B76" s="798"/>
      <c r="C76" s="798"/>
      <c r="D76" s="799"/>
      <c r="E76" s="799"/>
      <c r="F76" s="799"/>
      <c r="G76" s="799"/>
      <c r="H76" s="799"/>
      <c r="I76" s="799"/>
      <c r="J76" s="799"/>
      <c r="K76" s="799"/>
      <c r="L76" s="799"/>
      <c r="M76" s="799"/>
      <c r="N76" s="799"/>
      <c r="O76" s="799"/>
      <c r="P76" s="799"/>
      <c r="Q76" s="799"/>
      <c r="R76" s="799"/>
      <c r="S76" s="799"/>
      <c r="T76" s="799"/>
      <c r="U76" s="799"/>
      <c r="V76" s="799"/>
      <c r="W76" s="799"/>
      <c r="X76" s="799"/>
      <c r="Y76" s="799"/>
      <c r="Z76" s="799"/>
      <c r="AA76" s="799"/>
      <c r="AB76" s="799"/>
      <c r="AC76" s="799"/>
      <c r="AD76" s="799"/>
      <c r="AE76" s="799"/>
      <c r="AF76" s="799"/>
      <c r="AG76" s="799"/>
      <c r="AH76" s="799"/>
      <c r="AI76" s="799"/>
      <c r="AJ76" s="799"/>
      <c r="AK76" s="799"/>
      <c r="AL76" s="799"/>
      <c r="AM76" s="799"/>
      <c r="AN76" s="799"/>
      <c r="AO76" s="799"/>
      <c r="AP76" s="799"/>
      <c r="AQ76" s="798"/>
      <c r="AR76" s="798"/>
      <c r="AS76" s="798"/>
      <c r="AT76" s="798"/>
      <c r="AU76" s="798"/>
      <c r="AV76" s="798"/>
      <c r="AW76" s="798"/>
      <c r="AX76" s="798"/>
      <c r="AY76" s="798"/>
      <c r="AZ76" s="798"/>
      <c r="BA76" s="798"/>
      <c r="BB76" s="798"/>
      <c r="BC76" s="798"/>
      <c r="BD76" s="798"/>
    </row>
    <row r="77" spans="1:56">
      <c r="A77" s="798"/>
      <c r="B77" s="798"/>
      <c r="C77" s="798"/>
      <c r="D77" s="799"/>
      <c r="E77" s="799"/>
      <c r="F77" s="799"/>
      <c r="G77" s="799"/>
      <c r="H77" s="799"/>
      <c r="I77" s="799"/>
      <c r="J77" s="799"/>
      <c r="K77" s="799"/>
      <c r="L77" s="799"/>
      <c r="M77" s="799"/>
      <c r="N77" s="799"/>
      <c r="O77" s="799"/>
      <c r="P77" s="799"/>
      <c r="Q77" s="799"/>
      <c r="R77" s="799"/>
      <c r="S77" s="799"/>
      <c r="T77" s="799"/>
      <c r="U77" s="799"/>
      <c r="V77" s="799"/>
      <c r="W77" s="799"/>
      <c r="X77" s="799"/>
      <c r="Y77" s="799"/>
      <c r="Z77" s="799"/>
      <c r="AA77" s="799"/>
      <c r="AB77" s="799"/>
      <c r="AC77" s="799"/>
      <c r="AD77" s="799"/>
      <c r="AE77" s="799"/>
      <c r="AF77" s="799"/>
      <c r="AG77" s="799"/>
      <c r="AH77" s="799"/>
      <c r="AI77" s="799"/>
      <c r="AJ77" s="799"/>
      <c r="AK77" s="799"/>
      <c r="AL77" s="799"/>
      <c r="AM77" s="799"/>
      <c r="AN77" s="799"/>
      <c r="AO77" s="799"/>
      <c r="AP77" s="799"/>
      <c r="AQ77" s="798"/>
      <c r="AR77" s="798"/>
      <c r="AS77" s="798"/>
      <c r="AT77" s="798"/>
      <c r="AU77" s="798"/>
      <c r="AV77" s="798"/>
      <c r="AW77" s="798"/>
      <c r="AX77" s="798"/>
      <c r="AY77" s="798"/>
      <c r="AZ77" s="798"/>
      <c r="BA77" s="798"/>
      <c r="BB77" s="798"/>
      <c r="BC77" s="798"/>
      <c r="BD77" s="798"/>
    </row>
    <row r="78" spans="1:56">
      <c r="A78" s="798"/>
      <c r="B78" s="798"/>
      <c r="C78" s="798"/>
      <c r="D78" s="799"/>
      <c r="E78" s="799"/>
      <c r="F78" s="799"/>
      <c r="G78" s="799"/>
      <c r="H78" s="799"/>
      <c r="I78" s="799"/>
      <c r="J78" s="799"/>
      <c r="K78" s="799"/>
      <c r="L78" s="799"/>
      <c r="M78" s="799"/>
      <c r="N78" s="799"/>
      <c r="O78" s="799"/>
      <c r="P78" s="799"/>
      <c r="Q78" s="799"/>
      <c r="R78" s="799"/>
      <c r="S78" s="799"/>
      <c r="T78" s="799"/>
      <c r="U78" s="799"/>
      <c r="V78" s="799"/>
      <c r="W78" s="799"/>
      <c r="X78" s="799"/>
      <c r="Y78" s="799"/>
      <c r="Z78" s="799"/>
      <c r="AA78" s="799"/>
      <c r="AB78" s="799"/>
      <c r="AC78" s="799"/>
      <c r="AD78" s="799"/>
      <c r="AE78" s="799"/>
      <c r="AF78" s="799"/>
      <c r="AG78" s="799"/>
      <c r="AH78" s="799"/>
      <c r="AI78" s="799"/>
      <c r="AJ78" s="799"/>
      <c r="AK78" s="799"/>
      <c r="AL78" s="799"/>
      <c r="AM78" s="799"/>
      <c r="AN78" s="799"/>
      <c r="AO78" s="799"/>
      <c r="AP78" s="799"/>
      <c r="AQ78" s="798"/>
      <c r="AR78" s="798"/>
      <c r="AS78" s="798"/>
      <c r="AT78" s="798"/>
      <c r="AU78" s="798"/>
      <c r="AV78" s="798"/>
      <c r="AW78" s="798"/>
      <c r="AX78" s="798"/>
      <c r="AY78" s="798"/>
      <c r="AZ78" s="798"/>
      <c r="BA78" s="798"/>
      <c r="BB78" s="798"/>
      <c r="BC78" s="798"/>
      <c r="BD78" s="798"/>
    </row>
    <row r="79" spans="1:56">
      <c r="A79" s="798"/>
      <c r="B79" s="798"/>
      <c r="C79" s="798"/>
      <c r="D79" s="799"/>
      <c r="E79" s="799"/>
      <c r="F79" s="799"/>
      <c r="G79" s="799"/>
      <c r="H79" s="799"/>
      <c r="I79" s="799"/>
      <c r="J79" s="799"/>
      <c r="K79" s="799"/>
      <c r="L79" s="799"/>
      <c r="M79" s="799"/>
      <c r="N79" s="799"/>
      <c r="O79" s="799"/>
      <c r="P79" s="799"/>
      <c r="Q79" s="799"/>
      <c r="R79" s="799"/>
      <c r="S79" s="799"/>
      <c r="T79" s="799"/>
      <c r="U79" s="799"/>
      <c r="V79" s="799"/>
      <c r="W79" s="799"/>
      <c r="X79" s="799"/>
      <c r="Y79" s="799"/>
      <c r="Z79" s="799"/>
      <c r="AA79" s="799"/>
      <c r="AB79" s="799"/>
      <c r="AC79" s="799"/>
      <c r="AD79" s="799"/>
      <c r="AE79" s="799"/>
      <c r="AF79" s="799"/>
      <c r="AG79" s="799"/>
      <c r="AH79" s="799"/>
      <c r="AI79" s="799"/>
      <c r="AJ79" s="799"/>
      <c r="AK79" s="799"/>
      <c r="AL79" s="799"/>
      <c r="AM79" s="799"/>
      <c r="AN79" s="799"/>
      <c r="AO79" s="799"/>
      <c r="AP79" s="799"/>
      <c r="AQ79" s="798"/>
      <c r="AR79" s="798"/>
      <c r="AS79" s="798"/>
      <c r="AT79" s="798"/>
      <c r="AU79" s="798"/>
      <c r="AV79" s="798"/>
      <c r="AW79" s="798"/>
      <c r="AX79" s="798"/>
      <c r="AY79" s="798"/>
      <c r="AZ79" s="798"/>
      <c r="BA79" s="798"/>
      <c r="BB79" s="798"/>
      <c r="BC79" s="798"/>
      <c r="BD79" s="798"/>
    </row>
    <row r="80" spans="1:56">
      <c r="A80" s="798"/>
      <c r="B80" s="798"/>
      <c r="C80" s="798"/>
      <c r="D80" s="799"/>
      <c r="E80" s="799"/>
      <c r="F80" s="799"/>
      <c r="G80" s="799"/>
      <c r="H80" s="799"/>
      <c r="I80" s="799"/>
      <c r="J80" s="799"/>
      <c r="K80" s="799"/>
      <c r="L80" s="799"/>
      <c r="M80" s="799"/>
      <c r="N80" s="799"/>
      <c r="O80" s="799"/>
      <c r="P80" s="799"/>
      <c r="Q80" s="799"/>
      <c r="R80" s="799"/>
      <c r="S80" s="799"/>
      <c r="T80" s="799"/>
      <c r="U80" s="799"/>
      <c r="V80" s="799"/>
      <c r="W80" s="799"/>
      <c r="X80" s="799"/>
      <c r="Y80" s="799"/>
      <c r="Z80" s="799"/>
      <c r="AA80" s="799"/>
      <c r="AB80" s="799"/>
      <c r="AC80" s="799"/>
      <c r="AD80" s="799"/>
      <c r="AE80" s="799"/>
      <c r="AF80" s="799"/>
      <c r="AG80" s="799"/>
      <c r="AH80" s="799"/>
      <c r="AI80" s="799"/>
      <c r="AJ80" s="799"/>
      <c r="AK80" s="799"/>
      <c r="AL80" s="799"/>
      <c r="AM80" s="799"/>
      <c r="AN80" s="799"/>
      <c r="AO80" s="799"/>
      <c r="AP80" s="799"/>
      <c r="AQ80" s="798"/>
      <c r="AR80" s="798"/>
      <c r="AS80" s="798"/>
      <c r="AT80" s="798"/>
      <c r="AU80" s="798"/>
      <c r="AV80" s="798"/>
      <c r="AW80" s="798"/>
      <c r="AX80" s="798"/>
      <c r="AY80" s="798"/>
      <c r="AZ80" s="798"/>
      <c r="BA80" s="798"/>
      <c r="BB80" s="798"/>
      <c r="BC80" s="798"/>
      <c r="BD80" s="798"/>
    </row>
    <row r="81" spans="1:56">
      <c r="A81" s="798"/>
      <c r="B81" s="798"/>
      <c r="C81" s="798"/>
      <c r="D81" s="799"/>
      <c r="E81" s="799"/>
      <c r="F81" s="799"/>
      <c r="G81" s="799"/>
      <c r="H81" s="799"/>
      <c r="I81" s="799"/>
      <c r="J81" s="799"/>
      <c r="K81" s="799"/>
      <c r="L81" s="799"/>
      <c r="M81" s="799"/>
      <c r="N81" s="799"/>
      <c r="O81" s="799"/>
      <c r="P81" s="799"/>
      <c r="Q81" s="799"/>
      <c r="R81" s="799"/>
      <c r="S81" s="799"/>
      <c r="T81" s="799"/>
      <c r="U81" s="799"/>
      <c r="V81" s="799"/>
      <c r="W81" s="799"/>
      <c r="X81" s="799"/>
      <c r="Y81" s="799"/>
      <c r="Z81" s="799"/>
      <c r="AA81" s="799"/>
      <c r="AB81" s="799"/>
      <c r="AC81" s="799"/>
      <c r="AD81" s="799"/>
      <c r="AE81" s="799"/>
      <c r="AF81" s="799"/>
      <c r="AG81" s="799"/>
      <c r="AH81" s="799"/>
      <c r="AI81" s="799"/>
      <c r="AJ81" s="799"/>
      <c r="AK81" s="799"/>
      <c r="AL81" s="799"/>
      <c r="AM81" s="799"/>
      <c r="AN81" s="799"/>
      <c r="AO81" s="799"/>
      <c r="AP81" s="799"/>
      <c r="AQ81" s="798"/>
      <c r="AR81" s="798"/>
      <c r="AS81" s="798"/>
      <c r="AT81" s="798"/>
      <c r="AU81" s="798"/>
      <c r="AV81" s="798"/>
      <c r="AW81" s="798"/>
      <c r="AX81" s="798"/>
      <c r="AY81" s="798"/>
      <c r="AZ81" s="798"/>
      <c r="BA81" s="798"/>
      <c r="BB81" s="798"/>
      <c r="BC81" s="798"/>
      <c r="BD81" s="798"/>
    </row>
    <row r="82" spans="1:56">
      <c r="A82" s="798"/>
      <c r="B82" s="798"/>
      <c r="C82" s="798"/>
      <c r="D82" s="799"/>
      <c r="E82" s="799"/>
      <c r="F82" s="799"/>
      <c r="G82" s="799"/>
      <c r="H82" s="799"/>
      <c r="I82" s="799"/>
      <c r="J82" s="799"/>
      <c r="K82" s="799"/>
      <c r="L82" s="799"/>
      <c r="M82" s="799"/>
      <c r="N82" s="799"/>
      <c r="O82" s="799"/>
      <c r="P82" s="799"/>
      <c r="Q82" s="799"/>
      <c r="R82" s="799"/>
      <c r="S82" s="799"/>
      <c r="T82" s="799"/>
      <c r="U82" s="799"/>
      <c r="V82" s="799"/>
      <c r="W82" s="799"/>
      <c r="X82" s="799"/>
      <c r="Y82" s="799"/>
      <c r="Z82" s="799"/>
      <c r="AA82" s="799"/>
      <c r="AB82" s="799"/>
      <c r="AC82" s="799"/>
      <c r="AD82" s="799"/>
      <c r="AE82" s="799"/>
      <c r="AF82" s="799"/>
      <c r="AG82" s="799"/>
      <c r="AH82" s="799"/>
      <c r="AI82" s="799"/>
      <c r="AJ82" s="799"/>
      <c r="AK82" s="799"/>
      <c r="AL82" s="799"/>
      <c r="AM82" s="799"/>
      <c r="AN82" s="799"/>
      <c r="AO82" s="799"/>
      <c r="AP82" s="799"/>
      <c r="AQ82" s="798"/>
      <c r="AR82" s="798"/>
      <c r="AS82" s="798"/>
      <c r="AT82" s="798"/>
      <c r="AU82" s="798"/>
      <c r="AV82" s="798"/>
      <c r="AW82" s="798"/>
      <c r="AX82" s="798"/>
      <c r="AY82" s="798"/>
      <c r="AZ82" s="798"/>
      <c r="BA82" s="798"/>
      <c r="BB82" s="798"/>
      <c r="BC82" s="798"/>
      <c r="BD82" s="798"/>
    </row>
    <row r="83" spans="1:56">
      <c r="A83" s="798"/>
      <c r="B83" s="798"/>
      <c r="C83" s="798"/>
      <c r="D83" s="799"/>
      <c r="E83" s="799"/>
      <c r="F83" s="799"/>
      <c r="G83" s="799"/>
      <c r="H83" s="799"/>
      <c r="I83" s="799"/>
      <c r="J83" s="799"/>
      <c r="K83" s="799"/>
      <c r="L83" s="799"/>
      <c r="M83" s="799"/>
      <c r="N83" s="799"/>
      <c r="O83" s="799"/>
      <c r="P83" s="799"/>
      <c r="Q83" s="799"/>
      <c r="R83" s="799"/>
      <c r="S83" s="799"/>
      <c r="T83" s="799"/>
      <c r="U83" s="799"/>
      <c r="V83" s="799"/>
      <c r="W83" s="799"/>
      <c r="X83" s="799"/>
      <c r="Y83" s="799"/>
      <c r="Z83" s="799"/>
      <c r="AA83" s="799"/>
      <c r="AB83" s="799"/>
      <c r="AC83" s="799"/>
      <c r="AD83" s="799"/>
      <c r="AE83" s="799"/>
      <c r="AF83" s="799"/>
      <c r="AG83" s="799"/>
      <c r="AH83" s="799"/>
      <c r="AI83" s="799"/>
      <c r="AJ83" s="799"/>
      <c r="AK83" s="799"/>
      <c r="AL83" s="799"/>
      <c r="AM83" s="799"/>
      <c r="AN83" s="799"/>
      <c r="AO83" s="799"/>
      <c r="AP83" s="799"/>
      <c r="AQ83" s="798"/>
      <c r="AR83" s="798"/>
      <c r="AS83" s="798"/>
      <c r="AT83" s="798"/>
      <c r="AU83" s="798"/>
      <c r="AV83" s="798"/>
      <c r="AW83" s="798"/>
      <c r="AX83" s="798"/>
      <c r="AY83" s="798"/>
      <c r="AZ83" s="798"/>
      <c r="BA83" s="798"/>
      <c r="BB83" s="798"/>
      <c r="BC83" s="798"/>
      <c r="BD83" s="798"/>
    </row>
    <row r="84" spans="1:56">
      <c r="A84" s="798"/>
      <c r="B84" s="798"/>
      <c r="C84" s="798"/>
      <c r="D84" s="799"/>
      <c r="E84" s="799"/>
      <c r="F84" s="799"/>
      <c r="G84" s="799"/>
      <c r="H84" s="799"/>
      <c r="I84" s="799"/>
      <c r="J84" s="799"/>
      <c r="K84" s="799"/>
      <c r="L84" s="799"/>
      <c r="M84" s="799"/>
      <c r="N84" s="799"/>
      <c r="O84" s="799"/>
      <c r="P84" s="799"/>
      <c r="Q84" s="799"/>
      <c r="R84" s="799"/>
      <c r="S84" s="799"/>
      <c r="T84" s="799"/>
      <c r="U84" s="799"/>
      <c r="V84" s="799"/>
      <c r="W84" s="799"/>
      <c r="X84" s="799"/>
      <c r="Y84" s="799"/>
      <c r="Z84" s="799"/>
      <c r="AA84" s="799"/>
      <c r="AB84" s="799"/>
      <c r="AC84" s="799"/>
      <c r="AD84" s="799"/>
      <c r="AE84" s="799"/>
      <c r="AF84" s="799"/>
      <c r="AG84" s="799"/>
      <c r="AH84" s="799"/>
      <c r="AI84" s="799"/>
      <c r="AJ84" s="799"/>
      <c r="AK84" s="799"/>
      <c r="AL84" s="799"/>
      <c r="AM84" s="799"/>
      <c r="AN84" s="799"/>
      <c r="AO84" s="799"/>
      <c r="AP84" s="799"/>
      <c r="AQ84" s="798"/>
      <c r="AR84" s="798"/>
      <c r="AS84" s="798"/>
      <c r="AT84" s="798"/>
      <c r="AU84" s="798"/>
      <c r="AV84" s="798"/>
      <c r="AW84" s="798"/>
      <c r="AX84" s="798"/>
      <c r="AY84" s="798"/>
      <c r="AZ84" s="798"/>
      <c r="BA84" s="798"/>
      <c r="BB84" s="798"/>
      <c r="BC84" s="798"/>
      <c r="BD84" s="798"/>
    </row>
    <row r="85" spans="1:56">
      <c r="A85" s="798"/>
      <c r="B85" s="798"/>
      <c r="C85" s="798"/>
      <c r="D85" s="799"/>
      <c r="E85" s="799"/>
      <c r="F85" s="799"/>
      <c r="G85" s="799"/>
      <c r="H85" s="799"/>
      <c r="I85" s="799"/>
      <c r="J85" s="799"/>
      <c r="K85" s="799"/>
      <c r="L85" s="799"/>
      <c r="M85" s="799"/>
      <c r="N85" s="799"/>
      <c r="O85" s="799"/>
      <c r="P85" s="799"/>
      <c r="Q85" s="799"/>
      <c r="R85" s="799"/>
      <c r="S85" s="799"/>
      <c r="T85" s="799"/>
      <c r="U85" s="799"/>
      <c r="V85" s="799"/>
      <c r="W85" s="799"/>
      <c r="X85" s="799"/>
      <c r="Y85" s="799"/>
      <c r="Z85" s="799"/>
      <c r="AA85" s="799"/>
      <c r="AB85" s="799"/>
      <c r="AC85" s="799"/>
      <c r="AD85" s="799"/>
      <c r="AE85" s="799"/>
      <c r="AF85" s="799"/>
      <c r="AG85" s="799"/>
      <c r="AH85" s="799"/>
      <c r="AI85" s="799"/>
      <c r="AJ85" s="799"/>
      <c r="AK85" s="799"/>
      <c r="AL85" s="799"/>
      <c r="AM85" s="799"/>
      <c r="AN85" s="799"/>
      <c r="AO85" s="799"/>
      <c r="AP85" s="799"/>
      <c r="AQ85" s="798"/>
      <c r="AR85" s="798"/>
      <c r="AS85" s="798"/>
      <c r="AT85" s="798"/>
      <c r="AU85" s="798"/>
      <c r="AV85" s="798"/>
      <c r="AW85" s="798"/>
      <c r="AX85" s="798"/>
      <c r="AY85" s="798"/>
      <c r="AZ85" s="798"/>
      <c r="BA85" s="798"/>
      <c r="BB85" s="798"/>
      <c r="BC85" s="798"/>
      <c r="BD85" s="798"/>
    </row>
    <row r="86" spans="1:56">
      <c r="A86" s="798"/>
      <c r="B86" s="798"/>
      <c r="C86" s="798"/>
      <c r="D86" s="799"/>
      <c r="E86" s="799"/>
      <c r="F86" s="799"/>
      <c r="G86" s="799"/>
      <c r="H86" s="799"/>
      <c r="I86" s="799"/>
      <c r="J86" s="799"/>
      <c r="K86" s="799"/>
      <c r="L86" s="799"/>
      <c r="M86" s="799"/>
      <c r="N86" s="799"/>
      <c r="O86" s="799"/>
      <c r="P86" s="799"/>
      <c r="Q86" s="799"/>
      <c r="R86" s="799"/>
      <c r="S86" s="799"/>
      <c r="T86" s="799"/>
      <c r="U86" s="799"/>
      <c r="V86" s="799"/>
      <c r="W86" s="799"/>
      <c r="X86" s="799"/>
      <c r="Y86" s="799"/>
      <c r="Z86" s="799"/>
      <c r="AA86" s="799"/>
      <c r="AB86" s="799"/>
      <c r="AC86" s="799"/>
      <c r="AD86" s="799"/>
      <c r="AE86" s="799"/>
      <c r="AF86" s="799"/>
      <c r="AG86" s="799"/>
      <c r="AH86" s="799"/>
      <c r="AI86" s="799"/>
      <c r="AJ86" s="799"/>
      <c r="AK86" s="799"/>
      <c r="AL86" s="799"/>
      <c r="AM86" s="799"/>
      <c r="AN86" s="799"/>
      <c r="AO86" s="799"/>
      <c r="AP86" s="799"/>
      <c r="AQ86" s="798"/>
      <c r="AR86" s="798"/>
      <c r="AS86" s="798"/>
      <c r="AT86" s="798"/>
      <c r="AU86" s="798"/>
      <c r="AV86" s="798"/>
      <c r="AW86" s="798"/>
      <c r="AX86" s="798"/>
      <c r="AY86" s="798"/>
      <c r="AZ86" s="798"/>
      <c r="BA86" s="798"/>
      <c r="BB86" s="798"/>
      <c r="BC86" s="798"/>
      <c r="BD86" s="798"/>
    </row>
    <row r="87" spans="1:56">
      <c r="A87" s="798"/>
      <c r="B87" s="798"/>
      <c r="C87" s="798"/>
      <c r="D87" s="799"/>
      <c r="E87" s="799"/>
      <c r="F87" s="799"/>
      <c r="G87" s="799"/>
      <c r="H87" s="799"/>
      <c r="I87" s="799"/>
      <c r="J87" s="799"/>
      <c r="K87" s="799"/>
      <c r="L87" s="799"/>
      <c r="M87" s="799"/>
      <c r="N87" s="799"/>
      <c r="O87" s="799"/>
      <c r="P87" s="799"/>
      <c r="Q87" s="799"/>
      <c r="R87" s="799"/>
      <c r="S87" s="799"/>
      <c r="T87" s="799"/>
      <c r="U87" s="799"/>
      <c r="V87" s="799"/>
      <c r="W87" s="799"/>
      <c r="X87" s="799"/>
      <c r="Y87" s="799"/>
      <c r="Z87" s="799"/>
      <c r="AA87" s="799"/>
      <c r="AB87" s="799"/>
      <c r="AC87" s="799"/>
      <c r="AD87" s="799"/>
      <c r="AE87" s="799"/>
      <c r="AF87" s="799"/>
      <c r="AG87" s="799"/>
      <c r="AH87" s="799"/>
      <c r="AI87" s="799"/>
      <c r="AJ87" s="799"/>
      <c r="AK87" s="799"/>
      <c r="AL87" s="799"/>
      <c r="AM87" s="799"/>
      <c r="AN87" s="799"/>
      <c r="AO87" s="799"/>
      <c r="AP87" s="799"/>
      <c r="AQ87" s="798"/>
      <c r="AR87" s="798"/>
      <c r="AS87" s="798"/>
      <c r="AT87" s="798"/>
      <c r="AU87" s="798"/>
      <c r="AV87" s="798"/>
      <c r="AW87" s="798"/>
      <c r="AX87" s="798"/>
      <c r="AY87" s="798"/>
      <c r="AZ87" s="798"/>
      <c r="BA87" s="798"/>
      <c r="BB87" s="798"/>
      <c r="BC87" s="798"/>
      <c r="BD87" s="798"/>
    </row>
    <row r="88" spans="1:56">
      <c r="A88" s="798"/>
      <c r="B88" s="798"/>
      <c r="C88" s="798"/>
      <c r="D88" s="799"/>
      <c r="E88" s="799"/>
      <c r="F88" s="799"/>
      <c r="G88" s="799"/>
      <c r="H88" s="799"/>
      <c r="I88" s="799"/>
      <c r="J88" s="799"/>
      <c r="K88" s="799"/>
      <c r="L88" s="799"/>
      <c r="M88" s="799"/>
      <c r="N88" s="799"/>
      <c r="O88" s="799"/>
      <c r="P88" s="799"/>
      <c r="Q88" s="799"/>
      <c r="R88" s="799"/>
      <c r="S88" s="799"/>
      <c r="T88" s="799"/>
      <c r="U88" s="799"/>
      <c r="V88" s="799"/>
      <c r="W88" s="799"/>
      <c r="X88" s="799"/>
      <c r="Y88" s="799"/>
      <c r="Z88" s="799"/>
      <c r="AA88" s="799"/>
      <c r="AB88" s="799"/>
      <c r="AC88" s="799"/>
      <c r="AD88" s="799"/>
      <c r="AE88" s="799"/>
      <c r="AF88" s="799"/>
      <c r="AG88" s="799"/>
      <c r="AH88" s="799"/>
      <c r="AI88" s="799"/>
      <c r="AJ88" s="799"/>
      <c r="AK88" s="799"/>
      <c r="AL88" s="799"/>
      <c r="AM88" s="799"/>
      <c r="AN88" s="799"/>
      <c r="AO88" s="799"/>
      <c r="AP88" s="799"/>
      <c r="AQ88" s="798"/>
      <c r="AR88" s="798"/>
      <c r="AS88" s="798"/>
      <c r="AT88" s="798"/>
      <c r="AU88" s="798"/>
      <c r="AV88" s="798"/>
      <c r="AW88" s="798"/>
      <c r="AX88" s="798"/>
      <c r="AY88" s="798"/>
      <c r="AZ88" s="798"/>
      <c r="BA88" s="798"/>
      <c r="BB88" s="798"/>
      <c r="BC88" s="798"/>
      <c r="BD88" s="798"/>
    </row>
  </sheetData>
  <sheetProtection algorithmName="SHA-512" hashValue="PXekiucVVkWPGjnU0UaQPuvC6m0n7es1mAQFaFGp2O6ynN/HO+AuRlIqTnFfy7s6OdGfajZ6yzR+xnb+ZMwLzA==" saltValue="ymdDPmFLsuGSKuTpfWoJpw==" spinCount="100000" sheet="1" objects="1" scenarios="1"/>
  <customSheetViews>
    <customSheetView guid="{6EFEFCA0-BF14-457A-85A3-29CBF2A862A5}" showGridLines="0" fitToPage="1">
      <selection sqref="A1:AS63"/>
      <pageMargins left="0.23622047244094491" right="0.23622047244094491" top="0.19685039370078741" bottom="0.19685039370078741" header="0" footer="0.11811023622047245"/>
      <printOptions horizontalCentered="1" verticalCentered="1"/>
      <pageSetup paperSize="9" scale="59" orientation="portrait" r:id="rId1"/>
      <headerFooter>
        <oddFooter>&amp;L&amp;10&amp;F &amp;A&amp;R&amp;10Page 59 of 61</oddFooter>
      </headerFooter>
    </customSheetView>
  </customSheetViews>
  <mergeCells count="189">
    <mergeCell ref="E4:AB4"/>
    <mergeCell ref="E6:N7"/>
    <mergeCell ref="O6:T6"/>
    <mergeCell ref="U6:Z6"/>
    <mergeCell ref="AA6:AF6"/>
    <mergeCell ref="AG6:AL6"/>
    <mergeCell ref="O7:Q7"/>
    <mergeCell ref="R7:T7"/>
    <mergeCell ref="U7:W7"/>
    <mergeCell ref="X7:Z7"/>
    <mergeCell ref="AA7:AC7"/>
    <mergeCell ref="AD7:AF7"/>
    <mergeCell ref="AG7:AI7"/>
    <mergeCell ref="AJ7:AL7"/>
    <mergeCell ref="F8:M8"/>
    <mergeCell ref="O8:Q8"/>
    <mergeCell ref="R8:T8"/>
    <mergeCell ref="U8:W8"/>
    <mergeCell ref="X8:Z8"/>
    <mergeCell ref="AA8:AC8"/>
    <mergeCell ref="AD8:AF8"/>
    <mergeCell ref="AG8:AI8"/>
    <mergeCell ref="AJ8:AL8"/>
    <mergeCell ref="F9:M9"/>
    <mergeCell ref="O9:Q9"/>
    <mergeCell ref="R9:T9"/>
    <mergeCell ref="U9:W9"/>
    <mergeCell ref="X9:Z9"/>
    <mergeCell ref="AA9:AC9"/>
    <mergeCell ref="AD9:AF9"/>
    <mergeCell ref="AG9:AI9"/>
    <mergeCell ref="AJ9:AL9"/>
    <mergeCell ref="E19:J19"/>
    <mergeCell ref="K19:P19"/>
    <mergeCell ref="E20:J20"/>
    <mergeCell ref="K20:P20"/>
    <mergeCell ref="AJ10:AL10"/>
    <mergeCell ref="F11:M11"/>
    <mergeCell ref="O11:Q11"/>
    <mergeCell ref="R11:T11"/>
    <mergeCell ref="U11:W11"/>
    <mergeCell ref="X11:Z11"/>
    <mergeCell ref="AA11:AC11"/>
    <mergeCell ref="AD11:AF11"/>
    <mergeCell ref="AG11:AI11"/>
    <mergeCell ref="AJ11:AL11"/>
    <mergeCell ref="F10:M10"/>
    <mergeCell ref="O10:Q10"/>
    <mergeCell ref="R10:T10"/>
    <mergeCell ref="U10:W10"/>
    <mergeCell ref="X10:Z10"/>
    <mergeCell ref="AA10:AC10"/>
    <mergeCell ref="AD10:AF10"/>
    <mergeCell ref="AG10:AI10"/>
    <mergeCell ref="E17:J18"/>
    <mergeCell ref="K17:P18"/>
    <mergeCell ref="E21:J21"/>
    <mergeCell ref="K21:P21"/>
    <mergeCell ref="E26:X28"/>
    <mergeCell ref="Y26:AD27"/>
    <mergeCell ref="AE26:AJ27"/>
    <mergeCell ref="Y28:AA28"/>
    <mergeCell ref="AB28:AD28"/>
    <mergeCell ref="AE28:AG28"/>
    <mergeCell ref="AH28:AJ28"/>
    <mergeCell ref="F29:W29"/>
    <mergeCell ref="Y29:AA29"/>
    <mergeCell ref="AB29:AD29"/>
    <mergeCell ref="AE29:AG29"/>
    <mergeCell ref="AH29:AJ29"/>
    <mergeCell ref="F30:W30"/>
    <mergeCell ref="Y30:AA30"/>
    <mergeCell ref="AB30:AD30"/>
    <mergeCell ref="AE30:AG30"/>
    <mergeCell ref="AH30:AJ30"/>
    <mergeCell ref="F31:W31"/>
    <mergeCell ref="Y31:AA31"/>
    <mergeCell ref="AB31:AD31"/>
    <mergeCell ref="AE31:AG31"/>
    <mergeCell ref="AH31:AJ31"/>
    <mergeCell ref="F32:W32"/>
    <mergeCell ref="Y32:AA32"/>
    <mergeCell ref="AB32:AD32"/>
    <mergeCell ref="AE32:AG32"/>
    <mergeCell ref="AH32:AJ32"/>
    <mergeCell ref="F33:W33"/>
    <mergeCell ref="Y33:AA33"/>
    <mergeCell ref="AB33:AD33"/>
    <mergeCell ref="AE33:AG33"/>
    <mergeCell ref="AH33:AJ33"/>
    <mergeCell ref="F34:W34"/>
    <mergeCell ref="Y34:AA34"/>
    <mergeCell ref="AB34:AD34"/>
    <mergeCell ref="AE34:AG34"/>
    <mergeCell ref="AH34:AJ34"/>
    <mergeCell ref="F35:W35"/>
    <mergeCell ref="Y35:AA35"/>
    <mergeCell ref="AB35:AD35"/>
    <mergeCell ref="AE35:AG35"/>
    <mergeCell ref="AH35:AJ35"/>
    <mergeCell ref="F36:W36"/>
    <mergeCell ref="Y36:AA36"/>
    <mergeCell ref="AB36:AD36"/>
    <mergeCell ref="AE36:AG36"/>
    <mergeCell ref="AH36:AJ36"/>
    <mergeCell ref="F37:W37"/>
    <mergeCell ref="Y37:AA37"/>
    <mergeCell ref="AB37:AD37"/>
    <mergeCell ref="AE37:AG37"/>
    <mergeCell ref="AH37:AJ37"/>
    <mergeCell ref="F38:W38"/>
    <mergeCell ref="Y38:AA38"/>
    <mergeCell ref="AB38:AD38"/>
    <mergeCell ref="AE38:AG38"/>
    <mergeCell ref="AH38:AJ38"/>
    <mergeCell ref="F39:W39"/>
    <mergeCell ref="Y39:AA39"/>
    <mergeCell ref="AB39:AD39"/>
    <mergeCell ref="AE39:AG39"/>
    <mergeCell ref="AH39:AJ39"/>
    <mergeCell ref="F40:W40"/>
    <mergeCell ref="Y40:AA40"/>
    <mergeCell ref="AB40:AD40"/>
    <mergeCell ref="AE40:AG40"/>
    <mergeCell ref="AH40:AJ40"/>
    <mergeCell ref="F41:W41"/>
    <mergeCell ref="Y41:AA41"/>
    <mergeCell ref="AB41:AD41"/>
    <mergeCell ref="AE41:AG41"/>
    <mergeCell ref="AH41:AJ41"/>
    <mergeCell ref="F42:W42"/>
    <mergeCell ref="Y42:AA42"/>
    <mergeCell ref="AB42:AD42"/>
    <mergeCell ref="AE42:AG42"/>
    <mergeCell ref="AH42:AJ42"/>
    <mergeCell ref="F43:W43"/>
    <mergeCell ref="Y43:AA43"/>
    <mergeCell ref="AB43:AD43"/>
    <mergeCell ref="AE43:AG43"/>
    <mergeCell ref="AH43:AJ43"/>
    <mergeCell ref="F44:W44"/>
    <mergeCell ref="Y44:AA44"/>
    <mergeCell ref="AB44:AD44"/>
    <mergeCell ref="AE44:AG44"/>
    <mergeCell ref="AH44:AJ44"/>
    <mergeCell ref="F45:W45"/>
    <mergeCell ref="Y45:AA45"/>
    <mergeCell ref="AB45:AD45"/>
    <mergeCell ref="AE45:AG45"/>
    <mergeCell ref="AH45:AJ45"/>
    <mergeCell ref="F46:W46"/>
    <mergeCell ref="Y46:AA46"/>
    <mergeCell ref="AB46:AD46"/>
    <mergeCell ref="AE46:AG46"/>
    <mergeCell ref="AH46:AJ46"/>
    <mergeCell ref="F47:W47"/>
    <mergeCell ref="Y47:AA47"/>
    <mergeCell ref="AB47:AD47"/>
    <mergeCell ref="AE47:AG47"/>
    <mergeCell ref="AH47:AJ47"/>
    <mergeCell ref="F48:W48"/>
    <mergeCell ref="Y48:AA48"/>
    <mergeCell ref="AB48:AD48"/>
    <mergeCell ref="AE48:AG48"/>
    <mergeCell ref="AH48:AJ48"/>
    <mergeCell ref="F49:W49"/>
    <mergeCell ref="Y49:AA49"/>
    <mergeCell ref="AB49:AD49"/>
    <mergeCell ref="AE49:AG49"/>
    <mergeCell ref="AH49:AJ49"/>
    <mergeCell ref="F50:W50"/>
    <mergeCell ref="Y50:AA50"/>
    <mergeCell ref="AB50:AD50"/>
    <mergeCell ref="AE50:AG50"/>
    <mergeCell ref="AH50:AJ50"/>
    <mergeCell ref="F59:M59"/>
    <mergeCell ref="P59:AA59"/>
    <mergeCell ref="AD59:AO60"/>
    <mergeCell ref="F60:M60"/>
    <mergeCell ref="P60:AA60"/>
    <mergeCell ref="F61:M61"/>
    <mergeCell ref="V61:AA61"/>
    <mergeCell ref="AD61:AO61"/>
    <mergeCell ref="F51:W51"/>
    <mergeCell ref="Y51:AA53"/>
    <mergeCell ref="AB51:AD53"/>
    <mergeCell ref="AE51:AG53"/>
    <mergeCell ref="AH51:AJ53"/>
    <mergeCell ref="F52:W52"/>
  </mergeCells>
  <dataValidations count="2">
    <dataValidation type="whole" allowBlank="1" showInputMessage="1" showErrorMessage="1" errorTitle="GSHSP SY 2022-2023" error="Please enter valid number between 0-20,000." sqref="O8:AL11" xr:uid="{586129FC-8041-4204-9DC4-B32D1AFD3594}">
      <formula1>0</formula1>
      <formula2>20000</formula2>
    </dataValidation>
    <dataValidation type="whole" allowBlank="1" showInputMessage="1" showErrorMessage="1" errorTitle="GSHSP SY 2022-2023" error="Please enter valid number between 0-999." sqref="K19:P21 Y29:AJ53" xr:uid="{850C9526-40BF-4E24-964E-064FAA894B8A}">
      <formula1>0</formula1>
      <formula2>999</formula2>
    </dataValidation>
  </dataValidations>
  <printOptions horizontalCentered="1" verticalCentered="1"/>
  <pageMargins left="0.23622047244094491" right="0.23622047244094491" top="0.19685039370078741" bottom="0.19685039370078741" header="0" footer="0.11811023622047245"/>
  <pageSetup paperSize="9" scale="59" orientation="portrait" r:id="rId2"/>
  <headerFooter>
    <oddFooter>&amp;L&amp;10&amp;F &amp;A&amp;R&amp;10Page 59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26977" r:id="rId5" name="Check Box 1">
              <controlPr defaultSize="0" autoFill="0" autoLine="0" autoPict="0">
                <anchor moveWithCells="1">
                  <from>
                    <xdr:col>4</xdr:col>
                    <xdr:colOff>38100</xdr:colOff>
                    <xdr:row>21</xdr:row>
                    <xdr:rowOff>28575</xdr:rowOff>
                  </from>
                  <to>
                    <xdr:col>4</xdr:col>
                    <xdr:colOff>238125</xdr:colOff>
                    <xdr:row>21</xdr:row>
                    <xdr:rowOff>295275</xdr:rowOff>
                  </to>
                </anchor>
              </controlPr>
            </control>
          </mc:Choice>
        </mc:AlternateContent>
      </controls>
    </mc:Choice>
  </mc:AlternateContent>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CFF62-2A24-4D01-8D0D-34E1064B704B}">
  <sheetPr codeName="Sheet62">
    <tabColor rgb="FFFFFF00"/>
    <pageSetUpPr fitToPage="1"/>
  </sheetPr>
  <dimension ref="A1:BB65"/>
  <sheetViews>
    <sheetView showGridLines="0" zoomScaleNormal="100" zoomScaleSheetLayoutView="100" workbookViewId="0">
      <selection sqref="A1:AP43"/>
    </sheetView>
  </sheetViews>
  <sheetFormatPr defaultColWidth="8" defaultRowHeight="15.75"/>
  <cols>
    <col min="1" max="1" width="2.125" style="185" customWidth="1"/>
    <col min="2" max="36" width="3.625" style="184" customWidth="1"/>
    <col min="37" max="38" width="3.625" style="185" customWidth="1"/>
    <col min="39" max="39" width="2.125" style="185" customWidth="1"/>
    <col min="40" max="171" width="3.625" style="185" customWidth="1"/>
    <col min="172" max="16384" width="8" style="185"/>
  </cols>
  <sheetData>
    <row r="1" spans="1:52" ht="12" customHeight="1">
      <c r="A1" s="798"/>
      <c r="B1" s="799"/>
      <c r="C1" s="799"/>
      <c r="D1" s="799"/>
      <c r="E1" s="799"/>
      <c r="F1" s="799"/>
      <c r="G1" s="799"/>
      <c r="H1" s="799"/>
      <c r="I1" s="799"/>
      <c r="J1" s="799"/>
      <c r="K1" s="799"/>
      <c r="L1" s="799"/>
      <c r="M1" s="799"/>
      <c r="N1" s="799"/>
      <c r="O1" s="799"/>
      <c r="P1" s="799"/>
      <c r="Q1" s="799"/>
      <c r="R1" s="799"/>
      <c r="S1" s="799"/>
      <c r="T1" s="799"/>
      <c r="U1" s="799"/>
      <c r="V1" s="799"/>
      <c r="W1" s="799"/>
      <c r="X1" s="799"/>
      <c r="Y1" s="799"/>
      <c r="Z1" s="799"/>
      <c r="AA1" s="799"/>
      <c r="AB1" s="799"/>
      <c r="AC1" s="799"/>
      <c r="AD1" s="799"/>
      <c r="AE1" s="799"/>
      <c r="AF1" s="799"/>
      <c r="AG1" s="799"/>
      <c r="AH1" s="799"/>
      <c r="AI1" s="799"/>
      <c r="AJ1" s="799"/>
      <c r="AK1" s="798"/>
      <c r="AL1" s="798"/>
      <c r="AM1" s="798"/>
      <c r="AN1" s="798"/>
      <c r="AO1" s="798"/>
      <c r="AP1" s="798"/>
      <c r="AQ1" s="798"/>
      <c r="AR1" s="798"/>
      <c r="AS1" s="798"/>
      <c r="AT1" s="798"/>
      <c r="AU1" s="798"/>
      <c r="AV1" s="798"/>
      <c r="AW1" s="798"/>
      <c r="AX1" s="798"/>
      <c r="AY1" s="798"/>
      <c r="AZ1" s="798"/>
    </row>
    <row r="2" spans="1:52" ht="17.25" thickBot="1">
      <c r="A2" s="798"/>
      <c r="B2" s="1412" t="s">
        <v>1809</v>
      </c>
      <c r="C2" s="798"/>
      <c r="D2" s="798"/>
      <c r="E2" s="798"/>
      <c r="F2" s="798"/>
      <c r="G2" s="798"/>
      <c r="H2" s="798"/>
      <c r="I2" s="798"/>
      <c r="J2" s="798"/>
      <c r="K2" s="798"/>
      <c r="L2" s="798"/>
      <c r="M2" s="798"/>
      <c r="N2" s="798"/>
      <c r="O2" s="798"/>
      <c r="P2" s="798"/>
      <c r="Q2" s="798"/>
      <c r="R2" s="798"/>
      <c r="S2" s="798"/>
      <c r="T2" s="798"/>
      <c r="U2" s="798"/>
      <c r="V2" s="798"/>
      <c r="W2" s="798"/>
      <c r="X2" s="798"/>
      <c r="Y2" s="798"/>
      <c r="Z2" s="798"/>
      <c r="AA2" s="798"/>
      <c r="AB2" s="798"/>
      <c r="AC2" s="798"/>
      <c r="AD2" s="798"/>
      <c r="AE2" s="798"/>
      <c r="AF2" s="798"/>
      <c r="AG2" s="798"/>
      <c r="AH2" s="798"/>
      <c r="AI2" s="798"/>
      <c r="AJ2" s="798"/>
      <c r="AK2" s="798"/>
      <c r="AL2" s="798"/>
      <c r="AM2" s="798"/>
      <c r="AN2" s="798"/>
      <c r="AO2" s="798"/>
      <c r="AP2" s="798"/>
      <c r="AQ2" s="798"/>
      <c r="AR2" s="798"/>
      <c r="AS2" s="798"/>
      <c r="AT2" s="798"/>
      <c r="AU2" s="798"/>
      <c r="AV2" s="798"/>
      <c r="AW2" s="798"/>
      <c r="AX2" s="798"/>
      <c r="AY2" s="798"/>
      <c r="AZ2" s="798"/>
    </row>
    <row r="3" spans="1:52" ht="5.0999999999999996" customHeight="1" thickTop="1">
      <c r="A3" s="798"/>
      <c r="B3" s="1413"/>
      <c r="C3" s="1415"/>
      <c r="D3" s="1415"/>
      <c r="E3" s="1415"/>
      <c r="F3" s="1415"/>
      <c r="G3" s="1415"/>
      <c r="H3" s="1415"/>
      <c r="I3" s="1415"/>
      <c r="J3" s="1415"/>
      <c r="K3" s="1415"/>
      <c r="L3" s="1415"/>
      <c r="M3" s="1415"/>
      <c r="N3" s="1415"/>
      <c r="O3" s="1415"/>
      <c r="P3" s="1415"/>
      <c r="Q3" s="1415"/>
      <c r="R3" s="1415"/>
      <c r="S3" s="1415"/>
      <c r="T3" s="1415"/>
      <c r="U3" s="1415"/>
      <c r="V3" s="1415"/>
      <c r="W3" s="1415"/>
      <c r="X3" s="1415"/>
      <c r="Y3" s="1415"/>
      <c r="Z3" s="1415"/>
      <c r="AA3" s="1415"/>
      <c r="AB3" s="1415"/>
      <c r="AC3" s="1415"/>
      <c r="AD3" s="1415"/>
      <c r="AE3" s="1415"/>
      <c r="AF3" s="1415"/>
      <c r="AG3" s="1415"/>
      <c r="AH3" s="1415"/>
      <c r="AI3" s="1415"/>
      <c r="AJ3" s="1415"/>
      <c r="AK3" s="1415"/>
      <c r="AL3" s="1581"/>
      <c r="AM3" s="1423"/>
      <c r="AN3" s="798"/>
      <c r="AO3" s="798"/>
      <c r="AP3" s="798"/>
      <c r="AQ3" s="798"/>
      <c r="AR3" s="798"/>
      <c r="AS3" s="798"/>
      <c r="AT3" s="798"/>
      <c r="AU3" s="798"/>
      <c r="AV3" s="798"/>
      <c r="AW3" s="798"/>
      <c r="AX3" s="798"/>
      <c r="AY3" s="798"/>
      <c r="AZ3" s="798"/>
    </row>
    <row r="4" spans="1:52" ht="15.6" customHeight="1">
      <c r="A4" s="798"/>
      <c r="B4" s="1417"/>
      <c r="C4" s="1418" t="s">
        <v>47</v>
      </c>
      <c r="D4" s="4057" t="s">
        <v>1646</v>
      </c>
      <c r="E4" s="4057"/>
      <c r="F4" s="4057"/>
      <c r="G4" s="4057"/>
      <c r="H4" s="4057"/>
      <c r="I4" s="4057"/>
      <c r="J4" s="4057"/>
      <c r="K4" s="4057"/>
      <c r="L4" s="4057"/>
      <c r="M4" s="4057"/>
      <c r="N4" s="4057"/>
      <c r="O4" s="4057"/>
      <c r="P4" s="1420"/>
      <c r="Q4" s="1420"/>
      <c r="R4" s="1420"/>
      <c r="S4" s="1420"/>
      <c r="T4" s="1420"/>
      <c r="U4" s="1420"/>
      <c r="V4" s="1420"/>
      <c r="W4" s="1418" t="s">
        <v>48</v>
      </c>
      <c r="X4" s="4057" t="s">
        <v>1647</v>
      </c>
      <c r="Y4" s="4057"/>
      <c r="Z4" s="4057"/>
      <c r="AA4" s="4057"/>
      <c r="AB4" s="4057"/>
      <c r="AC4" s="4057"/>
      <c r="AD4" s="4057"/>
      <c r="AE4" s="4057"/>
      <c r="AF4" s="4057"/>
      <c r="AG4" s="4057"/>
      <c r="AH4" s="4057"/>
      <c r="AI4" s="1420"/>
      <c r="AJ4" s="1420"/>
      <c r="AK4" s="1444"/>
      <c r="AL4" s="1582"/>
      <c r="AM4" s="1444"/>
      <c r="AN4" s="798"/>
      <c r="AO4" s="798"/>
      <c r="AP4" s="798"/>
      <c r="AQ4" s="798"/>
      <c r="AR4" s="798"/>
      <c r="AS4" s="798"/>
      <c r="AT4" s="798"/>
      <c r="AU4" s="798"/>
      <c r="AV4" s="798"/>
      <c r="AW4" s="798"/>
      <c r="AX4" s="798"/>
      <c r="AY4" s="798"/>
      <c r="AZ4" s="798"/>
    </row>
    <row r="5" spans="1:52" ht="15.6" customHeight="1">
      <c r="A5" s="798"/>
      <c r="B5" s="1417"/>
      <c r="C5" s="1418"/>
      <c r="D5" s="4057"/>
      <c r="E5" s="4057"/>
      <c r="F5" s="4057"/>
      <c r="G5" s="4057"/>
      <c r="H5" s="4057"/>
      <c r="I5" s="4057"/>
      <c r="J5" s="4057"/>
      <c r="K5" s="4057"/>
      <c r="L5" s="4057"/>
      <c r="M5" s="4057"/>
      <c r="N5" s="4057"/>
      <c r="O5" s="4057"/>
      <c r="P5" s="1420"/>
      <c r="Q5" s="1420"/>
      <c r="R5" s="1420"/>
      <c r="S5" s="1420"/>
      <c r="T5" s="1420"/>
      <c r="U5" s="1420"/>
      <c r="V5" s="1420"/>
      <c r="W5" s="1418"/>
      <c r="X5" s="4057"/>
      <c r="Y5" s="4057"/>
      <c r="Z5" s="4057"/>
      <c r="AA5" s="4057"/>
      <c r="AB5" s="4057"/>
      <c r="AC5" s="4057"/>
      <c r="AD5" s="4057"/>
      <c r="AE5" s="4057"/>
      <c r="AF5" s="4057"/>
      <c r="AG5" s="4057"/>
      <c r="AH5" s="4057"/>
      <c r="AI5" s="1420"/>
      <c r="AJ5" s="1420"/>
      <c r="AK5" s="1444"/>
      <c r="AL5" s="1582"/>
      <c r="AM5" s="1444"/>
      <c r="AN5" s="798"/>
      <c r="AO5" s="798"/>
      <c r="AP5" s="798"/>
      <c r="AQ5" s="798"/>
      <c r="AR5" s="798"/>
      <c r="AS5" s="798"/>
      <c r="AT5" s="798"/>
      <c r="AU5" s="798"/>
      <c r="AV5" s="798"/>
      <c r="AW5" s="798"/>
      <c r="AX5" s="798"/>
      <c r="AY5" s="798"/>
      <c r="AZ5" s="798"/>
    </row>
    <row r="6" spans="1:52" ht="15.6" customHeight="1">
      <c r="A6" s="798"/>
      <c r="B6" s="1417"/>
      <c r="C6" s="1418"/>
      <c r="D6" s="4057"/>
      <c r="E6" s="4057"/>
      <c r="F6" s="4057"/>
      <c r="G6" s="4057"/>
      <c r="H6" s="4057"/>
      <c r="I6" s="4057"/>
      <c r="J6" s="4057"/>
      <c r="K6" s="4057"/>
      <c r="L6" s="4057"/>
      <c r="M6" s="4057"/>
      <c r="N6" s="4057"/>
      <c r="O6" s="4057"/>
      <c r="P6" s="1420"/>
      <c r="Q6" s="1420"/>
      <c r="R6" s="1420"/>
      <c r="S6" s="1420"/>
      <c r="T6" s="1420"/>
      <c r="U6" s="1420"/>
      <c r="V6" s="1420"/>
      <c r="W6" s="1418"/>
      <c r="X6" s="4057"/>
      <c r="Y6" s="4057"/>
      <c r="Z6" s="4057"/>
      <c r="AA6" s="4057"/>
      <c r="AB6" s="4057"/>
      <c r="AC6" s="4057"/>
      <c r="AD6" s="4057"/>
      <c r="AE6" s="4057"/>
      <c r="AF6" s="4057"/>
      <c r="AG6" s="4057"/>
      <c r="AH6" s="4057"/>
      <c r="AI6" s="1420"/>
      <c r="AJ6" s="1420"/>
      <c r="AK6" s="1444"/>
      <c r="AL6" s="1582"/>
      <c r="AM6" s="1444"/>
      <c r="AN6" s="798"/>
      <c r="AO6" s="798"/>
      <c r="AP6" s="798"/>
      <c r="AQ6" s="798"/>
      <c r="AR6" s="798"/>
      <c r="AS6" s="798"/>
      <c r="AT6" s="798"/>
      <c r="AU6" s="798"/>
      <c r="AV6" s="798"/>
      <c r="AW6" s="798"/>
      <c r="AX6" s="798"/>
      <c r="AY6" s="798"/>
      <c r="AZ6" s="798"/>
    </row>
    <row r="7" spans="1:52" ht="5.0999999999999996" customHeight="1" thickBot="1">
      <c r="A7" s="798"/>
      <c r="B7" s="1425"/>
      <c r="C7" s="1423"/>
      <c r="D7" s="1423"/>
      <c r="E7" s="1423"/>
      <c r="F7" s="1423"/>
      <c r="G7" s="1423"/>
      <c r="H7" s="1423"/>
      <c r="I7" s="1423"/>
      <c r="J7" s="1423"/>
      <c r="K7" s="1423"/>
      <c r="L7" s="1423"/>
      <c r="M7" s="1423"/>
      <c r="N7" s="1423"/>
      <c r="O7" s="1423"/>
      <c r="P7" s="1423"/>
      <c r="Q7" s="1423"/>
      <c r="R7" s="1423"/>
      <c r="S7" s="1423"/>
      <c r="T7" s="1423"/>
      <c r="U7" s="1423"/>
      <c r="V7" s="1423"/>
      <c r="W7" s="1423"/>
      <c r="X7" s="1423"/>
      <c r="Y7" s="1423"/>
      <c r="Z7" s="1423"/>
      <c r="AA7" s="1423"/>
      <c r="AB7" s="1423"/>
      <c r="AC7" s="1423"/>
      <c r="AD7" s="1423"/>
      <c r="AE7" s="1423"/>
      <c r="AF7" s="1423"/>
      <c r="AG7" s="1423"/>
      <c r="AH7" s="1423"/>
      <c r="AI7" s="1423"/>
      <c r="AJ7" s="1423"/>
      <c r="AK7" s="1423"/>
      <c r="AL7" s="1583"/>
      <c r="AM7" s="1423"/>
      <c r="AN7" s="798"/>
      <c r="AO7" s="798"/>
      <c r="AP7" s="798"/>
      <c r="AQ7" s="798"/>
      <c r="AR7" s="798"/>
      <c r="AS7" s="798"/>
      <c r="AT7" s="798"/>
      <c r="AU7" s="798"/>
      <c r="AV7" s="798"/>
      <c r="AW7" s="798"/>
      <c r="AX7" s="798"/>
      <c r="AY7" s="798"/>
      <c r="AZ7" s="798"/>
    </row>
    <row r="8" spans="1:52" s="184" customFormat="1" ht="30.6" customHeight="1" thickTop="1" thickBot="1">
      <c r="A8" s="799"/>
      <c r="B8" s="1425"/>
      <c r="C8" s="1504"/>
      <c r="D8" s="3654" t="s">
        <v>940</v>
      </c>
      <c r="E8" s="3655"/>
      <c r="F8" s="3655"/>
      <c r="G8" s="3655"/>
      <c r="H8" s="3655"/>
      <c r="I8" s="3657"/>
      <c r="J8" s="3655" t="s">
        <v>941</v>
      </c>
      <c r="K8" s="3655"/>
      <c r="L8" s="3655"/>
      <c r="M8" s="3655"/>
      <c r="N8" s="3655"/>
      <c r="O8" s="3658"/>
      <c r="P8" s="1504"/>
      <c r="Q8" s="1504"/>
      <c r="R8" s="1504"/>
      <c r="S8" s="1504"/>
      <c r="T8" s="1504"/>
      <c r="U8" s="1504"/>
      <c r="V8" s="1504"/>
      <c r="W8" s="1504"/>
      <c r="X8" s="3654" t="s">
        <v>940</v>
      </c>
      <c r="Y8" s="3655"/>
      <c r="Z8" s="3655"/>
      <c r="AA8" s="3655"/>
      <c r="AB8" s="3655"/>
      <c r="AC8" s="3655"/>
      <c r="AD8" s="3655"/>
      <c r="AE8" s="3658"/>
      <c r="AF8" s="1342"/>
      <c r="AG8" s="1342"/>
      <c r="AH8" s="1342"/>
      <c r="AI8" s="1342"/>
      <c r="AJ8" s="1504"/>
      <c r="AK8" s="1504"/>
      <c r="AL8" s="1624"/>
      <c r="AM8" s="1504"/>
      <c r="AN8" s="799"/>
      <c r="AO8" s="799"/>
      <c r="AP8" s="799"/>
      <c r="AQ8" s="799"/>
      <c r="AR8" s="799"/>
      <c r="AS8" s="799"/>
      <c r="AT8" s="799"/>
      <c r="AU8" s="799"/>
      <c r="AV8" s="799"/>
      <c r="AW8" s="799"/>
      <c r="AX8" s="799"/>
      <c r="AY8" s="799"/>
      <c r="AZ8" s="799"/>
    </row>
    <row r="9" spans="1:52" s="184" customFormat="1" ht="19.5" customHeight="1" thickBot="1">
      <c r="A9" s="799"/>
      <c r="B9" s="1429"/>
      <c r="C9" s="1506"/>
      <c r="D9" s="3659" t="s">
        <v>45</v>
      </c>
      <c r="E9" s="3660"/>
      <c r="F9" s="3661"/>
      <c r="G9" s="3664" t="s">
        <v>46</v>
      </c>
      <c r="H9" s="3660"/>
      <c r="I9" s="3663"/>
      <c r="J9" s="3660" t="s">
        <v>45</v>
      </c>
      <c r="K9" s="3660"/>
      <c r="L9" s="3661"/>
      <c r="M9" s="3664" t="s">
        <v>46</v>
      </c>
      <c r="N9" s="3660"/>
      <c r="O9" s="3665"/>
      <c r="P9" s="799"/>
      <c r="Q9" s="799"/>
      <c r="R9" s="799"/>
      <c r="S9" s="799"/>
      <c r="T9" s="799"/>
      <c r="U9" s="799"/>
      <c r="V9" s="799"/>
      <c r="W9" s="1506"/>
      <c r="X9" s="3659" t="s">
        <v>45</v>
      </c>
      <c r="Y9" s="3660"/>
      <c r="Z9" s="3660"/>
      <c r="AA9" s="3661"/>
      <c r="AB9" s="3664" t="s">
        <v>46</v>
      </c>
      <c r="AC9" s="3660"/>
      <c r="AD9" s="3660"/>
      <c r="AE9" s="3665"/>
      <c r="AF9" s="1625"/>
      <c r="AG9" s="1625"/>
      <c r="AH9" s="1625"/>
      <c r="AI9" s="1625"/>
      <c r="AJ9" s="799"/>
      <c r="AK9" s="799"/>
      <c r="AL9" s="1593"/>
      <c r="AM9" s="799"/>
      <c r="AN9" s="799"/>
      <c r="AO9" s="799"/>
      <c r="AP9" s="799"/>
      <c r="AQ9" s="799"/>
      <c r="AR9" s="799"/>
      <c r="AS9" s="799"/>
      <c r="AT9" s="799"/>
      <c r="AU9" s="799"/>
      <c r="AV9" s="799"/>
      <c r="AW9" s="799"/>
      <c r="AX9" s="799"/>
      <c r="AY9" s="799"/>
      <c r="AZ9" s="799"/>
    </row>
    <row r="10" spans="1:52" s="184" customFormat="1" ht="24.95" customHeight="1" thickTop="1" thickBot="1">
      <c r="A10" s="799"/>
      <c r="B10" s="1429"/>
      <c r="C10" s="1506"/>
      <c r="D10" s="3683">
        <v>1</v>
      </c>
      <c r="E10" s="3684"/>
      <c r="F10" s="3685"/>
      <c r="G10" s="3686">
        <v>0</v>
      </c>
      <c r="H10" s="3687"/>
      <c r="I10" s="3688"/>
      <c r="J10" s="3684">
        <v>0</v>
      </c>
      <c r="K10" s="3684"/>
      <c r="L10" s="3685"/>
      <c r="M10" s="3686">
        <v>0</v>
      </c>
      <c r="N10" s="3687"/>
      <c r="O10" s="3689"/>
      <c r="P10" s="799"/>
      <c r="Q10" s="799"/>
      <c r="R10" s="799"/>
      <c r="S10" s="799"/>
      <c r="T10" s="799"/>
      <c r="U10" s="799"/>
      <c r="V10" s="799"/>
      <c r="W10" s="1506"/>
      <c r="X10" s="3683">
        <v>0</v>
      </c>
      <c r="Y10" s="3684"/>
      <c r="Z10" s="3684"/>
      <c r="AA10" s="3685"/>
      <c r="AB10" s="3686">
        <v>0</v>
      </c>
      <c r="AC10" s="3687"/>
      <c r="AD10" s="3687"/>
      <c r="AE10" s="3689"/>
      <c r="AF10" s="1543"/>
      <c r="AG10" s="1543"/>
      <c r="AH10" s="1543"/>
      <c r="AI10" s="1543"/>
      <c r="AJ10" s="799"/>
      <c r="AK10" s="799"/>
      <c r="AL10" s="1593"/>
      <c r="AM10" s="799"/>
      <c r="AN10" s="799"/>
      <c r="AO10" s="799"/>
      <c r="AP10" s="799"/>
      <c r="AQ10" s="799"/>
      <c r="AR10" s="799"/>
      <c r="AS10" s="799"/>
      <c r="AT10" s="799"/>
      <c r="AU10" s="799"/>
      <c r="AV10" s="799"/>
      <c r="AW10" s="799"/>
      <c r="AX10" s="799"/>
      <c r="AY10" s="799"/>
      <c r="AZ10" s="799"/>
    </row>
    <row r="11" spans="1:52" ht="9.9499999999999993" customHeight="1" thickTop="1">
      <c r="A11" s="798"/>
      <c r="B11" s="1417"/>
      <c r="C11" s="1418"/>
      <c r="D11" s="1420"/>
      <c r="E11" s="1420"/>
      <c r="F11" s="1420"/>
      <c r="G11" s="1420"/>
      <c r="H11" s="1420"/>
      <c r="I11" s="1420"/>
      <c r="J11" s="1420"/>
      <c r="K11" s="1420"/>
      <c r="L11" s="1420"/>
      <c r="M11" s="1420"/>
      <c r="N11" s="1420"/>
      <c r="O11" s="1420"/>
      <c r="P11" s="1420"/>
      <c r="Q11" s="1420"/>
      <c r="R11" s="1420"/>
      <c r="S11" s="1420"/>
      <c r="T11" s="1420"/>
      <c r="U11" s="1420"/>
      <c r="V11" s="1420"/>
      <c r="W11" s="1420"/>
      <c r="X11" s="1420"/>
      <c r="Y11" s="1420"/>
      <c r="Z11" s="1420"/>
      <c r="AA11" s="1420"/>
      <c r="AB11" s="1420"/>
      <c r="AC11" s="1420"/>
      <c r="AD11" s="1420"/>
      <c r="AE11" s="1420"/>
      <c r="AF11" s="1420"/>
      <c r="AG11" s="1420"/>
      <c r="AH11" s="1420"/>
      <c r="AI11" s="798"/>
      <c r="AJ11" s="1626"/>
      <c r="AK11" s="1626"/>
      <c r="AL11" s="1582"/>
      <c r="AM11" s="798"/>
      <c r="AN11" s="798"/>
      <c r="AO11" s="798"/>
      <c r="AP11" s="798"/>
      <c r="AQ11" s="798"/>
      <c r="AR11" s="798"/>
      <c r="AS11" s="798"/>
      <c r="AT11" s="798"/>
      <c r="AU11" s="798"/>
      <c r="AV11" s="798"/>
      <c r="AW11" s="798"/>
      <c r="AX11" s="798"/>
      <c r="AY11" s="798"/>
      <c r="AZ11" s="798"/>
    </row>
    <row r="12" spans="1:52" s="186" customFormat="1" ht="24.75" customHeight="1">
      <c r="A12" s="802"/>
      <c r="B12" s="1500"/>
      <c r="C12" s="1627" t="s">
        <v>49</v>
      </c>
      <c r="D12" s="1340" t="b">
        <v>0</v>
      </c>
      <c r="E12" s="4039" t="s">
        <v>1648</v>
      </c>
      <c r="F12" s="4039"/>
      <c r="G12" s="4039"/>
      <c r="H12" s="4039"/>
      <c r="I12" s="4039"/>
      <c r="J12" s="4039"/>
      <c r="K12" s="4039"/>
      <c r="L12" s="4039"/>
      <c r="M12" s="4039"/>
      <c r="N12" s="4039"/>
      <c r="O12" s="4039"/>
      <c r="P12" s="4039"/>
      <c r="Q12" s="4039"/>
      <c r="R12" s="4039"/>
      <c r="S12" s="4039"/>
      <c r="T12" s="4039"/>
      <c r="U12" s="4039"/>
      <c r="V12" s="4039"/>
      <c r="W12" s="4039"/>
      <c r="X12" s="4039"/>
      <c r="Y12" s="4039"/>
      <c r="Z12" s="4039"/>
      <c r="AA12" s="4039"/>
      <c r="AB12" s="4039"/>
      <c r="AC12" s="4039"/>
      <c r="AD12" s="4039"/>
      <c r="AE12" s="4039"/>
      <c r="AF12" s="4039"/>
      <c r="AG12" s="4039"/>
      <c r="AH12" s="4039"/>
      <c r="AI12" s="4039"/>
      <c r="AJ12" s="1505"/>
      <c r="AK12" s="1502"/>
      <c r="AL12" s="1628"/>
      <c r="AM12" s="1502"/>
      <c r="AN12" s="1502"/>
      <c r="AO12" s="1502"/>
      <c r="AP12" s="1502"/>
      <c r="AQ12" s="1502"/>
      <c r="AR12" s="1502"/>
      <c r="AS12" s="1502"/>
      <c r="AT12" s="1502"/>
      <c r="AU12" s="802"/>
      <c r="AV12" s="802"/>
      <c r="AW12" s="802"/>
      <c r="AX12" s="802"/>
      <c r="AY12" s="802"/>
      <c r="AZ12" s="802"/>
    </row>
    <row r="13" spans="1:52" s="186" customFormat="1" ht="9.9499999999999993" customHeight="1">
      <c r="A13" s="802"/>
      <c r="B13" s="1500"/>
      <c r="C13" s="1627"/>
      <c r="D13" s="1321"/>
      <c r="E13" s="1505"/>
      <c r="F13" s="1505"/>
      <c r="G13" s="1505"/>
      <c r="H13" s="1505"/>
      <c r="I13" s="1505"/>
      <c r="J13" s="1505"/>
      <c r="K13" s="1505"/>
      <c r="L13" s="1505"/>
      <c r="M13" s="1505"/>
      <c r="N13" s="1505"/>
      <c r="O13" s="1505"/>
      <c r="P13" s="1505"/>
      <c r="Q13" s="1505"/>
      <c r="R13" s="1505"/>
      <c r="S13" s="1505"/>
      <c r="T13" s="1505"/>
      <c r="U13" s="1505"/>
      <c r="V13" s="1505"/>
      <c r="W13" s="1505"/>
      <c r="X13" s="1505"/>
      <c r="Y13" s="1505"/>
      <c r="Z13" s="1505"/>
      <c r="AA13" s="1505"/>
      <c r="AB13" s="1505"/>
      <c r="AC13" s="1505"/>
      <c r="AD13" s="1505"/>
      <c r="AE13" s="1505"/>
      <c r="AF13" s="1505"/>
      <c r="AG13" s="1505"/>
      <c r="AH13" s="1505"/>
      <c r="AI13" s="1505"/>
      <c r="AJ13" s="1505"/>
      <c r="AK13" s="1505"/>
      <c r="AL13" s="1628"/>
      <c r="AM13" s="1502"/>
      <c r="AN13" s="1502"/>
      <c r="AO13" s="1502"/>
      <c r="AP13" s="1502"/>
      <c r="AQ13" s="1502"/>
      <c r="AR13" s="1502"/>
      <c r="AS13" s="1502"/>
      <c r="AT13" s="1502"/>
      <c r="AU13" s="1502"/>
      <c r="AV13" s="1502"/>
      <c r="AW13" s="802"/>
      <c r="AX13" s="802"/>
      <c r="AY13" s="802"/>
      <c r="AZ13" s="802"/>
    </row>
    <row r="14" spans="1:52" s="47" customFormat="1" ht="15.6" customHeight="1">
      <c r="A14" s="260"/>
      <c r="B14" s="1387"/>
      <c r="C14" s="1047" t="s">
        <v>50</v>
      </c>
      <c r="D14" s="4049" t="s">
        <v>1649</v>
      </c>
      <c r="E14" s="4049"/>
      <c r="F14" s="4049"/>
      <c r="G14" s="4049"/>
      <c r="H14" s="4049"/>
      <c r="I14" s="4049"/>
      <c r="J14" s="4049"/>
      <c r="K14" s="4049"/>
      <c r="L14" s="4049"/>
      <c r="M14" s="4049"/>
      <c r="N14" s="4049"/>
      <c r="O14" s="4049"/>
      <c r="P14" s="4049"/>
      <c r="Q14" s="4049"/>
      <c r="R14" s="4049"/>
      <c r="S14" s="4049"/>
      <c r="T14" s="1629"/>
      <c r="U14" s="1629"/>
      <c r="V14" s="1629"/>
      <c r="W14" s="1629"/>
      <c r="X14" s="1418" t="s">
        <v>51</v>
      </c>
      <c r="Y14" s="4057" t="s">
        <v>1651</v>
      </c>
      <c r="Z14" s="4057"/>
      <c r="AA14" s="4057"/>
      <c r="AB14" s="4057"/>
      <c r="AC14" s="4057"/>
      <c r="AD14" s="4057"/>
      <c r="AE14" s="4057"/>
      <c r="AF14" s="4057"/>
      <c r="AG14" s="4057"/>
      <c r="AH14" s="4057"/>
      <c r="AI14" s="4057"/>
      <c r="AJ14" s="4057"/>
      <c r="AK14" s="1420"/>
      <c r="AL14" s="1630"/>
      <c r="AM14" s="1629"/>
      <c r="AN14" s="1629"/>
      <c r="AO14" s="260"/>
      <c r="AP14" s="260"/>
      <c r="AQ14" s="260"/>
      <c r="AR14" s="260"/>
      <c r="AS14" s="260"/>
      <c r="AT14" s="260"/>
      <c r="AU14" s="260"/>
      <c r="AV14" s="260"/>
      <c r="AW14" s="260"/>
      <c r="AX14" s="260"/>
      <c r="AY14" s="260"/>
      <c r="AZ14" s="260"/>
    </row>
    <row r="15" spans="1:52" s="47" customFormat="1" ht="5.0999999999999996" customHeight="1" thickBot="1">
      <c r="A15" s="260"/>
      <c r="B15" s="1595"/>
      <c r="C15" s="1039"/>
      <c r="D15" s="260"/>
      <c r="E15" s="260"/>
      <c r="F15" s="260"/>
      <c r="G15" s="260"/>
      <c r="H15" s="260"/>
      <c r="I15" s="260"/>
      <c r="J15" s="260"/>
      <c r="K15" s="260"/>
      <c r="L15" s="260"/>
      <c r="M15" s="260"/>
      <c r="N15" s="260"/>
      <c r="O15" s="260"/>
      <c r="P15" s="260"/>
      <c r="Q15" s="260"/>
      <c r="R15" s="260"/>
      <c r="S15" s="260"/>
      <c r="T15" s="260"/>
      <c r="U15" s="260"/>
      <c r="V15" s="260"/>
      <c r="W15" s="260"/>
      <c r="X15" s="1418"/>
      <c r="Y15" s="4057"/>
      <c r="Z15" s="4057"/>
      <c r="AA15" s="4057"/>
      <c r="AB15" s="4057"/>
      <c r="AC15" s="4057"/>
      <c r="AD15" s="4057"/>
      <c r="AE15" s="4057"/>
      <c r="AF15" s="4057"/>
      <c r="AG15" s="4057"/>
      <c r="AH15" s="4057"/>
      <c r="AI15" s="4057"/>
      <c r="AJ15" s="4057"/>
      <c r="AK15" s="1420"/>
      <c r="AL15" s="1407"/>
      <c r="AM15" s="260"/>
      <c r="AN15" s="260"/>
      <c r="AO15" s="260"/>
      <c r="AP15" s="260"/>
      <c r="AQ15" s="260"/>
      <c r="AR15" s="260"/>
      <c r="AS15" s="260"/>
      <c r="AT15" s="260"/>
      <c r="AU15" s="260"/>
      <c r="AV15" s="260"/>
      <c r="AW15" s="260"/>
      <c r="AX15" s="260"/>
      <c r="AY15" s="260"/>
      <c r="AZ15" s="260"/>
    </row>
    <row r="16" spans="1:52" s="171" customFormat="1" ht="18.600000000000001" customHeight="1" thickTop="1" thickBot="1">
      <c r="A16" s="1046"/>
      <c r="B16" s="1596"/>
      <c r="C16" s="1458"/>
      <c r="D16" s="3859" t="s">
        <v>1805</v>
      </c>
      <c r="E16" s="3860"/>
      <c r="F16" s="3860"/>
      <c r="G16" s="3860"/>
      <c r="H16" s="3861"/>
      <c r="I16" s="4150" t="s">
        <v>1650</v>
      </c>
      <c r="J16" s="4150"/>
      <c r="K16" s="4150"/>
      <c r="L16" s="4150"/>
      <c r="M16" s="4150"/>
      <c r="N16" s="4150"/>
      <c r="O16" s="4150"/>
      <c r="P16" s="4150"/>
      <c r="Q16" s="4150"/>
      <c r="R16" s="4151"/>
      <c r="S16" s="771"/>
      <c r="T16" s="771"/>
      <c r="U16" s="771"/>
      <c r="V16" s="771"/>
      <c r="W16" s="771"/>
      <c r="X16" s="1418"/>
      <c r="Y16" s="4057"/>
      <c r="Z16" s="4057"/>
      <c r="AA16" s="4057"/>
      <c r="AB16" s="4057"/>
      <c r="AC16" s="4057"/>
      <c r="AD16" s="4057"/>
      <c r="AE16" s="4057"/>
      <c r="AF16" s="4057"/>
      <c r="AG16" s="4057"/>
      <c r="AH16" s="4057"/>
      <c r="AI16" s="4057"/>
      <c r="AJ16" s="4057"/>
      <c r="AK16" s="1420"/>
      <c r="AL16" s="1631"/>
      <c r="AM16" s="771"/>
      <c r="AN16" s="771"/>
      <c r="AO16" s="771"/>
      <c r="AP16" s="771"/>
      <c r="AQ16" s="1046"/>
      <c r="AR16" s="1046"/>
      <c r="AS16" s="1046"/>
      <c r="AT16" s="1046"/>
      <c r="AU16" s="1046"/>
      <c r="AV16" s="1046"/>
      <c r="AW16" s="1046"/>
      <c r="AX16" s="1046"/>
      <c r="AY16" s="1046"/>
      <c r="AZ16" s="1046"/>
    </row>
    <row r="17" spans="1:54" s="171" customFormat="1" ht="18.600000000000001" customHeight="1" thickTop="1" thickBot="1">
      <c r="A17" s="1046"/>
      <c r="B17" s="1596"/>
      <c r="C17" s="1458"/>
      <c r="D17" s="3974"/>
      <c r="E17" s="3975"/>
      <c r="F17" s="3975"/>
      <c r="G17" s="3975"/>
      <c r="H17" s="3976"/>
      <c r="I17" s="3975" t="s">
        <v>910</v>
      </c>
      <c r="J17" s="3975"/>
      <c r="K17" s="3975"/>
      <c r="L17" s="3975"/>
      <c r="M17" s="4189"/>
      <c r="N17" s="4190" t="s">
        <v>912</v>
      </c>
      <c r="O17" s="3975"/>
      <c r="P17" s="3975"/>
      <c r="Q17" s="3975"/>
      <c r="R17" s="3976"/>
      <c r="S17" s="771"/>
      <c r="T17" s="771"/>
      <c r="U17" s="771"/>
      <c r="V17" s="771"/>
      <c r="W17" s="771"/>
      <c r="X17" s="1418"/>
      <c r="Y17" s="3654" t="s">
        <v>940</v>
      </c>
      <c r="Z17" s="3655"/>
      <c r="AA17" s="3655"/>
      <c r="AB17" s="3655"/>
      <c r="AC17" s="3655"/>
      <c r="AD17" s="3657"/>
      <c r="AE17" s="3655" t="s">
        <v>941</v>
      </c>
      <c r="AF17" s="3655"/>
      <c r="AG17" s="3655"/>
      <c r="AH17" s="3655"/>
      <c r="AI17" s="3655"/>
      <c r="AJ17" s="3658"/>
      <c r="AK17" s="1420"/>
      <c r="AL17" s="1631"/>
      <c r="AM17" s="771"/>
      <c r="AN17" s="771"/>
      <c r="AO17" s="771"/>
      <c r="AP17" s="771"/>
      <c r="AQ17" s="1046"/>
      <c r="AR17" s="1046"/>
      <c r="AS17" s="1046"/>
      <c r="AT17" s="1046"/>
      <c r="AU17" s="1046"/>
      <c r="AV17" s="1046"/>
      <c r="AW17" s="1046"/>
      <c r="AX17" s="1046"/>
      <c r="AY17" s="1046"/>
      <c r="AZ17" s="1046"/>
    </row>
    <row r="18" spans="1:54" s="171" customFormat="1" ht="24.6" customHeight="1" thickTop="1" thickBot="1">
      <c r="A18" s="1046"/>
      <c r="B18" s="1596"/>
      <c r="C18" s="1458"/>
      <c r="D18" s="1632" t="s">
        <v>932</v>
      </c>
      <c r="E18" s="1633"/>
      <c r="F18" s="1633"/>
      <c r="G18" s="1633"/>
      <c r="H18" s="1613"/>
      <c r="I18" s="4110">
        <v>0</v>
      </c>
      <c r="J18" s="4110"/>
      <c r="K18" s="4110"/>
      <c r="L18" s="4110"/>
      <c r="M18" s="4176"/>
      <c r="N18" s="4177">
        <v>0</v>
      </c>
      <c r="O18" s="4110"/>
      <c r="P18" s="4110"/>
      <c r="Q18" s="4110"/>
      <c r="R18" s="4111"/>
      <c r="S18" s="1467"/>
      <c r="T18" s="1467"/>
      <c r="U18" s="1467"/>
      <c r="V18" s="1468"/>
      <c r="W18" s="1467"/>
      <c r="X18" s="1504"/>
      <c r="Y18" s="3978"/>
      <c r="Z18" s="3979"/>
      <c r="AA18" s="3979"/>
      <c r="AB18" s="3979"/>
      <c r="AC18" s="3979"/>
      <c r="AD18" s="3980"/>
      <c r="AE18" s="3979"/>
      <c r="AF18" s="3979"/>
      <c r="AG18" s="3979"/>
      <c r="AH18" s="3979"/>
      <c r="AI18" s="3979"/>
      <c r="AJ18" s="3983"/>
      <c r="AK18" s="1342"/>
      <c r="AL18" s="1634"/>
      <c r="AM18" s="1467"/>
      <c r="AN18" s="1467"/>
      <c r="AO18" s="1468"/>
      <c r="AP18" s="1467"/>
      <c r="AQ18" s="1046"/>
      <c r="AR18" s="1046"/>
      <c r="AS18" s="1046"/>
      <c r="AT18" s="1046"/>
      <c r="AU18" s="1046"/>
      <c r="AV18" s="1046"/>
      <c r="AW18" s="1046"/>
      <c r="AX18" s="1046"/>
      <c r="AY18" s="1046"/>
      <c r="AZ18" s="1046"/>
    </row>
    <row r="19" spans="1:54" s="171" customFormat="1" ht="24.6" customHeight="1" thickBot="1">
      <c r="A19" s="1046"/>
      <c r="B19" s="1596"/>
      <c r="C19" s="1458"/>
      <c r="D19" s="1635" t="s">
        <v>1614</v>
      </c>
      <c r="E19" s="1472"/>
      <c r="F19" s="1472"/>
      <c r="G19" s="1472"/>
      <c r="H19" s="1615"/>
      <c r="I19" s="3881">
        <v>0</v>
      </c>
      <c r="J19" s="3881"/>
      <c r="K19" s="3881"/>
      <c r="L19" s="3881"/>
      <c r="M19" s="4047"/>
      <c r="N19" s="4048">
        <v>0</v>
      </c>
      <c r="O19" s="3881"/>
      <c r="P19" s="3881"/>
      <c r="Q19" s="3881"/>
      <c r="R19" s="3884"/>
      <c r="S19" s="1467"/>
      <c r="T19" s="1467"/>
      <c r="U19" s="1467"/>
      <c r="V19" s="1468"/>
      <c r="W19" s="1467"/>
      <c r="X19" s="1506"/>
      <c r="Y19" s="3659" t="s">
        <v>45</v>
      </c>
      <c r="Z19" s="3660"/>
      <c r="AA19" s="3661"/>
      <c r="AB19" s="3664" t="s">
        <v>46</v>
      </c>
      <c r="AC19" s="3660"/>
      <c r="AD19" s="3663"/>
      <c r="AE19" s="3660" t="s">
        <v>45</v>
      </c>
      <c r="AF19" s="3660"/>
      <c r="AG19" s="3661"/>
      <c r="AH19" s="3664" t="s">
        <v>46</v>
      </c>
      <c r="AI19" s="3660"/>
      <c r="AJ19" s="3665"/>
      <c r="AK19" s="1625"/>
      <c r="AL19" s="1634"/>
      <c r="AM19" s="1467"/>
      <c r="AN19" s="1467"/>
      <c r="AO19" s="1468"/>
      <c r="AP19" s="1467"/>
      <c r="AQ19" s="1046"/>
      <c r="AR19" s="1046"/>
      <c r="AS19" s="1046"/>
      <c r="AT19" s="1046"/>
      <c r="AU19" s="1046"/>
      <c r="AV19" s="1046"/>
      <c r="AW19" s="1046"/>
      <c r="AX19" s="1046"/>
      <c r="AY19" s="1046"/>
      <c r="AZ19" s="1046"/>
    </row>
    <row r="20" spans="1:54" s="171" customFormat="1" ht="24.6" customHeight="1" thickTop="1" thickBot="1">
      <c r="A20" s="1046"/>
      <c r="B20" s="1596"/>
      <c r="C20" s="1458"/>
      <c r="D20" s="1636" t="s">
        <v>931</v>
      </c>
      <c r="E20" s="1637"/>
      <c r="F20" s="1637"/>
      <c r="G20" s="1637"/>
      <c r="H20" s="1638"/>
      <c r="I20" s="3876">
        <v>0</v>
      </c>
      <c r="J20" s="3876"/>
      <c r="K20" s="3876"/>
      <c r="L20" s="3876"/>
      <c r="M20" s="4204"/>
      <c r="N20" s="4205">
        <v>0</v>
      </c>
      <c r="O20" s="3876"/>
      <c r="P20" s="3876"/>
      <c r="Q20" s="3876"/>
      <c r="R20" s="3879"/>
      <c r="S20" s="1467"/>
      <c r="T20" s="1467"/>
      <c r="U20" s="1467"/>
      <c r="V20" s="1468"/>
      <c r="W20" s="1467"/>
      <c r="X20" s="1506"/>
      <c r="Y20" s="4199">
        <v>0</v>
      </c>
      <c r="Z20" s="4200"/>
      <c r="AA20" s="4201"/>
      <c r="AB20" s="4196">
        <v>0</v>
      </c>
      <c r="AC20" s="4197"/>
      <c r="AD20" s="4202"/>
      <c r="AE20" s="4203">
        <v>0</v>
      </c>
      <c r="AF20" s="4200"/>
      <c r="AG20" s="4201"/>
      <c r="AH20" s="4196">
        <v>0</v>
      </c>
      <c r="AI20" s="4197"/>
      <c r="AJ20" s="4198"/>
      <c r="AK20" s="1543"/>
      <c r="AL20" s="1634"/>
      <c r="AM20" s="1467"/>
      <c r="AN20" s="1467"/>
      <c r="AO20" s="1468"/>
      <c r="AP20" s="1467"/>
      <c r="AQ20" s="1046"/>
      <c r="AR20" s="1046"/>
      <c r="AS20" s="1046"/>
      <c r="AT20" s="1046"/>
      <c r="AU20" s="1046"/>
      <c r="AV20" s="1046"/>
      <c r="AW20" s="1046"/>
      <c r="AX20" s="1046"/>
      <c r="AY20" s="1046"/>
      <c r="AZ20" s="1046"/>
    </row>
    <row r="21" spans="1:54" s="186" customFormat="1" ht="9" customHeight="1" thickTop="1">
      <c r="A21" s="1046"/>
      <c r="B21" s="1639"/>
      <c r="C21" s="1640"/>
      <c r="D21" s="1640"/>
      <c r="E21" s="1640"/>
      <c r="F21" s="1640"/>
      <c r="G21" s="1640"/>
      <c r="H21" s="1640"/>
      <c r="I21" s="1640"/>
      <c r="J21" s="1640"/>
      <c r="K21" s="1640"/>
      <c r="L21" s="1640"/>
      <c r="M21" s="1640"/>
      <c r="N21" s="1640"/>
      <c r="O21" s="1640"/>
      <c r="P21" s="802"/>
      <c r="Q21" s="802"/>
      <c r="R21" s="802"/>
      <c r="S21" s="802"/>
      <c r="T21" s="802"/>
      <c r="U21" s="802"/>
      <c r="V21" s="802"/>
      <c r="W21" s="802"/>
      <c r="X21" s="802"/>
      <c r="Y21" s="802"/>
      <c r="Z21" s="802"/>
      <c r="AA21" s="802"/>
      <c r="AB21" s="802"/>
      <c r="AC21" s="802"/>
      <c r="AD21" s="802"/>
      <c r="AE21" s="802"/>
      <c r="AF21" s="802"/>
      <c r="AG21" s="802"/>
      <c r="AH21" s="802"/>
      <c r="AI21" s="802"/>
      <c r="AJ21" s="802"/>
      <c r="AK21" s="802"/>
      <c r="AL21" s="1634"/>
      <c r="AM21" s="802"/>
      <c r="AN21" s="802"/>
      <c r="AO21" s="802"/>
      <c r="AP21" s="802"/>
      <c r="AQ21" s="802"/>
      <c r="AR21" s="802"/>
      <c r="AS21" s="802"/>
      <c r="AT21" s="802"/>
      <c r="AU21" s="802"/>
      <c r="AV21" s="802"/>
      <c r="AW21" s="802"/>
      <c r="AX21" s="802"/>
      <c r="AY21" s="802"/>
      <c r="AZ21" s="802"/>
    </row>
    <row r="22" spans="1:54" ht="15.6" customHeight="1">
      <c r="A22" s="798"/>
      <c r="B22" s="1417"/>
      <c r="C22" s="1418" t="s">
        <v>52</v>
      </c>
      <c r="D22" s="4057" t="s">
        <v>1652</v>
      </c>
      <c r="E22" s="4057"/>
      <c r="F22" s="4057"/>
      <c r="G22" s="4057"/>
      <c r="H22" s="4057"/>
      <c r="I22" s="4057"/>
      <c r="J22" s="4057"/>
      <c r="K22" s="4057"/>
      <c r="L22" s="4057"/>
      <c r="M22" s="4057"/>
      <c r="N22" s="4057"/>
      <c r="O22" s="4057"/>
      <c r="P22" s="4057"/>
      <c r="Q22" s="4057"/>
      <c r="R22" s="4057"/>
      <c r="S22" s="4057"/>
      <c r="T22" s="4057"/>
      <c r="U22" s="4057"/>
      <c r="V22" s="4057"/>
      <c r="W22" s="4057"/>
      <c r="X22" s="4057"/>
      <c r="Y22" s="4057"/>
      <c r="Z22" s="4057"/>
      <c r="AA22" s="4057"/>
      <c r="AB22" s="4057"/>
      <c r="AC22" s="4057"/>
      <c r="AD22" s="4057"/>
      <c r="AE22" s="4057"/>
      <c r="AF22" s="4057"/>
      <c r="AG22" s="4057"/>
      <c r="AH22" s="4057"/>
      <c r="AI22" s="4057"/>
      <c r="AJ22" s="4057"/>
      <c r="AK22" s="1444"/>
      <c r="AL22" s="1582"/>
      <c r="AM22" s="798"/>
      <c r="AN22" s="798"/>
      <c r="AO22" s="798"/>
      <c r="AP22" s="798"/>
      <c r="AQ22" s="798"/>
      <c r="AR22" s="798"/>
      <c r="AS22" s="798"/>
      <c r="AT22" s="798"/>
      <c r="AU22" s="798"/>
      <c r="AV22" s="798"/>
      <c r="AW22" s="798"/>
      <c r="AX22" s="798"/>
      <c r="AY22" s="798"/>
      <c r="AZ22" s="798"/>
    </row>
    <row r="23" spans="1:54" ht="5.0999999999999996" customHeight="1" thickBot="1">
      <c r="A23" s="798"/>
      <c r="B23" s="1425"/>
      <c r="C23" s="1423"/>
      <c r="D23" s="1423"/>
      <c r="E23" s="1423"/>
      <c r="F23" s="1423"/>
      <c r="G23" s="1423"/>
      <c r="H23" s="1423"/>
      <c r="I23" s="1423"/>
      <c r="J23" s="1423"/>
      <c r="K23" s="1423"/>
      <c r="L23" s="1423"/>
      <c r="M23" s="1423"/>
      <c r="N23" s="1423"/>
      <c r="O23" s="1423"/>
      <c r="P23" s="1423"/>
      <c r="Q23" s="1423"/>
      <c r="R23" s="1423"/>
      <c r="S23" s="1423"/>
      <c r="T23" s="1423"/>
      <c r="U23" s="1423"/>
      <c r="V23" s="1423"/>
      <c r="W23" s="1423"/>
      <c r="X23" s="1423"/>
      <c r="Y23" s="1423"/>
      <c r="Z23" s="1423"/>
      <c r="AA23" s="1423"/>
      <c r="AB23" s="1423"/>
      <c r="AC23" s="1423"/>
      <c r="AD23" s="1423"/>
      <c r="AE23" s="1423"/>
      <c r="AF23" s="1423"/>
      <c r="AG23" s="1423"/>
      <c r="AH23" s="1423"/>
      <c r="AI23" s="1423"/>
      <c r="AJ23" s="1423"/>
      <c r="AK23" s="1423"/>
      <c r="AL23" s="1583"/>
      <c r="AM23" s="798"/>
      <c r="AN23" s="798"/>
      <c r="AO23" s="798"/>
      <c r="AP23" s="798"/>
      <c r="AQ23" s="798"/>
      <c r="AR23" s="798"/>
      <c r="AS23" s="798"/>
      <c r="AT23" s="798"/>
      <c r="AU23" s="798"/>
      <c r="AV23" s="798"/>
      <c r="AW23" s="798"/>
      <c r="AX23" s="798"/>
      <c r="AY23" s="798"/>
      <c r="AZ23" s="798"/>
    </row>
    <row r="24" spans="1:54" s="184" customFormat="1" ht="59.1" customHeight="1" thickTop="1" thickBot="1">
      <c r="A24" s="799"/>
      <c r="B24" s="1425"/>
      <c r="C24" s="1504"/>
      <c r="D24" s="3654" t="s">
        <v>1842</v>
      </c>
      <c r="E24" s="3655"/>
      <c r="F24" s="3655"/>
      <c r="G24" s="3655"/>
      <c r="H24" s="3655"/>
      <c r="I24" s="3655"/>
      <c r="J24" s="3656" t="s">
        <v>1574</v>
      </c>
      <c r="K24" s="3655"/>
      <c r="L24" s="3655"/>
      <c r="M24" s="3655"/>
      <c r="N24" s="3655"/>
      <c r="O24" s="3657"/>
      <c r="P24" s="3656" t="s">
        <v>1575</v>
      </c>
      <c r="Q24" s="3655"/>
      <c r="R24" s="3655"/>
      <c r="S24" s="3655"/>
      <c r="T24" s="3655"/>
      <c r="U24" s="3657"/>
      <c r="V24" s="3655" t="s">
        <v>1786</v>
      </c>
      <c r="W24" s="3655"/>
      <c r="X24" s="3655"/>
      <c r="Y24" s="3655"/>
      <c r="Z24" s="3655"/>
      <c r="AA24" s="3658"/>
      <c r="AB24" s="1504"/>
      <c r="AC24" s="1504"/>
      <c r="AD24" s="1504"/>
      <c r="AE24" s="1504"/>
      <c r="AF24" s="1504"/>
      <c r="AG24" s="1504"/>
      <c r="AH24" s="1504"/>
      <c r="AI24" s="1504"/>
      <c r="AJ24" s="1504"/>
      <c r="AK24" s="1504"/>
      <c r="AL24" s="1593"/>
      <c r="AM24" s="799"/>
      <c r="AN24" s="799"/>
      <c r="AO24" s="799"/>
      <c r="AP24" s="799"/>
      <c r="AQ24" s="799"/>
      <c r="AR24" s="799"/>
      <c r="AS24" s="799"/>
      <c r="AT24" s="799"/>
      <c r="AU24" s="799"/>
      <c r="AV24" s="799"/>
      <c r="AW24" s="799"/>
      <c r="AX24" s="799"/>
      <c r="AY24" s="799"/>
      <c r="AZ24" s="799"/>
    </row>
    <row r="25" spans="1:54" s="184" customFormat="1" ht="19.5" customHeight="1" thickBot="1">
      <c r="A25" s="799"/>
      <c r="B25" s="1429"/>
      <c r="C25" s="1506"/>
      <c r="D25" s="3659" t="s">
        <v>45</v>
      </c>
      <c r="E25" s="3660"/>
      <c r="F25" s="3661"/>
      <c r="G25" s="3660" t="s">
        <v>46</v>
      </c>
      <c r="H25" s="3660"/>
      <c r="I25" s="3660"/>
      <c r="J25" s="3662" t="s">
        <v>45</v>
      </c>
      <c r="K25" s="3660" t="s">
        <v>46</v>
      </c>
      <c r="L25" s="3661"/>
      <c r="M25" s="3660" t="s">
        <v>46</v>
      </c>
      <c r="N25" s="3660"/>
      <c r="O25" s="3663"/>
      <c r="P25" s="3662" t="s">
        <v>45</v>
      </c>
      <c r="Q25" s="3660"/>
      <c r="R25" s="3661"/>
      <c r="S25" s="3660" t="s">
        <v>46</v>
      </c>
      <c r="T25" s="3660"/>
      <c r="U25" s="3663"/>
      <c r="V25" s="3660" t="s">
        <v>45</v>
      </c>
      <c r="W25" s="3660" t="s">
        <v>46</v>
      </c>
      <c r="X25" s="3661"/>
      <c r="Y25" s="3664" t="s">
        <v>46</v>
      </c>
      <c r="Z25" s="3660"/>
      <c r="AA25" s="3665"/>
      <c r="AB25" s="799"/>
      <c r="AC25" s="799"/>
      <c r="AD25" s="799"/>
      <c r="AE25" s="799"/>
      <c r="AF25" s="799"/>
      <c r="AG25" s="799"/>
      <c r="AH25" s="799"/>
      <c r="AI25" s="799"/>
      <c r="AJ25" s="799"/>
      <c r="AK25" s="799"/>
      <c r="AL25" s="1593"/>
      <c r="AM25" s="799"/>
      <c r="AN25" s="799"/>
      <c r="AO25" s="799"/>
      <c r="AP25" s="799"/>
      <c r="AQ25" s="799"/>
      <c r="AR25" s="799"/>
      <c r="AS25" s="799"/>
      <c r="AT25" s="799"/>
      <c r="AU25" s="799"/>
      <c r="AV25" s="799"/>
      <c r="AW25" s="799"/>
      <c r="AX25" s="799"/>
      <c r="AY25" s="799"/>
      <c r="AZ25" s="799"/>
    </row>
    <row r="26" spans="1:54" s="184" customFormat="1" ht="24.95" customHeight="1" thickTop="1" thickBot="1">
      <c r="A26" s="799"/>
      <c r="B26" s="1429"/>
      <c r="C26" s="1506"/>
      <c r="D26" s="3647">
        <v>0</v>
      </c>
      <c r="E26" s="3632"/>
      <c r="F26" s="3633"/>
      <c r="G26" s="3634">
        <v>0</v>
      </c>
      <c r="H26" s="3630"/>
      <c r="I26" s="3630"/>
      <c r="J26" s="3653">
        <v>0</v>
      </c>
      <c r="K26" s="3632"/>
      <c r="L26" s="3633"/>
      <c r="M26" s="3630">
        <v>0</v>
      </c>
      <c r="N26" s="3630"/>
      <c r="O26" s="3631"/>
      <c r="P26" s="3653">
        <v>0</v>
      </c>
      <c r="Q26" s="3632"/>
      <c r="R26" s="3633"/>
      <c r="S26" s="3630">
        <v>0</v>
      </c>
      <c r="T26" s="3630"/>
      <c r="U26" s="3631"/>
      <c r="V26" s="3632">
        <v>0</v>
      </c>
      <c r="W26" s="3632"/>
      <c r="X26" s="3633"/>
      <c r="Y26" s="3634">
        <v>0</v>
      </c>
      <c r="Z26" s="3630"/>
      <c r="AA26" s="3635"/>
      <c r="AB26" s="799"/>
      <c r="AC26" s="799"/>
      <c r="AD26" s="799"/>
      <c r="AE26" s="799"/>
      <c r="AF26" s="799"/>
      <c r="AG26" s="799"/>
      <c r="AH26" s="799"/>
      <c r="AI26" s="799"/>
      <c r="AJ26" s="799"/>
      <c r="AK26" s="799"/>
      <c r="AL26" s="1593"/>
      <c r="AM26" s="799"/>
      <c r="AN26" s="799"/>
      <c r="AO26" s="799"/>
      <c r="AP26" s="799"/>
      <c r="AQ26" s="799"/>
      <c r="AR26" s="799"/>
      <c r="AS26" s="799"/>
      <c r="AT26" s="799"/>
      <c r="AU26" s="799"/>
      <c r="AV26" s="799"/>
      <c r="AW26" s="799"/>
      <c r="AX26" s="799"/>
      <c r="AY26" s="799"/>
      <c r="AZ26" s="799"/>
    </row>
    <row r="27" spans="1:54" s="184" customFormat="1" ht="5.0999999999999996" customHeight="1" thickTop="1">
      <c r="A27" s="799"/>
      <c r="B27" s="1429"/>
      <c r="C27" s="1506"/>
      <c r="D27" s="1308"/>
      <c r="E27" s="1308"/>
      <c r="F27" s="1308"/>
      <c r="G27" s="1307"/>
      <c r="H27" s="1307"/>
      <c r="I27" s="1307"/>
      <c r="J27" s="1308"/>
      <c r="K27" s="1308"/>
      <c r="L27" s="1308"/>
      <c r="M27" s="1307"/>
      <c r="N27" s="1307"/>
      <c r="O27" s="1307"/>
      <c r="P27" s="1308"/>
      <c r="Q27" s="1308"/>
      <c r="R27" s="1308"/>
      <c r="S27" s="1307"/>
      <c r="T27" s="1307"/>
      <c r="U27" s="1307"/>
      <c r="V27" s="1308"/>
      <c r="W27" s="1308"/>
      <c r="X27" s="1308"/>
      <c r="Y27" s="1307"/>
      <c r="Z27" s="1307"/>
      <c r="AA27" s="1307"/>
      <c r="AB27" s="799"/>
      <c r="AC27" s="799"/>
      <c r="AD27" s="799"/>
      <c r="AE27" s="799"/>
      <c r="AF27" s="799"/>
      <c r="AG27" s="799"/>
      <c r="AH27" s="799"/>
      <c r="AI27" s="799"/>
      <c r="AJ27" s="799"/>
      <c r="AK27" s="799"/>
      <c r="AL27" s="1593"/>
      <c r="AM27" s="799"/>
      <c r="AN27" s="799"/>
      <c r="AO27" s="799"/>
      <c r="AP27" s="799"/>
      <c r="AQ27" s="799"/>
      <c r="AR27" s="799"/>
      <c r="AS27" s="799"/>
      <c r="AT27" s="799"/>
      <c r="AU27" s="799"/>
      <c r="AV27" s="799"/>
      <c r="AW27" s="799"/>
      <c r="AX27" s="799"/>
      <c r="AY27" s="799"/>
      <c r="AZ27" s="799"/>
    </row>
    <row r="28" spans="1:54" s="184" customFormat="1" ht="22.5" customHeight="1">
      <c r="A28" s="799"/>
      <c r="B28" s="1429"/>
      <c r="C28" s="1506"/>
      <c r="D28" s="377" t="s">
        <v>268</v>
      </c>
      <c r="E28" s="1306"/>
      <c r="F28" s="1306"/>
      <c r="G28" s="3637" t="s">
        <v>1843</v>
      </c>
      <c r="H28" s="3637"/>
      <c r="I28" s="3637"/>
      <c r="J28" s="3637"/>
      <c r="K28" s="3637"/>
      <c r="L28" s="3637"/>
      <c r="M28" s="3637"/>
      <c r="N28" s="3637"/>
      <c r="O28" s="3637"/>
      <c r="P28" s="3637"/>
      <c r="Q28" s="3637"/>
      <c r="R28" s="3637"/>
      <c r="S28" s="3637"/>
      <c r="T28" s="3637"/>
      <c r="U28" s="3637"/>
      <c r="V28" s="3637"/>
      <c r="W28" s="3637"/>
      <c r="X28" s="3637"/>
      <c r="Y28" s="3637"/>
      <c r="Z28" s="3637"/>
      <c r="AA28" s="3637"/>
      <c r="AB28" s="1546"/>
      <c r="AC28" s="1546"/>
      <c r="AD28" s="1546"/>
      <c r="AE28" s="1546"/>
      <c r="AF28" s="1546"/>
      <c r="AG28" s="1546"/>
      <c r="AH28" s="1546"/>
      <c r="AI28" s="1546"/>
      <c r="AJ28" s="1546"/>
      <c r="AK28" s="1546"/>
      <c r="AL28" s="1593"/>
      <c r="AM28" s="799"/>
      <c r="AN28" s="799"/>
      <c r="AO28" s="799"/>
      <c r="AP28" s="799"/>
      <c r="AQ28" s="799"/>
      <c r="AR28" s="799"/>
      <c r="AS28" s="799"/>
      <c r="AT28" s="799"/>
      <c r="AU28" s="799"/>
      <c r="AV28" s="799"/>
      <c r="AW28" s="799"/>
      <c r="AX28" s="799"/>
      <c r="AY28" s="799"/>
      <c r="AZ28" s="799"/>
    </row>
    <row r="29" spans="1:54" s="184" customFormat="1" ht="22.5" customHeight="1">
      <c r="A29" s="799"/>
      <c r="B29" s="1429"/>
      <c r="C29" s="1506"/>
      <c r="D29" s="377"/>
      <c r="E29" s="1306"/>
      <c r="F29" s="1306"/>
      <c r="G29" s="3637"/>
      <c r="H29" s="3637"/>
      <c r="I29" s="3637"/>
      <c r="J29" s="3637"/>
      <c r="K29" s="3637"/>
      <c r="L29" s="3637"/>
      <c r="M29" s="3637"/>
      <c r="N29" s="3637"/>
      <c r="O29" s="3637"/>
      <c r="P29" s="3637"/>
      <c r="Q29" s="3637"/>
      <c r="R29" s="3637"/>
      <c r="S29" s="3637"/>
      <c r="T29" s="3637"/>
      <c r="U29" s="3637"/>
      <c r="V29" s="3637"/>
      <c r="W29" s="3637"/>
      <c r="X29" s="3637"/>
      <c r="Y29" s="3637"/>
      <c r="Z29" s="3637"/>
      <c r="AA29" s="3637"/>
      <c r="AB29" s="1546"/>
      <c r="AC29" s="1546"/>
      <c r="AD29" s="1546"/>
      <c r="AE29" s="1546"/>
      <c r="AF29" s="1546"/>
      <c r="AG29" s="1546"/>
      <c r="AH29" s="1546"/>
      <c r="AI29" s="1546"/>
      <c r="AJ29" s="1546"/>
      <c r="AK29" s="1546"/>
      <c r="AL29" s="1593"/>
      <c r="AM29" s="799"/>
      <c r="AN29" s="799"/>
      <c r="AO29" s="799"/>
      <c r="AP29" s="799"/>
      <c r="AQ29" s="799"/>
      <c r="AR29" s="799"/>
      <c r="AS29" s="799"/>
      <c r="AT29" s="799"/>
      <c r="AU29" s="799"/>
      <c r="AV29" s="799"/>
      <c r="AW29" s="799"/>
      <c r="AX29" s="799"/>
      <c r="AY29" s="799"/>
      <c r="AZ29" s="799"/>
    </row>
    <row r="30" spans="1:54" ht="9.9499999999999993" customHeight="1" thickBot="1">
      <c r="A30" s="798"/>
      <c r="B30" s="1437"/>
      <c r="C30" s="1311"/>
      <c r="D30" s="1524"/>
      <c r="E30" s="1525"/>
      <c r="F30" s="1525"/>
      <c r="G30" s="1525"/>
      <c r="H30" s="1525"/>
      <c r="I30" s="1525"/>
      <c r="J30" s="1525"/>
      <c r="K30" s="1441"/>
      <c r="L30" s="1441"/>
      <c r="M30" s="1441"/>
      <c r="N30" s="1441"/>
      <c r="O30" s="1441"/>
      <c r="P30" s="1441"/>
      <c r="Q30" s="1441"/>
      <c r="R30" s="1441"/>
      <c r="S30" s="1441"/>
      <c r="T30" s="1441"/>
      <c r="U30" s="1441"/>
      <c r="V30" s="1441"/>
      <c r="W30" s="1441"/>
      <c r="X30" s="1441"/>
      <c r="Y30" s="1441"/>
      <c r="Z30" s="1441"/>
      <c r="AA30" s="1441"/>
      <c r="AB30" s="1441"/>
      <c r="AC30" s="1441"/>
      <c r="AD30" s="1441"/>
      <c r="AE30" s="1441"/>
      <c r="AF30" s="1441"/>
      <c r="AG30" s="1441"/>
      <c r="AH30" s="1441"/>
      <c r="AI30" s="1441"/>
      <c r="AJ30" s="1441"/>
      <c r="AK30" s="1441"/>
      <c r="AL30" s="1442"/>
      <c r="AM30" s="798"/>
      <c r="AN30" s="798"/>
      <c r="AO30" s="798"/>
      <c r="AP30" s="798"/>
      <c r="AQ30" s="798"/>
      <c r="AR30" s="798"/>
      <c r="AS30" s="798"/>
      <c r="AT30" s="798"/>
      <c r="AU30" s="798"/>
      <c r="AV30" s="798"/>
      <c r="AW30" s="798"/>
      <c r="AX30" s="798"/>
      <c r="AY30" s="798"/>
      <c r="AZ30" s="798"/>
    </row>
    <row r="31" spans="1:54" ht="9.9499999999999993" customHeight="1" thickTop="1">
      <c r="A31" s="798"/>
      <c r="B31" s="1443"/>
      <c r="C31" s="1321"/>
      <c r="D31" s="799"/>
      <c r="E31" s="1444"/>
      <c r="F31" s="1444"/>
      <c r="G31" s="1444"/>
      <c r="H31" s="1444"/>
      <c r="I31" s="1444"/>
      <c r="J31" s="1444"/>
      <c r="K31" s="798"/>
      <c r="L31" s="798"/>
      <c r="M31" s="798"/>
      <c r="N31" s="798"/>
      <c r="O31" s="798"/>
      <c r="P31" s="798"/>
      <c r="Q31" s="798"/>
      <c r="R31" s="798"/>
      <c r="S31" s="798"/>
      <c r="T31" s="798"/>
      <c r="U31" s="798"/>
      <c r="V31" s="798"/>
      <c r="W31" s="798"/>
      <c r="X31" s="798"/>
      <c r="Y31" s="798"/>
      <c r="Z31" s="798"/>
      <c r="AA31" s="798"/>
      <c r="AB31" s="798"/>
      <c r="AC31" s="798"/>
      <c r="AD31" s="798"/>
      <c r="AE31" s="798"/>
      <c r="AF31" s="798"/>
      <c r="AG31" s="798"/>
      <c r="AH31" s="798"/>
      <c r="AI31" s="798"/>
      <c r="AJ31" s="798"/>
      <c r="AK31" s="798"/>
      <c r="AL31" s="798"/>
      <c r="AM31" s="798"/>
      <c r="AN31" s="798"/>
      <c r="AO31" s="798"/>
      <c r="AP31" s="798"/>
      <c r="AQ31" s="798"/>
      <c r="AR31" s="798"/>
      <c r="AS31" s="798"/>
      <c r="AT31" s="798"/>
      <c r="AU31" s="798"/>
      <c r="AV31" s="798"/>
      <c r="AW31" s="798"/>
      <c r="AX31" s="798"/>
      <c r="AY31" s="798"/>
      <c r="AZ31" s="798"/>
    </row>
    <row r="32" spans="1:54" s="186" customFormat="1" ht="98.1" customHeight="1">
      <c r="A32" s="802"/>
      <c r="B32" s="803" t="s">
        <v>47</v>
      </c>
      <c r="C32" s="3899" t="s">
        <v>1946</v>
      </c>
      <c r="D32" s="3899"/>
      <c r="E32" s="3899"/>
      <c r="F32" s="3899"/>
      <c r="G32" s="3899"/>
      <c r="H32" s="3899"/>
      <c r="I32" s="3899"/>
      <c r="J32" s="3899"/>
      <c r="K32" s="3899"/>
      <c r="L32" s="3899"/>
      <c r="M32" s="3899"/>
      <c r="N32" s="3899"/>
      <c r="O32" s="3899"/>
      <c r="P32" s="3899"/>
      <c r="Q32" s="3899"/>
      <c r="R32" s="3899"/>
      <c r="S32" s="3899"/>
      <c r="T32" s="3899"/>
      <c r="U32" s="3899"/>
      <c r="V32" s="3899"/>
      <c r="W32" s="3899"/>
      <c r="X32" s="3899"/>
      <c r="Y32" s="3899"/>
      <c r="Z32" s="3899"/>
      <c r="AA32" s="3899"/>
      <c r="AB32" s="3899"/>
      <c r="AC32" s="3899"/>
      <c r="AD32" s="3899"/>
      <c r="AE32" s="3899"/>
      <c r="AF32" s="3899"/>
      <c r="AG32" s="3899"/>
      <c r="AH32" s="3899"/>
      <c r="AI32" s="3899"/>
      <c r="AJ32" s="3899"/>
      <c r="AK32" s="3899"/>
      <c r="AL32" s="3899"/>
      <c r="AM32" s="1641"/>
      <c r="AN32" s="1641"/>
      <c r="AO32" s="1641"/>
      <c r="AP32" s="1641"/>
      <c r="AQ32" s="1641"/>
      <c r="AR32" s="1641"/>
      <c r="AS32" s="1641"/>
      <c r="AT32" s="1641"/>
      <c r="AU32" s="1641"/>
      <c r="AV32" s="1641"/>
      <c r="AW32" s="1641"/>
      <c r="AX32" s="1641"/>
      <c r="AY32" s="1641"/>
      <c r="AZ32" s="1641"/>
      <c r="BA32" s="185"/>
      <c r="BB32" s="185"/>
    </row>
    <row r="33" spans="1:54" s="186" customFormat="1" ht="51" customHeight="1">
      <c r="A33" s="802"/>
      <c r="B33" s="803" t="s">
        <v>48</v>
      </c>
      <c r="C33" s="3899" t="s">
        <v>1947</v>
      </c>
      <c r="D33" s="3899"/>
      <c r="E33" s="3899"/>
      <c r="F33" s="3899"/>
      <c r="G33" s="3899"/>
      <c r="H33" s="3899"/>
      <c r="I33" s="3899"/>
      <c r="J33" s="3899"/>
      <c r="K33" s="3899"/>
      <c r="L33" s="3899"/>
      <c r="M33" s="3899"/>
      <c r="N33" s="3899"/>
      <c r="O33" s="3899"/>
      <c r="P33" s="3899"/>
      <c r="Q33" s="3899"/>
      <c r="R33" s="3899"/>
      <c r="S33" s="3899"/>
      <c r="T33" s="3899"/>
      <c r="U33" s="3899"/>
      <c r="V33" s="3899"/>
      <c r="W33" s="3899"/>
      <c r="X33" s="3899"/>
      <c r="Y33" s="3899"/>
      <c r="Z33" s="3899"/>
      <c r="AA33" s="3899"/>
      <c r="AB33" s="3899"/>
      <c r="AC33" s="3899"/>
      <c r="AD33" s="3899"/>
      <c r="AE33" s="3899"/>
      <c r="AF33" s="3899"/>
      <c r="AG33" s="3899"/>
      <c r="AH33" s="3899"/>
      <c r="AI33" s="3899"/>
      <c r="AJ33" s="3899"/>
      <c r="AK33" s="3899"/>
      <c r="AL33" s="3899"/>
      <c r="AM33" s="1641"/>
      <c r="AN33" s="1641"/>
      <c r="AO33" s="1641"/>
      <c r="AP33" s="1641"/>
      <c r="AQ33" s="1641"/>
      <c r="AR33" s="1641"/>
      <c r="AS33" s="1641"/>
      <c r="AT33" s="1641"/>
      <c r="AU33" s="1641"/>
      <c r="AV33" s="1641"/>
      <c r="AW33" s="1641"/>
      <c r="AX33" s="1641"/>
      <c r="AY33" s="1641"/>
      <c r="AZ33" s="1641"/>
      <c r="BA33" s="185"/>
      <c r="BB33" s="185"/>
    </row>
    <row r="34" spans="1:54" s="186" customFormat="1" ht="66.599999999999994" customHeight="1">
      <c r="A34" s="802" t="s">
        <v>1405</v>
      </c>
      <c r="B34" s="803" t="s">
        <v>49</v>
      </c>
      <c r="C34" s="3899" t="s">
        <v>1948</v>
      </c>
      <c r="D34" s="3899"/>
      <c r="E34" s="3899"/>
      <c r="F34" s="3899"/>
      <c r="G34" s="3899"/>
      <c r="H34" s="3899"/>
      <c r="I34" s="3899"/>
      <c r="J34" s="3899"/>
      <c r="K34" s="3899"/>
      <c r="L34" s="3899"/>
      <c r="M34" s="3899"/>
      <c r="N34" s="3899"/>
      <c r="O34" s="3899"/>
      <c r="P34" s="3899"/>
      <c r="Q34" s="3899"/>
      <c r="R34" s="3899"/>
      <c r="S34" s="3899"/>
      <c r="T34" s="3899"/>
      <c r="U34" s="3899"/>
      <c r="V34" s="3899"/>
      <c r="W34" s="3899"/>
      <c r="X34" s="3899"/>
      <c r="Y34" s="3899"/>
      <c r="Z34" s="3899"/>
      <c r="AA34" s="3899"/>
      <c r="AB34" s="3899"/>
      <c r="AC34" s="3899"/>
      <c r="AD34" s="3899"/>
      <c r="AE34" s="3899"/>
      <c r="AF34" s="3899"/>
      <c r="AG34" s="3899"/>
      <c r="AH34" s="3899"/>
      <c r="AI34" s="3899"/>
      <c r="AJ34" s="3899"/>
      <c r="AK34" s="3899"/>
      <c r="AL34" s="3899"/>
      <c r="AM34" s="1641"/>
      <c r="AN34" s="1641"/>
      <c r="AO34" s="1641"/>
      <c r="AP34" s="1641"/>
      <c r="AQ34" s="1641"/>
      <c r="AR34" s="1641"/>
      <c r="AS34" s="1641"/>
      <c r="AT34" s="1641"/>
      <c r="AU34" s="1641"/>
      <c r="AV34" s="1641"/>
      <c r="AW34" s="1641"/>
      <c r="AX34" s="1641"/>
      <c r="AY34" s="1641"/>
      <c r="AZ34" s="1641"/>
      <c r="BA34" s="185"/>
      <c r="BB34" s="185"/>
    </row>
    <row r="35" spans="1:54" s="186" customFormat="1" ht="50.45" customHeight="1">
      <c r="A35" s="802"/>
      <c r="B35" s="803" t="s">
        <v>50</v>
      </c>
      <c r="C35" s="3899" t="s">
        <v>1949</v>
      </c>
      <c r="D35" s="3899"/>
      <c r="E35" s="3899"/>
      <c r="F35" s="3899"/>
      <c r="G35" s="3899"/>
      <c r="H35" s="3899"/>
      <c r="I35" s="3899"/>
      <c r="J35" s="3899"/>
      <c r="K35" s="3899"/>
      <c r="L35" s="3899"/>
      <c r="M35" s="3899"/>
      <c r="N35" s="3899"/>
      <c r="O35" s="3899"/>
      <c r="P35" s="3899"/>
      <c r="Q35" s="3899"/>
      <c r="R35" s="3899"/>
      <c r="S35" s="3899"/>
      <c r="T35" s="3899"/>
      <c r="U35" s="3899"/>
      <c r="V35" s="3899"/>
      <c r="W35" s="3899"/>
      <c r="X35" s="3899"/>
      <c r="Y35" s="3899"/>
      <c r="Z35" s="3899"/>
      <c r="AA35" s="3899"/>
      <c r="AB35" s="3899"/>
      <c r="AC35" s="3899"/>
      <c r="AD35" s="3899"/>
      <c r="AE35" s="3899"/>
      <c r="AF35" s="3899"/>
      <c r="AG35" s="3899"/>
      <c r="AH35" s="3899"/>
      <c r="AI35" s="3899"/>
      <c r="AJ35" s="3899"/>
      <c r="AK35" s="3899"/>
      <c r="AL35" s="3899"/>
      <c r="AM35" s="1641"/>
      <c r="AN35" s="1641"/>
      <c r="AO35" s="1641"/>
      <c r="AP35" s="1641"/>
      <c r="AQ35" s="1641"/>
      <c r="AR35" s="1641"/>
      <c r="AS35" s="1641"/>
      <c r="AT35" s="1641"/>
      <c r="AU35" s="1641"/>
      <c r="AV35" s="1641"/>
      <c r="AW35" s="1641"/>
      <c r="AX35" s="1641"/>
      <c r="AY35" s="1641"/>
      <c r="AZ35" s="1641"/>
      <c r="BA35" s="185"/>
      <c r="BB35" s="185"/>
    </row>
    <row r="36" spans="1:54" s="186" customFormat="1" ht="33.950000000000003" customHeight="1">
      <c r="A36" s="802"/>
      <c r="B36" s="803" t="s">
        <v>51</v>
      </c>
      <c r="C36" s="3899" t="s">
        <v>1950</v>
      </c>
      <c r="D36" s="3899"/>
      <c r="E36" s="3899"/>
      <c r="F36" s="3899"/>
      <c r="G36" s="3899"/>
      <c r="H36" s="3899"/>
      <c r="I36" s="3899"/>
      <c r="J36" s="3899"/>
      <c r="K36" s="3899"/>
      <c r="L36" s="3899"/>
      <c r="M36" s="3899"/>
      <c r="N36" s="3899"/>
      <c r="O36" s="3899"/>
      <c r="P36" s="3899"/>
      <c r="Q36" s="3899"/>
      <c r="R36" s="3899"/>
      <c r="S36" s="3899"/>
      <c r="T36" s="3899"/>
      <c r="U36" s="3899"/>
      <c r="V36" s="3899"/>
      <c r="W36" s="3899"/>
      <c r="X36" s="3899"/>
      <c r="Y36" s="3899"/>
      <c r="Z36" s="3899"/>
      <c r="AA36" s="3899"/>
      <c r="AB36" s="3899"/>
      <c r="AC36" s="3899"/>
      <c r="AD36" s="3899"/>
      <c r="AE36" s="3899"/>
      <c r="AF36" s="3899"/>
      <c r="AG36" s="3899"/>
      <c r="AH36" s="3899"/>
      <c r="AI36" s="3899"/>
      <c r="AJ36" s="3899"/>
      <c r="AK36" s="3899"/>
      <c r="AL36" s="3899"/>
      <c r="AM36" s="1641"/>
      <c r="AN36" s="1641"/>
      <c r="AO36" s="1641"/>
      <c r="AP36" s="1641"/>
      <c r="AQ36" s="1641"/>
      <c r="AR36" s="1641"/>
      <c r="AS36" s="1641"/>
      <c r="AT36" s="1641"/>
      <c r="AU36" s="1641"/>
      <c r="AV36" s="1641"/>
      <c r="AW36" s="1641"/>
      <c r="AX36" s="1641"/>
      <c r="AY36" s="1641"/>
      <c r="AZ36" s="1641"/>
      <c r="BA36" s="185"/>
      <c r="BB36" s="185"/>
    </row>
    <row r="37" spans="1:54" s="186" customFormat="1" ht="66.599999999999994" customHeight="1">
      <c r="A37" s="802"/>
      <c r="B37" s="803" t="s">
        <v>52</v>
      </c>
      <c r="C37" s="3899" t="s">
        <v>1951</v>
      </c>
      <c r="D37" s="3899"/>
      <c r="E37" s="3899"/>
      <c r="F37" s="3899"/>
      <c r="G37" s="3899"/>
      <c r="H37" s="3899"/>
      <c r="I37" s="3899"/>
      <c r="J37" s="3899"/>
      <c r="K37" s="3899"/>
      <c r="L37" s="3899"/>
      <c r="M37" s="3899"/>
      <c r="N37" s="3899"/>
      <c r="O37" s="3899"/>
      <c r="P37" s="3899"/>
      <c r="Q37" s="3899"/>
      <c r="R37" s="3899"/>
      <c r="S37" s="3899"/>
      <c r="T37" s="3899"/>
      <c r="U37" s="3899"/>
      <c r="V37" s="3899"/>
      <c r="W37" s="3899"/>
      <c r="X37" s="3899"/>
      <c r="Y37" s="3899"/>
      <c r="Z37" s="3899"/>
      <c r="AA37" s="3899"/>
      <c r="AB37" s="3899"/>
      <c r="AC37" s="3899"/>
      <c r="AD37" s="3899"/>
      <c r="AE37" s="3899"/>
      <c r="AF37" s="3899"/>
      <c r="AG37" s="3899"/>
      <c r="AH37" s="3899"/>
      <c r="AI37" s="3899"/>
      <c r="AJ37" s="3899"/>
      <c r="AK37" s="3899"/>
      <c r="AL37" s="3899"/>
      <c r="AM37" s="1641"/>
      <c r="AN37" s="1641"/>
      <c r="AO37" s="1641"/>
      <c r="AP37" s="1641"/>
      <c r="AQ37" s="1641"/>
      <c r="AR37" s="1641"/>
      <c r="AS37" s="1641"/>
      <c r="AT37" s="1641"/>
      <c r="AU37" s="1641"/>
      <c r="AV37" s="1641"/>
      <c r="AW37" s="1641"/>
      <c r="AX37" s="1641"/>
      <c r="AY37" s="1641"/>
      <c r="AZ37" s="1641"/>
      <c r="BA37" s="185"/>
      <c r="BB37" s="185"/>
    </row>
    <row r="38" spans="1:54" s="44" customFormat="1" ht="30.75" customHeight="1">
      <c r="A38" s="434"/>
      <c r="B38" s="434"/>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4"/>
      <c r="AU38" s="434"/>
      <c r="AV38" s="434"/>
      <c r="AW38" s="434"/>
      <c r="AX38" s="434"/>
      <c r="AY38" s="434"/>
      <c r="AZ38" s="434"/>
    </row>
    <row r="39" spans="1:54" s="37" customFormat="1" ht="15">
      <c r="A39" s="263"/>
      <c r="B39" s="332" t="s">
        <v>32</v>
      </c>
      <c r="C39" s="263"/>
      <c r="D39" s="263"/>
      <c r="E39" s="263"/>
      <c r="F39" s="263"/>
      <c r="G39" s="263"/>
      <c r="H39" s="263"/>
      <c r="I39" s="263"/>
      <c r="J39" s="263"/>
      <c r="K39" s="263"/>
      <c r="L39" s="263"/>
      <c r="M39" s="263"/>
      <c r="N39" s="263"/>
      <c r="O39" s="263"/>
      <c r="P39" s="263"/>
      <c r="Q39" s="263"/>
      <c r="R39" s="263"/>
      <c r="S39" s="263"/>
      <c r="T39" s="263"/>
      <c r="U39" s="263"/>
      <c r="V39" s="263"/>
      <c r="W39" s="263"/>
      <c r="X39" s="332" t="s">
        <v>856</v>
      </c>
      <c r="Y39" s="263"/>
      <c r="Z39" s="263"/>
      <c r="AA39" s="263"/>
      <c r="AB39" s="263"/>
      <c r="AC39" s="263"/>
      <c r="AD39" s="263"/>
      <c r="AE39" s="263"/>
      <c r="AF39" s="263"/>
      <c r="AG39" s="263"/>
      <c r="AH39" s="263"/>
      <c r="AI39" s="263"/>
      <c r="AJ39" s="263"/>
      <c r="AK39" s="263"/>
      <c r="AL39" s="263"/>
      <c r="AM39" s="263"/>
      <c r="AN39" s="263"/>
      <c r="AO39" s="263"/>
      <c r="AP39" s="263"/>
      <c r="AQ39" s="263"/>
      <c r="AR39" s="263"/>
      <c r="AS39" s="263"/>
      <c r="AT39" s="263"/>
      <c r="AU39" s="263"/>
      <c r="AV39" s="263"/>
      <c r="AW39" s="263"/>
      <c r="AX39" s="263"/>
      <c r="AY39" s="263"/>
      <c r="AZ39" s="263"/>
    </row>
    <row r="40" spans="1:54" s="37" customFormat="1" ht="21.75" customHeight="1">
      <c r="A40" s="263"/>
      <c r="B40" s="332" t="s">
        <v>75</v>
      </c>
      <c r="C40" s="263"/>
      <c r="D40" s="263"/>
      <c r="E40" s="263"/>
      <c r="F40" s="2790" t="str">
        <f>activesheet!E21</f>
        <v>MELCHESIEDICK Q. BOLANIO / March 17, 2023</v>
      </c>
      <c r="G40" s="2790"/>
      <c r="H40" s="2790"/>
      <c r="I40" s="2790"/>
      <c r="J40" s="2790"/>
      <c r="K40" s="2790"/>
      <c r="L40" s="2790"/>
      <c r="M40" s="2790"/>
      <c r="N40" s="2790"/>
      <c r="O40" s="2790"/>
      <c r="P40" s="2790"/>
      <c r="Q40" s="823"/>
      <c r="R40" s="823"/>
      <c r="S40" s="823"/>
      <c r="T40" s="823"/>
      <c r="U40" s="823"/>
      <c r="V40" s="823"/>
      <c r="W40" s="823"/>
      <c r="X40" s="2790" t="str">
        <f>activesheet!E3344</f>
        <v>ELYN KENDRA D. DELA CRUZ / March 17, 2023</v>
      </c>
      <c r="Y40" s="2790"/>
      <c r="Z40" s="2790"/>
      <c r="AA40" s="2790"/>
      <c r="AB40" s="2790"/>
      <c r="AC40" s="2790"/>
      <c r="AD40" s="2790"/>
      <c r="AE40" s="2790"/>
      <c r="AF40" s="2790"/>
      <c r="AG40" s="2790"/>
      <c r="AH40" s="2790"/>
      <c r="AI40" s="2790"/>
      <c r="AJ40" s="2790"/>
      <c r="AK40" s="2790"/>
      <c r="AL40" s="2790"/>
      <c r="AM40" s="263"/>
      <c r="AN40" s="263"/>
      <c r="AO40" s="263"/>
      <c r="AP40" s="263"/>
      <c r="AQ40" s="263"/>
      <c r="AR40" s="263"/>
      <c r="AS40" s="263"/>
      <c r="AT40" s="263"/>
      <c r="AU40" s="263"/>
      <c r="AV40" s="263"/>
      <c r="AW40" s="263"/>
      <c r="AX40" s="263"/>
      <c r="AY40" s="263"/>
      <c r="AZ40" s="263"/>
    </row>
    <row r="41" spans="1:54" s="39" customFormat="1" ht="14.1" customHeight="1">
      <c r="A41" s="280"/>
      <c r="B41" s="228"/>
      <c r="C41" s="280"/>
      <c r="D41" s="280"/>
      <c r="E41" s="280"/>
      <c r="F41" s="1807" t="s">
        <v>37</v>
      </c>
      <c r="G41" s="1807"/>
      <c r="H41" s="1807"/>
      <c r="I41" s="1807"/>
      <c r="J41" s="1807"/>
      <c r="K41" s="1807"/>
      <c r="L41" s="1807"/>
      <c r="M41" s="1807"/>
      <c r="N41" s="1807"/>
      <c r="O41" s="1807"/>
      <c r="P41" s="1807"/>
      <c r="Q41" s="321"/>
      <c r="R41" s="321"/>
      <c r="S41" s="321"/>
      <c r="T41" s="321"/>
      <c r="U41" s="321"/>
      <c r="V41" s="321"/>
      <c r="W41" s="321"/>
      <c r="X41" s="1807" t="s">
        <v>37</v>
      </c>
      <c r="Y41" s="1807"/>
      <c r="Z41" s="1807"/>
      <c r="AA41" s="1807"/>
      <c r="AB41" s="1807"/>
      <c r="AC41" s="1807"/>
      <c r="AD41" s="1807"/>
      <c r="AE41" s="1807"/>
      <c r="AF41" s="1807"/>
      <c r="AG41" s="1807"/>
      <c r="AH41" s="1807"/>
      <c r="AI41" s="1807"/>
      <c r="AJ41" s="1807"/>
      <c r="AK41" s="1807"/>
      <c r="AL41" s="1807"/>
      <c r="AM41" s="280"/>
      <c r="AN41" s="280"/>
      <c r="AO41" s="280"/>
      <c r="AP41" s="280"/>
      <c r="AQ41" s="280"/>
      <c r="AR41" s="280"/>
      <c r="AS41" s="280"/>
      <c r="AT41" s="280"/>
      <c r="AU41" s="280"/>
      <c r="AV41" s="280"/>
      <c r="AW41" s="280"/>
      <c r="AX41" s="280"/>
      <c r="AY41" s="280"/>
      <c r="AZ41" s="280"/>
    </row>
    <row r="42" spans="1:54" s="37" customFormat="1" ht="21.75" customHeight="1">
      <c r="A42" s="263"/>
      <c r="B42" s="332" t="s">
        <v>58</v>
      </c>
      <c r="C42" s="263"/>
      <c r="D42" s="263"/>
      <c r="E42" s="263"/>
      <c r="F42" s="2790" t="str">
        <f>activesheet!E22</f>
        <v>SECONDARY SCHOOL PRINCIPAL IV</v>
      </c>
      <c r="G42" s="2790"/>
      <c r="H42" s="2790"/>
      <c r="I42" s="2790"/>
      <c r="J42" s="2790"/>
      <c r="K42" s="2790"/>
      <c r="L42" s="2790"/>
      <c r="M42" s="2790"/>
      <c r="N42" s="2790"/>
      <c r="O42" s="2790"/>
      <c r="P42" s="2790"/>
      <c r="Q42" s="823"/>
      <c r="R42" s="823"/>
      <c r="S42" s="823"/>
      <c r="T42" s="823"/>
      <c r="U42" s="823"/>
      <c r="V42" s="823"/>
      <c r="W42" s="823"/>
      <c r="X42" s="332" t="s">
        <v>58</v>
      </c>
      <c r="Y42" s="263"/>
      <c r="Z42" s="263"/>
      <c r="AA42" s="263"/>
      <c r="AB42" s="2790" t="str">
        <f>activesheet!E3345</f>
        <v>PROJECT DEVELOPMENT OFFICER II</v>
      </c>
      <c r="AC42" s="2790"/>
      <c r="AD42" s="2790"/>
      <c r="AE42" s="2790"/>
      <c r="AF42" s="2790"/>
      <c r="AG42" s="2790"/>
      <c r="AH42" s="2790"/>
      <c r="AI42" s="2790"/>
      <c r="AJ42" s="2790"/>
      <c r="AK42" s="2790"/>
      <c r="AL42" s="2790"/>
      <c r="AM42" s="263"/>
      <c r="AN42" s="263"/>
      <c r="AO42" s="263"/>
      <c r="AP42" s="263"/>
      <c r="AQ42" s="263"/>
      <c r="AR42" s="263"/>
      <c r="AS42" s="263"/>
      <c r="AT42" s="263"/>
      <c r="AU42" s="263"/>
      <c r="AV42" s="263"/>
      <c r="AW42" s="263"/>
      <c r="AX42" s="263"/>
      <c r="AY42" s="263"/>
      <c r="AZ42" s="263"/>
    </row>
    <row r="43" spans="1:54" s="44" customFormat="1" ht="30.75" customHeight="1">
      <c r="A43" s="434"/>
      <c r="B43" s="434"/>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4"/>
      <c r="AU43" s="434"/>
      <c r="AV43" s="434"/>
      <c r="AW43" s="434"/>
      <c r="AX43" s="434"/>
      <c r="AY43" s="434"/>
      <c r="AZ43" s="434"/>
    </row>
    <row r="44" spans="1:54" s="37" customFormat="1" ht="15">
      <c r="A44" s="263"/>
      <c r="B44" s="263"/>
      <c r="C44" s="263"/>
      <c r="D44" s="263"/>
      <c r="E44" s="263"/>
      <c r="F44" s="263"/>
      <c r="G44" s="263"/>
      <c r="H44" s="263"/>
      <c r="I44" s="263"/>
      <c r="J44" s="263"/>
      <c r="K44" s="263"/>
      <c r="L44" s="263"/>
      <c r="M44" s="332" t="s">
        <v>33</v>
      </c>
      <c r="N44" s="263"/>
      <c r="O44" s="263"/>
      <c r="P44" s="263"/>
      <c r="Q44" s="263"/>
      <c r="R44" s="263"/>
      <c r="S44" s="263"/>
      <c r="T44" s="263"/>
      <c r="U44" s="263"/>
      <c r="V44" s="263"/>
      <c r="W44" s="263"/>
      <c r="X44" s="263"/>
      <c r="Y44" s="263"/>
      <c r="Z44" s="263"/>
      <c r="AA44" s="263"/>
      <c r="AB44" s="263"/>
      <c r="AC44" s="263"/>
      <c r="AD44" s="263"/>
      <c r="AE44" s="263"/>
      <c r="AF44" s="263"/>
      <c r="AG44" s="263"/>
      <c r="AH44" s="263"/>
      <c r="AI44" s="263"/>
      <c r="AJ44" s="263"/>
      <c r="AK44" s="263"/>
      <c r="AL44" s="263"/>
      <c r="AM44" s="263"/>
      <c r="AN44" s="263"/>
      <c r="AO44" s="263"/>
      <c r="AP44" s="263"/>
      <c r="AQ44" s="263"/>
      <c r="AR44" s="263"/>
      <c r="AS44" s="263"/>
      <c r="AT44" s="263"/>
      <c r="AU44" s="263"/>
      <c r="AV44" s="263"/>
      <c r="AW44" s="263"/>
      <c r="AX44" s="263"/>
      <c r="AY44" s="263"/>
      <c r="AZ44" s="263"/>
    </row>
    <row r="45" spans="1:54" s="37" customFormat="1" ht="21.75" customHeight="1">
      <c r="A45" s="263"/>
      <c r="B45" s="263"/>
      <c r="C45" s="263"/>
      <c r="D45" s="263"/>
      <c r="E45" s="263"/>
      <c r="F45" s="263"/>
      <c r="G45" s="263"/>
      <c r="H45" s="263"/>
      <c r="I45" s="263"/>
      <c r="J45" s="263"/>
      <c r="K45" s="263"/>
      <c r="L45" s="263"/>
      <c r="M45" s="1819" t="str">
        <f>activesheet!E25</f>
        <v>MICHAEL T. JAMIS / March 17, 2023</v>
      </c>
      <c r="N45" s="1819"/>
      <c r="O45" s="1819"/>
      <c r="P45" s="1819"/>
      <c r="Q45" s="1819"/>
      <c r="R45" s="1819"/>
      <c r="S45" s="1819"/>
      <c r="T45" s="1819"/>
      <c r="U45" s="1819"/>
      <c r="V45" s="1819"/>
      <c r="W45" s="1819"/>
      <c r="X45" s="1819"/>
      <c r="Y45" s="1819"/>
      <c r="Z45" s="1819"/>
      <c r="AA45" s="1819"/>
      <c r="AB45" s="263"/>
      <c r="AC45" s="263"/>
      <c r="AD45" s="263"/>
      <c r="AE45" s="263"/>
      <c r="AF45" s="263"/>
      <c r="AG45" s="263"/>
      <c r="AH45" s="263"/>
      <c r="AI45" s="263"/>
      <c r="AJ45" s="263"/>
      <c r="AK45" s="263"/>
      <c r="AL45" s="263"/>
      <c r="AM45" s="263"/>
      <c r="AN45" s="263"/>
      <c r="AO45" s="263"/>
      <c r="AP45" s="263"/>
      <c r="AQ45" s="263"/>
      <c r="AR45" s="263"/>
      <c r="AS45" s="263"/>
      <c r="AT45" s="263"/>
      <c r="AU45" s="263"/>
      <c r="AV45" s="263"/>
      <c r="AW45" s="263"/>
      <c r="AX45" s="263"/>
      <c r="AY45" s="263"/>
      <c r="AZ45" s="263"/>
    </row>
    <row r="46" spans="1:54" s="39" customFormat="1" ht="14.1" customHeight="1">
      <c r="A46" s="280"/>
      <c r="B46" s="280"/>
      <c r="C46" s="280"/>
      <c r="D46" s="280"/>
      <c r="E46" s="280"/>
      <c r="F46" s="280"/>
      <c r="G46" s="280"/>
      <c r="H46" s="280"/>
      <c r="I46" s="280"/>
      <c r="J46" s="280"/>
      <c r="K46" s="280"/>
      <c r="L46" s="280"/>
      <c r="M46" s="1820"/>
      <c r="N46" s="1820"/>
      <c r="O46" s="1820"/>
      <c r="P46" s="1820"/>
      <c r="Q46" s="1820"/>
      <c r="R46" s="1820"/>
      <c r="S46" s="1820"/>
      <c r="T46" s="1820"/>
      <c r="U46" s="1820"/>
      <c r="V46" s="1820"/>
      <c r="W46" s="1820"/>
      <c r="X46" s="1820"/>
      <c r="Y46" s="1820"/>
      <c r="Z46" s="1820"/>
      <c r="AA46" s="1820"/>
      <c r="AB46" s="280"/>
      <c r="AC46" s="280"/>
      <c r="AD46" s="280"/>
      <c r="AE46" s="280"/>
      <c r="AF46" s="280"/>
      <c r="AG46" s="280"/>
      <c r="AH46" s="280"/>
      <c r="AI46" s="280"/>
      <c r="AJ46" s="280"/>
      <c r="AK46" s="280"/>
      <c r="AL46" s="280"/>
      <c r="AM46" s="280"/>
      <c r="AN46" s="280"/>
      <c r="AO46" s="280"/>
      <c r="AP46" s="280"/>
      <c r="AQ46" s="280"/>
      <c r="AR46" s="280"/>
      <c r="AS46" s="280"/>
      <c r="AT46" s="280"/>
      <c r="AU46" s="280"/>
      <c r="AV46" s="280"/>
      <c r="AW46" s="280"/>
      <c r="AX46" s="280"/>
      <c r="AY46" s="280"/>
      <c r="AZ46" s="280"/>
    </row>
    <row r="47" spans="1:54" s="37" customFormat="1" ht="21.75" customHeight="1">
      <c r="A47" s="263"/>
      <c r="B47" s="263"/>
      <c r="C47" s="263"/>
      <c r="D47" s="263"/>
      <c r="E47" s="263"/>
      <c r="F47" s="263"/>
      <c r="G47" s="263"/>
      <c r="H47" s="263"/>
      <c r="I47" s="263"/>
      <c r="J47" s="263"/>
      <c r="K47" s="263"/>
      <c r="L47" s="263"/>
      <c r="M47" s="1807" t="s">
        <v>37</v>
      </c>
      <c r="N47" s="1807"/>
      <c r="O47" s="1807"/>
      <c r="P47" s="1807"/>
      <c r="Q47" s="1807"/>
      <c r="R47" s="1807"/>
      <c r="S47" s="1807"/>
      <c r="T47" s="1807"/>
      <c r="U47" s="1807"/>
      <c r="V47" s="1807"/>
      <c r="W47" s="1807"/>
      <c r="X47" s="1807"/>
      <c r="Y47" s="1807"/>
      <c r="Z47" s="1807"/>
      <c r="AA47" s="1807"/>
      <c r="AB47" s="263"/>
      <c r="AC47" s="263"/>
      <c r="AD47" s="263"/>
      <c r="AE47" s="263"/>
      <c r="AF47" s="263"/>
      <c r="AG47" s="263"/>
      <c r="AH47" s="263"/>
      <c r="AI47" s="263"/>
      <c r="AJ47" s="263"/>
      <c r="AK47" s="263"/>
      <c r="AL47" s="263"/>
      <c r="AM47" s="263"/>
      <c r="AN47" s="263"/>
      <c r="AO47" s="263"/>
      <c r="AP47" s="263"/>
      <c r="AQ47" s="263"/>
      <c r="AR47" s="263"/>
      <c r="AS47" s="263"/>
      <c r="AT47" s="263"/>
      <c r="AU47" s="263"/>
      <c r="AV47" s="263"/>
      <c r="AW47" s="263"/>
      <c r="AX47" s="263"/>
      <c r="AY47" s="263"/>
      <c r="AZ47" s="263"/>
    </row>
    <row r="48" spans="1:54">
      <c r="A48" s="798"/>
      <c r="B48" s="798"/>
      <c r="C48" s="798"/>
      <c r="D48" s="798"/>
      <c r="E48" s="798"/>
      <c r="F48" s="798"/>
      <c r="G48" s="798"/>
      <c r="H48" s="798"/>
      <c r="I48" s="798"/>
      <c r="J48" s="798"/>
      <c r="K48" s="798"/>
      <c r="L48" s="434"/>
      <c r="M48" s="434"/>
      <c r="N48" s="434"/>
      <c r="O48" s="434"/>
      <c r="P48" s="434"/>
      <c r="Q48" s="434"/>
      <c r="R48" s="434"/>
      <c r="S48" s="434"/>
      <c r="T48" s="434"/>
      <c r="U48" s="434"/>
      <c r="V48" s="434"/>
      <c r="W48" s="434"/>
      <c r="X48" s="434"/>
      <c r="Y48" s="434"/>
      <c r="Z48" s="434"/>
      <c r="AA48" s="434"/>
      <c r="AB48" s="798"/>
      <c r="AC48" s="798"/>
      <c r="AD48" s="798"/>
      <c r="AE48" s="798"/>
      <c r="AF48" s="798"/>
      <c r="AG48" s="798"/>
      <c r="AH48" s="798"/>
      <c r="AI48" s="798"/>
      <c r="AJ48" s="798"/>
      <c r="AK48" s="798"/>
      <c r="AL48" s="798"/>
      <c r="AM48" s="798"/>
      <c r="AN48" s="798"/>
      <c r="AO48" s="798"/>
      <c r="AP48" s="798"/>
      <c r="AQ48" s="798"/>
      <c r="AR48" s="798"/>
      <c r="AS48" s="798"/>
      <c r="AT48" s="798"/>
      <c r="AU48" s="798"/>
      <c r="AV48" s="798"/>
      <c r="AW48" s="798"/>
      <c r="AX48" s="798"/>
      <c r="AY48" s="798"/>
      <c r="AZ48" s="798"/>
    </row>
    <row r="49" spans="1:52">
      <c r="A49" s="798"/>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c r="AH49" s="799"/>
      <c r="AI49" s="799"/>
      <c r="AJ49" s="799"/>
      <c r="AK49" s="798"/>
      <c r="AL49" s="798"/>
      <c r="AM49" s="798"/>
      <c r="AN49" s="798"/>
      <c r="AO49" s="798"/>
      <c r="AP49" s="798"/>
      <c r="AQ49" s="798"/>
      <c r="AR49" s="798"/>
      <c r="AS49" s="798"/>
      <c r="AT49" s="798"/>
      <c r="AU49" s="798"/>
      <c r="AV49" s="798"/>
      <c r="AW49" s="798"/>
      <c r="AX49" s="798"/>
      <c r="AY49" s="798"/>
      <c r="AZ49" s="798"/>
    </row>
    <row r="50" spans="1:52">
      <c r="A50" s="798"/>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c r="AH50" s="799"/>
      <c r="AI50" s="799"/>
      <c r="AJ50" s="799"/>
      <c r="AK50" s="798"/>
      <c r="AL50" s="798"/>
      <c r="AM50" s="798"/>
      <c r="AN50" s="798"/>
      <c r="AO50" s="798"/>
      <c r="AP50" s="798"/>
      <c r="AQ50" s="798"/>
      <c r="AR50" s="798"/>
      <c r="AS50" s="798"/>
      <c r="AT50" s="798"/>
      <c r="AU50" s="798"/>
      <c r="AV50" s="798"/>
      <c r="AW50" s="798"/>
      <c r="AX50" s="798"/>
      <c r="AY50" s="798"/>
      <c r="AZ50" s="798"/>
    </row>
    <row r="51" spans="1:52">
      <c r="A51" s="798"/>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c r="AH51" s="799"/>
      <c r="AI51" s="799"/>
      <c r="AJ51" s="799"/>
      <c r="AK51" s="798"/>
      <c r="AL51" s="798"/>
      <c r="AM51" s="798"/>
      <c r="AN51" s="798"/>
      <c r="AO51" s="798"/>
      <c r="AP51" s="798"/>
      <c r="AQ51" s="798"/>
      <c r="AR51" s="798"/>
      <c r="AS51" s="798"/>
      <c r="AT51" s="798"/>
      <c r="AU51" s="798"/>
      <c r="AV51" s="798"/>
      <c r="AW51" s="798"/>
      <c r="AX51" s="798"/>
      <c r="AY51" s="798"/>
      <c r="AZ51" s="798"/>
    </row>
    <row r="52" spans="1:52">
      <c r="A52" s="798"/>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c r="AH52" s="799"/>
      <c r="AI52" s="799"/>
      <c r="AJ52" s="799"/>
      <c r="AK52" s="798"/>
      <c r="AL52" s="798"/>
      <c r="AM52" s="798"/>
      <c r="AN52" s="798"/>
      <c r="AO52" s="798"/>
      <c r="AP52" s="798"/>
      <c r="AQ52" s="798"/>
      <c r="AR52" s="798"/>
      <c r="AS52" s="798"/>
      <c r="AT52" s="798"/>
      <c r="AU52" s="798"/>
      <c r="AV52" s="798"/>
      <c r="AW52" s="798"/>
      <c r="AX52" s="798"/>
      <c r="AY52" s="798"/>
      <c r="AZ52" s="798"/>
    </row>
    <row r="53" spans="1:52">
      <c r="A53" s="798"/>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c r="AH53" s="799"/>
      <c r="AI53" s="799"/>
      <c r="AJ53" s="799"/>
      <c r="AK53" s="798"/>
      <c r="AL53" s="798"/>
      <c r="AM53" s="798"/>
      <c r="AN53" s="798"/>
      <c r="AO53" s="798"/>
      <c r="AP53" s="798"/>
      <c r="AQ53" s="798"/>
      <c r="AR53" s="798"/>
      <c r="AS53" s="798"/>
      <c r="AT53" s="798"/>
      <c r="AU53" s="798"/>
      <c r="AV53" s="798"/>
      <c r="AW53" s="798"/>
      <c r="AX53" s="798"/>
      <c r="AY53" s="798"/>
      <c r="AZ53" s="798"/>
    </row>
    <row r="54" spans="1:52">
      <c r="A54" s="798"/>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c r="AH54" s="799"/>
      <c r="AI54" s="799"/>
      <c r="AJ54" s="799"/>
      <c r="AK54" s="798"/>
      <c r="AL54" s="798"/>
      <c r="AM54" s="798"/>
      <c r="AN54" s="798"/>
      <c r="AO54" s="798"/>
      <c r="AP54" s="798"/>
      <c r="AQ54" s="798"/>
      <c r="AR54" s="798"/>
      <c r="AS54" s="798"/>
      <c r="AT54" s="798"/>
      <c r="AU54" s="798"/>
      <c r="AV54" s="798"/>
      <c r="AW54" s="798"/>
      <c r="AX54" s="798"/>
      <c r="AY54" s="798"/>
      <c r="AZ54" s="798"/>
    </row>
    <row r="55" spans="1:52">
      <c r="A55" s="798"/>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c r="AH55" s="799"/>
      <c r="AI55" s="799"/>
      <c r="AJ55" s="799"/>
      <c r="AK55" s="798"/>
      <c r="AL55" s="798"/>
      <c r="AM55" s="798"/>
      <c r="AN55" s="798"/>
      <c r="AO55" s="798"/>
      <c r="AP55" s="798"/>
      <c r="AQ55" s="798"/>
      <c r="AR55" s="798"/>
      <c r="AS55" s="798"/>
      <c r="AT55" s="798"/>
      <c r="AU55" s="798"/>
      <c r="AV55" s="798"/>
      <c r="AW55" s="798"/>
      <c r="AX55" s="798"/>
      <c r="AY55" s="798"/>
      <c r="AZ55" s="798"/>
    </row>
    <row r="56" spans="1:52">
      <c r="A56" s="798"/>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c r="AH56" s="799"/>
      <c r="AI56" s="799"/>
      <c r="AJ56" s="799"/>
      <c r="AK56" s="798"/>
      <c r="AL56" s="798"/>
      <c r="AM56" s="798"/>
      <c r="AN56" s="798"/>
      <c r="AO56" s="798"/>
      <c r="AP56" s="798"/>
      <c r="AQ56" s="798"/>
      <c r="AR56" s="798"/>
      <c r="AS56" s="798"/>
      <c r="AT56" s="798"/>
      <c r="AU56" s="798"/>
      <c r="AV56" s="798"/>
      <c r="AW56" s="798"/>
      <c r="AX56" s="798"/>
      <c r="AY56" s="798"/>
      <c r="AZ56" s="798"/>
    </row>
    <row r="57" spans="1:52">
      <c r="A57" s="798"/>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c r="AH57" s="799"/>
      <c r="AI57" s="799"/>
      <c r="AJ57" s="799"/>
      <c r="AK57" s="798"/>
      <c r="AL57" s="798"/>
      <c r="AM57" s="798"/>
      <c r="AN57" s="798"/>
      <c r="AO57" s="798"/>
      <c r="AP57" s="798"/>
      <c r="AQ57" s="798"/>
      <c r="AR57" s="798"/>
      <c r="AS57" s="798"/>
      <c r="AT57" s="798"/>
      <c r="AU57" s="798"/>
      <c r="AV57" s="798"/>
      <c r="AW57" s="798"/>
      <c r="AX57" s="798"/>
      <c r="AY57" s="798"/>
      <c r="AZ57" s="798"/>
    </row>
    <row r="58" spans="1:52">
      <c r="A58" s="798"/>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c r="AH58" s="799"/>
      <c r="AI58" s="799"/>
      <c r="AJ58" s="799"/>
      <c r="AK58" s="798"/>
      <c r="AL58" s="798"/>
      <c r="AM58" s="798"/>
      <c r="AN58" s="798"/>
      <c r="AO58" s="798"/>
      <c r="AP58" s="798"/>
      <c r="AQ58" s="798"/>
      <c r="AR58" s="798"/>
      <c r="AS58" s="798"/>
      <c r="AT58" s="798"/>
      <c r="AU58" s="798"/>
      <c r="AV58" s="798"/>
      <c r="AW58" s="798"/>
      <c r="AX58" s="798"/>
      <c r="AY58" s="798"/>
      <c r="AZ58" s="798"/>
    </row>
    <row r="59" spans="1:52">
      <c r="A59" s="798"/>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c r="AH59" s="799"/>
      <c r="AI59" s="799"/>
      <c r="AJ59" s="799"/>
      <c r="AK59" s="798"/>
      <c r="AL59" s="798"/>
      <c r="AM59" s="798"/>
      <c r="AN59" s="798"/>
      <c r="AO59" s="798"/>
      <c r="AP59" s="798"/>
      <c r="AQ59" s="798"/>
      <c r="AR59" s="798"/>
      <c r="AS59" s="798"/>
      <c r="AT59" s="798"/>
      <c r="AU59" s="798"/>
      <c r="AV59" s="798"/>
      <c r="AW59" s="798"/>
      <c r="AX59" s="798"/>
      <c r="AY59" s="798"/>
      <c r="AZ59" s="798"/>
    </row>
    <row r="60" spans="1:52">
      <c r="A60" s="798"/>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c r="AH60" s="799"/>
      <c r="AI60" s="799"/>
      <c r="AJ60" s="799"/>
      <c r="AK60" s="798"/>
      <c r="AL60" s="798"/>
      <c r="AM60" s="798"/>
      <c r="AN60" s="798"/>
      <c r="AO60" s="798"/>
      <c r="AP60" s="798"/>
      <c r="AQ60" s="798"/>
      <c r="AR60" s="798"/>
      <c r="AS60" s="798"/>
      <c r="AT60" s="798"/>
      <c r="AU60" s="798"/>
      <c r="AV60" s="798"/>
      <c r="AW60" s="798"/>
      <c r="AX60" s="798"/>
      <c r="AY60" s="798"/>
      <c r="AZ60" s="798"/>
    </row>
    <row r="61" spans="1:52">
      <c r="A61" s="798"/>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c r="AH61" s="799"/>
      <c r="AI61" s="799"/>
      <c r="AJ61" s="799"/>
      <c r="AK61" s="798"/>
      <c r="AL61" s="798"/>
      <c r="AM61" s="798"/>
      <c r="AN61" s="798"/>
      <c r="AO61" s="798"/>
      <c r="AP61" s="798"/>
      <c r="AQ61" s="798"/>
      <c r="AR61" s="798"/>
      <c r="AS61" s="798"/>
      <c r="AT61" s="798"/>
      <c r="AU61" s="798"/>
      <c r="AV61" s="798"/>
      <c r="AW61" s="798"/>
      <c r="AX61" s="798"/>
      <c r="AY61" s="798"/>
      <c r="AZ61" s="798"/>
    </row>
    <row r="62" spans="1:52">
      <c r="A62" s="798"/>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c r="AH62" s="799"/>
      <c r="AI62" s="799"/>
      <c r="AJ62" s="799"/>
      <c r="AK62" s="798"/>
      <c r="AL62" s="798"/>
      <c r="AM62" s="798"/>
      <c r="AN62" s="798"/>
      <c r="AO62" s="798"/>
      <c r="AP62" s="798"/>
      <c r="AQ62" s="798"/>
      <c r="AR62" s="798"/>
      <c r="AS62" s="798"/>
      <c r="AT62" s="798"/>
      <c r="AU62" s="798"/>
      <c r="AV62" s="798"/>
      <c r="AW62" s="798"/>
      <c r="AX62" s="798"/>
      <c r="AY62" s="798"/>
      <c r="AZ62" s="798"/>
    </row>
    <row r="63" spans="1:52">
      <c r="A63" s="798"/>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c r="AH63" s="799"/>
      <c r="AI63" s="799"/>
      <c r="AJ63" s="799"/>
      <c r="AK63" s="798"/>
      <c r="AL63" s="798"/>
      <c r="AM63" s="798"/>
      <c r="AN63" s="798"/>
      <c r="AO63" s="798"/>
      <c r="AP63" s="798"/>
      <c r="AQ63" s="798"/>
      <c r="AR63" s="798"/>
      <c r="AS63" s="798"/>
      <c r="AT63" s="798"/>
      <c r="AU63" s="798"/>
      <c r="AV63" s="798"/>
      <c r="AW63" s="798"/>
      <c r="AX63" s="798"/>
      <c r="AY63" s="798"/>
      <c r="AZ63" s="798"/>
    </row>
    <row r="64" spans="1:52">
      <c r="A64" s="798"/>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c r="AH64" s="799"/>
      <c r="AI64" s="799"/>
      <c r="AJ64" s="799"/>
      <c r="AK64" s="798"/>
      <c r="AL64" s="798"/>
      <c r="AM64" s="798"/>
      <c r="AN64" s="798"/>
      <c r="AO64" s="798"/>
      <c r="AP64" s="798"/>
      <c r="AQ64" s="798"/>
      <c r="AR64" s="798"/>
      <c r="AS64" s="798"/>
      <c r="AT64" s="798"/>
      <c r="AU64" s="798"/>
      <c r="AV64" s="798"/>
      <c r="AW64" s="798"/>
      <c r="AX64" s="798"/>
      <c r="AY64" s="798"/>
      <c r="AZ64" s="798"/>
    </row>
    <row r="65" spans="1:52">
      <c r="A65" s="798"/>
      <c r="B65" s="799"/>
      <c r="C65" s="799"/>
      <c r="D65" s="799"/>
      <c r="E65" s="799"/>
      <c r="F65" s="799"/>
      <c r="G65" s="799"/>
      <c r="H65" s="799"/>
      <c r="I65" s="799"/>
      <c r="J65" s="799"/>
      <c r="K65" s="799"/>
      <c r="L65" s="799"/>
      <c r="M65" s="799"/>
      <c r="N65" s="799"/>
      <c r="O65" s="799"/>
      <c r="P65" s="799"/>
      <c r="Q65" s="799"/>
      <c r="R65" s="799"/>
      <c r="S65" s="799"/>
      <c r="T65" s="799"/>
      <c r="U65" s="799"/>
      <c r="V65" s="799"/>
      <c r="W65" s="799"/>
      <c r="X65" s="799"/>
      <c r="Y65" s="799"/>
      <c r="Z65" s="799"/>
      <c r="AA65" s="799"/>
      <c r="AB65" s="799"/>
      <c r="AC65" s="799"/>
      <c r="AD65" s="799"/>
      <c r="AE65" s="799"/>
      <c r="AF65" s="799"/>
      <c r="AG65" s="799"/>
      <c r="AH65" s="799"/>
      <c r="AI65" s="799"/>
      <c r="AJ65" s="799"/>
      <c r="AK65" s="798"/>
      <c r="AL65" s="798"/>
      <c r="AM65" s="798"/>
      <c r="AN65" s="798"/>
      <c r="AO65" s="798"/>
      <c r="AP65" s="798"/>
      <c r="AQ65" s="798"/>
      <c r="AR65" s="798"/>
      <c r="AS65" s="798"/>
      <c r="AT65" s="798"/>
      <c r="AU65" s="798"/>
      <c r="AV65" s="798"/>
      <c r="AW65" s="798"/>
      <c r="AX65" s="798"/>
      <c r="AY65" s="798"/>
      <c r="AZ65" s="798"/>
    </row>
  </sheetData>
  <sheetProtection algorithmName="SHA-512" hashValue="PsC62zJwpcMkqI83oqitBTvnkmEZvXnXg4ZkLmo7T9Q+f+ItY631mXnBCz6p9MXemq/q4O5eAwqHy2O33BNPVQ==" saltValue="/ZFEpZ5N2U8RU62CDPUPBA==" spinCount="100000" sheet="1" objects="1" scenarios="1"/>
  <customSheetViews>
    <customSheetView guid="{6EFEFCA0-BF14-457A-85A3-29CBF2A862A5}" showGridLines="0" fitToPage="1">
      <selection sqref="A1:AP43"/>
      <pageMargins left="0.23622047244094491" right="0.23622047244094491" top="0.19685039370078741" bottom="0.19685039370078741" header="0" footer="0.11811023622047245"/>
      <printOptions horizontalCentered="1" verticalCentered="1"/>
      <pageSetup paperSize="9" scale="63" orientation="portrait" r:id="rId1"/>
      <headerFooter>
        <oddFooter>&amp;L&amp;10&amp;F &amp;A&amp;R&amp;10Page 60 of 61</oddFooter>
      </headerFooter>
    </customSheetView>
  </customSheetViews>
  <mergeCells count="76">
    <mergeCell ref="D4:O6"/>
    <mergeCell ref="X4:AH6"/>
    <mergeCell ref="D8:I8"/>
    <mergeCell ref="J8:O8"/>
    <mergeCell ref="X8:AE8"/>
    <mergeCell ref="AH19:AJ19"/>
    <mergeCell ref="I20:M20"/>
    <mergeCell ref="N20:R20"/>
    <mergeCell ref="D22:AJ22"/>
    <mergeCell ref="AB9:AE9"/>
    <mergeCell ref="D10:F10"/>
    <mergeCell ref="G10:I10"/>
    <mergeCell ref="J10:L10"/>
    <mergeCell ref="M10:O10"/>
    <mergeCell ref="X10:AA10"/>
    <mergeCell ref="AB10:AE10"/>
    <mergeCell ref="D9:F9"/>
    <mergeCell ref="G9:I9"/>
    <mergeCell ref="J9:L9"/>
    <mergeCell ref="M9:O9"/>
    <mergeCell ref="X9:AA9"/>
    <mergeCell ref="E12:AI12"/>
    <mergeCell ref="D14:S14"/>
    <mergeCell ref="Y14:AJ16"/>
    <mergeCell ref="D16:H17"/>
    <mergeCell ref="I16:R16"/>
    <mergeCell ref="I17:M17"/>
    <mergeCell ref="N17:R17"/>
    <mergeCell ref="Y17:AD18"/>
    <mergeCell ref="AE17:AJ18"/>
    <mergeCell ref="I18:M18"/>
    <mergeCell ref="N18:R18"/>
    <mergeCell ref="D24:I24"/>
    <mergeCell ref="J24:O24"/>
    <mergeCell ref="P24:U24"/>
    <mergeCell ref="V24:AA24"/>
    <mergeCell ref="AE19:AG19"/>
    <mergeCell ref="I19:M19"/>
    <mergeCell ref="N19:R19"/>
    <mergeCell ref="Y19:AA19"/>
    <mergeCell ref="AB19:AD19"/>
    <mergeCell ref="Y20:AA20"/>
    <mergeCell ref="AB20:AD20"/>
    <mergeCell ref="AE20:AG20"/>
    <mergeCell ref="V25:X25"/>
    <mergeCell ref="Y25:AA25"/>
    <mergeCell ref="D26:F26"/>
    <mergeCell ref="G26:I26"/>
    <mergeCell ref="J26:L26"/>
    <mergeCell ref="M26:O26"/>
    <mergeCell ref="P26:R26"/>
    <mergeCell ref="S26:U26"/>
    <mergeCell ref="V26:X26"/>
    <mergeCell ref="Y26:AA26"/>
    <mergeCell ref="D25:F25"/>
    <mergeCell ref="G25:I25"/>
    <mergeCell ref="J25:L25"/>
    <mergeCell ref="M25:O25"/>
    <mergeCell ref="P25:R25"/>
    <mergeCell ref="S25:U25"/>
    <mergeCell ref="AH20:AJ20"/>
    <mergeCell ref="M45:AA46"/>
    <mergeCell ref="M47:AA47"/>
    <mergeCell ref="C37:AL37"/>
    <mergeCell ref="F40:P40"/>
    <mergeCell ref="X40:AL40"/>
    <mergeCell ref="F41:P41"/>
    <mergeCell ref="X41:AL41"/>
    <mergeCell ref="F42:P42"/>
    <mergeCell ref="AB42:AL42"/>
    <mergeCell ref="G28:AA29"/>
    <mergeCell ref="C32:AL32"/>
    <mergeCell ref="C33:AL33"/>
    <mergeCell ref="C34:AL34"/>
    <mergeCell ref="C35:AL35"/>
    <mergeCell ref="C36:AL36"/>
  </mergeCells>
  <dataValidations count="3">
    <dataValidation type="whole" allowBlank="1" showInputMessage="1" showErrorMessage="1" errorTitle="GSHSP SY 2021-2022" error="Please enter valid number between 0-999." sqref="AD20:AJ20" xr:uid="{1E767882-2023-4F46-B3CE-E82D1B8FA4FC}">
      <formula1>0</formula1>
      <formula2>999</formula2>
    </dataValidation>
    <dataValidation type="whole" allowBlank="1" showInputMessage="1" showErrorMessage="1" errorTitle="GSHSP SY 2022-2023" error="Please enter valid number between 0-999." sqref="D10:O10 X10:AE10 I18:R20 Y20:AC20" xr:uid="{75B866FE-E0C5-41EE-A87C-1CC8D3A48B39}">
      <formula1>0</formula1>
      <formula2>999</formula2>
    </dataValidation>
    <dataValidation type="whole" allowBlank="1" showInputMessage="1" showErrorMessage="1" errorTitle="GSHSP SY 2022-2023" error="Please enter valid number between 0-20,000." sqref="D26:AA26" xr:uid="{D4EB863F-19E5-421C-8A13-76C024A9857A}">
      <formula1>0</formula1>
      <formula2>20000</formula2>
    </dataValidation>
  </dataValidations>
  <printOptions horizontalCentered="1" verticalCentered="1"/>
  <pageMargins left="0.23622047244094491" right="0.23622047244094491" top="0.19685039370078741" bottom="0.19685039370078741" header="0" footer="0.11811023622047245"/>
  <pageSetup paperSize="9" scale="63" orientation="portrait" r:id="rId2"/>
  <headerFooter>
    <oddFooter>&amp;L&amp;10&amp;F &amp;A&amp;R&amp;10Page 60 of 61</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95585" r:id="rId5" name="Check Box 1">
              <controlPr defaultSize="0" autoFill="0" autoLine="0" autoPict="0">
                <anchor moveWithCells="1">
                  <from>
                    <xdr:col>3</xdr:col>
                    <xdr:colOff>28575</xdr:colOff>
                    <xdr:row>11</xdr:row>
                    <xdr:rowOff>47625</xdr:rowOff>
                  </from>
                  <to>
                    <xdr:col>4</xdr:col>
                    <xdr:colOff>9525</xdr:colOff>
                    <xdr:row>11</xdr:row>
                    <xdr:rowOff>276225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A5B50-C787-4CA7-AF4F-EFF4DD14873D}">
  <sheetPr codeName="Sheet63">
    <tabColor rgb="FFFFFF00"/>
  </sheetPr>
  <dimension ref="A1:CQ91"/>
  <sheetViews>
    <sheetView showGridLines="0" zoomScaleNormal="100" workbookViewId="0">
      <selection activeCell="AF33" sqref="AF33"/>
    </sheetView>
  </sheetViews>
  <sheetFormatPr defaultColWidth="9" defaultRowHeight="15.75"/>
  <cols>
    <col min="1" max="1" width="2.125" style="44" customWidth="1"/>
    <col min="2" max="25" width="3.625" style="44" customWidth="1"/>
    <col min="26" max="26" width="4.5" style="44" customWidth="1"/>
    <col min="27" max="71" width="3.625" style="44" customWidth="1"/>
    <col min="72" max="72" width="2.125" style="44" customWidth="1"/>
    <col min="73" max="74" width="3.625" style="44" customWidth="1"/>
    <col min="75" max="16384" width="9" style="44"/>
  </cols>
  <sheetData>
    <row r="1" spans="1:64" ht="5.0999999999999996" customHeight="1">
      <c r="A1" s="434"/>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c r="AY1" s="434"/>
      <c r="AZ1" s="434"/>
      <c r="BA1" s="434"/>
      <c r="BB1" s="434"/>
      <c r="BC1" s="434"/>
      <c r="BD1" s="434"/>
      <c r="BE1" s="434"/>
      <c r="BF1" s="434"/>
      <c r="BG1" s="434"/>
      <c r="BH1" s="434"/>
      <c r="BI1" s="434"/>
      <c r="BJ1" s="434"/>
      <c r="BK1" s="434"/>
      <c r="BL1" s="434"/>
    </row>
    <row r="2" spans="1:64">
      <c r="A2" s="434"/>
      <c r="B2" s="611" t="s">
        <v>11442</v>
      </c>
      <c r="C2" s="611"/>
      <c r="D2" s="611"/>
      <c r="E2" s="611"/>
      <c r="F2" s="611"/>
      <c r="G2" s="611"/>
      <c r="H2" s="611"/>
      <c r="I2" s="611"/>
      <c r="J2" s="611"/>
      <c r="K2" s="611"/>
      <c r="L2" s="612"/>
      <c r="M2" s="612"/>
      <c r="N2" s="612"/>
      <c r="O2" s="612"/>
      <c r="P2" s="612"/>
      <c r="Q2" s="612"/>
      <c r="R2" s="612"/>
      <c r="S2" s="612"/>
      <c r="T2" s="612"/>
      <c r="U2" s="612"/>
      <c r="V2" s="612"/>
      <c r="W2" s="612"/>
      <c r="X2" s="612"/>
      <c r="Y2" s="612"/>
      <c r="Z2" s="612"/>
      <c r="AA2" s="612"/>
      <c r="AB2" s="612"/>
      <c r="AC2" s="612"/>
      <c r="AD2" s="612"/>
      <c r="AE2" s="612"/>
      <c r="AF2" s="612"/>
      <c r="AG2" s="612"/>
      <c r="AH2" s="612"/>
      <c r="AI2" s="612"/>
      <c r="AJ2" s="612"/>
      <c r="AK2" s="612"/>
      <c r="AL2" s="611"/>
      <c r="AM2" s="434"/>
      <c r="AN2" s="434"/>
      <c r="AO2" s="434"/>
      <c r="AP2" s="434"/>
      <c r="AQ2" s="434"/>
      <c r="AR2" s="434"/>
      <c r="AS2" s="434"/>
      <c r="AT2" s="434"/>
      <c r="AU2" s="434"/>
      <c r="AV2" s="434"/>
      <c r="AW2" s="434"/>
      <c r="AX2" s="434"/>
      <c r="AY2" s="434"/>
      <c r="AZ2" s="434"/>
      <c r="BA2" s="434"/>
      <c r="BB2" s="434"/>
      <c r="BC2" s="434"/>
      <c r="BD2" s="434"/>
      <c r="BE2" s="434"/>
      <c r="BF2" s="434"/>
      <c r="BG2" s="434"/>
      <c r="BH2" s="434"/>
      <c r="BI2" s="434"/>
      <c r="BJ2" s="434"/>
      <c r="BK2" s="434"/>
      <c r="BL2" s="434"/>
    </row>
    <row r="3" spans="1:64" s="40" customFormat="1" ht="16.5" thickBot="1">
      <c r="A3" s="582"/>
      <c r="B3" s="583" t="s">
        <v>1017</v>
      </c>
      <c r="C3" s="582"/>
      <c r="D3" s="582"/>
      <c r="E3" s="582"/>
      <c r="F3" s="582"/>
      <c r="G3" s="582"/>
      <c r="H3" s="582"/>
      <c r="I3" s="582"/>
      <c r="J3" s="582"/>
      <c r="K3" s="582"/>
      <c r="L3" s="582"/>
      <c r="M3" s="582"/>
      <c r="N3" s="582"/>
      <c r="O3" s="582"/>
      <c r="P3" s="582"/>
      <c r="Q3" s="582"/>
      <c r="R3" s="582"/>
      <c r="S3" s="582"/>
      <c r="T3" s="582"/>
      <c r="U3" s="582"/>
      <c r="V3" s="582"/>
      <c r="W3" s="582"/>
      <c r="X3" s="582"/>
      <c r="Y3" s="582"/>
      <c r="Z3" s="582"/>
      <c r="AA3" s="582"/>
      <c r="AB3" s="582"/>
      <c r="AC3" s="582"/>
      <c r="AD3" s="582"/>
      <c r="AE3" s="582"/>
      <c r="AF3" s="582"/>
      <c r="AG3" s="582"/>
      <c r="AH3" s="582"/>
      <c r="AI3" s="582"/>
      <c r="AJ3" s="582"/>
      <c r="AK3" s="582"/>
      <c r="AL3" s="582"/>
      <c r="AM3" s="582"/>
      <c r="AN3" s="582"/>
      <c r="AO3" s="582"/>
      <c r="AP3" s="582"/>
      <c r="AQ3" s="582"/>
      <c r="AR3" s="582"/>
      <c r="AS3" s="582"/>
      <c r="AT3" s="582"/>
      <c r="AU3" s="582"/>
      <c r="AV3" s="582"/>
      <c r="AW3" s="582"/>
      <c r="AX3" s="582"/>
      <c r="AY3" s="582"/>
      <c r="AZ3" s="582"/>
      <c r="BA3" s="582"/>
      <c r="BB3" s="582"/>
      <c r="BC3" s="582"/>
      <c r="BD3" s="582"/>
      <c r="BE3" s="582"/>
      <c r="BF3" s="582"/>
      <c r="BG3" s="582"/>
      <c r="BH3" s="582"/>
      <c r="BI3" s="582"/>
      <c r="BJ3" s="582"/>
      <c r="BK3" s="582"/>
      <c r="BL3" s="582"/>
    </row>
    <row r="4" spans="1:64" ht="5.25" customHeight="1">
      <c r="A4" s="434"/>
      <c r="B4" s="648"/>
      <c r="C4" s="650"/>
      <c r="D4" s="984"/>
      <c r="E4" s="985"/>
      <c r="F4" s="985"/>
      <c r="G4" s="985"/>
      <c r="H4" s="985"/>
      <c r="I4" s="985"/>
      <c r="J4" s="985"/>
      <c r="K4" s="985"/>
      <c r="L4" s="985"/>
      <c r="M4" s="685"/>
      <c r="N4" s="685"/>
      <c r="O4" s="685"/>
      <c r="P4" s="685"/>
      <c r="Q4" s="685"/>
      <c r="R4" s="685"/>
      <c r="S4" s="586"/>
      <c r="T4" s="986"/>
      <c r="U4" s="986"/>
      <c r="V4" s="986"/>
      <c r="W4" s="986"/>
      <c r="X4" s="986"/>
      <c r="Y4" s="986"/>
      <c r="Z4" s="685"/>
      <c r="AA4" s="685"/>
      <c r="AB4" s="685"/>
      <c r="AC4" s="685"/>
      <c r="AD4" s="685"/>
      <c r="AE4" s="685"/>
      <c r="AF4" s="685"/>
      <c r="AG4" s="685"/>
      <c r="AH4" s="685"/>
      <c r="AI4" s="685"/>
      <c r="AJ4" s="650"/>
      <c r="AK4" s="650"/>
      <c r="AL4" s="650"/>
      <c r="AM4" s="650"/>
      <c r="AN4" s="650"/>
      <c r="AO4" s="985"/>
      <c r="AP4" s="985"/>
      <c r="AQ4" s="987"/>
      <c r="AR4" s="625"/>
      <c r="AS4" s="625"/>
      <c r="AT4" s="434"/>
      <c r="AU4" s="434"/>
      <c r="AV4" s="434"/>
      <c r="AW4" s="434"/>
      <c r="AX4" s="434"/>
      <c r="AY4" s="434"/>
      <c r="AZ4" s="434"/>
      <c r="BA4" s="434"/>
      <c r="BB4" s="434"/>
      <c r="BC4" s="434"/>
      <c r="BD4" s="434"/>
      <c r="BE4" s="434"/>
      <c r="BF4" s="434"/>
      <c r="BG4" s="434"/>
      <c r="BH4" s="434"/>
      <c r="BI4" s="434"/>
      <c r="BJ4" s="434"/>
      <c r="BK4" s="434"/>
      <c r="BL4" s="434"/>
    </row>
    <row r="5" spans="1:64" ht="24.95" customHeight="1">
      <c r="A5" s="434"/>
      <c r="B5" s="988"/>
      <c r="C5" s="1048" t="s">
        <v>47</v>
      </c>
      <c r="D5" s="989" t="s">
        <v>1019</v>
      </c>
      <c r="E5" s="989"/>
      <c r="F5" s="998"/>
      <c r="G5" s="998"/>
      <c r="H5" s="998"/>
      <c r="I5" s="998"/>
      <c r="J5" s="998"/>
      <c r="K5" s="998"/>
      <c r="L5" s="998"/>
      <c r="M5" s="1642"/>
      <c r="N5" s="593"/>
      <c r="O5" s="593"/>
      <c r="P5" s="593"/>
      <c r="Q5" s="593"/>
      <c r="R5" s="593"/>
      <c r="S5" s="1643"/>
      <c r="T5" s="1642"/>
      <c r="U5" s="1642"/>
      <c r="V5" s="1642"/>
      <c r="W5" s="1642"/>
      <c r="X5" s="1642"/>
      <c r="Y5" s="1642"/>
      <c r="Z5" s="593"/>
      <c r="AA5" s="593"/>
      <c r="AB5" s="593"/>
      <c r="AC5" s="593"/>
      <c r="AD5" s="593"/>
      <c r="AE5" s="593"/>
      <c r="AF5" s="593"/>
      <c r="AG5" s="593"/>
      <c r="AH5" s="593"/>
      <c r="AI5" s="593"/>
      <c r="AJ5" s="434"/>
      <c r="AK5" s="434"/>
      <c r="AL5" s="434"/>
      <c r="AM5" s="434"/>
      <c r="AN5" s="434"/>
      <c r="AO5" s="998"/>
      <c r="AP5" s="998"/>
      <c r="AQ5" s="1644"/>
      <c r="AR5" s="593"/>
      <c r="AS5" s="593"/>
      <c r="AT5" s="434"/>
      <c r="AU5" s="434"/>
      <c r="AV5" s="434"/>
      <c r="AW5" s="434"/>
      <c r="AX5" s="434"/>
      <c r="AY5" s="434"/>
      <c r="AZ5" s="434"/>
      <c r="BA5" s="434"/>
      <c r="BB5" s="434"/>
      <c r="BC5" s="434"/>
      <c r="BD5" s="434"/>
      <c r="BE5" s="434"/>
      <c r="BF5" s="434"/>
      <c r="BG5" s="434"/>
      <c r="BH5" s="434"/>
      <c r="BI5" s="434"/>
      <c r="BJ5" s="434"/>
      <c r="BK5" s="434"/>
      <c r="BL5" s="434"/>
    </row>
    <row r="6" spans="1:64" ht="6" customHeight="1">
      <c r="A6" s="434"/>
      <c r="B6" s="988"/>
      <c r="C6" s="434"/>
      <c r="D6" s="434"/>
      <c r="E6" s="1049"/>
      <c r="F6" s="612"/>
      <c r="G6" s="612"/>
      <c r="H6" s="612"/>
      <c r="I6" s="612"/>
      <c r="J6" s="612"/>
      <c r="K6" s="612"/>
      <c r="L6" s="612"/>
      <c r="M6" s="1642"/>
      <c r="N6" s="434"/>
      <c r="O6" s="1642"/>
      <c r="P6" s="960"/>
      <c r="Q6" s="593"/>
      <c r="R6" s="434"/>
      <c r="S6" s="434"/>
      <c r="T6" s="1642"/>
      <c r="U6" s="960"/>
      <c r="V6" s="593"/>
      <c r="W6" s="593"/>
      <c r="X6" s="593"/>
      <c r="Y6" s="593"/>
      <c r="Z6" s="593"/>
      <c r="AA6" s="593"/>
      <c r="AB6" s="434"/>
      <c r="AC6" s="1642"/>
      <c r="AD6" s="1642"/>
      <c r="AE6" s="1642"/>
      <c r="AF6" s="1642"/>
      <c r="AG6" s="1642"/>
      <c r="AH6" s="1642"/>
      <c r="AI6" s="1642"/>
      <c r="AJ6" s="434"/>
      <c r="AK6" s="434"/>
      <c r="AL6" s="434"/>
      <c r="AM6" s="434"/>
      <c r="AN6" s="434"/>
      <c r="AO6" s="612"/>
      <c r="AP6" s="612"/>
      <c r="AQ6" s="1644"/>
      <c r="AR6" s="434"/>
      <c r="AS6" s="434"/>
      <c r="AT6" s="434"/>
      <c r="AU6" s="434"/>
      <c r="AV6" s="434"/>
      <c r="AW6" s="434"/>
      <c r="AX6" s="434"/>
      <c r="AY6" s="434"/>
      <c r="AZ6" s="434"/>
      <c r="BA6" s="434"/>
      <c r="BB6" s="434"/>
      <c r="BC6" s="434"/>
      <c r="BD6" s="434"/>
      <c r="BE6" s="434"/>
      <c r="BF6" s="434"/>
      <c r="BG6" s="434"/>
      <c r="BH6" s="434"/>
      <c r="BI6" s="434"/>
      <c r="BJ6" s="434"/>
      <c r="BK6" s="434"/>
      <c r="BL6" s="434"/>
    </row>
    <row r="7" spans="1:64" s="45" customFormat="1" ht="17.100000000000001" customHeight="1">
      <c r="A7" s="591"/>
      <c r="B7" s="628"/>
      <c r="C7" s="621"/>
      <c r="D7" s="4311" t="b">
        <v>0</v>
      </c>
      <c r="E7" s="4312" t="s">
        <v>1005</v>
      </c>
      <c r="F7" s="4312"/>
      <c r="G7" s="4312"/>
      <c r="H7" s="4312"/>
      <c r="I7" s="4312"/>
      <c r="J7" s="4312"/>
      <c r="K7" s="4312"/>
      <c r="L7" s="4312"/>
      <c r="M7" s="4312"/>
      <c r="N7" s="4312"/>
      <c r="O7" s="4312"/>
      <c r="P7" s="4312"/>
      <c r="Q7" s="4312"/>
      <c r="R7" s="4312"/>
      <c r="S7" s="4312"/>
      <c r="T7" s="4312"/>
      <c r="U7" s="4312"/>
      <c r="V7" s="4312"/>
      <c r="W7" s="4312"/>
      <c r="X7" s="4312"/>
      <c r="Y7" s="4312"/>
      <c r="Z7" s="4312"/>
      <c r="AA7" s="4312"/>
      <c r="AB7" s="4312"/>
      <c r="AC7" s="4312"/>
      <c r="AD7" s="4312"/>
      <c r="AE7" s="4312"/>
      <c r="AF7" s="4312"/>
      <c r="AG7" s="4312"/>
      <c r="AH7" s="4312"/>
      <c r="AI7" s="4312"/>
      <c r="AJ7" s="4312"/>
      <c r="AK7" s="4312"/>
      <c r="AL7" s="4312"/>
      <c r="AM7" s="4312"/>
      <c r="AN7" s="4312"/>
      <c r="AO7" s="4312"/>
      <c r="AP7" s="4312"/>
      <c r="AQ7" s="4313"/>
      <c r="AR7" s="582"/>
      <c r="AS7" s="582"/>
      <c r="AT7" s="591"/>
      <c r="AU7" s="591"/>
      <c r="AV7" s="591"/>
      <c r="AW7" s="591"/>
      <c r="AX7" s="591"/>
      <c r="AY7" s="591"/>
      <c r="AZ7" s="591"/>
      <c r="BA7" s="591"/>
      <c r="BB7" s="591"/>
      <c r="BC7" s="591"/>
      <c r="BD7" s="591"/>
      <c r="BE7" s="591"/>
      <c r="BF7" s="591"/>
      <c r="BG7" s="591"/>
      <c r="BH7" s="591"/>
      <c r="BI7" s="591"/>
      <c r="BJ7" s="591"/>
      <c r="BK7" s="591"/>
      <c r="BL7" s="591"/>
    </row>
    <row r="8" spans="1:64" s="45" customFormat="1" ht="17.100000000000001" customHeight="1">
      <c r="A8" s="591"/>
      <c r="B8" s="628"/>
      <c r="C8" s="621"/>
      <c r="D8" s="4311"/>
      <c r="E8" s="4312"/>
      <c r="F8" s="4312"/>
      <c r="G8" s="4312"/>
      <c r="H8" s="4312"/>
      <c r="I8" s="4312"/>
      <c r="J8" s="4312"/>
      <c r="K8" s="4312"/>
      <c r="L8" s="4312"/>
      <c r="M8" s="4312"/>
      <c r="N8" s="4312"/>
      <c r="O8" s="4312"/>
      <c r="P8" s="4312"/>
      <c r="Q8" s="4312"/>
      <c r="R8" s="4312"/>
      <c r="S8" s="4312"/>
      <c r="T8" s="4312"/>
      <c r="U8" s="4312"/>
      <c r="V8" s="4312"/>
      <c r="W8" s="4312"/>
      <c r="X8" s="4312"/>
      <c r="Y8" s="4312"/>
      <c r="Z8" s="4312"/>
      <c r="AA8" s="4312"/>
      <c r="AB8" s="4312"/>
      <c r="AC8" s="4312"/>
      <c r="AD8" s="4312"/>
      <c r="AE8" s="4312"/>
      <c r="AF8" s="4312"/>
      <c r="AG8" s="4312"/>
      <c r="AH8" s="4312"/>
      <c r="AI8" s="4312"/>
      <c r="AJ8" s="4312"/>
      <c r="AK8" s="4312"/>
      <c r="AL8" s="4312"/>
      <c r="AM8" s="4312"/>
      <c r="AN8" s="4312"/>
      <c r="AO8" s="4312"/>
      <c r="AP8" s="4312"/>
      <c r="AQ8" s="4313"/>
      <c r="AR8" s="582"/>
      <c r="AS8" s="582"/>
      <c r="AT8" s="591"/>
      <c r="AU8" s="591"/>
      <c r="AV8" s="591"/>
      <c r="AW8" s="591"/>
      <c r="AX8" s="591"/>
      <c r="AY8" s="591"/>
      <c r="AZ8" s="591"/>
      <c r="BA8" s="591"/>
      <c r="BB8" s="591"/>
      <c r="BC8" s="591"/>
      <c r="BD8" s="591"/>
      <c r="BE8" s="591"/>
      <c r="BF8" s="591"/>
      <c r="BG8" s="591"/>
      <c r="BH8" s="591"/>
      <c r="BI8" s="591"/>
      <c r="BJ8" s="591"/>
      <c r="BK8" s="591"/>
      <c r="BL8" s="591"/>
    </row>
    <row r="9" spans="1:64" s="45" customFormat="1" ht="17.100000000000001" customHeight="1">
      <c r="A9" s="591"/>
      <c r="B9" s="628"/>
      <c r="C9" s="621"/>
      <c r="D9" s="4311" t="b">
        <v>0</v>
      </c>
      <c r="E9" s="4312" t="s">
        <v>1006</v>
      </c>
      <c r="F9" s="4312"/>
      <c r="G9" s="4312"/>
      <c r="H9" s="4312"/>
      <c r="I9" s="4312"/>
      <c r="J9" s="4312"/>
      <c r="K9" s="4312"/>
      <c r="L9" s="4312"/>
      <c r="M9" s="4312"/>
      <c r="N9" s="4312"/>
      <c r="O9" s="4312"/>
      <c r="P9" s="4312"/>
      <c r="Q9" s="4312"/>
      <c r="R9" s="4312"/>
      <c r="S9" s="4312"/>
      <c r="T9" s="4312"/>
      <c r="U9" s="4312"/>
      <c r="V9" s="4312"/>
      <c r="W9" s="4312"/>
      <c r="X9" s="4312"/>
      <c r="Y9" s="4312"/>
      <c r="Z9" s="4312"/>
      <c r="AA9" s="4312"/>
      <c r="AB9" s="4312"/>
      <c r="AC9" s="4312"/>
      <c r="AD9" s="4312"/>
      <c r="AE9" s="4312"/>
      <c r="AF9" s="4312"/>
      <c r="AG9" s="4312"/>
      <c r="AH9" s="4312"/>
      <c r="AI9" s="4312"/>
      <c r="AJ9" s="4312"/>
      <c r="AK9" s="4312"/>
      <c r="AL9" s="4312"/>
      <c r="AM9" s="4312"/>
      <c r="AN9" s="4312"/>
      <c r="AO9" s="4312"/>
      <c r="AP9" s="4312"/>
      <c r="AQ9" s="4313"/>
      <c r="AR9" s="582"/>
      <c r="AS9" s="582"/>
      <c r="AT9" s="591"/>
      <c r="AU9" s="591"/>
      <c r="AV9" s="591"/>
      <c r="AW9" s="591"/>
      <c r="AX9" s="591"/>
      <c r="AY9" s="591"/>
      <c r="AZ9" s="591"/>
      <c r="BA9" s="591"/>
      <c r="BB9" s="591"/>
      <c r="BC9" s="591"/>
      <c r="BD9" s="591"/>
      <c r="BE9" s="591"/>
      <c r="BF9" s="591"/>
      <c r="BG9" s="591"/>
      <c r="BH9" s="591"/>
      <c r="BI9" s="591"/>
      <c r="BJ9" s="591"/>
      <c r="BK9" s="591"/>
      <c r="BL9" s="591"/>
    </row>
    <row r="10" spans="1:64" s="45" customFormat="1" ht="17.100000000000001" customHeight="1">
      <c r="A10" s="591"/>
      <c r="B10" s="628"/>
      <c r="C10" s="621"/>
      <c r="D10" s="4311"/>
      <c r="E10" s="4312"/>
      <c r="F10" s="4312"/>
      <c r="G10" s="4312"/>
      <c r="H10" s="4312"/>
      <c r="I10" s="4312"/>
      <c r="J10" s="4312"/>
      <c r="K10" s="4312"/>
      <c r="L10" s="4312"/>
      <c r="M10" s="4312"/>
      <c r="N10" s="4312"/>
      <c r="O10" s="4312"/>
      <c r="P10" s="4312"/>
      <c r="Q10" s="4312"/>
      <c r="R10" s="4312"/>
      <c r="S10" s="4312"/>
      <c r="T10" s="4312"/>
      <c r="U10" s="4312"/>
      <c r="V10" s="4312"/>
      <c r="W10" s="4312"/>
      <c r="X10" s="4312"/>
      <c r="Y10" s="4312"/>
      <c r="Z10" s="4312"/>
      <c r="AA10" s="4312"/>
      <c r="AB10" s="4312"/>
      <c r="AC10" s="4312"/>
      <c r="AD10" s="4312"/>
      <c r="AE10" s="4312"/>
      <c r="AF10" s="4312"/>
      <c r="AG10" s="4312"/>
      <c r="AH10" s="4312"/>
      <c r="AI10" s="4312"/>
      <c r="AJ10" s="4312"/>
      <c r="AK10" s="4312"/>
      <c r="AL10" s="4312"/>
      <c r="AM10" s="4312"/>
      <c r="AN10" s="4312"/>
      <c r="AO10" s="4312"/>
      <c r="AP10" s="4312"/>
      <c r="AQ10" s="4313"/>
      <c r="AR10" s="582"/>
      <c r="AS10" s="582"/>
      <c r="AT10" s="591"/>
      <c r="AU10" s="591"/>
      <c r="AV10" s="591"/>
      <c r="AW10" s="591"/>
      <c r="AX10" s="591"/>
      <c r="AY10" s="591"/>
      <c r="AZ10" s="591"/>
      <c r="BA10" s="591"/>
      <c r="BB10" s="591"/>
      <c r="BC10" s="591"/>
      <c r="BD10" s="591"/>
      <c r="BE10" s="591"/>
      <c r="BF10" s="591"/>
      <c r="BG10" s="591"/>
      <c r="BH10" s="591"/>
      <c r="BI10" s="591"/>
      <c r="BJ10" s="591"/>
      <c r="BK10" s="591"/>
      <c r="BL10" s="591"/>
    </row>
    <row r="11" spans="1:64" s="45" customFormat="1" ht="17.100000000000001" customHeight="1">
      <c r="A11" s="591"/>
      <c r="B11" s="628"/>
      <c r="C11" s="621"/>
      <c r="D11" s="4311" t="b">
        <v>1</v>
      </c>
      <c r="E11" s="4312" t="s">
        <v>1007</v>
      </c>
      <c r="F11" s="4312"/>
      <c r="G11" s="4312"/>
      <c r="H11" s="4312"/>
      <c r="I11" s="4312"/>
      <c r="J11" s="4312"/>
      <c r="K11" s="4312"/>
      <c r="L11" s="4312"/>
      <c r="M11" s="4312"/>
      <c r="N11" s="4312"/>
      <c r="O11" s="4312"/>
      <c r="P11" s="4312"/>
      <c r="Q11" s="4312"/>
      <c r="R11" s="4312"/>
      <c r="S11" s="4312"/>
      <c r="T11" s="4312"/>
      <c r="U11" s="4312"/>
      <c r="V11" s="4312"/>
      <c r="W11" s="4312"/>
      <c r="X11" s="4312"/>
      <c r="Y11" s="4312"/>
      <c r="Z11" s="4312"/>
      <c r="AA11" s="4312"/>
      <c r="AB11" s="4312"/>
      <c r="AC11" s="4312"/>
      <c r="AD11" s="4312"/>
      <c r="AE11" s="4312"/>
      <c r="AF11" s="4312"/>
      <c r="AG11" s="4312"/>
      <c r="AH11" s="4312"/>
      <c r="AI11" s="4312"/>
      <c r="AJ11" s="4312"/>
      <c r="AK11" s="4312"/>
      <c r="AL11" s="4312"/>
      <c r="AM11" s="4312"/>
      <c r="AN11" s="4312"/>
      <c r="AO11" s="4312"/>
      <c r="AP11" s="4312"/>
      <c r="AQ11" s="4313"/>
      <c r="AR11" s="582"/>
      <c r="AS11" s="582"/>
      <c r="AT11" s="591"/>
      <c r="AU11" s="591"/>
      <c r="AV11" s="591"/>
      <c r="AW11" s="591"/>
      <c r="AX11" s="591"/>
      <c r="AY11" s="591"/>
      <c r="AZ11" s="591"/>
      <c r="BA11" s="591"/>
      <c r="BB11" s="591"/>
      <c r="BC11" s="591"/>
      <c r="BD11" s="591"/>
      <c r="BE11" s="591"/>
      <c r="BF11" s="591"/>
      <c r="BG11" s="591"/>
      <c r="BH11" s="591"/>
      <c r="BI11" s="591"/>
      <c r="BJ11" s="591"/>
      <c r="BK11" s="591"/>
      <c r="BL11" s="591"/>
    </row>
    <row r="12" spans="1:64" s="45" customFormat="1" ht="17.100000000000001" customHeight="1">
      <c r="A12" s="591"/>
      <c r="B12" s="628"/>
      <c r="C12" s="621"/>
      <c r="D12" s="4311"/>
      <c r="E12" s="4312"/>
      <c r="F12" s="4312"/>
      <c r="G12" s="4312"/>
      <c r="H12" s="4312"/>
      <c r="I12" s="4312"/>
      <c r="J12" s="4312"/>
      <c r="K12" s="4312"/>
      <c r="L12" s="4312"/>
      <c r="M12" s="4312"/>
      <c r="N12" s="4312"/>
      <c r="O12" s="4312"/>
      <c r="P12" s="4312"/>
      <c r="Q12" s="4312"/>
      <c r="R12" s="4312"/>
      <c r="S12" s="4312"/>
      <c r="T12" s="4312"/>
      <c r="U12" s="4312"/>
      <c r="V12" s="4312"/>
      <c r="W12" s="4312"/>
      <c r="X12" s="4312"/>
      <c r="Y12" s="4312"/>
      <c r="Z12" s="4312"/>
      <c r="AA12" s="4312"/>
      <c r="AB12" s="4312"/>
      <c r="AC12" s="4312"/>
      <c r="AD12" s="4312"/>
      <c r="AE12" s="4312"/>
      <c r="AF12" s="4312"/>
      <c r="AG12" s="4312"/>
      <c r="AH12" s="4312"/>
      <c r="AI12" s="4312"/>
      <c r="AJ12" s="4312"/>
      <c r="AK12" s="4312"/>
      <c r="AL12" s="4312"/>
      <c r="AM12" s="4312"/>
      <c r="AN12" s="4312"/>
      <c r="AO12" s="4312"/>
      <c r="AP12" s="4312"/>
      <c r="AQ12" s="4313"/>
      <c r="AR12" s="582"/>
      <c r="AS12" s="582"/>
      <c r="AT12" s="591"/>
      <c r="AU12" s="591"/>
      <c r="AV12" s="591"/>
      <c r="AW12" s="591"/>
      <c r="AX12" s="591"/>
      <c r="AY12" s="591"/>
      <c r="AZ12" s="591"/>
      <c r="BA12" s="591"/>
      <c r="BB12" s="591"/>
      <c r="BC12" s="591"/>
      <c r="BD12" s="591"/>
      <c r="BE12" s="591"/>
      <c r="BF12" s="591"/>
      <c r="BG12" s="591"/>
      <c r="BH12" s="591"/>
      <c r="BI12" s="591"/>
      <c r="BJ12" s="591"/>
      <c r="BK12" s="591"/>
      <c r="BL12" s="591"/>
    </row>
    <row r="13" spans="1:64" ht="9.9499999999999993" customHeight="1">
      <c r="A13" s="434"/>
      <c r="B13" s="988"/>
      <c r="C13" s="434"/>
      <c r="D13" s="434"/>
      <c r="E13" s="1049"/>
      <c r="F13" s="612"/>
      <c r="G13" s="612"/>
      <c r="H13" s="612"/>
      <c r="I13" s="612"/>
      <c r="J13" s="612"/>
      <c r="K13" s="612"/>
      <c r="L13" s="612"/>
      <c r="M13" s="1642"/>
      <c r="N13" s="434"/>
      <c r="O13" s="1642"/>
      <c r="P13" s="960"/>
      <c r="Q13" s="593"/>
      <c r="R13" s="434"/>
      <c r="S13" s="434"/>
      <c r="T13" s="1642"/>
      <c r="U13" s="960"/>
      <c r="V13" s="593"/>
      <c r="W13" s="593"/>
      <c r="X13" s="593"/>
      <c r="Y13" s="593"/>
      <c r="Z13" s="593"/>
      <c r="AA13" s="434"/>
      <c r="AB13" s="1642"/>
      <c r="AC13" s="1642"/>
      <c r="AD13" s="1642"/>
      <c r="AE13" s="1642"/>
      <c r="AF13" s="1642"/>
      <c r="AG13" s="1642"/>
      <c r="AH13" s="1642"/>
      <c r="AI13" s="1642"/>
      <c r="AJ13" s="434"/>
      <c r="AK13" s="434"/>
      <c r="AL13" s="434"/>
      <c r="AM13" s="434"/>
      <c r="AN13" s="434"/>
      <c r="AO13" s="434"/>
      <c r="AP13" s="434"/>
      <c r="AQ13" s="997"/>
      <c r="AR13" s="434"/>
      <c r="AS13" s="434"/>
      <c r="AT13" s="434"/>
      <c r="AU13" s="434"/>
      <c r="AV13" s="434"/>
      <c r="AW13" s="434"/>
      <c r="AX13" s="434"/>
      <c r="AY13" s="434"/>
      <c r="AZ13" s="434"/>
      <c r="BA13" s="434"/>
      <c r="BB13" s="434"/>
      <c r="BC13" s="434"/>
      <c r="BD13" s="434"/>
      <c r="BE13" s="434"/>
      <c r="BF13" s="434"/>
      <c r="BG13" s="434"/>
      <c r="BH13" s="434"/>
      <c r="BI13" s="434"/>
      <c r="BJ13" s="434"/>
      <c r="BK13" s="434"/>
      <c r="BL13" s="434"/>
    </row>
    <row r="14" spans="1:64">
      <c r="A14" s="434"/>
      <c r="B14" s="988"/>
      <c r="C14" s="1048" t="s">
        <v>48</v>
      </c>
      <c r="D14" s="989" t="s">
        <v>1020</v>
      </c>
      <c r="E14" s="434"/>
      <c r="F14" s="998"/>
      <c r="G14" s="998"/>
      <c r="H14" s="998"/>
      <c r="I14" s="998"/>
      <c r="J14" s="998"/>
      <c r="K14" s="998"/>
      <c r="L14" s="998"/>
      <c r="M14" s="1642"/>
      <c r="N14" s="593"/>
      <c r="O14" s="593"/>
      <c r="P14" s="593"/>
      <c r="Q14" s="593"/>
      <c r="R14" s="593"/>
      <c r="S14" s="1643"/>
      <c r="T14" s="1642"/>
      <c r="U14" s="1642"/>
      <c r="V14" s="1642"/>
      <c r="W14" s="1642"/>
      <c r="X14" s="1642"/>
      <c r="Y14" s="1642"/>
      <c r="Z14" s="593"/>
      <c r="AA14" s="593"/>
      <c r="AB14" s="593"/>
      <c r="AC14" s="593"/>
      <c r="AD14" s="593"/>
      <c r="AE14" s="593"/>
      <c r="AF14" s="593"/>
      <c r="AG14" s="593"/>
      <c r="AH14" s="593"/>
      <c r="AI14" s="593"/>
      <c r="AJ14" s="434"/>
      <c r="AK14" s="434"/>
      <c r="AL14" s="434"/>
      <c r="AM14" s="434"/>
      <c r="AN14" s="434"/>
      <c r="AO14" s="998"/>
      <c r="AP14" s="998"/>
      <c r="AQ14" s="1644"/>
      <c r="AR14" s="593"/>
      <c r="AS14" s="593"/>
      <c r="AT14" s="434"/>
      <c r="AU14" s="434"/>
      <c r="AV14" s="434"/>
      <c r="AW14" s="434"/>
      <c r="AX14" s="434"/>
      <c r="AY14" s="434"/>
      <c r="AZ14" s="434"/>
      <c r="BA14" s="434"/>
      <c r="BB14" s="434"/>
      <c r="BC14" s="434"/>
      <c r="BD14" s="434"/>
      <c r="BE14" s="434"/>
      <c r="BF14" s="434"/>
      <c r="BG14" s="434"/>
      <c r="BH14" s="434"/>
      <c r="BI14" s="434"/>
      <c r="BJ14" s="434"/>
      <c r="BK14" s="434"/>
      <c r="BL14" s="434"/>
    </row>
    <row r="15" spans="1:64" ht="6" customHeight="1">
      <c r="A15" s="434"/>
      <c r="B15" s="988"/>
      <c r="C15" s="434"/>
      <c r="D15" s="434"/>
      <c r="E15" s="1049"/>
      <c r="F15" s="612"/>
      <c r="G15" s="612"/>
      <c r="H15" s="612"/>
      <c r="I15" s="612"/>
      <c r="J15" s="612"/>
      <c r="K15" s="612"/>
      <c r="L15" s="612"/>
      <c r="M15" s="1642"/>
      <c r="N15" s="434"/>
      <c r="O15" s="1642"/>
      <c r="P15" s="960"/>
      <c r="Q15" s="593"/>
      <c r="R15" s="434"/>
      <c r="S15" s="434"/>
      <c r="T15" s="1642"/>
      <c r="U15" s="960"/>
      <c r="V15" s="593"/>
      <c r="W15" s="593"/>
      <c r="X15" s="593"/>
      <c r="Y15" s="593"/>
      <c r="Z15" s="593"/>
      <c r="AA15" s="593"/>
      <c r="AB15" s="434"/>
      <c r="AC15" s="1642"/>
      <c r="AD15" s="1642"/>
      <c r="AE15" s="1642"/>
      <c r="AF15" s="1642"/>
      <c r="AG15" s="1642"/>
      <c r="AH15" s="1642"/>
      <c r="AI15" s="1642"/>
      <c r="AJ15" s="434"/>
      <c r="AK15" s="434"/>
      <c r="AL15" s="434"/>
      <c r="AM15" s="434"/>
      <c r="AN15" s="434"/>
      <c r="AO15" s="612"/>
      <c r="AP15" s="612"/>
      <c r="AQ15" s="1644"/>
      <c r="AR15" s="434"/>
      <c r="AS15" s="434"/>
      <c r="AT15" s="434"/>
      <c r="AU15" s="434"/>
      <c r="AV15" s="434"/>
      <c r="AW15" s="434"/>
      <c r="AX15" s="434"/>
      <c r="AY15" s="434"/>
      <c r="AZ15" s="434"/>
      <c r="BA15" s="434"/>
      <c r="BB15" s="434"/>
      <c r="BC15" s="434"/>
      <c r="BD15" s="434"/>
      <c r="BE15" s="434"/>
      <c r="BF15" s="434"/>
      <c r="BG15" s="434"/>
      <c r="BH15" s="434"/>
      <c r="BI15" s="434"/>
      <c r="BJ15" s="434"/>
      <c r="BK15" s="434"/>
      <c r="BL15" s="434"/>
    </row>
    <row r="16" spans="1:64">
      <c r="A16" s="434"/>
      <c r="B16" s="988"/>
      <c r="C16" s="434"/>
      <c r="D16" s="1048" t="s">
        <v>464</v>
      </c>
      <c r="E16" s="989" t="s">
        <v>1008</v>
      </c>
      <c r="F16" s="998"/>
      <c r="G16" s="998"/>
      <c r="H16" s="998"/>
      <c r="I16" s="998"/>
      <c r="J16" s="998"/>
      <c r="K16" s="998"/>
      <c r="L16" s="998"/>
      <c r="M16" s="1642"/>
      <c r="N16" s="593"/>
      <c r="O16" s="593"/>
      <c r="P16" s="593"/>
      <c r="Q16" s="593"/>
      <c r="R16" s="593"/>
      <c r="S16" s="1643"/>
      <c r="T16" s="1642"/>
      <c r="U16" s="1642"/>
      <c r="V16" s="1642"/>
      <c r="W16" s="1642"/>
      <c r="X16" s="1642"/>
      <c r="Y16" s="1642"/>
      <c r="Z16" s="593"/>
      <c r="AA16" s="593"/>
      <c r="AB16" s="593"/>
      <c r="AC16" s="593"/>
      <c r="AD16" s="593"/>
      <c r="AE16" s="593"/>
      <c r="AF16" s="593"/>
      <c r="AG16" s="593"/>
      <c r="AH16" s="593"/>
      <c r="AI16" s="593"/>
      <c r="AJ16" s="434"/>
      <c r="AK16" s="434"/>
      <c r="AL16" s="434"/>
      <c r="AM16" s="434"/>
      <c r="AN16" s="434"/>
      <c r="AO16" s="998"/>
      <c r="AP16" s="998"/>
      <c r="AQ16" s="1644"/>
      <c r="AR16" s="593"/>
      <c r="AS16" s="593"/>
      <c r="AT16" s="434"/>
      <c r="AU16" s="434"/>
      <c r="AV16" s="434"/>
      <c r="AW16" s="434"/>
      <c r="AX16" s="434"/>
      <c r="AY16" s="434"/>
      <c r="AZ16" s="434"/>
      <c r="BA16" s="434"/>
      <c r="BB16" s="434"/>
      <c r="BC16" s="434"/>
      <c r="BD16" s="434"/>
      <c r="BE16" s="434"/>
      <c r="BF16" s="434"/>
      <c r="BG16" s="434"/>
      <c r="BH16" s="434"/>
      <c r="BI16" s="434"/>
      <c r="BJ16" s="434"/>
      <c r="BK16" s="434"/>
      <c r="BL16" s="434"/>
    </row>
    <row r="17" spans="1:64" ht="6" customHeight="1" thickBot="1">
      <c r="A17" s="434"/>
      <c r="B17" s="988"/>
      <c r="C17" s="434"/>
      <c r="D17" s="434"/>
      <c r="E17" s="1049"/>
      <c r="F17" s="612"/>
      <c r="G17" s="612"/>
      <c r="H17" s="612"/>
      <c r="I17" s="612"/>
      <c r="J17" s="612"/>
      <c r="K17" s="612"/>
      <c r="L17" s="612"/>
      <c r="M17" s="1642"/>
      <c r="N17" s="434"/>
      <c r="O17" s="1642"/>
      <c r="P17" s="960"/>
      <c r="Q17" s="593"/>
      <c r="R17" s="434"/>
      <c r="S17" s="434"/>
      <c r="T17" s="1642"/>
      <c r="U17" s="960"/>
      <c r="V17" s="593"/>
      <c r="W17" s="593"/>
      <c r="X17" s="593"/>
      <c r="Y17" s="593"/>
      <c r="Z17" s="593"/>
      <c r="AA17" s="593"/>
      <c r="AB17" s="434"/>
      <c r="AC17" s="1642"/>
      <c r="AD17" s="1642"/>
      <c r="AE17" s="1642"/>
      <c r="AF17" s="1642"/>
      <c r="AG17" s="1642"/>
      <c r="AH17" s="1642"/>
      <c r="AI17" s="1642"/>
      <c r="AJ17" s="434"/>
      <c r="AK17" s="434"/>
      <c r="AL17" s="434"/>
      <c r="AM17" s="434"/>
      <c r="AN17" s="434"/>
      <c r="AO17" s="612"/>
      <c r="AP17" s="612"/>
      <c r="AQ17" s="1644"/>
      <c r="AR17" s="434"/>
      <c r="AS17" s="434"/>
      <c r="AT17" s="434"/>
      <c r="AU17" s="434"/>
      <c r="AV17" s="434"/>
      <c r="AW17" s="434"/>
      <c r="AX17" s="434"/>
      <c r="AY17" s="434"/>
      <c r="AZ17" s="434"/>
      <c r="BA17" s="434"/>
      <c r="BB17" s="434"/>
      <c r="BC17" s="434"/>
      <c r="BD17" s="434"/>
      <c r="BE17" s="434"/>
      <c r="BF17" s="434"/>
      <c r="BG17" s="434"/>
      <c r="BH17" s="434"/>
      <c r="BI17" s="434"/>
      <c r="BJ17" s="434"/>
      <c r="BK17" s="434"/>
      <c r="BL17" s="434"/>
    </row>
    <row r="18" spans="1:64" s="6" customFormat="1" ht="15.6" customHeight="1" thickBot="1">
      <c r="A18" s="619"/>
      <c r="B18" s="1645"/>
      <c r="C18" s="619"/>
      <c r="D18" s="619"/>
      <c r="E18" s="3236" t="s">
        <v>1009</v>
      </c>
      <c r="F18" s="3237"/>
      <c r="G18" s="3237"/>
      <c r="H18" s="3237"/>
      <c r="I18" s="3237"/>
      <c r="J18" s="3237"/>
      <c r="K18" s="3237"/>
      <c r="L18" s="3237"/>
      <c r="M18" s="3237"/>
      <c r="N18" s="3238"/>
      <c r="O18" s="3359" t="s">
        <v>282</v>
      </c>
      <c r="P18" s="3360"/>
      <c r="Q18" s="3360"/>
      <c r="R18" s="3360"/>
      <c r="S18" s="3360"/>
      <c r="T18" s="3360"/>
      <c r="U18" s="3360"/>
      <c r="V18" s="3360"/>
      <c r="W18" s="3360"/>
      <c r="X18" s="3360"/>
      <c r="Y18" s="3360"/>
      <c r="Z18" s="3360"/>
      <c r="AA18" s="3360"/>
      <c r="AB18" s="3360"/>
      <c r="AC18" s="3360"/>
      <c r="AD18" s="3360"/>
      <c r="AE18" s="3360"/>
      <c r="AF18" s="3361"/>
      <c r="AG18" s="1095"/>
      <c r="AH18" s="619"/>
      <c r="AI18" s="581"/>
      <c r="AJ18" s="619"/>
      <c r="AK18" s="619"/>
      <c r="AL18" s="619"/>
      <c r="AM18" s="619"/>
      <c r="AN18" s="619"/>
      <c r="AO18" s="619"/>
      <c r="AP18" s="619"/>
      <c r="AQ18" s="1646"/>
      <c r="AR18" s="619"/>
      <c r="AS18" s="619"/>
      <c r="AT18" s="581"/>
      <c r="AU18" s="619"/>
      <c r="AV18" s="619"/>
      <c r="AW18" s="619"/>
      <c r="AX18" s="619"/>
      <c r="AY18" s="619"/>
      <c r="AZ18" s="619"/>
      <c r="BA18" s="619"/>
      <c r="BB18" s="619"/>
      <c r="BC18" s="619"/>
      <c r="BD18" s="619"/>
      <c r="BE18" s="619"/>
      <c r="BF18" s="619"/>
      <c r="BG18" s="619"/>
      <c r="BH18" s="619"/>
      <c r="BI18" s="619"/>
      <c r="BJ18" s="619"/>
      <c r="BK18" s="619"/>
      <c r="BL18" s="619"/>
    </row>
    <row r="19" spans="1:64" s="6" customFormat="1" ht="33.950000000000003" customHeight="1">
      <c r="A19" s="619"/>
      <c r="B19" s="1645"/>
      <c r="C19" s="619"/>
      <c r="D19" s="619"/>
      <c r="E19" s="4317"/>
      <c r="F19" s="4318"/>
      <c r="G19" s="4318"/>
      <c r="H19" s="4318"/>
      <c r="I19" s="4318"/>
      <c r="J19" s="4318"/>
      <c r="K19" s="4318"/>
      <c r="L19" s="4318"/>
      <c r="M19" s="4318"/>
      <c r="N19" s="4319"/>
      <c r="O19" s="4320" t="s">
        <v>43</v>
      </c>
      <c r="P19" s="4321"/>
      <c r="Q19" s="4321"/>
      <c r="R19" s="4321"/>
      <c r="S19" s="4321"/>
      <c r="T19" s="4322"/>
      <c r="U19" s="4320" t="s">
        <v>44</v>
      </c>
      <c r="V19" s="4321"/>
      <c r="W19" s="4321"/>
      <c r="X19" s="4321"/>
      <c r="Y19" s="4321"/>
      <c r="Z19" s="4323"/>
      <c r="AA19" s="4324" t="s">
        <v>579</v>
      </c>
      <c r="AB19" s="4321"/>
      <c r="AC19" s="4321"/>
      <c r="AD19" s="4321"/>
      <c r="AE19" s="4321"/>
      <c r="AF19" s="4321"/>
      <c r="AG19" s="1095"/>
      <c r="AH19" s="619"/>
      <c r="AI19" s="581"/>
      <c r="AJ19" s="619"/>
      <c r="AK19" s="619"/>
      <c r="AL19" s="619"/>
      <c r="AM19" s="619"/>
      <c r="AN19" s="619"/>
      <c r="AO19" s="619"/>
      <c r="AP19" s="619"/>
      <c r="AQ19" s="1646"/>
      <c r="AR19" s="619"/>
      <c r="AS19" s="619"/>
      <c r="AT19" s="581"/>
      <c r="AU19" s="619"/>
      <c r="AV19" s="619"/>
      <c r="AW19" s="619"/>
      <c r="AX19" s="619"/>
      <c r="AY19" s="619"/>
      <c r="AZ19" s="619"/>
      <c r="BA19" s="619"/>
      <c r="BB19" s="619"/>
      <c r="BC19" s="619"/>
      <c r="BD19" s="619"/>
      <c r="BE19" s="619"/>
      <c r="BF19" s="619"/>
      <c r="BG19" s="619"/>
      <c r="BH19" s="619"/>
      <c r="BI19" s="619"/>
      <c r="BJ19" s="619"/>
      <c r="BK19" s="619"/>
      <c r="BL19" s="619"/>
    </row>
    <row r="20" spans="1:64" s="6" customFormat="1" ht="15.95" customHeight="1" thickBot="1">
      <c r="A20" s="619"/>
      <c r="B20" s="1645"/>
      <c r="C20" s="619"/>
      <c r="D20" s="619"/>
      <c r="E20" s="3239"/>
      <c r="F20" s="3240"/>
      <c r="G20" s="3240"/>
      <c r="H20" s="3240"/>
      <c r="I20" s="3240"/>
      <c r="J20" s="3240"/>
      <c r="K20" s="3240"/>
      <c r="L20" s="3240"/>
      <c r="M20" s="3240"/>
      <c r="N20" s="3241"/>
      <c r="O20" s="3299" t="s">
        <v>45</v>
      </c>
      <c r="P20" s="3297"/>
      <c r="Q20" s="3297"/>
      <c r="R20" s="3295" t="s">
        <v>46</v>
      </c>
      <c r="S20" s="3297"/>
      <c r="T20" s="3298"/>
      <c r="U20" s="3260" t="s">
        <v>45</v>
      </c>
      <c r="V20" s="3261"/>
      <c r="W20" s="4270"/>
      <c r="X20" s="3297" t="s">
        <v>46</v>
      </c>
      <c r="Y20" s="3297"/>
      <c r="Z20" s="3298"/>
      <c r="AA20" s="4269" t="s">
        <v>45</v>
      </c>
      <c r="AB20" s="3261"/>
      <c r="AC20" s="4270"/>
      <c r="AD20" s="3297" t="s">
        <v>46</v>
      </c>
      <c r="AE20" s="3297"/>
      <c r="AF20" s="3297"/>
      <c r="AG20" s="1095"/>
      <c r="AH20" s="619"/>
      <c r="AI20" s="581"/>
      <c r="AJ20" s="619"/>
      <c r="AK20" s="619"/>
      <c r="AL20" s="619"/>
      <c r="AM20" s="619"/>
      <c r="AN20" s="619"/>
      <c r="AO20" s="619"/>
      <c r="AP20" s="619"/>
      <c r="AQ20" s="1646"/>
      <c r="AR20" s="619"/>
      <c r="AS20" s="619"/>
      <c r="AT20" s="581"/>
      <c r="AU20" s="619"/>
      <c r="AV20" s="619"/>
      <c r="AW20" s="619"/>
      <c r="AX20" s="619"/>
      <c r="AY20" s="619"/>
      <c r="AZ20" s="619"/>
      <c r="BA20" s="619"/>
      <c r="BB20" s="619"/>
      <c r="BC20" s="619"/>
      <c r="BD20" s="619"/>
      <c r="BE20" s="619"/>
      <c r="BF20" s="619"/>
      <c r="BG20" s="619"/>
      <c r="BH20" s="619"/>
      <c r="BI20" s="619"/>
      <c r="BJ20" s="619"/>
      <c r="BK20" s="619"/>
      <c r="BL20" s="619"/>
    </row>
    <row r="21" spans="1:64" s="45" customFormat="1" ht="30" customHeight="1">
      <c r="A21" s="591"/>
      <c r="B21" s="628"/>
      <c r="C21" s="591"/>
      <c r="D21" s="591"/>
      <c r="E21" s="3416" t="s">
        <v>1084</v>
      </c>
      <c r="F21" s="3417"/>
      <c r="G21" s="3417"/>
      <c r="H21" s="3417"/>
      <c r="I21" s="3417"/>
      <c r="J21" s="3417"/>
      <c r="K21" s="3417"/>
      <c r="L21" s="3417"/>
      <c r="M21" s="3417"/>
      <c r="N21" s="3418"/>
      <c r="O21" s="3355">
        <v>2</v>
      </c>
      <c r="P21" s="3356"/>
      <c r="Q21" s="3356"/>
      <c r="R21" s="4325">
        <v>4</v>
      </c>
      <c r="S21" s="3356"/>
      <c r="T21" s="3357"/>
      <c r="U21" s="3355">
        <v>1</v>
      </c>
      <c r="V21" s="3356"/>
      <c r="W21" s="4326"/>
      <c r="X21" s="3356">
        <v>6</v>
      </c>
      <c r="Y21" s="3356"/>
      <c r="Z21" s="3357"/>
      <c r="AA21" s="4314">
        <f>+num_teachers_reside_withinschmun_g11_m+num_teachers_reside_withinschmun_g12_m</f>
        <v>3</v>
      </c>
      <c r="AB21" s="4315"/>
      <c r="AC21" s="4316"/>
      <c r="AD21" s="4315">
        <f>+num_teachers_reside_withinschmun_g11_f+num_teachers_reside_withinschmun_g12_f</f>
        <v>10</v>
      </c>
      <c r="AE21" s="4315"/>
      <c r="AF21" s="4315"/>
      <c r="AG21" s="1050"/>
      <c r="AH21" s="591"/>
      <c r="AI21" s="1073"/>
      <c r="AJ21" s="591"/>
      <c r="AK21" s="591"/>
      <c r="AL21" s="591"/>
      <c r="AM21" s="591"/>
      <c r="AN21" s="591"/>
      <c r="AO21" s="591"/>
      <c r="AP21" s="591"/>
      <c r="AQ21" s="632"/>
      <c r="AR21" s="591"/>
      <c r="AS21" s="591"/>
      <c r="AT21" s="1073"/>
      <c r="AU21" s="591"/>
      <c r="AV21" s="591"/>
      <c r="AW21" s="591"/>
      <c r="AX21" s="591"/>
      <c r="AY21" s="591"/>
      <c r="AZ21" s="591"/>
      <c r="BA21" s="591"/>
      <c r="BB21" s="591"/>
      <c r="BC21" s="591"/>
      <c r="BD21" s="591"/>
      <c r="BE21" s="591"/>
      <c r="BF21" s="591"/>
      <c r="BG21" s="591"/>
      <c r="BH21" s="591"/>
      <c r="BI21" s="591"/>
      <c r="BJ21" s="591"/>
      <c r="BK21" s="591"/>
      <c r="BL21" s="591"/>
    </row>
    <row r="22" spans="1:64" s="45" customFormat="1" ht="30" customHeight="1" thickBot="1">
      <c r="A22" s="591"/>
      <c r="B22" s="628"/>
      <c r="C22" s="591"/>
      <c r="D22" s="591"/>
      <c r="E22" s="4301" t="s">
        <v>1085</v>
      </c>
      <c r="F22" s="4302"/>
      <c r="G22" s="4302"/>
      <c r="H22" s="4302"/>
      <c r="I22" s="4302"/>
      <c r="J22" s="4302"/>
      <c r="K22" s="4302"/>
      <c r="L22" s="4302"/>
      <c r="M22" s="4302"/>
      <c r="N22" s="4303"/>
      <c r="O22" s="4304">
        <v>5</v>
      </c>
      <c r="P22" s="4305"/>
      <c r="Q22" s="4305"/>
      <c r="R22" s="4306">
        <v>4</v>
      </c>
      <c r="S22" s="4305"/>
      <c r="T22" s="4307"/>
      <c r="U22" s="4304">
        <v>3</v>
      </c>
      <c r="V22" s="4305"/>
      <c r="W22" s="4308"/>
      <c r="X22" s="4305">
        <v>4</v>
      </c>
      <c r="Y22" s="4305"/>
      <c r="Z22" s="4307"/>
      <c r="AA22" s="4309">
        <f>+num_teachers_reside_outsideschmun_g11_m+num_teachers_reside_outsideschmun_g12_m</f>
        <v>8</v>
      </c>
      <c r="AB22" s="4291"/>
      <c r="AC22" s="4310"/>
      <c r="AD22" s="4291">
        <f>+num_teachers_reside_outsideschmun_g11_f+num_teachers_reside_outsideschmun_g12_f</f>
        <v>8</v>
      </c>
      <c r="AE22" s="4291"/>
      <c r="AF22" s="4291"/>
      <c r="AG22" s="1050"/>
      <c r="AH22" s="591"/>
      <c r="AI22" s="1073"/>
      <c r="AJ22" s="591"/>
      <c r="AK22" s="591"/>
      <c r="AL22" s="591"/>
      <c r="AM22" s="591"/>
      <c r="AN22" s="591"/>
      <c r="AO22" s="591"/>
      <c r="AP22" s="591"/>
      <c r="AQ22" s="632"/>
      <c r="AR22" s="591"/>
      <c r="AS22" s="591"/>
      <c r="AT22" s="1073"/>
      <c r="AU22" s="591"/>
      <c r="AV22" s="591"/>
      <c r="AW22" s="591"/>
      <c r="AX22" s="591"/>
      <c r="AY22" s="591"/>
      <c r="AZ22" s="591"/>
      <c r="BA22" s="591"/>
      <c r="BB22" s="591"/>
      <c r="BC22" s="591"/>
      <c r="BD22" s="591"/>
      <c r="BE22" s="591"/>
      <c r="BF22" s="591"/>
      <c r="BG22" s="591"/>
      <c r="BH22" s="591"/>
      <c r="BI22" s="591"/>
      <c r="BJ22" s="591"/>
      <c r="BK22" s="591"/>
      <c r="BL22" s="591"/>
    </row>
    <row r="23" spans="1:64" s="45" customFormat="1" ht="24.95" customHeight="1" thickTop="1" thickBot="1">
      <c r="A23" s="591"/>
      <c r="B23" s="628"/>
      <c r="C23" s="591"/>
      <c r="D23" s="591"/>
      <c r="E23" s="4292" t="s">
        <v>42</v>
      </c>
      <c r="F23" s="4293"/>
      <c r="G23" s="4293"/>
      <c r="H23" s="4293"/>
      <c r="I23" s="4293"/>
      <c r="J23" s="4293"/>
      <c r="K23" s="4293"/>
      <c r="L23" s="4293"/>
      <c r="M23" s="4293"/>
      <c r="N23" s="4294"/>
      <c r="O23" s="4295">
        <f>SUM(O21:Q22)</f>
        <v>7</v>
      </c>
      <c r="P23" s="4296"/>
      <c r="Q23" s="4296"/>
      <c r="R23" s="4297">
        <f>SUM(R21:T22)</f>
        <v>8</v>
      </c>
      <c r="S23" s="4296"/>
      <c r="T23" s="4298"/>
      <c r="U23" s="4295">
        <f>SUM(U21:W22)</f>
        <v>4</v>
      </c>
      <c r="V23" s="4296"/>
      <c r="W23" s="4299"/>
      <c r="X23" s="4296">
        <f>SUM(X21:Z22)</f>
        <v>10</v>
      </c>
      <c r="Y23" s="4296"/>
      <c r="Z23" s="4298"/>
      <c r="AA23" s="4300">
        <f>SUM(AA21:AC22)</f>
        <v>11</v>
      </c>
      <c r="AB23" s="4296"/>
      <c r="AC23" s="4299"/>
      <c r="AD23" s="4296">
        <f>SUM(AD21:AF22)</f>
        <v>18</v>
      </c>
      <c r="AE23" s="4296"/>
      <c r="AF23" s="4296"/>
      <c r="AG23" s="1050"/>
      <c r="AH23" s="591"/>
      <c r="AI23" s="1073"/>
      <c r="AJ23" s="591"/>
      <c r="AK23" s="591"/>
      <c r="AL23" s="591"/>
      <c r="AM23" s="591"/>
      <c r="AN23" s="591"/>
      <c r="AO23" s="591"/>
      <c r="AP23" s="591"/>
      <c r="AQ23" s="632"/>
      <c r="AR23" s="591"/>
      <c r="AS23" s="591"/>
      <c r="AT23" s="1073"/>
      <c r="AU23" s="591"/>
      <c r="AV23" s="591"/>
      <c r="AW23" s="591"/>
      <c r="AX23" s="591"/>
      <c r="AY23" s="591"/>
      <c r="AZ23" s="591"/>
      <c r="BA23" s="591"/>
      <c r="BB23" s="591"/>
      <c r="BC23" s="591"/>
      <c r="BD23" s="591"/>
      <c r="BE23" s="591"/>
      <c r="BF23" s="591"/>
      <c r="BG23" s="591"/>
      <c r="BH23" s="591"/>
      <c r="BI23" s="591"/>
      <c r="BJ23" s="591"/>
      <c r="BK23" s="591"/>
      <c r="BL23" s="591"/>
    </row>
    <row r="24" spans="1:64" ht="9.9499999999999993" customHeight="1">
      <c r="A24" s="434"/>
      <c r="B24" s="988"/>
      <c r="C24" s="434"/>
      <c r="D24" s="434"/>
      <c r="E24" s="1049"/>
      <c r="F24" s="612"/>
      <c r="G24" s="612"/>
      <c r="H24" s="612"/>
      <c r="I24" s="612"/>
      <c r="J24" s="612"/>
      <c r="K24" s="612"/>
      <c r="L24" s="612"/>
      <c r="M24" s="1642"/>
      <c r="N24" s="434"/>
      <c r="O24" s="1642"/>
      <c r="P24" s="960"/>
      <c r="Q24" s="593"/>
      <c r="R24" s="434"/>
      <c r="S24" s="434"/>
      <c r="T24" s="1642"/>
      <c r="U24" s="960"/>
      <c r="V24" s="593"/>
      <c r="W24" s="593"/>
      <c r="X24" s="593"/>
      <c r="Y24" s="593"/>
      <c r="Z24" s="593"/>
      <c r="AA24" s="434"/>
      <c r="AB24" s="1642"/>
      <c r="AC24" s="1642"/>
      <c r="AD24" s="1642"/>
      <c r="AE24" s="1642"/>
      <c r="AF24" s="1642"/>
      <c r="AG24" s="1642"/>
      <c r="AH24" s="1642"/>
      <c r="AI24" s="1642"/>
      <c r="AJ24" s="434"/>
      <c r="AK24" s="434"/>
      <c r="AL24" s="434"/>
      <c r="AM24" s="434"/>
      <c r="AN24" s="434"/>
      <c r="AO24" s="434"/>
      <c r="AP24" s="434"/>
      <c r="AQ24" s="997"/>
      <c r="AR24" s="434"/>
      <c r="AS24" s="434"/>
      <c r="AT24" s="434"/>
      <c r="AU24" s="434"/>
      <c r="AV24" s="434"/>
      <c r="AW24" s="434"/>
      <c r="AX24" s="434"/>
      <c r="AY24" s="434"/>
      <c r="AZ24" s="434"/>
      <c r="BA24" s="434"/>
      <c r="BB24" s="434"/>
      <c r="BC24" s="434"/>
      <c r="BD24" s="434"/>
      <c r="BE24" s="434"/>
      <c r="BF24" s="434"/>
      <c r="BG24" s="434"/>
      <c r="BH24" s="434"/>
      <c r="BI24" s="434"/>
      <c r="BJ24" s="434"/>
      <c r="BK24" s="434"/>
      <c r="BL24" s="434"/>
    </row>
    <row r="25" spans="1:64" ht="17.100000000000001" customHeight="1">
      <c r="A25" s="434"/>
      <c r="B25" s="988"/>
      <c r="C25" s="434"/>
      <c r="D25" s="638" t="s">
        <v>465</v>
      </c>
      <c r="E25" s="4290" t="s">
        <v>1010</v>
      </c>
      <c r="F25" s="4290"/>
      <c r="G25" s="4290"/>
      <c r="H25" s="4290"/>
      <c r="I25" s="4290"/>
      <c r="J25" s="4290"/>
      <c r="K25" s="4290"/>
      <c r="L25" s="4290"/>
      <c r="M25" s="4290"/>
      <c r="N25" s="4290"/>
      <c r="O25" s="4290"/>
      <c r="P25" s="4290"/>
      <c r="Q25" s="4290"/>
      <c r="R25" s="4290"/>
      <c r="S25" s="4290"/>
      <c r="T25" s="4290"/>
      <c r="U25" s="4290"/>
      <c r="V25" s="4290"/>
      <c r="W25" s="4290"/>
      <c r="X25" s="4290"/>
      <c r="Y25" s="4290"/>
      <c r="Z25" s="4290"/>
      <c r="AA25" s="4290"/>
      <c r="AB25" s="4290"/>
      <c r="AC25" s="4290"/>
      <c r="AD25" s="4290"/>
      <c r="AE25" s="4290"/>
      <c r="AF25" s="4290"/>
      <c r="AG25" s="593"/>
      <c r="AH25" s="434"/>
      <c r="AI25" s="434"/>
      <c r="AJ25" s="4228" t="b">
        <v>1</v>
      </c>
      <c r="AK25" s="2646" t="s">
        <v>484</v>
      </c>
      <c r="AL25" s="582"/>
      <c r="AM25" s="591"/>
      <c r="AN25" s="591"/>
      <c r="AO25" s="4228"/>
      <c r="AP25" s="2646" t="s">
        <v>485</v>
      </c>
      <c r="AQ25" s="997"/>
      <c r="AR25" s="434"/>
      <c r="AS25" s="434"/>
      <c r="AT25" s="434"/>
      <c r="AU25" s="434"/>
      <c r="AV25" s="434"/>
      <c r="AW25" s="434"/>
      <c r="AX25" s="434"/>
      <c r="AY25" s="434"/>
      <c r="AZ25" s="434"/>
      <c r="BA25" s="434"/>
      <c r="BB25" s="434"/>
      <c r="BC25" s="434"/>
      <c r="BD25" s="434"/>
      <c r="BE25" s="434"/>
      <c r="BF25" s="434"/>
      <c r="BG25" s="434"/>
      <c r="BH25" s="434"/>
      <c r="BI25" s="434"/>
      <c r="BJ25" s="434"/>
      <c r="BK25" s="434"/>
      <c r="BL25" s="434"/>
    </row>
    <row r="26" spans="1:64" ht="20.100000000000001" customHeight="1">
      <c r="A26" s="434"/>
      <c r="B26" s="988"/>
      <c r="C26" s="638"/>
      <c r="D26" s="1647"/>
      <c r="E26" s="4290"/>
      <c r="F26" s="4290"/>
      <c r="G26" s="4290"/>
      <c r="H26" s="4290"/>
      <c r="I26" s="4290"/>
      <c r="J26" s="4290"/>
      <c r="K26" s="4290"/>
      <c r="L26" s="4290"/>
      <c r="M26" s="4290"/>
      <c r="N26" s="4290"/>
      <c r="O26" s="4290"/>
      <c r="P26" s="4290"/>
      <c r="Q26" s="4290"/>
      <c r="R26" s="4290"/>
      <c r="S26" s="4290"/>
      <c r="T26" s="4290"/>
      <c r="U26" s="4290"/>
      <c r="V26" s="4290"/>
      <c r="W26" s="4290"/>
      <c r="X26" s="4290"/>
      <c r="Y26" s="4290"/>
      <c r="Z26" s="4290"/>
      <c r="AA26" s="4290"/>
      <c r="AB26" s="4290"/>
      <c r="AC26" s="4290"/>
      <c r="AD26" s="4290"/>
      <c r="AE26" s="4290"/>
      <c r="AF26" s="4290"/>
      <c r="AG26" s="593"/>
      <c r="AH26" s="434"/>
      <c r="AI26" s="434"/>
      <c r="AJ26" s="4228"/>
      <c r="AK26" s="2646"/>
      <c r="AL26" s="582"/>
      <c r="AM26" s="591"/>
      <c r="AN26" s="591"/>
      <c r="AO26" s="4228"/>
      <c r="AP26" s="2646"/>
      <c r="AQ26" s="997"/>
      <c r="AR26" s="434"/>
      <c r="AS26" s="434"/>
      <c r="AT26" s="434"/>
      <c r="AU26" s="434"/>
      <c r="AV26" s="434"/>
      <c r="AW26" s="434"/>
      <c r="AX26" s="434"/>
      <c r="AY26" s="434"/>
      <c r="AZ26" s="434"/>
      <c r="BA26" s="434"/>
      <c r="BB26" s="434"/>
      <c r="BC26" s="434"/>
      <c r="BD26" s="434"/>
      <c r="BE26" s="434"/>
      <c r="BF26" s="434"/>
      <c r="BG26" s="434"/>
      <c r="BH26" s="434"/>
      <c r="BI26" s="434"/>
      <c r="BJ26" s="434"/>
      <c r="BK26" s="434"/>
      <c r="BL26" s="434"/>
    </row>
    <row r="27" spans="1:64" ht="20.100000000000001" customHeight="1">
      <c r="A27" s="434"/>
      <c r="B27" s="988"/>
      <c r="C27" s="638"/>
      <c r="D27" s="1648" t="s">
        <v>49</v>
      </c>
      <c r="E27" s="1647" t="s">
        <v>1394</v>
      </c>
      <c r="F27" s="640"/>
      <c r="G27" s="640"/>
      <c r="H27" s="640"/>
      <c r="I27" s="640"/>
      <c r="J27" s="640"/>
      <c r="K27" s="640"/>
      <c r="L27" s="640"/>
      <c r="M27" s="640"/>
      <c r="N27" s="1094" t="b">
        <v>0</v>
      </c>
      <c r="O27" s="582" t="s">
        <v>484</v>
      </c>
      <c r="P27" s="582"/>
      <c r="Q27" s="591"/>
      <c r="R27" s="591"/>
      <c r="S27" s="1094"/>
      <c r="T27" s="582" t="s">
        <v>485</v>
      </c>
      <c r="U27" s="591"/>
      <c r="V27" s="640"/>
      <c r="W27" s="591"/>
      <c r="X27" s="591"/>
      <c r="Y27" s="591"/>
      <c r="Z27" s="638"/>
      <c r="AA27" s="1647"/>
      <c r="AB27" s="640"/>
      <c r="AC27" s="640"/>
      <c r="AD27" s="640"/>
      <c r="AE27" s="640"/>
      <c r="AF27" s="640"/>
      <c r="AG27" s="640"/>
      <c r="AH27" s="640"/>
      <c r="AI27" s="640"/>
      <c r="AJ27" s="1088"/>
      <c r="AK27" s="582"/>
      <c r="AL27" s="582"/>
      <c r="AM27" s="591"/>
      <c r="AN27" s="591"/>
      <c r="AO27" s="1649"/>
      <c r="AP27" s="756"/>
      <c r="AQ27" s="997"/>
      <c r="AR27" s="434"/>
      <c r="AS27" s="434"/>
      <c r="AT27" s="434"/>
      <c r="AU27" s="434"/>
      <c r="AV27" s="434"/>
      <c r="AW27" s="434"/>
      <c r="AX27" s="434"/>
      <c r="AY27" s="434"/>
      <c r="AZ27" s="434"/>
      <c r="BA27" s="434"/>
      <c r="BB27" s="434"/>
      <c r="BC27" s="434"/>
      <c r="BD27" s="434"/>
      <c r="BE27" s="434"/>
      <c r="BF27" s="434"/>
      <c r="BG27" s="434"/>
      <c r="BH27" s="434"/>
      <c r="BI27" s="434"/>
      <c r="BJ27" s="434"/>
      <c r="BK27" s="434"/>
      <c r="BL27" s="434"/>
    </row>
    <row r="28" spans="1:64" ht="20.100000000000001" customHeight="1">
      <c r="A28" s="434"/>
      <c r="B28" s="988"/>
      <c r="C28" s="638"/>
      <c r="D28" s="1648" t="s">
        <v>50</v>
      </c>
      <c r="E28" s="1647" t="s">
        <v>1395</v>
      </c>
      <c r="F28" s="640"/>
      <c r="G28" s="640"/>
      <c r="H28" s="640"/>
      <c r="I28" s="640"/>
      <c r="J28" s="640"/>
      <c r="K28" s="640"/>
      <c r="L28" s="640"/>
      <c r="M28" s="640"/>
      <c r="N28" s="1094" t="b">
        <v>0</v>
      </c>
      <c r="O28" s="582" t="s">
        <v>484</v>
      </c>
      <c r="P28" s="582"/>
      <c r="Q28" s="591"/>
      <c r="R28" s="591"/>
      <c r="S28" s="1094"/>
      <c r="T28" s="582" t="s">
        <v>485</v>
      </c>
      <c r="U28" s="591"/>
      <c r="V28" s="640"/>
      <c r="W28" s="591"/>
      <c r="X28" s="591"/>
      <c r="Y28" s="591"/>
      <c r="Z28" s="1650"/>
      <c r="AA28" s="1647"/>
      <c r="AB28" s="640"/>
      <c r="AC28" s="640"/>
      <c r="AD28" s="640"/>
      <c r="AE28" s="640"/>
      <c r="AF28" s="640"/>
      <c r="AG28" s="640"/>
      <c r="AH28" s="640"/>
      <c r="AI28" s="640"/>
      <c r="AJ28" s="1088"/>
      <c r="AK28" s="582"/>
      <c r="AL28" s="582"/>
      <c r="AM28" s="591"/>
      <c r="AN28" s="591"/>
      <c r="AO28" s="1649"/>
      <c r="AP28" s="756"/>
      <c r="AQ28" s="997"/>
      <c r="AR28" s="434"/>
      <c r="AS28" s="434"/>
      <c r="AT28" s="434"/>
      <c r="AU28" s="434"/>
      <c r="AV28" s="434"/>
      <c r="AW28" s="434"/>
      <c r="AX28" s="434"/>
      <c r="AY28" s="434"/>
      <c r="AZ28" s="434"/>
      <c r="BA28" s="434"/>
      <c r="BB28" s="434"/>
      <c r="BC28" s="434"/>
      <c r="BD28" s="434"/>
      <c r="BE28" s="434"/>
      <c r="BF28" s="434"/>
      <c r="BG28" s="434"/>
      <c r="BH28" s="434"/>
      <c r="BI28" s="434"/>
      <c r="BJ28" s="434"/>
      <c r="BK28" s="434"/>
      <c r="BL28" s="434"/>
    </row>
    <row r="29" spans="1:64" ht="20.100000000000001" customHeight="1">
      <c r="A29" s="434"/>
      <c r="B29" s="988"/>
      <c r="C29" s="638"/>
      <c r="D29" s="1648" t="s">
        <v>51</v>
      </c>
      <c r="E29" s="1648" t="s">
        <v>1396</v>
      </c>
      <c r="F29" s="1651"/>
      <c r="G29" s="1651"/>
      <c r="H29" s="1651"/>
      <c r="I29" s="1651"/>
      <c r="J29" s="1651"/>
      <c r="K29" s="1651"/>
      <c r="L29" s="591"/>
      <c r="M29" s="591"/>
      <c r="N29" s="1094" t="b">
        <v>0</v>
      </c>
      <c r="O29" s="582" t="s">
        <v>484</v>
      </c>
      <c r="P29" s="582"/>
      <c r="Q29" s="591"/>
      <c r="R29" s="591"/>
      <c r="S29" s="1094"/>
      <c r="T29" s="582" t="s">
        <v>485</v>
      </c>
      <c r="U29" s="591"/>
      <c r="V29" s="591" t="s">
        <v>1828</v>
      </c>
      <c r="W29" s="1651"/>
      <c r="X29" s="1651"/>
      <c r="Y29" s="1651"/>
      <c r="Z29" s="1651"/>
      <c r="AA29" s="2620"/>
      <c r="AB29" s="2620"/>
      <c r="AC29" s="2620"/>
      <c r="AD29" s="2620"/>
      <c r="AE29" s="2620"/>
      <c r="AF29" s="2620"/>
      <c r="AG29" s="2620"/>
      <c r="AH29" s="2620"/>
      <c r="AI29" s="2620"/>
      <c r="AJ29" s="1740" t="str">
        <f>IF(AND(sch_head_ip_ifyes=TRUE,ISBLANK(sch_head_ip_ifyes_ethnicity)),"Please specify.",IF(AND(sch_head_ip_ifyes=FALSE,sch_head_ip_ifyes_ethnicity&gt;0),"Please check Yes if you have entries.",""))</f>
        <v/>
      </c>
      <c r="AK29" s="591"/>
      <c r="AL29" s="591"/>
      <c r="AM29" s="591"/>
      <c r="AN29" s="591"/>
      <c r="AO29" s="1649"/>
      <c r="AP29" s="756"/>
      <c r="AQ29" s="997"/>
      <c r="AR29" s="434"/>
      <c r="AS29" s="434"/>
      <c r="AT29" s="434"/>
      <c r="AU29" s="434"/>
      <c r="AV29" s="434"/>
      <c r="AW29" s="434"/>
      <c r="AX29" s="434"/>
      <c r="AY29" s="434"/>
      <c r="AZ29" s="434"/>
      <c r="BA29" s="434"/>
      <c r="BB29" s="434"/>
      <c r="BC29" s="434"/>
      <c r="BD29" s="434"/>
      <c r="BE29" s="434"/>
      <c r="BF29" s="434"/>
      <c r="BG29" s="434"/>
      <c r="BH29" s="434"/>
      <c r="BI29" s="434"/>
      <c r="BJ29" s="434"/>
      <c r="BK29" s="434"/>
      <c r="BL29" s="434"/>
    </row>
    <row r="30" spans="1:64" ht="19.7" customHeight="1">
      <c r="A30" s="434"/>
      <c r="B30" s="988"/>
      <c r="C30" s="638"/>
      <c r="D30" s="1648" t="s">
        <v>52</v>
      </c>
      <c r="E30" s="1648" t="s">
        <v>1397</v>
      </c>
      <c r="F30" s="1651"/>
      <c r="G30" s="1651"/>
      <c r="H30" s="1651"/>
      <c r="I30" s="1651"/>
      <c r="J30" s="1651"/>
      <c r="K30" s="1651"/>
      <c r="L30" s="1088"/>
      <c r="M30" s="582"/>
      <c r="N30" s="582"/>
      <c r="O30" s="1088"/>
      <c r="P30" s="582"/>
      <c r="Q30" s="591"/>
      <c r="R30" s="591"/>
      <c r="S30" s="1651"/>
      <c r="T30" s="1651"/>
      <c r="U30" s="1651"/>
      <c r="V30" s="1094" t="b">
        <v>1</v>
      </c>
      <c r="W30" s="582" t="s">
        <v>484</v>
      </c>
      <c r="X30" s="582"/>
      <c r="Y30" s="1094"/>
      <c r="Z30" s="582" t="s">
        <v>485</v>
      </c>
      <c r="AA30" s="1651"/>
      <c r="AB30" s="1651"/>
      <c r="AC30" s="1651"/>
      <c r="AD30" s="1651"/>
      <c r="AE30" s="1651"/>
      <c r="AF30" s="1651"/>
      <c r="AG30" s="1651"/>
      <c r="AH30" s="1651"/>
      <c r="AI30" s="1651"/>
      <c r="AJ30" s="1651"/>
      <c r="AK30" s="756"/>
      <c r="AL30" s="582"/>
      <c r="AM30" s="591"/>
      <c r="AN30" s="591"/>
      <c r="AO30" s="1649"/>
      <c r="AP30" s="756"/>
      <c r="AQ30" s="997"/>
      <c r="AR30" s="434"/>
      <c r="AS30" s="434"/>
      <c r="AT30" s="434"/>
      <c r="AU30" s="434"/>
      <c r="AV30" s="434"/>
      <c r="AW30" s="434"/>
      <c r="AX30" s="434"/>
      <c r="AY30" s="434"/>
      <c r="AZ30" s="434"/>
      <c r="BA30" s="434"/>
      <c r="BB30" s="434"/>
      <c r="BC30" s="434"/>
      <c r="BD30" s="434"/>
      <c r="BE30" s="434"/>
      <c r="BF30" s="434"/>
      <c r="BG30" s="434"/>
      <c r="BH30" s="434"/>
      <c r="BI30" s="434"/>
      <c r="BJ30" s="434"/>
      <c r="BK30" s="434"/>
      <c r="BL30" s="434"/>
    </row>
    <row r="31" spans="1:64" ht="20.100000000000001" customHeight="1" thickBot="1">
      <c r="A31" s="434"/>
      <c r="B31" s="988"/>
      <c r="C31" s="434"/>
      <c r="D31" s="1648" t="s">
        <v>53</v>
      </c>
      <c r="E31" s="1648" t="s">
        <v>1398</v>
      </c>
      <c r="F31" s="640"/>
      <c r="G31" s="640"/>
      <c r="H31" s="640"/>
      <c r="I31" s="640"/>
      <c r="J31" s="640"/>
      <c r="K31" s="640"/>
      <c r="L31" s="640"/>
      <c r="M31" s="640"/>
      <c r="N31" s="640"/>
      <c r="O31" s="640"/>
      <c r="P31" s="640"/>
      <c r="Q31" s="640"/>
      <c r="R31" s="434"/>
      <c r="S31" s="434"/>
      <c r="T31" s="434"/>
      <c r="U31" s="434"/>
      <c r="V31" s="434"/>
      <c r="W31" s="434"/>
      <c r="X31" s="434"/>
      <c r="Y31" s="434"/>
      <c r="Z31" s="434"/>
      <c r="AA31" s="434"/>
      <c r="AB31" s="434"/>
      <c r="AC31" s="434"/>
      <c r="AD31" s="434"/>
      <c r="AE31" s="434"/>
      <c r="AF31" s="434"/>
      <c r="AG31" s="434"/>
      <c r="AH31" s="434"/>
      <c r="AI31" s="434"/>
      <c r="AJ31" s="434"/>
      <c r="AK31" s="434"/>
      <c r="AL31" s="434"/>
      <c r="AM31" s="434"/>
      <c r="AN31" s="434"/>
      <c r="AO31" s="434"/>
      <c r="AP31" s="1647"/>
      <c r="AQ31" s="1652"/>
      <c r="AR31" s="1647"/>
      <c r="AS31" s="1647"/>
      <c r="AT31" s="434"/>
      <c r="AU31" s="434"/>
      <c r="AV31" s="434"/>
      <c r="AW31" s="434"/>
      <c r="AX31" s="434"/>
      <c r="AY31" s="434"/>
      <c r="AZ31" s="434"/>
      <c r="BA31" s="434"/>
      <c r="BB31" s="434"/>
      <c r="BC31" s="434"/>
      <c r="BD31" s="434"/>
      <c r="BE31" s="434"/>
      <c r="BF31" s="434"/>
      <c r="BG31" s="434"/>
      <c r="BH31" s="434"/>
      <c r="BI31" s="434"/>
      <c r="BJ31" s="434"/>
      <c r="BK31" s="434"/>
      <c r="BL31" s="434"/>
    </row>
    <row r="32" spans="1:64" ht="20.100000000000001" customHeight="1">
      <c r="A32" s="434"/>
      <c r="B32" s="988"/>
      <c r="C32" s="591"/>
      <c r="D32" s="434"/>
      <c r="E32" s="4272" t="s">
        <v>43</v>
      </c>
      <c r="F32" s="4273"/>
      <c r="G32" s="4273"/>
      <c r="H32" s="4273"/>
      <c r="I32" s="4273"/>
      <c r="J32" s="4274"/>
      <c r="K32" s="4280" t="s">
        <v>44</v>
      </c>
      <c r="L32" s="4273"/>
      <c r="M32" s="4273"/>
      <c r="N32" s="4273"/>
      <c r="O32" s="4273"/>
      <c r="P32" s="4281"/>
      <c r="Q32" s="4284" t="s">
        <v>579</v>
      </c>
      <c r="R32" s="4285"/>
      <c r="S32" s="4285"/>
      <c r="T32" s="4285"/>
      <c r="U32" s="4285"/>
      <c r="V32" s="4286"/>
      <c r="W32" s="1081"/>
      <c r="X32" s="1081"/>
      <c r="Y32" s="434"/>
      <c r="Z32" s="434"/>
      <c r="AA32" s="434"/>
      <c r="AB32" s="434"/>
      <c r="AC32" s="434"/>
      <c r="AD32" s="434"/>
      <c r="AE32" s="434"/>
      <c r="AF32" s="434"/>
      <c r="AG32" s="434"/>
      <c r="AH32" s="434"/>
      <c r="AI32" s="434"/>
      <c r="AJ32" s="434"/>
      <c r="AK32" s="434"/>
      <c r="AL32" s="434"/>
      <c r="AM32" s="434"/>
      <c r="AN32" s="434"/>
      <c r="AO32" s="434"/>
      <c r="AP32" s="1647"/>
      <c r="AQ32" s="1652"/>
      <c r="AR32" s="1647"/>
      <c r="AS32" s="1647"/>
      <c r="AT32" s="434"/>
      <c r="AU32" s="434"/>
      <c r="AV32" s="434"/>
      <c r="AW32" s="434"/>
      <c r="AX32" s="434"/>
      <c r="AY32" s="434"/>
      <c r="AZ32" s="434"/>
      <c r="BA32" s="434"/>
      <c r="BB32" s="434"/>
      <c r="BC32" s="434"/>
      <c r="BD32" s="434"/>
      <c r="BE32" s="434"/>
      <c r="BF32" s="434"/>
      <c r="BG32" s="434"/>
      <c r="BH32" s="434"/>
      <c r="BI32" s="434"/>
      <c r="BJ32" s="434"/>
      <c r="BK32" s="434"/>
      <c r="BL32" s="434"/>
    </row>
    <row r="33" spans="1:76" ht="29.45" customHeight="1">
      <c r="A33" s="434"/>
      <c r="B33" s="988"/>
      <c r="C33" s="591"/>
      <c r="D33" s="434"/>
      <c r="E33" s="4275"/>
      <c r="F33" s="4276"/>
      <c r="G33" s="4276"/>
      <c r="H33" s="4276"/>
      <c r="I33" s="4276"/>
      <c r="J33" s="4277"/>
      <c r="K33" s="4282"/>
      <c r="L33" s="4276"/>
      <c r="M33" s="4276"/>
      <c r="N33" s="4276"/>
      <c r="O33" s="4276"/>
      <c r="P33" s="4283"/>
      <c r="Q33" s="4287"/>
      <c r="R33" s="4288"/>
      <c r="S33" s="4288"/>
      <c r="T33" s="4288"/>
      <c r="U33" s="4288"/>
      <c r="V33" s="4289"/>
      <c r="W33" s="1081"/>
      <c r="X33" s="1081"/>
      <c r="Y33" s="434"/>
      <c r="Z33" s="434"/>
      <c r="AA33" s="434"/>
      <c r="AB33" s="434"/>
      <c r="AC33" s="434"/>
      <c r="AD33" s="434"/>
      <c r="AE33" s="434"/>
      <c r="AF33" s="434"/>
      <c r="AG33" s="434"/>
      <c r="AH33" s="434"/>
      <c r="AI33" s="434"/>
      <c r="AJ33" s="434"/>
      <c r="AK33" s="434"/>
      <c r="AL33" s="434"/>
      <c r="AM33" s="434"/>
      <c r="AN33" s="434"/>
      <c r="AO33" s="434"/>
      <c r="AP33" s="1647"/>
      <c r="AQ33" s="1652"/>
      <c r="AR33" s="1647"/>
      <c r="AS33" s="1647"/>
      <c r="AT33" s="434"/>
      <c r="AU33" s="434"/>
      <c r="AV33" s="434"/>
      <c r="AW33" s="434"/>
      <c r="AX33" s="434"/>
      <c r="AY33" s="434"/>
      <c r="AZ33" s="434"/>
      <c r="BA33" s="434"/>
      <c r="BB33" s="434"/>
      <c r="BC33" s="434"/>
      <c r="BD33" s="434"/>
      <c r="BE33" s="434"/>
      <c r="BF33" s="434"/>
      <c r="BG33" s="434"/>
      <c r="BH33" s="434"/>
      <c r="BI33" s="434"/>
      <c r="BJ33" s="434"/>
      <c r="BK33" s="434"/>
      <c r="BL33" s="434"/>
    </row>
    <row r="34" spans="1:76" ht="20.100000000000001" customHeight="1" thickBot="1">
      <c r="A34" s="434"/>
      <c r="B34" s="988"/>
      <c r="C34" s="591"/>
      <c r="D34" s="434"/>
      <c r="E34" s="4278" t="s">
        <v>45</v>
      </c>
      <c r="F34" s="4255"/>
      <c r="G34" s="4255"/>
      <c r="H34" s="4255" t="s">
        <v>46</v>
      </c>
      <c r="I34" s="4255"/>
      <c r="J34" s="4257"/>
      <c r="K34" s="4278" t="s">
        <v>45</v>
      </c>
      <c r="L34" s="4255"/>
      <c r="M34" s="4255"/>
      <c r="N34" s="4256" t="s">
        <v>46</v>
      </c>
      <c r="O34" s="4255"/>
      <c r="P34" s="4279"/>
      <c r="Q34" s="4254" t="s">
        <v>45</v>
      </c>
      <c r="R34" s="4255"/>
      <c r="S34" s="4255"/>
      <c r="T34" s="4256" t="s">
        <v>46</v>
      </c>
      <c r="U34" s="4255"/>
      <c r="V34" s="4257"/>
      <c r="W34" s="434"/>
      <c r="X34" s="434"/>
      <c r="Y34" s="434"/>
      <c r="Z34" s="434"/>
      <c r="AA34" s="434"/>
      <c r="AB34" s="434"/>
      <c r="AC34" s="434"/>
      <c r="AD34" s="434"/>
      <c r="AE34" s="434"/>
      <c r="AF34" s="434"/>
      <c r="AG34" s="434"/>
      <c r="AH34" s="434"/>
      <c r="AI34" s="434"/>
      <c r="AJ34" s="434"/>
      <c r="AK34" s="434"/>
      <c r="AL34" s="434"/>
      <c r="AM34" s="434"/>
      <c r="AN34" s="434"/>
      <c r="AO34" s="434"/>
      <c r="AP34" s="1647"/>
      <c r="AQ34" s="1652"/>
      <c r="AR34" s="1647"/>
      <c r="AS34" s="1647"/>
      <c r="AT34" s="434"/>
      <c r="AU34" s="434"/>
      <c r="AV34" s="434"/>
      <c r="AW34" s="434"/>
      <c r="AX34" s="434"/>
      <c r="AY34" s="434"/>
      <c r="AZ34" s="434"/>
      <c r="BA34" s="434"/>
      <c r="BB34" s="434"/>
      <c r="BC34" s="434"/>
      <c r="BD34" s="434"/>
      <c r="BE34" s="434"/>
      <c r="BF34" s="434"/>
      <c r="BG34" s="434"/>
      <c r="BH34" s="434"/>
      <c r="BI34" s="434"/>
      <c r="BJ34" s="434"/>
      <c r="BK34" s="434"/>
      <c r="BL34" s="434"/>
    </row>
    <row r="35" spans="1:76" ht="20.100000000000001" customHeight="1" thickBot="1">
      <c r="A35" s="434"/>
      <c r="B35" s="988"/>
      <c r="C35" s="591"/>
      <c r="D35" s="434"/>
      <c r="E35" s="4221">
        <v>0</v>
      </c>
      <c r="F35" s="4222"/>
      <c r="G35" s="4223"/>
      <c r="H35" s="4224">
        <v>0</v>
      </c>
      <c r="I35" s="4222"/>
      <c r="J35" s="4225"/>
      <c r="K35" s="4206">
        <v>0</v>
      </c>
      <c r="L35" s="4207"/>
      <c r="M35" s="4208"/>
      <c r="N35" s="4209">
        <v>0</v>
      </c>
      <c r="O35" s="4207"/>
      <c r="P35" s="4210"/>
      <c r="Q35" s="4211">
        <f>+sch_num_teach_ip_gr11_m+sch_num_teach_ip_gr12_m</f>
        <v>0</v>
      </c>
      <c r="R35" s="4212"/>
      <c r="S35" s="4213"/>
      <c r="T35" s="4214">
        <f>+sch_num_teach_ip_gr11_f+sch_num_teach_ip_gr12_f</f>
        <v>0</v>
      </c>
      <c r="U35" s="4212"/>
      <c r="V35" s="4215"/>
      <c r="W35" s="619"/>
      <c r="X35" s="619"/>
      <c r="Y35" s="619"/>
      <c r="Z35" s="619"/>
      <c r="AA35" s="619"/>
      <c r="AB35" s="434"/>
      <c r="AC35" s="434"/>
      <c r="AD35" s="434"/>
      <c r="AE35" s="434"/>
      <c r="AF35" s="434"/>
      <c r="AG35" s="434"/>
      <c r="AH35" s="434"/>
      <c r="AI35" s="434"/>
      <c r="AJ35" s="434"/>
      <c r="AK35" s="434"/>
      <c r="AL35" s="434"/>
      <c r="AM35" s="434"/>
      <c r="AN35" s="1647"/>
      <c r="AO35" s="1647"/>
      <c r="AP35" s="1647"/>
      <c r="AQ35" s="1652"/>
      <c r="AR35" s="1647"/>
      <c r="AS35" s="1647"/>
      <c r="AT35" s="434"/>
      <c r="AU35" s="434"/>
      <c r="AV35" s="434"/>
      <c r="AW35" s="434"/>
      <c r="AX35" s="434"/>
      <c r="AY35" s="434"/>
      <c r="AZ35" s="434"/>
      <c r="BA35" s="434"/>
      <c r="BB35" s="434"/>
      <c r="BC35" s="434"/>
      <c r="BD35" s="434"/>
      <c r="BE35" s="434"/>
      <c r="BF35" s="434"/>
      <c r="BG35" s="434"/>
      <c r="BH35" s="434"/>
      <c r="BI35" s="434"/>
      <c r="BJ35" s="434"/>
      <c r="BK35" s="434"/>
      <c r="BL35" s="434"/>
    </row>
    <row r="36" spans="1:76" ht="24.95" customHeight="1" thickBot="1">
      <c r="A36" s="434"/>
      <c r="B36" s="988"/>
      <c r="C36" s="640"/>
      <c r="D36" s="1648" t="s">
        <v>54</v>
      </c>
      <c r="E36" s="1648" t="s">
        <v>1399</v>
      </c>
      <c r="F36" s="640"/>
      <c r="G36" s="640"/>
      <c r="H36" s="640"/>
      <c r="I36" s="640"/>
      <c r="J36" s="640"/>
      <c r="K36" s="640"/>
      <c r="L36" s="640"/>
      <c r="M36" s="640"/>
      <c r="N36" s="640"/>
      <c r="O36" s="640"/>
      <c r="P36" s="640"/>
      <c r="Q36" s="640"/>
      <c r="R36" s="640"/>
      <c r="S36" s="434"/>
      <c r="T36" s="1647"/>
      <c r="U36" s="591"/>
      <c r="V36" s="591"/>
      <c r="W36" s="591"/>
      <c r="X36" s="591"/>
      <c r="Y36" s="591"/>
      <c r="Z36" s="591"/>
      <c r="AA36" s="591"/>
      <c r="AB36" s="591"/>
      <c r="AC36" s="591"/>
      <c r="AD36" s="591"/>
      <c r="AE36" s="591"/>
      <c r="AF36" s="591"/>
      <c r="AG36" s="591"/>
      <c r="AH36" s="591"/>
      <c r="AI36" s="591"/>
      <c r="AJ36" s="591"/>
      <c r="AK36" s="591"/>
      <c r="AL36" s="591"/>
      <c r="AM36" s="591"/>
      <c r="AN36" s="591"/>
      <c r="AO36" s="591"/>
      <c r="AP36" s="591"/>
      <c r="AQ36" s="632"/>
      <c r="AR36" s="591"/>
      <c r="AS36" s="591"/>
      <c r="AT36" s="591"/>
      <c r="AU36" s="434"/>
      <c r="AV36" s="434"/>
      <c r="AW36" s="3138"/>
      <c r="AX36" s="3138"/>
      <c r="AY36" s="3138"/>
      <c r="AZ36" s="3138"/>
      <c r="BA36" s="3138"/>
      <c r="BB36" s="3138"/>
      <c r="BC36" s="3138"/>
      <c r="BD36" s="3138"/>
      <c r="BE36" s="3138"/>
      <c r="BF36" s="3138"/>
      <c r="BG36" s="3138"/>
      <c r="BH36" s="3138"/>
      <c r="BI36" s="3138"/>
      <c r="BJ36" s="3138"/>
      <c r="BK36" s="3138"/>
      <c r="BL36" s="3138"/>
      <c r="BM36" s="4261"/>
      <c r="BN36" s="4261"/>
      <c r="BO36" s="4261"/>
      <c r="BP36" s="4261"/>
      <c r="BQ36" s="4261"/>
      <c r="BR36" s="4261"/>
      <c r="BS36" s="4261"/>
      <c r="BT36" s="4261"/>
      <c r="BU36" s="4260"/>
      <c r="BV36" s="4261"/>
      <c r="BW36" s="4261"/>
      <c r="BX36" s="4261"/>
    </row>
    <row r="37" spans="1:76" ht="20.100000000000001" customHeight="1" thickBot="1">
      <c r="A37" s="434"/>
      <c r="B37" s="988"/>
      <c r="C37" s="434"/>
      <c r="D37" s="434"/>
      <c r="E37" s="4265" t="s">
        <v>45</v>
      </c>
      <c r="F37" s="4266"/>
      <c r="G37" s="4266"/>
      <c r="H37" s="4266"/>
      <c r="I37" s="4266"/>
      <c r="J37" s="4267"/>
      <c r="K37" s="4268" t="s">
        <v>46</v>
      </c>
      <c r="L37" s="4263"/>
      <c r="M37" s="4263"/>
      <c r="N37" s="4263"/>
      <c r="O37" s="4263"/>
      <c r="P37" s="4263"/>
      <c r="Q37" s="4262" t="s">
        <v>42</v>
      </c>
      <c r="R37" s="4263"/>
      <c r="S37" s="4263"/>
      <c r="T37" s="4263"/>
      <c r="U37" s="4263"/>
      <c r="V37" s="4264"/>
      <c r="W37" s="582"/>
      <c r="X37" s="582"/>
      <c r="Y37" s="582"/>
      <c r="Z37" s="582"/>
      <c r="AA37" s="582"/>
      <c r="AB37" s="582"/>
      <c r="AC37" s="582"/>
      <c r="AD37" s="582"/>
      <c r="AE37" s="591"/>
      <c r="AF37" s="591"/>
      <c r="AG37" s="591"/>
      <c r="AH37" s="591"/>
      <c r="AI37" s="591"/>
      <c r="AJ37" s="591"/>
      <c r="AK37" s="591"/>
      <c r="AL37" s="591"/>
      <c r="AM37" s="591"/>
      <c r="AN37" s="591"/>
      <c r="AO37" s="591"/>
      <c r="AP37" s="591"/>
      <c r="AQ37" s="632"/>
      <c r="AR37" s="591"/>
      <c r="AS37" s="591"/>
      <c r="AT37" s="591"/>
      <c r="AU37" s="434"/>
      <c r="AV37" s="434"/>
      <c r="AW37" s="3138"/>
      <c r="AX37" s="3138"/>
      <c r="AY37" s="3138"/>
      <c r="AZ37" s="3138"/>
      <c r="BA37" s="3138"/>
      <c r="BB37" s="3138"/>
      <c r="BC37" s="3138"/>
      <c r="BD37" s="3138"/>
      <c r="BE37" s="3138"/>
      <c r="BF37" s="3138"/>
      <c r="BG37" s="3138"/>
      <c r="BH37" s="3138"/>
      <c r="BI37" s="3138"/>
      <c r="BJ37" s="3138"/>
      <c r="BK37" s="3138"/>
      <c r="BL37" s="3138"/>
      <c r="BM37" s="4261"/>
      <c r="BN37" s="4261"/>
      <c r="BO37" s="4261"/>
      <c r="BP37" s="4261"/>
      <c r="BQ37" s="4261"/>
      <c r="BR37" s="4261"/>
      <c r="BS37" s="4261"/>
      <c r="BT37" s="4261"/>
      <c r="BU37" s="4261"/>
      <c r="BV37" s="4261"/>
      <c r="BW37" s="4261"/>
      <c r="BX37" s="4261"/>
    </row>
    <row r="38" spans="1:76" ht="20.100000000000001" customHeight="1" thickBot="1">
      <c r="A38" s="434"/>
      <c r="B38" s="988"/>
      <c r="C38" s="434"/>
      <c r="D38" s="434"/>
      <c r="E38" s="4216">
        <v>0</v>
      </c>
      <c r="F38" s="4217"/>
      <c r="G38" s="4217"/>
      <c r="H38" s="4217"/>
      <c r="I38" s="4217"/>
      <c r="J38" s="4218"/>
      <c r="K38" s="4219">
        <v>0</v>
      </c>
      <c r="L38" s="4217"/>
      <c r="M38" s="4217"/>
      <c r="N38" s="4217"/>
      <c r="O38" s="4217"/>
      <c r="P38" s="4220"/>
      <c r="Q38" s="4251">
        <f>SUM(E38:P38)</f>
        <v>0</v>
      </c>
      <c r="R38" s="2245"/>
      <c r="S38" s="2245"/>
      <c r="T38" s="2245"/>
      <c r="U38" s="2245"/>
      <c r="V38" s="4252"/>
      <c r="W38" s="604"/>
      <c r="X38" s="604"/>
      <c r="Y38" s="604"/>
      <c r="Z38" s="604"/>
      <c r="AA38" s="604"/>
      <c r="AB38" s="1653"/>
      <c r="AC38" s="604"/>
      <c r="AD38" s="604"/>
      <c r="AE38" s="604"/>
      <c r="AF38" s="591"/>
      <c r="AG38" s="591"/>
      <c r="AH38" s="591"/>
      <c r="AI38" s="591"/>
      <c r="AJ38" s="591"/>
      <c r="AK38" s="591"/>
      <c r="AL38" s="591"/>
      <c r="AM38" s="591"/>
      <c r="AN38" s="591"/>
      <c r="AO38" s="591"/>
      <c r="AP38" s="591"/>
      <c r="AQ38" s="632"/>
      <c r="AR38" s="591"/>
      <c r="AS38" s="591"/>
      <c r="AT38" s="591"/>
      <c r="AU38" s="434"/>
      <c r="AV38" s="434"/>
      <c r="AW38" s="3138"/>
      <c r="AX38" s="3138"/>
      <c r="AY38" s="3138"/>
      <c r="AZ38" s="3138"/>
      <c r="BA38" s="3138"/>
      <c r="BB38" s="3138"/>
      <c r="BC38" s="3138"/>
      <c r="BD38" s="3138"/>
      <c r="BE38" s="3138"/>
      <c r="BF38" s="3138"/>
      <c r="BG38" s="3138"/>
      <c r="BH38" s="3138"/>
      <c r="BI38" s="3138"/>
      <c r="BJ38" s="3138"/>
      <c r="BK38" s="3138"/>
      <c r="BL38" s="3138"/>
      <c r="BM38" s="4261"/>
      <c r="BN38" s="4261"/>
      <c r="BO38" s="4261"/>
      <c r="BP38" s="4261"/>
      <c r="BQ38" s="4261"/>
      <c r="BR38" s="4261"/>
      <c r="BS38" s="4261"/>
      <c r="BT38" s="4261"/>
      <c r="BU38" s="4261"/>
      <c r="BV38" s="4261"/>
      <c r="BW38" s="4261"/>
      <c r="BX38" s="4261"/>
    </row>
    <row r="39" spans="1:76" ht="26.45" customHeight="1" thickBot="1">
      <c r="A39" s="619"/>
      <c r="B39" s="1645"/>
      <c r="C39" s="619"/>
      <c r="D39" s="630" t="s">
        <v>55</v>
      </c>
      <c r="E39" s="1654" t="s">
        <v>1400</v>
      </c>
      <c r="F39" s="591"/>
      <c r="G39" s="1654"/>
      <c r="H39" s="1654"/>
      <c r="I39" s="1654"/>
      <c r="J39" s="1654"/>
      <c r="K39" s="1654"/>
      <c r="L39" s="1654"/>
      <c r="M39" s="1654"/>
      <c r="N39" s="1654"/>
      <c r="O39" s="1654"/>
      <c r="P39" s="1654"/>
      <c r="Q39" s="1647"/>
      <c r="R39" s="1647"/>
      <c r="S39" s="1647"/>
      <c r="T39" s="1647"/>
      <c r="U39" s="1647"/>
      <c r="V39" s="604"/>
      <c r="W39" s="604"/>
      <c r="X39" s="604"/>
      <c r="Y39" s="604"/>
      <c r="Z39" s="604"/>
      <c r="AA39" s="604"/>
      <c r="AB39" s="604"/>
      <c r="AC39" s="604"/>
      <c r="AD39" s="604"/>
      <c r="AE39" s="604"/>
      <c r="AF39" s="591"/>
      <c r="AG39" s="591"/>
      <c r="AH39" s="591"/>
      <c r="AI39" s="591"/>
      <c r="AJ39" s="591"/>
      <c r="AK39" s="591"/>
      <c r="AL39" s="591"/>
      <c r="AM39" s="591"/>
      <c r="AN39" s="591"/>
      <c r="AO39" s="591"/>
      <c r="AP39" s="591"/>
      <c r="AQ39" s="632"/>
      <c r="AR39" s="591"/>
      <c r="AS39" s="591"/>
      <c r="AT39" s="591"/>
      <c r="AU39" s="434"/>
      <c r="AV39" s="434"/>
      <c r="AW39" s="2646"/>
      <c r="AX39" s="2646"/>
      <c r="AY39" s="2646"/>
      <c r="AZ39" s="2646"/>
      <c r="BA39" s="2646"/>
      <c r="BB39" s="2646"/>
      <c r="BC39" s="2646"/>
      <c r="BD39" s="2646"/>
      <c r="BE39" s="4259"/>
      <c r="BF39" s="4259"/>
      <c r="BG39" s="4259"/>
      <c r="BH39" s="4259"/>
      <c r="BI39" s="4259"/>
      <c r="BJ39" s="4259"/>
      <c r="BK39" s="4259"/>
      <c r="BL39" s="4259"/>
      <c r="BM39" s="4258"/>
      <c r="BN39" s="4258"/>
      <c r="BO39" s="4258"/>
      <c r="BP39" s="4258"/>
      <c r="BQ39" s="4258"/>
      <c r="BR39" s="4258"/>
      <c r="BS39" s="4258"/>
      <c r="BT39" s="4258"/>
      <c r="BU39" s="4258"/>
      <c r="BV39" s="4258"/>
      <c r="BW39" s="4258"/>
      <c r="BX39" s="4258"/>
    </row>
    <row r="40" spans="1:76" ht="20.100000000000001" customHeight="1" thickBot="1">
      <c r="A40" s="434"/>
      <c r="B40" s="988"/>
      <c r="C40" s="1647"/>
      <c r="D40" s="1655"/>
      <c r="E40" s="4265" t="s">
        <v>45</v>
      </c>
      <c r="F40" s="4266"/>
      <c r="G40" s="4266"/>
      <c r="H40" s="4266"/>
      <c r="I40" s="4266"/>
      <c r="J40" s="4267"/>
      <c r="K40" s="4268" t="s">
        <v>46</v>
      </c>
      <c r="L40" s="4263"/>
      <c r="M40" s="4263"/>
      <c r="N40" s="4263"/>
      <c r="O40" s="4263"/>
      <c r="P40" s="4263"/>
      <c r="Q40" s="4262" t="s">
        <v>42</v>
      </c>
      <c r="R40" s="4263"/>
      <c r="S40" s="4263"/>
      <c r="T40" s="4263"/>
      <c r="U40" s="4263"/>
      <c r="V40" s="4264"/>
      <c r="W40" s="1655"/>
      <c r="X40" s="1655"/>
      <c r="Y40" s="1655"/>
      <c r="Z40" s="1655"/>
      <c r="AA40" s="1655"/>
      <c r="AB40" s="1655"/>
      <c r="AC40" s="1655"/>
      <c r="AD40" s="1655"/>
      <c r="AE40" s="1655"/>
      <c r="AF40" s="593"/>
      <c r="AG40" s="434"/>
      <c r="AH40" s="434"/>
      <c r="AI40" s="1649"/>
      <c r="AJ40" s="756"/>
      <c r="AK40" s="582"/>
      <c r="AL40" s="591"/>
      <c r="AM40" s="591"/>
      <c r="AN40" s="1647"/>
      <c r="AO40" s="1647"/>
      <c r="AP40" s="1647"/>
      <c r="AQ40" s="1652"/>
      <c r="AR40" s="1647"/>
      <c r="AS40" s="1647"/>
      <c r="AT40" s="434"/>
      <c r="AU40" s="434"/>
      <c r="AV40" s="434"/>
      <c r="AW40" s="434"/>
      <c r="AX40" s="434"/>
      <c r="AY40" s="434"/>
      <c r="AZ40" s="434"/>
      <c r="BA40" s="434"/>
      <c r="BB40" s="434"/>
      <c r="BC40" s="434"/>
      <c r="BD40" s="434"/>
      <c r="BE40" s="434"/>
      <c r="BF40" s="434"/>
      <c r="BG40" s="434"/>
      <c r="BH40" s="434"/>
      <c r="BI40" s="434"/>
      <c r="BJ40" s="434"/>
      <c r="BK40" s="434"/>
      <c r="BL40" s="434"/>
    </row>
    <row r="41" spans="1:76" ht="20.100000000000001" customHeight="1" thickBot="1">
      <c r="A41" s="434"/>
      <c r="B41" s="988"/>
      <c r="C41" s="434"/>
      <c r="D41" s="434"/>
      <c r="E41" s="4216">
        <v>0</v>
      </c>
      <c r="F41" s="4217"/>
      <c r="G41" s="4217"/>
      <c r="H41" s="4217"/>
      <c r="I41" s="4217"/>
      <c r="J41" s="4218"/>
      <c r="K41" s="4219">
        <v>0</v>
      </c>
      <c r="L41" s="4217"/>
      <c r="M41" s="4217"/>
      <c r="N41" s="4217"/>
      <c r="O41" s="4217"/>
      <c r="P41" s="4220"/>
      <c r="Q41" s="4251">
        <f>SUM(E41:P41)</f>
        <v>0</v>
      </c>
      <c r="R41" s="2245"/>
      <c r="S41" s="2245"/>
      <c r="T41" s="2245"/>
      <c r="U41" s="2245"/>
      <c r="V41" s="4252"/>
      <c r="W41" s="591"/>
      <c r="X41" s="434"/>
      <c r="Y41" s="434"/>
      <c r="Z41" s="434"/>
      <c r="AA41" s="434"/>
      <c r="AB41" s="434"/>
      <c r="AC41" s="434"/>
      <c r="AD41" s="434"/>
      <c r="AE41" s="434"/>
      <c r="AF41" s="434"/>
      <c r="AG41" s="434"/>
      <c r="AH41" s="434"/>
      <c r="AI41" s="434"/>
      <c r="AJ41" s="434"/>
      <c r="AK41" s="434"/>
      <c r="AL41" s="434"/>
      <c r="AM41" s="434"/>
      <c r="AN41" s="1647"/>
      <c r="AO41" s="1647"/>
      <c r="AP41" s="1647"/>
      <c r="AQ41" s="1652"/>
      <c r="AR41" s="1647"/>
      <c r="AS41" s="1647"/>
      <c r="AT41" s="434"/>
      <c r="AU41" s="434"/>
      <c r="AV41" s="434"/>
      <c r="AW41" s="434"/>
      <c r="AX41" s="434"/>
      <c r="AY41" s="434"/>
      <c r="AZ41" s="434"/>
      <c r="BA41" s="434"/>
      <c r="BB41" s="434"/>
      <c r="BC41" s="434"/>
      <c r="BD41" s="434"/>
      <c r="BE41" s="434"/>
      <c r="BF41" s="434"/>
      <c r="BG41" s="434"/>
      <c r="BH41" s="434"/>
      <c r="BI41" s="434"/>
      <c r="BJ41" s="434"/>
      <c r="BK41" s="434"/>
      <c r="BL41" s="434"/>
    </row>
    <row r="42" spans="1:76" ht="26.45" customHeight="1" thickBot="1">
      <c r="A42" s="434"/>
      <c r="B42" s="988"/>
      <c r="C42" s="591"/>
      <c r="D42" s="589" t="s">
        <v>56</v>
      </c>
      <c r="E42" s="582" t="s">
        <v>1973</v>
      </c>
      <c r="F42" s="582"/>
      <c r="G42" s="434"/>
      <c r="H42" s="434"/>
      <c r="I42" s="434"/>
      <c r="J42" s="434"/>
      <c r="K42" s="434"/>
      <c r="L42" s="434"/>
      <c r="M42" s="434"/>
      <c r="N42" s="434"/>
      <c r="O42" s="434"/>
      <c r="P42" s="434"/>
      <c r="Q42" s="434"/>
      <c r="R42" s="434"/>
      <c r="S42" s="434"/>
      <c r="T42" s="434"/>
      <c r="U42" s="434"/>
      <c r="V42" s="434"/>
      <c r="W42" s="591"/>
      <c r="X42" s="434"/>
      <c r="Y42" s="434"/>
      <c r="Z42" s="434"/>
      <c r="AA42" s="434"/>
      <c r="AB42" s="434"/>
      <c r="AC42" s="434"/>
      <c r="AD42" s="434"/>
      <c r="AE42" s="434"/>
      <c r="AF42" s="434"/>
      <c r="AG42" s="434"/>
      <c r="AH42" s="434"/>
      <c r="AI42" s="434"/>
      <c r="AJ42" s="434"/>
      <c r="AK42" s="434"/>
      <c r="AL42" s="434"/>
      <c r="AM42" s="434"/>
      <c r="AN42" s="883"/>
      <c r="AO42" s="883"/>
      <c r="AP42" s="883"/>
      <c r="AQ42" s="1656"/>
      <c r="AR42" s="883"/>
      <c r="AS42" s="1647"/>
      <c r="AT42" s="434"/>
      <c r="AU42" s="434"/>
      <c r="AV42" s="434"/>
      <c r="AW42" s="434"/>
      <c r="AX42" s="434"/>
      <c r="AY42" s="434"/>
      <c r="AZ42" s="434"/>
      <c r="BA42" s="434"/>
      <c r="BB42" s="434"/>
      <c r="BC42" s="434"/>
      <c r="BD42" s="434"/>
      <c r="BE42" s="434"/>
      <c r="BF42" s="434"/>
      <c r="BG42" s="434"/>
      <c r="BH42" s="434"/>
      <c r="BI42" s="434"/>
      <c r="BJ42" s="434"/>
      <c r="BK42" s="434"/>
      <c r="BL42" s="434"/>
    </row>
    <row r="43" spans="1:76" ht="20.100000000000001" customHeight="1">
      <c r="A43" s="434"/>
      <c r="B43" s="988"/>
      <c r="C43" s="591"/>
      <c r="D43" s="434"/>
      <c r="E43" s="2893" t="s">
        <v>552</v>
      </c>
      <c r="F43" s="2894"/>
      <c r="G43" s="2894"/>
      <c r="H43" s="2894"/>
      <c r="I43" s="2894"/>
      <c r="J43" s="2894"/>
      <c r="K43" s="2894"/>
      <c r="L43" s="3096"/>
      <c r="M43" s="2893" t="s">
        <v>43</v>
      </c>
      <c r="N43" s="2894"/>
      <c r="O43" s="2894"/>
      <c r="P43" s="3096"/>
      <c r="Q43" s="2894" t="s">
        <v>44</v>
      </c>
      <c r="R43" s="2894"/>
      <c r="S43" s="2894"/>
      <c r="T43" s="2894"/>
      <c r="U43" s="4229" t="s">
        <v>42</v>
      </c>
      <c r="V43" s="4230"/>
      <c r="W43" s="4230"/>
      <c r="X43" s="4231"/>
      <c r="Y43" s="434"/>
      <c r="Z43" s="434"/>
      <c r="AA43" s="434"/>
      <c r="AB43" s="434"/>
      <c r="AC43" s="434"/>
      <c r="AD43" s="434"/>
      <c r="AE43" s="434"/>
      <c r="AF43" s="434"/>
      <c r="AG43" s="434"/>
      <c r="AH43" s="434"/>
      <c r="AI43" s="434"/>
      <c r="AJ43" s="434"/>
      <c r="AK43" s="434"/>
      <c r="AL43" s="434"/>
      <c r="AM43" s="434"/>
      <c r="AN43" s="1657"/>
      <c r="AO43" s="1657"/>
      <c r="AP43" s="1657"/>
      <c r="AQ43" s="1658"/>
      <c r="AR43" s="1657"/>
      <c r="AS43" s="1647"/>
      <c r="AT43" s="434"/>
      <c r="AU43" s="434"/>
      <c r="AV43" s="434"/>
      <c r="AW43" s="604"/>
      <c r="AX43" s="582"/>
      <c r="AY43" s="582"/>
      <c r="AZ43" s="582"/>
      <c r="BA43" s="582"/>
      <c r="BB43" s="582"/>
      <c r="BC43" s="582"/>
      <c r="BD43" s="582"/>
      <c r="BE43" s="582"/>
      <c r="BF43" s="582"/>
      <c r="BG43" s="625"/>
      <c r="BH43" s="582"/>
      <c r="BI43" s="625"/>
      <c r="BJ43" s="582"/>
      <c r="BK43" s="582"/>
      <c r="BL43" s="582"/>
      <c r="BM43" s="40"/>
      <c r="BN43" s="40"/>
      <c r="BO43" s="40"/>
      <c r="BP43" s="40"/>
      <c r="BQ43" s="40"/>
      <c r="BR43" s="40"/>
      <c r="BS43" s="40"/>
      <c r="BT43" s="40"/>
      <c r="BU43" s="40"/>
      <c r="BV43" s="40"/>
      <c r="BW43" s="40"/>
      <c r="BX43" s="40"/>
    </row>
    <row r="44" spans="1:76" ht="20.100000000000001" customHeight="1" thickBot="1">
      <c r="A44" s="434"/>
      <c r="B44" s="988"/>
      <c r="C44" s="591"/>
      <c r="D44" s="591"/>
      <c r="E44" s="3137"/>
      <c r="F44" s="3138"/>
      <c r="G44" s="3138"/>
      <c r="H44" s="3138"/>
      <c r="I44" s="3138"/>
      <c r="J44" s="3138"/>
      <c r="K44" s="3138"/>
      <c r="L44" s="3139"/>
      <c r="M44" s="3140"/>
      <c r="N44" s="3141"/>
      <c r="O44" s="3141"/>
      <c r="P44" s="3142"/>
      <c r="Q44" s="3141"/>
      <c r="R44" s="3141"/>
      <c r="S44" s="3141"/>
      <c r="T44" s="3141"/>
      <c r="U44" s="4232"/>
      <c r="V44" s="4233"/>
      <c r="W44" s="4233"/>
      <c r="X44" s="4234"/>
      <c r="Y44" s="604"/>
      <c r="Z44" s="604"/>
      <c r="AA44" s="604"/>
      <c r="AB44" s="604"/>
      <c r="AC44" s="604"/>
      <c r="AD44" s="604"/>
      <c r="AE44" s="604"/>
      <c r="AF44" s="591"/>
      <c r="AG44" s="591"/>
      <c r="AH44" s="591"/>
      <c r="AI44" s="591"/>
      <c r="AJ44" s="591"/>
      <c r="AK44" s="591"/>
      <c r="AL44" s="591"/>
      <c r="AM44" s="591"/>
      <c r="AN44" s="591"/>
      <c r="AO44" s="591"/>
      <c r="AP44" s="591"/>
      <c r="AQ44" s="632"/>
      <c r="AR44" s="591"/>
      <c r="AS44" s="591"/>
      <c r="AT44" s="591"/>
      <c r="AU44" s="434"/>
      <c r="AV44" s="434"/>
      <c r="AW44" s="2646"/>
      <c r="AX44" s="2646"/>
      <c r="AY44" s="2646"/>
      <c r="AZ44" s="2646"/>
      <c r="BA44" s="2646"/>
      <c r="BB44" s="2646"/>
      <c r="BC44" s="2646"/>
      <c r="BD44" s="2646"/>
      <c r="BE44" s="4259"/>
      <c r="BF44" s="4259"/>
      <c r="BG44" s="4259"/>
      <c r="BH44" s="4259"/>
      <c r="BI44" s="4259"/>
      <c r="BJ44" s="4259"/>
      <c r="BK44" s="4259"/>
      <c r="BL44" s="4259"/>
      <c r="BM44" s="4258"/>
      <c r="BN44" s="4258"/>
      <c r="BO44" s="4258"/>
      <c r="BP44" s="4258"/>
      <c r="BQ44" s="4258"/>
      <c r="BR44" s="4258"/>
      <c r="BS44" s="4258"/>
      <c r="BT44" s="4258"/>
      <c r="BU44" s="4258"/>
      <c r="BV44" s="4258"/>
      <c r="BW44" s="4258"/>
      <c r="BX44" s="4258"/>
    </row>
    <row r="45" spans="1:76" ht="20.100000000000001" customHeight="1" thickBot="1">
      <c r="A45" s="434"/>
      <c r="B45" s="988"/>
      <c r="C45" s="434"/>
      <c r="D45" s="434"/>
      <c r="E45" s="3140"/>
      <c r="F45" s="3141"/>
      <c r="G45" s="3141"/>
      <c r="H45" s="3141"/>
      <c r="I45" s="3141"/>
      <c r="J45" s="3141"/>
      <c r="K45" s="3141"/>
      <c r="L45" s="3142"/>
      <c r="M45" s="1659" t="s">
        <v>45</v>
      </c>
      <c r="N45" s="1660"/>
      <c r="O45" s="1661" t="s">
        <v>46</v>
      </c>
      <c r="P45" s="1662"/>
      <c r="Q45" s="595" t="s">
        <v>45</v>
      </c>
      <c r="R45" s="1660"/>
      <c r="S45" s="1661" t="s">
        <v>46</v>
      </c>
      <c r="T45" s="595"/>
      <c r="U45" s="4235" t="s">
        <v>45</v>
      </c>
      <c r="V45" s="4236"/>
      <c r="W45" s="4237" t="s">
        <v>46</v>
      </c>
      <c r="X45" s="4238"/>
      <c r="Y45" s="1181"/>
      <c r="Z45" s="1181"/>
      <c r="AA45" s="1181"/>
      <c r="AB45" s="1181"/>
      <c r="AC45" s="1181"/>
      <c r="AD45" s="1181"/>
      <c r="AE45" s="1181"/>
      <c r="AF45" s="591"/>
      <c r="AG45" s="591"/>
      <c r="AH45" s="591"/>
      <c r="AI45" s="591"/>
      <c r="AJ45" s="591"/>
      <c r="AK45" s="591"/>
      <c r="AL45" s="591"/>
      <c r="AM45" s="591"/>
      <c r="AN45" s="591"/>
      <c r="AO45" s="591"/>
      <c r="AP45" s="591"/>
      <c r="AQ45" s="632"/>
      <c r="AR45" s="591"/>
      <c r="AS45" s="591"/>
      <c r="AT45" s="591"/>
      <c r="AU45" s="434"/>
      <c r="AV45" s="434"/>
      <c r="AW45" s="2646"/>
      <c r="AX45" s="2646"/>
      <c r="AY45" s="2646"/>
      <c r="AZ45" s="2646"/>
      <c r="BA45" s="2646"/>
      <c r="BB45" s="2646"/>
      <c r="BC45" s="2646"/>
      <c r="BD45" s="2646"/>
      <c r="BE45" s="4259"/>
      <c r="BF45" s="4259"/>
      <c r="BG45" s="4259"/>
      <c r="BH45" s="4259"/>
      <c r="BI45" s="4259"/>
      <c r="BJ45" s="4259"/>
      <c r="BK45" s="4259"/>
      <c r="BL45" s="4259"/>
      <c r="BM45" s="4258"/>
      <c r="BN45" s="4258"/>
      <c r="BO45" s="4258"/>
      <c r="BP45" s="4258"/>
      <c r="BQ45" s="4258"/>
      <c r="BR45" s="4258"/>
      <c r="BS45" s="4258"/>
      <c r="BT45" s="4258"/>
      <c r="BU45" s="4258"/>
      <c r="BV45" s="4258"/>
      <c r="BW45" s="4258"/>
      <c r="BX45" s="4258"/>
    </row>
    <row r="46" spans="1:76" ht="20.100000000000001" customHeight="1">
      <c r="A46" s="434"/>
      <c r="B46" s="988"/>
      <c r="C46" s="434"/>
      <c r="D46" s="434"/>
      <c r="E46" s="1663" t="s">
        <v>1401</v>
      </c>
      <c r="F46" s="894"/>
      <c r="G46" s="894"/>
      <c r="H46" s="894"/>
      <c r="I46" s="894"/>
      <c r="J46" s="894"/>
      <c r="K46" s="894"/>
      <c r="L46" s="1664"/>
      <c r="M46" s="3126">
        <v>0</v>
      </c>
      <c r="N46" s="3128"/>
      <c r="O46" s="3129">
        <v>0</v>
      </c>
      <c r="P46" s="3130"/>
      <c r="Q46" s="3126">
        <v>0</v>
      </c>
      <c r="R46" s="3128"/>
      <c r="S46" s="3129">
        <v>0</v>
      </c>
      <c r="T46" s="3131"/>
      <c r="U46" s="4239">
        <f>+sch_num_learn_vac_measle_gr11_m+sch_num_learn_vac_measle_gr12_m</f>
        <v>0</v>
      </c>
      <c r="V46" s="4240"/>
      <c r="W46" s="4241">
        <f>+sch_num_learn_vac_measle_gr12_f+sch_num_learn_vac_measle_gr11_f</f>
        <v>0</v>
      </c>
      <c r="X46" s="4242"/>
      <c r="Y46" s="1181"/>
      <c r="Z46" s="1181"/>
      <c r="AA46" s="1181"/>
      <c r="AB46" s="1181"/>
      <c r="AC46" s="1181"/>
      <c r="AD46" s="1181"/>
      <c r="AE46" s="1181"/>
      <c r="AF46" s="591"/>
      <c r="AG46" s="591"/>
      <c r="AH46" s="591"/>
      <c r="AI46" s="591"/>
      <c r="AJ46" s="591"/>
      <c r="AK46" s="591"/>
      <c r="AL46" s="591"/>
      <c r="AM46" s="591"/>
      <c r="AN46" s="591"/>
      <c r="AO46" s="591"/>
      <c r="AP46" s="591"/>
      <c r="AQ46" s="632"/>
      <c r="AR46" s="591"/>
      <c r="AS46" s="591"/>
      <c r="AT46" s="591"/>
      <c r="AU46" s="434"/>
      <c r="AV46" s="434"/>
      <c r="AW46" s="260"/>
      <c r="AX46" s="260"/>
      <c r="AY46" s="260"/>
      <c r="AZ46" s="260"/>
      <c r="BA46" s="260"/>
      <c r="BB46" s="260"/>
      <c r="BC46" s="260"/>
      <c r="BD46" s="260"/>
      <c r="BE46" s="4259"/>
      <c r="BF46" s="4259"/>
      <c r="BG46" s="4259"/>
      <c r="BH46" s="4259"/>
      <c r="BI46" s="4259"/>
      <c r="BJ46" s="4259"/>
      <c r="BK46" s="4259"/>
      <c r="BL46" s="4259"/>
      <c r="BM46" s="4258"/>
      <c r="BN46" s="4258"/>
      <c r="BO46" s="4258"/>
      <c r="BP46" s="4258"/>
      <c r="BQ46" s="4258"/>
      <c r="BR46" s="4258"/>
      <c r="BS46" s="4258"/>
      <c r="BT46" s="4258"/>
      <c r="BU46" s="4258"/>
      <c r="BV46" s="4258"/>
      <c r="BW46" s="4258"/>
      <c r="BX46" s="4258"/>
    </row>
    <row r="47" spans="1:76" ht="20.100000000000001" customHeight="1">
      <c r="A47" s="434"/>
      <c r="B47" s="988"/>
      <c r="C47" s="434"/>
      <c r="D47" s="434"/>
      <c r="E47" s="1665" t="s">
        <v>1402</v>
      </c>
      <c r="F47" s="898"/>
      <c r="G47" s="898"/>
      <c r="H47" s="898"/>
      <c r="I47" s="898"/>
      <c r="J47" s="898"/>
      <c r="K47" s="898"/>
      <c r="L47" s="1666"/>
      <c r="M47" s="3079">
        <v>0</v>
      </c>
      <c r="N47" s="3081"/>
      <c r="O47" s="3082">
        <v>0</v>
      </c>
      <c r="P47" s="3083"/>
      <c r="Q47" s="3079">
        <v>0</v>
      </c>
      <c r="R47" s="3081"/>
      <c r="S47" s="3082">
        <v>0</v>
      </c>
      <c r="T47" s="3084"/>
      <c r="U47" s="3085">
        <f>+sch_num_learn_vac_tet_dip_gr12_m+sch_num_learn_vac_tet_dip_gr11_m</f>
        <v>0</v>
      </c>
      <c r="V47" s="3087"/>
      <c r="W47" s="3088">
        <f>+sch_num_learn_vac_tet_dip_gr12_f+sch_num_learn_vac_tet_dip_gr11_f</f>
        <v>0</v>
      </c>
      <c r="X47" s="3089"/>
      <c r="Y47" s="1181"/>
      <c r="Z47" s="1181"/>
      <c r="AA47" s="1181"/>
      <c r="AB47" s="1181"/>
      <c r="AC47" s="1181"/>
      <c r="AD47" s="1181"/>
      <c r="AE47" s="1181"/>
      <c r="AF47" s="591"/>
      <c r="AG47" s="591"/>
      <c r="AH47" s="591"/>
      <c r="AI47" s="591"/>
      <c r="AJ47" s="591"/>
      <c r="AK47" s="591"/>
      <c r="AL47" s="591"/>
      <c r="AM47" s="591"/>
      <c r="AN47" s="591"/>
      <c r="AO47" s="591"/>
      <c r="AP47" s="591"/>
      <c r="AQ47" s="632"/>
      <c r="AR47" s="591"/>
      <c r="AS47" s="591"/>
      <c r="AT47" s="591"/>
      <c r="AU47" s="434"/>
      <c r="AV47" s="434"/>
      <c r="AW47" s="260"/>
      <c r="AX47" s="260"/>
      <c r="AY47" s="260"/>
      <c r="AZ47" s="260"/>
      <c r="BA47" s="260"/>
      <c r="BB47" s="260"/>
      <c r="BC47" s="260"/>
      <c r="BD47" s="260"/>
      <c r="BE47" s="260"/>
      <c r="BF47" s="1667"/>
      <c r="BG47" s="1667"/>
      <c r="BH47" s="1667"/>
      <c r="BI47" s="1667"/>
      <c r="BJ47" s="1667"/>
      <c r="BK47" s="1667"/>
      <c r="BL47" s="1667"/>
      <c r="BM47" s="172"/>
      <c r="BN47" s="172"/>
      <c r="BO47" s="172"/>
      <c r="BP47" s="172"/>
      <c r="BQ47" s="164"/>
      <c r="BR47" s="164"/>
      <c r="BS47" s="164"/>
      <c r="BT47" s="164"/>
      <c r="BU47" s="164"/>
      <c r="BV47" s="164"/>
      <c r="BW47" s="164"/>
      <c r="BX47" s="164"/>
    </row>
    <row r="48" spans="1:76" ht="20.100000000000001" customHeight="1" thickBot="1">
      <c r="A48" s="434"/>
      <c r="B48" s="988"/>
      <c r="C48" s="434"/>
      <c r="D48" s="434"/>
      <c r="E48" s="1668" t="s">
        <v>1403</v>
      </c>
      <c r="F48" s="1669"/>
      <c r="G48" s="1669"/>
      <c r="H48" s="1669"/>
      <c r="I48" s="1669"/>
      <c r="J48" s="1669"/>
      <c r="K48" s="1669"/>
      <c r="L48" s="1670"/>
      <c r="M48" s="3179">
        <v>0</v>
      </c>
      <c r="N48" s="4246"/>
      <c r="O48" s="4247">
        <v>0</v>
      </c>
      <c r="P48" s="3181"/>
      <c r="Q48" s="3179">
        <v>0</v>
      </c>
      <c r="R48" s="4246"/>
      <c r="S48" s="4247">
        <v>0</v>
      </c>
      <c r="T48" s="3182"/>
      <c r="U48" s="3183">
        <f>+sch_num_learn_vac_pap_vir_gr12_m+sch_num_learn_vac_pap_vir_gr11_m</f>
        <v>0</v>
      </c>
      <c r="V48" s="4243"/>
      <c r="W48" s="4244">
        <f>+sch_num_learn_vac_pap_vir_gr12_f+sch_num_learn_vac_pap_vir_gr11_f</f>
        <v>0</v>
      </c>
      <c r="X48" s="3185"/>
      <c r="Y48" s="1667"/>
      <c r="Z48" s="1667"/>
      <c r="AA48" s="1667"/>
      <c r="AB48" s="1667"/>
      <c r="AC48" s="1667"/>
      <c r="AD48" s="1667"/>
      <c r="AE48" s="1667"/>
      <c r="AF48" s="591"/>
      <c r="AG48" s="591"/>
      <c r="AH48" s="591"/>
      <c r="AI48" s="591"/>
      <c r="AJ48" s="591"/>
      <c r="AK48" s="591"/>
      <c r="AL48" s="591"/>
      <c r="AM48" s="591"/>
      <c r="AN48" s="591"/>
      <c r="AO48" s="591"/>
      <c r="AP48" s="591"/>
      <c r="AQ48" s="632"/>
      <c r="AR48" s="591"/>
      <c r="AS48" s="591"/>
      <c r="AT48" s="591"/>
      <c r="AU48" s="434"/>
      <c r="AV48" s="434"/>
      <c r="AW48" s="260"/>
      <c r="AX48" s="260"/>
      <c r="AY48" s="260"/>
      <c r="AZ48" s="260"/>
      <c r="BA48" s="260"/>
      <c r="BB48" s="260"/>
      <c r="BC48" s="260"/>
      <c r="BD48" s="260"/>
      <c r="BE48" s="260"/>
      <c r="BF48" s="1667"/>
      <c r="BG48" s="1667"/>
      <c r="BH48" s="1667"/>
      <c r="BI48" s="1667"/>
      <c r="BJ48" s="1667"/>
      <c r="BK48" s="1667"/>
      <c r="BL48" s="1667"/>
      <c r="BM48" s="172"/>
      <c r="BN48" s="172"/>
      <c r="BO48" s="172"/>
      <c r="BP48" s="172"/>
      <c r="BQ48" s="164"/>
      <c r="BR48" s="164"/>
      <c r="BS48" s="164"/>
      <c r="BT48" s="164"/>
      <c r="BU48" s="164"/>
      <c r="BV48" s="164"/>
      <c r="BW48" s="164"/>
      <c r="BX48" s="164"/>
    </row>
    <row r="49" spans="1:95" ht="12" customHeight="1">
      <c r="A49" s="434"/>
      <c r="B49" s="988"/>
      <c r="C49" s="434"/>
      <c r="D49" s="434"/>
      <c r="E49" s="582"/>
      <c r="F49" s="582"/>
      <c r="G49" s="582"/>
      <c r="H49" s="582"/>
      <c r="I49" s="582"/>
      <c r="J49" s="582"/>
      <c r="K49" s="582"/>
      <c r="L49" s="582"/>
      <c r="M49" s="1181"/>
      <c r="N49" s="1181"/>
      <c r="O49" s="1181"/>
      <c r="P49" s="1181"/>
      <c r="Q49" s="1181"/>
      <c r="R49" s="1181"/>
      <c r="S49" s="1181"/>
      <c r="T49" s="1181"/>
      <c r="U49" s="1667"/>
      <c r="V49" s="1667"/>
      <c r="W49" s="1667"/>
      <c r="X49" s="1667"/>
      <c r="Y49" s="1667"/>
      <c r="Z49" s="1667"/>
      <c r="AA49" s="1667"/>
      <c r="AB49" s="1667"/>
      <c r="AC49" s="1667"/>
      <c r="AD49" s="1667"/>
      <c r="AE49" s="1667"/>
      <c r="AF49" s="591"/>
      <c r="AG49" s="591"/>
      <c r="AH49" s="591"/>
      <c r="AI49" s="591"/>
      <c r="AJ49" s="591"/>
      <c r="AK49" s="591"/>
      <c r="AL49" s="591"/>
      <c r="AM49" s="591"/>
      <c r="AN49" s="591"/>
      <c r="AO49" s="591"/>
      <c r="AP49" s="591"/>
      <c r="AQ49" s="632"/>
      <c r="AR49" s="591"/>
      <c r="AS49" s="591"/>
      <c r="AT49" s="591"/>
      <c r="AU49" s="434"/>
      <c r="AV49" s="434"/>
      <c r="AW49" s="260"/>
      <c r="AX49" s="260"/>
      <c r="AY49" s="260"/>
      <c r="AZ49" s="260"/>
      <c r="BA49" s="260"/>
      <c r="BB49" s="260"/>
      <c r="BC49" s="260"/>
      <c r="BD49" s="260"/>
      <c r="BE49" s="260"/>
      <c r="BF49" s="1667"/>
      <c r="BG49" s="1667"/>
      <c r="BH49" s="1667"/>
      <c r="BI49" s="1667"/>
      <c r="BJ49" s="1667"/>
      <c r="BK49" s="1667"/>
      <c r="BL49" s="1667"/>
      <c r="BM49" s="172"/>
      <c r="BN49" s="172"/>
      <c r="BO49" s="172"/>
      <c r="BP49" s="172"/>
      <c r="BQ49" s="164"/>
      <c r="BR49" s="164"/>
      <c r="BS49" s="164"/>
      <c r="BT49" s="164"/>
      <c r="BU49" s="164"/>
      <c r="BV49" s="164"/>
      <c r="BW49" s="164"/>
      <c r="BX49" s="164"/>
    </row>
    <row r="50" spans="1:95" ht="20.100000000000001" customHeight="1">
      <c r="A50" s="434"/>
      <c r="B50" s="988"/>
      <c r="C50" s="434"/>
      <c r="D50" s="1671" t="s">
        <v>57</v>
      </c>
      <c r="E50" s="4226" t="s">
        <v>1953</v>
      </c>
      <c r="F50" s="4226"/>
      <c r="G50" s="4226"/>
      <c r="H50" s="4226"/>
      <c r="I50" s="4226"/>
      <c r="J50" s="4226"/>
      <c r="K50" s="4226"/>
      <c r="L50" s="4226"/>
      <c r="M50" s="4226"/>
      <c r="N50" s="4226"/>
      <c r="O50" s="591"/>
      <c r="P50" s="4228" t="b">
        <v>0</v>
      </c>
      <c r="Q50" s="2646" t="s">
        <v>484</v>
      </c>
      <c r="R50" s="582"/>
      <c r="S50" s="591"/>
      <c r="T50" s="591"/>
      <c r="U50" s="4228"/>
      <c r="V50" s="2646" t="s">
        <v>485</v>
      </c>
      <c r="W50" s="434"/>
      <c r="X50" s="582"/>
      <c r="Y50" s="582"/>
      <c r="Z50" s="582"/>
      <c r="AA50" s="582"/>
      <c r="AB50" s="582"/>
      <c r="AC50" s="582"/>
      <c r="AD50" s="582"/>
      <c r="AE50" s="582"/>
      <c r="AF50" s="1181"/>
      <c r="AG50" s="1181"/>
      <c r="AH50" s="1181"/>
      <c r="AI50" s="1181"/>
      <c r="AJ50" s="1181"/>
      <c r="AK50" s="1181"/>
      <c r="AL50" s="1181"/>
      <c r="AM50" s="1181"/>
      <c r="AN50" s="1667"/>
      <c r="AO50" s="1667"/>
      <c r="AP50" s="1667"/>
      <c r="AQ50" s="1672"/>
      <c r="AR50" s="1667"/>
      <c r="AS50" s="1667"/>
      <c r="AT50" s="1667"/>
      <c r="AU50" s="1667"/>
      <c r="AV50" s="1667"/>
      <c r="AW50" s="1667"/>
      <c r="AX50" s="1667"/>
      <c r="AY50" s="591"/>
      <c r="AZ50" s="591"/>
      <c r="BA50" s="591"/>
      <c r="BB50" s="591"/>
      <c r="BC50" s="591"/>
      <c r="BD50" s="591"/>
      <c r="BE50" s="591"/>
      <c r="BF50" s="591"/>
      <c r="BG50" s="591"/>
      <c r="BH50" s="591"/>
      <c r="BI50" s="591"/>
      <c r="BJ50" s="632"/>
      <c r="BK50" s="591"/>
      <c r="BL50" s="591"/>
      <c r="BM50" s="45"/>
      <c r="BP50" s="164"/>
      <c r="BQ50" s="164"/>
      <c r="BR50" s="164"/>
      <c r="BS50" s="164"/>
      <c r="BT50" s="164"/>
      <c r="BU50" s="164"/>
      <c r="BV50" s="164"/>
      <c r="BW50" s="164"/>
      <c r="BX50" s="164"/>
      <c r="BY50" s="172"/>
      <c r="BZ50" s="172"/>
      <c r="CA50" s="172"/>
      <c r="CB50" s="172"/>
      <c r="CC50" s="172"/>
      <c r="CD50" s="172"/>
      <c r="CE50" s="172"/>
      <c r="CF50" s="172"/>
      <c r="CG50" s="172"/>
      <c r="CH50" s="172"/>
      <c r="CI50" s="172"/>
      <c r="CJ50" s="164"/>
      <c r="CK50" s="164"/>
      <c r="CL50" s="164"/>
      <c r="CM50" s="164"/>
      <c r="CN50" s="164"/>
      <c r="CO50" s="164"/>
      <c r="CP50" s="164"/>
      <c r="CQ50" s="164"/>
    </row>
    <row r="51" spans="1:95" ht="20.100000000000001" customHeight="1">
      <c r="A51" s="434"/>
      <c r="B51" s="988"/>
      <c r="C51" s="434"/>
      <c r="D51" s="593"/>
      <c r="E51" s="4226"/>
      <c r="F51" s="4226"/>
      <c r="G51" s="4226"/>
      <c r="H51" s="4226"/>
      <c r="I51" s="4226"/>
      <c r="J51" s="4226"/>
      <c r="K51" s="4226"/>
      <c r="L51" s="4226"/>
      <c r="M51" s="4226"/>
      <c r="N51" s="4226"/>
      <c r="O51" s="434"/>
      <c r="P51" s="4228"/>
      <c r="Q51" s="2646"/>
      <c r="R51" s="582"/>
      <c r="S51" s="591"/>
      <c r="T51" s="591"/>
      <c r="U51" s="4228"/>
      <c r="V51" s="2646"/>
      <c r="W51" s="434"/>
      <c r="X51" s="434"/>
      <c r="Y51" s="434"/>
      <c r="Z51" s="434"/>
      <c r="AA51" s="434"/>
      <c r="AB51" s="434"/>
      <c r="AC51" s="434"/>
      <c r="AD51" s="434"/>
      <c r="AE51" s="434"/>
      <c r="AF51" s="434"/>
      <c r="AG51" s="434"/>
      <c r="AH51" s="434"/>
      <c r="AI51" s="434"/>
      <c r="AJ51" s="434"/>
      <c r="AK51" s="434"/>
      <c r="AL51" s="434"/>
      <c r="AM51" s="1181"/>
      <c r="AN51" s="1673"/>
      <c r="AO51" s="591"/>
      <c r="AP51" s="591"/>
      <c r="AQ51" s="632"/>
      <c r="AR51" s="591"/>
      <c r="AS51" s="591"/>
      <c r="AT51" s="591"/>
      <c r="AU51" s="591"/>
      <c r="AV51" s="591"/>
      <c r="AW51" s="591"/>
      <c r="AX51" s="591"/>
      <c r="AY51" s="591"/>
      <c r="AZ51" s="591"/>
      <c r="BA51" s="591"/>
      <c r="BB51" s="591"/>
      <c r="BC51" s="591"/>
      <c r="BD51" s="591"/>
      <c r="BE51" s="591"/>
      <c r="BF51" s="591"/>
      <c r="BG51" s="591"/>
      <c r="BH51" s="591"/>
      <c r="BI51" s="591"/>
      <c r="BJ51" s="591"/>
      <c r="BK51" s="591"/>
      <c r="BL51" s="591"/>
      <c r="BM51" s="45"/>
      <c r="BP51" s="164"/>
      <c r="BQ51" s="125"/>
      <c r="BR51" s="164"/>
      <c r="BS51" s="164"/>
      <c r="BT51" s="164"/>
      <c r="BU51" s="164"/>
      <c r="BV51" s="164"/>
      <c r="BW51" s="164"/>
      <c r="BX51" s="164"/>
      <c r="BY51" s="164"/>
      <c r="BZ51" s="164"/>
      <c r="CA51" s="164"/>
      <c r="CB51" s="164"/>
      <c r="CC51" s="164"/>
      <c r="CD51" s="164"/>
      <c r="CE51" s="164"/>
      <c r="CF51" s="164"/>
      <c r="CG51" s="164"/>
      <c r="CH51" s="164"/>
      <c r="CI51" s="164"/>
      <c r="CJ51" s="164"/>
      <c r="CK51" s="164"/>
      <c r="CL51" s="164"/>
      <c r="CM51" s="164"/>
      <c r="CN51" s="164"/>
      <c r="CO51" s="164"/>
      <c r="CP51" s="164"/>
      <c r="CQ51" s="164"/>
    </row>
    <row r="52" spans="1:95" ht="3.6" customHeight="1" thickBot="1">
      <c r="A52" s="434"/>
      <c r="B52" s="646"/>
      <c r="C52" s="659"/>
      <c r="D52" s="1674"/>
      <c r="E52" s="4227"/>
      <c r="F52" s="4227"/>
      <c r="G52" s="4227"/>
      <c r="H52" s="4227"/>
      <c r="I52" s="4227"/>
      <c r="J52" s="4227"/>
      <c r="K52" s="4227"/>
      <c r="L52" s="4227"/>
      <c r="M52" s="4227"/>
      <c r="N52" s="4227"/>
      <c r="O52" s="1580"/>
      <c r="P52" s="1580"/>
      <c r="Q52" s="1580"/>
      <c r="R52" s="1580"/>
      <c r="S52" s="1580"/>
      <c r="T52" s="1675"/>
      <c r="U52" s="1675"/>
      <c r="V52" s="1675"/>
      <c r="W52" s="659"/>
      <c r="X52" s="659"/>
      <c r="Y52" s="659"/>
      <c r="Z52" s="659"/>
      <c r="AA52" s="659"/>
      <c r="AB52" s="659"/>
      <c r="AC52" s="659"/>
      <c r="AD52" s="659"/>
      <c r="AE52" s="659"/>
      <c r="AF52" s="659"/>
      <c r="AG52" s="659"/>
      <c r="AH52" s="659"/>
      <c r="AI52" s="659"/>
      <c r="AJ52" s="659"/>
      <c r="AK52" s="659"/>
      <c r="AL52" s="659"/>
      <c r="AM52" s="1676"/>
      <c r="AN52" s="596"/>
      <c r="AO52" s="994"/>
      <c r="AP52" s="994"/>
      <c r="AQ52" s="995"/>
      <c r="AR52" s="591"/>
      <c r="AS52" s="591"/>
      <c r="AT52" s="591"/>
      <c r="AU52" s="591"/>
      <c r="AV52" s="591"/>
      <c r="AW52" s="591"/>
      <c r="AX52" s="591"/>
      <c r="AY52" s="591"/>
      <c r="AZ52" s="591"/>
      <c r="BA52" s="591"/>
      <c r="BB52" s="591"/>
      <c r="BC52" s="591"/>
      <c r="BD52" s="591"/>
      <c r="BE52" s="591"/>
      <c r="BF52" s="591"/>
      <c r="BG52" s="591"/>
      <c r="BH52" s="591"/>
      <c r="BI52" s="591"/>
      <c r="BJ52" s="591"/>
      <c r="BK52" s="591"/>
      <c r="BL52" s="591"/>
      <c r="BM52" s="45"/>
      <c r="BP52" s="164"/>
      <c r="BQ52" s="164"/>
      <c r="BR52" s="173"/>
      <c r="BS52" s="164"/>
      <c r="BT52" s="164"/>
      <c r="BU52" s="164"/>
      <c r="BV52" s="164"/>
      <c r="BW52" s="164"/>
      <c r="BX52" s="164"/>
      <c r="BY52" s="164"/>
      <c r="BZ52" s="164"/>
      <c r="CA52" s="164"/>
      <c r="CB52" s="164"/>
      <c r="CC52" s="164"/>
      <c r="CD52" s="110"/>
      <c r="CE52" s="40"/>
      <c r="CF52" s="40"/>
      <c r="CG52" s="110"/>
      <c r="CH52" s="40"/>
      <c r="CI52" s="164"/>
      <c r="CJ52" s="164"/>
      <c r="CK52" s="164"/>
      <c r="CL52" s="164"/>
      <c r="CM52" s="164"/>
      <c r="CN52" s="164"/>
      <c r="CO52" s="164"/>
      <c r="CP52" s="164"/>
      <c r="CQ52" s="164"/>
    </row>
    <row r="53" spans="1:95" ht="5.0999999999999996" customHeight="1">
      <c r="A53" s="434"/>
      <c r="B53" s="434"/>
      <c r="C53" s="434"/>
      <c r="D53" s="581"/>
      <c r="E53" s="1677"/>
      <c r="F53" s="1677"/>
      <c r="G53" s="1677"/>
      <c r="H53" s="1677"/>
      <c r="I53" s="1677"/>
      <c r="J53" s="1677"/>
      <c r="K53" s="1677"/>
      <c r="L53" s="1677"/>
      <c r="M53" s="1677"/>
      <c r="N53" s="1677"/>
      <c r="O53" s="1678"/>
      <c r="P53" s="1678"/>
      <c r="Q53" s="1678"/>
      <c r="R53" s="1678"/>
      <c r="S53" s="1678"/>
      <c r="T53" s="619"/>
      <c r="U53" s="619"/>
      <c r="V53" s="619"/>
      <c r="W53" s="434"/>
      <c r="X53" s="434"/>
      <c r="Y53" s="434"/>
      <c r="Z53" s="434"/>
      <c r="AA53" s="434"/>
      <c r="AB53" s="434"/>
      <c r="AC53" s="434"/>
      <c r="AD53" s="434"/>
      <c r="AE53" s="434"/>
      <c r="AF53" s="434"/>
      <c r="AG53" s="434"/>
      <c r="AH53" s="434"/>
      <c r="AI53" s="434"/>
      <c r="AJ53" s="434"/>
      <c r="AK53" s="434"/>
      <c r="AL53" s="434"/>
      <c r="AM53" s="1181"/>
      <c r="AN53" s="582"/>
      <c r="AO53" s="591"/>
      <c r="AP53" s="591"/>
      <c r="AQ53" s="591"/>
      <c r="AR53" s="591"/>
      <c r="AS53" s="591"/>
      <c r="AT53" s="591"/>
      <c r="AU53" s="591"/>
      <c r="AV53" s="591"/>
      <c r="AW53" s="591"/>
      <c r="AX53" s="591"/>
      <c r="AY53" s="591"/>
      <c r="AZ53" s="591"/>
      <c r="BA53" s="591"/>
      <c r="BB53" s="591"/>
      <c r="BC53" s="591"/>
      <c r="BD53" s="591"/>
      <c r="BE53" s="591"/>
      <c r="BF53" s="591"/>
      <c r="BG53" s="591"/>
      <c r="BH53" s="591"/>
      <c r="BI53" s="591"/>
      <c r="BJ53" s="591"/>
      <c r="BK53" s="591"/>
      <c r="BL53" s="591"/>
      <c r="BM53" s="45"/>
      <c r="BP53" s="164"/>
      <c r="BQ53" s="164"/>
      <c r="BR53" s="173"/>
      <c r="BS53" s="164"/>
      <c r="BT53" s="164"/>
      <c r="BU53" s="164"/>
      <c r="BV53" s="164"/>
      <c r="BW53" s="164"/>
      <c r="BX53" s="164"/>
      <c r="BY53" s="164"/>
      <c r="BZ53" s="164"/>
      <c r="CA53" s="164"/>
      <c r="CB53" s="164"/>
      <c r="CC53" s="164"/>
      <c r="CD53" s="110"/>
      <c r="CE53" s="40"/>
      <c r="CF53" s="40"/>
      <c r="CG53" s="110"/>
      <c r="CH53" s="40"/>
      <c r="CI53" s="164"/>
      <c r="CJ53" s="164"/>
      <c r="CK53" s="164"/>
      <c r="CL53" s="164"/>
      <c r="CM53" s="164"/>
      <c r="CN53" s="164"/>
      <c r="CO53" s="164"/>
      <c r="CP53" s="164"/>
      <c r="CQ53" s="164"/>
    </row>
    <row r="54" spans="1:95" ht="129" customHeight="1">
      <c r="A54" s="434"/>
      <c r="B54" s="1679" t="s">
        <v>47</v>
      </c>
      <c r="C54" s="4249" t="s">
        <v>1829</v>
      </c>
      <c r="D54" s="4249"/>
      <c r="E54" s="4249"/>
      <c r="F54" s="4249"/>
      <c r="G54" s="4249"/>
      <c r="H54" s="4249"/>
      <c r="I54" s="4249"/>
      <c r="J54" s="4249"/>
      <c r="K54" s="4249"/>
      <c r="L54" s="4249"/>
      <c r="M54" s="4249"/>
      <c r="N54" s="4249"/>
      <c r="O54" s="4249"/>
      <c r="P54" s="4249"/>
      <c r="Q54" s="4249"/>
      <c r="R54" s="4249"/>
      <c r="S54" s="4249"/>
      <c r="T54" s="4249"/>
      <c r="U54" s="4249"/>
      <c r="V54" s="4249"/>
      <c r="W54" s="4249"/>
      <c r="X54" s="4249"/>
      <c r="Y54" s="4249"/>
      <c r="Z54" s="4249"/>
      <c r="AA54" s="4249"/>
      <c r="AB54" s="4249"/>
      <c r="AC54" s="4249"/>
      <c r="AD54" s="4249"/>
      <c r="AE54" s="4249"/>
      <c r="AF54" s="4249"/>
      <c r="AG54" s="4249"/>
      <c r="AH54" s="4249"/>
      <c r="AI54" s="4249"/>
      <c r="AJ54" s="4249"/>
      <c r="AK54" s="4249"/>
      <c r="AL54" s="4249"/>
      <c r="AM54" s="4249"/>
      <c r="AN54" s="4249"/>
      <c r="AO54" s="4249"/>
      <c r="AP54" s="4249"/>
      <c r="AQ54" s="4249"/>
      <c r="AR54" s="1680"/>
      <c r="AS54" s="1680"/>
      <c r="AT54" s="1680"/>
      <c r="AU54" s="4248"/>
      <c r="AV54" s="4248"/>
      <c r="AW54" s="4248"/>
      <c r="AX54" s="4248"/>
      <c r="AY54" s="4248"/>
      <c r="AZ54" s="434"/>
      <c r="BA54" s="434"/>
      <c r="BB54" s="434"/>
      <c r="BC54" s="434"/>
      <c r="BD54" s="434"/>
      <c r="BE54" s="434"/>
      <c r="BF54" s="434"/>
      <c r="BG54" s="434"/>
      <c r="BH54" s="434"/>
      <c r="BI54" s="434"/>
      <c r="BJ54" s="434"/>
      <c r="BK54" s="434"/>
      <c r="BL54" s="434"/>
    </row>
    <row r="55" spans="1:95" ht="105" customHeight="1">
      <c r="A55" s="434"/>
      <c r="B55" s="1679" t="s">
        <v>48</v>
      </c>
      <c r="C55" s="4250" t="s">
        <v>1830</v>
      </c>
      <c r="D55" s="4250"/>
      <c r="E55" s="4250"/>
      <c r="F55" s="4250"/>
      <c r="G55" s="4250"/>
      <c r="H55" s="4250"/>
      <c r="I55" s="4250"/>
      <c r="J55" s="4250"/>
      <c r="K55" s="4250"/>
      <c r="L55" s="4250"/>
      <c r="M55" s="4250"/>
      <c r="N55" s="4250"/>
      <c r="O55" s="4250"/>
      <c r="P55" s="4250"/>
      <c r="Q55" s="4250"/>
      <c r="R55" s="4250"/>
      <c r="S55" s="4250"/>
      <c r="T55" s="4250"/>
      <c r="U55" s="4250"/>
      <c r="V55" s="4250"/>
      <c r="W55" s="4250"/>
      <c r="X55" s="4250"/>
      <c r="Y55" s="4250"/>
      <c r="Z55" s="4250"/>
      <c r="AA55" s="4250"/>
      <c r="AB55" s="4250"/>
      <c r="AC55" s="4250"/>
      <c r="AD55" s="4250"/>
      <c r="AE55" s="4250"/>
      <c r="AF55" s="4250"/>
      <c r="AG55" s="4250"/>
      <c r="AH55" s="4250"/>
      <c r="AI55" s="4250"/>
      <c r="AJ55" s="4250"/>
      <c r="AK55" s="4250"/>
      <c r="AL55" s="4250"/>
      <c r="AM55" s="4250"/>
      <c r="AN55" s="4250"/>
      <c r="AO55" s="4250"/>
      <c r="AP55" s="4250"/>
      <c r="AQ55" s="4250"/>
      <c r="AR55" s="1681"/>
      <c r="AS55" s="1681"/>
      <c r="AT55" s="1681"/>
      <c r="AU55" s="434"/>
      <c r="AV55" s="434"/>
      <c r="AW55" s="434"/>
      <c r="AX55" s="434"/>
      <c r="AY55" s="434"/>
      <c r="AZ55" s="434"/>
      <c r="BA55" s="434"/>
      <c r="BB55" s="434"/>
      <c r="BC55" s="434"/>
      <c r="BD55" s="434"/>
      <c r="BE55" s="434"/>
      <c r="BF55" s="434"/>
      <c r="BG55" s="434"/>
      <c r="BH55" s="434"/>
      <c r="BI55" s="434"/>
      <c r="BJ55" s="434"/>
      <c r="BK55" s="434"/>
      <c r="BL55" s="434"/>
    </row>
    <row r="56" spans="1:95" s="217" customFormat="1" ht="68.45" customHeight="1">
      <c r="A56" s="1131"/>
      <c r="B56" s="1682" t="s">
        <v>49</v>
      </c>
      <c r="C56" s="4253" t="s">
        <v>1977</v>
      </c>
      <c r="D56" s="4253"/>
      <c r="E56" s="4253"/>
      <c r="F56" s="4253"/>
      <c r="G56" s="4253"/>
      <c r="H56" s="4253"/>
      <c r="I56" s="4253"/>
      <c r="J56" s="4253"/>
      <c r="K56" s="4253"/>
      <c r="L56" s="4253"/>
      <c r="M56" s="4253"/>
      <c r="N56" s="4253"/>
      <c r="O56" s="4253"/>
      <c r="P56" s="4253"/>
      <c r="Q56" s="4253"/>
      <c r="R56" s="4253"/>
      <c r="S56" s="4253"/>
      <c r="T56" s="4253"/>
      <c r="U56" s="4253"/>
      <c r="V56" s="4253"/>
      <c r="W56" s="4253"/>
      <c r="X56" s="4253"/>
      <c r="Y56" s="4253"/>
      <c r="Z56" s="4253"/>
      <c r="AA56" s="4253"/>
      <c r="AB56" s="4253"/>
      <c r="AC56" s="4253"/>
      <c r="AD56" s="4253"/>
      <c r="AE56" s="4253"/>
      <c r="AF56" s="4253"/>
      <c r="AG56" s="4253"/>
      <c r="AH56" s="4253"/>
      <c r="AI56" s="4253"/>
      <c r="AJ56" s="4253"/>
      <c r="AK56" s="4253"/>
      <c r="AL56" s="4253"/>
      <c r="AM56" s="4253"/>
      <c r="AN56" s="4253"/>
      <c r="AO56" s="4253"/>
      <c r="AP56" s="4253"/>
      <c r="AQ56" s="4253"/>
      <c r="AR56" s="4253"/>
      <c r="AS56" s="4253"/>
      <c r="AT56" s="4253"/>
      <c r="AU56" s="1683"/>
      <c r="AV56" s="1131"/>
      <c r="AW56" s="1131"/>
      <c r="AX56" s="1131"/>
      <c r="AY56" s="1131"/>
      <c r="AZ56" s="1131"/>
      <c r="BA56" s="1131"/>
      <c r="BB56" s="1131"/>
      <c r="BC56" s="1131"/>
      <c r="BD56" s="1131"/>
      <c r="BE56" s="1131"/>
      <c r="BF56" s="1131"/>
      <c r="BG56" s="1131"/>
      <c r="BH56" s="1131"/>
      <c r="BI56" s="1131"/>
      <c r="BJ56" s="1131"/>
      <c r="BK56" s="1131"/>
      <c r="BL56" s="1131"/>
    </row>
    <row r="57" spans="1:95" s="11" customFormat="1" ht="36.6" customHeight="1">
      <c r="A57" s="430"/>
      <c r="B57" s="377" t="s">
        <v>268</v>
      </c>
      <c r="C57" s="432"/>
      <c r="D57" s="227"/>
      <c r="E57" s="2501" t="s">
        <v>1682</v>
      </c>
      <c r="F57" s="2501"/>
      <c r="G57" s="2501"/>
      <c r="H57" s="2501"/>
      <c r="I57" s="2501"/>
      <c r="J57" s="2501"/>
      <c r="K57" s="2501"/>
      <c r="L57" s="2501"/>
      <c r="M57" s="2501"/>
      <c r="N57" s="2501"/>
      <c r="O57" s="2501"/>
      <c r="P57" s="2501"/>
      <c r="Q57" s="2501"/>
      <c r="R57" s="2501"/>
      <c r="S57" s="2501"/>
      <c r="T57" s="2501"/>
      <c r="U57" s="2501"/>
      <c r="V57" s="2501"/>
      <c r="W57" s="2501"/>
      <c r="X57" s="2501"/>
      <c r="Y57" s="2501"/>
      <c r="Z57" s="2501"/>
      <c r="AA57" s="2501"/>
      <c r="AB57" s="2501"/>
      <c r="AC57" s="2501"/>
      <c r="AD57" s="2501"/>
      <c r="AE57" s="2501"/>
      <c r="AF57" s="2501"/>
      <c r="AG57" s="2501"/>
      <c r="AH57" s="2501"/>
      <c r="AI57" s="2501"/>
      <c r="AJ57" s="2501"/>
      <c r="AK57" s="2501"/>
      <c r="AL57" s="2501"/>
      <c r="AM57" s="2501"/>
      <c r="AN57" s="2501"/>
      <c r="AO57" s="2501"/>
      <c r="AP57" s="2501"/>
      <c r="AQ57" s="2501"/>
      <c r="AR57" s="2501"/>
      <c r="AS57" s="2501"/>
      <c r="AT57" s="2501"/>
      <c r="AU57" s="491"/>
      <c r="AV57" s="491"/>
      <c r="AW57" s="491"/>
      <c r="AX57" s="491"/>
      <c r="AY57" s="491"/>
      <c r="AZ57" s="377"/>
      <c r="BA57" s="377"/>
      <c r="BB57" s="377"/>
      <c r="BC57" s="377"/>
      <c r="BD57" s="377"/>
      <c r="BE57" s="377"/>
      <c r="BF57" s="377"/>
      <c r="BG57" s="377"/>
      <c r="BH57" s="377"/>
      <c r="BI57" s="377"/>
      <c r="BJ57" s="377"/>
      <c r="BK57" s="377"/>
      <c r="BL57" s="377"/>
      <c r="BM57" s="25"/>
      <c r="BN57" s="25"/>
      <c r="BO57" s="25"/>
      <c r="BP57" s="25"/>
      <c r="BQ57" s="25"/>
      <c r="BR57" s="25"/>
      <c r="BS57" s="25"/>
      <c r="BV57" s="51"/>
    </row>
    <row r="58" spans="1:95" s="11" customFormat="1" ht="15" customHeight="1">
      <c r="A58" s="430"/>
      <c r="B58" s="377"/>
      <c r="C58" s="432"/>
      <c r="D58" s="227"/>
      <c r="E58" s="1684"/>
      <c r="F58" s="1684"/>
      <c r="G58" s="1684"/>
      <c r="H58" s="1684"/>
      <c r="I58" s="1684"/>
      <c r="J58" s="1684"/>
      <c r="K58" s="1684"/>
      <c r="L58" s="1684"/>
      <c r="M58" s="1684"/>
      <c r="N58" s="1684"/>
      <c r="O58" s="1684"/>
      <c r="P58" s="1684"/>
      <c r="Q58" s="1684"/>
      <c r="R58" s="1684"/>
      <c r="S58" s="1684"/>
      <c r="T58" s="1684"/>
      <c r="U58" s="1684"/>
      <c r="V58" s="1684"/>
      <c r="W58" s="1684"/>
      <c r="X58" s="1684"/>
      <c r="Y58" s="1684"/>
      <c r="Z58" s="1684"/>
      <c r="AA58" s="1684"/>
      <c r="AB58" s="1684"/>
      <c r="AC58" s="1684"/>
      <c r="AD58" s="1684"/>
      <c r="AE58" s="1684"/>
      <c r="AF58" s="1684"/>
      <c r="AG58" s="1684"/>
      <c r="AH58" s="1684"/>
      <c r="AI58" s="1684"/>
      <c r="AJ58" s="1684"/>
      <c r="AK58" s="1684"/>
      <c r="AL58" s="1684"/>
      <c r="AM58" s="1684"/>
      <c r="AN58" s="1684"/>
      <c r="AO58" s="1684"/>
      <c r="AP58" s="1684"/>
      <c r="AQ58" s="1684"/>
      <c r="AR58" s="1684"/>
      <c r="AS58" s="1684"/>
      <c r="AT58" s="1684"/>
      <c r="AU58" s="491"/>
      <c r="AV58" s="491"/>
      <c r="AW58" s="491"/>
      <c r="AX58" s="491"/>
      <c r="AY58" s="491"/>
      <c r="AZ58" s="377"/>
      <c r="BA58" s="377"/>
      <c r="BB58" s="377"/>
      <c r="BC58" s="377"/>
      <c r="BD58" s="377"/>
      <c r="BE58" s="377"/>
      <c r="BF58" s="377"/>
      <c r="BG58" s="377"/>
      <c r="BH58" s="377"/>
      <c r="BI58" s="377"/>
      <c r="BJ58" s="377"/>
      <c r="BK58" s="377"/>
      <c r="BL58" s="377"/>
      <c r="BM58" s="25"/>
      <c r="BN58" s="25"/>
      <c r="BO58" s="25"/>
      <c r="BP58" s="25"/>
      <c r="BQ58" s="25"/>
      <c r="BR58" s="25"/>
      <c r="BS58" s="25"/>
      <c r="BV58" s="51"/>
    </row>
    <row r="59" spans="1:95" s="37" customFormat="1" ht="15">
      <c r="A59" s="263"/>
      <c r="B59" s="332" t="s">
        <v>74</v>
      </c>
      <c r="C59" s="263"/>
      <c r="D59" s="263"/>
      <c r="E59" s="263"/>
      <c r="F59" s="263"/>
      <c r="G59" s="263"/>
      <c r="H59" s="263"/>
      <c r="I59" s="263"/>
      <c r="J59" s="263"/>
      <c r="K59" s="263"/>
      <c r="L59" s="263"/>
      <c r="M59" s="263"/>
      <c r="N59" s="263"/>
      <c r="O59" s="263"/>
      <c r="P59" s="263"/>
      <c r="Q59" s="263"/>
      <c r="R59" s="263"/>
      <c r="S59" s="263"/>
      <c r="T59" s="263"/>
      <c r="U59" s="263"/>
      <c r="V59" s="263"/>
      <c r="W59" s="263"/>
      <c r="X59" s="263"/>
      <c r="Y59" s="263"/>
      <c r="Z59" s="263"/>
      <c r="AA59" s="263"/>
      <c r="AB59" s="332" t="s">
        <v>1011</v>
      </c>
      <c r="AC59" s="263"/>
      <c r="AD59" s="263"/>
      <c r="AE59" s="263"/>
      <c r="AF59" s="263"/>
      <c r="AG59" s="263"/>
      <c r="AH59" s="263"/>
      <c r="AI59" s="263"/>
      <c r="AJ59" s="263"/>
      <c r="AK59" s="263"/>
      <c r="AL59" s="263"/>
      <c r="AM59" s="263"/>
      <c r="AN59" s="263"/>
      <c r="AO59" s="263"/>
      <c r="AP59" s="263"/>
      <c r="AQ59" s="263"/>
      <c r="AR59" s="263"/>
      <c r="AS59" s="263"/>
      <c r="AT59" s="263"/>
      <c r="AU59" s="263"/>
      <c r="AV59" s="263"/>
      <c r="AW59" s="263"/>
      <c r="AX59" s="263"/>
      <c r="AY59" s="263"/>
      <c r="AZ59" s="263"/>
      <c r="BA59" s="263"/>
      <c r="BB59" s="263"/>
      <c r="BC59" s="263"/>
      <c r="BD59" s="263"/>
      <c r="BE59" s="263"/>
      <c r="BF59" s="263"/>
      <c r="BG59" s="263"/>
      <c r="BH59" s="263"/>
      <c r="BI59" s="263"/>
      <c r="BJ59" s="263"/>
      <c r="BK59" s="263"/>
      <c r="BL59" s="263"/>
    </row>
    <row r="60" spans="1:95" s="37" customFormat="1" ht="21.6" customHeight="1">
      <c r="A60" s="263"/>
      <c r="B60" s="332" t="s">
        <v>75</v>
      </c>
      <c r="C60" s="263"/>
      <c r="D60" s="263"/>
      <c r="E60" s="263"/>
      <c r="F60" s="2790" t="str">
        <f>activesheet!E21</f>
        <v>MELCHESIEDICK Q. BOLANIO / March 17, 2023</v>
      </c>
      <c r="G60" s="2790"/>
      <c r="H60" s="2790"/>
      <c r="I60" s="2790"/>
      <c r="J60" s="2790"/>
      <c r="K60" s="2790"/>
      <c r="L60" s="2790"/>
      <c r="M60" s="2790"/>
      <c r="N60" s="2790"/>
      <c r="O60" s="2790"/>
      <c r="P60" s="2790"/>
      <c r="Q60" s="2790"/>
      <c r="R60" s="823"/>
      <c r="S60" s="823"/>
      <c r="T60" s="823"/>
      <c r="U60" s="823"/>
      <c r="V60" s="263"/>
      <c r="W60" s="263"/>
      <c r="X60" s="263"/>
      <c r="Y60" s="263"/>
      <c r="Z60" s="263"/>
      <c r="AA60" s="263"/>
      <c r="AB60" s="3060" t="s">
        <v>11911</v>
      </c>
      <c r="AC60" s="3060"/>
      <c r="AD60" s="3060"/>
      <c r="AE60" s="3060"/>
      <c r="AF60" s="3060"/>
      <c r="AG60" s="3060"/>
      <c r="AH60" s="3060"/>
      <c r="AI60" s="3060"/>
      <c r="AJ60" s="3060"/>
      <c r="AK60" s="3060"/>
      <c r="AL60" s="3060"/>
      <c r="AM60" s="3060"/>
      <c r="AN60" s="3060"/>
      <c r="AO60" s="3060"/>
      <c r="AP60" s="3060"/>
      <c r="AQ60" s="3060"/>
      <c r="AR60" s="263"/>
      <c r="AS60" s="263"/>
      <c r="AT60" s="263"/>
      <c r="AU60" s="263"/>
      <c r="AV60" s="263"/>
      <c r="AW60" s="263"/>
      <c r="AX60" s="263"/>
      <c r="AY60" s="263"/>
      <c r="AZ60" s="263"/>
      <c r="BA60" s="263"/>
      <c r="BB60" s="263"/>
      <c r="BC60" s="263"/>
      <c r="BD60" s="263"/>
      <c r="BE60" s="263"/>
      <c r="BF60" s="263"/>
      <c r="BG60" s="263"/>
      <c r="BH60" s="263"/>
      <c r="BI60" s="263"/>
      <c r="BJ60" s="263"/>
      <c r="BK60" s="263"/>
      <c r="BL60" s="263"/>
    </row>
    <row r="61" spans="1:95" s="39" customFormat="1" ht="13.5" customHeight="1">
      <c r="A61" s="280"/>
      <c r="B61" s="228"/>
      <c r="C61" s="280"/>
      <c r="D61" s="280"/>
      <c r="E61" s="280"/>
      <c r="F61" s="1811" t="s">
        <v>37</v>
      </c>
      <c r="G61" s="1811"/>
      <c r="H61" s="1811"/>
      <c r="I61" s="1811"/>
      <c r="J61" s="1811"/>
      <c r="K61" s="1811"/>
      <c r="L61" s="1811"/>
      <c r="M61" s="1811"/>
      <c r="N61" s="1811"/>
      <c r="O61" s="1811"/>
      <c r="P61" s="1811"/>
      <c r="Q61" s="1811"/>
      <c r="R61" s="247"/>
      <c r="S61" s="247"/>
      <c r="T61" s="247"/>
      <c r="U61" s="247"/>
      <c r="V61" s="281"/>
      <c r="W61" s="281"/>
      <c r="X61" s="281"/>
      <c r="Y61" s="281"/>
      <c r="Z61" s="280"/>
      <c r="AA61" s="280"/>
      <c r="AB61" s="1811" t="s">
        <v>37</v>
      </c>
      <c r="AC61" s="1811"/>
      <c r="AD61" s="1811"/>
      <c r="AE61" s="1811"/>
      <c r="AF61" s="1811"/>
      <c r="AG61" s="1811"/>
      <c r="AH61" s="1811"/>
      <c r="AI61" s="1811"/>
      <c r="AJ61" s="1811"/>
      <c r="AK61" s="1811"/>
      <c r="AL61" s="1811"/>
      <c r="AM61" s="1811"/>
      <c r="AN61" s="1811"/>
      <c r="AO61" s="1811"/>
      <c r="AP61" s="1811"/>
      <c r="AQ61" s="1811"/>
      <c r="AR61" s="280"/>
      <c r="AS61" s="280"/>
      <c r="AT61" s="280"/>
      <c r="AU61" s="280"/>
      <c r="AV61" s="280"/>
      <c r="AW61" s="280"/>
      <c r="AX61" s="280"/>
      <c r="AY61" s="280"/>
      <c r="AZ61" s="280"/>
      <c r="BA61" s="280"/>
      <c r="BB61" s="280"/>
      <c r="BC61" s="280"/>
      <c r="BD61" s="280"/>
      <c r="BE61" s="280"/>
      <c r="BF61" s="280"/>
      <c r="BG61" s="280"/>
      <c r="BH61" s="280"/>
      <c r="BI61" s="280"/>
      <c r="BJ61" s="280"/>
      <c r="BK61" s="280"/>
      <c r="BL61" s="280"/>
    </row>
    <row r="62" spans="1:95" s="37" customFormat="1" ht="21.6" customHeight="1">
      <c r="A62" s="263"/>
      <c r="B62" s="332" t="s">
        <v>58</v>
      </c>
      <c r="C62" s="263"/>
      <c r="D62" s="263"/>
      <c r="E62" s="263"/>
      <c r="F62" s="2790" t="str">
        <f>activesheet!E22</f>
        <v>SECONDARY SCHOOL PRINCIPAL IV</v>
      </c>
      <c r="G62" s="2790"/>
      <c r="H62" s="2790"/>
      <c r="I62" s="2790"/>
      <c r="J62" s="2790"/>
      <c r="K62" s="2790"/>
      <c r="L62" s="2790"/>
      <c r="M62" s="2790"/>
      <c r="N62" s="2790"/>
      <c r="O62" s="2790"/>
      <c r="P62" s="2790"/>
      <c r="Q62" s="2790"/>
      <c r="R62" s="823"/>
      <c r="S62" s="823"/>
      <c r="T62" s="823"/>
      <c r="U62" s="823"/>
      <c r="V62" s="263"/>
      <c r="W62" s="263"/>
      <c r="X62" s="263"/>
      <c r="Y62" s="263"/>
      <c r="Z62" s="263"/>
      <c r="AA62" s="263"/>
      <c r="AB62" s="332" t="s">
        <v>58</v>
      </c>
      <c r="AC62" s="263"/>
      <c r="AD62" s="263"/>
      <c r="AE62" s="263"/>
      <c r="AF62" s="3060" t="s">
        <v>11897</v>
      </c>
      <c r="AG62" s="3060"/>
      <c r="AH62" s="3060"/>
      <c r="AI62" s="3060"/>
      <c r="AJ62" s="3060"/>
      <c r="AK62" s="3060"/>
      <c r="AL62" s="3060"/>
      <c r="AM62" s="3060"/>
      <c r="AN62" s="3060"/>
      <c r="AO62" s="3060"/>
      <c r="AP62" s="3060"/>
      <c r="AQ62" s="3060"/>
      <c r="AR62" s="263"/>
      <c r="AS62" s="263"/>
      <c r="AT62" s="263"/>
      <c r="AU62" s="263"/>
      <c r="AV62" s="263"/>
      <c r="AW62" s="263"/>
      <c r="AX62" s="263"/>
      <c r="AY62" s="263"/>
      <c r="AZ62" s="263"/>
      <c r="BA62" s="263"/>
      <c r="BB62" s="263"/>
      <c r="BC62" s="263"/>
      <c r="BD62" s="263"/>
      <c r="BE62" s="263"/>
      <c r="BF62" s="263"/>
      <c r="BG62" s="263"/>
      <c r="BH62" s="263"/>
      <c r="BI62" s="263"/>
      <c r="BJ62" s="263"/>
      <c r="BK62" s="263"/>
      <c r="BL62" s="263"/>
    </row>
    <row r="63" spans="1:95" s="3" customFormat="1" ht="30" customHeight="1">
      <c r="A63" s="240"/>
      <c r="B63" s="239"/>
      <c r="C63" s="240"/>
      <c r="D63" s="239"/>
      <c r="E63" s="240"/>
      <c r="F63" s="239"/>
      <c r="G63" s="240"/>
      <c r="H63" s="239"/>
      <c r="I63" s="240"/>
      <c r="J63" s="239"/>
      <c r="K63" s="240"/>
      <c r="L63" s="260"/>
      <c r="M63" s="227"/>
      <c r="N63" s="260"/>
      <c r="O63" s="227"/>
      <c r="P63" s="260"/>
      <c r="Q63" s="227"/>
      <c r="R63" s="227"/>
      <c r="S63" s="227"/>
      <c r="T63" s="227"/>
      <c r="U63" s="227"/>
      <c r="V63" s="260"/>
      <c r="W63" s="227"/>
      <c r="X63" s="260"/>
      <c r="Y63" s="227"/>
      <c r="Z63" s="260"/>
      <c r="AA63" s="227"/>
      <c r="AB63" s="332"/>
      <c r="AC63" s="263"/>
      <c r="AD63" s="263"/>
      <c r="AE63" s="263"/>
      <c r="AF63" s="823"/>
      <c r="AG63" s="823"/>
      <c r="AH63" s="823"/>
      <c r="AI63" s="823"/>
      <c r="AJ63" s="823"/>
      <c r="AK63" s="823"/>
      <c r="AL63" s="823"/>
      <c r="AM63" s="823"/>
      <c r="AN63" s="823"/>
      <c r="AO63" s="823"/>
      <c r="AP63" s="823"/>
      <c r="AQ63" s="823"/>
      <c r="AR63" s="240"/>
      <c r="AS63" s="240"/>
      <c r="AT63" s="240"/>
      <c r="AU63" s="240"/>
      <c r="AV63" s="240"/>
      <c r="AW63" s="240"/>
      <c r="AX63" s="240"/>
      <c r="AY63" s="240"/>
      <c r="AZ63" s="240"/>
      <c r="BA63" s="240"/>
      <c r="BB63" s="240"/>
      <c r="BC63" s="240"/>
      <c r="BD63" s="240"/>
      <c r="BE63" s="240"/>
      <c r="BF63" s="240"/>
      <c r="BG63" s="240"/>
      <c r="BH63" s="240"/>
      <c r="BI63" s="240"/>
      <c r="BJ63" s="240"/>
      <c r="BK63" s="240"/>
      <c r="BL63" s="240"/>
    </row>
    <row r="64" spans="1:95" s="37" customFormat="1" ht="15">
      <c r="A64" s="263"/>
      <c r="B64" s="332" t="s">
        <v>134</v>
      </c>
      <c r="C64" s="263"/>
      <c r="D64" s="263"/>
      <c r="E64" s="263"/>
      <c r="F64" s="263"/>
      <c r="G64" s="263"/>
      <c r="H64" s="263"/>
      <c r="I64" s="263"/>
      <c r="J64" s="263"/>
      <c r="K64" s="263"/>
      <c r="L64" s="263"/>
      <c r="M64" s="263"/>
      <c r="N64" s="263"/>
      <c r="O64" s="263"/>
      <c r="P64" s="263"/>
      <c r="Q64" s="263"/>
      <c r="R64" s="263"/>
      <c r="S64" s="263"/>
      <c r="T64" s="263"/>
      <c r="U64" s="263"/>
      <c r="V64" s="263"/>
      <c r="W64" s="263"/>
      <c r="X64" s="263"/>
      <c r="Y64" s="263"/>
      <c r="Z64" s="263"/>
      <c r="AA64" s="263"/>
      <c r="AB64" s="332" t="s">
        <v>577</v>
      </c>
      <c r="AC64" s="1685"/>
      <c r="AD64" s="1685"/>
      <c r="AE64" s="1685"/>
      <c r="AF64" s="1685"/>
      <c r="AG64" s="1685"/>
      <c r="AH64" s="1685"/>
      <c r="AI64" s="1685"/>
      <c r="AJ64" s="1685"/>
      <c r="AK64" s="1685"/>
      <c r="AL64" s="1685"/>
      <c r="AM64" s="1685"/>
      <c r="AN64" s="1685"/>
      <c r="AO64" s="1685"/>
      <c r="AP64" s="1685"/>
      <c r="AQ64" s="1685"/>
      <c r="AR64" s="1685"/>
      <c r="AS64" s="263"/>
      <c r="AT64" s="263"/>
      <c r="AU64" s="263"/>
      <c r="AV64" s="263"/>
      <c r="AW64" s="263"/>
      <c r="AX64" s="263"/>
      <c r="AY64" s="263"/>
      <c r="AZ64" s="263"/>
      <c r="BA64" s="263"/>
      <c r="BB64" s="263"/>
      <c r="BC64" s="263"/>
      <c r="BD64" s="263"/>
      <c r="BE64" s="263"/>
      <c r="BF64" s="263"/>
      <c r="BG64" s="263"/>
      <c r="BH64" s="263"/>
      <c r="BI64" s="263"/>
      <c r="BJ64" s="263"/>
      <c r="BK64" s="263"/>
      <c r="BL64" s="263"/>
    </row>
    <row r="65" spans="1:76" s="37" customFormat="1" ht="21.6" customHeight="1">
      <c r="A65" s="263"/>
      <c r="B65" s="2790" t="str">
        <f>activesheet!E438</f>
        <v>ELMA CEZARIE Y. ROMERO / March 17, 2023</v>
      </c>
      <c r="C65" s="2790"/>
      <c r="D65" s="2790"/>
      <c r="E65" s="2790"/>
      <c r="F65" s="2790"/>
      <c r="G65" s="2790"/>
      <c r="H65" s="2790"/>
      <c r="I65" s="2790"/>
      <c r="J65" s="2790"/>
      <c r="K65" s="2790"/>
      <c r="L65" s="2790"/>
      <c r="M65" s="2790"/>
      <c r="N65" s="2790"/>
      <c r="O65" s="2790"/>
      <c r="P65" s="2790"/>
      <c r="Q65" s="2790"/>
      <c r="R65" s="263"/>
      <c r="S65" s="263"/>
      <c r="T65" s="263"/>
      <c r="U65" s="263"/>
      <c r="V65" s="263"/>
      <c r="W65" s="263"/>
      <c r="X65" s="263"/>
      <c r="Y65" s="263"/>
      <c r="Z65" s="263"/>
      <c r="AA65" s="263"/>
      <c r="AB65" s="4245" t="str">
        <f>activesheet!E2417</f>
        <v>RACQUEL N. ACOMPANADO / March 17, 2023</v>
      </c>
      <c r="AC65" s="4245"/>
      <c r="AD65" s="4245"/>
      <c r="AE65" s="4245"/>
      <c r="AF65" s="4245"/>
      <c r="AG65" s="4245"/>
      <c r="AH65" s="4245"/>
      <c r="AI65" s="4245"/>
      <c r="AJ65" s="4245"/>
      <c r="AK65" s="4245"/>
      <c r="AL65" s="4245"/>
      <c r="AM65" s="4245"/>
      <c r="AN65" s="4245"/>
      <c r="AO65" s="4245"/>
      <c r="AP65" s="4245"/>
      <c r="AQ65" s="4245"/>
      <c r="AR65" s="1685"/>
      <c r="AS65" s="263"/>
      <c r="AT65" s="263"/>
      <c r="AU65" s="263"/>
      <c r="AV65" s="263"/>
      <c r="AW65" s="263"/>
      <c r="AX65" s="263"/>
      <c r="AY65" s="263"/>
      <c r="AZ65" s="263"/>
      <c r="BA65" s="263"/>
      <c r="BB65" s="263"/>
      <c r="BC65" s="263"/>
      <c r="BD65" s="263"/>
      <c r="BE65" s="263"/>
      <c r="BF65" s="263"/>
      <c r="BG65" s="263"/>
      <c r="BH65" s="263"/>
      <c r="BI65" s="263"/>
      <c r="BJ65" s="263"/>
      <c r="BK65" s="263"/>
      <c r="BL65" s="263"/>
    </row>
    <row r="66" spans="1:76" s="39" customFormat="1" ht="13.5" customHeight="1">
      <c r="A66" s="280"/>
      <c r="B66" s="1811" t="s">
        <v>37</v>
      </c>
      <c r="C66" s="1811"/>
      <c r="D66" s="1811"/>
      <c r="E66" s="1811"/>
      <c r="F66" s="1811"/>
      <c r="G66" s="1811"/>
      <c r="H66" s="1811"/>
      <c r="I66" s="1811"/>
      <c r="J66" s="1811"/>
      <c r="K66" s="1811"/>
      <c r="L66" s="1811"/>
      <c r="M66" s="1811"/>
      <c r="N66" s="1811"/>
      <c r="O66" s="1811"/>
      <c r="P66" s="1811"/>
      <c r="Q66" s="1811"/>
      <c r="R66" s="280"/>
      <c r="S66" s="280"/>
      <c r="T66" s="280"/>
      <c r="U66" s="280"/>
      <c r="V66" s="280"/>
      <c r="W66" s="280"/>
      <c r="X66" s="280"/>
      <c r="Y66" s="280"/>
      <c r="Z66" s="280"/>
      <c r="AA66" s="280"/>
      <c r="AB66" s="1811" t="s">
        <v>37</v>
      </c>
      <c r="AC66" s="1811"/>
      <c r="AD66" s="1811"/>
      <c r="AE66" s="1811"/>
      <c r="AF66" s="1811"/>
      <c r="AG66" s="1811"/>
      <c r="AH66" s="1811"/>
      <c r="AI66" s="1811"/>
      <c r="AJ66" s="1811"/>
      <c r="AK66" s="1811"/>
      <c r="AL66" s="1811"/>
      <c r="AM66" s="1811"/>
      <c r="AN66" s="1811"/>
      <c r="AO66" s="1811"/>
      <c r="AP66" s="1811"/>
      <c r="AQ66" s="1811"/>
      <c r="AR66" s="358"/>
      <c r="AS66" s="280"/>
      <c r="AT66" s="280"/>
      <c r="AU66" s="280"/>
      <c r="AV66" s="280"/>
      <c r="AW66" s="280"/>
      <c r="AX66" s="280"/>
      <c r="AY66" s="280"/>
      <c r="AZ66" s="280"/>
      <c r="BA66" s="280"/>
      <c r="BB66" s="280"/>
      <c r="BC66" s="280"/>
      <c r="BD66" s="280"/>
      <c r="BE66" s="280"/>
      <c r="BF66" s="280"/>
      <c r="BG66" s="280"/>
      <c r="BH66" s="280"/>
      <c r="BI66" s="280"/>
      <c r="BJ66" s="280"/>
      <c r="BK66" s="280"/>
      <c r="BL66" s="280"/>
    </row>
    <row r="67" spans="1:76" ht="21.6" customHeight="1">
      <c r="A67" s="434"/>
      <c r="B67" s="332" t="s">
        <v>58</v>
      </c>
      <c r="C67" s="263"/>
      <c r="D67" s="263"/>
      <c r="E67" s="263"/>
      <c r="F67" s="2790" t="str">
        <f>activesheet!E439</f>
        <v>ADMINISTRATIVE OFFICER IV</v>
      </c>
      <c r="G67" s="2790"/>
      <c r="H67" s="2790"/>
      <c r="I67" s="2790"/>
      <c r="J67" s="2790"/>
      <c r="K67" s="2790"/>
      <c r="L67" s="2790"/>
      <c r="M67" s="2790"/>
      <c r="N67" s="2790"/>
      <c r="O67" s="2790"/>
      <c r="P67" s="2790"/>
      <c r="Q67" s="2790"/>
      <c r="R67" s="434"/>
      <c r="S67" s="434"/>
      <c r="T67" s="434"/>
      <c r="U67" s="434"/>
      <c r="V67" s="434"/>
      <c r="W67" s="434"/>
      <c r="X67" s="434"/>
      <c r="Y67" s="434"/>
      <c r="Z67" s="434"/>
      <c r="AA67" s="434"/>
      <c r="AB67" s="332" t="s">
        <v>58</v>
      </c>
      <c r="AC67" s="1685"/>
      <c r="AD67" s="1685"/>
      <c r="AE67" s="1685"/>
      <c r="AF67" s="4245" t="str">
        <f>activesheet!E2418</f>
        <v>NURSE II</v>
      </c>
      <c r="AG67" s="4245"/>
      <c r="AH67" s="4245"/>
      <c r="AI67" s="4245"/>
      <c r="AJ67" s="4245"/>
      <c r="AK67" s="4245"/>
      <c r="AL67" s="4245"/>
      <c r="AM67" s="4245"/>
      <c r="AN67" s="4245"/>
      <c r="AO67" s="4245"/>
      <c r="AP67" s="4245"/>
      <c r="AQ67" s="4245"/>
      <c r="AR67" s="1685"/>
      <c r="AS67" s="434"/>
      <c r="AT67" s="434"/>
      <c r="AU67" s="434"/>
      <c r="AV67" s="434"/>
      <c r="AW67" s="434"/>
      <c r="AX67" s="434"/>
      <c r="AY67" s="434"/>
      <c r="AZ67" s="434"/>
      <c r="BA67" s="434"/>
      <c r="BB67" s="434"/>
      <c r="BC67" s="434"/>
      <c r="BD67" s="434"/>
      <c r="BE67" s="434"/>
      <c r="BF67" s="434"/>
      <c r="BG67" s="434"/>
      <c r="BH67" s="434"/>
      <c r="BI67" s="434"/>
      <c r="BJ67" s="434"/>
      <c r="BK67" s="434"/>
      <c r="BL67" s="434"/>
    </row>
    <row r="68" spans="1:76" ht="20.100000000000001" customHeight="1">
      <c r="A68" s="434"/>
      <c r="B68" s="434"/>
      <c r="C68" s="434"/>
      <c r="D68" s="434"/>
      <c r="E68" s="434"/>
      <c r="F68" s="434"/>
      <c r="G68" s="434"/>
      <c r="H68" s="434"/>
      <c r="I68" s="434"/>
      <c r="J68" s="434"/>
      <c r="K68" s="434"/>
      <c r="L68" s="434"/>
      <c r="M68" s="434"/>
      <c r="N68" s="434"/>
      <c r="O68" s="434"/>
      <c r="P68" s="434"/>
      <c r="Q68" s="434"/>
      <c r="R68" s="434"/>
      <c r="S68" s="434"/>
      <c r="T68" s="1181"/>
      <c r="U68" s="582"/>
      <c r="V68" s="591"/>
      <c r="W68" s="591"/>
      <c r="X68" s="591"/>
      <c r="Y68" s="591"/>
      <c r="Z68" s="591"/>
      <c r="AA68" s="591"/>
      <c r="AB68" s="591"/>
      <c r="AC68" s="591"/>
      <c r="AD68" s="591"/>
      <c r="AE68" s="591"/>
      <c r="AF68" s="591"/>
      <c r="AG68" s="591"/>
      <c r="AH68" s="591"/>
      <c r="AI68" s="591"/>
      <c r="AJ68" s="591"/>
      <c r="AK68" s="591"/>
      <c r="AL68" s="591"/>
      <c r="AM68" s="591"/>
      <c r="AN68" s="591"/>
      <c r="AO68" s="591"/>
      <c r="AP68" s="591"/>
      <c r="AQ68" s="591"/>
      <c r="AR68" s="591"/>
      <c r="AS68" s="591"/>
      <c r="AT68" s="591"/>
      <c r="AU68" s="434"/>
      <c r="AV68" s="434"/>
      <c r="AW68" s="260"/>
      <c r="AX68" s="260"/>
      <c r="AY68" s="1686"/>
      <c r="AZ68" s="260"/>
      <c r="BA68" s="260"/>
      <c r="BB68" s="260"/>
      <c r="BC68" s="260"/>
      <c r="BD68" s="260"/>
      <c r="BE68" s="260"/>
      <c r="BF68" s="260"/>
      <c r="BG68" s="260"/>
      <c r="BH68" s="260"/>
      <c r="BI68" s="260"/>
      <c r="BJ68" s="260"/>
      <c r="BK68" s="1088"/>
      <c r="BL68" s="582"/>
      <c r="BM68" s="40"/>
      <c r="BN68" s="110"/>
      <c r="BO68" s="40"/>
      <c r="BP68" s="164"/>
      <c r="BQ68" s="164"/>
      <c r="BR68" s="164"/>
      <c r="BS68" s="164"/>
      <c r="BT68" s="164"/>
      <c r="BU68" s="164"/>
      <c r="BV68" s="164"/>
      <c r="BW68" s="164"/>
      <c r="BX68" s="164"/>
    </row>
    <row r="69" spans="1:76" ht="20.100000000000001" customHeight="1">
      <c r="A69" s="434"/>
      <c r="B69" s="434"/>
      <c r="C69" s="434"/>
      <c r="D69" s="756"/>
      <c r="E69" s="756"/>
      <c r="F69" s="756"/>
      <c r="G69" s="756"/>
      <c r="H69" s="756"/>
      <c r="I69" s="756"/>
      <c r="J69" s="756"/>
      <c r="K69" s="756"/>
      <c r="L69" s="1667"/>
      <c r="M69" s="1667"/>
      <c r="N69" s="1667"/>
      <c r="O69" s="1667"/>
      <c r="P69" s="1667"/>
      <c r="Q69" s="1667"/>
      <c r="R69" s="332" t="s">
        <v>33</v>
      </c>
      <c r="S69" s="263"/>
      <c r="T69" s="263"/>
      <c r="U69" s="263"/>
      <c r="V69" s="263"/>
      <c r="W69" s="263"/>
      <c r="X69" s="263"/>
      <c r="Y69" s="263"/>
      <c r="Z69" s="263"/>
      <c r="AA69" s="263"/>
      <c r="AB69" s="263"/>
      <c r="AC69" s="263"/>
      <c r="AD69" s="263"/>
      <c r="AE69" s="263"/>
      <c r="AF69" s="263"/>
      <c r="AG69" s="263"/>
      <c r="AH69" s="591"/>
      <c r="AI69" s="591"/>
      <c r="AJ69" s="591"/>
      <c r="AK69" s="591"/>
      <c r="AL69" s="591"/>
      <c r="AM69" s="591"/>
      <c r="AN69" s="591"/>
      <c r="AO69" s="591"/>
      <c r="AP69" s="591"/>
      <c r="AQ69" s="591"/>
      <c r="AR69" s="591"/>
      <c r="AS69" s="591"/>
      <c r="AT69" s="591"/>
      <c r="AU69" s="434"/>
      <c r="AV69" s="434"/>
      <c r="AW69" s="260"/>
      <c r="AX69" s="260"/>
      <c r="AY69" s="1686"/>
      <c r="AZ69" s="260"/>
      <c r="BA69" s="260"/>
      <c r="BB69" s="260"/>
      <c r="BC69" s="260"/>
      <c r="BD69" s="260"/>
      <c r="BE69" s="260"/>
      <c r="BF69" s="260"/>
      <c r="BG69" s="260"/>
      <c r="BH69" s="260"/>
      <c r="BI69" s="260"/>
      <c r="BJ69" s="260"/>
      <c r="BK69" s="1088"/>
      <c r="BL69" s="582"/>
      <c r="BM69" s="40"/>
      <c r="BN69" s="110"/>
      <c r="BO69" s="40"/>
      <c r="BP69" s="164"/>
      <c r="BQ69" s="164"/>
      <c r="BR69" s="164"/>
      <c r="BS69" s="164"/>
      <c r="BT69" s="164"/>
      <c r="BU69" s="164"/>
      <c r="BV69" s="164"/>
      <c r="BW69" s="164"/>
      <c r="BX69" s="164"/>
    </row>
    <row r="70" spans="1:76" ht="9.9499999999999993" customHeight="1">
      <c r="A70" s="434"/>
      <c r="B70" s="434"/>
      <c r="C70" s="591"/>
      <c r="D70" s="1673"/>
      <c r="E70" s="1673"/>
      <c r="F70" s="1673"/>
      <c r="G70" s="1673"/>
      <c r="H70" s="1673"/>
      <c r="I70" s="1673"/>
      <c r="J70" s="1673"/>
      <c r="K70" s="1673"/>
      <c r="L70" s="1673"/>
      <c r="M70" s="1673"/>
      <c r="N70" s="1673"/>
      <c r="O70" s="1673"/>
      <c r="P70" s="1673"/>
      <c r="Q70" s="1673"/>
      <c r="R70" s="245"/>
      <c r="S70" s="245"/>
      <c r="T70" s="245"/>
      <c r="U70" s="245"/>
      <c r="V70" s="245"/>
      <c r="W70" s="245"/>
      <c r="X70" s="245"/>
      <c r="Y70" s="245"/>
      <c r="Z70" s="245"/>
      <c r="AA70" s="245"/>
      <c r="AB70" s="245"/>
      <c r="AC70" s="245"/>
      <c r="AD70" s="245"/>
      <c r="AE70" s="245"/>
      <c r="AF70" s="245"/>
      <c r="AG70" s="245"/>
      <c r="AH70" s="434"/>
      <c r="AI70" s="434"/>
      <c r="AJ70" s="434"/>
      <c r="AK70" s="434"/>
      <c r="AL70" s="434"/>
      <c r="AM70" s="434"/>
      <c r="AN70" s="434"/>
      <c r="AO70" s="434"/>
      <c r="AP70" s="434"/>
      <c r="AQ70" s="434"/>
      <c r="AR70" s="434"/>
      <c r="AS70" s="434"/>
      <c r="AT70" s="434"/>
      <c r="AU70" s="434"/>
      <c r="AV70" s="434"/>
      <c r="AW70" s="434"/>
      <c r="AX70" s="434"/>
      <c r="AY70" s="434"/>
      <c r="AZ70" s="434"/>
      <c r="BA70" s="434"/>
      <c r="BB70" s="434"/>
      <c r="BC70" s="434"/>
      <c r="BD70" s="434"/>
      <c r="BE70" s="434"/>
      <c r="BF70" s="434"/>
      <c r="BG70" s="434"/>
      <c r="BH70" s="434"/>
      <c r="BI70" s="434"/>
      <c r="BJ70" s="434"/>
      <c r="BK70" s="434"/>
      <c r="BL70" s="434"/>
    </row>
    <row r="71" spans="1:76" ht="15" customHeight="1">
      <c r="A71" s="434"/>
      <c r="B71" s="434"/>
      <c r="C71" s="591"/>
      <c r="D71" s="260"/>
      <c r="E71" s="1686"/>
      <c r="F71" s="260"/>
      <c r="G71" s="260"/>
      <c r="H71" s="260"/>
      <c r="I71" s="260"/>
      <c r="J71" s="260"/>
      <c r="K71" s="260"/>
      <c r="L71" s="260"/>
      <c r="M71" s="260"/>
      <c r="N71" s="260"/>
      <c r="O71" s="260"/>
      <c r="P71" s="260"/>
      <c r="Q71" s="1088"/>
      <c r="R71" s="1820" t="str">
        <f>activesheet!E25</f>
        <v>MICHAEL T. JAMIS / March 17, 2023</v>
      </c>
      <c r="S71" s="1820"/>
      <c r="T71" s="1820"/>
      <c r="U71" s="1820"/>
      <c r="V71" s="1820"/>
      <c r="W71" s="1820"/>
      <c r="X71" s="1820"/>
      <c r="Y71" s="1820"/>
      <c r="Z71" s="1820"/>
      <c r="AA71" s="1820"/>
      <c r="AB71" s="1820"/>
      <c r="AC71" s="245"/>
      <c r="AD71" s="245"/>
      <c r="AE71" s="245"/>
      <c r="AF71" s="245"/>
      <c r="AG71" s="245"/>
      <c r="AH71" s="1321"/>
      <c r="AI71" s="756"/>
      <c r="AJ71" s="434"/>
      <c r="AK71" s="434"/>
      <c r="AL71" s="434"/>
      <c r="AM71" s="1321"/>
      <c r="AN71" s="756"/>
      <c r="AO71" s="434"/>
      <c r="AP71" s="434"/>
      <c r="AQ71" s="434"/>
      <c r="AR71" s="434"/>
      <c r="AS71" s="434"/>
      <c r="AT71" s="434"/>
      <c r="AU71" s="434"/>
      <c r="AV71" s="434"/>
      <c r="AW71" s="434"/>
      <c r="AX71" s="434"/>
      <c r="AY71" s="434"/>
      <c r="AZ71" s="434"/>
      <c r="BA71" s="434"/>
      <c r="BB71" s="434"/>
      <c r="BC71" s="434"/>
      <c r="BD71" s="434"/>
      <c r="BE71" s="434"/>
      <c r="BF71" s="434"/>
      <c r="BG71" s="434"/>
      <c r="BH71" s="434"/>
      <c r="BI71" s="434"/>
      <c r="BJ71" s="434"/>
      <c r="BK71" s="434"/>
      <c r="BL71" s="434"/>
    </row>
    <row r="72" spans="1:76" s="11" customFormat="1" ht="17.100000000000001" customHeight="1">
      <c r="A72" s="434"/>
      <c r="B72" s="434"/>
      <c r="C72" s="591"/>
      <c r="D72" s="260"/>
      <c r="E72" s="1686"/>
      <c r="F72" s="260"/>
      <c r="G72" s="260"/>
      <c r="H72" s="260"/>
      <c r="I72" s="260"/>
      <c r="J72" s="260"/>
      <c r="K72" s="260"/>
      <c r="L72" s="260"/>
      <c r="M72" s="260"/>
      <c r="N72" s="260"/>
      <c r="O72" s="260"/>
      <c r="P72" s="260"/>
      <c r="Q72" s="1088"/>
      <c r="R72" s="1811" t="s">
        <v>37</v>
      </c>
      <c r="S72" s="1811"/>
      <c r="T72" s="1811"/>
      <c r="U72" s="1811"/>
      <c r="V72" s="1811"/>
      <c r="W72" s="1811"/>
      <c r="X72" s="1811"/>
      <c r="Y72" s="1811"/>
      <c r="Z72" s="1811"/>
      <c r="AA72" s="1811"/>
      <c r="AB72" s="1811"/>
      <c r="AC72" s="358"/>
      <c r="AD72" s="358"/>
      <c r="AE72" s="358"/>
      <c r="AF72" s="358"/>
      <c r="AG72" s="358"/>
      <c r="AH72" s="492"/>
      <c r="AI72" s="492"/>
      <c r="AJ72" s="492"/>
      <c r="AK72" s="492"/>
      <c r="AL72" s="492"/>
      <c r="AM72" s="492"/>
      <c r="AN72" s="492"/>
      <c r="AO72" s="492"/>
      <c r="AP72" s="492"/>
      <c r="AQ72" s="492"/>
      <c r="AR72" s="492"/>
      <c r="AS72" s="492"/>
      <c r="AT72" s="492"/>
      <c r="AU72" s="492"/>
      <c r="AV72" s="492"/>
      <c r="AW72" s="492"/>
      <c r="AX72" s="492"/>
      <c r="AY72" s="492"/>
      <c r="AZ72" s="377"/>
      <c r="BA72" s="377"/>
      <c r="BB72" s="377"/>
      <c r="BC72" s="377"/>
      <c r="BD72" s="377"/>
      <c r="BE72" s="377"/>
      <c r="BF72" s="377"/>
      <c r="BG72" s="377"/>
      <c r="BH72" s="377"/>
      <c r="BI72" s="377"/>
      <c r="BJ72" s="377"/>
      <c r="BK72" s="377"/>
      <c r="BL72" s="377"/>
      <c r="BM72" s="25"/>
      <c r="BN72" s="25"/>
      <c r="BO72" s="25"/>
      <c r="BP72" s="25"/>
      <c r="BQ72" s="25"/>
      <c r="BR72" s="25"/>
      <c r="BS72" s="25"/>
      <c r="BV72" s="51"/>
    </row>
    <row r="73" spans="1:76" s="51" customFormat="1" ht="30.75" customHeight="1">
      <c r="A73" s="434"/>
      <c r="B73" s="434"/>
      <c r="C73" s="591"/>
      <c r="D73" s="260"/>
      <c r="E73" s="1686"/>
      <c r="F73" s="260"/>
      <c r="G73" s="260"/>
      <c r="H73" s="260"/>
      <c r="I73" s="260"/>
      <c r="J73" s="260"/>
      <c r="K73" s="260"/>
      <c r="L73" s="260"/>
      <c r="M73" s="260"/>
      <c r="N73" s="260"/>
      <c r="O73" s="260"/>
      <c r="P73" s="260"/>
      <c r="Q73" s="1088"/>
      <c r="R73" s="582"/>
      <c r="S73" s="582"/>
      <c r="T73" s="1088"/>
      <c r="U73" s="238"/>
      <c r="V73" s="238"/>
      <c r="W73" s="227"/>
      <c r="X73" s="238"/>
      <c r="Y73" s="227"/>
      <c r="Z73" s="238"/>
      <c r="AA73" s="227"/>
      <c r="AB73" s="238"/>
      <c r="AC73" s="227"/>
      <c r="AD73" s="238"/>
      <c r="AE73" s="227"/>
      <c r="AF73" s="238"/>
      <c r="AG73" s="227"/>
      <c r="AH73" s="238"/>
      <c r="AI73" s="238"/>
      <c r="AJ73" s="227"/>
      <c r="AK73" s="238"/>
      <c r="AL73" s="238"/>
      <c r="AM73" s="238"/>
      <c r="AN73" s="238"/>
      <c r="AO73" s="238"/>
      <c r="AP73" s="238"/>
      <c r="AQ73" s="238"/>
      <c r="AR73" s="238"/>
      <c r="AS73" s="227"/>
      <c r="AT73" s="238"/>
      <c r="AU73" s="238"/>
      <c r="AV73" s="238"/>
      <c r="AW73" s="238"/>
      <c r="AX73" s="238"/>
      <c r="AY73" s="238"/>
      <c r="AZ73" s="238"/>
      <c r="BA73" s="238"/>
      <c r="BB73" s="238"/>
      <c r="BC73" s="238"/>
      <c r="BD73" s="238"/>
      <c r="BE73" s="238"/>
      <c r="BF73" s="238"/>
      <c r="BG73" s="238"/>
      <c r="BH73" s="238"/>
      <c r="BI73" s="238"/>
      <c r="BJ73" s="238"/>
      <c r="BK73" s="238"/>
      <c r="BL73" s="238"/>
    </row>
    <row r="74" spans="1:76" s="57" customFormat="1">
      <c r="A74" s="434"/>
      <c r="B74" s="434"/>
      <c r="C74" s="1048"/>
      <c r="D74" s="640"/>
      <c r="E74" s="640"/>
      <c r="F74" s="640"/>
      <c r="G74" s="640"/>
      <c r="H74" s="640"/>
      <c r="I74" s="640"/>
      <c r="J74" s="640"/>
      <c r="K74" s="640"/>
      <c r="L74" s="640"/>
      <c r="M74" s="640"/>
      <c r="N74" s="640"/>
      <c r="O74" s="640"/>
      <c r="P74" s="640"/>
      <c r="Q74" s="640"/>
      <c r="R74" s="640"/>
      <c r="S74" s="640"/>
      <c r="T74" s="640"/>
      <c r="U74" s="241"/>
      <c r="V74" s="241"/>
      <c r="W74" s="241"/>
      <c r="X74" s="241"/>
      <c r="Y74" s="241"/>
      <c r="Z74" s="241"/>
      <c r="AA74" s="241"/>
      <c r="AB74" s="241"/>
      <c r="AC74" s="241"/>
      <c r="AD74" s="241"/>
      <c r="AE74" s="332"/>
      <c r="AF74" s="241"/>
      <c r="AG74" s="241"/>
      <c r="AH74" s="241"/>
      <c r="AI74" s="241"/>
      <c r="AJ74" s="241"/>
      <c r="AK74" s="241"/>
      <c r="AL74" s="241"/>
      <c r="AM74" s="241"/>
      <c r="AN74" s="241"/>
      <c r="AO74" s="241"/>
      <c r="AP74" s="241"/>
      <c r="AQ74" s="241"/>
      <c r="AR74" s="241"/>
      <c r="AS74" s="241"/>
      <c r="AT74" s="241"/>
      <c r="AU74" s="241"/>
      <c r="AV74" s="241"/>
      <c r="AW74" s="241"/>
      <c r="AX74" s="241"/>
      <c r="AY74" s="241"/>
      <c r="AZ74" s="241"/>
      <c r="BA74" s="241"/>
      <c r="BB74" s="241"/>
      <c r="BC74" s="241"/>
      <c r="BD74" s="241"/>
      <c r="BE74" s="241"/>
      <c r="BF74" s="241"/>
      <c r="BG74" s="241"/>
      <c r="BH74" s="241"/>
      <c r="BI74" s="241"/>
      <c r="BJ74" s="241"/>
      <c r="BK74" s="241"/>
      <c r="BL74" s="241"/>
    </row>
    <row r="75" spans="1:76" s="57" customFormat="1" ht="21.75" customHeight="1">
      <c r="A75" s="434"/>
      <c r="B75" s="434"/>
      <c r="C75" s="1048"/>
      <c r="D75" s="1655"/>
      <c r="E75" s="1655"/>
      <c r="F75" s="1655"/>
      <c r="G75" s="1655"/>
      <c r="H75" s="1655"/>
      <c r="I75" s="1655"/>
      <c r="J75" s="1655"/>
      <c r="K75" s="1655"/>
      <c r="L75" s="1655"/>
      <c r="M75" s="1655"/>
      <c r="N75" s="1655"/>
      <c r="O75" s="1655"/>
      <c r="P75" s="1655"/>
      <c r="Q75" s="1655"/>
      <c r="R75" s="1655"/>
      <c r="S75" s="1655"/>
      <c r="T75" s="1655"/>
      <c r="U75" s="1687"/>
      <c r="V75" s="241"/>
      <c r="W75" s="241"/>
      <c r="X75" s="241"/>
      <c r="Y75" s="241"/>
      <c r="Z75" s="241"/>
      <c r="AA75" s="241"/>
      <c r="AB75" s="241"/>
      <c r="AC75" s="241"/>
      <c r="AD75" s="241"/>
      <c r="AE75" s="245"/>
      <c r="AF75" s="245"/>
      <c r="AG75" s="245"/>
      <c r="AH75" s="245"/>
      <c r="AI75" s="245"/>
      <c r="AJ75" s="245"/>
      <c r="AK75" s="245"/>
      <c r="AL75" s="245"/>
      <c r="AM75" s="245"/>
      <c r="AN75" s="245"/>
      <c r="AO75" s="245"/>
      <c r="AP75" s="245"/>
      <c r="AQ75" s="245"/>
      <c r="AR75" s="245"/>
      <c r="AS75" s="245"/>
      <c r="AT75" s="245"/>
      <c r="AU75" s="241"/>
      <c r="AV75" s="241"/>
      <c r="AW75" s="241"/>
      <c r="AX75" s="241"/>
      <c r="AY75" s="241"/>
      <c r="AZ75" s="241"/>
      <c r="BA75" s="241"/>
      <c r="BB75" s="241"/>
      <c r="BC75" s="241"/>
      <c r="BD75" s="241"/>
      <c r="BE75" s="241"/>
      <c r="BF75" s="241"/>
      <c r="BG75" s="241"/>
      <c r="BH75" s="241"/>
      <c r="BI75" s="241"/>
      <c r="BJ75" s="241"/>
      <c r="BK75" s="241"/>
      <c r="BL75" s="241"/>
    </row>
    <row r="76" spans="1:76" s="58" customFormat="1" ht="13.5" customHeight="1">
      <c r="A76" s="430"/>
      <c r="B76" s="377"/>
      <c r="C76" s="432"/>
      <c r="D76" s="227"/>
      <c r="E76" s="492"/>
      <c r="F76" s="492"/>
      <c r="G76" s="492"/>
      <c r="H76" s="492"/>
      <c r="I76" s="492"/>
      <c r="J76" s="492"/>
      <c r="K76" s="492"/>
      <c r="L76" s="492"/>
      <c r="M76" s="492"/>
      <c r="N76" s="492"/>
      <c r="O76" s="492"/>
      <c r="P76" s="492"/>
      <c r="Q76" s="492"/>
      <c r="R76" s="492"/>
      <c r="S76" s="492"/>
      <c r="T76" s="492"/>
      <c r="U76" s="247"/>
      <c r="V76" s="281"/>
      <c r="W76" s="281"/>
      <c r="X76" s="281"/>
      <c r="Y76" s="281"/>
      <c r="Z76" s="926"/>
      <c r="AA76" s="926"/>
      <c r="AB76" s="926"/>
      <c r="AC76" s="926"/>
      <c r="AD76" s="926"/>
      <c r="AE76" s="245"/>
      <c r="AF76" s="245"/>
      <c r="AG76" s="245"/>
      <c r="AH76" s="245"/>
      <c r="AI76" s="245"/>
      <c r="AJ76" s="245"/>
      <c r="AK76" s="245"/>
      <c r="AL76" s="245"/>
      <c r="AM76" s="245"/>
      <c r="AN76" s="245"/>
      <c r="AO76" s="245"/>
      <c r="AP76" s="245"/>
      <c r="AQ76" s="245"/>
      <c r="AR76" s="245"/>
      <c r="AS76" s="245"/>
      <c r="AT76" s="245"/>
      <c r="AU76" s="926"/>
      <c r="AV76" s="926"/>
      <c r="AW76" s="926"/>
      <c r="AX76" s="926"/>
      <c r="AY76" s="926"/>
      <c r="AZ76" s="926"/>
      <c r="BA76" s="926"/>
      <c r="BB76" s="926"/>
      <c r="BC76" s="926"/>
      <c r="BD76" s="926"/>
      <c r="BE76" s="926"/>
      <c r="BF76" s="926"/>
      <c r="BG76" s="926"/>
      <c r="BH76" s="926"/>
      <c r="BI76" s="926"/>
      <c r="BJ76" s="926"/>
      <c r="BK76" s="926"/>
      <c r="BL76" s="926"/>
    </row>
    <row r="77" spans="1:76" s="57" customFormat="1" ht="21.75" customHeight="1">
      <c r="A77" s="238"/>
      <c r="B77" s="238"/>
      <c r="C77" s="227"/>
      <c r="D77" s="238"/>
      <c r="E77" s="227"/>
      <c r="F77" s="238"/>
      <c r="G77" s="227"/>
      <c r="H77" s="238"/>
      <c r="I77" s="227"/>
      <c r="J77" s="238"/>
      <c r="K77" s="227"/>
      <c r="L77" s="238"/>
      <c r="M77" s="227"/>
      <c r="N77" s="238"/>
      <c r="O77" s="227"/>
      <c r="P77" s="238"/>
      <c r="Q77" s="227"/>
      <c r="R77" s="238"/>
      <c r="S77" s="238"/>
      <c r="T77" s="227"/>
      <c r="U77" s="1687"/>
      <c r="V77" s="241"/>
      <c r="W77" s="241"/>
      <c r="X77" s="241"/>
      <c r="Y77" s="241"/>
      <c r="Z77" s="241"/>
      <c r="AA77" s="241"/>
      <c r="AB77" s="241"/>
      <c r="AC77" s="241"/>
      <c r="AD77" s="241"/>
      <c r="AE77" s="247"/>
      <c r="AF77" s="247"/>
      <c r="AG77" s="247"/>
      <c r="AH77" s="247"/>
      <c r="AI77" s="247"/>
      <c r="AJ77" s="247"/>
      <c r="AK77" s="247"/>
      <c r="AL77" s="247"/>
      <c r="AM77" s="247"/>
      <c r="AN77" s="247"/>
      <c r="AO77" s="247"/>
      <c r="AP77" s="247"/>
      <c r="AQ77" s="247"/>
      <c r="AR77" s="247"/>
      <c r="AS77" s="247"/>
      <c r="AT77" s="247"/>
      <c r="AU77" s="241"/>
      <c r="AV77" s="241"/>
      <c r="AW77" s="241"/>
      <c r="AX77" s="241"/>
      <c r="AY77" s="241"/>
      <c r="AZ77" s="241"/>
      <c r="BA77" s="241"/>
      <c r="BB77" s="241"/>
      <c r="BC77" s="241"/>
      <c r="BD77" s="241"/>
      <c r="BE77" s="241"/>
      <c r="BF77" s="241"/>
      <c r="BG77" s="241"/>
      <c r="BH77" s="241"/>
      <c r="BI77" s="241"/>
      <c r="BJ77" s="241"/>
      <c r="BK77" s="241"/>
      <c r="BL77" s="241"/>
    </row>
    <row r="78" spans="1:76" s="3" customFormat="1" ht="42.6" customHeight="1">
      <c r="A78" s="241"/>
      <c r="B78" s="332"/>
      <c r="C78" s="241"/>
      <c r="D78" s="241"/>
      <c r="E78" s="241"/>
      <c r="F78" s="241"/>
      <c r="G78" s="241"/>
      <c r="H78" s="241"/>
      <c r="I78" s="241"/>
      <c r="J78" s="241"/>
      <c r="K78" s="241"/>
      <c r="L78" s="241"/>
      <c r="M78" s="241"/>
      <c r="N78" s="241"/>
      <c r="O78" s="241"/>
      <c r="P78" s="241"/>
      <c r="Q78" s="241"/>
      <c r="R78" s="241"/>
      <c r="S78" s="241"/>
      <c r="T78" s="241"/>
      <c r="U78" s="227"/>
      <c r="V78" s="238"/>
      <c r="W78" s="227"/>
      <c r="X78" s="238"/>
      <c r="Y78" s="227"/>
      <c r="Z78" s="238"/>
      <c r="AA78" s="227"/>
      <c r="AB78" s="238"/>
      <c r="AC78" s="238"/>
      <c r="AD78" s="227"/>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row>
    <row r="79" spans="1:76" s="57" customFormat="1" ht="15">
      <c r="A79" s="241"/>
      <c r="B79" s="332"/>
      <c r="C79" s="241"/>
      <c r="D79" s="241"/>
      <c r="E79" s="241"/>
      <c r="F79" s="4271"/>
      <c r="G79" s="4271"/>
      <c r="H79" s="4271"/>
      <c r="I79" s="4271"/>
      <c r="J79" s="4271"/>
      <c r="K79" s="4271"/>
      <c r="L79" s="4271"/>
      <c r="M79" s="4271"/>
      <c r="N79" s="4271"/>
      <c r="O79" s="4271"/>
      <c r="P79" s="4271"/>
      <c r="Q79" s="4271"/>
      <c r="R79" s="1687"/>
      <c r="S79" s="1687"/>
      <c r="T79" s="1687"/>
      <c r="U79" s="241"/>
      <c r="V79" s="241"/>
      <c r="W79" s="241"/>
      <c r="X79" s="241"/>
      <c r="Y79" s="241"/>
      <c r="Z79" s="241"/>
      <c r="AA79" s="241"/>
      <c r="AB79" s="241"/>
      <c r="AC79" s="241"/>
      <c r="AD79" s="241"/>
      <c r="AE79" s="332"/>
      <c r="AF79" s="241"/>
      <c r="AG79" s="241"/>
      <c r="AH79" s="241"/>
      <c r="AI79" s="241"/>
      <c r="AJ79" s="241"/>
      <c r="AK79" s="241"/>
      <c r="AL79" s="241"/>
      <c r="AM79" s="241"/>
      <c r="AN79" s="241"/>
      <c r="AO79" s="241"/>
      <c r="AP79" s="241"/>
      <c r="AQ79" s="241"/>
      <c r="AR79" s="241"/>
      <c r="AS79" s="241"/>
      <c r="AT79" s="241"/>
      <c r="AU79" s="241"/>
      <c r="AV79" s="241"/>
      <c r="AW79" s="241"/>
      <c r="AX79" s="241"/>
      <c r="AY79" s="241"/>
      <c r="AZ79" s="241"/>
      <c r="BA79" s="241"/>
      <c r="BB79" s="241"/>
      <c r="BC79" s="241"/>
      <c r="BD79" s="241"/>
      <c r="BE79" s="241"/>
      <c r="BF79" s="241"/>
      <c r="BG79" s="241"/>
      <c r="BH79" s="241"/>
      <c r="BI79" s="241"/>
      <c r="BJ79" s="241"/>
      <c r="BK79" s="241"/>
      <c r="BL79" s="241"/>
    </row>
    <row r="80" spans="1:76" s="57" customFormat="1" ht="21.75" customHeight="1">
      <c r="A80" s="926"/>
      <c r="B80" s="228"/>
      <c r="C80" s="926"/>
      <c r="D80" s="926"/>
      <c r="E80" s="926"/>
      <c r="F80" s="2519"/>
      <c r="G80" s="2519"/>
      <c r="H80" s="2519"/>
      <c r="I80" s="2519"/>
      <c r="J80" s="2519"/>
      <c r="K80" s="2519"/>
      <c r="L80" s="2519"/>
      <c r="M80" s="2519"/>
      <c r="N80" s="2519"/>
      <c r="O80" s="2519"/>
      <c r="P80" s="2519"/>
      <c r="Q80" s="2519"/>
      <c r="R80" s="247"/>
      <c r="S80" s="247"/>
      <c r="T80" s="247"/>
      <c r="U80" s="241"/>
      <c r="V80" s="241"/>
      <c r="W80" s="241"/>
      <c r="X80" s="241"/>
      <c r="Y80" s="241"/>
      <c r="Z80" s="241"/>
      <c r="AA80" s="241"/>
      <c r="AB80" s="241"/>
      <c r="AC80" s="241"/>
      <c r="AD80" s="241"/>
      <c r="AE80" s="1687"/>
      <c r="AF80" s="1687"/>
      <c r="AG80" s="1687"/>
      <c r="AH80" s="1687"/>
      <c r="AI80" s="1687"/>
      <c r="AJ80" s="1687"/>
      <c r="AK80" s="1687"/>
      <c r="AL80" s="1687"/>
      <c r="AM80" s="1687"/>
      <c r="AN80" s="1687"/>
      <c r="AO80" s="1687"/>
      <c r="AP80" s="1687"/>
      <c r="AQ80" s="1687"/>
      <c r="AR80" s="1687"/>
      <c r="AS80" s="1687"/>
      <c r="AT80" s="1687"/>
      <c r="AU80" s="241"/>
      <c r="AV80" s="241"/>
      <c r="AW80" s="241"/>
      <c r="AX80" s="241"/>
      <c r="AY80" s="241"/>
      <c r="AZ80" s="241"/>
      <c r="BA80" s="241"/>
      <c r="BB80" s="241"/>
      <c r="BC80" s="241"/>
      <c r="BD80" s="241"/>
      <c r="BE80" s="241"/>
      <c r="BF80" s="241"/>
      <c r="BG80" s="241"/>
      <c r="BH80" s="241"/>
      <c r="BI80" s="241"/>
      <c r="BJ80" s="241"/>
      <c r="BK80" s="241"/>
      <c r="BL80" s="241"/>
    </row>
    <row r="81" spans="1:64" s="58" customFormat="1" ht="15" customHeight="1">
      <c r="A81" s="241"/>
      <c r="B81" s="332"/>
      <c r="C81" s="241"/>
      <c r="D81" s="241"/>
      <c r="E81" s="241"/>
      <c r="F81" s="4271"/>
      <c r="G81" s="4271"/>
      <c r="H81" s="4271"/>
      <c r="I81" s="4271"/>
      <c r="J81" s="4271"/>
      <c r="K81" s="4271"/>
      <c r="L81" s="4271"/>
      <c r="M81" s="4271"/>
      <c r="N81" s="4271"/>
      <c r="O81" s="4271"/>
      <c r="P81" s="4271"/>
      <c r="Q81" s="4271"/>
      <c r="R81" s="1687"/>
      <c r="S81" s="1687"/>
      <c r="T81" s="1687"/>
      <c r="U81" s="926"/>
      <c r="V81" s="926"/>
      <c r="W81" s="926"/>
      <c r="X81" s="926"/>
      <c r="Y81" s="926"/>
      <c r="Z81" s="926"/>
      <c r="AA81" s="926"/>
      <c r="AB81" s="926"/>
      <c r="AC81" s="926"/>
      <c r="AD81" s="926"/>
      <c r="AE81" s="247"/>
      <c r="AF81" s="247"/>
      <c r="AG81" s="247"/>
      <c r="AH81" s="247"/>
      <c r="AI81" s="247"/>
      <c r="AJ81" s="247"/>
      <c r="AK81" s="247"/>
      <c r="AL81" s="247"/>
      <c r="AM81" s="247"/>
      <c r="AN81" s="247"/>
      <c r="AO81" s="247"/>
      <c r="AP81" s="247"/>
      <c r="AQ81" s="247"/>
      <c r="AR81" s="247"/>
      <c r="AS81" s="247"/>
      <c r="AT81" s="247"/>
      <c r="AU81" s="926"/>
      <c r="AV81" s="926"/>
      <c r="AW81" s="926"/>
      <c r="AX81" s="926"/>
      <c r="AY81" s="926"/>
      <c r="AZ81" s="926"/>
      <c r="BA81" s="926"/>
      <c r="BB81" s="926"/>
      <c r="BC81" s="926"/>
      <c r="BD81" s="926"/>
      <c r="BE81" s="926"/>
      <c r="BF81" s="926"/>
      <c r="BG81" s="926"/>
      <c r="BH81" s="926"/>
      <c r="BI81" s="926"/>
      <c r="BJ81" s="926"/>
      <c r="BK81" s="926"/>
      <c r="BL81" s="926"/>
    </row>
    <row r="82" spans="1:64">
      <c r="A82" s="240"/>
      <c r="B82" s="239"/>
      <c r="C82" s="240"/>
      <c r="D82" s="239"/>
      <c r="E82" s="240"/>
      <c r="F82" s="239"/>
      <c r="G82" s="240"/>
      <c r="H82" s="239"/>
      <c r="I82" s="240"/>
      <c r="J82" s="239"/>
      <c r="K82" s="240"/>
      <c r="L82" s="238"/>
      <c r="M82" s="227"/>
      <c r="N82" s="238"/>
      <c r="O82" s="227"/>
      <c r="P82" s="238"/>
      <c r="Q82" s="227"/>
      <c r="R82" s="227"/>
      <c r="S82" s="227"/>
      <c r="T82" s="227"/>
      <c r="U82" s="434"/>
      <c r="V82" s="434"/>
      <c r="W82" s="434"/>
      <c r="X82" s="434"/>
      <c r="Y82" s="434"/>
      <c r="Z82" s="434"/>
      <c r="AA82" s="434"/>
      <c r="AB82" s="434"/>
      <c r="AC82" s="434"/>
      <c r="AD82" s="434"/>
      <c r="AE82" s="332"/>
      <c r="AF82" s="241"/>
      <c r="AG82" s="241"/>
      <c r="AH82" s="241"/>
      <c r="AI82" s="1687"/>
      <c r="AJ82" s="1687"/>
      <c r="AK82" s="1687"/>
      <c r="AL82" s="1687"/>
      <c r="AM82" s="1687"/>
      <c r="AN82" s="1687"/>
      <c r="AO82" s="1687"/>
      <c r="AP82" s="1687"/>
      <c r="AQ82" s="1687"/>
      <c r="AR82" s="1687"/>
      <c r="AS82" s="1687"/>
      <c r="AT82" s="1687"/>
      <c r="AU82" s="434"/>
      <c r="AV82" s="434"/>
      <c r="AW82" s="434"/>
      <c r="AX82" s="434"/>
      <c r="AY82" s="434"/>
      <c r="AZ82" s="434"/>
      <c r="BA82" s="434"/>
      <c r="BB82" s="434"/>
      <c r="BC82" s="434"/>
      <c r="BD82" s="434"/>
      <c r="BE82" s="434"/>
      <c r="BF82" s="434"/>
      <c r="BG82" s="434"/>
      <c r="BH82" s="434"/>
      <c r="BI82" s="434"/>
      <c r="BJ82" s="434"/>
      <c r="BK82" s="434"/>
      <c r="BL82" s="434"/>
    </row>
    <row r="83" spans="1:64">
      <c r="A83" s="241"/>
      <c r="B83" s="332"/>
      <c r="C83" s="241"/>
      <c r="D83" s="241"/>
      <c r="E83" s="241"/>
      <c r="F83" s="241"/>
      <c r="G83" s="241"/>
      <c r="H83" s="241"/>
      <c r="I83" s="241"/>
      <c r="J83" s="241"/>
      <c r="K83" s="241"/>
      <c r="L83" s="241"/>
      <c r="M83" s="241"/>
      <c r="N83" s="241"/>
      <c r="O83" s="241"/>
      <c r="P83" s="241"/>
      <c r="Q83" s="241"/>
      <c r="R83" s="241"/>
      <c r="S83" s="241"/>
      <c r="T83" s="241"/>
      <c r="U83" s="434"/>
      <c r="V83" s="434"/>
      <c r="W83" s="434"/>
      <c r="X83" s="434"/>
      <c r="Y83" s="434"/>
      <c r="Z83" s="434"/>
      <c r="AA83" s="434"/>
      <c r="AB83" s="434"/>
      <c r="AC83" s="434"/>
      <c r="AD83" s="434"/>
      <c r="AE83" s="434"/>
      <c r="AF83" s="434"/>
      <c r="AG83" s="434"/>
      <c r="AH83" s="434"/>
      <c r="AI83" s="434"/>
      <c r="AJ83" s="434"/>
      <c r="AK83" s="434"/>
      <c r="AL83" s="434"/>
      <c r="AM83" s="434"/>
      <c r="AN83" s="434"/>
      <c r="AO83" s="434"/>
      <c r="AP83" s="434"/>
      <c r="AQ83" s="434"/>
      <c r="AR83" s="434"/>
      <c r="AS83" s="434"/>
      <c r="AT83" s="434"/>
      <c r="AU83" s="434"/>
      <c r="AV83" s="434"/>
      <c r="AW83" s="434"/>
      <c r="AX83" s="434"/>
      <c r="AY83" s="434"/>
      <c r="AZ83" s="434"/>
      <c r="BA83" s="434"/>
      <c r="BB83" s="434"/>
      <c r="BC83" s="434"/>
      <c r="BD83" s="434"/>
      <c r="BE83" s="434"/>
      <c r="BF83" s="434"/>
      <c r="BG83" s="434"/>
      <c r="BH83" s="434"/>
      <c r="BI83" s="434"/>
      <c r="BJ83" s="434"/>
      <c r="BK83" s="434"/>
      <c r="BL83" s="434"/>
    </row>
    <row r="84" spans="1:64">
      <c r="A84" s="241"/>
      <c r="B84" s="4271"/>
      <c r="C84" s="4271"/>
      <c r="D84" s="4271"/>
      <c r="E84" s="4271"/>
      <c r="F84" s="4271"/>
      <c r="G84" s="4271"/>
      <c r="H84" s="4271"/>
      <c r="I84" s="4271"/>
      <c r="J84" s="4271"/>
      <c r="K84" s="4271"/>
      <c r="L84" s="4271"/>
      <c r="M84" s="4271"/>
      <c r="N84" s="4271"/>
      <c r="O84" s="4271"/>
      <c r="P84" s="4271"/>
      <c r="Q84" s="4271"/>
      <c r="R84" s="241"/>
      <c r="S84" s="241"/>
      <c r="T84" s="241"/>
      <c r="U84" s="434"/>
      <c r="V84" s="434"/>
      <c r="W84" s="434"/>
      <c r="X84" s="434"/>
      <c r="Y84" s="434"/>
      <c r="Z84" s="434"/>
      <c r="AA84" s="434"/>
      <c r="AB84" s="434"/>
      <c r="AC84" s="434"/>
      <c r="AD84" s="434"/>
      <c r="AE84" s="434"/>
      <c r="AF84" s="434"/>
      <c r="AG84" s="434"/>
      <c r="AH84" s="434"/>
      <c r="AI84" s="434"/>
      <c r="AJ84" s="434"/>
      <c r="AK84" s="434"/>
      <c r="AL84" s="434"/>
      <c r="AM84" s="434"/>
      <c r="AN84" s="434"/>
      <c r="AO84" s="434"/>
      <c r="AP84" s="434"/>
      <c r="AQ84" s="434"/>
      <c r="AR84" s="434"/>
      <c r="AS84" s="434"/>
      <c r="AT84" s="434"/>
      <c r="AU84" s="434"/>
      <c r="AV84" s="434"/>
      <c r="AW84" s="434"/>
      <c r="AX84" s="434"/>
      <c r="AY84" s="434"/>
      <c r="AZ84" s="434"/>
      <c r="BA84" s="434"/>
      <c r="BB84" s="434"/>
      <c r="BC84" s="434"/>
      <c r="BD84" s="434"/>
      <c r="BE84" s="434"/>
      <c r="BF84" s="434"/>
      <c r="BG84" s="434"/>
      <c r="BH84" s="434"/>
      <c r="BI84" s="434"/>
      <c r="BJ84" s="434"/>
      <c r="BK84" s="434"/>
      <c r="BL84" s="434"/>
    </row>
    <row r="85" spans="1:64">
      <c r="A85" s="926"/>
      <c r="B85" s="2519"/>
      <c r="C85" s="2519"/>
      <c r="D85" s="2519"/>
      <c r="E85" s="2519"/>
      <c r="F85" s="2519"/>
      <c r="G85" s="2519"/>
      <c r="H85" s="2519"/>
      <c r="I85" s="2519"/>
      <c r="J85" s="2519"/>
      <c r="K85" s="2519"/>
      <c r="L85" s="2519"/>
      <c r="M85" s="2519"/>
      <c r="N85" s="2519"/>
      <c r="O85" s="2519"/>
      <c r="P85" s="2519"/>
      <c r="Q85" s="2519"/>
      <c r="R85" s="926"/>
      <c r="S85" s="926"/>
      <c r="T85" s="926"/>
      <c r="U85" s="434"/>
      <c r="V85" s="434"/>
      <c r="W85" s="434"/>
      <c r="X85" s="434"/>
      <c r="Y85" s="434"/>
      <c r="Z85" s="434"/>
      <c r="AA85" s="434"/>
      <c r="AB85" s="434"/>
      <c r="AC85" s="434"/>
      <c r="AD85" s="434"/>
      <c r="AE85" s="434"/>
      <c r="AF85" s="434"/>
      <c r="AG85" s="434"/>
      <c r="AH85" s="434"/>
      <c r="AI85" s="434"/>
      <c r="AJ85" s="434"/>
      <c r="AK85" s="434"/>
      <c r="AL85" s="434"/>
      <c r="AM85" s="434"/>
      <c r="AN85" s="434"/>
      <c r="AO85" s="434"/>
      <c r="AP85" s="434"/>
      <c r="AQ85" s="434"/>
      <c r="AR85" s="434"/>
      <c r="AS85" s="434"/>
      <c r="AT85" s="434"/>
      <c r="AU85" s="434"/>
      <c r="AV85" s="434"/>
      <c r="AW85" s="434"/>
      <c r="AX85" s="434"/>
      <c r="AY85" s="434"/>
      <c r="AZ85" s="434"/>
      <c r="BA85" s="434"/>
      <c r="BB85" s="434"/>
      <c r="BC85" s="434"/>
      <c r="BD85" s="434"/>
      <c r="BE85" s="434"/>
      <c r="BF85" s="434"/>
      <c r="BG85" s="434"/>
      <c r="BH85" s="434"/>
      <c r="BI85" s="434"/>
      <c r="BJ85" s="434"/>
      <c r="BK85" s="434"/>
      <c r="BL85" s="434"/>
    </row>
    <row r="86" spans="1:64">
      <c r="A86" s="434"/>
      <c r="B86" s="332"/>
      <c r="C86" s="241"/>
      <c r="D86" s="241"/>
      <c r="E86" s="241"/>
      <c r="F86" s="4271"/>
      <c r="G86" s="4271"/>
      <c r="H86" s="4271"/>
      <c r="I86" s="4271"/>
      <c r="J86" s="4271"/>
      <c r="K86" s="4271"/>
      <c r="L86" s="4271"/>
      <c r="M86" s="4271"/>
      <c r="N86" s="4271"/>
      <c r="O86" s="4271"/>
      <c r="P86" s="4271"/>
      <c r="Q86" s="4271"/>
      <c r="R86" s="434"/>
      <c r="S86" s="434"/>
      <c r="T86" s="434"/>
      <c r="U86" s="434"/>
      <c r="V86" s="434"/>
      <c r="W86" s="434"/>
      <c r="X86" s="434"/>
      <c r="Y86" s="434"/>
      <c r="Z86" s="434"/>
      <c r="AA86" s="434"/>
      <c r="AB86" s="434"/>
      <c r="AC86" s="434"/>
      <c r="AD86" s="434"/>
      <c r="AE86" s="434"/>
      <c r="AF86" s="434"/>
      <c r="AG86" s="434"/>
      <c r="AH86" s="434"/>
      <c r="AI86" s="434"/>
      <c r="AJ86" s="434"/>
      <c r="AK86" s="434"/>
      <c r="AL86" s="434"/>
      <c r="AM86" s="434"/>
      <c r="AN86" s="434"/>
      <c r="AO86" s="434"/>
      <c r="AP86" s="434"/>
      <c r="AQ86" s="434"/>
      <c r="AR86" s="434"/>
      <c r="AS86" s="434"/>
      <c r="AT86" s="434"/>
      <c r="AU86" s="434"/>
      <c r="AV86" s="434"/>
      <c r="AW86" s="434"/>
      <c r="AX86" s="434"/>
      <c r="AY86" s="434"/>
      <c r="AZ86" s="434"/>
      <c r="BA86" s="434"/>
      <c r="BB86" s="434"/>
      <c r="BC86" s="434"/>
      <c r="BD86" s="434"/>
      <c r="BE86" s="434"/>
      <c r="BF86" s="434"/>
      <c r="BG86" s="434"/>
      <c r="BH86" s="434"/>
      <c r="BI86" s="434"/>
      <c r="BJ86" s="434"/>
      <c r="BK86" s="434"/>
      <c r="BL86" s="434"/>
    </row>
    <row r="87" spans="1:64">
      <c r="A87" s="434"/>
      <c r="B87" s="434"/>
      <c r="C87" s="434"/>
      <c r="D87" s="434"/>
      <c r="E87" s="434"/>
      <c r="F87" s="434"/>
      <c r="G87" s="434"/>
      <c r="H87" s="434"/>
      <c r="I87" s="434"/>
      <c r="J87" s="434"/>
      <c r="K87" s="434"/>
      <c r="L87" s="434"/>
      <c r="M87" s="434"/>
      <c r="N87" s="434"/>
      <c r="O87" s="434"/>
      <c r="P87" s="434"/>
      <c r="Q87" s="434"/>
      <c r="R87" s="434"/>
      <c r="S87" s="434"/>
      <c r="T87" s="434"/>
      <c r="U87" s="434"/>
      <c r="V87" s="434"/>
      <c r="W87" s="434"/>
      <c r="X87" s="434"/>
      <c r="Y87" s="434"/>
      <c r="Z87" s="434"/>
      <c r="AA87" s="434"/>
      <c r="AB87" s="434"/>
      <c r="AC87" s="434"/>
      <c r="AD87" s="434"/>
      <c r="AE87" s="434"/>
      <c r="AF87" s="434"/>
      <c r="AG87" s="434"/>
      <c r="AH87" s="434"/>
      <c r="AI87" s="434"/>
      <c r="AJ87" s="434"/>
      <c r="AK87" s="434"/>
      <c r="AL87" s="434"/>
      <c r="AM87" s="434"/>
      <c r="AN87" s="434"/>
      <c r="AO87" s="434"/>
      <c r="AP87" s="434"/>
      <c r="AQ87" s="434"/>
      <c r="AR87" s="434"/>
      <c r="AS87" s="434"/>
      <c r="AT87" s="434"/>
      <c r="AU87" s="434"/>
      <c r="AV87" s="434"/>
      <c r="AW87" s="434"/>
      <c r="AX87" s="434"/>
      <c r="AY87" s="434"/>
      <c r="AZ87" s="434"/>
      <c r="BA87" s="434"/>
      <c r="BB87" s="434"/>
      <c r="BC87" s="434"/>
      <c r="BD87" s="434"/>
      <c r="BE87" s="434"/>
      <c r="BF87" s="434"/>
      <c r="BG87" s="434"/>
      <c r="BH87" s="434"/>
      <c r="BI87" s="434"/>
      <c r="BJ87" s="434"/>
      <c r="BK87" s="434"/>
      <c r="BL87" s="434"/>
    </row>
    <row r="88" spans="1:64">
      <c r="A88" s="434"/>
      <c r="B88" s="434"/>
      <c r="C88" s="434"/>
      <c r="D88" s="434"/>
      <c r="E88" s="434"/>
      <c r="F88" s="434"/>
      <c r="G88" s="434"/>
      <c r="H88" s="434"/>
      <c r="I88" s="434"/>
      <c r="J88" s="434"/>
      <c r="K88" s="434"/>
      <c r="L88" s="434"/>
      <c r="M88" s="434"/>
      <c r="N88" s="434"/>
      <c r="O88" s="434"/>
      <c r="P88" s="434"/>
      <c r="Q88" s="434"/>
      <c r="R88" s="434"/>
      <c r="S88" s="434"/>
      <c r="T88" s="434"/>
      <c r="U88" s="434"/>
      <c r="V88" s="434"/>
      <c r="W88" s="434"/>
      <c r="X88" s="434"/>
      <c r="Y88" s="434"/>
      <c r="Z88" s="434"/>
      <c r="AA88" s="434"/>
      <c r="AB88" s="434"/>
      <c r="AC88" s="434"/>
      <c r="AD88" s="434"/>
      <c r="AE88" s="434"/>
      <c r="AF88" s="434"/>
      <c r="AG88" s="434"/>
      <c r="AH88" s="434"/>
      <c r="AI88" s="434"/>
      <c r="AJ88" s="434"/>
      <c r="AK88" s="434"/>
      <c r="AL88" s="434"/>
      <c r="AM88" s="434"/>
      <c r="AN88" s="434"/>
      <c r="AO88" s="434"/>
      <c r="AP88" s="434"/>
      <c r="AQ88" s="434"/>
      <c r="AR88" s="434"/>
      <c r="AS88" s="434"/>
      <c r="AT88" s="434"/>
      <c r="AU88" s="434"/>
      <c r="AV88" s="434"/>
      <c r="AW88" s="434"/>
      <c r="AX88" s="434"/>
      <c r="AY88" s="434"/>
      <c r="AZ88" s="434"/>
      <c r="BA88" s="434"/>
      <c r="BB88" s="434"/>
      <c r="BC88" s="434"/>
      <c r="BD88" s="434"/>
      <c r="BE88" s="434"/>
      <c r="BF88" s="434"/>
      <c r="BG88" s="434"/>
      <c r="BH88" s="434"/>
      <c r="BI88" s="434"/>
      <c r="BJ88" s="434"/>
      <c r="BK88" s="434"/>
      <c r="BL88" s="434"/>
    </row>
    <row r="89" spans="1:64">
      <c r="A89" s="434"/>
      <c r="B89" s="434"/>
      <c r="C89" s="434"/>
      <c r="D89" s="434"/>
      <c r="E89" s="434"/>
      <c r="F89" s="434"/>
      <c r="G89" s="434"/>
      <c r="H89" s="434"/>
      <c r="I89" s="434"/>
      <c r="J89" s="434"/>
      <c r="K89" s="434"/>
      <c r="L89" s="434"/>
      <c r="M89" s="434"/>
      <c r="N89" s="434"/>
      <c r="O89" s="434"/>
      <c r="P89" s="434"/>
      <c r="Q89" s="434"/>
      <c r="R89" s="434"/>
      <c r="S89" s="434"/>
      <c r="T89" s="434"/>
      <c r="U89" s="434"/>
      <c r="V89" s="434"/>
      <c r="W89" s="434"/>
      <c r="X89" s="434"/>
      <c r="Y89" s="434"/>
      <c r="Z89" s="434"/>
      <c r="AA89" s="434"/>
      <c r="AB89" s="434"/>
      <c r="AC89" s="434"/>
      <c r="AD89" s="434"/>
      <c r="AE89" s="434"/>
      <c r="AF89" s="434"/>
      <c r="AG89" s="434"/>
      <c r="AH89" s="434"/>
      <c r="AI89" s="434"/>
      <c r="AJ89" s="434"/>
      <c r="AK89" s="434"/>
      <c r="AL89" s="434"/>
      <c r="AM89" s="434"/>
      <c r="AN89" s="434"/>
      <c r="AO89" s="434"/>
      <c r="AP89" s="434"/>
      <c r="AQ89" s="434"/>
      <c r="AR89" s="434"/>
      <c r="AS89" s="434"/>
      <c r="AT89" s="434"/>
      <c r="AU89" s="434"/>
      <c r="AV89" s="434"/>
      <c r="AW89" s="434"/>
      <c r="AX89" s="434"/>
      <c r="AY89" s="434"/>
      <c r="AZ89" s="434"/>
      <c r="BA89" s="434"/>
      <c r="BB89" s="434"/>
      <c r="BC89" s="434"/>
      <c r="BD89" s="434"/>
      <c r="BE89" s="434"/>
      <c r="BF89" s="434"/>
      <c r="BG89" s="434"/>
      <c r="BH89" s="434"/>
      <c r="BI89" s="434"/>
      <c r="BJ89" s="434"/>
      <c r="BK89" s="434"/>
      <c r="BL89" s="434"/>
    </row>
    <row r="90" spans="1:64">
      <c r="A90" s="434"/>
      <c r="B90" s="434"/>
      <c r="C90" s="434"/>
      <c r="D90" s="434"/>
      <c r="E90" s="434"/>
      <c r="F90" s="434"/>
      <c r="G90" s="434"/>
      <c r="H90" s="434"/>
      <c r="I90" s="434"/>
      <c r="J90" s="434"/>
      <c r="K90" s="434"/>
      <c r="L90" s="434"/>
      <c r="M90" s="434"/>
      <c r="N90" s="434"/>
      <c r="O90" s="434"/>
      <c r="P90" s="434"/>
      <c r="Q90" s="434"/>
      <c r="R90" s="434"/>
      <c r="S90" s="434"/>
      <c r="T90" s="434"/>
      <c r="U90" s="434"/>
      <c r="V90" s="434"/>
      <c r="W90" s="434"/>
      <c r="X90" s="434"/>
      <c r="Y90" s="434"/>
      <c r="Z90" s="434"/>
      <c r="AA90" s="434"/>
      <c r="AB90" s="434"/>
      <c r="AC90" s="434"/>
      <c r="AD90" s="434"/>
      <c r="AE90" s="434"/>
      <c r="AF90" s="434"/>
      <c r="AG90" s="434"/>
      <c r="AH90" s="434"/>
      <c r="AI90" s="434"/>
      <c r="AJ90" s="434"/>
      <c r="AK90" s="434"/>
      <c r="AL90" s="434"/>
      <c r="AM90" s="434"/>
      <c r="AN90" s="434"/>
      <c r="AO90" s="434"/>
      <c r="AP90" s="434"/>
      <c r="AQ90" s="434"/>
      <c r="AR90" s="434"/>
      <c r="AS90" s="434"/>
      <c r="AT90" s="434"/>
      <c r="AU90" s="434"/>
      <c r="AV90" s="434"/>
      <c r="AW90" s="434"/>
      <c r="AX90" s="434"/>
      <c r="AY90" s="434"/>
      <c r="AZ90" s="434"/>
      <c r="BA90" s="434"/>
      <c r="BB90" s="434"/>
      <c r="BC90" s="434"/>
      <c r="BD90" s="434"/>
      <c r="BE90" s="434"/>
      <c r="BF90" s="434"/>
      <c r="BG90" s="434"/>
      <c r="BH90" s="434"/>
      <c r="BI90" s="434"/>
      <c r="BJ90" s="434"/>
      <c r="BK90" s="434"/>
      <c r="BL90" s="434"/>
    </row>
    <row r="91" spans="1:64" ht="20.100000000000001" customHeight="1">
      <c r="A91" s="434"/>
      <c r="B91" s="434"/>
      <c r="C91" s="434"/>
      <c r="D91" s="434"/>
      <c r="E91" s="434"/>
      <c r="F91" s="434"/>
      <c r="G91" s="434"/>
      <c r="H91" s="434"/>
      <c r="I91" s="434"/>
      <c r="J91" s="434"/>
      <c r="K91" s="434"/>
      <c r="L91" s="434"/>
      <c r="M91" s="434"/>
      <c r="N91" s="434"/>
      <c r="O91" s="434"/>
      <c r="P91" s="434"/>
      <c r="Q91" s="434"/>
      <c r="R91" s="434"/>
      <c r="S91" s="434"/>
      <c r="T91" s="434"/>
      <c r="U91" s="434"/>
      <c r="V91" s="434"/>
      <c r="W91" s="434"/>
      <c r="X91" s="434"/>
      <c r="Y91" s="434"/>
      <c r="Z91" s="434"/>
      <c r="AA91" s="434"/>
      <c r="AB91" s="434"/>
      <c r="AC91" s="434"/>
      <c r="AD91" s="434"/>
      <c r="AE91" s="434"/>
      <c r="AF91" s="434"/>
      <c r="AG91" s="434"/>
      <c r="AH91" s="434"/>
      <c r="AI91" s="434"/>
      <c r="AJ91" s="434"/>
      <c r="AK91" s="434"/>
      <c r="AL91" s="434"/>
      <c r="AM91" s="434"/>
      <c r="AN91" s="434"/>
      <c r="AO91" s="434"/>
      <c r="AP91" s="434"/>
      <c r="AQ91" s="434"/>
      <c r="AR91" s="434"/>
      <c r="AS91" s="434"/>
      <c r="AT91" s="434"/>
      <c r="AU91" s="434"/>
      <c r="AV91" s="434"/>
      <c r="AW91" s="434"/>
      <c r="AX91" s="434"/>
      <c r="AY91" s="434"/>
      <c r="AZ91" s="434"/>
      <c r="BA91" s="434"/>
      <c r="BB91" s="434"/>
      <c r="BC91" s="434"/>
      <c r="BD91" s="434"/>
      <c r="BE91" s="434"/>
      <c r="BF91" s="434"/>
      <c r="BG91" s="434"/>
      <c r="BH91" s="434"/>
      <c r="BI91" s="434"/>
      <c r="BJ91" s="434"/>
      <c r="BK91" s="434"/>
      <c r="BL91" s="434"/>
    </row>
  </sheetData>
  <sheetProtection algorithmName="SHA-512" hashValue="Yu3CV1yPN7Y2LTbPpJo7uwAaIi5IRk4khNSa3WBPKRREQdVYtZf7QO4Kh6i02t3KPESPdL2nKkqciDskFVSP5Q==" saltValue="Z/96uyiOattZYDswGvzvhQ==" spinCount="100000" sheet="1" objects="1" scenarios="1"/>
  <customSheetViews>
    <customSheetView guid="{6EFEFCA0-BF14-457A-85A3-29CBF2A862A5}" showGridLines="0">
      <selection sqref="A1:AT73"/>
      <rowBreaks count="2" manualBreakCount="2">
        <brk id="72" max="45" man="1"/>
        <brk id="73" max="43" man="1"/>
      </rowBreaks>
      <pageMargins left="0.23622047244094491" right="0.23622047244094491" top="0.19685039370078741" bottom="0.19685039370078741" header="0" footer="0.11811023622047245"/>
      <printOptions horizontalCentered="1"/>
      <pageSetup paperSize="5" scale="56" fitToHeight="0" orientation="portrait" r:id="rId1"/>
      <headerFooter>
        <oddFooter>&amp;L&amp;10&amp;F &amp;A&amp;R&amp;10Page 61 of 61</oddFooter>
      </headerFooter>
    </customSheetView>
  </customSheetViews>
  <mergeCells count="184">
    <mergeCell ref="AA29:AI29"/>
    <mergeCell ref="D7:D8"/>
    <mergeCell ref="E7:AQ8"/>
    <mergeCell ref="D9:D10"/>
    <mergeCell ref="E9:AQ10"/>
    <mergeCell ref="D11:D12"/>
    <mergeCell ref="E11:AQ12"/>
    <mergeCell ref="AD20:AF20"/>
    <mergeCell ref="AA21:AC21"/>
    <mergeCell ref="AD21:AF21"/>
    <mergeCell ref="E18:N20"/>
    <mergeCell ref="O18:AF18"/>
    <mergeCell ref="O19:T19"/>
    <mergeCell ref="U19:Z19"/>
    <mergeCell ref="AA19:AF19"/>
    <mergeCell ref="O20:Q20"/>
    <mergeCell ref="R20:T20"/>
    <mergeCell ref="U20:W20"/>
    <mergeCell ref="E21:N21"/>
    <mergeCell ref="O21:Q21"/>
    <mergeCell ref="R21:T21"/>
    <mergeCell ref="U21:W21"/>
    <mergeCell ref="X21:Z21"/>
    <mergeCell ref="X20:Z20"/>
    <mergeCell ref="AP25:AP26"/>
    <mergeCell ref="E25:AF26"/>
    <mergeCell ref="AD22:AF22"/>
    <mergeCell ref="E23:N23"/>
    <mergeCell ref="O23:Q23"/>
    <mergeCell ref="R23:T23"/>
    <mergeCell ref="U23:W23"/>
    <mergeCell ref="X23:Z23"/>
    <mergeCell ref="AA23:AC23"/>
    <mergeCell ref="AD23:AF23"/>
    <mergeCell ref="E22:N22"/>
    <mergeCell ref="O22:Q22"/>
    <mergeCell ref="R22:T22"/>
    <mergeCell ref="U22:W22"/>
    <mergeCell ref="X22:Z22"/>
    <mergeCell ref="AA22:AC22"/>
    <mergeCell ref="AO25:AO26"/>
    <mergeCell ref="AA20:AC20"/>
    <mergeCell ref="B84:Q84"/>
    <mergeCell ref="B85:Q85"/>
    <mergeCell ref="F86:Q86"/>
    <mergeCell ref="F79:Q79"/>
    <mergeCell ref="F80:Q80"/>
    <mergeCell ref="F81:Q81"/>
    <mergeCell ref="AJ25:AJ26"/>
    <mergeCell ref="AK25:AK26"/>
    <mergeCell ref="E32:J33"/>
    <mergeCell ref="E34:G34"/>
    <mergeCell ref="H34:J34"/>
    <mergeCell ref="K34:M34"/>
    <mergeCell ref="N34:P34"/>
    <mergeCell ref="K32:P33"/>
    <mergeCell ref="Q32:V33"/>
    <mergeCell ref="B65:Q65"/>
    <mergeCell ref="B66:Q66"/>
    <mergeCell ref="F60:Q60"/>
    <mergeCell ref="F61:Q61"/>
    <mergeCell ref="F62:Q62"/>
    <mergeCell ref="E40:J40"/>
    <mergeCell ref="K40:P40"/>
    <mergeCell ref="Q40:V40"/>
    <mergeCell ref="AW36:BD38"/>
    <mergeCell ref="BE36:BH37"/>
    <mergeCell ref="BI36:BL37"/>
    <mergeCell ref="BM36:BP37"/>
    <mergeCell ref="BQ36:BT37"/>
    <mergeCell ref="Q37:V37"/>
    <mergeCell ref="Q38:V38"/>
    <mergeCell ref="E37:J37"/>
    <mergeCell ref="K37:P37"/>
    <mergeCell ref="BU36:BX37"/>
    <mergeCell ref="BE38:BF38"/>
    <mergeCell ref="BG38:BH38"/>
    <mergeCell ref="BI38:BJ38"/>
    <mergeCell ref="BK38:BL38"/>
    <mergeCell ref="BM38:BN38"/>
    <mergeCell ref="BO38:BP38"/>
    <mergeCell ref="BQ38:BR38"/>
    <mergeCell ref="BS38:BT38"/>
    <mergeCell ref="BU38:BV38"/>
    <mergeCell ref="BW38:BX38"/>
    <mergeCell ref="BQ39:BR39"/>
    <mergeCell ref="BS39:BT39"/>
    <mergeCell ref="BU39:BV39"/>
    <mergeCell ref="BW39:BX39"/>
    <mergeCell ref="AW44:BD44"/>
    <mergeCell ref="BE44:BF44"/>
    <mergeCell ref="BG44:BH44"/>
    <mergeCell ref="BI44:BJ44"/>
    <mergeCell ref="BK44:BL44"/>
    <mergeCell ref="BM44:BN44"/>
    <mergeCell ref="BO44:BP44"/>
    <mergeCell ref="BQ44:BR44"/>
    <mergeCell ref="BG39:BH39"/>
    <mergeCell ref="BI39:BJ39"/>
    <mergeCell ref="BK39:BL39"/>
    <mergeCell ref="BM39:BN39"/>
    <mergeCell ref="BO39:BP39"/>
    <mergeCell ref="AW39:BD39"/>
    <mergeCell ref="BE39:BF39"/>
    <mergeCell ref="BS44:BT44"/>
    <mergeCell ref="BU44:BV44"/>
    <mergeCell ref="BW44:BX44"/>
    <mergeCell ref="Q34:S34"/>
    <mergeCell ref="T34:V34"/>
    <mergeCell ref="AB65:AQ65"/>
    <mergeCell ref="BW46:BX46"/>
    <mergeCell ref="BS45:BT45"/>
    <mergeCell ref="BU45:BV45"/>
    <mergeCell ref="BW45:BX45"/>
    <mergeCell ref="BE46:BF46"/>
    <mergeCell ref="BG46:BH46"/>
    <mergeCell ref="BI46:BJ46"/>
    <mergeCell ref="BK46:BL46"/>
    <mergeCell ref="BM46:BN46"/>
    <mergeCell ref="BO46:BP46"/>
    <mergeCell ref="BQ46:BR46"/>
    <mergeCell ref="BS46:BT46"/>
    <mergeCell ref="AW45:BD45"/>
    <mergeCell ref="BE45:BF45"/>
    <mergeCell ref="BG45:BH45"/>
    <mergeCell ref="BI45:BJ45"/>
    <mergeCell ref="BK45:BL45"/>
    <mergeCell ref="BM45:BN45"/>
    <mergeCell ref="BO45:BP45"/>
    <mergeCell ref="BQ45:BR45"/>
    <mergeCell ref="BU46:BV46"/>
    <mergeCell ref="AU54:AY54"/>
    <mergeCell ref="E57:AT57"/>
    <mergeCell ref="C54:AQ54"/>
    <mergeCell ref="C55:AQ55"/>
    <mergeCell ref="AB61:AQ61"/>
    <mergeCell ref="F67:Q67"/>
    <mergeCell ref="Q41:V41"/>
    <mergeCell ref="E43:L45"/>
    <mergeCell ref="M43:P44"/>
    <mergeCell ref="Q43:T44"/>
    <mergeCell ref="C56:AT56"/>
    <mergeCell ref="S48:T48"/>
    <mergeCell ref="AB60:AQ60"/>
    <mergeCell ref="AF62:AQ62"/>
    <mergeCell ref="R72:AB72"/>
    <mergeCell ref="E50:N52"/>
    <mergeCell ref="P50:P51"/>
    <mergeCell ref="Q50:Q51"/>
    <mergeCell ref="U50:U51"/>
    <mergeCell ref="V50:V51"/>
    <mergeCell ref="U43:X44"/>
    <mergeCell ref="U45:V45"/>
    <mergeCell ref="W45:X45"/>
    <mergeCell ref="U46:V46"/>
    <mergeCell ref="W46:X46"/>
    <mergeCell ref="U47:V47"/>
    <mergeCell ref="W47:X47"/>
    <mergeCell ref="U48:V48"/>
    <mergeCell ref="W48:X48"/>
    <mergeCell ref="AB66:AQ66"/>
    <mergeCell ref="AF67:AQ67"/>
    <mergeCell ref="M47:N47"/>
    <mergeCell ref="O47:P47"/>
    <mergeCell ref="Q47:R47"/>
    <mergeCell ref="S47:T47"/>
    <mergeCell ref="M48:N48"/>
    <mergeCell ref="O48:P48"/>
    <mergeCell ref="Q48:R48"/>
    <mergeCell ref="R71:AB71"/>
    <mergeCell ref="K35:M35"/>
    <mergeCell ref="N35:P35"/>
    <mergeCell ref="Q35:S35"/>
    <mergeCell ref="T35:V35"/>
    <mergeCell ref="E38:J38"/>
    <mergeCell ref="K38:P38"/>
    <mergeCell ref="E41:J41"/>
    <mergeCell ref="K41:P41"/>
    <mergeCell ref="M46:N46"/>
    <mergeCell ref="O46:P46"/>
    <mergeCell ref="Q46:R46"/>
    <mergeCell ref="S46:T46"/>
    <mergeCell ref="E35:G35"/>
    <mergeCell ref="H35:J35"/>
  </mergeCells>
  <dataValidations count="2">
    <dataValidation type="whole" allowBlank="1" showInputMessage="1" showErrorMessage="1" errorTitle="GSHSP SY 2022-2023" error="Please enter valid number between 0-999." sqref="O21:Z22 E35:P35 E38:P38 E41:P41" xr:uid="{9477D71B-838B-4827-8390-8C83054F3224}">
      <formula1>0</formula1>
      <formula2>999</formula2>
    </dataValidation>
    <dataValidation type="whole" allowBlank="1" showInputMessage="1" showErrorMessage="1" errorTitle="GSHSP SY 2022-2023" error="Please enter valid number between 0-20,000." sqref="M46:T48" xr:uid="{4A38B838-E09E-46AD-93F9-6B8716BF3184}">
      <formula1>0</formula1>
      <formula2>20000</formula2>
    </dataValidation>
  </dataValidations>
  <printOptions horizontalCentered="1"/>
  <pageMargins left="0.23622047244094491" right="0.23622047244094491" top="0.19685039370078741" bottom="0.19685039370078741" header="0" footer="0.11811023622047245"/>
  <pageSetup paperSize="5" scale="56" fitToHeight="0" orientation="portrait" r:id="rId2"/>
  <headerFooter>
    <oddFooter>&amp;L&amp;10&amp;F &amp;A&amp;R&amp;10Page 61 of 61</oddFooter>
  </headerFooter>
  <rowBreaks count="2" manualBreakCount="2">
    <brk id="72" max="45" man="1"/>
    <brk id="73" max="43" man="1"/>
  </rowBreaks>
  <drawing r:id="rId3"/>
  <legacyDrawing r:id="rId4"/>
  <mc:AlternateContent xmlns:mc="http://schemas.openxmlformats.org/markup-compatibility/2006">
    <mc:Choice Requires="x14">
      <controls>
        <mc:AlternateContent xmlns:mc="http://schemas.openxmlformats.org/markup-compatibility/2006">
          <mc:Choice Requires="x14">
            <control shapeId="129025" r:id="rId5" name="Check Box 1">
              <controlPr defaultSize="0" autoFill="0" autoLine="0" autoPict="0">
                <anchor moveWithCells="1">
                  <from>
                    <xdr:col>35</xdr:col>
                    <xdr:colOff>28575</xdr:colOff>
                    <xdr:row>24</xdr:row>
                    <xdr:rowOff>123825</xdr:rowOff>
                  </from>
                  <to>
                    <xdr:col>35</xdr:col>
                    <xdr:colOff>238125</xdr:colOff>
                    <xdr:row>25</xdr:row>
                    <xdr:rowOff>114300</xdr:rowOff>
                  </to>
                </anchor>
              </controlPr>
            </control>
          </mc:Choice>
        </mc:AlternateContent>
        <mc:AlternateContent xmlns:mc="http://schemas.openxmlformats.org/markup-compatibility/2006">
          <mc:Choice Requires="x14">
            <control shapeId="129026" r:id="rId6" name="Check Box 2">
              <controlPr defaultSize="0" autoFill="0" autoLine="0" autoPict="0">
                <anchor moveWithCells="1">
                  <from>
                    <xdr:col>40</xdr:col>
                    <xdr:colOff>47625</xdr:colOff>
                    <xdr:row>24</xdr:row>
                    <xdr:rowOff>142875</xdr:rowOff>
                  </from>
                  <to>
                    <xdr:col>41</xdr:col>
                    <xdr:colOff>9525</xdr:colOff>
                    <xdr:row>25</xdr:row>
                    <xdr:rowOff>142875</xdr:rowOff>
                  </to>
                </anchor>
              </controlPr>
            </control>
          </mc:Choice>
        </mc:AlternateContent>
        <mc:AlternateContent xmlns:mc="http://schemas.openxmlformats.org/markup-compatibility/2006">
          <mc:Choice Requires="x14">
            <control shapeId="129027" r:id="rId7" name="Check Box 3">
              <controlPr defaultSize="0" autoFill="0" autoLine="0" autoPict="0">
                <anchor moveWithCells="1">
                  <from>
                    <xdr:col>13</xdr:col>
                    <xdr:colOff>28575</xdr:colOff>
                    <xdr:row>26</xdr:row>
                    <xdr:rowOff>28575</xdr:rowOff>
                  </from>
                  <to>
                    <xdr:col>13</xdr:col>
                    <xdr:colOff>238125</xdr:colOff>
                    <xdr:row>26</xdr:row>
                    <xdr:rowOff>238125</xdr:rowOff>
                  </to>
                </anchor>
              </controlPr>
            </control>
          </mc:Choice>
        </mc:AlternateContent>
        <mc:AlternateContent xmlns:mc="http://schemas.openxmlformats.org/markup-compatibility/2006">
          <mc:Choice Requires="x14">
            <control shapeId="129028" r:id="rId8" name="Check Box 4">
              <controlPr defaultSize="0" autoFill="0" autoLine="0" autoPict="0">
                <anchor moveWithCells="1">
                  <from>
                    <xdr:col>13</xdr:col>
                    <xdr:colOff>28575</xdr:colOff>
                    <xdr:row>27</xdr:row>
                    <xdr:rowOff>28575</xdr:rowOff>
                  </from>
                  <to>
                    <xdr:col>13</xdr:col>
                    <xdr:colOff>266700</xdr:colOff>
                    <xdr:row>27</xdr:row>
                    <xdr:rowOff>238125</xdr:rowOff>
                  </to>
                </anchor>
              </controlPr>
            </control>
          </mc:Choice>
        </mc:AlternateContent>
        <mc:AlternateContent xmlns:mc="http://schemas.openxmlformats.org/markup-compatibility/2006">
          <mc:Choice Requires="x14">
            <control shapeId="129029" r:id="rId9" name="Check Box 5">
              <controlPr defaultSize="0" autoFill="0" autoLine="0" autoPict="0">
                <anchor moveWithCells="1">
                  <from>
                    <xdr:col>13</xdr:col>
                    <xdr:colOff>38100</xdr:colOff>
                    <xdr:row>28</xdr:row>
                    <xdr:rowOff>47625</xdr:rowOff>
                  </from>
                  <to>
                    <xdr:col>13</xdr:col>
                    <xdr:colOff>266700</xdr:colOff>
                    <xdr:row>28</xdr:row>
                    <xdr:rowOff>257175</xdr:rowOff>
                  </to>
                </anchor>
              </controlPr>
            </control>
          </mc:Choice>
        </mc:AlternateContent>
        <mc:AlternateContent xmlns:mc="http://schemas.openxmlformats.org/markup-compatibility/2006">
          <mc:Choice Requires="x14">
            <control shapeId="129030" r:id="rId10" name="Check Box 6">
              <controlPr defaultSize="0" autoFill="0" autoLine="0" autoPict="0">
                <anchor moveWithCells="1">
                  <from>
                    <xdr:col>18</xdr:col>
                    <xdr:colOff>28575</xdr:colOff>
                    <xdr:row>26</xdr:row>
                    <xdr:rowOff>9525</xdr:rowOff>
                  </from>
                  <to>
                    <xdr:col>18</xdr:col>
                    <xdr:colOff>266700</xdr:colOff>
                    <xdr:row>26</xdr:row>
                    <xdr:rowOff>257175</xdr:rowOff>
                  </to>
                </anchor>
              </controlPr>
            </control>
          </mc:Choice>
        </mc:AlternateContent>
        <mc:AlternateContent xmlns:mc="http://schemas.openxmlformats.org/markup-compatibility/2006">
          <mc:Choice Requires="x14">
            <control shapeId="129031" r:id="rId11" name="Check Box 7">
              <controlPr defaultSize="0" autoFill="0" autoLine="0" autoPict="0">
                <anchor moveWithCells="1">
                  <from>
                    <xdr:col>18</xdr:col>
                    <xdr:colOff>28575</xdr:colOff>
                    <xdr:row>27</xdr:row>
                    <xdr:rowOff>9525</xdr:rowOff>
                  </from>
                  <to>
                    <xdr:col>19</xdr:col>
                    <xdr:colOff>0</xdr:colOff>
                    <xdr:row>27</xdr:row>
                    <xdr:rowOff>238125</xdr:rowOff>
                  </to>
                </anchor>
              </controlPr>
            </control>
          </mc:Choice>
        </mc:AlternateContent>
        <mc:AlternateContent xmlns:mc="http://schemas.openxmlformats.org/markup-compatibility/2006">
          <mc:Choice Requires="x14">
            <control shapeId="129032" r:id="rId12" name="Check Box 8">
              <controlPr defaultSize="0" autoFill="0" autoLine="0" autoPict="0">
                <anchor moveWithCells="1">
                  <from>
                    <xdr:col>18</xdr:col>
                    <xdr:colOff>28575</xdr:colOff>
                    <xdr:row>28</xdr:row>
                    <xdr:rowOff>28575</xdr:rowOff>
                  </from>
                  <to>
                    <xdr:col>19</xdr:col>
                    <xdr:colOff>9525</xdr:colOff>
                    <xdr:row>28</xdr:row>
                    <xdr:rowOff>257175</xdr:rowOff>
                  </to>
                </anchor>
              </controlPr>
            </control>
          </mc:Choice>
        </mc:AlternateContent>
        <mc:AlternateContent xmlns:mc="http://schemas.openxmlformats.org/markup-compatibility/2006">
          <mc:Choice Requires="x14">
            <control shapeId="129033" r:id="rId13" name="Check Box 9">
              <controlPr defaultSize="0" autoFill="0" autoLine="0" autoPict="0">
                <anchor moveWithCells="1">
                  <from>
                    <xdr:col>21</xdr:col>
                    <xdr:colOff>38100</xdr:colOff>
                    <xdr:row>29</xdr:row>
                    <xdr:rowOff>28575</xdr:rowOff>
                  </from>
                  <to>
                    <xdr:col>21</xdr:col>
                    <xdr:colOff>228600</xdr:colOff>
                    <xdr:row>29</xdr:row>
                    <xdr:rowOff>219075</xdr:rowOff>
                  </to>
                </anchor>
              </controlPr>
            </control>
          </mc:Choice>
        </mc:AlternateContent>
        <mc:AlternateContent xmlns:mc="http://schemas.openxmlformats.org/markup-compatibility/2006">
          <mc:Choice Requires="x14">
            <control shapeId="129034" r:id="rId14" name="Check Box 10">
              <controlPr defaultSize="0" autoFill="0" autoLine="0" autoPict="0">
                <anchor moveWithCells="1">
                  <from>
                    <xdr:col>24</xdr:col>
                    <xdr:colOff>38100</xdr:colOff>
                    <xdr:row>29</xdr:row>
                    <xdr:rowOff>9525</xdr:rowOff>
                  </from>
                  <to>
                    <xdr:col>24</xdr:col>
                    <xdr:colOff>257175</xdr:colOff>
                    <xdr:row>29</xdr:row>
                    <xdr:rowOff>219075</xdr:rowOff>
                  </to>
                </anchor>
              </controlPr>
            </control>
          </mc:Choice>
        </mc:AlternateContent>
        <mc:AlternateContent xmlns:mc="http://schemas.openxmlformats.org/markup-compatibility/2006">
          <mc:Choice Requires="x14">
            <control shapeId="129035" r:id="rId15" name="Check Box 11">
              <controlPr defaultSize="0" autoFill="0" autoLine="0" autoPict="0">
                <anchor moveWithCells="1">
                  <from>
                    <xdr:col>15</xdr:col>
                    <xdr:colOff>28575</xdr:colOff>
                    <xdr:row>49</xdr:row>
                    <xdr:rowOff>142875</xdr:rowOff>
                  </from>
                  <to>
                    <xdr:col>15</xdr:col>
                    <xdr:colOff>238125</xdr:colOff>
                    <xdr:row>50</xdr:row>
                    <xdr:rowOff>85725</xdr:rowOff>
                  </to>
                </anchor>
              </controlPr>
            </control>
          </mc:Choice>
        </mc:AlternateContent>
        <mc:AlternateContent xmlns:mc="http://schemas.openxmlformats.org/markup-compatibility/2006">
          <mc:Choice Requires="x14">
            <control shapeId="129036" r:id="rId16" name="Check Box 12">
              <controlPr defaultSize="0" autoFill="0" autoLine="0" autoPict="0">
                <anchor moveWithCells="1">
                  <from>
                    <xdr:col>20</xdr:col>
                    <xdr:colOff>38100</xdr:colOff>
                    <xdr:row>49</xdr:row>
                    <xdr:rowOff>142875</xdr:rowOff>
                  </from>
                  <to>
                    <xdr:col>20</xdr:col>
                    <xdr:colOff>266700</xdr:colOff>
                    <xdr:row>50</xdr:row>
                    <xdr:rowOff>123825</xdr:rowOff>
                  </to>
                </anchor>
              </controlPr>
            </control>
          </mc:Choice>
        </mc:AlternateContent>
        <mc:AlternateContent xmlns:mc="http://schemas.openxmlformats.org/markup-compatibility/2006">
          <mc:Choice Requires="x14">
            <control shapeId="129037" r:id="rId17" name="Check Box 13">
              <controlPr defaultSize="0" autoFill="0" autoLine="0" autoPict="0">
                <anchor moveWithCells="1">
                  <from>
                    <xdr:col>3</xdr:col>
                    <xdr:colOff>38100</xdr:colOff>
                    <xdr:row>6</xdr:row>
                    <xdr:rowOff>28575</xdr:rowOff>
                  </from>
                  <to>
                    <xdr:col>3</xdr:col>
                    <xdr:colOff>266700</xdr:colOff>
                    <xdr:row>7</xdr:row>
                    <xdr:rowOff>28575</xdr:rowOff>
                  </to>
                </anchor>
              </controlPr>
            </control>
          </mc:Choice>
        </mc:AlternateContent>
        <mc:AlternateContent xmlns:mc="http://schemas.openxmlformats.org/markup-compatibility/2006">
          <mc:Choice Requires="x14">
            <control shapeId="129038" r:id="rId18" name="Check Box 14">
              <controlPr defaultSize="0" autoFill="0" autoLine="0" autoPict="0">
                <anchor moveWithCells="1">
                  <from>
                    <xdr:col>3</xdr:col>
                    <xdr:colOff>28575</xdr:colOff>
                    <xdr:row>8</xdr:row>
                    <xdr:rowOff>9525</xdr:rowOff>
                  </from>
                  <to>
                    <xdr:col>4</xdr:col>
                    <xdr:colOff>9525</xdr:colOff>
                    <xdr:row>9</xdr:row>
                    <xdr:rowOff>28575</xdr:rowOff>
                  </to>
                </anchor>
              </controlPr>
            </control>
          </mc:Choice>
        </mc:AlternateContent>
        <mc:AlternateContent xmlns:mc="http://schemas.openxmlformats.org/markup-compatibility/2006">
          <mc:Choice Requires="x14">
            <control shapeId="129039" r:id="rId19" name="Check Box 15">
              <controlPr defaultSize="0" autoFill="0" autoLine="0" autoPict="0">
                <anchor moveWithCells="1">
                  <from>
                    <xdr:col>3</xdr:col>
                    <xdr:colOff>28575</xdr:colOff>
                    <xdr:row>10</xdr:row>
                    <xdr:rowOff>0</xdr:rowOff>
                  </from>
                  <to>
                    <xdr:col>3</xdr:col>
                    <xdr:colOff>257175</xdr:colOff>
                    <xdr:row>11</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4766</vt:i4>
      </vt:variant>
    </vt:vector>
  </HeadingPairs>
  <TitlesOfParts>
    <vt:vector size="4831" baseType="lpstr">
      <vt:lpstr>List</vt:lpstr>
      <vt:lpstr>Dropdown</vt:lpstr>
      <vt:lpstr>activesheet</vt:lpstr>
      <vt:lpstr>List of Tables &amp; Boxes</vt:lpstr>
      <vt:lpstr>SchInfo</vt:lpstr>
      <vt:lpstr>Tables 1-2</vt:lpstr>
      <vt:lpstr>Table 3a</vt:lpstr>
      <vt:lpstr>Table 3b</vt:lpstr>
      <vt:lpstr>Tables 4-5</vt:lpstr>
      <vt:lpstr>Table 6</vt:lpstr>
      <vt:lpstr>Table 7</vt:lpstr>
      <vt:lpstr>Tables 8-9</vt:lpstr>
      <vt:lpstr>Tables 10-12</vt:lpstr>
      <vt:lpstr>Tables 13-15</vt:lpstr>
      <vt:lpstr>Tables 16-19</vt:lpstr>
      <vt:lpstr>Table 20a</vt:lpstr>
      <vt:lpstr>Table 20b</vt:lpstr>
      <vt:lpstr>Boxes 1-2</vt:lpstr>
      <vt:lpstr>Boxes 3-5</vt:lpstr>
      <vt:lpstr>Table 21-Box 6</vt:lpstr>
      <vt:lpstr>Table 22</vt:lpstr>
      <vt:lpstr>Table 23</vt:lpstr>
      <vt:lpstr>Box 7-Table 24</vt:lpstr>
      <vt:lpstr>Table 25</vt:lpstr>
      <vt:lpstr>Table 26</vt:lpstr>
      <vt:lpstr>Table 27</vt:lpstr>
      <vt:lpstr>Table 28</vt:lpstr>
      <vt:lpstr>Table 29-Box 8</vt:lpstr>
      <vt:lpstr>Box 9</vt:lpstr>
      <vt:lpstr>Box 9 cont.- Box 10</vt:lpstr>
      <vt:lpstr>Tables 30 A-B</vt:lpstr>
      <vt:lpstr>Tables 30 C &amp; D-Box 11</vt:lpstr>
      <vt:lpstr>Box 12-Table 31</vt:lpstr>
      <vt:lpstr>Tables 32-34</vt:lpstr>
      <vt:lpstr>Box 13</vt:lpstr>
      <vt:lpstr>Box 14</vt:lpstr>
      <vt:lpstr>Box 15</vt:lpstr>
      <vt:lpstr>Box 16</vt:lpstr>
      <vt:lpstr>Boxes 17-18</vt:lpstr>
      <vt:lpstr>Boxes 19-20</vt:lpstr>
      <vt:lpstr>Boxes 21-23</vt:lpstr>
      <vt:lpstr>Boxes 24-25</vt:lpstr>
      <vt:lpstr>Box 26</vt:lpstr>
      <vt:lpstr>Box 27</vt:lpstr>
      <vt:lpstr>Table 35</vt:lpstr>
      <vt:lpstr>Table 36</vt:lpstr>
      <vt:lpstr>Table 36 cont.</vt:lpstr>
      <vt:lpstr>Table 37</vt:lpstr>
      <vt:lpstr>Table 37 cont.- Table 38</vt:lpstr>
      <vt:lpstr>Box 28 Part 1</vt:lpstr>
      <vt:lpstr>Box 28 Parts 2-4</vt:lpstr>
      <vt:lpstr>Box 28 Part 5</vt:lpstr>
      <vt:lpstr>Box 29 Part 1</vt:lpstr>
      <vt:lpstr>Box 29 Part 2</vt:lpstr>
      <vt:lpstr>Box 30 Part 1</vt:lpstr>
      <vt:lpstr>Box 30 Part 2</vt:lpstr>
      <vt:lpstr>Box 30 Part 3a</vt:lpstr>
      <vt:lpstr>Box 30 Part 3b</vt:lpstr>
      <vt:lpstr>Box 30 Part 3b cont.</vt:lpstr>
      <vt:lpstr>Box 31 Parts 1-2</vt:lpstr>
      <vt:lpstr>Box 31 Part 3a</vt:lpstr>
      <vt:lpstr>Box 31 Part 3b</vt:lpstr>
      <vt:lpstr>Box 31 Part 3c</vt:lpstr>
      <vt:lpstr>Box 31 Part 3d</vt:lpstr>
      <vt:lpstr>Box 32</vt:lpstr>
      <vt:lpstr>_ref_broadcast_station</vt:lpstr>
      <vt:lpstr>_ref_cell_serv_provider</vt:lpstr>
      <vt:lpstr>_ref_cell_wtg</vt:lpstr>
      <vt:lpstr>_ref_funding_source</vt:lpstr>
      <vt:lpstr>_ref_internet</vt:lpstr>
      <vt:lpstr>_ref_purpose</vt:lpstr>
      <vt:lpstr>_ref_service_provider</vt:lpstr>
      <vt:lpstr>_ref_stat_partnership</vt:lpstr>
      <vt:lpstr>_ref_type_printer</vt:lpstr>
      <vt:lpstr>_ref_type_radio</vt:lpstr>
      <vt:lpstr>action_research_ongoing</vt:lpstr>
      <vt:lpstr>action_research_sy_1819</vt:lpstr>
      <vt:lpstr>action_research_tobe_conducted</vt:lpstr>
      <vt:lpstr>action_research_yes</vt:lpstr>
      <vt:lpstr>arts_cw_f_gr11</vt:lpstr>
      <vt:lpstr>arts_cw_f_gr12</vt:lpstr>
      <vt:lpstr>arts_cw_m_gr11</vt:lpstr>
      <vt:lpstr>arts_cw_m_gr12</vt:lpstr>
      <vt:lpstr>arts_dance_f_gr11</vt:lpstr>
      <vt:lpstr>arts_dance_f_gr12</vt:lpstr>
      <vt:lpstr>arts_dance_m_gr11</vt:lpstr>
      <vt:lpstr>arts_dance_m_gr12</vt:lpstr>
      <vt:lpstr>arts_media_f_gr11</vt:lpstr>
      <vt:lpstr>arts_media_f_gr12</vt:lpstr>
      <vt:lpstr>arts_media_m_gr11</vt:lpstr>
      <vt:lpstr>arts_media_m_gr12</vt:lpstr>
      <vt:lpstr>arts_music_f_gr11</vt:lpstr>
      <vt:lpstr>arts_music_f_gr12</vt:lpstr>
      <vt:lpstr>arts_music_m_gr11</vt:lpstr>
      <vt:lpstr>arts_music_m_gr12</vt:lpstr>
      <vt:lpstr>arts_thtr_f_gr11</vt:lpstr>
      <vt:lpstr>arts_thtr_f_gr12</vt:lpstr>
      <vt:lpstr>arts_thtr_m_gr11</vt:lpstr>
      <vt:lpstr>arts_thtr_m_gr12</vt:lpstr>
      <vt:lpstr>arts_visual_f_gr11</vt:lpstr>
      <vt:lpstr>arts_visual_f_gr12</vt:lpstr>
      <vt:lpstr>arts_visual_m_gr11</vt:lpstr>
      <vt:lpstr>arts_visual_m_gr12</vt:lpstr>
      <vt:lpstr>ave_cost_monthly_bills_amount</vt:lpstr>
      <vt:lpstr>BARMM</vt:lpstr>
      <vt:lpstr>CAR</vt:lpstr>
      <vt:lpstr>CARAGA</vt:lpstr>
      <vt:lpstr>child_protect_DO40_s2012</vt:lpstr>
      <vt:lpstr>child_protect_DO44_s2005</vt:lpstr>
      <vt:lpstr>child_protect_DO57_s2017</vt:lpstr>
      <vt:lpstr>cid_personnel_name</vt:lpstr>
      <vt:lpstr>cid_personnel_pos</vt:lpstr>
      <vt:lpstr>combo_avemonthlyexpense_fundingsource1</vt:lpstr>
      <vt:lpstr>combo_avemonthlyexpense_fundingsource2</vt:lpstr>
      <vt:lpstr>combo_avemonthlyexpense_fundingsource3</vt:lpstr>
      <vt:lpstr>combo_avemonthlyexpense_fundingsource4</vt:lpstr>
      <vt:lpstr>combo_avemonthlyexpense_fundingsource5</vt:lpstr>
      <vt:lpstr>combo_avemonthlyexpense_internetserviceprovider1</vt:lpstr>
      <vt:lpstr>combo_avemonthlyexpense_internetserviceprovider2</vt:lpstr>
      <vt:lpstr>combo_avemonthlyexpense_internetserviceprovider3</vt:lpstr>
      <vt:lpstr>combo_avemonthlyexpense_internetserviceprovider4</vt:lpstr>
      <vt:lpstr>combo_avemonthlyexpense_internetserviceprovider5</vt:lpstr>
      <vt:lpstr>combo_avemontlyexpense_typesofinternet1</vt:lpstr>
      <vt:lpstr>combo_avemontlyexpense_typesofinternet2</vt:lpstr>
      <vt:lpstr>combo_avemontlyexpense_typesofinternet3</vt:lpstr>
      <vt:lpstr>combo_avemontlyexpense_typesofinternet4</vt:lpstr>
      <vt:lpstr>combo_avemontlyexpense_typesofinternet5</vt:lpstr>
      <vt:lpstr>combo_print_copy_fundingsource1</vt:lpstr>
      <vt:lpstr>combo_print_copy_fundingsource10</vt:lpstr>
      <vt:lpstr>combo_print_copy_fundingsource2</vt:lpstr>
      <vt:lpstr>combo_print_copy_fundingsource3</vt:lpstr>
      <vt:lpstr>combo_print_copy_fundingsource4</vt:lpstr>
      <vt:lpstr>combo_print_copy_fundingsource5</vt:lpstr>
      <vt:lpstr>combo_print_copy_fundingsource6</vt:lpstr>
      <vt:lpstr>combo_print_copy_fundingsource7</vt:lpstr>
      <vt:lpstr>combo_print_copy_fundingsource8</vt:lpstr>
      <vt:lpstr>combo_print_copy_fundingsource9</vt:lpstr>
      <vt:lpstr>combo_print_copy_purpose1</vt:lpstr>
      <vt:lpstr>combo_print_copy_purpose10</vt:lpstr>
      <vt:lpstr>combo_print_copy_purpose2</vt:lpstr>
      <vt:lpstr>combo_print_copy_purpose3</vt:lpstr>
      <vt:lpstr>combo_print_copy_purpose4</vt:lpstr>
      <vt:lpstr>combo_print_copy_purpose5</vt:lpstr>
      <vt:lpstr>combo_print_copy_purpose6</vt:lpstr>
      <vt:lpstr>combo_print_copy_purpose7</vt:lpstr>
      <vt:lpstr>combo_print_copy_purpose8</vt:lpstr>
      <vt:lpstr>combo_print_copy_purpose9</vt:lpstr>
      <vt:lpstr>combo_sch_cellular_com_prov1</vt:lpstr>
      <vt:lpstr>combo_sch_cellular_com_prov2</vt:lpstr>
      <vt:lpstr>combo_sch_cellular_com_prov3</vt:lpstr>
      <vt:lpstr>combo_sch_cellular_com_prov4</vt:lpstr>
      <vt:lpstr>combo_sch_cellular_com_prov5</vt:lpstr>
      <vt:lpstr>combo_sch_cellular_fundingsource1</vt:lpstr>
      <vt:lpstr>combo_sch_cellular_fundingsource2</vt:lpstr>
      <vt:lpstr>combo_sch_cellular_fundingsource3</vt:lpstr>
      <vt:lpstr>combo_sch_cellular_fundingsource4</vt:lpstr>
      <vt:lpstr>combo_sch_cellular_fundingsource5</vt:lpstr>
      <vt:lpstr>combo_sch_cellular_wireless_tech1</vt:lpstr>
      <vt:lpstr>combo_sch_cellular_wireless_tech2</vt:lpstr>
      <vt:lpstr>combo_sch_cellular_wireless_tech3</vt:lpstr>
      <vt:lpstr>combo_sch_cellular_wireless_tech4</vt:lpstr>
      <vt:lpstr>combo_sch_cellular_wireless_tech5</vt:lpstr>
      <vt:lpstr>combo_sch_print_copy1</vt:lpstr>
      <vt:lpstr>combo_sch_print_copy10</vt:lpstr>
      <vt:lpstr>combo_sch_print_copy2</vt:lpstr>
      <vt:lpstr>combo_sch_print_copy3</vt:lpstr>
      <vt:lpstr>combo_sch_print_copy4</vt:lpstr>
      <vt:lpstr>combo_sch_print_copy5</vt:lpstr>
      <vt:lpstr>combo_sch_print_copy6</vt:lpstr>
      <vt:lpstr>combo_sch_print_copy7</vt:lpstr>
      <vt:lpstr>combo_sch_print_copy8</vt:lpstr>
      <vt:lpstr>combo_sch_print_copy9</vt:lpstr>
      <vt:lpstr>combo_sch_shs_radio_type1</vt:lpstr>
      <vt:lpstr>combo_sch_shs_radio_type10</vt:lpstr>
      <vt:lpstr>combo_sch_shs_radio_type2</vt:lpstr>
      <vt:lpstr>combo_sch_shs_radio_type3</vt:lpstr>
      <vt:lpstr>combo_sch_shs_radio_type4</vt:lpstr>
      <vt:lpstr>combo_sch_shs_radio_type5</vt:lpstr>
      <vt:lpstr>combo_sch_shs_radio_type6</vt:lpstr>
      <vt:lpstr>combo_sch_shs_radio_type7</vt:lpstr>
      <vt:lpstr>combo_sch_shs_radio_type8</vt:lpstr>
      <vt:lpstr>combo_sch_shs_radio_type9</vt:lpstr>
      <vt:lpstr>combo_shs_broadcast_station_type1</vt:lpstr>
      <vt:lpstr>combo_shs_broadcast_station_type2</vt:lpstr>
      <vt:lpstr>combo_shs_broadcast_station_type3</vt:lpstr>
      <vt:lpstr>combo_shs_broadcast_station_type4</vt:lpstr>
      <vt:lpstr>combo_shs_broadcast_station_type5</vt:lpstr>
      <vt:lpstr>combo_shs_broadcast_station_type6</vt:lpstr>
      <vt:lpstr>combo_shs_broadcast_station_type7</vt:lpstr>
      <vt:lpstr>combo_shs_broadcast_station_type8</vt:lpstr>
      <vt:lpstr>combo_shs_broadcast_station_type9</vt:lpstr>
      <vt:lpstr>cons_ip_l_f</vt:lpstr>
      <vt:lpstr>cons_ip_l_m</vt:lpstr>
      <vt:lpstr>cons_l_excl_ip_f</vt:lpstr>
      <vt:lpstr>cons_l_excl_ip_m</vt:lpstr>
      <vt:lpstr>cons_lwd_f</vt:lpstr>
      <vt:lpstr>cons_lwd_m</vt:lpstr>
      <vt:lpstr>cons_muslim_l_f</vt:lpstr>
      <vt:lpstr>cons_muslim_l_m</vt:lpstr>
      <vt:lpstr>cp_div_cdfp</vt:lpstr>
      <vt:lpstr>cp_div_cdfp_pos</vt:lpstr>
      <vt:lpstr>cp_inc_bullying_cyber_lrnrs_f</vt:lpstr>
      <vt:lpstr>cp_inc_bullying_cyber_lrnrs_m</vt:lpstr>
      <vt:lpstr>cp_inc_bullying_due_age_g11</vt:lpstr>
      <vt:lpstr>cp_inc_bullying_due_age_g12</vt:lpstr>
      <vt:lpstr>cp_inc_bullying_due_disability_g11</vt:lpstr>
      <vt:lpstr>cp_inc_bullying_due_disability_g12</vt:lpstr>
      <vt:lpstr>cp_inc_bullying_due_gender_g11</vt:lpstr>
      <vt:lpstr>cp_inc_bullying_due_gender_g12</vt:lpstr>
      <vt:lpstr>cp_inc_bullying_due_others_g11</vt:lpstr>
      <vt:lpstr>cp_inc_bullying_due_others_g12</vt:lpstr>
      <vt:lpstr>cp_inc_bullying_due_physapp_g11</vt:lpstr>
      <vt:lpstr>cp_inc_bullying_due_physapp_g12</vt:lpstr>
      <vt:lpstr>cp_inc_bullying_due_race_g11</vt:lpstr>
      <vt:lpstr>cp_inc_bullying_due_race_g12</vt:lpstr>
      <vt:lpstr>cp_inc_bullying_due_religion_g11</vt:lpstr>
      <vt:lpstr>cp_inc_bullying_due_religion_g12</vt:lpstr>
      <vt:lpstr>cp_inc_bullying_due_skincolor_g11</vt:lpstr>
      <vt:lpstr>cp_inc_bullying_due_skincolor_g12</vt:lpstr>
      <vt:lpstr>cp_inc_bullying_due_statinlife_g11</vt:lpstr>
      <vt:lpstr>cp_inc_bullying_due_statinlife_g12</vt:lpstr>
      <vt:lpstr>cp_inc_bullying_g11_f</vt:lpstr>
      <vt:lpstr>cp_inc_bullying_g11_m</vt:lpstr>
      <vt:lpstr>cp_inc_bullying_g12_f</vt:lpstr>
      <vt:lpstr>cp_inc_bullying_g12_m</vt:lpstr>
      <vt:lpstr>cp_inc_bullying_genderbased_lrnrs_f</vt:lpstr>
      <vt:lpstr>cp_inc_bullying_genderbased_lrnrs_m</vt:lpstr>
      <vt:lpstr>cp_inc_bullying_physical_lrnrs_f</vt:lpstr>
      <vt:lpstr>cp_inc_bullying_physical_lrnrs_m</vt:lpstr>
      <vt:lpstr>cp_inc_bullying_social_lrnrs_f</vt:lpstr>
      <vt:lpstr>cp_inc_bullying_social_lrnrs_m</vt:lpstr>
      <vt:lpstr>cp_inc_vag_g11_f</vt:lpstr>
      <vt:lpstr>cp_inc_vag_g11_m</vt:lpstr>
      <vt:lpstr>cp_inc_vag_g12_f</vt:lpstr>
      <vt:lpstr>cp_inc_vag_g12_m</vt:lpstr>
      <vt:lpstr>cp_inc_violence_others_lrnrs_f</vt:lpstr>
      <vt:lpstr>cp_inc_violence_others_lrnrs_m</vt:lpstr>
      <vt:lpstr>cp_inc_violence_physical_lrnrs_f</vt:lpstr>
      <vt:lpstr>cp_inc_violence_physical_lrnrs_m</vt:lpstr>
      <vt:lpstr>cp_inc_violence_psychological_lrnrs_f</vt:lpstr>
      <vt:lpstr>cp_inc_violence_psychological_lrnrs_m</vt:lpstr>
      <vt:lpstr>cp_inc_violence_sexual_lrnrs_f</vt:lpstr>
      <vt:lpstr>cp_inc_violence_sexual_lrnrs_m</vt:lpstr>
      <vt:lpstr>cp_perp_violence_others_lrnrs_outsider</vt:lpstr>
      <vt:lpstr>cp_perp_violence_others_lrnrs_schpersonnel</vt:lpstr>
      <vt:lpstr>cp_perp_violence_physical_lrnrs_outsider</vt:lpstr>
      <vt:lpstr>cp_perp_violence_physical_lrnrs_schpersonnel</vt:lpstr>
      <vt:lpstr>cp_perp_violence_psychological_lrnrs_outsider</vt:lpstr>
      <vt:lpstr>cp_perp_violence_psychological_lrnrs_schpersonnel</vt:lpstr>
      <vt:lpstr>cp_perp_violence_sexual_lrnrs_outsider</vt:lpstr>
      <vt:lpstr>cp_perp_violence_sexual_lrnrs_schpersonnel</vt:lpstr>
      <vt:lpstr>devices_adaptive</vt:lpstr>
      <vt:lpstr>devices_assist_tech</vt:lpstr>
      <vt:lpstr>disascal_hih_acnsa_apr_abu_sayyaf</vt:lpstr>
      <vt:lpstr>disascal_hih_acnsa_apr_biff</vt:lpstr>
      <vt:lpstr>disascal_hih_acnsa_apr_ccp_npa</vt:lpstr>
      <vt:lpstr>disascal_hih_acnsa_apr_maute</vt:lpstr>
      <vt:lpstr>disascal_hih_acnsa_apr_mnlf</vt:lpstr>
      <vt:lpstr>disascal_hih_acnsa_apr_others_specify</vt:lpstr>
      <vt:lpstr>disascal_hih_acnsa_aug_abu_sayyaf</vt:lpstr>
      <vt:lpstr>disascal_hih_acnsa_aug_biff</vt:lpstr>
      <vt:lpstr>disascal_hih_acnsa_aug_ccp_npa</vt:lpstr>
      <vt:lpstr>disascal_hih_acnsa_aug_maute</vt:lpstr>
      <vt:lpstr>disascal_hih_acnsa_aug_mnlf</vt:lpstr>
      <vt:lpstr>disascal_hih_acnsa_aug_others_specify</vt:lpstr>
      <vt:lpstr>disascal_hih_acnsa_dec_abu_sayyaf</vt:lpstr>
      <vt:lpstr>disascal_hih_acnsa_dec_biff</vt:lpstr>
      <vt:lpstr>disascal_hih_acnsa_dec_ccp_npa</vt:lpstr>
      <vt:lpstr>disascal_hih_acnsa_dec_maute</vt:lpstr>
      <vt:lpstr>disascal_hih_acnsa_dec_mnlf</vt:lpstr>
      <vt:lpstr>disascal_hih_acnsa_dec_others_specify</vt:lpstr>
      <vt:lpstr>disascal_hih_acnsa_feb_abu_sayyaf</vt:lpstr>
      <vt:lpstr>disascal_hih_acnsa_feb_biff</vt:lpstr>
      <vt:lpstr>disascal_hih_acnsa_feb_ccp_npa</vt:lpstr>
      <vt:lpstr>disascal_hih_acnsa_feb_maute</vt:lpstr>
      <vt:lpstr>disascal_hih_acnsa_feb_mnlf</vt:lpstr>
      <vt:lpstr>disascal_hih_acnsa_feb_others_specify</vt:lpstr>
      <vt:lpstr>disascal_hih_acnsa_jan_abu_sayyaf</vt:lpstr>
      <vt:lpstr>disascal_hih_acnsa_jan_biff</vt:lpstr>
      <vt:lpstr>disascal_hih_acnsa_jan_ccp_npa</vt:lpstr>
      <vt:lpstr>disascal_hih_acnsa_jan_maute</vt:lpstr>
      <vt:lpstr>disascal_hih_acnsa_jan_mnlf</vt:lpstr>
      <vt:lpstr>disascal_hih_acnsa_jan_others_specify</vt:lpstr>
      <vt:lpstr>disascal_hih_acnsa_jul_abu_sayyaf</vt:lpstr>
      <vt:lpstr>disascal_hih_acnsa_jul_biff</vt:lpstr>
      <vt:lpstr>disascal_hih_acnsa_jul_ccp_npa</vt:lpstr>
      <vt:lpstr>disascal_hih_acnsa_jul_maute</vt:lpstr>
      <vt:lpstr>disascal_hih_acnsa_jul_mnlf</vt:lpstr>
      <vt:lpstr>disascal_hih_acnsa_jul_others_specify</vt:lpstr>
      <vt:lpstr>disascal_hih_acnsa_jun_abu_sayyaf</vt:lpstr>
      <vt:lpstr>disascal_hih_acnsa_jun_biff</vt:lpstr>
      <vt:lpstr>disascal_hih_acnsa_jun_ccp_npa</vt:lpstr>
      <vt:lpstr>disascal_hih_acnsa_jun_maute</vt:lpstr>
      <vt:lpstr>disascal_hih_acnsa_jun_mnlf</vt:lpstr>
      <vt:lpstr>disascal_hih_acnsa_jun_others_specify</vt:lpstr>
      <vt:lpstr>disascal_hih_acnsa_mar_abu_sayyaf</vt:lpstr>
      <vt:lpstr>disascal_hih_acnsa_mar_biff</vt:lpstr>
      <vt:lpstr>disascal_hih_acnsa_mar_ccp_npa</vt:lpstr>
      <vt:lpstr>disascal_hih_acnsa_mar_maute</vt:lpstr>
      <vt:lpstr>disascal_hih_acnsa_mar_mnlf</vt:lpstr>
      <vt:lpstr>disascal_hih_acnsa_mar_others_specify</vt:lpstr>
      <vt:lpstr>disascal_hih_acnsa_may_abu_sayyaf</vt:lpstr>
      <vt:lpstr>disascal_hih_acnsa_may_biff</vt:lpstr>
      <vt:lpstr>disascal_hih_acnsa_may_ccp_npa</vt:lpstr>
      <vt:lpstr>disascal_hih_acnsa_may_maute</vt:lpstr>
      <vt:lpstr>disascal_hih_acnsa_may_mnlf</vt:lpstr>
      <vt:lpstr>disascal_hih_acnsa_may_others_specify</vt:lpstr>
      <vt:lpstr>disascal_hih_acnsa_nov_abu_sayyaf</vt:lpstr>
      <vt:lpstr>disascal_hih_acnsa_nov_biff</vt:lpstr>
      <vt:lpstr>disascal_hih_acnsa_nov_ccp_npa</vt:lpstr>
      <vt:lpstr>disascal_hih_acnsa_nov_maute</vt:lpstr>
      <vt:lpstr>disascal_hih_acnsa_nov_mnlf</vt:lpstr>
      <vt:lpstr>disascal_hih_acnsa_nov_others_specify</vt:lpstr>
      <vt:lpstr>disascal_hih_acnsa_oct_abu_sayyaf</vt:lpstr>
      <vt:lpstr>disascal_hih_acnsa_oct_biff</vt:lpstr>
      <vt:lpstr>disascal_hih_acnsa_oct_ccp_npa</vt:lpstr>
      <vt:lpstr>disascal_hih_acnsa_oct_maute</vt:lpstr>
      <vt:lpstr>disascal_hih_acnsa_oct_mnlf</vt:lpstr>
      <vt:lpstr>disascal_hih_acnsa_oct_others_specify</vt:lpstr>
      <vt:lpstr>disascal_hih_acnsa_others_specify</vt:lpstr>
      <vt:lpstr>disascal_hih_acnsa_sep_abu_sayyaf</vt:lpstr>
      <vt:lpstr>disascal_hih_acnsa_sep_biff</vt:lpstr>
      <vt:lpstr>disascal_hih_acnsa_sep_ccp_npa</vt:lpstr>
      <vt:lpstr>disascal_hih_acnsa_sep_maute</vt:lpstr>
      <vt:lpstr>disascal_hih_acnsa_sep_mnlf</vt:lpstr>
      <vt:lpstr>disascal_hih_acnsa_sep_others_specify</vt:lpstr>
      <vt:lpstr>disascal_hih_acsa_apr</vt:lpstr>
      <vt:lpstr>disascal_hih_acsa_apr_afp</vt:lpstr>
      <vt:lpstr>disascal_hih_acsa_apr_others_specify</vt:lpstr>
      <vt:lpstr>disascal_hih_acsa_apr_pnp</vt:lpstr>
      <vt:lpstr>disascal_hih_acsa_aug</vt:lpstr>
      <vt:lpstr>disascal_hih_acsa_aug_afp</vt:lpstr>
      <vt:lpstr>disascal_hih_acsa_aug_others_specify</vt:lpstr>
      <vt:lpstr>disascal_hih_acsa_aug_pnp</vt:lpstr>
      <vt:lpstr>disascal_hih_acsa_dec</vt:lpstr>
      <vt:lpstr>disascal_hih_acsa_dec_afp</vt:lpstr>
      <vt:lpstr>disascal_hih_acsa_dec_others_specify</vt:lpstr>
      <vt:lpstr>disascal_hih_acsa_dec_pnp</vt:lpstr>
      <vt:lpstr>disascal_hih_acsa_feb</vt:lpstr>
      <vt:lpstr>disascal_hih_acsa_feb_afp</vt:lpstr>
      <vt:lpstr>disascal_hih_acsa_feb_others_specify</vt:lpstr>
      <vt:lpstr>disascal_hih_acsa_feb_pnp</vt:lpstr>
      <vt:lpstr>disascal_hih_acsa_jan</vt:lpstr>
      <vt:lpstr>disascal_hih_acsa_jan_afp</vt:lpstr>
      <vt:lpstr>disascal_hih_acsa_jan_others_specify</vt:lpstr>
      <vt:lpstr>disascal_hih_acsa_jan_pnp</vt:lpstr>
      <vt:lpstr>disascal_hih_acsa_jul</vt:lpstr>
      <vt:lpstr>disascal_hih_acsa_jul_afp</vt:lpstr>
      <vt:lpstr>disascal_hih_acsa_jul_others_specify</vt:lpstr>
      <vt:lpstr>disascal_hih_acsa_jul_pnp</vt:lpstr>
      <vt:lpstr>disascal_hih_acsa_jun</vt:lpstr>
      <vt:lpstr>disascal_hih_acsa_jun_afp</vt:lpstr>
      <vt:lpstr>disascal_hih_acsa_jun_others_specify</vt:lpstr>
      <vt:lpstr>disascal_hih_acsa_jun_pnp</vt:lpstr>
      <vt:lpstr>disascal_hih_acsa_mar</vt:lpstr>
      <vt:lpstr>disascal_hih_acsa_mar_afp</vt:lpstr>
      <vt:lpstr>disascal_hih_acsa_mar_others_specify</vt:lpstr>
      <vt:lpstr>disascal_hih_acsa_mar_pnp</vt:lpstr>
      <vt:lpstr>disascal_hih_acsa_may</vt:lpstr>
      <vt:lpstr>disascal_hih_acsa_may_afp</vt:lpstr>
      <vt:lpstr>disascal_hih_acsa_may_others_specify</vt:lpstr>
      <vt:lpstr>disascal_hih_acsa_may_pnp</vt:lpstr>
      <vt:lpstr>disascal_hih_acsa_nov</vt:lpstr>
      <vt:lpstr>disascal_hih_acsa_nov_afp</vt:lpstr>
      <vt:lpstr>disascal_hih_acsa_nov_others_specify</vt:lpstr>
      <vt:lpstr>disascal_hih_acsa_nov_pnp</vt:lpstr>
      <vt:lpstr>disascal_hih_acsa_oct</vt:lpstr>
      <vt:lpstr>disascal_hih_acsa_oct_afp</vt:lpstr>
      <vt:lpstr>disascal_hih_acsa_oct_others_specify</vt:lpstr>
      <vt:lpstr>disascal_hih_acsa_oct_pnp</vt:lpstr>
      <vt:lpstr>disascal_hih_acsa_others_specify</vt:lpstr>
      <vt:lpstr>disascal_hih_acsa_sep</vt:lpstr>
      <vt:lpstr>disascal_hih_acsa_sep_afp</vt:lpstr>
      <vt:lpstr>disascal_hih_acsa_sep_others_specify</vt:lpstr>
      <vt:lpstr>disascal_hih_acsa_sep_pnp</vt:lpstr>
      <vt:lpstr>disascal_hih_apr_bomb_schprem</vt:lpstr>
      <vt:lpstr>disascal_hih_apr_bombthreat_schprem</vt:lpstr>
      <vt:lpstr>disascal_hih_apr_crime_learners</vt:lpstr>
      <vt:lpstr>disascal_hih_apr_crime_nonteach_personnel</vt:lpstr>
      <vt:lpstr>disascal_hih_apr_crime_schhead</vt:lpstr>
      <vt:lpstr>disascal_hih_apr_crime_schproperty</vt:lpstr>
      <vt:lpstr>disascal_hih_apr_crime_teachers</vt:lpstr>
      <vt:lpstr>disascal_hih_apr_fire</vt:lpstr>
      <vt:lpstr>disascal_hih_apr_hazardous_materials</vt:lpstr>
      <vt:lpstr>disascal_hih_apr_healththreat</vt:lpstr>
      <vt:lpstr>disascal_hih_apr_hostage_insch</vt:lpstr>
      <vt:lpstr>disascal_hih_apr_others_specify</vt:lpstr>
      <vt:lpstr>disascal_hih_apr_shooting_insch</vt:lpstr>
      <vt:lpstr>disascal_hih_apr_structural_collapse</vt:lpstr>
      <vt:lpstr>disascal_hih_aug_bomb_schprem</vt:lpstr>
      <vt:lpstr>disascal_hih_aug_bombthreat_schprem</vt:lpstr>
      <vt:lpstr>disascal_hih_aug_crime_learners</vt:lpstr>
      <vt:lpstr>disascal_hih_aug_crime_nonteach_personnel</vt:lpstr>
      <vt:lpstr>disascal_hih_aug_crime_schhead</vt:lpstr>
      <vt:lpstr>disascal_hih_aug_crime_schproperty</vt:lpstr>
      <vt:lpstr>disascal_hih_aug_crime_teachers</vt:lpstr>
      <vt:lpstr>disascal_hih_aug_fire</vt:lpstr>
      <vt:lpstr>disascal_hih_aug_hazardous_materials</vt:lpstr>
      <vt:lpstr>disascal_hih_aug_healththreat</vt:lpstr>
      <vt:lpstr>disascal_hih_aug_hostage_insch</vt:lpstr>
      <vt:lpstr>disascal_hih_aug_others_specify</vt:lpstr>
      <vt:lpstr>disascal_hih_aug_shooting_insch</vt:lpstr>
      <vt:lpstr>disascal_hih_aug_structural_collapse</vt:lpstr>
      <vt:lpstr>disascal_hih_child_apr_abduction</vt:lpstr>
      <vt:lpstr>disascal_hih_child_apr_attacks</vt:lpstr>
      <vt:lpstr>disascal_hih_child_apr_denial</vt:lpstr>
      <vt:lpstr>disascal_hih_child_apr_killing</vt:lpstr>
      <vt:lpstr>disascal_hih_child_apr_recruit</vt:lpstr>
      <vt:lpstr>disascal_hih_child_apr_sexual</vt:lpstr>
      <vt:lpstr>disascal_hih_child_aug_abduction</vt:lpstr>
      <vt:lpstr>disascal_hih_child_aug_attacks</vt:lpstr>
      <vt:lpstr>disascal_hih_child_aug_denial</vt:lpstr>
      <vt:lpstr>disascal_hih_child_aug_killing</vt:lpstr>
      <vt:lpstr>disascal_hih_child_aug_recruit</vt:lpstr>
      <vt:lpstr>disascal_hih_child_aug_sexual</vt:lpstr>
      <vt:lpstr>disascal_hih_child_dec_abduction</vt:lpstr>
      <vt:lpstr>disascal_hih_child_dec_attacks</vt:lpstr>
      <vt:lpstr>disascal_hih_child_dec_denial</vt:lpstr>
      <vt:lpstr>disascal_hih_child_dec_killing</vt:lpstr>
      <vt:lpstr>disascal_hih_child_dec_recruit</vt:lpstr>
      <vt:lpstr>disascal_hih_child_dec_sexual</vt:lpstr>
      <vt:lpstr>disascal_hih_child_feb_abduction</vt:lpstr>
      <vt:lpstr>disascal_hih_child_feb_attacks</vt:lpstr>
      <vt:lpstr>disascal_hih_child_feb_denial</vt:lpstr>
      <vt:lpstr>disascal_hih_child_feb_killing</vt:lpstr>
      <vt:lpstr>disascal_hih_child_feb_recruit</vt:lpstr>
      <vt:lpstr>disascal_hih_child_feb_sexual</vt:lpstr>
      <vt:lpstr>disascal_hih_child_jan_abduction</vt:lpstr>
      <vt:lpstr>disascal_hih_child_jan_attacks</vt:lpstr>
      <vt:lpstr>disascal_hih_child_jan_denial</vt:lpstr>
      <vt:lpstr>disascal_hih_child_jan_killing</vt:lpstr>
      <vt:lpstr>disascal_hih_child_jan_recruit</vt:lpstr>
      <vt:lpstr>disascal_hih_child_jan_sexual</vt:lpstr>
      <vt:lpstr>disascal_hih_child_jul_abduction</vt:lpstr>
      <vt:lpstr>disascal_hih_child_jul_attacks</vt:lpstr>
      <vt:lpstr>disascal_hih_child_jul_denial</vt:lpstr>
      <vt:lpstr>disascal_hih_child_jul_killing</vt:lpstr>
      <vt:lpstr>disascal_hih_child_jul_recruit</vt:lpstr>
      <vt:lpstr>disascal_hih_child_jul_sexual</vt:lpstr>
      <vt:lpstr>disascal_hih_child_jun_abduction</vt:lpstr>
      <vt:lpstr>disascal_hih_child_jun_attacks</vt:lpstr>
      <vt:lpstr>disascal_hih_child_jun_denial</vt:lpstr>
      <vt:lpstr>disascal_hih_child_jun_killing</vt:lpstr>
      <vt:lpstr>disascal_hih_child_jun_recruit</vt:lpstr>
      <vt:lpstr>disascal_hih_child_jun_sexual</vt:lpstr>
      <vt:lpstr>disascal_hih_child_mar_abduction</vt:lpstr>
      <vt:lpstr>disascal_hih_child_mar_attacks</vt:lpstr>
      <vt:lpstr>disascal_hih_child_mar_denial</vt:lpstr>
      <vt:lpstr>disascal_hih_child_mar_killing</vt:lpstr>
      <vt:lpstr>disascal_hih_child_mar_recruit</vt:lpstr>
      <vt:lpstr>disascal_hih_child_mar_sexual</vt:lpstr>
      <vt:lpstr>disascal_hih_child_may_abduction</vt:lpstr>
      <vt:lpstr>disascal_hih_child_may_attacks</vt:lpstr>
      <vt:lpstr>disascal_hih_child_may_denial</vt:lpstr>
      <vt:lpstr>disascal_hih_child_may_killing</vt:lpstr>
      <vt:lpstr>disascal_hih_child_may_recruit</vt:lpstr>
      <vt:lpstr>disascal_hih_child_may_sexual</vt:lpstr>
      <vt:lpstr>disascal_hih_child_nov_abduction</vt:lpstr>
      <vt:lpstr>disascal_hih_child_nov_attacks</vt:lpstr>
      <vt:lpstr>disascal_hih_child_nov_denial</vt:lpstr>
      <vt:lpstr>disascal_hih_child_nov_killing</vt:lpstr>
      <vt:lpstr>disascal_hih_child_nov_recruit</vt:lpstr>
      <vt:lpstr>disascal_hih_child_nov_sexual</vt:lpstr>
      <vt:lpstr>disascal_hih_child_oct_abduction</vt:lpstr>
      <vt:lpstr>disascal_hih_child_oct_attacks</vt:lpstr>
      <vt:lpstr>disascal_hih_child_oct_denial</vt:lpstr>
      <vt:lpstr>disascal_hih_child_oct_killing</vt:lpstr>
      <vt:lpstr>disascal_hih_child_oct_recruit</vt:lpstr>
      <vt:lpstr>disascal_hih_child_oct_sexual</vt:lpstr>
      <vt:lpstr>disascal_hih_child_sep_abduction</vt:lpstr>
      <vt:lpstr>disascal_hih_child_sep_attacks</vt:lpstr>
      <vt:lpstr>disascal_hih_child_sep_denial</vt:lpstr>
      <vt:lpstr>disascal_hih_child_sep_killing</vt:lpstr>
      <vt:lpstr>disascal_hih_child_sep_recruit</vt:lpstr>
      <vt:lpstr>disascal_hih_child_sep_sexual</vt:lpstr>
      <vt:lpstr>disascal_hih_dec_bomb_schprem</vt:lpstr>
      <vt:lpstr>disascal_hih_dec_bombthreat_schprem</vt:lpstr>
      <vt:lpstr>disascal_hih_dec_crime_learners</vt:lpstr>
      <vt:lpstr>disascal_hih_dec_crime_nonteach_personnel</vt:lpstr>
      <vt:lpstr>disascal_hih_dec_crime_schhead</vt:lpstr>
      <vt:lpstr>disascal_hih_dec_crime_schproperty</vt:lpstr>
      <vt:lpstr>disascal_hih_dec_crime_teachers</vt:lpstr>
      <vt:lpstr>disascal_hih_dec_fire</vt:lpstr>
      <vt:lpstr>disascal_hih_dec_hazardous_materials</vt:lpstr>
      <vt:lpstr>disascal_hih_dec_healththreat</vt:lpstr>
      <vt:lpstr>disascal_hih_dec_hostage_insch</vt:lpstr>
      <vt:lpstr>disascal_hih_dec_others_specify</vt:lpstr>
      <vt:lpstr>disascal_hih_dec_shooting_insch</vt:lpstr>
      <vt:lpstr>disascal_hih_dec_structural_collapse</vt:lpstr>
      <vt:lpstr>disascal_hih_feb_bomb_schprem</vt:lpstr>
      <vt:lpstr>disascal_hih_feb_bombthreat_schprem</vt:lpstr>
      <vt:lpstr>disascal_hih_feb_crime_learners</vt:lpstr>
      <vt:lpstr>disascal_hih_feb_crime_nonteach_personnel</vt:lpstr>
      <vt:lpstr>disascal_hih_feb_crime_schhead</vt:lpstr>
      <vt:lpstr>disascal_hih_feb_crime_schproperty</vt:lpstr>
      <vt:lpstr>disascal_hih_feb_crime_teachers</vt:lpstr>
      <vt:lpstr>disascal_hih_feb_fire</vt:lpstr>
      <vt:lpstr>disascal_hih_feb_hazardous_materials</vt:lpstr>
      <vt:lpstr>disascal_hih_feb_healththreat</vt:lpstr>
      <vt:lpstr>disascal_hih_feb_hostage_insch</vt:lpstr>
      <vt:lpstr>disascal_hih_feb_others_specify</vt:lpstr>
      <vt:lpstr>disascal_hih_feb_shooting_insch</vt:lpstr>
      <vt:lpstr>disascal_hih_feb_structural_collapse</vt:lpstr>
      <vt:lpstr>disascal_hih_jan_bomb_schprem</vt:lpstr>
      <vt:lpstr>disascal_hih_jan_bombthreat_schprem</vt:lpstr>
      <vt:lpstr>disascal_hih_jan_crime_learners</vt:lpstr>
      <vt:lpstr>disascal_hih_jan_crime_nonteach_personnel</vt:lpstr>
      <vt:lpstr>disascal_hih_jan_crime_schhead</vt:lpstr>
      <vt:lpstr>disascal_hih_jan_crime_schproperty</vt:lpstr>
      <vt:lpstr>disascal_hih_jan_crime_teachers</vt:lpstr>
      <vt:lpstr>disascal_hih_jan_fire</vt:lpstr>
      <vt:lpstr>disascal_hih_jan_hazardous_materials</vt:lpstr>
      <vt:lpstr>disascal_hih_jan_healththreat</vt:lpstr>
      <vt:lpstr>disascal_hih_jan_hostage_insch</vt:lpstr>
      <vt:lpstr>disascal_hih_jan_others_specify</vt:lpstr>
      <vt:lpstr>disascal_hih_jan_shooting_insch</vt:lpstr>
      <vt:lpstr>disascal_hih_jan_structural_collapse</vt:lpstr>
      <vt:lpstr>disascal_hih_jul_bomb_schprem</vt:lpstr>
      <vt:lpstr>disascal_hih_jul_bombthreat_schprem</vt:lpstr>
      <vt:lpstr>disascal_hih_jul_crime_learners</vt:lpstr>
      <vt:lpstr>disascal_hih_jul_crime_nonteach_personnel</vt:lpstr>
      <vt:lpstr>disascal_hih_jul_crime_schhead</vt:lpstr>
      <vt:lpstr>disascal_hih_jul_crime_schproperty</vt:lpstr>
      <vt:lpstr>disascal_hih_jul_crime_teachers</vt:lpstr>
      <vt:lpstr>disascal_hih_jul_fire</vt:lpstr>
      <vt:lpstr>disascal_hih_jul_hazardous_materials</vt:lpstr>
      <vt:lpstr>disascal_hih_jul_healththreat</vt:lpstr>
      <vt:lpstr>disascal_hih_jul_hostage_insch</vt:lpstr>
      <vt:lpstr>disascal_hih_jul_others_specify</vt:lpstr>
      <vt:lpstr>disascal_hih_jul_shooting_insch</vt:lpstr>
      <vt:lpstr>disascal_hih_jul_structural_collapse</vt:lpstr>
      <vt:lpstr>disascal_hih_jun_bomb_schprem</vt:lpstr>
      <vt:lpstr>disascal_hih_jun_bombthreat_schprem</vt:lpstr>
      <vt:lpstr>disascal_hih_jun_crime_learners</vt:lpstr>
      <vt:lpstr>disascal_hih_jun_crime_nonteach_personnel</vt:lpstr>
      <vt:lpstr>disascal_hih_jun_crime_schhead</vt:lpstr>
      <vt:lpstr>disascal_hih_jun_crime_schproperty</vt:lpstr>
      <vt:lpstr>disascal_hih_jun_crime_teachers</vt:lpstr>
      <vt:lpstr>disascal_hih_jun_fire</vt:lpstr>
      <vt:lpstr>disascal_hih_jun_hazardous_materials</vt:lpstr>
      <vt:lpstr>disascal_hih_jun_healththreat</vt:lpstr>
      <vt:lpstr>disascal_hih_jun_hostage_insch</vt:lpstr>
      <vt:lpstr>disascal_hih_jun_others_specify</vt:lpstr>
      <vt:lpstr>disascal_hih_jun_shooting_insch</vt:lpstr>
      <vt:lpstr>disascal_hih_jun_structural_collapse</vt:lpstr>
      <vt:lpstr>disascal_hih_mar_bomb_schprem</vt:lpstr>
      <vt:lpstr>disascal_hih_mar_bombthreat_schprem</vt:lpstr>
      <vt:lpstr>disascal_hih_mar_crime_learners</vt:lpstr>
      <vt:lpstr>disascal_hih_mar_crime_nonteach_personnel</vt:lpstr>
      <vt:lpstr>disascal_hih_mar_crime_schhead</vt:lpstr>
      <vt:lpstr>disascal_hih_mar_crime_schproperty</vt:lpstr>
      <vt:lpstr>disascal_hih_mar_crime_teachers</vt:lpstr>
      <vt:lpstr>disascal_hih_mar_fire</vt:lpstr>
      <vt:lpstr>disascal_hih_mar_hazardous_materials</vt:lpstr>
      <vt:lpstr>disascal_hih_mar_healththreat</vt:lpstr>
      <vt:lpstr>disascal_hih_mar_hostage_insch</vt:lpstr>
      <vt:lpstr>disascal_hih_mar_others_specify</vt:lpstr>
      <vt:lpstr>disascal_hih_mar_shooting_insch</vt:lpstr>
      <vt:lpstr>disascal_hih_mar_structural_collapse</vt:lpstr>
      <vt:lpstr>disascal_hih_may_bomb_schprem</vt:lpstr>
      <vt:lpstr>disascal_hih_may_bombthreat_schprem</vt:lpstr>
      <vt:lpstr>disascal_hih_may_crime_learners</vt:lpstr>
      <vt:lpstr>disascal_hih_may_crime_nonteach_personnel</vt:lpstr>
      <vt:lpstr>disascal_hih_may_crime_schhead</vt:lpstr>
      <vt:lpstr>disascal_hih_may_crime_schproperty</vt:lpstr>
      <vt:lpstr>disascal_hih_may_crime_teachers</vt:lpstr>
      <vt:lpstr>disascal_hih_may_fire</vt:lpstr>
      <vt:lpstr>disascal_hih_may_hazardous_materials</vt:lpstr>
      <vt:lpstr>disascal_hih_may_healththreat</vt:lpstr>
      <vt:lpstr>disascal_hih_may_hostage_insch</vt:lpstr>
      <vt:lpstr>disascal_hih_may_others_specify</vt:lpstr>
      <vt:lpstr>disascal_hih_may_shooting_insch</vt:lpstr>
      <vt:lpstr>disascal_hih_may_structural_collapse</vt:lpstr>
      <vt:lpstr>disascal_hih_nov_bomb_schprem</vt:lpstr>
      <vt:lpstr>disascal_hih_nov_bombthreat_schprem</vt:lpstr>
      <vt:lpstr>disascal_hih_nov_crime_learners</vt:lpstr>
      <vt:lpstr>disascal_hih_nov_crime_nonteach_personnel</vt:lpstr>
      <vt:lpstr>disascal_hih_nov_crime_schhead</vt:lpstr>
      <vt:lpstr>disascal_hih_nov_crime_schproperty</vt:lpstr>
      <vt:lpstr>disascal_hih_nov_crime_teachers</vt:lpstr>
      <vt:lpstr>disascal_hih_nov_fire</vt:lpstr>
      <vt:lpstr>disascal_hih_nov_hazardous_materials</vt:lpstr>
      <vt:lpstr>disascal_hih_nov_healththreat</vt:lpstr>
      <vt:lpstr>disascal_hih_nov_hostage_insch</vt:lpstr>
      <vt:lpstr>disascal_hih_nov_others_specify</vt:lpstr>
      <vt:lpstr>disascal_hih_nov_shooting_insch</vt:lpstr>
      <vt:lpstr>disascal_hih_nov_structural_collapse</vt:lpstr>
      <vt:lpstr>disascal_hih_oct_bomb_schprem</vt:lpstr>
      <vt:lpstr>disascal_hih_oct_bombthreat_schprem</vt:lpstr>
      <vt:lpstr>disascal_hih_oct_crime_learners</vt:lpstr>
      <vt:lpstr>disascal_hih_oct_crime_nonteach_personnel</vt:lpstr>
      <vt:lpstr>disascal_hih_oct_crime_schhead</vt:lpstr>
      <vt:lpstr>disascal_hih_oct_crime_schproperty</vt:lpstr>
      <vt:lpstr>disascal_hih_oct_crime_teachers</vt:lpstr>
      <vt:lpstr>disascal_hih_oct_fire</vt:lpstr>
      <vt:lpstr>disascal_hih_oct_hazardous_materials</vt:lpstr>
      <vt:lpstr>disascal_hih_oct_healththreat</vt:lpstr>
      <vt:lpstr>disascal_hih_oct_hostage_insch</vt:lpstr>
      <vt:lpstr>disascal_hih_oct_others_specify</vt:lpstr>
      <vt:lpstr>disascal_hih_oct_shooting_insch</vt:lpstr>
      <vt:lpstr>disascal_hih_oct_structural_collapse</vt:lpstr>
      <vt:lpstr>disascal_hih_others_specify</vt:lpstr>
      <vt:lpstr>disascal_hih_sep_bomb_schprem</vt:lpstr>
      <vt:lpstr>disascal_hih_sep_bombthreat_schprem</vt:lpstr>
      <vt:lpstr>disascal_hih_sep_crime_learners</vt:lpstr>
      <vt:lpstr>disascal_hih_sep_crime_nonteach_personnel</vt:lpstr>
      <vt:lpstr>disascal_hih_sep_crime_schhead</vt:lpstr>
      <vt:lpstr>disascal_hih_sep_crime_schproperty</vt:lpstr>
      <vt:lpstr>disascal_hih_sep_crime_teachers</vt:lpstr>
      <vt:lpstr>disascal_hih_sep_fire</vt:lpstr>
      <vt:lpstr>disascal_hih_sep_hazardous_materials</vt:lpstr>
      <vt:lpstr>disascal_hih_sep_healththreat</vt:lpstr>
      <vt:lpstr>disascal_hih_sep_hostage_insch</vt:lpstr>
      <vt:lpstr>disascal_hih_sep_others_specify</vt:lpstr>
      <vt:lpstr>disascal_hih_sep_shooting_insch</vt:lpstr>
      <vt:lpstr>disascal_hih_sep_structural_collapse</vt:lpstr>
      <vt:lpstr>disascal_nh_apr_drought</vt:lpstr>
      <vt:lpstr>disascal_nh_apr_earthquake</vt:lpstr>
      <vt:lpstr>disascal_nh_apr_fire</vt:lpstr>
      <vt:lpstr>disascal_nh_apr_flood</vt:lpstr>
      <vt:lpstr>disascal_nh_apr_landslide</vt:lpstr>
      <vt:lpstr>disascal_nh_apr_stormsurge</vt:lpstr>
      <vt:lpstr>disascal_nh_apr_tropicyclone</vt:lpstr>
      <vt:lpstr>disascal_nh_apr_tsunami</vt:lpstr>
      <vt:lpstr>disascal_nh_apr_volcanerupt</vt:lpstr>
      <vt:lpstr>disascal_nh_aug_drought</vt:lpstr>
      <vt:lpstr>disascal_nh_aug_earthquake</vt:lpstr>
      <vt:lpstr>disascal_nh_aug_fire</vt:lpstr>
      <vt:lpstr>disascal_nh_aug_flood</vt:lpstr>
      <vt:lpstr>disascal_nh_aug_landslide</vt:lpstr>
      <vt:lpstr>disascal_nh_aug_stormsurge</vt:lpstr>
      <vt:lpstr>disascal_nh_aug_tropicyclone</vt:lpstr>
      <vt:lpstr>disascal_nh_aug_tsunami</vt:lpstr>
      <vt:lpstr>disascal_nh_aug_volcanerupt</vt:lpstr>
      <vt:lpstr>disascal_nh_dec_drought</vt:lpstr>
      <vt:lpstr>disascal_nh_dec_earthquake</vt:lpstr>
      <vt:lpstr>disascal_nh_dec_fire</vt:lpstr>
      <vt:lpstr>disascal_nh_dec_flood</vt:lpstr>
      <vt:lpstr>disascal_nh_dec_landslide</vt:lpstr>
      <vt:lpstr>disascal_nh_dec_stormsurge</vt:lpstr>
      <vt:lpstr>disascal_nh_dec_tropicyclone</vt:lpstr>
      <vt:lpstr>disascal_nh_dec_tsunami</vt:lpstr>
      <vt:lpstr>disascal_nh_dec_volcanerupt</vt:lpstr>
      <vt:lpstr>disascal_nh_feb_drought</vt:lpstr>
      <vt:lpstr>disascal_nh_feb_earthquake</vt:lpstr>
      <vt:lpstr>disascal_nh_feb_fire</vt:lpstr>
      <vt:lpstr>disascal_nh_feb_flood</vt:lpstr>
      <vt:lpstr>disascal_nh_feb_landslide</vt:lpstr>
      <vt:lpstr>disascal_nh_feb_stormsurge</vt:lpstr>
      <vt:lpstr>disascal_nh_feb_tropicyclone</vt:lpstr>
      <vt:lpstr>disascal_nh_feb_tsunami</vt:lpstr>
      <vt:lpstr>disascal_nh_feb_volcanerupt</vt:lpstr>
      <vt:lpstr>disascal_nh_jan_drought</vt:lpstr>
      <vt:lpstr>disascal_nh_jan_earthquake</vt:lpstr>
      <vt:lpstr>disascal_nh_jan_fire</vt:lpstr>
      <vt:lpstr>disascal_nh_jan_flood</vt:lpstr>
      <vt:lpstr>disascal_nh_jan_landslide</vt:lpstr>
      <vt:lpstr>disascal_nh_jan_stormsurge</vt:lpstr>
      <vt:lpstr>disascal_nh_jan_tropicyclone</vt:lpstr>
      <vt:lpstr>disascal_nh_jan_tsunami</vt:lpstr>
      <vt:lpstr>disascal_nh_jan_volcanerupt</vt:lpstr>
      <vt:lpstr>disascal_nh_jul_drought</vt:lpstr>
      <vt:lpstr>disascal_nh_jul_earthquake</vt:lpstr>
      <vt:lpstr>disascal_nh_jul_fire</vt:lpstr>
      <vt:lpstr>disascal_nh_jul_flood</vt:lpstr>
      <vt:lpstr>disascal_nh_jul_landslide</vt:lpstr>
      <vt:lpstr>disascal_nh_jul_stormsurge</vt:lpstr>
      <vt:lpstr>disascal_nh_jul_tropicyclone</vt:lpstr>
      <vt:lpstr>disascal_nh_jul_tsunami</vt:lpstr>
      <vt:lpstr>disascal_nh_jul_volcanerupt</vt:lpstr>
      <vt:lpstr>disascal_nh_jun_drought</vt:lpstr>
      <vt:lpstr>disascal_nh_jun_earthquake</vt:lpstr>
      <vt:lpstr>disascal_nh_jun_fire</vt:lpstr>
      <vt:lpstr>disascal_nh_jun_flood</vt:lpstr>
      <vt:lpstr>disascal_nh_jun_landslide</vt:lpstr>
      <vt:lpstr>disascal_nh_jun_stormsurge</vt:lpstr>
      <vt:lpstr>disascal_nh_jun_tropicyclone</vt:lpstr>
      <vt:lpstr>disascal_nh_jun_tsunami</vt:lpstr>
      <vt:lpstr>disascal_nh_jun_volcanerupt</vt:lpstr>
      <vt:lpstr>disascal_nh_mar_drought</vt:lpstr>
      <vt:lpstr>disascal_nh_mar_earthquake</vt:lpstr>
      <vt:lpstr>disascal_nh_mar_fire</vt:lpstr>
      <vt:lpstr>disascal_nh_mar_flood</vt:lpstr>
      <vt:lpstr>disascal_nh_mar_landslide</vt:lpstr>
      <vt:lpstr>disascal_nh_mar_stormsurge</vt:lpstr>
      <vt:lpstr>disascal_nh_mar_tropicyclone</vt:lpstr>
      <vt:lpstr>disascal_nh_mar_tsunami</vt:lpstr>
      <vt:lpstr>disascal_nh_mar_volcanerupt</vt:lpstr>
      <vt:lpstr>disascal_nh_may_drought</vt:lpstr>
      <vt:lpstr>disascal_nh_may_earthquake</vt:lpstr>
      <vt:lpstr>disascal_nh_may_fire</vt:lpstr>
      <vt:lpstr>disascal_nh_may_flood</vt:lpstr>
      <vt:lpstr>disascal_nh_may_landslide</vt:lpstr>
      <vt:lpstr>disascal_nh_may_stormsurge</vt:lpstr>
      <vt:lpstr>disascal_nh_may_tropicyclone</vt:lpstr>
      <vt:lpstr>disascal_nh_may_tsunami</vt:lpstr>
      <vt:lpstr>disascal_nh_may_volcanerupt</vt:lpstr>
      <vt:lpstr>disascal_nh_nov_drought</vt:lpstr>
      <vt:lpstr>disascal_nh_nov_earthquake</vt:lpstr>
      <vt:lpstr>disascal_nh_nov_fire</vt:lpstr>
      <vt:lpstr>disascal_nh_nov_flood</vt:lpstr>
      <vt:lpstr>disascal_nh_nov_landslide</vt:lpstr>
      <vt:lpstr>disascal_nh_nov_stormsurge</vt:lpstr>
      <vt:lpstr>disascal_nh_nov_tropicyclone</vt:lpstr>
      <vt:lpstr>disascal_nh_nov_tsunami</vt:lpstr>
      <vt:lpstr>disascal_nh_nov_volcanerupt</vt:lpstr>
      <vt:lpstr>disascal_nh_oct_drought</vt:lpstr>
      <vt:lpstr>disascal_nh_oct_earthquake</vt:lpstr>
      <vt:lpstr>disascal_nh_oct_fire</vt:lpstr>
      <vt:lpstr>disascal_nh_oct_flood</vt:lpstr>
      <vt:lpstr>disascal_nh_oct_landslide</vt:lpstr>
      <vt:lpstr>disascal_nh_oct_stormsurge</vt:lpstr>
      <vt:lpstr>disascal_nh_oct_tropicyclone</vt:lpstr>
      <vt:lpstr>disascal_nh_oct_tsunami</vt:lpstr>
      <vt:lpstr>disascal_nh_oct_volcanerupt</vt:lpstr>
      <vt:lpstr>disascal_nh_sep_drought</vt:lpstr>
      <vt:lpstr>disascal_nh_sep_earthquake</vt:lpstr>
      <vt:lpstr>disascal_nh_sep_fire</vt:lpstr>
      <vt:lpstr>disascal_nh_sep_flood</vt:lpstr>
      <vt:lpstr>disascal_nh_sep_landslide</vt:lpstr>
      <vt:lpstr>disascal_nh_sep_stormsurge</vt:lpstr>
      <vt:lpstr>disascal_nh_sep_tropicyclone</vt:lpstr>
      <vt:lpstr>disascal_nh_sep_tsunami</vt:lpstr>
      <vt:lpstr>disascal_nh_sep_volcanerupt</vt:lpstr>
      <vt:lpstr>disaspre_apr_earthq_drl</vt:lpstr>
      <vt:lpstr>disaspre_apr_fire_drl</vt:lpstr>
      <vt:lpstr>disaspre_apr_flood_drl</vt:lpstr>
      <vt:lpstr>disaspre_apr_lockdown_drl</vt:lpstr>
      <vt:lpstr>disaspre_apr_stormsurge_drl</vt:lpstr>
      <vt:lpstr>disaspre_apr_tsunami_drl</vt:lpstr>
      <vt:lpstr>disaspre_aug_earthq_drl</vt:lpstr>
      <vt:lpstr>disaspre_aug_fire_drl</vt:lpstr>
      <vt:lpstr>disaspre_aug_flood_drl</vt:lpstr>
      <vt:lpstr>disaspre_aug_lockdown_drl</vt:lpstr>
      <vt:lpstr>disaspre_aug_stormsurge_drl</vt:lpstr>
      <vt:lpstr>disaspre_aug_tsunami_drl</vt:lpstr>
      <vt:lpstr>disaspre_brigada_eskwela</vt:lpstr>
      <vt:lpstr>disaspre_dec_earthq_drl</vt:lpstr>
      <vt:lpstr>disaspre_dec_fire_drl</vt:lpstr>
      <vt:lpstr>disaspre_dec_flood_drl</vt:lpstr>
      <vt:lpstr>disaspre_dec_lockdown_drl</vt:lpstr>
      <vt:lpstr>disaspre_dec_stormsurge_drl</vt:lpstr>
      <vt:lpstr>disaspre_dec_tsunami_drl</vt:lpstr>
      <vt:lpstr>disaspre_emer_supply</vt:lpstr>
      <vt:lpstr>disaspre_feb_earthq_drl</vt:lpstr>
      <vt:lpstr>disaspre_feb_fire_drl</vt:lpstr>
      <vt:lpstr>disaspre_feb_flood_drl</vt:lpstr>
      <vt:lpstr>disaspre_feb_lockdown_drl</vt:lpstr>
      <vt:lpstr>disaspre_feb_stormsurge_drl</vt:lpstr>
      <vt:lpstr>disaspre_feb_tsunami_drl</vt:lpstr>
      <vt:lpstr>disaspre_func_warn_syst</vt:lpstr>
      <vt:lpstr>disaspre_jan_earthq_drl</vt:lpstr>
      <vt:lpstr>disaspre_jan_fire_drl</vt:lpstr>
      <vt:lpstr>disaspre_jan_flood_drl</vt:lpstr>
      <vt:lpstr>disaspre_jan_lockdown_drl</vt:lpstr>
      <vt:lpstr>disaspre_jan_stormsurge_drl</vt:lpstr>
      <vt:lpstr>disaspre_jan_tsunami_drl</vt:lpstr>
      <vt:lpstr>disaspre_jul_earthq_drl</vt:lpstr>
      <vt:lpstr>disaspre_jul_fire_drl</vt:lpstr>
      <vt:lpstr>disaspre_jul_flood_drl</vt:lpstr>
      <vt:lpstr>disaspre_jul_lockdown_drl</vt:lpstr>
      <vt:lpstr>disaspre_jul_stormsurge_drl</vt:lpstr>
      <vt:lpstr>disaspre_jul_tsunami_drl</vt:lpstr>
      <vt:lpstr>disaspre_jun_earthq_drl</vt:lpstr>
      <vt:lpstr>disaspre_jun_fire_drl</vt:lpstr>
      <vt:lpstr>disaspre_jun_flood_drl</vt:lpstr>
      <vt:lpstr>disaspre_jun_lockdown_drl</vt:lpstr>
      <vt:lpstr>disaspre_jun_stormsurge_drl</vt:lpstr>
      <vt:lpstr>disaspre_jun_tsunami_drl</vt:lpstr>
      <vt:lpstr>disaspre_mar_earthq_drl</vt:lpstr>
      <vt:lpstr>disaspre_mar_fire_drl</vt:lpstr>
      <vt:lpstr>disaspre_mar_flood_drl</vt:lpstr>
      <vt:lpstr>disaspre_mar_lockdown_drl</vt:lpstr>
      <vt:lpstr>disaspre_mar_stormsurge_drl</vt:lpstr>
      <vt:lpstr>disaspre_mar_tsunami_drl</vt:lpstr>
      <vt:lpstr>disaspre_may_earthq_drl</vt:lpstr>
      <vt:lpstr>disaspre_may_fire_drl</vt:lpstr>
      <vt:lpstr>disaspre_may_flood_drl</vt:lpstr>
      <vt:lpstr>disaspre_may_lockdown_drl</vt:lpstr>
      <vt:lpstr>disaspre_may_stormsurge_drl</vt:lpstr>
      <vt:lpstr>disaspre_may_tsunami_drl</vt:lpstr>
      <vt:lpstr>disaspre_nov_earthq_drl</vt:lpstr>
      <vt:lpstr>disaspre_nov_fire_drl</vt:lpstr>
      <vt:lpstr>disaspre_nov_flood_drl</vt:lpstr>
      <vt:lpstr>disaspre_nov_lockdown_drl</vt:lpstr>
      <vt:lpstr>disaspre_nov_stormsurge_drl</vt:lpstr>
      <vt:lpstr>disaspre_nov_tsunami_drl</vt:lpstr>
      <vt:lpstr>disaspre_num_emer_2fold_deped</vt:lpstr>
      <vt:lpstr>disaspre_num_emer_2fold_part</vt:lpstr>
      <vt:lpstr>disaspre_num_emer_cad_bag_deped</vt:lpstr>
      <vt:lpstr>disaspre_num_emer_cad_bag_part</vt:lpstr>
      <vt:lpstr>disaspre_num_emer_ccollar_deped</vt:lpstr>
      <vt:lpstr>disaspre_num_emer_ccollar_part</vt:lpstr>
      <vt:lpstr>disaspre_num_emer_coat_deped</vt:lpstr>
      <vt:lpstr>disaspre_num_emer_coat_part</vt:lpstr>
      <vt:lpstr>disaspre_num_emer_cot_deped</vt:lpstr>
      <vt:lpstr>disaspre_num_emer_cot_part</vt:lpstr>
      <vt:lpstr>disaspre_num_emer_cpr_deped</vt:lpstr>
      <vt:lpstr>disaspre_num_emer_cpr_part</vt:lpstr>
      <vt:lpstr>disaspre_num_emer_cushion_deped</vt:lpstr>
      <vt:lpstr>disaspre_num_emer_cushion_part</vt:lpstr>
      <vt:lpstr>disaspre_num_emer_firextinguish_deped</vt:lpstr>
      <vt:lpstr>disaspre_num_emer_firextinguish_part</vt:lpstr>
      <vt:lpstr>disaspre_num_emer_firstaid_l_deped</vt:lpstr>
      <vt:lpstr>disaspre_num_emer_firstaid_l_part</vt:lpstr>
      <vt:lpstr>disaspre_num_emer_firstaid_per_deped</vt:lpstr>
      <vt:lpstr>disaspre_num_emer_firstaid_per_part</vt:lpstr>
      <vt:lpstr>disaspre_num_emer_go_bag_l_deped</vt:lpstr>
      <vt:lpstr>disaspre_num_emer_go_bag_l_part</vt:lpstr>
      <vt:lpstr>disaspre_num_emer_go_bag_per_deped</vt:lpstr>
      <vt:lpstr>disaspre_num_emer_go_bag_per_part</vt:lpstr>
      <vt:lpstr>disaspre_num_emer_headlamp_deped</vt:lpstr>
      <vt:lpstr>disaspre_num_emer_headlamp_part</vt:lpstr>
      <vt:lpstr>disaspre_num_emer_helmet_deped</vt:lpstr>
      <vt:lpstr>disaspre_num_emer_helmet_part</vt:lpstr>
      <vt:lpstr>disaspre_num_emer_light_deped</vt:lpstr>
      <vt:lpstr>disaspre_num_emer_light_part</vt:lpstr>
      <vt:lpstr>disaspre_num_emer_pa_sys_deped</vt:lpstr>
      <vt:lpstr>disaspre_num_emer_pa_sys_part</vt:lpstr>
      <vt:lpstr>disaspre_num_emer_radio_deped</vt:lpstr>
      <vt:lpstr>disaspre_num_emer_radio_part</vt:lpstr>
      <vt:lpstr>disaspre_num_emer_search_light_deped</vt:lpstr>
      <vt:lpstr>disaspre_num_emer_search_light_part</vt:lpstr>
      <vt:lpstr>disaspre_num_emer_shoes_deped</vt:lpstr>
      <vt:lpstr>disaspre_num_emer_shoes_part</vt:lpstr>
      <vt:lpstr>disaspre_num_emer_spine_board_deped</vt:lpstr>
      <vt:lpstr>disaspre_num_emer_spine_board_part</vt:lpstr>
      <vt:lpstr>disaspre_num_emer_splinter_deped</vt:lpstr>
      <vt:lpstr>disaspre_num_emer_splinter_part</vt:lpstr>
      <vt:lpstr>disaspre_num_emer_steel_box_deped</vt:lpstr>
      <vt:lpstr>disaspre_num_emer_steel_box_part</vt:lpstr>
      <vt:lpstr>disaspre_num_emer_steel_cab_deped</vt:lpstr>
      <vt:lpstr>disaspre_num_emer_steel_cab_part</vt:lpstr>
      <vt:lpstr>disaspre_num_emer_trans_bag_deped</vt:lpstr>
      <vt:lpstr>disaspre_num_emer_trans_bag_part</vt:lpstr>
      <vt:lpstr>disaspre_num_emer_trauma_bag_deped</vt:lpstr>
      <vt:lpstr>disaspre_num_emer_trauma_bag_part</vt:lpstr>
      <vt:lpstr>disaspre_num_emer_tvest_deped</vt:lpstr>
      <vt:lpstr>disaspre_num_emer_tvest_part</vt:lpstr>
      <vt:lpstr>disaspre_num_emer_univ_head_deped</vt:lpstr>
      <vt:lpstr>disaspre_num_emer_univ_head_part</vt:lpstr>
      <vt:lpstr>disaspre_num_emer_vest_deped</vt:lpstr>
      <vt:lpstr>disaspre_num_emer_vest_part</vt:lpstr>
      <vt:lpstr>disaspre_num_emer_whistle_deped</vt:lpstr>
      <vt:lpstr>disaspre_num_emer_whistle_part</vt:lpstr>
      <vt:lpstr>disaspre_num_hazzard_drl_ip_f</vt:lpstr>
      <vt:lpstr>disaspre_num_hazzard_drl_ip_m</vt:lpstr>
      <vt:lpstr>disaspre_num_hazzard_drl_l_f</vt:lpstr>
      <vt:lpstr>disaspre_num_hazzard_drl_l_m</vt:lpstr>
      <vt:lpstr>disaspre_num_hazzard_drl_lwd_f</vt:lpstr>
      <vt:lpstr>disaspre_num_hazzard_drl_lwd_m</vt:lpstr>
      <vt:lpstr>disaspre_num_hazzard_drl_muslim_f</vt:lpstr>
      <vt:lpstr>disaspre_num_hazzard_drl_muslim_m</vt:lpstr>
      <vt:lpstr>disaspre_num_hazzard_drl_nonteach_f</vt:lpstr>
      <vt:lpstr>disaspre_num_hazzard_drl_nonteach_m</vt:lpstr>
      <vt:lpstr>disaspre_num_hazzard_drl_teach_f</vt:lpstr>
      <vt:lpstr>disaspre_num_hazzard_drl_teach_m</vt:lpstr>
      <vt:lpstr>disaspre_num_rescue_bic_deped</vt:lpstr>
      <vt:lpstr>disaspre_num_rescue_bic_part</vt:lpstr>
      <vt:lpstr>disaspre_num_rescue_fire_cabinet_deped</vt:lpstr>
      <vt:lpstr>disaspre_num_rescue_fire_cabinet_part</vt:lpstr>
      <vt:lpstr>disaspre_num_rescue_firehose_deped</vt:lpstr>
      <vt:lpstr>disaspre_num_rescue_firehose_part</vt:lpstr>
      <vt:lpstr>disaspre_num_rescue_firextinguish_deped</vt:lpstr>
      <vt:lpstr>disaspre_num_rescue_firextinguish_part</vt:lpstr>
      <vt:lpstr>disaspre_num_rescue_lvest_deped</vt:lpstr>
      <vt:lpstr>disaspre_num_rescue_lvest_part</vt:lpstr>
      <vt:lpstr>disaspre_num_rescue_mot_banca_deped</vt:lpstr>
      <vt:lpstr>disaspre_num_rescue_mot_banca_part</vt:lpstr>
      <vt:lpstr>disaspre_num_rescue_psprayer_deped</vt:lpstr>
      <vt:lpstr>disaspre_num_rescue_psprayer_part</vt:lpstr>
      <vt:lpstr>disaspre_oct_earthq_drl</vt:lpstr>
      <vt:lpstr>disaspre_oct_fire_drl</vt:lpstr>
      <vt:lpstr>disaspre_oct_flood_drl</vt:lpstr>
      <vt:lpstr>disaspre_oct_lockdown_drl</vt:lpstr>
      <vt:lpstr>disaspre_oct_stormsurge_drl</vt:lpstr>
      <vt:lpstr>disaspre_oct_tsunami_drl</vt:lpstr>
      <vt:lpstr>disaspre_sep_earthq_drl</vt:lpstr>
      <vt:lpstr>disaspre_sep_fire_drl</vt:lpstr>
      <vt:lpstr>disaspre_sep_flood_drl</vt:lpstr>
      <vt:lpstr>disaspre_sep_lockdown_drl</vt:lpstr>
      <vt:lpstr>disaspre_sep_stormsurge_drl</vt:lpstr>
      <vt:lpstr>disaspre_sep_tsunami_drl</vt:lpstr>
      <vt:lpstr>disasres_adm_eimpact</vt:lpstr>
      <vt:lpstr>disasres_adm_eimpact_days</vt:lpstr>
      <vt:lpstr>disasres_adm_home</vt:lpstr>
      <vt:lpstr>disasres_adm_home_days</vt:lpstr>
      <vt:lpstr>disasres_adm_misosa</vt:lpstr>
      <vt:lpstr>disasres_adm_misosa_days</vt:lpstr>
      <vt:lpstr>disasres_adm_nhs</vt:lpstr>
      <vt:lpstr>disasres_adm_nhs_days</vt:lpstr>
      <vt:lpstr>disasres_adm_ohsp</vt:lpstr>
      <vt:lpstr>disasres_adm_ohsp_days</vt:lpstr>
      <vt:lpstr>disasres_brigada_eskwela</vt:lpstr>
      <vt:lpstr>disasres_impl_adm_disas</vt:lpstr>
      <vt:lpstr>disasres_impl_adm_emer</vt:lpstr>
      <vt:lpstr>disasres_ipearn_mhpss_ip_f</vt:lpstr>
      <vt:lpstr>disasres_ipearn_mhpss_ip_m</vt:lpstr>
      <vt:lpstr>disasres_ipearn_mhpss_lwd_f</vt:lpstr>
      <vt:lpstr>disasres_ipearn_mhpss_lwd_m</vt:lpstr>
      <vt:lpstr>disasres_ipearn_mhpss_muslim_f</vt:lpstr>
      <vt:lpstr>disasres_ipearn_mhpss_muslim_m</vt:lpstr>
      <vt:lpstr>disasres_ipearn_pss_ip_f</vt:lpstr>
      <vt:lpstr>disasres_ipearn_pss_ip_m</vt:lpstr>
      <vt:lpstr>disasres_ipearn_pss_lwd_f</vt:lpstr>
      <vt:lpstr>disasres_ipearn_pss_lwd_m</vt:lpstr>
      <vt:lpstr>disasres_ipearn_pss_muslim_f</vt:lpstr>
      <vt:lpstr>disasres_ipearn_pss_muslim_m</vt:lpstr>
      <vt:lpstr>disasres_ipearn_ref_mech_ip_f</vt:lpstr>
      <vt:lpstr>disasres_ipearn_ref_mech_ip_m</vt:lpstr>
      <vt:lpstr>disasres_ipearn_ref_mech_lwd_f</vt:lpstr>
      <vt:lpstr>disasres_ipearn_ref_mech_lwd_m</vt:lpstr>
      <vt:lpstr>disasres_ipearn_ref_mech_muslim_f</vt:lpstr>
      <vt:lpstr>disasres_ipearn_ref_mech_muslim_m</vt:lpstr>
      <vt:lpstr>disasres_ipearn_sess_ip_f</vt:lpstr>
      <vt:lpstr>disasres_ipearn_sess_ip_m</vt:lpstr>
      <vt:lpstr>disasres_ipearn_sess_lwd_f</vt:lpstr>
      <vt:lpstr>disasres_ipearn_sess_lwd_m</vt:lpstr>
      <vt:lpstr>disasres_ipearn_sess_muslim_f</vt:lpstr>
      <vt:lpstr>disasres_ipearn_sess_muslim_m</vt:lpstr>
      <vt:lpstr>disasres_learn_mhpss_l_f</vt:lpstr>
      <vt:lpstr>disasres_learn_mhpss_l_m</vt:lpstr>
      <vt:lpstr>disasres_learn_pss_l_f</vt:lpstr>
      <vt:lpstr>disasres_learn_pss_l_m</vt:lpstr>
      <vt:lpstr>disasres_learn_ref_mech_l_f</vt:lpstr>
      <vt:lpstr>disasres_learn_ref_mech_l_m</vt:lpstr>
      <vt:lpstr>disasres_learn_sess_l_f</vt:lpstr>
      <vt:lpstr>disasres_learn_sess_l_m</vt:lpstr>
      <vt:lpstr>disasres_num_drrms_adm</vt:lpstr>
      <vt:lpstr>disasres_num_drrms_adm_date</vt:lpstr>
      <vt:lpstr>disasres_num_drrms_fund_cleanup</vt:lpstr>
      <vt:lpstr>disasres_num_drrms_fund_cleanup_date</vt:lpstr>
      <vt:lpstr>disasres_num_drrms_fund_feed</vt:lpstr>
      <vt:lpstr>disasres_num_drrms_fund_feed_date</vt:lpstr>
      <vt:lpstr>disasres_num_drrms_fund_templearn</vt:lpstr>
      <vt:lpstr>disasres_num_drrms_fund_templearn_date</vt:lpstr>
      <vt:lpstr>disasres_num_drrms_fund_tempwash</vt:lpstr>
      <vt:lpstr>disasres_num_drrms_fund_tempwash_date</vt:lpstr>
      <vt:lpstr>disasres_num_drrms_hygiene</vt:lpstr>
      <vt:lpstr>disasres_num_drrms_hygiene_date</vt:lpstr>
      <vt:lpstr>disasres_num_drrms_learnkit</vt:lpstr>
      <vt:lpstr>disasres_num_drrms_learnkit_date</vt:lpstr>
      <vt:lpstr>disasres_num_drrms_teachkit</vt:lpstr>
      <vt:lpstr>disasres_num_drrms_teachkit_date</vt:lpstr>
      <vt:lpstr>disasres_num_grps_rehab_recover</vt:lpstr>
      <vt:lpstr>disasres_num_mhpss_conduct</vt:lpstr>
      <vt:lpstr>disasres_num_nonteach_per_mhpss_f</vt:lpstr>
      <vt:lpstr>disasres_num_nonteach_per_mhpss_m</vt:lpstr>
      <vt:lpstr>disasres_num_nonteach_per_pss_f</vt:lpstr>
      <vt:lpstr>disasres_num_nonteach_per_pss_m</vt:lpstr>
      <vt:lpstr>disasres_num_nonteach_per_refmech_f</vt:lpstr>
      <vt:lpstr>disasres_num_nonteach_per_refmech_m</vt:lpstr>
      <vt:lpstr>disasres_num_part_adm</vt:lpstr>
      <vt:lpstr>disasres_num_part_donate</vt:lpstr>
      <vt:lpstr>disasres_num_part_feed</vt:lpstr>
      <vt:lpstr>disasres_num_part_hygiene</vt:lpstr>
      <vt:lpstr>disasres_num_part_learnkit</vt:lpstr>
      <vt:lpstr>disasres_num_part_mhpps</vt:lpstr>
      <vt:lpstr>disasres_num_part_teachkit</vt:lpstr>
      <vt:lpstr>disasres_num_part_templearn</vt:lpstr>
      <vt:lpstr>disasres_num_part_wash</vt:lpstr>
      <vt:lpstr>disasres_num_recvd_accountmecha</vt:lpstr>
      <vt:lpstr>disasres_num_recvd_dcp</vt:lpstr>
      <vt:lpstr>disasres_num_recvd_fur</vt:lpstr>
      <vt:lpstr>disasres_num_recvd_learnresource</vt:lpstr>
      <vt:lpstr>disasres_num_teach_per_mhpss_f</vt:lpstr>
      <vt:lpstr>disasres_num_teach_per_mhpss_m</vt:lpstr>
      <vt:lpstr>disasres_num_teach_per_pss_f</vt:lpstr>
      <vt:lpstr>disasres_num_teach_per_pss_m</vt:lpstr>
      <vt:lpstr>disasres_num_teach_per_refmech_f</vt:lpstr>
      <vt:lpstr>disasres_num_teach_per_refmech_m</vt:lpstr>
      <vt:lpstr>disasres_num_teachper_impl_f</vt:lpstr>
      <vt:lpstr>disasres_num_teachper_impl_m</vt:lpstr>
      <vt:lpstr>disasres_num_teachper_resp_f</vt:lpstr>
      <vt:lpstr>disasres_num_teachper_resp_m</vt:lpstr>
      <vt:lpstr>disasres_peace_prog</vt:lpstr>
      <vt:lpstr>disasres_radar</vt:lpstr>
      <vt:lpstr>disasres_resump_classhift</vt:lpstr>
      <vt:lpstr>disasres_resump_classhift_days</vt:lpstr>
      <vt:lpstr>disasres_resump_makeup</vt:lpstr>
      <vt:lpstr>disasres_resump_makeup_days</vt:lpstr>
      <vt:lpstr>disasres_resump_module</vt:lpstr>
      <vt:lpstr>disasres_resump_module_days</vt:lpstr>
      <vt:lpstr>disasres_resump_online</vt:lpstr>
      <vt:lpstr>disasres_resump_online_days</vt:lpstr>
      <vt:lpstr>disasres_resump_peer</vt:lpstr>
      <vt:lpstr>disasres_resump_peer_days</vt:lpstr>
      <vt:lpstr>disasres_resump_prog</vt:lpstr>
      <vt:lpstr>disasres_resump_prog_days</vt:lpstr>
      <vt:lpstr>div_yfc_name</vt:lpstr>
      <vt:lpstr>div_yfc_pos</vt:lpstr>
      <vt:lpstr>do_accountant_name</vt:lpstr>
      <vt:lpstr>do_accountant_pos</vt:lpstr>
      <vt:lpstr>do_iped_focal_name</vt:lpstr>
      <vt:lpstr>do_iped_focal_pos_title</vt:lpstr>
      <vt:lpstr>do_school_health_coor_name</vt:lpstr>
      <vt:lpstr>do_school_health_coor_pos</vt:lpstr>
      <vt:lpstr>do_sports_coordinator_name</vt:lpstr>
      <vt:lpstr>do_sports_coordinator_pos</vt:lpstr>
      <vt:lpstr>drrm_cca_policies_DM084_s2019</vt:lpstr>
      <vt:lpstr>drrm_cca_policies_DM221_s2013</vt:lpstr>
      <vt:lpstr>drrm_cca_policies_DO21_s2015</vt:lpstr>
      <vt:lpstr>drrm_cca_policies_DO23_s2015</vt:lpstr>
      <vt:lpstr>drrm_cca_policies_DO24_s2021</vt:lpstr>
      <vt:lpstr>drrm_cca_policies_DO27_s2015</vt:lpstr>
      <vt:lpstr>drrm_cca_policies_DO28_s2016</vt:lpstr>
      <vt:lpstr>drrm_cca_policies_DO32_s2019</vt:lpstr>
      <vt:lpstr>drrm_cca_policies_DO33_s2021</vt:lpstr>
      <vt:lpstr>drrm_cca_policies_DO37_s2015</vt:lpstr>
      <vt:lpstr>drrm_cca_policies_DO43_s2012</vt:lpstr>
      <vt:lpstr>drrm_cca_policies_DO82_s2010</vt:lpstr>
      <vt:lpstr>drrm_cca_policies_DO83_s2011</vt:lpstr>
      <vt:lpstr>drrm_coordinator_name</vt:lpstr>
      <vt:lpstr>drrm_coordinator_pos</vt:lpstr>
      <vt:lpstr>electrical_available_inaday_hours</vt:lpstr>
      <vt:lpstr>electrical_funding_source_canteen</vt:lpstr>
      <vt:lpstr>electrical_funding_source_lgu</vt:lpstr>
      <vt:lpstr>electrical_funding_source_mooe</vt:lpstr>
      <vt:lpstr>electrical_funding_source_others</vt:lpstr>
      <vt:lpstr>electrical_funding_source_others_specify</vt:lpstr>
      <vt:lpstr>electrical_funding_source_private</vt:lpstr>
      <vt:lpstr>electrical_funding_source_pta</vt:lpstr>
      <vt:lpstr>electrical_no_source</vt:lpstr>
      <vt:lpstr>electrical_offgrid_generator</vt:lpstr>
      <vt:lpstr>electrical_offgrid_others</vt:lpstr>
      <vt:lpstr>electrical_offgrid_others_specify</vt:lpstr>
      <vt:lpstr>electrical_offgrid_solar_power</vt:lpstr>
      <vt:lpstr>electrical_supply_sources_grid</vt:lpstr>
      <vt:lpstr>electrical_supply_sources_offgrid</vt:lpstr>
      <vt:lpstr>fh_canteen_mngd_others</vt:lpstr>
      <vt:lpstr>fh_canteen_mngd_others_personnel_health_yes</vt:lpstr>
      <vt:lpstr>fh_canteen_mngd_others_sanitary</vt:lpstr>
      <vt:lpstr>fh_canteen_mngd_others_specify</vt:lpstr>
      <vt:lpstr>fh_canteen_mngd_others_validity</vt:lpstr>
      <vt:lpstr>fh_canteen_mngd_sch</vt:lpstr>
      <vt:lpstr>fh_canteen_mngd_sch_personnel_health_yes</vt:lpstr>
      <vt:lpstr>fh_canteen_mngd_sch_sanitary</vt:lpstr>
      <vt:lpstr>fh_canteen_mngd_sch_validity</vt:lpstr>
      <vt:lpstr>fh_canteen_mngd_tchcoop</vt:lpstr>
      <vt:lpstr>fh_canteen_mngd_tchcoop_personnel_health_yes</vt:lpstr>
      <vt:lpstr>fh_canteen_mngd_tchcoop_sanitary</vt:lpstr>
      <vt:lpstr>fh_canteen_mngd_tchcoop_validity</vt:lpstr>
      <vt:lpstr>fh_has_canteen_yes</vt:lpstr>
      <vt:lpstr>fp_agri_crops</vt:lpstr>
      <vt:lpstr>fp_agri_fishpond</vt:lpstr>
      <vt:lpstr>fp_agri_fundsource_brgyfund</vt:lpstr>
      <vt:lpstr>fp_agri_fundsource_lgufund</vt:lpstr>
      <vt:lpstr>fp_agri_fundsource_mooe</vt:lpstr>
      <vt:lpstr>fp_agri_fundsource_others</vt:lpstr>
      <vt:lpstr>fp_agri_fundsource_others_specify</vt:lpstr>
      <vt:lpstr>fp_agri_fundsource_privatefund</vt:lpstr>
      <vt:lpstr>fp_agri_fundsource_ptafund</vt:lpstr>
      <vt:lpstr>fp_agri_fundsource_scfund</vt:lpstr>
      <vt:lpstr>fp_agri_gulayan</vt:lpstr>
      <vt:lpstr>fp_agri_gulayan_fruit</vt:lpstr>
      <vt:lpstr>fp_agri_gulayan_leafy</vt:lpstr>
      <vt:lpstr>fp_agri_gulayan_legumes</vt:lpstr>
      <vt:lpstr>fp_agri_gulayan_rootcrops</vt:lpstr>
      <vt:lpstr>fp_agri_livestock</vt:lpstr>
      <vt:lpstr>fp_agri_none</vt:lpstr>
      <vt:lpstr>fp_agri_others</vt:lpstr>
      <vt:lpstr>fp_agri_others_specify</vt:lpstr>
      <vt:lpstr>fp_agri_usedfp_yes</vt:lpstr>
      <vt:lpstr>fp_fundsource_brgyfund</vt:lpstr>
      <vt:lpstr>fp_fundsource_lgufund</vt:lpstr>
      <vt:lpstr>fp_fundsource_mooe</vt:lpstr>
      <vt:lpstr>fp_fundsource_others</vt:lpstr>
      <vt:lpstr>fp_fundsource_others_specify</vt:lpstr>
      <vt:lpstr>fp_fundsource_privatefund</vt:lpstr>
      <vt:lpstr>fp_fundsource_ptafund</vt:lpstr>
      <vt:lpstr>fp_fundsource_sbfp</vt:lpstr>
      <vt:lpstr>fp_fundsource_scfund</vt:lpstr>
      <vt:lpstr>fp_has_yes</vt:lpstr>
      <vt:lpstr>I</vt:lpstr>
      <vt:lpstr>II</vt:lpstr>
      <vt:lpstr>III</vt:lpstr>
      <vt:lpstr>implesolidwm_composting</vt:lpstr>
      <vt:lpstr>implesolidwm_dtcp</vt:lpstr>
      <vt:lpstr>implesolidwm_pmsmcon</vt:lpstr>
      <vt:lpstr>implesolidwm_postsign</vt:lpstr>
      <vt:lpstr>implesolidwm_recyclingpr</vt:lpstr>
      <vt:lpstr>implesolidwm_schrep</vt:lpstr>
      <vt:lpstr>implesolidwm_stakeholder_brgy</vt:lpstr>
      <vt:lpstr>implesolidwm_stakeholder_commulead</vt:lpstr>
      <vt:lpstr>implesolidwm_stakeholder_localbusp</vt:lpstr>
      <vt:lpstr>implesolidwm_stakeholder_mun_city</vt:lpstr>
      <vt:lpstr>implesolidwm_stakeholder_parents</vt:lpstr>
      <vt:lpstr>implesolidwm_urfc</vt:lpstr>
      <vt:lpstr>implesolidwm_usppcip</vt:lpstr>
      <vt:lpstr>implesolidwm_usrmtt</vt:lpstr>
      <vt:lpstr>implesolidwm_wasteseg</vt:lpstr>
      <vt:lpstr>IVA</vt:lpstr>
      <vt:lpstr>IVB</vt:lpstr>
      <vt:lpstr>IX</vt:lpstr>
      <vt:lpstr>lac_session_current_sy</vt:lpstr>
      <vt:lpstr>lac_session_last_sy</vt:lpstr>
      <vt:lpstr>lac_session_yes</vt:lpstr>
      <vt:lpstr>liqui_jantodec_amount</vt:lpstr>
      <vt:lpstr>loc_althighway</vt:lpstr>
      <vt:lpstr>loc_bythillside</vt:lpstr>
      <vt:lpstr>loc_nearcoast</vt:lpstr>
      <vt:lpstr>loc_nearfaultl</vt:lpstr>
      <vt:lpstr>loc_nearriverwway</vt:lpstr>
      <vt:lpstr>loc_onsmllisland</vt:lpstr>
      <vt:lpstr>loc_ontopmount</vt:lpstr>
      <vt:lpstr>loc_other</vt:lpstr>
      <vt:lpstr>loc_other_specify</vt:lpstr>
      <vt:lpstr>mednurse_num_learn_exam_g11</vt:lpstr>
      <vt:lpstr>mednurse_num_learn_exam_g12</vt:lpstr>
      <vt:lpstr>mednurse_num_learn_findings_g11</vt:lpstr>
      <vt:lpstr>mednurse_num_learn_findings_g12</vt:lpstr>
      <vt:lpstr>mednurse_num_learn_given_intervention_g11</vt:lpstr>
      <vt:lpstr>mednurse_num_learn_given_intervention_g12</vt:lpstr>
      <vt:lpstr>mednurse_num_learn_referred_g11</vt:lpstr>
      <vt:lpstr>mednurse_num_learn_referred_g12</vt:lpstr>
      <vt:lpstr>mestrualh_avail_sanpads_yes</vt:lpstr>
      <vt:lpstr>mestrualh_avail_sanpads_yes_guidoff</vt:lpstr>
      <vt:lpstr>mestrualh_avail_sanpads_yes_others</vt:lpstr>
      <vt:lpstr>mestrualh_avail_sanpads_yes_others_specify</vt:lpstr>
      <vt:lpstr>mestrualh_avail_sanpads_yeses_schcant</vt:lpstr>
      <vt:lpstr>mestrualh_avail_sanpads_yeses_schclinic</vt:lpstr>
      <vt:lpstr>mooe_alloc_jantodec_amount</vt:lpstr>
      <vt:lpstr>name_depes_lrmds</vt:lpstr>
      <vt:lpstr>name_depes_lrmds_pos</vt:lpstr>
      <vt:lpstr>natpdruged_cl_corners_number</vt:lpstr>
      <vt:lpstr>natpdruged_compart_curriculumin</vt:lpstr>
      <vt:lpstr>natpdruged_compart_extrcurriact</vt:lpstr>
      <vt:lpstr>natpdruged_compart_other</vt:lpstr>
      <vt:lpstr>natpdruged_compart_other_specify</vt:lpstr>
      <vt:lpstr>natpdruged_compart_partnwbadac</vt:lpstr>
      <vt:lpstr>natpdruged_coord_yes</vt:lpstr>
      <vt:lpstr>natpdruged_established_bkd_yes</vt:lpstr>
      <vt:lpstr>natpdruged_implement_yes</vt:lpstr>
      <vt:lpstr>natpdruged_learn_bkd_g11</vt:lpstr>
      <vt:lpstr>natpdruged_learn_bkd_g12</vt:lpstr>
      <vt:lpstr>natpdruged_learn_train_g11</vt:lpstr>
      <vt:lpstr>natpdruged_learn_train_g12</vt:lpstr>
      <vt:lpstr>NCR</vt:lpstr>
      <vt:lpstr>need_more_abm</vt:lpstr>
      <vt:lpstr>need_more_appsubj</vt:lpstr>
      <vt:lpstr>need_more_core</vt:lpstr>
      <vt:lpstr>need_more_humms</vt:lpstr>
      <vt:lpstr>need_more_others</vt:lpstr>
      <vt:lpstr>need_more_otherspec</vt:lpstr>
      <vt:lpstr>need_more_sptrac</vt:lpstr>
      <vt:lpstr>need_more_stem</vt:lpstr>
      <vt:lpstr>num_oer_devloc_editwork_q1_g11</vt:lpstr>
      <vt:lpstr>num_oer_devloc_editwork_q1_g12</vt:lpstr>
      <vt:lpstr>num_oer_devloc_editwork_q2_g11</vt:lpstr>
      <vt:lpstr>num_oer_devloc_editwork_q2_g12</vt:lpstr>
      <vt:lpstr>num_oer_devloc_editwork_q3_g11</vt:lpstr>
      <vt:lpstr>num_oer_devloc_editwork_q3_g12</vt:lpstr>
      <vt:lpstr>num_oer_devloc_editwork_q4_g11</vt:lpstr>
      <vt:lpstr>num_oer_devloc_editwork_q4_g12</vt:lpstr>
      <vt:lpstr>num_oer_devloc_origwork_q1_g11</vt:lpstr>
      <vt:lpstr>num_oer_devloc_origwork_q1_g12</vt:lpstr>
      <vt:lpstr>num_oer_devloc_origwork_q2_g11</vt:lpstr>
      <vt:lpstr>num_oer_devloc_origwork_q2_g12</vt:lpstr>
      <vt:lpstr>num_oer_devloc_origwork_q3_g11</vt:lpstr>
      <vt:lpstr>num_oer_devloc_origwork_q3_g12</vt:lpstr>
      <vt:lpstr>num_oer_devloc_origwork_q4_g11</vt:lpstr>
      <vt:lpstr>num_oer_devloc_origwork_q4_g12</vt:lpstr>
      <vt:lpstr>num_teach_depedtv_freq_f</vt:lpstr>
      <vt:lpstr>num_teach_depedtv_freq_m</vt:lpstr>
      <vt:lpstr>num_teach_depedtv_nvr_f</vt:lpstr>
      <vt:lpstr>num_teach_depedtv_nvr_m</vt:lpstr>
      <vt:lpstr>num_teach_depedtv_sel_f</vt:lpstr>
      <vt:lpstr>num_teach_depedtv_sel_m</vt:lpstr>
      <vt:lpstr>num_teachers_reside_outsideschmun_g11_f</vt:lpstr>
      <vt:lpstr>num_teachers_reside_outsideschmun_g11_m</vt:lpstr>
      <vt:lpstr>num_teachers_reside_outsideschmun_g12_f</vt:lpstr>
      <vt:lpstr>num_teachers_reside_outsideschmun_g12_m</vt:lpstr>
      <vt:lpstr>num_teachers_reside_withinschmun_g11_f</vt:lpstr>
      <vt:lpstr>num_teachers_reside_withinschmun_g11_m</vt:lpstr>
      <vt:lpstr>num_teachers_reside_withinschmun_g12_f</vt:lpstr>
      <vt:lpstr>num_teachers_reside_withinschmun_g12_m</vt:lpstr>
      <vt:lpstr>numteach_highest_educ_attainment_bachelor_f</vt:lpstr>
      <vt:lpstr>numteach_highest_educ_attainment_bachelor_m</vt:lpstr>
      <vt:lpstr>numteach_highest_educ_attainment_doctor_f</vt:lpstr>
      <vt:lpstr>numteach_highest_educ_attainment_doctor_m</vt:lpstr>
      <vt:lpstr>numteach_highest_educ_attainment_doctor_units_f</vt:lpstr>
      <vt:lpstr>numteach_highest_educ_attainment_doctor_units_m</vt:lpstr>
      <vt:lpstr>numteach_highest_educ_attainment_master_f</vt:lpstr>
      <vt:lpstr>numteach_highest_educ_attainment_master_m</vt:lpstr>
      <vt:lpstr>numteach_highest_educ_attainment_masterunits_f</vt:lpstr>
      <vt:lpstr>numteach_highest_educ_attainment_masterunits_m</vt:lpstr>
      <vt:lpstr>numteach_scieducmajor_bio_f</vt:lpstr>
      <vt:lpstr>numteach_scieducmajor_bio_m</vt:lpstr>
      <vt:lpstr>numteach_scieducmajor_chem_f</vt:lpstr>
      <vt:lpstr>numteach_scieducmajor_chem_m</vt:lpstr>
      <vt:lpstr>numteach_scieducmajor_gensci_f</vt:lpstr>
      <vt:lpstr>numteach_scieducmajor_gensci_m</vt:lpstr>
      <vt:lpstr>numteach_scieducmajor_others_f</vt:lpstr>
      <vt:lpstr>numteach_scieducmajor_others_m</vt:lpstr>
      <vt:lpstr>numteach_scieducmajor_physics_f</vt:lpstr>
      <vt:lpstr>numteach_scieducmajor_physics_m</vt:lpstr>
      <vt:lpstr>ok_sa_deped_fbpage_add</vt:lpstr>
      <vt:lpstr>ok_sa_deped_fbpageyes</vt:lpstr>
      <vt:lpstr>ok_sa_deped_focal</vt:lpstr>
      <vt:lpstr>ok_sa_deped_ohw</vt:lpstr>
      <vt:lpstr>opmainsanf_sanfclean_attwiceawk</vt:lpstr>
      <vt:lpstr>opmainsanf_sanfclean_avecos_monbm_amount</vt:lpstr>
      <vt:lpstr>opmainsanf_sanfclean_daily</vt:lpstr>
      <vt:lpstr>opmainsanf_sanfclean_lessonceawk</vt:lpstr>
      <vt:lpstr>opmainsanf_sanfclean_onceawk</vt:lpstr>
      <vt:lpstr>opmainsanf_sanfclean_payavecos_monbm_lgu</vt:lpstr>
      <vt:lpstr>opmainsanf_sanfclean_payavecos_monbm_other</vt:lpstr>
      <vt:lpstr>opmainsanf_sanfclean_payavecos_monbm_other_specify</vt:lpstr>
      <vt:lpstr>opmainsanf_sanfclean_payavecos_monbm_privinds</vt:lpstr>
      <vt:lpstr>opmainsanf_sanfclean_payavecos_monbm_pta</vt:lpstr>
      <vt:lpstr>opmainsanf_sanfclean_payavecos_monbmes_schcantf</vt:lpstr>
      <vt:lpstr>opmainsanf_sanfclean_payavecos_monbmes_schmooe</vt:lpstr>
      <vt:lpstr>personnel_nonteach_acct1_actual_f</vt:lpstr>
      <vt:lpstr>personnel_nonteach_acct1_actual_m</vt:lpstr>
      <vt:lpstr>personnel_nonteach_acct1_borrowed_f</vt:lpstr>
      <vt:lpstr>personnel_nonteach_acct1_borrowed_m</vt:lpstr>
      <vt:lpstr>personnel_nonteach_acct1_detailed_es</vt:lpstr>
      <vt:lpstr>personnel_nonteach_acct1_detailed_hs</vt:lpstr>
      <vt:lpstr>personnel_nonteach_acct1_detailed_outdiv</vt:lpstr>
      <vt:lpstr>personnel_nonteach_acct1_onleave</vt:lpstr>
      <vt:lpstr>personnel_nonteach_acct1_psipop</vt:lpstr>
      <vt:lpstr>personnel_nonteach_acct1_vacant</vt:lpstr>
      <vt:lpstr>personnel_nonteach_adminaide6_actual_f</vt:lpstr>
      <vt:lpstr>personnel_nonteach_adminaide6_actual_m</vt:lpstr>
      <vt:lpstr>personnel_nonteach_adminaide6_borrowed_f</vt:lpstr>
      <vt:lpstr>personnel_nonteach_adminaide6_borrowed_m</vt:lpstr>
      <vt:lpstr>personnel_nonteach_adminaide6_detailed_es</vt:lpstr>
      <vt:lpstr>personnel_nonteach_adminaide6_detailed_hs</vt:lpstr>
      <vt:lpstr>personnel_nonteach_adminaide6_detailed_outdiv</vt:lpstr>
      <vt:lpstr>personnel_nonteach_adminaide6_onleave</vt:lpstr>
      <vt:lpstr>personnel_nonteach_adminaide6_psipop</vt:lpstr>
      <vt:lpstr>personnel_nonteach_adminaide6_vacant</vt:lpstr>
      <vt:lpstr>personnel_nonteach_adminasst1_actual_f</vt:lpstr>
      <vt:lpstr>personnel_nonteach_adminasst1_actual_m</vt:lpstr>
      <vt:lpstr>personnel_nonteach_adminasst1_borrowed_f</vt:lpstr>
      <vt:lpstr>personnel_nonteach_adminasst1_borrowed_m</vt:lpstr>
      <vt:lpstr>personnel_nonteach_adminasst1_detailed_es</vt:lpstr>
      <vt:lpstr>personnel_nonteach_adminasst1_detailed_hs</vt:lpstr>
      <vt:lpstr>personnel_nonteach_adminasst1_detailed_outdiv</vt:lpstr>
      <vt:lpstr>personnel_nonteach_adminasst1_onleave</vt:lpstr>
      <vt:lpstr>personnel_nonteach_adminasst1_psipop</vt:lpstr>
      <vt:lpstr>personnel_nonteach_adminasst1_vacant</vt:lpstr>
      <vt:lpstr>personnel_nonteach_adminasst2_actual_f</vt:lpstr>
      <vt:lpstr>personnel_nonteach_adminasst2_actual_m</vt:lpstr>
      <vt:lpstr>personnel_nonteach_adminasst2_borrowed_f</vt:lpstr>
      <vt:lpstr>personnel_nonteach_adminasst2_borrowed_m</vt:lpstr>
      <vt:lpstr>personnel_nonteach_adminasst2_detailed_es</vt:lpstr>
      <vt:lpstr>personnel_nonteach_adminasst2_detailed_hs</vt:lpstr>
      <vt:lpstr>personnel_nonteach_adminasst2_detailed_outdiv</vt:lpstr>
      <vt:lpstr>personnel_nonteach_adminasst2_onleave</vt:lpstr>
      <vt:lpstr>personnel_nonteach_adminasst2_psipop</vt:lpstr>
      <vt:lpstr>personnel_nonteach_adminasst2_vacant</vt:lpstr>
      <vt:lpstr>personnel_nonteach_adminofcr2_actual_f</vt:lpstr>
      <vt:lpstr>personnel_nonteach_adminofcr2_actual_m</vt:lpstr>
      <vt:lpstr>personnel_nonteach_adminofcr2_borrowed_f</vt:lpstr>
      <vt:lpstr>personnel_nonteach_adminofcr2_borrowed_m</vt:lpstr>
      <vt:lpstr>personnel_nonteach_adminofcr2_detailed_es</vt:lpstr>
      <vt:lpstr>personnel_nonteach_adminofcr2_detailed_hs</vt:lpstr>
      <vt:lpstr>personnel_nonteach_adminofcr2_detailed_outdiv</vt:lpstr>
      <vt:lpstr>personnel_nonteach_adminofcr2_onleave</vt:lpstr>
      <vt:lpstr>personnel_nonteach_adminofcr2_psipop</vt:lpstr>
      <vt:lpstr>personnel_nonteach_adminofcr2_vacant</vt:lpstr>
      <vt:lpstr>personnel_nonteach_adminofcr4_actual_f</vt:lpstr>
      <vt:lpstr>personnel_nonteach_adminofcr4_actual_m</vt:lpstr>
      <vt:lpstr>personnel_nonteach_adminofcr4_borrowed_f</vt:lpstr>
      <vt:lpstr>personnel_nonteach_adminofcr4_borrowed_m</vt:lpstr>
      <vt:lpstr>personnel_nonteach_adminofcr4_detailed_es</vt:lpstr>
      <vt:lpstr>personnel_nonteach_adminofcr4_detailed_hs</vt:lpstr>
      <vt:lpstr>personnel_nonteach_adminofcr4_detailed_outdiv</vt:lpstr>
      <vt:lpstr>personnel_nonteach_adminofcr4_onleave</vt:lpstr>
      <vt:lpstr>personnel_nonteach_adminofcr4_psipop</vt:lpstr>
      <vt:lpstr>personnel_nonteach_adminofcr4_vacant</vt:lpstr>
      <vt:lpstr>personnel_nonteach_chsr1_actual_f</vt:lpstr>
      <vt:lpstr>personnel_nonteach_chsr1_actual_m</vt:lpstr>
      <vt:lpstr>personnel_nonteach_chsr1_borrowed_f</vt:lpstr>
      <vt:lpstr>personnel_nonteach_chsr1_borrowed_m</vt:lpstr>
      <vt:lpstr>personnel_nonteach_chsr1_detailed_es</vt:lpstr>
      <vt:lpstr>personnel_nonteach_chsr1_detailed_hs</vt:lpstr>
      <vt:lpstr>personnel_nonteach_chsr1_detailed_outdiv</vt:lpstr>
      <vt:lpstr>personnel_nonteach_chsr1_onleave</vt:lpstr>
      <vt:lpstr>personnel_nonteach_chsr1_psipop</vt:lpstr>
      <vt:lpstr>personnel_nonteach_chsr1_vacant</vt:lpstr>
      <vt:lpstr>personnel_nonteach_guidancecounsel1_actual_f</vt:lpstr>
      <vt:lpstr>personnel_nonteach_guidancecounsel1_actual_m</vt:lpstr>
      <vt:lpstr>personnel_nonteach_guidancecounsel1_borrowed_f</vt:lpstr>
      <vt:lpstr>personnel_nonteach_guidancecounsel1_borrowed_m</vt:lpstr>
      <vt:lpstr>personnel_nonteach_guidancecounsel1_detailed_es</vt:lpstr>
      <vt:lpstr>personnel_nonteach_guidancecounsel1_detailed_hs</vt:lpstr>
      <vt:lpstr>personnel_nonteach_guidancecounsel1_detailed_outdiv</vt:lpstr>
      <vt:lpstr>personnel_nonteach_guidancecounsel1_onleave</vt:lpstr>
      <vt:lpstr>personnel_nonteach_guidancecounsel1_psipop</vt:lpstr>
      <vt:lpstr>personnel_nonteach_guidancecounsel1_vacant</vt:lpstr>
      <vt:lpstr>personnel_nonteach_guidancecounsel2_actual_f</vt:lpstr>
      <vt:lpstr>personnel_nonteach_guidancecounsel2_actual_m</vt:lpstr>
      <vt:lpstr>personnel_nonteach_guidancecounsel2_borrowed_f</vt:lpstr>
      <vt:lpstr>personnel_nonteach_guidancecounsel2_borrowed_m</vt:lpstr>
      <vt:lpstr>personnel_nonteach_guidancecounsel2_detailed_es</vt:lpstr>
      <vt:lpstr>personnel_nonteach_guidancecounsel2_detailed_hs</vt:lpstr>
      <vt:lpstr>personnel_nonteach_guidancecounsel2_detailed_outdiv</vt:lpstr>
      <vt:lpstr>personnel_nonteach_guidancecounsel2_onleave</vt:lpstr>
      <vt:lpstr>personnel_nonteach_guidancecounsel2_psipop</vt:lpstr>
      <vt:lpstr>personnel_nonteach_guidancecounsel2_vacant</vt:lpstr>
      <vt:lpstr>personnel_nonteach_guidancecounsel3_actual_f</vt:lpstr>
      <vt:lpstr>personnel_nonteach_guidancecounsel3_actual_m</vt:lpstr>
      <vt:lpstr>personnel_nonteach_guidancecounsel3_borrowed_f</vt:lpstr>
      <vt:lpstr>personnel_nonteach_guidancecounsel3_borrowed_m</vt:lpstr>
      <vt:lpstr>personnel_nonteach_guidancecounsel3_detailed_es</vt:lpstr>
      <vt:lpstr>personnel_nonteach_guidancecounsel3_detailed_hs</vt:lpstr>
      <vt:lpstr>personnel_nonteach_guidancecounsel3_detailed_outdiv</vt:lpstr>
      <vt:lpstr>personnel_nonteach_guidancecounsel3_onleave</vt:lpstr>
      <vt:lpstr>personnel_nonteach_guidancecounsel3_psipop</vt:lpstr>
      <vt:lpstr>personnel_nonteach_guidancecounsel3_vacant</vt:lpstr>
      <vt:lpstr>personnel_nonteach_guidancespcl2_borrowed_f</vt:lpstr>
      <vt:lpstr>personnel_nonteach_guidancespcl2_borrowed_m</vt:lpstr>
      <vt:lpstr>personnel_nonteach_guidancespcl2_detailed_es</vt:lpstr>
      <vt:lpstr>personnel_nonteach_guidancespcl2_detailed_hs</vt:lpstr>
      <vt:lpstr>personnel_nonteach_guidancespcl2_detailed_outdiv</vt:lpstr>
      <vt:lpstr>personnel_nonteach_guidancespcl2_onleave</vt:lpstr>
      <vt:lpstr>personnel_nonteach_guidancespcl2_vacant</vt:lpstr>
      <vt:lpstr>personnel_nonteach_guidancesrvspcl1_actual_f</vt:lpstr>
      <vt:lpstr>personnel_nonteach_guidancesrvspcl1_actual_m</vt:lpstr>
      <vt:lpstr>personnel_nonteach_guidancesrvspcl1_borrowed_f</vt:lpstr>
      <vt:lpstr>personnel_nonteach_guidancesrvspcl1_borrowed_m</vt:lpstr>
      <vt:lpstr>personnel_nonteach_guidancesrvspcl1_detailed_es</vt:lpstr>
      <vt:lpstr>personnel_nonteach_guidancesrvspcl1_detailed_hs</vt:lpstr>
      <vt:lpstr>personnel_nonteach_guidancesrvspcl1_detailed_outdiv</vt:lpstr>
      <vt:lpstr>personnel_nonteach_guidancesrvspcl1_onleave</vt:lpstr>
      <vt:lpstr>personnel_nonteach_guidancesrvspcl1_psipop</vt:lpstr>
      <vt:lpstr>personnel_nonteach_guidancesrvspcl1_vacant</vt:lpstr>
      <vt:lpstr>personnel_nonteach_guidancesrvspcl2_actual_f</vt:lpstr>
      <vt:lpstr>personnel_nonteach_guidancesrvspcl2_actual_m</vt:lpstr>
      <vt:lpstr>personnel_nonteach_guidancesrvspcl2_psipop</vt:lpstr>
      <vt:lpstr>personnel_nonteach_heo1_actual_f</vt:lpstr>
      <vt:lpstr>personnel_nonteach_heo1_actual_m</vt:lpstr>
      <vt:lpstr>personnel_nonteach_heo1_borrowed_f</vt:lpstr>
      <vt:lpstr>personnel_nonteach_heo1_borrowed_m</vt:lpstr>
      <vt:lpstr>personnel_nonteach_heo1_detailed_es</vt:lpstr>
      <vt:lpstr>personnel_nonteach_heo1_detailed_hs</vt:lpstr>
      <vt:lpstr>personnel_nonteach_heo1_detailed_outdiv</vt:lpstr>
      <vt:lpstr>personnel_nonteach_heo1_onleave</vt:lpstr>
      <vt:lpstr>personnel_nonteach_heo1_psipop</vt:lpstr>
      <vt:lpstr>personnel_nonteach_heo1_vacant</vt:lpstr>
      <vt:lpstr>personnel_nonteach_ht1_actual_f</vt:lpstr>
      <vt:lpstr>personnel_nonteach_ht1_actual_m</vt:lpstr>
      <vt:lpstr>personnel_nonteach_ht1_borrowed_f</vt:lpstr>
      <vt:lpstr>personnel_nonteach_ht1_borrowed_m</vt:lpstr>
      <vt:lpstr>personnel_nonteach_ht1_detailed_es</vt:lpstr>
      <vt:lpstr>personnel_nonteach_ht1_detailed_hs</vt:lpstr>
      <vt:lpstr>personnel_nonteach_ht1_detailed_outdiv</vt:lpstr>
      <vt:lpstr>personnel_nonteach_ht1_onleave</vt:lpstr>
      <vt:lpstr>personnel_nonteach_ht1_psipop</vt:lpstr>
      <vt:lpstr>personnel_nonteach_ht1_vacant</vt:lpstr>
      <vt:lpstr>personnel_nonteach_ht2_actual_f</vt:lpstr>
      <vt:lpstr>personnel_nonteach_ht2_actual_m</vt:lpstr>
      <vt:lpstr>personnel_nonteach_ht2_borrowed_f</vt:lpstr>
      <vt:lpstr>personnel_nonteach_ht2_borrowed_m</vt:lpstr>
      <vt:lpstr>personnel_nonteach_ht2_detailed_es</vt:lpstr>
      <vt:lpstr>personnel_nonteach_ht2_detailed_hs</vt:lpstr>
      <vt:lpstr>personnel_nonteach_ht2_detailed_outdiv</vt:lpstr>
      <vt:lpstr>personnel_nonteach_ht2_onleave</vt:lpstr>
      <vt:lpstr>personnel_nonteach_ht2_psipop</vt:lpstr>
      <vt:lpstr>personnel_nonteach_ht2_vacant</vt:lpstr>
      <vt:lpstr>personnel_nonteach_ht3_actual_f</vt:lpstr>
      <vt:lpstr>personnel_nonteach_ht3_actual_m</vt:lpstr>
      <vt:lpstr>personnel_nonteach_ht3_borrowed_f</vt:lpstr>
      <vt:lpstr>personnel_nonteach_ht3_borrowed_m</vt:lpstr>
      <vt:lpstr>personnel_nonteach_ht3_detailed_es</vt:lpstr>
      <vt:lpstr>personnel_nonteach_ht3_detailed_hs</vt:lpstr>
      <vt:lpstr>personnel_nonteach_ht3_detailed_outdiv</vt:lpstr>
      <vt:lpstr>personnel_nonteach_ht3_onleave</vt:lpstr>
      <vt:lpstr>personnel_nonteach_ht3_psipop</vt:lpstr>
      <vt:lpstr>personnel_nonteach_ht3_vacant</vt:lpstr>
      <vt:lpstr>personnel_nonteach_ht4_actual_f</vt:lpstr>
      <vt:lpstr>personnel_nonteach_ht4_actual_m</vt:lpstr>
      <vt:lpstr>personnel_nonteach_ht4_borrowed_f</vt:lpstr>
      <vt:lpstr>personnel_nonteach_ht4_borrowed_m</vt:lpstr>
      <vt:lpstr>personnel_nonteach_ht4_detailed_es</vt:lpstr>
      <vt:lpstr>personnel_nonteach_ht4_detailed_hs</vt:lpstr>
      <vt:lpstr>personnel_nonteach_ht4_detailed_outdiv</vt:lpstr>
      <vt:lpstr>personnel_nonteach_ht4_onleave</vt:lpstr>
      <vt:lpstr>personnel_nonteach_ht4_psipop</vt:lpstr>
      <vt:lpstr>personnel_nonteach_ht4_vacant</vt:lpstr>
      <vt:lpstr>personnel_nonteach_ht5_actual_f</vt:lpstr>
      <vt:lpstr>personnel_nonteach_ht5_actual_m</vt:lpstr>
      <vt:lpstr>personnel_nonteach_ht5_borrowed_f</vt:lpstr>
      <vt:lpstr>personnel_nonteach_ht5_borrowed_m</vt:lpstr>
      <vt:lpstr>personnel_nonteach_ht5_detailed_es</vt:lpstr>
      <vt:lpstr>personnel_nonteach_ht5_detailed_hs</vt:lpstr>
      <vt:lpstr>personnel_nonteach_ht5_detailed_outdiv</vt:lpstr>
      <vt:lpstr>personnel_nonteach_ht5_onleave</vt:lpstr>
      <vt:lpstr>personnel_nonteach_ht5_psipop</vt:lpstr>
      <vt:lpstr>personnel_nonteach_ht5_vacant</vt:lpstr>
      <vt:lpstr>personnel_nonteach_ht6_actual_f</vt:lpstr>
      <vt:lpstr>personnel_nonteach_ht6_actual_m</vt:lpstr>
      <vt:lpstr>personnel_nonteach_ht6_borrowed_f</vt:lpstr>
      <vt:lpstr>personnel_nonteach_ht6_borrowed_m</vt:lpstr>
      <vt:lpstr>personnel_nonteach_ht6_detailed_es</vt:lpstr>
      <vt:lpstr>personnel_nonteach_ht6_detailed_hs</vt:lpstr>
      <vt:lpstr>personnel_nonteach_ht6_detailed_outdiv</vt:lpstr>
      <vt:lpstr>personnel_nonteach_ht6_onleave</vt:lpstr>
      <vt:lpstr>personnel_nonteach_ht6_psipop</vt:lpstr>
      <vt:lpstr>personnel_nonteach_ht6_vacant</vt:lpstr>
      <vt:lpstr>personnel_nonteach_leo1_actual_f</vt:lpstr>
      <vt:lpstr>personnel_nonteach_leo1_actual_m</vt:lpstr>
      <vt:lpstr>personnel_nonteach_leo1_borrowed_f</vt:lpstr>
      <vt:lpstr>personnel_nonteach_leo1_borrowed_m</vt:lpstr>
      <vt:lpstr>personnel_nonteach_leo1_detailed_es</vt:lpstr>
      <vt:lpstr>personnel_nonteach_leo1_detailed_hs</vt:lpstr>
      <vt:lpstr>personnel_nonteach_leo1_detailed_outdiv</vt:lpstr>
      <vt:lpstr>personnel_nonteach_leo1_onleave</vt:lpstr>
      <vt:lpstr>personnel_nonteach_leo1_psipop</vt:lpstr>
      <vt:lpstr>personnel_nonteach_leo1_vacant</vt:lpstr>
      <vt:lpstr>personnel_nonteach_pdo1_actual_f</vt:lpstr>
      <vt:lpstr>personnel_nonteach_pdo1_actual_m</vt:lpstr>
      <vt:lpstr>personnel_nonteach_pdo1_borrowed_f</vt:lpstr>
      <vt:lpstr>personnel_nonteach_pdo1_borrowed_m</vt:lpstr>
      <vt:lpstr>personnel_nonteach_pdo1_detailed_es</vt:lpstr>
      <vt:lpstr>personnel_nonteach_pdo1_detailed_hs</vt:lpstr>
      <vt:lpstr>personnel_nonteach_pdo1_detailed_outdiv</vt:lpstr>
      <vt:lpstr>personnel_nonteach_pdo1_onleave</vt:lpstr>
      <vt:lpstr>personnel_nonteach_pdo1_psipop</vt:lpstr>
      <vt:lpstr>personnel_nonteach_pdo1_vacant</vt:lpstr>
      <vt:lpstr>personnel_nonteach_registrar1_actual_f</vt:lpstr>
      <vt:lpstr>personnel_nonteach_registrar1_actual_m</vt:lpstr>
      <vt:lpstr>personnel_nonteach_registrar1_borrowed_f</vt:lpstr>
      <vt:lpstr>personnel_nonteach_registrar1_borrowed_m</vt:lpstr>
      <vt:lpstr>personnel_nonteach_registrar1_detailed_es</vt:lpstr>
      <vt:lpstr>personnel_nonteach_registrar1_detailed_hs</vt:lpstr>
      <vt:lpstr>personnel_nonteach_registrar1_detailed_outdiv</vt:lpstr>
      <vt:lpstr>personnel_nonteach_registrar1_onleave</vt:lpstr>
      <vt:lpstr>personnel_nonteach_registrar1_psipop</vt:lpstr>
      <vt:lpstr>personnel_nonteach_registrar1_vacant</vt:lpstr>
      <vt:lpstr>personnel_nonteach_sap1_actual_f</vt:lpstr>
      <vt:lpstr>personnel_nonteach_sap1_actual_m</vt:lpstr>
      <vt:lpstr>personnel_nonteach_sap1_borrowed_f</vt:lpstr>
      <vt:lpstr>personnel_nonteach_sap1_borrowed_m</vt:lpstr>
      <vt:lpstr>personnel_nonteach_sap1_detailed_es</vt:lpstr>
      <vt:lpstr>personnel_nonteach_sap1_detailed_hs</vt:lpstr>
      <vt:lpstr>personnel_nonteach_sap1_detailed_outdiv</vt:lpstr>
      <vt:lpstr>personnel_nonteach_sap1_onleave</vt:lpstr>
      <vt:lpstr>personnel_nonteach_sap1_psipop</vt:lpstr>
      <vt:lpstr>personnel_nonteach_sap1_vacant</vt:lpstr>
      <vt:lpstr>personnel_nonteach_sap2_actual_f</vt:lpstr>
      <vt:lpstr>personnel_nonteach_sap2_actual_m</vt:lpstr>
      <vt:lpstr>personnel_nonteach_sap2_borrowed_f</vt:lpstr>
      <vt:lpstr>personnel_nonteach_sap2_borrowed_m</vt:lpstr>
      <vt:lpstr>personnel_nonteach_sap2_detailed_es</vt:lpstr>
      <vt:lpstr>personnel_nonteach_sap2_detailed_hs</vt:lpstr>
      <vt:lpstr>personnel_nonteach_sap2_detailed_outdiv</vt:lpstr>
      <vt:lpstr>personnel_nonteach_sap2_onleave</vt:lpstr>
      <vt:lpstr>personnel_nonteach_sap2_psipop</vt:lpstr>
      <vt:lpstr>personnel_nonteach_sap2_vacant</vt:lpstr>
      <vt:lpstr>personnel_nonteach_sap3_actual_f</vt:lpstr>
      <vt:lpstr>personnel_nonteach_sap3_actual_m</vt:lpstr>
      <vt:lpstr>personnel_nonteach_sap3_borrowed_f</vt:lpstr>
      <vt:lpstr>personnel_nonteach_sap3_borrowed_m</vt:lpstr>
      <vt:lpstr>personnel_nonteach_sap3_detailed_es</vt:lpstr>
      <vt:lpstr>personnel_nonteach_sap3_detailed_hs</vt:lpstr>
      <vt:lpstr>personnel_nonteach_sap3_detailed_outdiv</vt:lpstr>
      <vt:lpstr>personnel_nonteach_sap3_onleave</vt:lpstr>
      <vt:lpstr>personnel_nonteach_sap3_psipop</vt:lpstr>
      <vt:lpstr>personnel_nonteach_sap3_vacant</vt:lpstr>
      <vt:lpstr>personnel_nonteach_schlibr1_actual_f</vt:lpstr>
      <vt:lpstr>personnel_nonteach_schlibr1_actual_m</vt:lpstr>
      <vt:lpstr>personnel_nonteach_schlibr1_borrowed_f</vt:lpstr>
      <vt:lpstr>personnel_nonteach_schlibr1_borrowed_m</vt:lpstr>
      <vt:lpstr>personnel_nonteach_schlibr1_detailed_es</vt:lpstr>
      <vt:lpstr>personnel_nonteach_schlibr1_detailed_hs</vt:lpstr>
      <vt:lpstr>personnel_nonteach_schlibr1_detailed_outdiv</vt:lpstr>
      <vt:lpstr>personnel_nonteach_schlibr1_onleave</vt:lpstr>
      <vt:lpstr>personnel_nonteach_schlibr1_psipop</vt:lpstr>
      <vt:lpstr>personnel_nonteach_schlibr1_vacant</vt:lpstr>
      <vt:lpstr>personnel_nonteach_schlibr2_actual_f</vt:lpstr>
      <vt:lpstr>personnel_nonteach_schlibr2_actual_m</vt:lpstr>
      <vt:lpstr>personnel_nonteach_schlibr2_borrowed_f</vt:lpstr>
      <vt:lpstr>personnel_nonteach_schlibr2_borrowed_m</vt:lpstr>
      <vt:lpstr>personnel_nonteach_schlibr2_detailed_es</vt:lpstr>
      <vt:lpstr>personnel_nonteach_schlibr2_detailed_hs</vt:lpstr>
      <vt:lpstr>personnel_nonteach_schlibr2_detailed_outdiv</vt:lpstr>
      <vt:lpstr>personnel_nonteach_schlibr2_onleave</vt:lpstr>
      <vt:lpstr>personnel_nonteach_schlibr2_psipop</vt:lpstr>
      <vt:lpstr>personnel_nonteach_schlibr2_vacant</vt:lpstr>
      <vt:lpstr>personnel_nonteach_schlibr3_actual_f</vt:lpstr>
      <vt:lpstr>personnel_nonteach_schlibr3_actual_m</vt:lpstr>
      <vt:lpstr>personnel_nonteach_schlibr3_borrowed_f</vt:lpstr>
      <vt:lpstr>personnel_nonteach_schlibr3_borrowed_m</vt:lpstr>
      <vt:lpstr>personnel_nonteach_schlibr3_detailed_es</vt:lpstr>
      <vt:lpstr>personnel_nonteach_schlibr3_detailed_hs</vt:lpstr>
      <vt:lpstr>personnel_nonteach_schlibr3_detailed_outdiv</vt:lpstr>
      <vt:lpstr>personnel_nonteach_schlibr3_onleave</vt:lpstr>
      <vt:lpstr>personnel_nonteach_schlibr3_psipop</vt:lpstr>
      <vt:lpstr>personnel_nonteach_schlibr3_vacant</vt:lpstr>
      <vt:lpstr>personnel_nonteach_schnurse_actual_f</vt:lpstr>
      <vt:lpstr>personnel_nonteach_schnurse_actual_m</vt:lpstr>
      <vt:lpstr>personnel_nonteach_schnurse_borrowed_f</vt:lpstr>
      <vt:lpstr>personnel_nonteach_schnurse_borrowed_m</vt:lpstr>
      <vt:lpstr>personnel_nonteach_schnurse_detailed_es</vt:lpstr>
      <vt:lpstr>personnel_nonteach_schnurse_detailed_hs</vt:lpstr>
      <vt:lpstr>personnel_nonteach_schnurse_detailed_outdiv</vt:lpstr>
      <vt:lpstr>personnel_nonteach_schnurse_onleave</vt:lpstr>
      <vt:lpstr>personnel_nonteach_schnurse_psipop</vt:lpstr>
      <vt:lpstr>personnel_nonteach_schnurse_vacant</vt:lpstr>
      <vt:lpstr>personnel_nonteach_seniorbk_actual_f</vt:lpstr>
      <vt:lpstr>personnel_nonteach_seniorbk_actual_m</vt:lpstr>
      <vt:lpstr>personnel_nonteach_seniorbk_borrowed_f</vt:lpstr>
      <vt:lpstr>personnel_nonteach_seniorbk_borrowed_m</vt:lpstr>
      <vt:lpstr>personnel_nonteach_seniorbk_detailed_es</vt:lpstr>
      <vt:lpstr>personnel_nonteach_seniorbk_detailed_hs</vt:lpstr>
      <vt:lpstr>personnel_nonteach_seniorbk_detailed_outdiv</vt:lpstr>
      <vt:lpstr>personnel_nonteach_seniorbk_onleave</vt:lpstr>
      <vt:lpstr>personnel_nonteach_seniorbk_psipop</vt:lpstr>
      <vt:lpstr>personnel_nonteach_seniorbk_vacant</vt:lpstr>
      <vt:lpstr>personnel_nonteach_sg1_actual_f</vt:lpstr>
      <vt:lpstr>personnel_nonteach_sg1_actual_m</vt:lpstr>
      <vt:lpstr>personnel_nonteach_sg1_borrowed_f</vt:lpstr>
      <vt:lpstr>personnel_nonteach_sg1_borrowed_m</vt:lpstr>
      <vt:lpstr>personnel_nonteach_sg1_detailed_es</vt:lpstr>
      <vt:lpstr>personnel_nonteach_sg1_detailed_hs</vt:lpstr>
      <vt:lpstr>personnel_nonteach_sg1_detailed_outdiv</vt:lpstr>
      <vt:lpstr>personnel_nonteach_sg1_onleave</vt:lpstr>
      <vt:lpstr>personnel_nonteach_sg1_psipop</vt:lpstr>
      <vt:lpstr>personnel_nonteach_sg1_vacant</vt:lpstr>
      <vt:lpstr>personnel_nonteach_sp1_actual_f</vt:lpstr>
      <vt:lpstr>personnel_nonteach_sp1_actual_m</vt:lpstr>
      <vt:lpstr>personnel_nonteach_sp1_borrowed_f</vt:lpstr>
      <vt:lpstr>personnel_nonteach_sp1_borrowed_m</vt:lpstr>
      <vt:lpstr>personnel_nonteach_sp1_detailed_es</vt:lpstr>
      <vt:lpstr>personnel_nonteach_sp1_detailed_hs</vt:lpstr>
      <vt:lpstr>personnel_nonteach_sp1_detailed_outdiv</vt:lpstr>
      <vt:lpstr>personnel_nonteach_sp1_onleave</vt:lpstr>
      <vt:lpstr>personnel_nonteach_sp1_psipop</vt:lpstr>
      <vt:lpstr>personnel_nonteach_sp1_vacant</vt:lpstr>
      <vt:lpstr>personnel_nonteach_sp2_actual_f</vt:lpstr>
      <vt:lpstr>personnel_nonteach_sp2_actual_m</vt:lpstr>
      <vt:lpstr>personnel_nonteach_sp2_borrowed_f</vt:lpstr>
      <vt:lpstr>personnel_nonteach_sp2_borrowed_m</vt:lpstr>
      <vt:lpstr>personnel_nonteach_sp2_detailed_es</vt:lpstr>
      <vt:lpstr>personnel_nonteach_sp2_detailed_hs</vt:lpstr>
      <vt:lpstr>personnel_nonteach_sp2_detailed_outdiv</vt:lpstr>
      <vt:lpstr>personnel_nonteach_sp2_onleave</vt:lpstr>
      <vt:lpstr>personnel_nonteach_sp2_psipop</vt:lpstr>
      <vt:lpstr>personnel_nonteach_sp2_vacant</vt:lpstr>
      <vt:lpstr>personnel_nonteach_sp3_actual_f</vt:lpstr>
      <vt:lpstr>personnel_nonteach_sp3_actual_m</vt:lpstr>
      <vt:lpstr>personnel_nonteach_sp3_borrowed_f</vt:lpstr>
      <vt:lpstr>personnel_nonteach_sp3_borrowed_m</vt:lpstr>
      <vt:lpstr>personnel_nonteach_sp3_detailed_es</vt:lpstr>
      <vt:lpstr>personnel_nonteach_sp3_detailed_hs</vt:lpstr>
      <vt:lpstr>personnel_nonteach_sp3_detailed_outdiv</vt:lpstr>
      <vt:lpstr>personnel_nonteach_sp3_onleave</vt:lpstr>
      <vt:lpstr>personnel_nonteach_sp3_psipop</vt:lpstr>
      <vt:lpstr>personnel_nonteach_sp3_vacant</vt:lpstr>
      <vt:lpstr>personnel_nonteach_sp4_actual_f</vt:lpstr>
      <vt:lpstr>personnel_nonteach_sp4_actual_m</vt:lpstr>
      <vt:lpstr>personnel_nonteach_sp4_borrowed_f</vt:lpstr>
      <vt:lpstr>personnel_nonteach_sp4_borrowed_m</vt:lpstr>
      <vt:lpstr>personnel_nonteach_sp4_detailed_es</vt:lpstr>
      <vt:lpstr>personnel_nonteach_sp4_detailed_hs</vt:lpstr>
      <vt:lpstr>personnel_nonteach_sp4_detailed_outdiv</vt:lpstr>
      <vt:lpstr>personnel_nonteach_sp4_onleave</vt:lpstr>
      <vt:lpstr>personnel_nonteach_sp4_psipop</vt:lpstr>
      <vt:lpstr>personnel_nonteach_sp4_vacant</vt:lpstr>
      <vt:lpstr>personnel_nonteach_supplofcr1_actual_f</vt:lpstr>
      <vt:lpstr>personnel_nonteach_supplofcr1_actual_m</vt:lpstr>
      <vt:lpstr>personnel_nonteach_supplofcr1_borrowed_f</vt:lpstr>
      <vt:lpstr>personnel_nonteach_supplofcr1_borrowed_m</vt:lpstr>
      <vt:lpstr>personnel_nonteach_supplofcr1_detailed_es</vt:lpstr>
      <vt:lpstr>personnel_nonteach_supplofcr1_detailed_hs</vt:lpstr>
      <vt:lpstr>personnel_nonteach_supplofcr1_detailed_outdiv</vt:lpstr>
      <vt:lpstr>personnel_nonteach_supplofcr1_onleave</vt:lpstr>
      <vt:lpstr>personnel_nonteach_supplofcr1_psipop</vt:lpstr>
      <vt:lpstr>personnel_nonteach_supplofcr1_vacant</vt:lpstr>
      <vt:lpstr>personnel_nonteach_uw1_actual_f</vt:lpstr>
      <vt:lpstr>personnel_nonteach_uw1_actual_m</vt:lpstr>
      <vt:lpstr>personnel_nonteach_uw1_borrowed_f</vt:lpstr>
      <vt:lpstr>personnel_nonteach_uw1_borrowed_m</vt:lpstr>
      <vt:lpstr>personnel_nonteach_uw1_detailed_es</vt:lpstr>
      <vt:lpstr>personnel_nonteach_uw1_detailed_hs</vt:lpstr>
      <vt:lpstr>personnel_nonteach_uw1_detailed_outdiv</vt:lpstr>
      <vt:lpstr>personnel_nonteach_uw1_onleave</vt:lpstr>
      <vt:lpstr>personnel_nonteach_uw1_psipop</vt:lpstr>
      <vt:lpstr>personnel_nonteach_uw1_vacant</vt:lpstr>
      <vt:lpstr>personnel_teach_mt1_actual_f</vt:lpstr>
      <vt:lpstr>personnel_teach_mt1_actual_m</vt:lpstr>
      <vt:lpstr>personnel_teach_mt1_borrowed_f</vt:lpstr>
      <vt:lpstr>personnel_teach_mt1_borrowed_m</vt:lpstr>
      <vt:lpstr>personnel_teach_mt1_contrac_full</vt:lpstr>
      <vt:lpstr>personnel_teach_mt1_contrac_part</vt:lpstr>
      <vt:lpstr>personnel_teach_mt1_detailed_es</vt:lpstr>
      <vt:lpstr>personnel_teach_mt1_detailed_hs</vt:lpstr>
      <vt:lpstr>personnel_teach_mt1_detailed_outdiv</vt:lpstr>
      <vt:lpstr>personnel_teach_mt1_onleave</vt:lpstr>
      <vt:lpstr>personnel_teach_mt1_permanent</vt:lpstr>
      <vt:lpstr>personnel_teach_mt1_provisional</vt:lpstr>
      <vt:lpstr>personnel_teach_mt1_psipop</vt:lpstr>
      <vt:lpstr>personnel_teach_mt1_psipop_latest</vt:lpstr>
      <vt:lpstr>personnel_teach_mt1_vacant</vt:lpstr>
      <vt:lpstr>personnel_teach_mt2_actual_f</vt:lpstr>
      <vt:lpstr>personnel_teach_mt2_actual_m</vt:lpstr>
      <vt:lpstr>personnel_teach_mt2_borrowed_f</vt:lpstr>
      <vt:lpstr>personnel_teach_mt2_borrowed_m</vt:lpstr>
      <vt:lpstr>personnel_teach_mt2_contrac_full</vt:lpstr>
      <vt:lpstr>personnel_teach_mt2_contrac_part</vt:lpstr>
      <vt:lpstr>personnel_teach_mt2_detailed_es</vt:lpstr>
      <vt:lpstr>personnel_teach_mt2_detailed_hs</vt:lpstr>
      <vt:lpstr>personnel_teach_mt2_detailed_outdiv</vt:lpstr>
      <vt:lpstr>personnel_teach_mt2_onleave</vt:lpstr>
      <vt:lpstr>personnel_teach_mt2_permanent</vt:lpstr>
      <vt:lpstr>personnel_teach_mt2_provisional</vt:lpstr>
      <vt:lpstr>personnel_teach_mt2_psipop</vt:lpstr>
      <vt:lpstr>personnel_teach_mt2_psipop_latest</vt:lpstr>
      <vt:lpstr>personnel_teach_mt2_vacant</vt:lpstr>
      <vt:lpstr>personnel_teach_mt3_actual_f</vt:lpstr>
      <vt:lpstr>personnel_teach_mt3_actual_m</vt:lpstr>
      <vt:lpstr>personnel_teach_mt3_borrowed_f</vt:lpstr>
      <vt:lpstr>personnel_teach_mt3_borrowed_m</vt:lpstr>
      <vt:lpstr>personnel_teach_mt3_contrac_full</vt:lpstr>
      <vt:lpstr>personnel_teach_mt3_contrac_part</vt:lpstr>
      <vt:lpstr>personnel_teach_mt3_detailed_es</vt:lpstr>
      <vt:lpstr>personnel_teach_mt3_detailed_hs</vt:lpstr>
      <vt:lpstr>personnel_teach_mt3_detailed_outdiv</vt:lpstr>
      <vt:lpstr>personnel_teach_mt3_onleave</vt:lpstr>
      <vt:lpstr>personnel_teach_mt3_permanent</vt:lpstr>
      <vt:lpstr>personnel_teach_mt3_provisional</vt:lpstr>
      <vt:lpstr>personnel_teach_mt3_psipop</vt:lpstr>
      <vt:lpstr>personnel_teach_mt3_psipop_latest</vt:lpstr>
      <vt:lpstr>personnel_teach_mt3_vacant</vt:lpstr>
      <vt:lpstr>personnel_teach_mt4_actual_f</vt:lpstr>
      <vt:lpstr>personnel_teach_mt4_actual_m</vt:lpstr>
      <vt:lpstr>personnel_teach_mt4_borrowed_f</vt:lpstr>
      <vt:lpstr>personnel_teach_mt4_borrowed_m</vt:lpstr>
      <vt:lpstr>personnel_teach_mt4_contrac_full</vt:lpstr>
      <vt:lpstr>personnel_teach_mt4_contrac_part</vt:lpstr>
      <vt:lpstr>personnel_teach_mt4_detailed_es</vt:lpstr>
      <vt:lpstr>personnel_teach_mt4_detailed_hs</vt:lpstr>
      <vt:lpstr>personnel_teach_mt4_detailed_outdiv</vt:lpstr>
      <vt:lpstr>personnel_teach_mt4_onleave</vt:lpstr>
      <vt:lpstr>personnel_teach_mt4_permanent</vt:lpstr>
      <vt:lpstr>personnel_teach_mt4_provisional</vt:lpstr>
      <vt:lpstr>personnel_teach_mt4_psipop</vt:lpstr>
      <vt:lpstr>personnel_teach_mt4_psipop_latest</vt:lpstr>
      <vt:lpstr>personnel_teach_mt4_vacant</vt:lpstr>
      <vt:lpstr>personnel_teach_sst1_actual_f</vt:lpstr>
      <vt:lpstr>personnel_teach_sst1_actual_m</vt:lpstr>
      <vt:lpstr>personnel_teach_sst1_borrowed_f</vt:lpstr>
      <vt:lpstr>personnel_teach_sst1_borrowed_m</vt:lpstr>
      <vt:lpstr>personnel_teach_sst1_contrac_full</vt:lpstr>
      <vt:lpstr>personnel_teach_sst1_contrac_part</vt:lpstr>
      <vt:lpstr>personnel_teach_sst1_detailed_es</vt:lpstr>
      <vt:lpstr>personnel_teach_sst1_detailed_hs</vt:lpstr>
      <vt:lpstr>personnel_teach_sst1_detailed_outdiv</vt:lpstr>
      <vt:lpstr>personnel_teach_sst1_onleave</vt:lpstr>
      <vt:lpstr>personnel_teach_sst1_permanent</vt:lpstr>
      <vt:lpstr>personnel_teach_sst1_provisional</vt:lpstr>
      <vt:lpstr>personnel_teach_sst1_psipop</vt:lpstr>
      <vt:lpstr>personnel_teach_sst1_psipop_latest</vt:lpstr>
      <vt:lpstr>personnel_teach_sst1_vacant</vt:lpstr>
      <vt:lpstr>personnel_teach_t1_actual_f</vt:lpstr>
      <vt:lpstr>personnel_teach_t1_actual_m</vt:lpstr>
      <vt:lpstr>personnel_teach_t1_borrowed_f</vt:lpstr>
      <vt:lpstr>personnel_teach_t1_borrowed_m</vt:lpstr>
      <vt:lpstr>personnel_teach_t1_contrac_full</vt:lpstr>
      <vt:lpstr>personnel_teach_t1_contrac_part</vt:lpstr>
      <vt:lpstr>personnel_teach_t1_detailed_es</vt:lpstr>
      <vt:lpstr>personnel_teach_t1_detailed_hs</vt:lpstr>
      <vt:lpstr>personnel_teach_t1_detailed_outdiv</vt:lpstr>
      <vt:lpstr>personnel_teach_t1_onleave</vt:lpstr>
      <vt:lpstr>personnel_teach_t1_permanent</vt:lpstr>
      <vt:lpstr>personnel_teach_t1_provisional</vt:lpstr>
      <vt:lpstr>personnel_teach_t1_psipop</vt:lpstr>
      <vt:lpstr>personnel_teach_t1_psipop_latest</vt:lpstr>
      <vt:lpstr>personnel_teach_t1_vacant</vt:lpstr>
      <vt:lpstr>personnel_teach_t2_actual_f</vt:lpstr>
      <vt:lpstr>personnel_teach_t2_actual_m</vt:lpstr>
      <vt:lpstr>personnel_teach_t2_borrowed_f</vt:lpstr>
      <vt:lpstr>personnel_teach_t2_borrowed_m</vt:lpstr>
      <vt:lpstr>personnel_teach_t2_contrac_full</vt:lpstr>
      <vt:lpstr>personnel_teach_t2_contrac_part</vt:lpstr>
      <vt:lpstr>personnel_teach_t2_detailed_es</vt:lpstr>
      <vt:lpstr>personnel_teach_t2_detailed_hs</vt:lpstr>
      <vt:lpstr>personnel_teach_t2_detailed_outdiv</vt:lpstr>
      <vt:lpstr>personnel_teach_t2_onleave</vt:lpstr>
      <vt:lpstr>personnel_teach_t2_permanent</vt:lpstr>
      <vt:lpstr>personnel_teach_t2_provisional</vt:lpstr>
      <vt:lpstr>personnel_teach_t2_psipop</vt:lpstr>
      <vt:lpstr>personnel_teach_t2_psipop_latest</vt:lpstr>
      <vt:lpstr>personnel_teach_t2_vacant</vt:lpstr>
      <vt:lpstr>personnel_teach_t3_actual_f</vt:lpstr>
      <vt:lpstr>personnel_teach_t3_actual_m</vt:lpstr>
      <vt:lpstr>personnel_teach_t3_borrowed_f</vt:lpstr>
      <vt:lpstr>personnel_teach_t3_borrowed_m</vt:lpstr>
      <vt:lpstr>personnel_teach_t3_contrac_full</vt:lpstr>
      <vt:lpstr>personnel_teach_t3_contrac_part</vt:lpstr>
      <vt:lpstr>personnel_teach_t3_detailed_es</vt:lpstr>
      <vt:lpstr>personnel_teach_t3_detailed_hs</vt:lpstr>
      <vt:lpstr>personnel_teach_t3_detailed_outdiv</vt:lpstr>
      <vt:lpstr>personnel_teach_t3_onleave</vt:lpstr>
      <vt:lpstr>personnel_teach_t3_permanent</vt:lpstr>
      <vt:lpstr>personnel_teach_t3_provisional</vt:lpstr>
      <vt:lpstr>personnel_teach_t3_psipop</vt:lpstr>
      <vt:lpstr>personnel_teach_t3_psipop_latest</vt:lpstr>
      <vt:lpstr>personnel_teach_t3_vacant</vt:lpstr>
      <vt:lpstr>phyfacoor_doengr_name</vt:lpstr>
      <vt:lpstr>phyfacoor_doengr_pos</vt:lpstr>
      <vt:lpstr>'Box 13'!Print_Area</vt:lpstr>
      <vt:lpstr>'Box 14'!Print_Area</vt:lpstr>
      <vt:lpstr>'Box 16'!Print_Area</vt:lpstr>
      <vt:lpstr>'Box 26'!Print_Area</vt:lpstr>
      <vt:lpstr>'Box 28 Part 1'!Print_Area</vt:lpstr>
      <vt:lpstr>'Box 28 Part 5'!Print_Area</vt:lpstr>
      <vt:lpstr>'Box 28 Parts 2-4'!Print_Area</vt:lpstr>
      <vt:lpstr>'Box 29 Part 1'!Print_Area</vt:lpstr>
      <vt:lpstr>'Box 29 Part 2'!Print_Area</vt:lpstr>
      <vt:lpstr>'Box 30 Part 1'!Print_Area</vt:lpstr>
      <vt:lpstr>'Box 30 Part 2'!Print_Area</vt:lpstr>
      <vt:lpstr>'Box 30 Part 3a'!Print_Area</vt:lpstr>
      <vt:lpstr>'Box 30 Part 3b'!Print_Area</vt:lpstr>
      <vt:lpstr>'Box 30 Part 3b cont.'!Print_Area</vt:lpstr>
      <vt:lpstr>'Box 31 Part 3a'!Print_Area</vt:lpstr>
      <vt:lpstr>'Box 31 Part 3b'!Print_Area</vt:lpstr>
      <vt:lpstr>'Box 31 Part 3c'!Print_Area</vt:lpstr>
      <vt:lpstr>'Box 31 Part 3d'!Print_Area</vt:lpstr>
      <vt:lpstr>'Box 31 Parts 1-2'!Print_Area</vt:lpstr>
      <vt:lpstr>'Box 32'!Print_Area</vt:lpstr>
      <vt:lpstr>'Box 7-Table 24'!Print_Area</vt:lpstr>
      <vt:lpstr>'Box 9'!Print_Area</vt:lpstr>
      <vt:lpstr>'Box 9 cont.- Box 10'!Print_Area</vt:lpstr>
      <vt:lpstr>'Boxes 17-18'!Print_Area</vt:lpstr>
      <vt:lpstr>'Boxes 19-20'!Print_Area</vt:lpstr>
      <vt:lpstr>'Boxes 21-23'!Print_Area</vt:lpstr>
      <vt:lpstr>'Boxes 24-25'!Print_Area</vt:lpstr>
      <vt:lpstr>'Boxes 3-5'!Print_Area</vt:lpstr>
      <vt:lpstr>'Table 21-Box 6'!Print_Area</vt:lpstr>
      <vt:lpstr>'Table 25'!Print_Area</vt:lpstr>
      <vt:lpstr>'Table 29-Box 8'!Print_Area</vt:lpstr>
      <vt:lpstr>'Table 35'!Print_Area</vt:lpstr>
      <vt:lpstr>'Table 36'!Print_Area</vt:lpstr>
      <vt:lpstr>'Table 36 cont.'!Print_Area</vt:lpstr>
      <vt:lpstr>'Table 37'!Print_Area</vt:lpstr>
      <vt:lpstr>'Table 37 cont.- Table 38'!Print_Area</vt:lpstr>
      <vt:lpstr>'Tables 13-15'!Print_Area</vt:lpstr>
      <vt:lpstr>'Tables 16-19'!Print_Area</vt:lpstr>
      <vt:lpstr>'Tables 30 A-B'!Print_Area</vt:lpstr>
      <vt:lpstr>'Tables 30 C &amp; D-Box 11'!Print_Area</vt:lpstr>
      <vt:lpstr>'Tables 32-34'!Print_Area</vt:lpstr>
      <vt:lpstr>resilince_dev_mphss_train_manual</vt:lpstr>
      <vt:lpstr>resilince_num_ccam_arts_ip_f</vt:lpstr>
      <vt:lpstr>resilince_num_ccam_arts_ip_m</vt:lpstr>
      <vt:lpstr>resilince_num_ccam_arts_l_f</vt:lpstr>
      <vt:lpstr>resilince_num_ccam_arts_l_m</vt:lpstr>
      <vt:lpstr>resilince_num_ccam_arts_lwd_f</vt:lpstr>
      <vt:lpstr>resilince_num_ccam_arts_lwd_m</vt:lpstr>
      <vt:lpstr>resilince_num_ccam_arts_muslim_f</vt:lpstr>
      <vt:lpstr>resilince_num_ccam_arts_muslim_m</vt:lpstr>
      <vt:lpstr>resilince_num_ccam_arts_nonteach_per_f</vt:lpstr>
      <vt:lpstr>resilince_num_ccam_arts_nonteach_per_m</vt:lpstr>
      <vt:lpstr>resilince_num_ccam_arts_teach_per_f</vt:lpstr>
      <vt:lpstr>resilince_num_ccam_arts_teach_per_m</vt:lpstr>
      <vt:lpstr>resilince_num_ccam_climate_action_ip_f</vt:lpstr>
      <vt:lpstr>resilince_num_ccam_climate_action_ip_m</vt:lpstr>
      <vt:lpstr>resilince_num_ccam_climate_action_l_f</vt:lpstr>
      <vt:lpstr>resilince_num_ccam_climate_action_l_m</vt:lpstr>
      <vt:lpstr>resilince_num_ccam_climate_action_lwd_f</vt:lpstr>
      <vt:lpstr>resilince_num_ccam_climate_action_lwd_m</vt:lpstr>
      <vt:lpstr>resilince_num_ccam_climate_action_muslim_f</vt:lpstr>
      <vt:lpstr>resilince_num_ccam_climate_action_muslim_m</vt:lpstr>
      <vt:lpstr>resilince_num_ccam_climate_action_nonteach_per_f</vt:lpstr>
      <vt:lpstr>resilince_num_ccam_climate_action_nonteach_per_m</vt:lpstr>
      <vt:lpstr>resilince_num_ccam_climate_action_teach_per_f</vt:lpstr>
      <vt:lpstr>resilince_num_ccam_climate_action_teach_per_m</vt:lpstr>
      <vt:lpstr>resilince_num_ccam_climate_change_ip_f</vt:lpstr>
      <vt:lpstr>resilince_num_ccam_climate_change_ip_m</vt:lpstr>
      <vt:lpstr>resilince_num_ccam_climate_change_l_f</vt:lpstr>
      <vt:lpstr>resilince_num_ccam_climate_change_l_m</vt:lpstr>
      <vt:lpstr>resilince_num_ccam_climate_change_lwd_f</vt:lpstr>
      <vt:lpstr>resilince_num_ccam_climate_change_lwd_m</vt:lpstr>
      <vt:lpstr>resilince_num_ccam_climate_change_muslim_f</vt:lpstr>
      <vt:lpstr>resilince_num_ccam_climate_change_muslim_m</vt:lpstr>
      <vt:lpstr>resilince_num_ccam_climate_change_nonteach_per_f</vt:lpstr>
      <vt:lpstr>resilince_num_ccam_climate_change_nonteach_per_m</vt:lpstr>
      <vt:lpstr>resilince_num_ccam_climate_change_teach_per_f</vt:lpstr>
      <vt:lpstr>resilince_num_ccam_climate_change_teach_per_m</vt:lpstr>
      <vt:lpstr>resilince_num_ccam_climate_maker_nonteach_per_f</vt:lpstr>
      <vt:lpstr>resilince_num_ccam_climate_maker_nonteach_per_m</vt:lpstr>
      <vt:lpstr>resilince_num_ccam_climate_maker_teach_per_f</vt:lpstr>
      <vt:lpstr>resilince_num_ccam_climate_maker_teach_per_m</vt:lpstr>
      <vt:lpstr>resilince_num_ccam_commsplevent_ip_f</vt:lpstr>
      <vt:lpstr>resilince_num_ccam_commsplevent_ip_m</vt:lpstr>
      <vt:lpstr>resilince_num_ccam_commsplevent_l_f</vt:lpstr>
      <vt:lpstr>resilince_num_ccam_commsplevent_l_m</vt:lpstr>
      <vt:lpstr>resilince_num_ccam_commsplevent_lwd_f</vt:lpstr>
      <vt:lpstr>resilince_num_ccam_commsplevent_lwd_m</vt:lpstr>
      <vt:lpstr>resilince_num_ccam_commsplevent_muslim_f</vt:lpstr>
      <vt:lpstr>resilince_num_ccam_commsplevent_muslim_m</vt:lpstr>
      <vt:lpstr>resilince_num_ccam_commsplevent_nonteach_per_f</vt:lpstr>
      <vt:lpstr>resilince_num_ccam_commsplevent_nonteach_per_m</vt:lpstr>
      <vt:lpstr>resilince_num_ccam_commsplevent_teach_per_f</vt:lpstr>
      <vt:lpstr>resilince_num_ccam_commsplevent_teach_per_m</vt:lpstr>
      <vt:lpstr>resilince_num_ccam_enviro_journal_ip_f</vt:lpstr>
      <vt:lpstr>resilince_num_ccam_enviro_journal_ip_m</vt:lpstr>
      <vt:lpstr>resilince_num_ccam_enviro_journal_l_f</vt:lpstr>
      <vt:lpstr>resilince_num_ccam_enviro_journal_l_m</vt:lpstr>
      <vt:lpstr>resilince_num_ccam_enviro_journal_lwd_f</vt:lpstr>
      <vt:lpstr>resilince_num_ccam_enviro_journal_lwd_m</vt:lpstr>
      <vt:lpstr>resilince_num_ccam_enviro_journal_muslim_f</vt:lpstr>
      <vt:lpstr>resilince_num_ccam_enviro_journal_muslim_m</vt:lpstr>
      <vt:lpstr>resilince_num_ccam_enviro_journal_nonteach_per_f</vt:lpstr>
      <vt:lpstr>resilince_num_ccam_enviro_journal_nonteach_per_m</vt:lpstr>
      <vt:lpstr>resilince_num_ccam_enviro_journal_teach_per_f</vt:lpstr>
      <vt:lpstr>resilince_num_ccam_enviro_journal_teach_per_m</vt:lpstr>
      <vt:lpstr>resilince_num_ccam_gulayan_ip_f</vt:lpstr>
      <vt:lpstr>resilince_num_ccam_gulayan_ip_m</vt:lpstr>
      <vt:lpstr>resilince_num_ccam_gulayan_l_f</vt:lpstr>
      <vt:lpstr>resilince_num_ccam_gulayan_l_m</vt:lpstr>
      <vt:lpstr>resilince_num_ccam_gulayan_lwd_f</vt:lpstr>
      <vt:lpstr>resilince_num_ccam_gulayan_lwd_m</vt:lpstr>
      <vt:lpstr>resilince_num_ccam_gulayan_muslim_f</vt:lpstr>
      <vt:lpstr>resilince_num_ccam_gulayan_muslim_m</vt:lpstr>
      <vt:lpstr>resilince_num_ccam_gulayan_nonteach_per_f</vt:lpstr>
      <vt:lpstr>resilince_num_ccam_gulayan_nonteach_per_m</vt:lpstr>
      <vt:lpstr>resilince_num_ccam_gulayan_teach_per_f</vt:lpstr>
      <vt:lpstr>resilince_num_ccam_gulayan_teach_per_m</vt:lpstr>
      <vt:lpstr>resilince_num_ccam_kalikhasan_ip_f</vt:lpstr>
      <vt:lpstr>resilince_num_ccam_kalikhasan_ip_m</vt:lpstr>
      <vt:lpstr>resilince_num_ccam_kalikhasan_l_f</vt:lpstr>
      <vt:lpstr>resilince_num_ccam_kalikhasan_l_m</vt:lpstr>
      <vt:lpstr>resilince_num_ccam_kalikhasan_lwd_f</vt:lpstr>
      <vt:lpstr>resilince_num_ccam_kalikhasan_lwd_m</vt:lpstr>
      <vt:lpstr>resilince_num_ccam_kalikhasan_muslim_f</vt:lpstr>
      <vt:lpstr>resilince_num_ccam_kalikhasan_muslim_m</vt:lpstr>
      <vt:lpstr>resilince_num_ccam_kalikhasan_nonteach_per_f</vt:lpstr>
      <vt:lpstr>resilince_num_ccam_kalikhasan_nonteach_per_m</vt:lpstr>
      <vt:lpstr>resilince_num_ccam_kalikhasan_teach_per_f</vt:lpstr>
      <vt:lpstr>resilince_num_ccam_kalikhasan_teach_per_m</vt:lpstr>
      <vt:lpstr>resilince_num_ccam_l_others_secify</vt:lpstr>
      <vt:lpstr>resilince_num_ccam_mat_recover_nonteach_per_f</vt:lpstr>
      <vt:lpstr>resilince_num_ccam_mat_recover_nonteach_per_m</vt:lpstr>
      <vt:lpstr>resilince_num_ccam_mat_recover_teach_per_f</vt:lpstr>
      <vt:lpstr>resilince_num_ccam_mat_recover_teach_per_m</vt:lpstr>
      <vt:lpstr>resilince_num_ccam_others_ip_f</vt:lpstr>
      <vt:lpstr>resilince_num_ccam_others_ip_m</vt:lpstr>
      <vt:lpstr>resilince_num_ccam_others_l_f</vt:lpstr>
      <vt:lpstr>resilince_num_ccam_others_l_m</vt:lpstr>
      <vt:lpstr>resilince_num_ccam_others_lwd_f</vt:lpstr>
      <vt:lpstr>resilince_num_ccam_others_lwd_m</vt:lpstr>
      <vt:lpstr>resilince_num_ccam_others_muslim_f</vt:lpstr>
      <vt:lpstr>resilince_num_ccam_others_muslim_m</vt:lpstr>
      <vt:lpstr>resilince_num_ccam_others_nonteach_per_f</vt:lpstr>
      <vt:lpstr>resilince_num_ccam_others_nonteach_per_m</vt:lpstr>
      <vt:lpstr>resilince_num_ccam_others_specify</vt:lpstr>
      <vt:lpstr>resilince_num_ccam_others_teach_per_f</vt:lpstr>
      <vt:lpstr>resilince_num_ccam_others_teach_per_m</vt:lpstr>
      <vt:lpstr>resilince_num_ccam_recycling_ip_f</vt:lpstr>
      <vt:lpstr>resilince_num_ccam_recycling_ip_m</vt:lpstr>
      <vt:lpstr>resilince_num_ccam_recycling_l_f</vt:lpstr>
      <vt:lpstr>resilince_num_ccam_recycling_l_m</vt:lpstr>
      <vt:lpstr>resilince_num_ccam_recycling_lwd_f</vt:lpstr>
      <vt:lpstr>resilince_num_ccam_recycling_lwd_m</vt:lpstr>
      <vt:lpstr>resilince_num_ccam_recycling_muslim_f</vt:lpstr>
      <vt:lpstr>resilince_num_ccam_recycling_muslim_m</vt:lpstr>
      <vt:lpstr>resilince_num_ccam_recycling_nonteach_per_f</vt:lpstr>
      <vt:lpstr>resilince_num_ccam_recycling_nonteach_per_m</vt:lpstr>
      <vt:lpstr>resilince_num_ccam_recycling_teach_per_f</vt:lpstr>
      <vt:lpstr>resilince_num_ccam_recycling_teach_per_m</vt:lpstr>
      <vt:lpstr>resilince_num_ccam_solidwaste_ip_f</vt:lpstr>
      <vt:lpstr>resilince_num_ccam_solidwaste_ip_m</vt:lpstr>
      <vt:lpstr>resilince_num_ccam_solidwaste_l_f</vt:lpstr>
      <vt:lpstr>resilince_num_ccam_solidwaste_l_m</vt:lpstr>
      <vt:lpstr>resilince_num_ccam_solidwaste_lwd_f</vt:lpstr>
      <vt:lpstr>resilince_num_ccam_solidwaste_lwd_m</vt:lpstr>
      <vt:lpstr>resilince_num_ccam_solidwaste_muslim_f</vt:lpstr>
      <vt:lpstr>resilince_num_ccam_solidwaste_muslim_m</vt:lpstr>
      <vt:lpstr>resilince_num_ccam_solidwaste_nonteach_per_f</vt:lpstr>
      <vt:lpstr>resilince_num_ccam_solidwaste_nonteach_per_m</vt:lpstr>
      <vt:lpstr>resilince_num_ccam_solidwaste_teach_per_f</vt:lpstr>
      <vt:lpstr>resilince_num_ccam_solidwaste_teach_per_m</vt:lpstr>
      <vt:lpstr>resilince_num_ccam_train</vt:lpstr>
      <vt:lpstr>resilince_num_ccam_treeplanting_ip_f</vt:lpstr>
      <vt:lpstr>resilince_num_ccam_treeplanting_ip_m</vt:lpstr>
      <vt:lpstr>resilince_num_ccam_treeplanting_l_f</vt:lpstr>
      <vt:lpstr>resilince_num_ccam_treeplanting_l_m</vt:lpstr>
      <vt:lpstr>resilince_num_ccam_treeplanting_lwd_f</vt:lpstr>
      <vt:lpstr>resilince_num_ccam_treeplanting_lwd_m</vt:lpstr>
      <vt:lpstr>resilince_num_ccam_treeplanting_muslim_f</vt:lpstr>
      <vt:lpstr>resilince_num_ccam_treeplanting_muslim_m</vt:lpstr>
      <vt:lpstr>resilince_num_ccam_treeplanting_nonteach_per_f</vt:lpstr>
      <vt:lpstr>resilince_num_ccam_treeplanting_nonteach_per_m</vt:lpstr>
      <vt:lpstr>resilince_num_ccam_treeplanting_teach_per_f</vt:lpstr>
      <vt:lpstr>resilince_num_ccam_treeplanting_teach_per_m</vt:lpstr>
      <vt:lpstr>resilince_num_ccam_youthstrike_ip_f</vt:lpstr>
      <vt:lpstr>resilince_num_ccam_youthstrike_ip_m</vt:lpstr>
      <vt:lpstr>resilince_num_ccam_youthstrike_l_f</vt:lpstr>
      <vt:lpstr>resilince_num_ccam_youthstrike_l_m</vt:lpstr>
      <vt:lpstr>resilince_num_ccam_youthstrike_lwd_f</vt:lpstr>
      <vt:lpstr>resilince_num_ccam_youthstrike_lwd_m</vt:lpstr>
      <vt:lpstr>resilince_num_ccam_youthstrike_muslim_f</vt:lpstr>
      <vt:lpstr>resilince_num_ccam_youthstrike_muslim_m</vt:lpstr>
      <vt:lpstr>resilince_num_ccam_youthstrike_nonteach_per_f</vt:lpstr>
      <vt:lpstr>resilince_num_ccam_youthstrike_nonteach_per_m</vt:lpstr>
      <vt:lpstr>resilince_num_ccam_youthstrike_teach_per_f</vt:lpstr>
      <vt:lpstr>resilince_num_ccam_youthstrike_teach_per_m</vt:lpstr>
      <vt:lpstr>resilince_num_co_led_ip_f</vt:lpstr>
      <vt:lpstr>resilince_num_co_led_ip_m</vt:lpstr>
      <vt:lpstr>resilince_num_co_led_l_f</vt:lpstr>
      <vt:lpstr>resilince_num_co_led_l_m</vt:lpstr>
      <vt:lpstr>resilince_num_co_led_lwd_f</vt:lpstr>
      <vt:lpstr>resilince_num_co_led_lwd_m</vt:lpstr>
      <vt:lpstr>resilince_num_co_led_muslim_f</vt:lpstr>
      <vt:lpstr>resilince_num_co_led_muslim_m</vt:lpstr>
      <vt:lpstr>resilince_num_comp_traincourse_ip_f</vt:lpstr>
      <vt:lpstr>resilince_num_comp_traincourse_ip_m</vt:lpstr>
      <vt:lpstr>resilince_num_comp_traincourse_l_f</vt:lpstr>
      <vt:lpstr>resilince_num_comp_traincourse_l_m</vt:lpstr>
      <vt:lpstr>resilince_num_comp_traincourse_lwd_f</vt:lpstr>
      <vt:lpstr>resilince_num_comp_traincourse_lwd_m</vt:lpstr>
      <vt:lpstr>resilince_num_comp_traincourse_muslim_f</vt:lpstr>
      <vt:lpstr>resilince_num_comp_traincourse_muslim_m</vt:lpstr>
      <vt:lpstr>resilince_num_compl_train_course_nonteach_f</vt:lpstr>
      <vt:lpstr>resilince_num_compl_train_course_nonteach_m</vt:lpstr>
      <vt:lpstr>resilince_num_compl_train_course_teach_f</vt:lpstr>
      <vt:lpstr>resilince_num_compl_train_course_teach_m</vt:lpstr>
      <vt:lpstr>resilince_num_dev_learning_resources</vt:lpstr>
      <vt:lpstr>resilince_num_drrm_basic_ip_f</vt:lpstr>
      <vt:lpstr>resilince_num_drrm_basic_ip_m</vt:lpstr>
      <vt:lpstr>resilince_num_drrm_basic_l_f</vt:lpstr>
      <vt:lpstr>resilince_num_drrm_basic_l_m</vt:lpstr>
      <vt:lpstr>resilince_num_drrm_basic_lwd_f</vt:lpstr>
      <vt:lpstr>resilince_num_drrm_basic_lwd_m</vt:lpstr>
      <vt:lpstr>resilince_num_drrm_basic_muslim_f</vt:lpstr>
      <vt:lpstr>resilince_num_drrm_basic_muslim_m</vt:lpstr>
      <vt:lpstr>resilince_num_drrm_basic_nonteach_per_f</vt:lpstr>
      <vt:lpstr>resilince_num_drrm_basic_nonteach_per_m</vt:lpstr>
      <vt:lpstr>resilince_num_drrm_basic_teach_per_f</vt:lpstr>
      <vt:lpstr>resilince_num_drrm_basic_teach_per_m</vt:lpstr>
      <vt:lpstr>resilince_num_drrm_camp_ip_f</vt:lpstr>
      <vt:lpstr>resilince_num_drrm_camp_ip_m</vt:lpstr>
      <vt:lpstr>resilince_num_drrm_camp_journal_ip_f</vt:lpstr>
      <vt:lpstr>resilince_num_drrm_camp_journal_ip_m</vt:lpstr>
      <vt:lpstr>resilince_num_drrm_camp_journal_l_f</vt:lpstr>
      <vt:lpstr>resilince_num_drrm_camp_journal_l_m</vt:lpstr>
      <vt:lpstr>resilince_num_drrm_camp_journal_lwd_f</vt:lpstr>
      <vt:lpstr>resilince_num_drrm_camp_journal_lwd_m</vt:lpstr>
      <vt:lpstr>resilince_num_drrm_camp_journal_muslim_f</vt:lpstr>
      <vt:lpstr>resilince_num_drrm_camp_journal_muslim_m</vt:lpstr>
      <vt:lpstr>resilince_num_drrm_camp_journal_nonteach_per_f</vt:lpstr>
      <vt:lpstr>resilince_num_drrm_camp_journal_nonteach_per_m</vt:lpstr>
      <vt:lpstr>resilince_num_drrm_camp_journal_teach_per_f</vt:lpstr>
      <vt:lpstr>resilince_num_drrm_camp_journal_teach_per_m</vt:lpstr>
      <vt:lpstr>resilince_num_drrm_camp_l_f</vt:lpstr>
      <vt:lpstr>resilince_num_drrm_camp_l_m</vt:lpstr>
      <vt:lpstr>resilince_num_drrm_camp_lwd_f</vt:lpstr>
      <vt:lpstr>resilince_num_drrm_camp_lwd_m</vt:lpstr>
      <vt:lpstr>resilince_num_drrm_camp_muslim_f</vt:lpstr>
      <vt:lpstr>resilince_num_drrm_camp_muslim_m</vt:lpstr>
      <vt:lpstr>resilince_num_drrm_drrm_camp_nonteach_per_f</vt:lpstr>
      <vt:lpstr>resilince_num_drrm_drrm_camp_nonteach_per_m</vt:lpstr>
      <vt:lpstr>resilince_num_drrm_drrm_camp_teach_per_f</vt:lpstr>
      <vt:lpstr>resilince_num_drrm_drrm_camp_teach_per_m</vt:lpstr>
      <vt:lpstr>resilince_num_drrm_learners_others_specify</vt:lpstr>
      <vt:lpstr>resilince_num_drrm_mhpss_ip_f</vt:lpstr>
      <vt:lpstr>resilince_num_drrm_mhpss_ip_m</vt:lpstr>
      <vt:lpstr>resilince_num_drrm_mhpss_l_f</vt:lpstr>
      <vt:lpstr>resilince_num_drrm_mhpss_l_m</vt:lpstr>
      <vt:lpstr>resilince_num_drrm_mhpss_lwd_f</vt:lpstr>
      <vt:lpstr>resilince_num_drrm_mhpss_lwd_m</vt:lpstr>
      <vt:lpstr>resilince_num_drrm_mhpss_muslim_f</vt:lpstr>
      <vt:lpstr>resilince_num_drrm_mhpss_muslim_m</vt:lpstr>
      <vt:lpstr>resilince_num_drrm_others_ip_f</vt:lpstr>
      <vt:lpstr>resilince_num_drrm_others_ip_m</vt:lpstr>
      <vt:lpstr>resilince_num_drrm_others_l_f</vt:lpstr>
      <vt:lpstr>resilince_num_drrm_others_l_m</vt:lpstr>
      <vt:lpstr>resilince_num_drrm_others_lwd_f</vt:lpstr>
      <vt:lpstr>resilince_num_drrm_others_lwd_m</vt:lpstr>
      <vt:lpstr>resilince_num_drrm_others_muslim_f</vt:lpstr>
      <vt:lpstr>resilince_num_drrm_others_muslim_m</vt:lpstr>
      <vt:lpstr>resilince_num_drrm_others_nonteach_per_f</vt:lpstr>
      <vt:lpstr>resilince_num_drrm_others_nonteach_per_m</vt:lpstr>
      <vt:lpstr>resilince_num_drrm_others_specify</vt:lpstr>
      <vt:lpstr>resilince_num_drrm_others_teach_per_f</vt:lpstr>
      <vt:lpstr>resilince_num_drrm_others_teach_per_m</vt:lpstr>
      <vt:lpstr>resilince_num_drrm_part_l</vt:lpstr>
      <vt:lpstr>resilince_num_drrm_part_lgu</vt:lpstr>
      <vt:lpstr>resilince_num_drrm_part_ngo</vt:lpstr>
      <vt:lpstr>resilince_num_drrm_part_par</vt:lpstr>
      <vt:lpstr>resilince_num_drrm_part_per</vt:lpstr>
      <vt:lpstr>resilince_num_drrm_quake_ip_f</vt:lpstr>
      <vt:lpstr>resilince_num_drrm_quake_ip_m</vt:lpstr>
      <vt:lpstr>resilince_num_drrm_quake_l_f</vt:lpstr>
      <vt:lpstr>resilince_num_drrm_quake_l_m</vt:lpstr>
      <vt:lpstr>resilince_num_drrm_quake_lwd_f</vt:lpstr>
      <vt:lpstr>resilince_num_drrm_quake_lwd_m</vt:lpstr>
      <vt:lpstr>resilince_num_drrm_quake_muslim_f</vt:lpstr>
      <vt:lpstr>resilince_num_drrm_quake_muslim_m</vt:lpstr>
      <vt:lpstr>resilince_num_drrm_quake_nonteach_per_f</vt:lpstr>
      <vt:lpstr>resilince_num_drrm_quake_nonteach_per_m</vt:lpstr>
      <vt:lpstr>resilince_num_drrm_quake_teach_per_f</vt:lpstr>
      <vt:lpstr>resilince_num_drrm_quake_teach_per_m</vt:lpstr>
      <vt:lpstr>resilince_num_drrm_spl_event_ip_f</vt:lpstr>
      <vt:lpstr>resilince_num_drrm_spl_event_ip_m</vt:lpstr>
      <vt:lpstr>resilince_num_drrm_spl_event_l_f</vt:lpstr>
      <vt:lpstr>resilince_num_drrm_spl_event_l_m</vt:lpstr>
      <vt:lpstr>resilince_num_drrm_spl_event_lwd_f</vt:lpstr>
      <vt:lpstr>resilince_num_drrm_spl_event_lwd_m</vt:lpstr>
      <vt:lpstr>resilince_num_drrm_spl_event_muslim_f</vt:lpstr>
      <vt:lpstr>resilince_num_drrm_spl_event_muslim_m</vt:lpstr>
      <vt:lpstr>resilince_num_drrm_spl_event_nonteach_per_f</vt:lpstr>
      <vt:lpstr>resilince_num_drrm_spl_event_nonteach_per_m</vt:lpstr>
      <vt:lpstr>resilince_num_drrm_spl_event_teach_per_f</vt:lpstr>
      <vt:lpstr>resilince_num_drrm_spl_event_teach_per_m</vt:lpstr>
      <vt:lpstr>resilince_num_drrm_sw_ip_f</vt:lpstr>
      <vt:lpstr>resilince_num_drrm_sw_ip_m</vt:lpstr>
      <vt:lpstr>resilince_num_drrm_sw_l_f</vt:lpstr>
      <vt:lpstr>resilince_num_drrm_sw_l_m</vt:lpstr>
      <vt:lpstr>resilince_num_drrm_sw_lwd_f</vt:lpstr>
      <vt:lpstr>resilince_num_drrm_sw_lwd_m</vt:lpstr>
      <vt:lpstr>resilince_num_drrm_sw_muslim_f</vt:lpstr>
      <vt:lpstr>resilince_num_drrm_sw_muslim_m</vt:lpstr>
      <vt:lpstr>resilince_num_drrm_sw_nonteach_per_f</vt:lpstr>
      <vt:lpstr>resilince_num_drrm_sw_nonteach_per_m</vt:lpstr>
      <vt:lpstr>resilince_num_drrm_sw_teach_per_f</vt:lpstr>
      <vt:lpstr>resilince_num_drrm_sw_teach_per_m</vt:lpstr>
      <vt:lpstr>resilince_num_drrm_train</vt:lpstr>
      <vt:lpstr>resilince_num_drrm_youth_act_ip_f</vt:lpstr>
      <vt:lpstr>resilince_num_drrm_youth_act_ip_m</vt:lpstr>
      <vt:lpstr>resilince_num_drrm_youth_act_l_f</vt:lpstr>
      <vt:lpstr>resilince_num_drrm_youth_act_l_m</vt:lpstr>
      <vt:lpstr>resilince_num_drrm_youth_act_lwd_f</vt:lpstr>
      <vt:lpstr>resilince_num_drrm_youth_act_lwd_m</vt:lpstr>
      <vt:lpstr>resilince_num_drrm_youth_act_muslim_f</vt:lpstr>
      <vt:lpstr>resilince_num_drrm_youth_act_muslim_m</vt:lpstr>
      <vt:lpstr>resilince_num_drrm_youth_act_nonteach_per_f</vt:lpstr>
      <vt:lpstr>resilince_num_drrm_youth_act_nonteach_per_m</vt:lpstr>
      <vt:lpstr>resilince_num_drrm_youth_act_teach_per_f</vt:lpstr>
      <vt:lpstr>resilince_num_drrm_youth_act_teach_per_m</vt:lpstr>
      <vt:lpstr>resilince_num_drrm_youth_council_ip_f</vt:lpstr>
      <vt:lpstr>resilince_num_drrm_youth_council_ip_m</vt:lpstr>
      <vt:lpstr>resilince_num_drrm_youth_council_l_f</vt:lpstr>
      <vt:lpstr>resilince_num_drrm_youth_council_l_m</vt:lpstr>
      <vt:lpstr>resilince_num_drrm_youth_council_lwd_f</vt:lpstr>
      <vt:lpstr>resilince_num_drrm_youth_council_lwd_m</vt:lpstr>
      <vt:lpstr>resilince_num_drrm_youth_council_muslim_f</vt:lpstr>
      <vt:lpstr>resilince_num_drrm_youth_council_muslim_m</vt:lpstr>
      <vt:lpstr>resilince_num_drrm_youth_council_nonteach_per_f</vt:lpstr>
      <vt:lpstr>resilince_num_drrm_youth_council_nonteach_per_m</vt:lpstr>
      <vt:lpstr>resilince_num_drrm_youth_council_teach_per_f</vt:lpstr>
      <vt:lpstr>resilince_num_drrm_youth_council_teach_per_m</vt:lpstr>
      <vt:lpstr>resilince_num_led_ip_f</vt:lpstr>
      <vt:lpstr>resilince_num_led_ip_m</vt:lpstr>
      <vt:lpstr>resilince_num_led_l_f</vt:lpstr>
      <vt:lpstr>resilince_num_led_l_m</vt:lpstr>
      <vt:lpstr>resilince_num_led_lwd_f</vt:lpstr>
      <vt:lpstr>resilince_num_led_lwd_m</vt:lpstr>
      <vt:lpstr>resilince_num_led_muslim_f</vt:lpstr>
      <vt:lpstr>resilince_num_led_muslim_m</vt:lpstr>
      <vt:lpstr>resilince_num_peace_artscontest_ip_f</vt:lpstr>
      <vt:lpstr>resilince_num_peace_artscontest_ip_m</vt:lpstr>
      <vt:lpstr>resilince_num_peace_artscontest_l_f</vt:lpstr>
      <vt:lpstr>resilince_num_peace_artscontest_l_m</vt:lpstr>
      <vt:lpstr>resilince_num_peace_artscontest_lwd_f</vt:lpstr>
      <vt:lpstr>resilince_num_peace_artscontest_lwd_m</vt:lpstr>
      <vt:lpstr>resilince_num_peace_artscontest_muslim_f</vt:lpstr>
      <vt:lpstr>resilince_num_peace_artscontest_muslim_m</vt:lpstr>
      <vt:lpstr>resilince_num_peace_artscontest_nonteach_per_f</vt:lpstr>
      <vt:lpstr>resilince_num_peace_artscontest_nonteach_per_m</vt:lpstr>
      <vt:lpstr>resilince_num_peace_artscontest_teach_per_f</vt:lpstr>
      <vt:lpstr>resilince_num_peace_artscontest_teach_per_m</vt:lpstr>
      <vt:lpstr>resilince_num_peace_commsplevent_ip_f</vt:lpstr>
      <vt:lpstr>resilince_num_peace_commsplevent_ip_m</vt:lpstr>
      <vt:lpstr>resilince_num_peace_commsplevent_l_f</vt:lpstr>
      <vt:lpstr>resilince_num_peace_commsplevent_l_m</vt:lpstr>
      <vt:lpstr>resilince_num_peace_commsplevent_lwd_f</vt:lpstr>
      <vt:lpstr>resilince_num_peace_commsplevent_lwd_m</vt:lpstr>
      <vt:lpstr>resilince_num_peace_commsplevent_muslim_f</vt:lpstr>
      <vt:lpstr>resilince_num_peace_commsplevent_muslim_m</vt:lpstr>
      <vt:lpstr>resilince_num_peace_commsplevent_nonteach_per_f</vt:lpstr>
      <vt:lpstr>resilince_num_peace_commsplevent_nonteach_per_m</vt:lpstr>
      <vt:lpstr>resilince_num_peace_commsplevent_teach_per_f</vt:lpstr>
      <vt:lpstr>resilince_num_peace_commsplevent_teach_per_m</vt:lpstr>
      <vt:lpstr>resilince_num_peace_conf_ip_f</vt:lpstr>
      <vt:lpstr>resilince_num_peace_conf_ip_m</vt:lpstr>
      <vt:lpstr>resilince_num_peace_conf_l_f</vt:lpstr>
      <vt:lpstr>resilince_num_peace_conf_l_m</vt:lpstr>
      <vt:lpstr>resilince_num_peace_conf_lwd_f</vt:lpstr>
      <vt:lpstr>resilince_num_peace_conf_lwd_m</vt:lpstr>
      <vt:lpstr>resilince_num_peace_conf_muslim_f</vt:lpstr>
      <vt:lpstr>resilince_num_peace_conf_muslim_m</vt:lpstr>
      <vt:lpstr>resilince_num_peace_conf_nonteach_per_f</vt:lpstr>
      <vt:lpstr>resilince_num_peace_conf_nonteach_per_m</vt:lpstr>
      <vt:lpstr>resilince_num_peace_conf_teach_per_f</vt:lpstr>
      <vt:lpstr>resilince_num_peace_conf_teach_per_m</vt:lpstr>
      <vt:lpstr>resilince_num_peace_l_others_specify</vt:lpstr>
      <vt:lpstr>resilince_num_peace_others_ip_f</vt:lpstr>
      <vt:lpstr>resilince_num_peace_others_ip_m</vt:lpstr>
      <vt:lpstr>resilince_num_peace_others_l_f</vt:lpstr>
      <vt:lpstr>resilince_num_peace_others_l_m</vt:lpstr>
      <vt:lpstr>resilince_num_peace_others_lwd_f</vt:lpstr>
      <vt:lpstr>resilince_num_peace_others_lwd_m</vt:lpstr>
      <vt:lpstr>resilince_num_peace_others_muslim_f</vt:lpstr>
      <vt:lpstr>resilince_num_peace_others_muslim_m</vt:lpstr>
      <vt:lpstr>resilince_num_peace_others_nonteach_per_f</vt:lpstr>
      <vt:lpstr>resilince_num_peace_others_nonteach_per_m</vt:lpstr>
      <vt:lpstr>resilince_num_peace_others_specify</vt:lpstr>
      <vt:lpstr>resilince_num_peace_others_teach_per_f</vt:lpstr>
      <vt:lpstr>resilince_num_peace_others_teach_per_m</vt:lpstr>
      <vt:lpstr>resilince_num_peace_train</vt:lpstr>
      <vt:lpstr>resilince_num_peace_youthnet_ip_f</vt:lpstr>
      <vt:lpstr>resilince_num_peace_youthnet_ip_m</vt:lpstr>
      <vt:lpstr>resilince_num_peace_youthnet_l_f</vt:lpstr>
      <vt:lpstr>resilince_num_peace_youthnet_l_m</vt:lpstr>
      <vt:lpstr>resilince_num_peace_youthnet_lwd_f</vt:lpstr>
      <vt:lpstr>resilince_num_peace_youthnet_lwd_m</vt:lpstr>
      <vt:lpstr>resilince_num_peace_youthnet_muslim_f</vt:lpstr>
      <vt:lpstr>resilince_num_peace_youthnet_muslim_m</vt:lpstr>
      <vt:lpstr>resilince_num_peace_youthnet_nonteach_per_f</vt:lpstr>
      <vt:lpstr>resilince_num_peace_youthnet_nonteach_per_m</vt:lpstr>
      <vt:lpstr>resilince_num_peace_youthnet_teach_per_f</vt:lpstr>
      <vt:lpstr>resilince_num_peace_youthnet_teach_per_m</vt:lpstr>
      <vt:lpstr>resilince_num_ppaled_l_ccam</vt:lpstr>
      <vt:lpstr>resilince_num_ppaled_l_drrm</vt:lpstr>
      <vt:lpstr>resilince_num_ppaled_l_peace</vt:lpstr>
      <vt:lpstr>resilince_num_train_conduct_ccam_l</vt:lpstr>
      <vt:lpstr>resilince_num_train_conduct_ccam_per</vt:lpstr>
      <vt:lpstr>resilince_num_train_conduct_drrm_l</vt:lpstr>
      <vt:lpstr>resilince_num_train_conduct_drrm_per</vt:lpstr>
      <vt:lpstr>resilince_num_train_conduct_mhpss_psych_nonteach_f</vt:lpstr>
      <vt:lpstr>resilince_num_train_conduct_mhpss_psych_nonteach_m</vt:lpstr>
      <vt:lpstr>resilince_num_train_conduct_mhpss_psych_teach_f</vt:lpstr>
      <vt:lpstr>resilince_num_train_conduct_mhpss_psych_teach_m</vt:lpstr>
      <vt:lpstr>resilince_num_train_conduct_peace_l</vt:lpstr>
      <vt:lpstr>resilince_num_train_conduct_peace_per</vt:lpstr>
      <vt:lpstr>resilince_num_train_manual</vt:lpstr>
      <vt:lpstr>resilince_num_train_provide_mhpss_ip_f</vt:lpstr>
      <vt:lpstr>resilince_num_train_provide_mhpss_ip_m</vt:lpstr>
      <vt:lpstr>resilince_num_train_provide_mhpss_l_f</vt:lpstr>
      <vt:lpstr>resilince_num_train_provide_mhpss_l_m</vt:lpstr>
      <vt:lpstr>resilince_num_train_provide_mhpss_lwd_f</vt:lpstr>
      <vt:lpstr>resilince_num_train_provide_mhpss_lwd_m</vt:lpstr>
      <vt:lpstr>resilince_num_train_provide_mhpss_muslim_f</vt:lpstr>
      <vt:lpstr>resilince_num_train_provide_mhpss_muslim_m</vt:lpstr>
      <vt:lpstr>resilince_num_trained_intg_teach_f</vt:lpstr>
      <vt:lpstr>resilince_num_trained_intg_teach_m</vt:lpstr>
      <vt:lpstr>resilince_num_trained_ip_f</vt:lpstr>
      <vt:lpstr>resilince_num_trained_ip_m</vt:lpstr>
      <vt:lpstr>resilince_num_trained_l_f</vt:lpstr>
      <vt:lpstr>resilince_num_trained_l_m</vt:lpstr>
      <vt:lpstr>resilince_num_trained_lwd_f</vt:lpstr>
      <vt:lpstr>resilince_num_trained_lwd_m</vt:lpstr>
      <vt:lpstr>resilince_num_trained_muslim_f</vt:lpstr>
      <vt:lpstr>resilince_num_trained_muslim_m</vt:lpstr>
      <vt:lpstr>resilince_num_trainmodule_adm_nonteach_per_f</vt:lpstr>
      <vt:lpstr>resilince_num_trainmodule_adm_nonteach_per_m</vt:lpstr>
      <vt:lpstr>resilince_num_trainmodule_adm_teach_per_f</vt:lpstr>
      <vt:lpstr>resilince_num_trainmodule_adm_teach_per_m</vt:lpstr>
      <vt:lpstr>resilince_num_trainmodule_basiceie_nonteach_per_f</vt:lpstr>
      <vt:lpstr>resilince_num_trainmodule_basiceie_nonteach_per_m</vt:lpstr>
      <vt:lpstr>resilince_num_trainmodule_basiceie_teach_per_f</vt:lpstr>
      <vt:lpstr>resilince_num_trainmodule_basiceie_teach_per_m</vt:lpstr>
      <vt:lpstr>resilince_num_trainmodule_baslifsup_nonteach_per_f</vt:lpstr>
      <vt:lpstr>resilince_num_trainmodule_baslifsup_nonteach_per_m</vt:lpstr>
      <vt:lpstr>resilince_num_trainmodule_baslifsup_teach_per_f</vt:lpstr>
      <vt:lpstr>resilince_num_trainmodule_baslifsup_teach_per_m</vt:lpstr>
      <vt:lpstr>resilince_num_trainmodule_cchange_global_nonteach_per_f</vt:lpstr>
      <vt:lpstr>resilince_num_trainmodule_cchange_global_nonteach_per_m</vt:lpstr>
      <vt:lpstr>resilince_num_trainmodule_cchange_global_teach_per_f</vt:lpstr>
      <vt:lpstr>resilince_num_trainmodule_cchange_global_teach_per_m</vt:lpstr>
      <vt:lpstr>resilince_num_trainmodule_childcntrd_nonteach_per_f</vt:lpstr>
      <vt:lpstr>resilince_num_trainmodule_childcntrd_nonteach_per_m</vt:lpstr>
      <vt:lpstr>resilince_num_trainmodule_childcntrd_teach_per_f</vt:lpstr>
      <vt:lpstr>resilince_num_trainmodule_childcntrd_teach_per_m</vt:lpstr>
      <vt:lpstr>resilince_num_trainmodule_climatechange_nonteach_per_f</vt:lpstr>
      <vt:lpstr>resilince_num_trainmodule_climatechange_nonteach_per_m</vt:lpstr>
      <vt:lpstr>resilince_num_trainmodule_climatechange_teach_per_f</vt:lpstr>
      <vt:lpstr>resilince_num_trainmodule_climatechange_teach_per_m</vt:lpstr>
      <vt:lpstr>resilince_num_trainmodule_cmg_nonteach_per_f</vt:lpstr>
      <vt:lpstr>resilince_num_trainmodule_cmg_nonteach_per_m</vt:lpstr>
      <vt:lpstr>resilince_num_trainmodule_cmg_teach_per_f</vt:lpstr>
      <vt:lpstr>resilince_num_trainmodule_cmg_teach_per_m</vt:lpstr>
      <vt:lpstr>resilince_num_trainmodule_compre_drrm_nonteach_per_f</vt:lpstr>
      <vt:lpstr>resilince_num_trainmodule_compre_drrm_nonteach_per_m</vt:lpstr>
      <vt:lpstr>resilince_num_trainmodule_compre_drrm_teach_per_f</vt:lpstr>
      <vt:lpstr>resilince_num_trainmodule_compre_drrm_teach_per_m</vt:lpstr>
      <vt:lpstr>resilince_num_trainmodule_consense_edu_nonteach_per_f</vt:lpstr>
      <vt:lpstr>resilince_num_trainmodule_consense_edu_nonteach_per_m</vt:lpstr>
      <vt:lpstr>resilince_num_trainmodule_consense_edu_teach_per_f</vt:lpstr>
      <vt:lpstr>resilince_num_trainmodule_consense_edu_teach_per_m</vt:lpstr>
      <vt:lpstr>resilince_num_trainmodule_contplan_be_nonteach_per_f</vt:lpstr>
      <vt:lpstr>resilince_num_trainmodule_contplan_be_nonteach_per_m</vt:lpstr>
      <vt:lpstr>resilince_num_trainmodule_contplan_be_teach_per_f</vt:lpstr>
      <vt:lpstr>resilince_num_trainmodule_contplan_be_teach_per_m</vt:lpstr>
      <vt:lpstr>resilince_num_trainmodule_eie_nonteach_per_f</vt:lpstr>
      <vt:lpstr>resilince_num_trainmodule_eie_nonteach_per_m</vt:lpstr>
      <vt:lpstr>resilince_num_trainmodule_eie_teach_per_f</vt:lpstr>
      <vt:lpstr>resilince_num_trainmodule_eie_teach_per_m</vt:lpstr>
      <vt:lpstr>resilince_num_trainmodule_im_nonteach_per_f</vt:lpstr>
      <vt:lpstr>resilince_num_trainmodule_im_nonteach_per_m</vt:lpstr>
      <vt:lpstr>resilince_num_trainmodule_im_teach_per_f</vt:lpstr>
      <vt:lpstr>resilince_num_trainmodule_im_teach_per_m</vt:lpstr>
      <vt:lpstr>resilince_num_trainmodule_intlfound_nonteach_per_f</vt:lpstr>
      <vt:lpstr>resilince_num_trainmodule_intlfound_nonteach_per_m</vt:lpstr>
      <vt:lpstr>resilince_num_trainmodule_intlfound_teach_per_f</vt:lpstr>
      <vt:lpstr>resilince_num_trainmodule_intlfound_teach_per_m</vt:lpstr>
      <vt:lpstr>resilince_num_trainmodule_mhpss_nonteach_per_f</vt:lpstr>
      <vt:lpstr>resilince_num_trainmodule_mhpss_nonteach_per_m</vt:lpstr>
      <vt:lpstr>resilince_num_trainmodule_mhpss_teach_per_f</vt:lpstr>
      <vt:lpstr>resilince_num_trainmodule_mhpss_teach_per_m</vt:lpstr>
      <vt:lpstr>resilince_num_trainmodule_others_nonteach_per_f</vt:lpstr>
      <vt:lpstr>resilince_num_trainmodule_others_nonteach_per_m</vt:lpstr>
      <vt:lpstr>resilince_num_trainmodule_others_specify</vt:lpstr>
      <vt:lpstr>resilince_num_trainmodule_others_teach_per_f</vt:lpstr>
      <vt:lpstr>resilince_num_trainmodule_others_teach_per_m</vt:lpstr>
      <vt:lpstr>resilince_num_trainmodule_plancycle_nonteach_per_f</vt:lpstr>
      <vt:lpstr>resilince_num_trainmodule_plancycle_nonteach_per_m</vt:lpstr>
      <vt:lpstr>resilince_num_trainmodule_plancycle_teach_per_f</vt:lpstr>
      <vt:lpstr>resilince_num_trainmodule_plancycle_teach_per_m</vt:lpstr>
      <vt:lpstr>resilince_num_trainmodule_resmobpart_nonteach_per_f</vt:lpstr>
      <vt:lpstr>resilince_num_trainmodule_resmobpart_nonteach_per_m</vt:lpstr>
      <vt:lpstr>resilince_num_trainmodule_resmobpart_teach_per_f</vt:lpstr>
      <vt:lpstr>resilince_num_trainmodule_resmobpart_teach_per_m</vt:lpstr>
      <vt:lpstr>resilince_num_trainmodule_schbased_nonteach_per_f</vt:lpstr>
      <vt:lpstr>resilince_num_trainmodule_schbased_nonteach_per_m</vt:lpstr>
      <vt:lpstr>resilince_num_trainmodule_schbased_teach_per_f</vt:lpstr>
      <vt:lpstr>resilince_num_trainmodule_schbased_teach_per_m</vt:lpstr>
      <vt:lpstr>resilince_num_trainmodule_staffsafe_sec_nonteach_per_f</vt:lpstr>
      <vt:lpstr>resilince_num_trainmodule_staffsafe_sec_nonteach_per_m</vt:lpstr>
      <vt:lpstr>resilince_num_trainmodule_staffsafe_sec_teach_per_f</vt:lpstr>
      <vt:lpstr>resilince_num_trainmodule_staffsafe_sec_teach_per_m</vt:lpstr>
      <vt:lpstr>resilince_num_trainmodule_tls_nonteach_per_f</vt:lpstr>
      <vt:lpstr>resilince_num_trainmodule_tls_nonteach_per_m</vt:lpstr>
      <vt:lpstr>resilince_num_trainmodule_tls_teach_per_f</vt:lpstr>
      <vt:lpstr>resilince_num_trainmodule_tls_teach_per_m</vt:lpstr>
      <vt:lpstr>resilince_num_trainmodule_uclimatechg_nonteach_per_f</vt:lpstr>
      <vt:lpstr>resilince_num_trainmodule_uclimatechg_nonteach_per_m</vt:lpstr>
      <vt:lpstr>resilince_num_trainmodule_uclimatechg_teach_per_f</vt:lpstr>
      <vt:lpstr>resilince_num_trainmodule_uclimatechg_teach_per_m</vt:lpstr>
      <vt:lpstr>resilince_num_trainmodule_ucomhazard_nonteach_per_f</vt:lpstr>
      <vt:lpstr>resilince_num_trainmodule_ucomhazard_nonteach_per_m</vt:lpstr>
      <vt:lpstr>resilince_num_trainmodule_ucomhazard_teach_per_f</vt:lpstr>
      <vt:lpstr>resilince_num_trainmodule_ucomhazard_teach_per_m</vt:lpstr>
      <vt:lpstr>resilince_num_trainmodule_upeace_conf_nonteach_per_f</vt:lpstr>
      <vt:lpstr>resilince_num_trainmodule_upeace_conf_nonteach_per_m</vt:lpstr>
      <vt:lpstr>resilince_num_trainmodule_upeace_conf_teach_per_f</vt:lpstr>
      <vt:lpstr>resilince_num_trainmodule_upeace_conf_teach_per_m</vt:lpstr>
      <vt:lpstr>resilince_train_nonteach_per_f</vt:lpstr>
      <vt:lpstr>resilince_train_nonteach_per_m</vt:lpstr>
      <vt:lpstr>resilince_train_teach_per_f</vt:lpstr>
      <vt:lpstr>resilince_train_teach_per_m</vt:lpstr>
      <vt:lpstr>result_disasinci_apr_num_arm_conflict</vt:lpstr>
      <vt:lpstr>result_disasinci_apr_num_cls</vt:lpstr>
      <vt:lpstr>result_disasinci_apr_num_days</vt:lpstr>
      <vt:lpstr>result_disasinci_aug_num_arm_conflict</vt:lpstr>
      <vt:lpstr>result_disasinci_aug_num_cls</vt:lpstr>
      <vt:lpstr>result_disasinci_aug_num_days</vt:lpstr>
      <vt:lpstr>result_disasinci_dec_num_arm_conflict</vt:lpstr>
      <vt:lpstr>result_disasinci_dec_num_cls</vt:lpstr>
      <vt:lpstr>result_disasinci_dec_num_days</vt:lpstr>
      <vt:lpstr>result_disasinci_feb_num_arm_conflict</vt:lpstr>
      <vt:lpstr>result_disasinci_feb_num_cls</vt:lpstr>
      <vt:lpstr>result_disasinci_feb_num_days</vt:lpstr>
      <vt:lpstr>result_disasinci_hih_apr_num_suspend</vt:lpstr>
      <vt:lpstr>result_disasinci_hih_aug_num_suspend</vt:lpstr>
      <vt:lpstr>result_disasinci_hih_dec_num_suspend</vt:lpstr>
      <vt:lpstr>result_disasinci_hih_feb_num_suspend</vt:lpstr>
      <vt:lpstr>result_disasinci_hih_jan_num_suspend</vt:lpstr>
      <vt:lpstr>result_disasinci_hih_jul_num_suspend</vt:lpstr>
      <vt:lpstr>result_disasinci_hih_jun_num_suspend</vt:lpstr>
      <vt:lpstr>result_disasinci_hih_mar_num_suspend</vt:lpstr>
      <vt:lpstr>result_disasinci_hih_may_num_suspend</vt:lpstr>
      <vt:lpstr>result_disasinci_hih_nov_num_suspend</vt:lpstr>
      <vt:lpstr>result_disasinci_hih_oct_num_suspend</vt:lpstr>
      <vt:lpstr>result_disasinci_hih_sep_num_suspend</vt:lpstr>
      <vt:lpstr>result_disasinci_jan_num_arm_conflict</vt:lpstr>
      <vt:lpstr>result_disasinci_jan_num_cls</vt:lpstr>
      <vt:lpstr>result_disasinci_jan_num_days</vt:lpstr>
      <vt:lpstr>result_disasinci_jul_num_arm_conflict</vt:lpstr>
      <vt:lpstr>result_disasinci_jul_num_cls</vt:lpstr>
      <vt:lpstr>result_disasinci_jul_num_days</vt:lpstr>
      <vt:lpstr>result_disasinci_jun_num_arm_conflict</vt:lpstr>
      <vt:lpstr>result_disasinci_jun_num_cls</vt:lpstr>
      <vt:lpstr>result_disasinci_jun_num_days</vt:lpstr>
      <vt:lpstr>result_disasinci_mar_num_arm_conflict</vt:lpstr>
      <vt:lpstr>result_disasinci_mar_num_cls</vt:lpstr>
      <vt:lpstr>result_disasinci_mar_num_days</vt:lpstr>
      <vt:lpstr>result_disasinci_may_num_arm_conflict</vt:lpstr>
      <vt:lpstr>result_disasinci_may_num_cls</vt:lpstr>
      <vt:lpstr>result_disasinci_may_num_days</vt:lpstr>
      <vt:lpstr>result_disasinci_nh_apr_num_suspend</vt:lpstr>
      <vt:lpstr>result_disasinci_nh_aug_num_suspend</vt:lpstr>
      <vt:lpstr>result_disasinci_nh_dec_num_suspend</vt:lpstr>
      <vt:lpstr>result_disasinci_nh_feb_num_suspend</vt:lpstr>
      <vt:lpstr>result_disasinci_nh_jan_num_suspend</vt:lpstr>
      <vt:lpstr>result_disasinci_nh_jul_num_suspend</vt:lpstr>
      <vt:lpstr>result_disasinci_nh_jun_num_suspend</vt:lpstr>
      <vt:lpstr>result_disasinci_nh_mar_num_suspend</vt:lpstr>
      <vt:lpstr>result_disasinci_nh_may_num_suspend</vt:lpstr>
      <vt:lpstr>result_disasinci_nh_nov_num_suspend</vt:lpstr>
      <vt:lpstr>result_disasinci_nh_oct_num_suspend</vt:lpstr>
      <vt:lpstr>result_disasinci_nh_sep_num_suspend</vt:lpstr>
      <vt:lpstr>result_disasinci_nov_num_arm_conflict</vt:lpstr>
      <vt:lpstr>result_disasinci_nov_num_cls</vt:lpstr>
      <vt:lpstr>result_disasinci_nov_num_days</vt:lpstr>
      <vt:lpstr>result_disasinci_oct_num_arm_conflict</vt:lpstr>
      <vt:lpstr>result_disasinci_oct_num_cls</vt:lpstr>
      <vt:lpstr>result_disasinci_oct_num_days</vt:lpstr>
      <vt:lpstr>result_disasinci_sep_num_arm_conflict</vt:lpstr>
      <vt:lpstr>result_disasinci_sep_num_cls</vt:lpstr>
      <vt:lpstr>result_disasinci_sep_num_days</vt:lpstr>
      <vt:lpstr>riskreduce_assess_rel_comp</vt:lpstr>
      <vt:lpstr>riskreduce_ccam_abm_g11</vt:lpstr>
      <vt:lpstr>riskreduce_ccam_abm_g12</vt:lpstr>
      <vt:lpstr>riskreduce_ccam_agrifish_g11</vt:lpstr>
      <vt:lpstr>riskreduce_ccam_agrifish_g12</vt:lpstr>
      <vt:lpstr>riskreduce_ccam_als</vt:lpstr>
      <vt:lpstr>riskreduce_ccam_artsdesign_g11</vt:lpstr>
      <vt:lpstr>riskreduce_ccam_artsdesign_g12</vt:lpstr>
      <vt:lpstr>riskreduce_ccam_context_learn</vt:lpstr>
      <vt:lpstr>riskreduce_ccam_gas_g11</vt:lpstr>
      <vt:lpstr>riskreduce_ccam_gas_g12</vt:lpstr>
      <vt:lpstr>riskreduce_ccam_he_g11</vt:lpstr>
      <vt:lpstr>riskreduce_ccam_he_g12</vt:lpstr>
      <vt:lpstr>riskreduce_ccam_humss_g11</vt:lpstr>
      <vt:lpstr>riskreduce_ccam_humss_g12</vt:lpstr>
      <vt:lpstr>riskreduce_ccam_ict_g11</vt:lpstr>
      <vt:lpstr>riskreduce_ccam_ict_g12</vt:lpstr>
      <vt:lpstr>riskreduce_ccam_intro_contents</vt:lpstr>
      <vt:lpstr>riskreduce_ccam_iped</vt:lpstr>
      <vt:lpstr>riskreduce_ccam_learn_competence</vt:lpstr>
      <vt:lpstr>riskreduce_ccam_others_g11</vt:lpstr>
      <vt:lpstr>riskreduce_ccam_others_g12</vt:lpstr>
      <vt:lpstr>riskreduce_ccam_sped</vt:lpstr>
      <vt:lpstr>riskreduce_ccam_sports_g11</vt:lpstr>
      <vt:lpstr>riskreduce_ccam_sports_g12</vt:lpstr>
      <vt:lpstr>riskreduce_ccam_stem_g11</vt:lpstr>
      <vt:lpstr>riskreduce_ccam_stem_g12</vt:lpstr>
      <vt:lpstr>riskreduce_drrm_abm_g11</vt:lpstr>
      <vt:lpstr>riskreduce_drrm_abm_g12</vt:lpstr>
      <vt:lpstr>riskreduce_drrm_agrifish_g11</vt:lpstr>
      <vt:lpstr>riskreduce_drrm_agrifish_g12</vt:lpstr>
      <vt:lpstr>riskreduce_drrm_als</vt:lpstr>
      <vt:lpstr>riskreduce_drrm_artsdesign_g11</vt:lpstr>
      <vt:lpstr>riskreduce_drrm_artsdesign_g12</vt:lpstr>
      <vt:lpstr>riskreduce_drrm_context_learn</vt:lpstr>
      <vt:lpstr>riskreduce_drrm_gas_g11</vt:lpstr>
      <vt:lpstr>riskreduce_drrm_gas_g12</vt:lpstr>
      <vt:lpstr>riskreduce_drrm_he_g11</vt:lpstr>
      <vt:lpstr>riskreduce_drrm_he_g12</vt:lpstr>
      <vt:lpstr>riskreduce_drrm_humss_g11</vt:lpstr>
      <vt:lpstr>riskreduce_drrm_humss_g12</vt:lpstr>
      <vt:lpstr>riskreduce_drrm_ict_g11</vt:lpstr>
      <vt:lpstr>riskreduce_drrm_ict_g12</vt:lpstr>
      <vt:lpstr>riskreduce_drrm_intro_contents</vt:lpstr>
      <vt:lpstr>riskreduce_drrm_iped</vt:lpstr>
      <vt:lpstr>riskreduce_drrm_learn_competence</vt:lpstr>
      <vt:lpstr>riskreduce_drrm_others_g11</vt:lpstr>
      <vt:lpstr>riskreduce_drrm_others_g12</vt:lpstr>
      <vt:lpstr>riskreduce_drrm_sped</vt:lpstr>
      <vt:lpstr>riskreduce_drrm_sports_g11</vt:lpstr>
      <vt:lpstr>riskreduce_drrm_sports_g12</vt:lpstr>
      <vt:lpstr>riskreduce_drrm_stem_g11</vt:lpstr>
      <vt:lpstr>riskreduce_drrm_stem_g12</vt:lpstr>
      <vt:lpstr>riskreduce_iec_codev_ip_f</vt:lpstr>
      <vt:lpstr>riskreduce_iec_codev_ip_m</vt:lpstr>
      <vt:lpstr>riskreduce_iec_codev_l_f</vt:lpstr>
      <vt:lpstr>riskreduce_iec_codev_l_m</vt:lpstr>
      <vt:lpstr>riskreduce_iec_codev_lwd_f</vt:lpstr>
      <vt:lpstr>riskreduce_iec_codev_lwd_m</vt:lpstr>
      <vt:lpstr>riskreduce_iec_codev_muslim_f</vt:lpstr>
      <vt:lpstr>riskreduce_iec_codev_muslim_m</vt:lpstr>
      <vt:lpstr>riskreduce_iec_consult_ip_f</vt:lpstr>
      <vt:lpstr>riskreduce_iec_consult_ip_m</vt:lpstr>
      <vt:lpstr>riskreduce_iec_consult_l_f</vt:lpstr>
      <vt:lpstr>riskreduce_iec_consult_l_m</vt:lpstr>
      <vt:lpstr>riskreduce_iec_consult_lwd_f</vt:lpstr>
      <vt:lpstr>riskreduce_iec_consult_lwd_m</vt:lpstr>
      <vt:lpstr>riskreduce_iec_consult_muslim_f</vt:lpstr>
      <vt:lpstr>riskreduce_iec_consult_muslim_m</vt:lpstr>
      <vt:lpstr>riskreduce_iec_initiate_ip_f</vt:lpstr>
      <vt:lpstr>riskreduce_iec_initiate_ip_m</vt:lpstr>
      <vt:lpstr>riskreduce_iec_initiate_l_f</vt:lpstr>
      <vt:lpstr>riskreduce_iec_initiate_l_m</vt:lpstr>
      <vt:lpstr>riskreduce_iec_initiate_lwd_f</vt:lpstr>
      <vt:lpstr>riskreduce_iec_initiate_lwd_m</vt:lpstr>
      <vt:lpstr>riskreduce_iec_initiate_muslim_f</vt:lpstr>
      <vt:lpstr>riskreduce_iec_initiate_muslim_m</vt:lpstr>
      <vt:lpstr>riskreduce_iec_nonteach_f</vt:lpstr>
      <vt:lpstr>riskreduce_iec_nonteach_m</vt:lpstr>
      <vt:lpstr>riskreduce_iec_part_ip_f</vt:lpstr>
      <vt:lpstr>riskreduce_iec_part_ip_m</vt:lpstr>
      <vt:lpstr>riskreduce_iec_part_l_f</vt:lpstr>
      <vt:lpstr>riskreduce_iec_part_l_m</vt:lpstr>
      <vt:lpstr>riskreduce_iec_part_lwd_f</vt:lpstr>
      <vt:lpstr>riskreduce_iec_part_lwd_m</vt:lpstr>
      <vt:lpstr>riskreduce_iec_part_muslim_f</vt:lpstr>
      <vt:lpstr>riskreduce_iec_part_muslim_m</vt:lpstr>
      <vt:lpstr>riskreduce_iec_teach_f</vt:lpstr>
      <vt:lpstr>riskreduce_iec_teach_m</vt:lpstr>
      <vt:lpstr>riskreduce_peace_als</vt:lpstr>
      <vt:lpstr>riskreduce_peace_context_learn</vt:lpstr>
      <vt:lpstr>riskreduce_peace_intro_contents</vt:lpstr>
      <vt:lpstr>riskreduce_peace_iped</vt:lpstr>
      <vt:lpstr>riskreduce_peace_learn_competence</vt:lpstr>
      <vt:lpstr>riskreduce_peace_sped</vt:lpstr>
      <vt:lpstr>riskreduce_peacebuilding_abm_g11</vt:lpstr>
      <vt:lpstr>riskreduce_peacebuilding_abm_g12</vt:lpstr>
      <vt:lpstr>riskreduce_peacebuilding_agrifish_g11</vt:lpstr>
      <vt:lpstr>riskreduce_peacebuilding_agrifish_g12</vt:lpstr>
      <vt:lpstr>riskreduce_peacebuilding_artsdesign_g11</vt:lpstr>
      <vt:lpstr>riskreduce_peacebuilding_artsdesign_g12</vt:lpstr>
      <vt:lpstr>riskreduce_peacebuilding_gas_g11</vt:lpstr>
      <vt:lpstr>riskreduce_peacebuilding_gas_g12</vt:lpstr>
      <vt:lpstr>riskreduce_peacebuilding_he_g11</vt:lpstr>
      <vt:lpstr>riskreduce_peacebuilding_he_g12</vt:lpstr>
      <vt:lpstr>riskreduce_peacebuilding_humss_g11</vt:lpstr>
      <vt:lpstr>riskreduce_peacebuilding_humss_g12</vt:lpstr>
      <vt:lpstr>riskreduce_peacebuilding_ict_g11</vt:lpstr>
      <vt:lpstr>riskreduce_peacebuilding_ict_g12</vt:lpstr>
      <vt:lpstr>riskreduce_peacebuilding_others_g11</vt:lpstr>
      <vt:lpstr>riskreduce_peacebuilding_others_g12</vt:lpstr>
      <vt:lpstr>riskreduce_peacebuilding_sports_g11</vt:lpstr>
      <vt:lpstr>riskreduce_peacebuilding_sports_g12</vt:lpstr>
      <vt:lpstr>riskreduce_peacebuilding_stem_g11</vt:lpstr>
      <vt:lpstr>riskreduce_peacebuilding_stem_g12</vt:lpstr>
      <vt:lpstr>riskreduce_update_iec_mat</vt:lpstr>
      <vt:lpstr>riskreduce_use_iec_mat</vt:lpstr>
      <vt:lpstr>safelearn_facilities_instructional_resilient</vt:lpstr>
      <vt:lpstr>safelearn_facilities_instructional_retrofitted</vt:lpstr>
      <vt:lpstr>safelearn_facilities_instructional_safe</vt:lpstr>
      <vt:lpstr>safelearn_facilities_instructional_unsafe</vt:lpstr>
      <vt:lpstr>safelearn_facilities_noninstructional_resilient</vt:lpstr>
      <vt:lpstr>safelearn_facilities_noninstructional_retrofitted</vt:lpstr>
      <vt:lpstr>safelearn_facilities_noninstructional_safe</vt:lpstr>
      <vt:lpstr>safelearn_facilities_noninstructional_unsafe</vt:lpstr>
      <vt:lpstr>safelearn_facilities_nonstructural_hazard_mit_others</vt:lpstr>
      <vt:lpstr>safelearn_facilities_nonstructural_hazard_mit_others_specify</vt:lpstr>
      <vt:lpstr>safelearn_facilities_nonstructural_hazard_mit_porous</vt:lpstr>
      <vt:lpstr>safelearn_facilities_nonstructural_hazard_mit_pruning</vt:lpstr>
      <vt:lpstr>safelearn_facilities_nonstructural_hazard_mit_slope_protect</vt:lpstr>
      <vt:lpstr>safelearn_facilities_nonstructural_hazard_mit_vege</vt:lpstr>
      <vt:lpstr>safelearn_facilities_reg_inspect</vt:lpstr>
      <vt:lpstr>safelearn_facilities_reg_repair</vt:lpstr>
      <vt:lpstr>safelearn_facilities_sh_budget</vt:lpstr>
      <vt:lpstr>safelearn_facilities_structural_hazard_mit_fire</vt:lpstr>
      <vt:lpstr>safelearn_facilities_structural_hazard_mit_fld</vt:lpstr>
      <vt:lpstr>safelearn_facilities_structural_hazard_mit_others</vt:lpstr>
      <vt:lpstr>safelearn_facilities_structural_hazard_mit_others_specify</vt:lpstr>
      <vt:lpstr>safelearn_facilities_structural_hazard_mit_sea</vt:lpstr>
      <vt:lpstr>safelearn_facilities_structural_hazard_mit_slope</vt:lpstr>
      <vt:lpstr>safelearn_main_fac_apr</vt:lpstr>
      <vt:lpstr>safelearn_main_fac_aug</vt:lpstr>
      <vt:lpstr>safelearn_main_fac_dec</vt:lpstr>
      <vt:lpstr>safelearn_main_fac_feb</vt:lpstr>
      <vt:lpstr>safelearn_main_fac_jan</vt:lpstr>
      <vt:lpstr>safelearn_main_fac_july</vt:lpstr>
      <vt:lpstr>safelearn_main_fac_jun</vt:lpstr>
      <vt:lpstr>safelearn_main_fac_mar</vt:lpstr>
      <vt:lpstr>safelearn_main_fac_may</vt:lpstr>
      <vt:lpstr>safelearn_main_fac_nov</vt:lpstr>
      <vt:lpstr>safelearn_main_fac_oct</vt:lpstr>
      <vt:lpstr>safelearn_main_fac_sep</vt:lpstr>
      <vt:lpstr>safelearn_rehab_recover_instruction_reconstruct_basic</vt:lpstr>
      <vt:lpstr>safelearn_rehab_recover_instruction_reconstruct_expart</vt:lpstr>
      <vt:lpstr>safelearn_rehab_recover_instruction_reconstruct_ndrrm</vt:lpstr>
      <vt:lpstr>safelearn_rehab_recover_instruction_reconstruct_quick</vt:lpstr>
      <vt:lpstr>safelearn_rehab_recover_instruction_rep_basic</vt:lpstr>
      <vt:lpstr>safelearn_rehab_recover_instruction_rep_expart</vt:lpstr>
      <vt:lpstr>safelearn_rehab_recover_instruction_rep_ndrrm</vt:lpstr>
      <vt:lpstr>safelearn_rehab_recover_instruction_rep_quick</vt:lpstr>
      <vt:lpstr>safelearn_rehab_recover_noninstruction_reconstruct_basic</vt:lpstr>
      <vt:lpstr>safelearn_rehab_recover_noninstruction_reconstruct_expart</vt:lpstr>
      <vt:lpstr>safelearn_rehab_recover_noninstruction_reconstruct_ndrrm</vt:lpstr>
      <vt:lpstr>safelearn_rehab_recover_noninstruction_reconstruct_quick</vt:lpstr>
      <vt:lpstr>safelearn_rehab_recover_noninstruction_rep_basic</vt:lpstr>
      <vt:lpstr>safelearn_rehab_recover_noninstruction_rep_expart</vt:lpstr>
      <vt:lpstr>safelearn_rehab_recover_noninstruction_rep_ndrrm</vt:lpstr>
      <vt:lpstr>safelearn_rehab_recover_noninstruction_rep_quick</vt:lpstr>
      <vt:lpstr>safelearn_rehab_recover_safe_precaution_yes</vt:lpstr>
      <vt:lpstr>sch_add_brgy</vt:lpstr>
      <vt:lpstr>sch_add_mun_city</vt:lpstr>
      <vt:lpstr>sch_add_no</vt:lpstr>
      <vt:lpstr>sch_add_prov</vt:lpstr>
      <vt:lpstr>sch_add_street</vt:lpstr>
      <vt:lpstr>sch_add_zip</vt:lpstr>
      <vt:lpstr>sch_annex_extension_sch</vt:lpstr>
      <vt:lpstr>sch_avail_sp_sportsclub_aerogymn</vt:lpstr>
      <vt:lpstr>sch_avail_sp_sportsclub_arch</vt:lpstr>
      <vt:lpstr>sch_avail_sp_sportsclub_arnis</vt:lpstr>
      <vt:lpstr>sch_avail_sp_sportsclub_athlrun</vt:lpstr>
      <vt:lpstr>sch_avail_sp_sportsclub_athlthrow</vt:lpstr>
      <vt:lpstr>sch_avail_sp_sportsclub_badm</vt:lpstr>
      <vt:lpstr>sch_avail_sp_sportsclub_baseball</vt:lpstr>
      <vt:lpstr>sch_avail_sp_sportsclub_basket</vt:lpstr>
      <vt:lpstr>sch_avail_sp_sportsclub_billard</vt:lpstr>
      <vt:lpstr>sch_avail_sp_sportsclub_bocce</vt:lpstr>
      <vt:lpstr>sch_avail_sp_sportsclub_boxing</vt:lpstr>
      <vt:lpstr>sch_avail_sp_sportsclub_chess</vt:lpstr>
      <vt:lpstr>sch_avail_sp_sportsclub_dancesports</vt:lpstr>
      <vt:lpstr>sch_avail_sp_sportsclub_football</vt:lpstr>
      <vt:lpstr>sch_avail_sp_sportsclub_futsal</vt:lpstr>
      <vt:lpstr>sch_avail_sp_sportsclub_goalball</vt:lpstr>
      <vt:lpstr>sch_avail_sp_sportsclub_mag</vt:lpstr>
      <vt:lpstr>sch_avail_sp_sportsclub_pencak</vt:lpstr>
      <vt:lpstr>sch_avail_sp_sportsclub_rg</vt:lpstr>
      <vt:lpstr>sch_avail_sp_sportsclub_sepaktakraw</vt:lpstr>
      <vt:lpstr>sch_avail_sp_sportsclub_softball</vt:lpstr>
      <vt:lpstr>sch_avail_sp_sportsclub_swimming</vt:lpstr>
      <vt:lpstr>sch_avail_sp_sportsclub_tabletennis</vt:lpstr>
      <vt:lpstr>sch_avail_sp_sportsclub_taekwondo</vt:lpstr>
      <vt:lpstr>sch_avail_sp_sportsclub_tennis</vt:lpstr>
      <vt:lpstr>sch_avail_sp_sportsclub_volleyball</vt:lpstr>
      <vt:lpstr>sch_avail_sp_sportsclub_wag</vt:lpstr>
      <vt:lpstr>sch_avail_sp_sportsclub_wrestling</vt:lpstr>
      <vt:lpstr>sch_avail_sp_sportsclub_wushu</vt:lpstr>
      <vt:lpstr>sch_avail_sp_sportsevent_aerogymn</vt:lpstr>
      <vt:lpstr>sch_avail_sp_sportsevent_arch</vt:lpstr>
      <vt:lpstr>sch_avail_sp_sportsevent_arnis</vt:lpstr>
      <vt:lpstr>sch_avail_sp_sportsevent_athlrun</vt:lpstr>
      <vt:lpstr>sch_avail_sp_sportsevent_athlthrow</vt:lpstr>
      <vt:lpstr>sch_avail_sp_sportsevent_badm</vt:lpstr>
      <vt:lpstr>sch_avail_sp_sportsevent_baseball</vt:lpstr>
      <vt:lpstr>sch_avail_sp_sportsevent_basket</vt:lpstr>
      <vt:lpstr>sch_avail_sp_sportsevent_billard</vt:lpstr>
      <vt:lpstr>sch_avail_sp_sportsevent_bocce</vt:lpstr>
      <vt:lpstr>sch_avail_sp_sportsevent_boxing</vt:lpstr>
      <vt:lpstr>sch_avail_sp_sportsevent_chess</vt:lpstr>
      <vt:lpstr>sch_avail_sp_sportsevent_dancesports</vt:lpstr>
      <vt:lpstr>sch_avail_sp_sportsevent_football</vt:lpstr>
      <vt:lpstr>sch_avail_sp_sportsevent_futsal</vt:lpstr>
      <vt:lpstr>sch_avail_sp_sportsevent_goalball</vt:lpstr>
      <vt:lpstr>sch_avail_sp_sportsevent_mag</vt:lpstr>
      <vt:lpstr>sch_avail_sp_sportsevent_pencak</vt:lpstr>
      <vt:lpstr>sch_avail_sp_sportsevent_rg</vt:lpstr>
      <vt:lpstr>sch_avail_sp_sportsevent_sepaktakraw</vt:lpstr>
      <vt:lpstr>sch_avail_sp_sportsevent_softball</vt:lpstr>
      <vt:lpstr>sch_avail_sp_sportsevent_swimming</vt:lpstr>
      <vt:lpstr>sch_avail_sp_sportsevent_tabletennis</vt:lpstr>
      <vt:lpstr>sch_avail_sp_sportsevent_taekwondo</vt:lpstr>
      <vt:lpstr>sch_avail_sp_sportsevent_tennis</vt:lpstr>
      <vt:lpstr>sch_avail_sp_sportsevent_volleyball</vt:lpstr>
      <vt:lpstr>sch_avail_sp_sportsevent_wag</vt:lpstr>
      <vt:lpstr>sch_avail_sp_sportsevent_wrestling</vt:lpstr>
      <vt:lpstr>sch_avail_sp_sportsevent_wushu</vt:lpstr>
      <vt:lpstr>sch_avail_sp_sportssportsfac_aerogymn</vt:lpstr>
      <vt:lpstr>sch_avail_sp_sportssportsfac_arch</vt:lpstr>
      <vt:lpstr>sch_avail_sp_sportssportsfac_arnis</vt:lpstr>
      <vt:lpstr>sch_avail_sp_sportssportsfac_athlrun</vt:lpstr>
      <vt:lpstr>sch_avail_sp_sportssportsfac_athlthrow</vt:lpstr>
      <vt:lpstr>sch_avail_sp_sportssportsfac_badm</vt:lpstr>
      <vt:lpstr>sch_avail_sp_sportssportsfac_baseball</vt:lpstr>
      <vt:lpstr>sch_avail_sp_sportssportsfac_basket</vt:lpstr>
      <vt:lpstr>sch_avail_sp_sportssportsfac_billard</vt:lpstr>
      <vt:lpstr>sch_avail_sp_sportssportsfac_bocce</vt:lpstr>
      <vt:lpstr>sch_avail_sp_sportssportsfac_boxing</vt:lpstr>
      <vt:lpstr>sch_avail_sp_sportssportsfac_chess</vt:lpstr>
      <vt:lpstr>sch_avail_sp_sportssportsfac_dancesports</vt:lpstr>
      <vt:lpstr>sch_avail_sp_sportssportsfac_football</vt:lpstr>
      <vt:lpstr>sch_avail_sp_sportssportsfac_futsal</vt:lpstr>
      <vt:lpstr>sch_avail_sp_sportssportsfac_goalball</vt:lpstr>
      <vt:lpstr>sch_avail_sp_sportssportsfac_mag</vt:lpstr>
      <vt:lpstr>sch_avail_sp_sportssportsfac_pencak</vt:lpstr>
      <vt:lpstr>sch_avail_sp_sportssportsfac_rg</vt:lpstr>
      <vt:lpstr>sch_avail_sp_sportssportsfac_sepaktakraw</vt:lpstr>
      <vt:lpstr>sch_avail_sp_sportssportsfac_softball</vt:lpstr>
      <vt:lpstr>sch_avail_sp_sportssportsfac_swimming</vt:lpstr>
      <vt:lpstr>sch_avail_sp_sportssportsfac_tabletennis</vt:lpstr>
      <vt:lpstr>sch_avail_sp_sportssportsfac_taekwondo</vt:lpstr>
      <vt:lpstr>sch_avail_sp_sportssportsfac_tennis</vt:lpstr>
      <vt:lpstr>sch_avail_sp_sportssportsfac_volleyball</vt:lpstr>
      <vt:lpstr>sch_avail_sp_sportssportsfac_wag</vt:lpstr>
      <vt:lpstr>sch_avail_sp_sportssportsfac_wrestling</vt:lpstr>
      <vt:lpstr>sch_avail_sp_sportssportsfac_wushu</vt:lpstr>
      <vt:lpstr>sch_cancer_brainspine_died_amongl</vt:lpstr>
      <vt:lpstr>sch_cancer_brainspine_livingw_amongl</vt:lpstr>
      <vt:lpstr>sch_cancer_brainspine_patient_amongl</vt:lpstr>
      <vt:lpstr>sch_cancer_brainspine_survivor_amongl</vt:lpstr>
      <vt:lpstr>sch_cancer_breast_died_amongsper</vt:lpstr>
      <vt:lpstr>sch_cancer_breast_livingw_amongsper</vt:lpstr>
      <vt:lpstr>sch_cancer_breast_patient_amongsper</vt:lpstr>
      <vt:lpstr>sch_cancer_breast_survivor_amongsper</vt:lpstr>
      <vt:lpstr>sch_cancer_leuk_died_amongl</vt:lpstr>
      <vt:lpstr>sch_cancer_leuk_livingw_amongl</vt:lpstr>
      <vt:lpstr>sch_cancer_leuk_patient_amongl</vt:lpstr>
      <vt:lpstr>sch_cancer_leuk_survivor_amongl</vt:lpstr>
      <vt:lpstr>sch_cancer_lung_died_amongsper</vt:lpstr>
      <vt:lpstr>sch_cancer_lung_livingw_amongsper</vt:lpstr>
      <vt:lpstr>sch_cancer_lung_patient_amongsper</vt:lpstr>
      <vt:lpstr>sch_cancer_lung_survivor_amongsper</vt:lpstr>
      <vt:lpstr>sch_cancer_othrs_died_amongl</vt:lpstr>
      <vt:lpstr>sch_cancer_othrs_died_amongsper</vt:lpstr>
      <vt:lpstr>sch_cancer_othrs_livingw_amongl</vt:lpstr>
      <vt:lpstr>sch_cancer_othrs_livingw_amongsper</vt:lpstr>
      <vt:lpstr>sch_cancer_othrs_patient_amongl</vt:lpstr>
      <vt:lpstr>sch_cancer_othrs_patient_amongsper</vt:lpstr>
      <vt:lpstr>sch_cancer_othrs_survivor_amongl</vt:lpstr>
      <vt:lpstr>sch_cancer_othrs_survivor_amongsper</vt:lpstr>
      <vt:lpstr>sch_celeb_ipday_ifyes</vt:lpstr>
      <vt:lpstr>sch_celeb_ipmonth_ifyes</vt:lpstr>
      <vt:lpstr>sch_celebrate_nmhwyes</vt:lpstr>
      <vt:lpstr>sch_cellular_avemonthlyexpense1</vt:lpstr>
      <vt:lpstr>sch_cellular_avemonthlyexpense2</vt:lpstr>
      <vt:lpstr>sch_cellular_avemonthlyexpense3</vt:lpstr>
      <vt:lpstr>sch_cellular_avemonthlyexpense4</vt:lpstr>
      <vt:lpstr>sch_cellular_avemonthlyexpense5</vt:lpstr>
      <vt:lpstr>sch_cellular_com_call1</vt:lpstr>
      <vt:lpstr>sch_cellular_com_call2</vt:lpstr>
      <vt:lpstr>sch_cellular_com_call3</vt:lpstr>
      <vt:lpstr>sch_cellular_com_call4</vt:lpstr>
      <vt:lpstr>sch_cellular_com_call5</vt:lpstr>
      <vt:lpstr>sch_cellular_com_nosign1</vt:lpstr>
      <vt:lpstr>sch_cellular_com_nosign2</vt:lpstr>
      <vt:lpstr>sch_cellular_com_nosign3</vt:lpstr>
      <vt:lpstr>sch_cellular_com_nosign4</vt:lpstr>
      <vt:lpstr>sch_cellular_com_nosign5</vt:lpstr>
      <vt:lpstr>sch_cellular_com_send_viewimage1</vt:lpstr>
      <vt:lpstr>sch_cellular_com_send_viewimage2</vt:lpstr>
      <vt:lpstr>sch_cellular_com_send_viewimage3</vt:lpstr>
      <vt:lpstr>sch_cellular_com_send_viewimage4</vt:lpstr>
      <vt:lpstr>sch_cellular_com_send_viewimage5</vt:lpstr>
      <vt:lpstr>sch_cellular_com_text_sms1</vt:lpstr>
      <vt:lpstr>sch_cellular_com_text_sms2</vt:lpstr>
      <vt:lpstr>sch_cellular_com_text_sms3</vt:lpstr>
      <vt:lpstr>sch_cellular_com_text_sms4</vt:lpstr>
      <vt:lpstr>sch_cellular_com_text_sms5</vt:lpstr>
      <vt:lpstr>sch_cellular_com_vcall1</vt:lpstr>
      <vt:lpstr>sch_cellular_com_vcall2</vt:lpstr>
      <vt:lpstr>sch_cellular_com_vcall3</vt:lpstr>
      <vt:lpstr>sch_cellular_com_vcall4</vt:lpstr>
      <vt:lpstr>sch_cellular_com_vcall5</vt:lpstr>
      <vt:lpstr>sch_cgp_cond_careerguidact_yes</vt:lpstr>
      <vt:lpstr>sch_cgp_fcareerguidact_yes</vt:lpstr>
      <vt:lpstr>sch_cgp_guidadv_numyrs</vt:lpstr>
      <vt:lpstr>sch_cgp_guidadv_yes</vt:lpstr>
      <vt:lpstr>sch_cgp_guidancecounsel_numyrs_ass</vt:lpstr>
      <vt:lpstr>sch_cgp_guidancecounsel_yes</vt:lpstr>
      <vt:lpstr>sch_cgp_guidoffc_yes</vt:lpstr>
      <vt:lpstr>sch_clinic_bpa</vt:lpstr>
      <vt:lpstr>sch_clinic_designated_teach_yes</vt:lpstr>
      <vt:lpstr>sch_clinic_designated_yes</vt:lpstr>
      <vt:lpstr>sch_clinic_first_aids</vt:lpstr>
      <vt:lpstr>sch_clinic_scale_bathroom_unit</vt:lpstr>
      <vt:lpstr>sch_clinic_scale_beambalance_unit</vt:lpstr>
      <vt:lpstr>sch_clinic_scale_others_specify_unit</vt:lpstr>
      <vt:lpstr>sch_clinic_scale_others_unit</vt:lpstr>
      <vt:lpstr>sch_clinic_thermometers</vt:lpstr>
      <vt:lpstr>sch_clinic_tools_height_microtoise</vt:lpstr>
      <vt:lpstr>sch_clinic_tools_height_others_specify_value</vt:lpstr>
      <vt:lpstr>sch_clinic_tools_height_others_value</vt:lpstr>
      <vt:lpstr>sch_clinic_tools_height_stadiometer</vt:lpstr>
      <vt:lpstr>sch_clinic_tools_height_steeltape</vt:lpstr>
      <vt:lpstr>sch_clinic_tools_height_tapemeasure</vt:lpstr>
      <vt:lpstr>sch_clinic_training</vt:lpstr>
      <vt:lpstr>sch_cond_cant_reach_regcars_regpuv</vt:lpstr>
      <vt:lpstr>sch_cond_occ_danger_geo_challenges</vt:lpstr>
      <vt:lpstr>sch_cond_peaceandordertensions_past5yrs</vt:lpstr>
      <vt:lpstr>sch_cpc_fmeet_annually</vt:lpstr>
      <vt:lpstr>sch_cpc_fmeet_monthly</vt:lpstr>
      <vt:lpstr>sch_cpc_fmeet_others</vt:lpstr>
      <vt:lpstr>sch_cpc_fmeet_others_specify</vt:lpstr>
      <vt:lpstr>sch_cpc_fmeet_quarterly</vt:lpstr>
      <vt:lpstr>sch_cpc_yes</vt:lpstr>
      <vt:lpstr>sch_date_est</vt:lpstr>
      <vt:lpstr>sch_dhr_name</vt:lpstr>
      <vt:lpstr>sch_dhr_position</vt:lpstr>
      <vt:lpstr>sch_div_ito_name</vt:lpstr>
      <vt:lpstr>sch_division</vt:lpstr>
      <vt:lpstr>sch_divsped_name</vt:lpstr>
      <vt:lpstr>sch_divsped_postion</vt:lpstr>
      <vt:lpstr>sch_drrm_ccam_peacebuild_ccam_ppa_cost</vt:lpstr>
      <vt:lpstr>sch_drrm_ccam_peacebuild_ccam_ppa_no</vt:lpstr>
      <vt:lpstr>sch_drrm_ccam_peacebuild_ccam_ppa_percent</vt:lpstr>
      <vt:lpstr>sch_drrm_ccam_peacebuild_dim_non_teachper_f</vt:lpstr>
      <vt:lpstr>sch_drrm_ccam_peacebuild_dim_non_teachper_m</vt:lpstr>
      <vt:lpstr>sch_drrm_ccam_peacebuild_dim_prog_dev</vt:lpstr>
      <vt:lpstr>sch_drrm_ccam_peacebuild_dim_research</vt:lpstr>
      <vt:lpstr>sch_drrm_ccam_peacebuild_dim_sw_dcr</vt:lpstr>
      <vt:lpstr>sch_drrm_ccam_peacebuild_dim_teachper_f</vt:lpstr>
      <vt:lpstr>sch_drrm_ccam_peacebuild_dim_teachper_m</vt:lpstr>
      <vt:lpstr>sch_drrm_ccam_peacebuild_dim_train</vt:lpstr>
      <vt:lpstr>sch_drrm_ccam_peacebuild_docs_drrm</vt:lpstr>
      <vt:lpstr>sch_drrm_ccam_peacebuild_docs_peacebuild</vt:lpstr>
      <vt:lpstr>sch_drrm_ccam_peacebuild_drrm_coor</vt:lpstr>
      <vt:lpstr>sch_drrm_ccam_peacebuild_drrm_ppa_cost</vt:lpstr>
      <vt:lpstr>sch_drrm_ccam_peacebuild_drrm_ppa_no</vt:lpstr>
      <vt:lpstr>sch_drrm_ccam_peacebuild_drrm_ppa_percent</vt:lpstr>
      <vt:lpstr>sch_drrm_ccam_peacebuild_func_team</vt:lpstr>
      <vt:lpstr>sch_drrm_ccam_peacebuild_monitor_cssyes</vt:lpstr>
      <vt:lpstr>sch_drrm_ccam_peacebuild_monitor_evaluate_implementyes</vt:lpstr>
      <vt:lpstr>sch_drrm_ccam_peacebuild_nos_prog</vt:lpstr>
      <vt:lpstr>sch_drrm_ccam_peacebuild_pbuild_ppa_cost</vt:lpstr>
      <vt:lpstr>sch_drrm_ccam_peacebuild_pbuild_ppa_no</vt:lpstr>
      <vt:lpstr>sch_drrm_ccam_peacebuild_pbuild_ppa_percent</vt:lpstr>
      <vt:lpstr>sch_drrm_ccam_peacebuild_plan</vt:lpstr>
      <vt:lpstr>sch_drrm_ccam_peacebuild_plan_dev_expart</vt:lpstr>
      <vt:lpstr>sch_drrm_ccam_peacebuild_plan_dev_ip_l_f</vt:lpstr>
      <vt:lpstr>sch_drrm_ccam_peacebuild_plan_dev_ip_l_m</vt:lpstr>
      <vt:lpstr>sch_drrm_ccam_peacebuild_plan_dev_l_excl_ip_f</vt:lpstr>
      <vt:lpstr>sch_drrm_ccam_peacebuild_plan_dev_l_excl_ip_m</vt:lpstr>
      <vt:lpstr>sch_drrm_ccam_peacebuild_plan_dev_lgu</vt:lpstr>
      <vt:lpstr>sch_drrm_ccam_peacebuild_plan_dev_lwd_f</vt:lpstr>
      <vt:lpstr>sch_drrm_ccam_peacebuild_plan_dev_lwd_m</vt:lpstr>
      <vt:lpstr>sch_drrm_ccam_peacebuild_plan_dev_muslim_l_f</vt:lpstr>
      <vt:lpstr>sch_drrm_ccam_peacebuild_plan_dev_muslim_l_m</vt:lpstr>
      <vt:lpstr>sch_drrm_ccam_peacebuild_plan_dev_parents</vt:lpstr>
      <vt:lpstr>sch_drrm_ccam_peacebuild_plan_dev_sp</vt:lpstr>
      <vt:lpstr>sch_drrm_ccam_peacebuild_plan_gensense</vt:lpstr>
      <vt:lpstr>sch_drrm_ccam_peacebuild_plan_iksp</vt:lpstr>
      <vt:lpstr>sch_drrm_ccam_peacebuild_plan_lwd</vt:lpstr>
      <vt:lpstr>sch_drrm_ccam_peacebuild_plan2</vt:lpstr>
      <vt:lpstr>sch_email_add</vt:lpstr>
      <vt:lpstr>sch_exca_bull_amongl_g11</vt:lpstr>
      <vt:lpstr>sch_exca_bull_amongl_g12</vt:lpstr>
      <vt:lpstr>sch_exca_bull_amongsper_g11</vt:lpstr>
      <vt:lpstr>sch_exca_bull_amongsper_g12</vt:lpstr>
      <vt:lpstr>sch_exca_mental_amongl_g11</vt:lpstr>
      <vt:lpstr>sch_exca_mental_amongl_g12</vt:lpstr>
      <vt:lpstr>sch_exca_mental_amongsper_g11</vt:lpstr>
      <vt:lpstr>sch_exca_mental_amongsper_g12</vt:lpstr>
      <vt:lpstr>sch_excac_other_amongl_g11</vt:lpstr>
      <vt:lpstr>sch_excac_other_amongl_g12</vt:lpstr>
      <vt:lpstr>sch_excac_other_amongsper_g11</vt:lpstr>
      <vt:lpstr>sch_excac_other_amongsper_g12</vt:lpstr>
      <vt:lpstr>sch_excac_psycho_amongl_g11</vt:lpstr>
      <vt:lpstr>sch_excac_psycho_amongl_g12</vt:lpstr>
      <vt:lpstr>sch_excac_psycho_amongsper_g11</vt:lpstr>
      <vt:lpstr>sch_excac_psycho_amongsper_g12</vt:lpstr>
      <vt:lpstr>sch_excac_selfcare_amongl_g11</vt:lpstr>
      <vt:lpstr>sch_excac_selfcare_amongl_g12</vt:lpstr>
      <vt:lpstr>sch_excac_selfcare_amongsper_g11</vt:lpstr>
      <vt:lpstr>sch_excac_selfcare_amongsper_g12</vt:lpstr>
      <vt:lpstr>sch_excac_suiprevent_amongl_g11</vt:lpstr>
      <vt:lpstr>sch_excac_suiprevent_amongl_g12</vt:lpstr>
      <vt:lpstr>sch_excac_suiprevent_amongsper_g11</vt:lpstr>
      <vt:lpstr>sch_excac_suiprevent_amongsper_g12</vt:lpstr>
      <vt:lpstr>sch_farm</vt:lpstr>
      <vt:lpstr>sch_fax_no</vt:lpstr>
      <vt:lpstr>sch_female_learners_given_wifa_jan_mar_2021_g11</vt:lpstr>
      <vt:lpstr>sch_female_learners_given_wifa_jan_mar_2021_g12</vt:lpstr>
      <vt:lpstr>sch_female_learners_given_wifa_july_sept_2020_g11</vt:lpstr>
      <vt:lpstr>sch_female_learners_given_wifa_july_sept_2020_g12</vt:lpstr>
      <vt:lpstr>sch_female_learners_wifa_with_consent_g11</vt:lpstr>
      <vt:lpstr>sch_female_learners_wifa_with_consent_g12</vt:lpstr>
      <vt:lpstr>sch_guidance_officeyes</vt:lpstr>
      <vt:lpstr>sch_head_attend_iped_ifyes</vt:lpstr>
      <vt:lpstr>sch_head_ip_ifyes</vt:lpstr>
      <vt:lpstr>sch_head_ip_ifyes_ethnicity</vt:lpstr>
      <vt:lpstr>sch_head_name</vt:lpstr>
      <vt:lpstr>sch_head_pos_title</vt:lpstr>
      <vt:lpstr>sch_health_learners_dewormed_g11_f</vt:lpstr>
      <vt:lpstr>sch_health_learners_dewormed_g11_m</vt:lpstr>
      <vt:lpstr>sch_health_learners_dewormed_g12_f</vt:lpstr>
      <vt:lpstr>sch_health_learners_dewormed_g12_m</vt:lpstr>
      <vt:lpstr>sch_health_nsh_normal_g11_f</vt:lpstr>
      <vt:lpstr>sch_health_nsh_normal_g11_m</vt:lpstr>
      <vt:lpstr>sch_health_nsh_normal_g12_f</vt:lpstr>
      <vt:lpstr>sch_health_nsh_normal_g12_m</vt:lpstr>
      <vt:lpstr>sch_health_nsh_severely_stunted_g11_f</vt:lpstr>
      <vt:lpstr>sch_health_nsh_severely_stunted_g11_m</vt:lpstr>
      <vt:lpstr>sch_health_nsh_severely_stunted_g12_f</vt:lpstr>
      <vt:lpstr>sch_health_nsh_severely_stunted_g12_m</vt:lpstr>
      <vt:lpstr>sch_health_nsh_stunted_g11_f</vt:lpstr>
      <vt:lpstr>sch_health_nsh_stunted_g11_m</vt:lpstr>
      <vt:lpstr>sch_health_nsh_stunted_g12_f</vt:lpstr>
      <vt:lpstr>sch_health_nsh_stunted_g12_m</vt:lpstr>
      <vt:lpstr>sch_health_nsh_tall_g11_f</vt:lpstr>
      <vt:lpstr>sch_health_nsh_tall_g11_m</vt:lpstr>
      <vt:lpstr>sch_health_nsh_tall_g12_f</vt:lpstr>
      <vt:lpstr>sch_health_nsh_tall_g12_m</vt:lpstr>
      <vt:lpstr>sch_health_nsw_normal_g11_f</vt:lpstr>
      <vt:lpstr>sch_health_nsw_normal_g11_m</vt:lpstr>
      <vt:lpstr>sch_health_nsw_normal_g12_f</vt:lpstr>
      <vt:lpstr>sch_health_nsw_normal_g12_m</vt:lpstr>
      <vt:lpstr>sch_health_nsw_obese_g11_f</vt:lpstr>
      <vt:lpstr>sch_health_nsw_obese_g11_m</vt:lpstr>
      <vt:lpstr>sch_health_nsw_obese_g12_f</vt:lpstr>
      <vt:lpstr>sch_health_nsw_obese_g12_m</vt:lpstr>
      <vt:lpstr>sch_health_nsw_overweight_g11_f</vt:lpstr>
      <vt:lpstr>sch_health_nsw_overweight_g11_m</vt:lpstr>
      <vt:lpstr>sch_health_nsw_overweight_g12_f</vt:lpstr>
      <vt:lpstr>sch_health_nsw_overweight_g12_m</vt:lpstr>
      <vt:lpstr>sch_health_nsw_severelywasted_g11_f</vt:lpstr>
      <vt:lpstr>sch_health_nsw_severelywasted_g11_m</vt:lpstr>
      <vt:lpstr>sch_health_nsw_severelywasted_g12_f</vt:lpstr>
      <vt:lpstr>sch_health_nsw_severelywasted_g12_m</vt:lpstr>
      <vt:lpstr>sch_health_nsw_wasted_g11_f</vt:lpstr>
      <vt:lpstr>sch_health_nsw_wasted_g11_m</vt:lpstr>
      <vt:lpstr>sch_health_nsw_wasted_g12_f</vt:lpstr>
      <vt:lpstr>sch_health_nsw_wasted_g12_m</vt:lpstr>
      <vt:lpstr>sch_heath_vacc_mcv_g11_f</vt:lpstr>
      <vt:lpstr>sch_heath_vacc_mcv_g11_m</vt:lpstr>
      <vt:lpstr>sch_heath_vacc_mcv_g12_f</vt:lpstr>
      <vt:lpstr>sch_heath_vacc_mcv_g12_m</vt:lpstr>
      <vt:lpstr>sch_heath_vacc_td_g11_f</vt:lpstr>
      <vt:lpstr>sch_heath_vacc_td_g11_m</vt:lpstr>
      <vt:lpstr>sch_heath_vacc_td_g12_f</vt:lpstr>
      <vt:lpstr>sch_heath_vacc_td_g12_m</vt:lpstr>
      <vt:lpstr>sch_id</vt:lpstr>
      <vt:lpstr>sch_impreg_adm_g11</vt:lpstr>
      <vt:lpstr>sch_impreg_adm_g12</vt:lpstr>
      <vt:lpstr>sch_impreg_drop_g11</vt:lpstr>
      <vt:lpstr>sch_impreg_drop_g12</vt:lpstr>
      <vt:lpstr>sch_impreg_insch_g11</vt:lpstr>
      <vt:lpstr>sch_impreg_insch_g12</vt:lpstr>
      <vt:lpstr>sch_impreg_transin_g11</vt:lpstr>
      <vt:lpstr>sch_impreg_transin_g12</vt:lpstr>
      <vt:lpstr>sch_impreg_transout_g11</vt:lpstr>
      <vt:lpstr>sch_impreg_transout_g12</vt:lpstr>
      <vt:lpstr>sch_intercon_isp_subscribe_adminuse_yes</vt:lpstr>
      <vt:lpstr>sch_intercon_isp_subscribe_clinstructionuse_yes</vt:lpstr>
      <vt:lpstr>sch_intercon_isp_subscribe_yes</vt:lpstr>
      <vt:lpstr>sch_intercon_isp_yes</vt:lpstr>
      <vt:lpstr>sch_intercon_isp_yes_bayantel</vt:lpstr>
      <vt:lpstr>sch_intercon_isp_yes_digitel</vt:lpstr>
      <vt:lpstr>sch_intercon_isp_yes_globe</vt:lpstr>
      <vt:lpstr>sch_intercon_isp_yes_other_specify</vt:lpstr>
      <vt:lpstr>sch_intercon_isp_yes_otherspec</vt:lpstr>
      <vt:lpstr>sch_intercon_isp_yes_pldt</vt:lpstr>
      <vt:lpstr>sch_intercon_isp_yes_smart</vt:lpstr>
      <vt:lpstr>sch_intercon_isp_yes_sun</vt:lpstr>
      <vt:lpstr>sch_intercon_isp_yes_witg</vt:lpstr>
      <vt:lpstr>sch_intercon_num_speedtest_download_mbps</vt:lpstr>
      <vt:lpstr>sch_intercon_num_speedtest_ping_ms</vt:lpstr>
      <vt:lpstr>sch_intercon_num_speedtest_timetested</vt:lpstr>
      <vt:lpstr>sch_intercon_num_speedtest_upload_mbps</vt:lpstr>
      <vt:lpstr>sch_intercon_speedtest_datetested_mm_dd_yyyy</vt:lpstr>
      <vt:lpstr>sch_internet_avemonthlyexpense1</vt:lpstr>
      <vt:lpstr>sch_internet_avemonthlyexpense2</vt:lpstr>
      <vt:lpstr>sch_internet_avemonthlyexpense3</vt:lpstr>
      <vt:lpstr>sch_internet_avemonthlyexpense4</vt:lpstr>
      <vt:lpstr>sch_internet_avemonthlyexpense5</vt:lpstr>
      <vt:lpstr>sch_iu</vt:lpstr>
      <vt:lpstr>sch_learn_both_smoke_endsennds_g11</vt:lpstr>
      <vt:lpstr>sch_learn_both_smoke_endsennds_g12</vt:lpstr>
      <vt:lpstr>sch_learn_endsennds_not_smoke_g11</vt:lpstr>
      <vt:lpstr>sch_learn_endsennds_not_smoke_g12</vt:lpstr>
      <vt:lpstr>sch_learn_smoke_not_endsennds_g11</vt:lpstr>
      <vt:lpstr>sch_learn_smoke_not_endsennds_g12</vt:lpstr>
      <vt:lpstr>sch_leg_dist</vt:lpstr>
      <vt:lpstr>sch_lev_pol_l</vt:lpstr>
      <vt:lpstr>sch_lev_pol_lgu</vt:lpstr>
      <vt:lpstr>sch_lev_pol_ngo</vt:lpstr>
      <vt:lpstr>sch_lev_pol_parents</vt:lpstr>
      <vt:lpstr>sch_lev_pol_per</vt:lpstr>
      <vt:lpstr>sch_loc_ancest_dom_armed_conf</vt:lpstr>
      <vt:lpstr>sch_mental_guidancelcoun_numlearner_g11</vt:lpstr>
      <vt:lpstr>sch_mental_guidancelcoun_numlearner_g12</vt:lpstr>
      <vt:lpstr>sch_mh_atpsuicide_learners_aftersy_aug</vt:lpstr>
      <vt:lpstr>sch_mh_atpsuicide_learners_aftersy_jul</vt:lpstr>
      <vt:lpstr>sch_mh_atpsuicide_learners_aftersy_jun</vt:lpstr>
      <vt:lpstr>sch_mh_atpsuicide_learners_duringsy_aug</vt:lpstr>
      <vt:lpstr>sch_mh_atpsuicide_learners_duringsy_nov</vt:lpstr>
      <vt:lpstr>sch_mh_atpsuicide_learners_duringsy_oct</vt:lpstr>
      <vt:lpstr>sch_mh_atpsuicide_learners_duringsy_sep</vt:lpstr>
      <vt:lpstr>sch_mh_atpsuicide_learners_lastsy_apr</vt:lpstr>
      <vt:lpstr>sch_mh_atpsuicide_learners_lastsy_dec</vt:lpstr>
      <vt:lpstr>sch_mh_atpsuicide_learners_lastsy_feb</vt:lpstr>
      <vt:lpstr>sch_mh_atpsuicide_learners_lastsy_jan</vt:lpstr>
      <vt:lpstr>sch_mh_atpsuicide_learners_lastsy_jun</vt:lpstr>
      <vt:lpstr>sch_mh_atpsuicide_learners_lastsy_mar</vt:lpstr>
      <vt:lpstr>sch_mh_atpsuicide_learners_lastsy_may</vt:lpstr>
      <vt:lpstr>sch_mh_atpsuicide_personnel_aftersy_aug</vt:lpstr>
      <vt:lpstr>sch_mh_atpsuicide_personnel_aftersy_jul</vt:lpstr>
      <vt:lpstr>sch_mh_atpsuicide_personnel_aftersy_jun</vt:lpstr>
      <vt:lpstr>sch_mh_atpsuicide_personnel_duringsy_aug</vt:lpstr>
      <vt:lpstr>sch_mh_atpsuicide_personnel_duringsy_nov</vt:lpstr>
      <vt:lpstr>sch_mh_atpsuicide_personnel_duringsy_oct</vt:lpstr>
      <vt:lpstr>sch_mh_atpsuicide_personnel_duringsy_sep</vt:lpstr>
      <vt:lpstr>sch_mh_atpsuicide_personnel_lastsy_apr</vt:lpstr>
      <vt:lpstr>sch_mh_atpsuicide_personnel_lastsy_dec</vt:lpstr>
      <vt:lpstr>sch_mh_atpsuicide_personnel_lastsy_feb</vt:lpstr>
      <vt:lpstr>sch_mh_atpsuicide_personnel_lastsy_jan</vt:lpstr>
      <vt:lpstr>sch_mh_atpsuicide_personnel_lastsy_jun</vt:lpstr>
      <vt:lpstr>sch_mh_atpsuicide_personnel_lastsy_mar</vt:lpstr>
      <vt:lpstr>sch_mh_atpsuicide_personnel_lastsy_may</vt:lpstr>
      <vt:lpstr>sch_mh_suicide_learners_aftersy_aug</vt:lpstr>
      <vt:lpstr>sch_mh_suicide_learners_aftersy_jul</vt:lpstr>
      <vt:lpstr>sch_mh_suicide_learners_aftersy_jun</vt:lpstr>
      <vt:lpstr>sch_mh_suicide_learners_duringsy_aug</vt:lpstr>
      <vt:lpstr>sch_mh_suicide_learners_duringsy_nov</vt:lpstr>
      <vt:lpstr>sch_mh_suicide_learners_duringsy_oct</vt:lpstr>
      <vt:lpstr>sch_mh_suicide_learners_duringsy_sep</vt:lpstr>
      <vt:lpstr>sch_mh_suicide_learners_lastsy_apr</vt:lpstr>
      <vt:lpstr>sch_mh_suicide_learners_lastsy_dec</vt:lpstr>
      <vt:lpstr>sch_mh_suicide_learners_lastsy_feb</vt:lpstr>
      <vt:lpstr>sch_mh_suicide_learners_lastsy_jan</vt:lpstr>
      <vt:lpstr>sch_mh_suicide_learners_lastsy_jun</vt:lpstr>
      <vt:lpstr>sch_mh_suicide_learners_lastsy_mar</vt:lpstr>
      <vt:lpstr>sch_mh_suicide_learners_lastsy_may</vt:lpstr>
      <vt:lpstr>sch_mh_suicide_personnel_aftersy_aug</vt:lpstr>
      <vt:lpstr>sch_mh_suicide_personnel_aftersy_jul</vt:lpstr>
      <vt:lpstr>sch_mh_suicide_personnel_aftersy_jun</vt:lpstr>
      <vt:lpstr>sch_mh_suicide_personnel_duringsy_aug</vt:lpstr>
      <vt:lpstr>sch_mh_suicide_personnel_duringsy_nov</vt:lpstr>
      <vt:lpstr>sch_mh_suicide_personnel_duringsy_oct</vt:lpstr>
      <vt:lpstr>sch_mh_suicide_personnel_duringsy_sep</vt:lpstr>
      <vt:lpstr>sch_mh_suicide_personnel_lastsy_apr</vt:lpstr>
      <vt:lpstr>sch_mh_suicide_personnel_lastsy_dec</vt:lpstr>
      <vt:lpstr>sch_mh_suicide_personnel_lastsy_feb</vt:lpstr>
      <vt:lpstr>sch_mh_suicide_personnel_lastsy_jan</vt:lpstr>
      <vt:lpstr>sch_mh_suicide_personnel_lastsy_jun</vt:lpstr>
      <vt:lpstr>sch_mh_suicide_personnel_lastsy_mar</vt:lpstr>
      <vt:lpstr>sch_mh_suicide_personnel_lastsy_may</vt:lpstr>
      <vt:lpstr>sch_mob_no</vt:lpstr>
      <vt:lpstr>sch_mother_sch_id</vt:lpstr>
      <vt:lpstr>sch_name</vt:lpstr>
      <vt:lpstr>sch_nosmoking_postschgate_yes</vt:lpstr>
      <vt:lpstr>sch_nosmoking_sign_yes</vt:lpstr>
      <vt:lpstr>sch_num_cpcases_refer_apprauth</vt:lpstr>
      <vt:lpstr>sch_num_funct_computers_acad_desktop_depeddcp</vt:lpstr>
      <vt:lpstr>sch_num_funct_computers_acad_desktop_lgusef</vt:lpstr>
      <vt:lpstr>sch_num_funct_computers_acad_desktop_othergov</vt:lpstr>
      <vt:lpstr>sch_num_funct_computers_acad_desktop_others</vt:lpstr>
      <vt:lpstr>sch_num_funct_computers_acad_desktop_privatedon</vt:lpstr>
      <vt:lpstr>sch_num_funct_computers_acad_desktop_pta</vt:lpstr>
      <vt:lpstr>sch_num_funct_computers_acad_dvt_depeddcp</vt:lpstr>
      <vt:lpstr>sch_num_funct_computers_acad_dvt_depednondcp</vt:lpstr>
      <vt:lpstr>sch_num_funct_computers_acad_dvt_lgusef</vt:lpstr>
      <vt:lpstr>sch_num_funct_computers_acad_dvt_othergov</vt:lpstr>
      <vt:lpstr>sch_num_funct_computers_acad_dvt_others</vt:lpstr>
      <vt:lpstr>sch_num_funct_computers_acad_dvt_privatedon</vt:lpstr>
      <vt:lpstr>sch_num_funct_computers_acad_dvt_pta</vt:lpstr>
      <vt:lpstr>sch_num_funct_computers_acad_lapel_depeddcp</vt:lpstr>
      <vt:lpstr>sch_num_funct_computers_acad_lapel_depednondcp</vt:lpstr>
      <vt:lpstr>sch_num_funct_computers_acad_lapel_lgusef</vt:lpstr>
      <vt:lpstr>sch_num_funct_computers_acad_lapel_othergov</vt:lpstr>
      <vt:lpstr>sch_num_funct_computers_acad_lapel_others</vt:lpstr>
      <vt:lpstr>sch_num_funct_computers_acad_lapel_privatedon</vt:lpstr>
      <vt:lpstr>sch_num_funct_computers_acad_lapel_pta</vt:lpstr>
      <vt:lpstr>sch_num_funct_computers_acad_ledtv_depeddcp</vt:lpstr>
      <vt:lpstr>sch_num_funct_computers_acad_ledtv_depednondcp</vt:lpstr>
      <vt:lpstr>sch_num_funct_computers_acad_ledtv_lgusef</vt:lpstr>
      <vt:lpstr>sch_num_funct_computers_acad_ledtv_othergov</vt:lpstr>
      <vt:lpstr>sch_num_funct_computers_acad_ledtv_others</vt:lpstr>
      <vt:lpstr>sch_num_funct_computers_acad_ledtv_privatedon</vt:lpstr>
      <vt:lpstr>sch_num_funct_computers_acad_ledtv_pta</vt:lpstr>
      <vt:lpstr>sch_num_funct_computers_acad_netswitch_depeddcp</vt:lpstr>
      <vt:lpstr>sch_num_funct_computers_acad_netswitch_depednondcp</vt:lpstr>
      <vt:lpstr>sch_num_funct_computers_acad_netswitch_lgusef</vt:lpstr>
      <vt:lpstr>sch_num_funct_computers_acad_netswitch_othergov</vt:lpstr>
      <vt:lpstr>sch_num_funct_computers_acad_netswitch_others</vt:lpstr>
      <vt:lpstr>sch_num_funct_computers_acad_netswitch_privatedon</vt:lpstr>
      <vt:lpstr>sch_num_funct_computers_acad_netswitch_pta</vt:lpstr>
      <vt:lpstr>sch_num_funct_computers_acad_notnetbook_depeddcp</vt:lpstr>
      <vt:lpstr>sch_num_funct_computers_acad_notnetbook_depednondcp</vt:lpstr>
      <vt:lpstr>sch_num_funct_computers_acad_notnetbook_lgusef</vt:lpstr>
      <vt:lpstr>sch_num_funct_computers_acad_notnetbook_othergov</vt:lpstr>
      <vt:lpstr>sch_num_funct_computers_acad_notnetbook_others</vt:lpstr>
      <vt:lpstr>sch_num_funct_computers_acad_notnetbook_privatedon</vt:lpstr>
      <vt:lpstr>sch_num_funct_computers_acad_notnetbook_pta</vt:lpstr>
      <vt:lpstr>sch_num_funct_computers_acad_printer_depeddcp</vt:lpstr>
      <vt:lpstr>sch_num_funct_computers_acad_printer_depednondcp</vt:lpstr>
      <vt:lpstr>sch_num_funct_computers_acad_printer_lgusef</vt:lpstr>
      <vt:lpstr>sch_num_funct_computers_acad_printer_othergov</vt:lpstr>
      <vt:lpstr>sch_num_funct_computers_acad_printer_others</vt:lpstr>
      <vt:lpstr>sch_num_funct_computers_acad_printer_privatedon</vt:lpstr>
      <vt:lpstr>sch_num_funct_computers_acad_printer_pta</vt:lpstr>
      <vt:lpstr>sch_num_funct_computers_acad_projector_depeddcp</vt:lpstr>
      <vt:lpstr>sch_num_funct_computers_acad_projector_depednondcp</vt:lpstr>
      <vt:lpstr>sch_num_funct_computers_acad_projector_lgusef</vt:lpstr>
      <vt:lpstr>sch_num_funct_computers_acad_projector_othergov</vt:lpstr>
      <vt:lpstr>sch_num_funct_computers_acad_projector_others</vt:lpstr>
      <vt:lpstr>sch_num_funct_computers_acad_projector_privatedon</vt:lpstr>
      <vt:lpstr>sch_num_funct_computers_acad_projector_pta</vt:lpstr>
      <vt:lpstr>sch_num_funct_computers_acad_router_depeddcp</vt:lpstr>
      <vt:lpstr>sch_num_funct_computers_acad_router_depednondcp</vt:lpstr>
      <vt:lpstr>sch_num_funct_computers_acad_router_lgusef</vt:lpstr>
      <vt:lpstr>sch_num_funct_computers_acad_router_othergov</vt:lpstr>
      <vt:lpstr>sch_num_funct_computers_acad_router_others</vt:lpstr>
      <vt:lpstr>sch_num_funct_computers_acad_router_privatedon</vt:lpstr>
      <vt:lpstr>sch_num_funct_computers_acad_router_pta</vt:lpstr>
      <vt:lpstr>sch_num_funct_computers_acad_sgs_desktop_depednondcp</vt:lpstr>
      <vt:lpstr>sch_num_funct_computers_acad_tablet_depeddcp</vt:lpstr>
      <vt:lpstr>sch_num_funct_computers_acad_tablet_depednondcp</vt:lpstr>
      <vt:lpstr>sch_num_funct_computers_acad_tablet_lgusef</vt:lpstr>
      <vt:lpstr>sch_num_funct_computers_acad_tablet_othergov</vt:lpstr>
      <vt:lpstr>sch_num_funct_computers_acad_tablet_others</vt:lpstr>
      <vt:lpstr>sch_num_funct_computers_acad_tablet_privatedon</vt:lpstr>
      <vt:lpstr>sch_num_funct_computers_acad_tablet_pta</vt:lpstr>
      <vt:lpstr>sch_num_funct_computers_acad_tabletpc_depeddcp</vt:lpstr>
      <vt:lpstr>sch_num_funct_computers_acad_tabletpc_depednondcp</vt:lpstr>
      <vt:lpstr>sch_num_funct_computers_acad_tabletpc_lgusef</vt:lpstr>
      <vt:lpstr>sch_num_funct_computers_acad_tabletpc_othergov</vt:lpstr>
      <vt:lpstr>sch_num_funct_computers_acad_tabletpc_others</vt:lpstr>
      <vt:lpstr>sch_num_funct_computers_acad_tabletpc_privatedon</vt:lpstr>
      <vt:lpstr>sch_num_funct_computers_acad_tabletpc_pta</vt:lpstr>
      <vt:lpstr>sch_num_funct_computers_acad_ups_depeddcp</vt:lpstr>
      <vt:lpstr>sch_num_funct_computers_acad_ups_depednondcp</vt:lpstr>
      <vt:lpstr>sch_num_funct_computers_acad_ups_lgusef</vt:lpstr>
      <vt:lpstr>sch_num_funct_computers_acad_ups_othergov</vt:lpstr>
      <vt:lpstr>sch_num_funct_computers_acad_ups_others</vt:lpstr>
      <vt:lpstr>sch_num_funct_computers_acad_ups_privatedon</vt:lpstr>
      <vt:lpstr>sch_num_funct_computers_acad_ups_pta</vt:lpstr>
      <vt:lpstr>sch_num_funct_computers_admin_desktop_depeddcp</vt:lpstr>
      <vt:lpstr>sch_num_funct_computers_admin_desktop_depednondcp</vt:lpstr>
      <vt:lpstr>sch_num_funct_computers_admin_desktop_lgusef</vt:lpstr>
      <vt:lpstr>sch_num_funct_computers_admin_desktop_othergov</vt:lpstr>
      <vt:lpstr>sch_num_funct_computers_admin_desktop_others</vt:lpstr>
      <vt:lpstr>sch_num_funct_computers_admin_desktop_privatedon</vt:lpstr>
      <vt:lpstr>sch_num_funct_computers_admin_desktop_pta</vt:lpstr>
      <vt:lpstr>sch_num_funct_computers_admin_dvt_depeddcp</vt:lpstr>
      <vt:lpstr>sch_num_funct_computers_admin_dvt_depednondcp</vt:lpstr>
      <vt:lpstr>sch_num_funct_computers_admin_dvt_lgusef</vt:lpstr>
      <vt:lpstr>sch_num_funct_computers_admin_dvt_othergov</vt:lpstr>
      <vt:lpstr>sch_num_funct_computers_admin_dvt_others</vt:lpstr>
      <vt:lpstr>sch_num_funct_computers_admin_dvt_privatedon</vt:lpstr>
      <vt:lpstr>sch_num_funct_computers_admin_dvt_pta</vt:lpstr>
      <vt:lpstr>sch_num_funct_computers_admin_ledtv_depeddcp</vt:lpstr>
      <vt:lpstr>sch_num_funct_computers_admin_ledtv_depednondcp</vt:lpstr>
      <vt:lpstr>sch_num_funct_computers_admin_ledtv_lgusef</vt:lpstr>
      <vt:lpstr>sch_num_funct_computers_admin_ledtv_othergov</vt:lpstr>
      <vt:lpstr>sch_num_funct_computers_admin_ledtv_others</vt:lpstr>
      <vt:lpstr>sch_num_funct_computers_admin_ledtv_privatedon</vt:lpstr>
      <vt:lpstr>sch_num_funct_computers_admin_ledtv_pta</vt:lpstr>
      <vt:lpstr>sch_num_funct_computers_admin_netswitch_depeddcp</vt:lpstr>
      <vt:lpstr>sch_num_funct_computers_admin_netswitch_depednondcp</vt:lpstr>
      <vt:lpstr>sch_num_funct_computers_admin_netswitch_lgusef</vt:lpstr>
      <vt:lpstr>sch_num_funct_computers_admin_netswitch_othergov</vt:lpstr>
      <vt:lpstr>sch_num_funct_computers_admin_netswitch_others</vt:lpstr>
      <vt:lpstr>sch_num_funct_computers_admin_netswitch_privatedon</vt:lpstr>
      <vt:lpstr>sch_num_funct_computers_admin_netswitch_pta</vt:lpstr>
      <vt:lpstr>sch_num_funct_computers_admin_notnetbook_depeddcp</vt:lpstr>
      <vt:lpstr>sch_num_funct_computers_admin_notnetbook_depednondcp</vt:lpstr>
      <vt:lpstr>sch_num_funct_computers_admin_notnetbook_lgusef</vt:lpstr>
      <vt:lpstr>sch_num_funct_computers_admin_notnetbook_othergov</vt:lpstr>
      <vt:lpstr>sch_num_funct_computers_admin_notnetbook_others</vt:lpstr>
      <vt:lpstr>sch_num_funct_computers_admin_notnetbook_privatedon</vt:lpstr>
      <vt:lpstr>sch_num_funct_computers_admin_notnetbook_pta</vt:lpstr>
      <vt:lpstr>sch_num_funct_computers_admin_printer_depeddcp</vt:lpstr>
      <vt:lpstr>sch_num_funct_computers_admin_printer_depednondcp</vt:lpstr>
      <vt:lpstr>sch_num_funct_computers_admin_printer_lgusef</vt:lpstr>
      <vt:lpstr>sch_num_funct_computers_admin_printer_othergov</vt:lpstr>
      <vt:lpstr>sch_num_funct_computers_admin_printer_others</vt:lpstr>
      <vt:lpstr>sch_num_funct_computers_admin_printer_privatedon</vt:lpstr>
      <vt:lpstr>sch_num_funct_computers_admin_printer_pta</vt:lpstr>
      <vt:lpstr>sch_num_funct_computers_admin_projector_depeddcp</vt:lpstr>
      <vt:lpstr>sch_num_funct_computers_admin_projector_depednondcp</vt:lpstr>
      <vt:lpstr>sch_num_funct_computers_admin_projector_lgusef</vt:lpstr>
      <vt:lpstr>sch_num_funct_computers_admin_projector_othergov</vt:lpstr>
      <vt:lpstr>sch_num_funct_computers_admin_projector_others</vt:lpstr>
      <vt:lpstr>sch_num_funct_computers_admin_projector_privatedon</vt:lpstr>
      <vt:lpstr>sch_num_funct_computers_admin_projector_pta</vt:lpstr>
      <vt:lpstr>sch_num_funct_computers_admin_router_depeddcp</vt:lpstr>
      <vt:lpstr>sch_num_funct_computers_admin_router_depednondcp</vt:lpstr>
      <vt:lpstr>sch_num_funct_computers_admin_router_lgusef</vt:lpstr>
      <vt:lpstr>sch_num_funct_computers_admin_router_othergov</vt:lpstr>
      <vt:lpstr>sch_num_funct_computers_admin_router_others</vt:lpstr>
      <vt:lpstr>sch_num_funct_computers_admin_router_privatedon</vt:lpstr>
      <vt:lpstr>sch_num_funct_computers_admin_router_pta</vt:lpstr>
      <vt:lpstr>sch_num_funct_computers_admin_tablet_depeddcp</vt:lpstr>
      <vt:lpstr>sch_num_funct_computers_admin_tablet_depednondcp</vt:lpstr>
      <vt:lpstr>sch_num_funct_computers_admin_tablet_lgusef</vt:lpstr>
      <vt:lpstr>sch_num_funct_computers_admin_tablet_othergov</vt:lpstr>
      <vt:lpstr>sch_num_funct_computers_admin_tablet_others</vt:lpstr>
      <vt:lpstr>sch_num_funct_computers_admin_tablet_privatedon</vt:lpstr>
      <vt:lpstr>sch_num_funct_computers_admin_tablet_pta</vt:lpstr>
      <vt:lpstr>sch_num_funct_computers_admin_tabletpc_depeddcp</vt:lpstr>
      <vt:lpstr>sch_num_funct_computers_admin_tabletpc_depednondcp</vt:lpstr>
      <vt:lpstr>sch_num_funct_computers_admin_tabletpc_lgusef</vt:lpstr>
      <vt:lpstr>sch_num_funct_computers_admin_tabletpc_othergov</vt:lpstr>
      <vt:lpstr>sch_num_funct_computers_admin_tabletpc_others</vt:lpstr>
      <vt:lpstr>sch_num_funct_computers_admin_tabletpc_privatedon</vt:lpstr>
      <vt:lpstr>sch_num_funct_computers_admin_tabletpc_pta</vt:lpstr>
      <vt:lpstr>sch_num_funct_computers_admin_ups_depeddcp</vt:lpstr>
      <vt:lpstr>sch_num_funct_computers_admin_ups_depednondcp</vt:lpstr>
      <vt:lpstr>sch_num_funct_computers_admin_ups_lgusef</vt:lpstr>
      <vt:lpstr>sch_num_funct_computers_admin_ups_othergov</vt:lpstr>
      <vt:lpstr>sch_num_funct_computers_admin_ups_others</vt:lpstr>
      <vt:lpstr>sch_num_funct_computers_admin_ups_privatedon</vt:lpstr>
      <vt:lpstr>sch_num_funct_computers_admin_ups_pta</vt:lpstr>
      <vt:lpstr>sch_num_learn_vac_measle_gr11_f</vt:lpstr>
      <vt:lpstr>sch_num_learn_vac_measle_gr11_m</vt:lpstr>
      <vt:lpstr>sch_num_learn_vac_measle_gr12_f</vt:lpstr>
      <vt:lpstr>sch_num_learn_vac_measle_gr12_m</vt:lpstr>
      <vt:lpstr>sch_num_learn_vac_pap_vir_gr11_f</vt:lpstr>
      <vt:lpstr>sch_num_learn_vac_pap_vir_gr11_m</vt:lpstr>
      <vt:lpstr>sch_num_learn_vac_pap_vir_gr12_f</vt:lpstr>
      <vt:lpstr>sch_num_learn_vac_pap_vir_gr12_m</vt:lpstr>
      <vt:lpstr>sch_num_learn_vac_tet_dip_gr11_f</vt:lpstr>
      <vt:lpstr>sch_num_learn_vac_tet_dip_gr11_m</vt:lpstr>
      <vt:lpstr>sch_num_learn_vac_tet_dip_gr12_f</vt:lpstr>
      <vt:lpstr>sch_num_learn_vac_tet_dip_gr12_m</vt:lpstr>
      <vt:lpstr>sch_num_teach_ip_gr11_f</vt:lpstr>
      <vt:lpstr>sch_num_teach_ip_gr11_m</vt:lpstr>
      <vt:lpstr>sch_num_teach_ip_gr12_f</vt:lpstr>
      <vt:lpstr>sch_num_teach_ip_gr12_m</vt:lpstr>
      <vt:lpstr>sch_num_teach_orient_iped_f</vt:lpstr>
      <vt:lpstr>sch_num_teach_orient_iped_m</vt:lpstr>
      <vt:lpstr>sch_num_teach_train_iped_f</vt:lpstr>
      <vt:lpstr>sch_num_teach_train_iped_m</vt:lpstr>
      <vt:lpstr>sch_operational_centeryes</vt:lpstr>
      <vt:lpstr>sch_oralh_details_num_dmftpermatet_g11</vt:lpstr>
      <vt:lpstr>sch_oralh_details_num_dmftpermatet_g12</vt:lpstr>
      <vt:lpstr>sch_oralh_details_num_dmfttempotet_g11</vt:lpstr>
      <vt:lpstr>sch_oralh_details_num_dmfttempotet_g12</vt:lpstr>
      <vt:lpstr>sch_oralh_details_num_learner_dmftpermatet_11</vt:lpstr>
      <vt:lpstr>sch_oralh_details_num_learner_dmftpermatet_12</vt:lpstr>
      <vt:lpstr>sch_oralh_details_num_learner_dmfttempotet_g11</vt:lpstr>
      <vt:lpstr>sch_oralh_details_num_learner_dmfttempotet_g12</vt:lpstr>
      <vt:lpstr>sch_oralh_details_num_learner_fthgumdisease_g11</vt:lpstr>
      <vt:lpstr>sch_oralh_details_num_learner_fthgumdisease_g12</vt:lpstr>
      <vt:lpstr>sch_oralh_details_num_learner_wosigdentalanom_g11</vt:lpstr>
      <vt:lpstr>sch_oralh_details_num_learner_wosigdentalanom_g12</vt:lpstr>
      <vt:lpstr>sch_oralh_details_num_lexamined_g11</vt:lpstr>
      <vt:lpstr>sch_oralh_details_num_lexamined_g12</vt:lpstr>
      <vt:lpstr>sch_po3_name</vt:lpstr>
      <vt:lpstr>sch_preg_adm_g11</vt:lpstr>
      <vt:lpstr>sch_preg_adm_g12</vt:lpstr>
      <vt:lpstr>sch_preg_drop_g11</vt:lpstr>
      <vt:lpstr>sch_preg_drop_g12</vt:lpstr>
      <vt:lpstr>sch_preg_insch_g11</vt:lpstr>
      <vt:lpstr>sch_preg_insch_g12</vt:lpstr>
      <vt:lpstr>sch_preg_transin_g11</vt:lpstr>
      <vt:lpstr>sch_preg_transin_g12</vt:lpstr>
      <vt:lpstr>sch_preg_transout_g11</vt:lpstr>
      <vt:lpstr>sch_preg_transout_g12</vt:lpstr>
      <vt:lpstr>sch_prev_name</vt:lpstr>
      <vt:lpstr>sch_print_copy_avemonthexp1</vt:lpstr>
      <vt:lpstr>sch_print_copy_avemonthexp10</vt:lpstr>
      <vt:lpstr>sch_print_copy_avemonthexp2</vt:lpstr>
      <vt:lpstr>sch_print_copy_avemonthexp3</vt:lpstr>
      <vt:lpstr>sch_print_copy_avemonthexp4</vt:lpstr>
      <vt:lpstr>sch_print_copy_avemonthexp5</vt:lpstr>
      <vt:lpstr>sch_print_copy_avemonthexp6</vt:lpstr>
      <vt:lpstr>sch_print_copy_avemonthexp7</vt:lpstr>
      <vt:lpstr>sch_print_copy_avemonthexp8</vt:lpstr>
      <vt:lpstr>sch_print_copy_avemonthexp9</vt:lpstr>
      <vt:lpstr>sch_print_copy_brand_model1</vt:lpstr>
      <vt:lpstr>sch_print_copy_brand_model10</vt:lpstr>
      <vt:lpstr>sch_print_copy_brand_model2</vt:lpstr>
      <vt:lpstr>sch_print_copy_brand_model3</vt:lpstr>
      <vt:lpstr>sch_print_copy_brand_model4</vt:lpstr>
      <vt:lpstr>sch_print_copy_brand_model5</vt:lpstr>
      <vt:lpstr>sch_print_copy_brand_model6</vt:lpstr>
      <vt:lpstr>sch_print_copy_brand_model7</vt:lpstr>
      <vt:lpstr>sch_print_copy_brand_model8</vt:lpstr>
      <vt:lpstr>sch_print_copy_brand_model9</vt:lpstr>
      <vt:lpstr>sch_reg_guidance_counselyes</vt:lpstr>
      <vt:lpstr>sch_region</vt:lpstr>
      <vt:lpstr>sch_screening_toolyes</vt:lpstr>
      <vt:lpstr>sch_sdo_head_name</vt:lpstr>
      <vt:lpstr>sch_sdo_pos_title</vt:lpstr>
      <vt:lpstr>sch_seps_name</vt:lpstr>
      <vt:lpstr>sch_seps_name_prs_sgod</vt:lpstr>
      <vt:lpstr>sch_sgp_spgadviser_yes</vt:lpstr>
      <vt:lpstr>sch_sgp_spgadviser_yes_num_advisers</vt:lpstr>
      <vt:lpstr>sch_sgp_spgcouncil_yes</vt:lpstr>
      <vt:lpstr>sch_sh_both_smoke_endsennds</vt:lpstr>
      <vt:lpstr>sch_sh_endsennds_not_smoke</vt:lpstr>
      <vt:lpstr>sch_sh_neither_smoke_endsennds</vt:lpstr>
      <vt:lpstr>sch_sh_smoke_not_endsennds</vt:lpstr>
      <vt:lpstr>sch_shs_radio_frequency1</vt:lpstr>
      <vt:lpstr>sch_shs_radio_frequency10</vt:lpstr>
      <vt:lpstr>sch_shs_radio_frequency2</vt:lpstr>
      <vt:lpstr>sch_shs_radio_frequency3</vt:lpstr>
      <vt:lpstr>sch_shs_radio_frequency4</vt:lpstr>
      <vt:lpstr>sch_shs_radio_frequency5</vt:lpstr>
      <vt:lpstr>sch_shs_radio_frequency6</vt:lpstr>
      <vt:lpstr>sch_shs_radio_frequency7</vt:lpstr>
      <vt:lpstr>sch_shs_radio_frequency8</vt:lpstr>
      <vt:lpstr>sch_shs_radio_frequency9</vt:lpstr>
      <vt:lpstr>sch_shs_radio_ntc_lic1</vt:lpstr>
      <vt:lpstr>sch_shs_radio_ntc_lic10</vt:lpstr>
      <vt:lpstr>sch_shs_radio_ntc_lic2</vt:lpstr>
      <vt:lpstr>sch_shs_radio_ntc_lic3</vt:lpstr>
      <vt:lpstr>sch_shs_radio_ntc_lic4</vt:lpstr>
      <vt:lpstr>sch_shs_radio_ntc_lic5</vt:lpstr>
      <vt:lpstr>sch_shs_radio_ntc_lic6</vt:lpstr>
      <vt:lpstr>sch_shs_radio_ntc_lic7</vt:lpstr>
      <vt:lpstr>sch_shs_radio_ntc_lic8</vt:lpstr>
      <vt:lpstr>sch_shs_radio_ntc_lic9</vt:lpstr>
      <vt:lpstr>sch_shs_radio_purpose1</vt:lpstr>
      <vt:lpstr>sch_shs_radio_purpose10</vt:lpstr>
      <vt:lpstr>sch_shs_radio_purpose2</vt:lpstr>
      <vt:lpstr>sch_shs_radio_purpose3</vt:lpstr>
      <vt:lpstr>sch_shs_radio_purpose4</vt:lpstr>
      <vt:lpstr>sch_shs_radio_purpose5</vt:lpstr>
      <vt:lpstr>sch_shs_radio_purpose6</vt:lpstr>
      <vt:lpstr>sch_shs_radio_purpose7</vt:lpstr>
      <vt:lpstr>sch_shs_radio_purpose8</vt:lpstr>
      <vt:lpstr>sch_shs_radio_purpose9</vt:lpstr>
      <vt:lpstr>sch_shs_radio_unit1</vt:lpstr>
      <vt:lpstr>sch_shs_radio_unit10</vt:lpstr>
      <vt:lpstr>sch_shs_radio_unit2</vt:lpstr>
      <vt:lpstr>sch_shs_radio_unit3</vt:lpstr>
      <vt:lpstr>sch_shs_radio_unit4</vt:lpstr>
      <vt:lpstr>sch_shs_radio_unit5</vt:lpstr>
      <vt:lpstr>sch_shs_radio_unit6</vt:lpstr>
      <vt:lpstr>sch_shs_radio_unit7</vt:lpstr>
      <vt:lpstr>sch_shs_radio_unit8</vt:lpstr>
      <vt:lpstr>sch_shs_radio_unit9</vt:lpstr>
      <vt:lpstr>sch_sp_se_num_coaches_aerogymn</vt:lpstr>
      <vt:lpstr>sch_sp_se_num_coaches_arch</vt:lpstr>
      <vt:lpstr>sch_sp_se_num_coaches_arnis</vt:lpstr>
      <vt:lpstr>sch_sp_se_num_coaches_athlthrow</vt:lpstr>
      <vt:lpstr>sch_sp_se_num_coaches_athltrun</vt:lpstr>
      <vt:lpstr>sch_sp_se_num_coaches_badm</vt:lpstr>
      <vt:lpstr>sch_sp_se_num_coaches_baseball</vt:lpstr>
      <vt:lpstr>sch_sp_se_num_coaches_basket</vt:lpstr>
      <vt:lpstr>sch_sp_se_num_coaches_billard</vt:lpstr>
      <vt:lpstr>sch_sp_se_num_coaches_bocce</vt:lpstr>
      <vt:lpstr>sch_sp_se_num_coaches_boxing</vt:lpstr>
      <vt:lpstr>sch_sp_se_num_coaches_chess</vt:lpstr>
      <vt:lpstr>sch_sp_se_num_coaches_dancesports</vt:lpstr>
      <vt:lpstr>sch_sp_se_num_coaches_football</vt:lpstr>
      <vt:lpstr>sch_sp_se_num_coaches_futsal</vt:lpstr>
      <vt:lpstr>sch_sp_se_num_coaches_goalball</vt:lpstr>
      <vt:lpstr>sch_sp_se_num_coaches_mag</vt:lpstr>
      <vt:lpstr>sch_sp_se_num_coaches_pencak</vt:lpstr>
      <vt:lpstr>sch_sp_se_num_coaches_rg</vt:lpstr>
      <vt:lpstr>sch_sp_se_num_coaches_sepaktakraw</vt:lpstr>
      <vt:lpstr>sch_sp_se_num_coaches_softball</vt:lpstr>
      <vt:lpstr>sch_sp_se_num_coaches_swimming</vt:lpstr>
      <vt:lpstr>sch_sp_se_num_coaches_tabletennis</vt:lpstr>
      <vt:lpstr>sch_sp_se_num_coaches_taekwondo</vt:lpstr>
      <vt:lpstr>sch_sp_se_num_coaches_tennis</vt:lpstr>
      <vt:lpstr>sch_sp_se_num_coaches_volleyball</vt:lpstr>
      <vt:lpstr>sch_sp_se_num_coaches_wag</vt:lpstr>
      <vt:lpstr>sch_sp_se_num_coaches_wrestling</vt:lpstr>
      <vt:lpstr>sch_sp_se_num_coaches_wushu</vt:lpstr>
      <vt:lpstr>sch_sp_se_num_nonpeteachss_aerogymn</vt:lpstr>
      <vt:lpstr>sch_sp_se_num_nonpeteachss_arch</vt:lpstr>
      <vt:lpstr>sch_sp_se_num_nonpeteachss_arnis</vt:lpstr>
      <vt:lpstr>sch_sp_se_num_nonpeteachss_athlthrow</vt:lpstr>
      <vt:lpstr>sch_sp_se_num_nonpeteachss_athltrun</vt:lpstr>
      <vt:lpstr>sch_sp_se_num_nonpeteachss_badm</vt:lpstr>
      <vt:lpstr>sch_sp_se_num_nonpeteachss_baseball</vt:lpstr>
      <vt:lpstr>sch_sp_se_num_nonpeteachss_basket</vt:lpstr>
      <vt:lpstr>sch_sp_se_num_nonpeteachss_billard</vt:lpstr>
      <vt:lpstr>sch_sp_se_num_nonpeteachss_bocce</vt:lpstr>
      <vt:lpstr>sch_sp_se_num_nonpeteachss_boxing</vt:lpstr>
      <vt:lpstr>sch_sp_se_num_nonpeteachss_chess</vt:lpstr>
      <vt:lpstr>sch_sp_se_num_nonpeteachss_dancesports</vt:lpstr>
      <vt:lpstr>sch_sp_se_num_nonpeteachss_football</vt:lpstr>
      <vt:lpstr>sch_sp_se_num_nonpeteachss_futsal</vt:lpstr>
      <vt:lpstr>sch_sp_se_num_nonpeteachss_goalball</vt:lpstr>
      <vt:lpstr>sch_sp_se_num_nonpeteachss_mag</vt:lpstr>
      <vt:lpstr>sch_sp_se_num_nonpeteachss_pencak</vt:lpstr>
      <vt:lpstr>sch_sp_se_num_nonpeteachss_rg</vt:lpstr>
      <vt:lpstr>sch_sp_se_num_nonpeteachss_sepaktakraw</vt:lpstr>
      <vt:lpstr>sch_sp_se_num_nonpeteachss_softball</vt:lpstr>
      <vt:lpstr>sch_sp_se_num_nonpeteachss_swimming</vt:lpstr>
      <vt:lpstr>sch_sp_se_num_nonpeteachss_tabletennis</vt:lpstr>
      <vt:lpstr>sch_sp_se_num_nonpeteachss_taekwondo</vt:lpstr>
      <vt:lpstr>sch_sp_se_num_nonpeteachss_tennis</vt:lpstr>
      <vt:lpstr>sch_sp_se_num_nonpeteachss_volleyball</vt:lpstr>
      <vt:lpstr>sch_sp_se_num_nonpeteachss_wag</vt:lpstr>
      <vt:lpstr>sch_sp_se_num_nonpeteachss_wrestling</vt:lpstr>
      <vt:lpstr>sch_sp_se_num_nonpeteachss_wushu</vt:lpstr>
      <vt:lpstr>sch_sp_se_num_nonteachpss_aerogymn</vt:lpstr>
      <vt:lpstr>sch_sp_se_num_nonteachpss_arch</vt:lpstr>
      <vt:lpstr>sch_sp_se_num_nonteachpss_arnis</vt:lpstr>
      <vt:lpstr>sch_sp_se_num_nonteachpss_athlthrow</vt:lpstr>
      <vt:lpstr>sch_sp_se_num_nonteachpss_athltrun</vt:lpstr>
      <vt:lpstr>sch_sp_se_num_nonteachpss_badm</vt:lpstr>
      <vt:lpstr>sch_sp_se_num_nonteachpss_baseball</vt:lpstr>
      <vt:lpstr>sch_sp_se_num_nonteachpss_basket</vt:lpstr>
      <vt:lpstr>sch_sp_se_num_nonteachpss_billard</vt:lpstr>
      <vt:lpstr>sch_sp_se_num_nonteachpss_bocce</vt:lpstr>
      <vt:lpstr>sch_sp_se_num_nonteachpss_boxing</vt:lpstr>
      <vt:lpstr>sch_sp_se_num_nonteachpss_chess</vt:lpstr>
      <vt:lpstr>sch_sp_se_num_nonteachpss_dancesports</vt:lpstr>
      <vt:lpstr>sch_sp_se_num_nonteachpss_football</vt:lpstr>
      <vt:lpstr>sch_sp_se_num_nonteachpss_futsal</vt:lpstr>
      <vt:lpstr>sch_sp_se_num_nonteachpss_goalball</vt:lpstr>
      <vt:lpstr>sch_sp_se_num_nonteachpss_mag</vt:lpstr>
      <vt:lpstr>sch_sp_se_num_nonteachpss_pencak</vt:lpstr>
      <vt:lpstr>sch_sp_se_num_nonteachpss_rg</vt:lpstr>
      <vt:lpstr>sch_sp_se_num_nonteachpss_sepaktakraw</vt:lpstr>
      <vt:lpstr>sch_sp_se_num_nonteachpss_softball</vt:lpstr>
      <vt:lpstr>sch_sp_se_num_nonteachpss_swimming</vt:lpstr>
      <vt:lpstr>sch_sp_se_num_nonteachpss_tabletennis</vt:lpstr>
      <vt:lpstr>sch_sp_se_num_nonteachpss_taekwondo</vt:lpstr>
      <vt:lpstr>sch_sp_se_num_nonteachpss_tennis</vt:lpstr>
      <vt:lpstr>sch_sp_se_num_nonteachpss_volleyball</vt:lpstr>
      <vt:lpstr>sch_sp_se_num_nonteachpss_wag</vt:lpstr>
      <vt:lpstr>sch_sp_se_num_nonteachpss_wrestling</vt:lpstr>
      <vt:lpstr>sch_sp_se_num_nonteachpss_wushu</vt:lpstr>
      <vt:lpstr>sch_sp_se_num_officials_aerogymn</vt:lpstr>
      <vt:lpstr>sch_sp_se_num_officials_arch</vt:lpstr>
      <vt:lpstr>sch_sp_se_num_officials_arnis</vt:lpstr>
      <vt:lpstr>sch_sp_se_num_officials_athlthrow</vt:lpstr>
      <vt:lpstr>sch_sp_se_num_officials_athltrun</vt:lpstr>
      <vt:lpstr>sch_sp_se_num_officials_badm</vt:lpstr>
      <vt:lpstr>sch_sp_se_num_officials_baseball</vt:lpstr>
      <vt:lpstr>sch_sp_se_num_officials_basket</vt:lpstr>
      <vt:lpstr>sch_sp_se_num_officials_billard</vt:lpstr>
      <vt:lpstr>sch_sp_se_num_officials_bocce</vt:lpstr>
      <vt:lpstr>sch_sp_se_num_officials_boxing</vt:lpstr>
      <vt:lpstr>sch_sp_se_num_officials_chess</vt:lpstr>
      <vt:lpstr>sch_sp_se_num_officials_dancesports</vt:lpstr>
      <vt:lpstr>sch_sp_se_num_officials_football</vt:lpstr>
      <vt:lpstr>sch_sp_se_num_officials_futsal</vt:lpstr>
      <vt:lpstr>sch_sp_se_num_officials_goalball</vt:lpstr>
      <vt:lpstr>sch_sp_se_num_officials_mag</vt:lpstr>
      <vt:lpstr>sch_sp_se_num_officials_pencak</vt:lpstr>
      <vt:lpstr>sch_sp_se_num_officials_rg</vt:lpstr>
      <vt:lpstr>sch_sp_se_num_officials_sepaktakraw</vt:lpstr>
      <vt:lpstr>sch_sp_se_num_officials_softball</vt:lpstr>
      <vt:lpstr>sch_sp_se_num_officials_swimming</vt:lpstr>
      <vt:lpstr>sch_sp_se_num_officials_tabletennis</vt:lpstr>
      <vt:lpstr>sch_sp_se_num_officials_taekwondo</vt:lpstr>
      <vt:lpstr>sch_sp_se_num_officials_tennis</vt:lpstr>
      <vt:lpstr>sch_sp_se_num_officials_volleyball</vt:lpstr>
      <vt:lpstr>sch_sp_se_num_officials_wag</vt:lpstr>
      <vt:lpstr>sch_sp_se_num_officials_wrestling</vt:lpstr>
      <vt:lpstr>sch_sp_se_num_officials_wushu</vt:lpstr>
      <vt:lpstr>sch_sp_se_num_peteachss_aerogymn</vt:lpstr>
      <vt:lpstr>sch_sp_se_num_peteachss_arch</vt:lpstr>
      <vt:lpstr>sch_sp_se_num_peteachss_arnis</vt:lpstr>
      <vt:lpstr>sch_sp_se_num_peteachss_athlthrow</vt:lpstr>
      <vt:lpstr>sch_sp_se_num_peteachss_athltrun</vt:lpstr>
      <vt:lpstr>sch_sp_se_num_peteachss_badm</vt:lpstr>
      <vt:lpstr>sch_sp_se_num_peteachss_baseball</vt:lpstr>
      <vt:lpstr>sch_sp_se_num_peteachss_basket</vt:lpstr>
      <vt:lpstr>sch_sp_se_num_peteachss_billard</vt:lpstr>
      <vt:lpstr>sch_sp_se_num_peteachss_bocce</vt:lpstr>
      <vt:lpstr>sch_sp_se_num_peteachss_boxing</vt:lpstr>
      <vt:lpstr>sch_sp_se_num_peteachss_chess</vt:lpstr>
      <vt:lpstr>sch_sp_se_num_peteachss_dancesports</vt:lpstr>
      <vt:lpstr>sch_sp_se_num_peteachss_football</vt:lpstr>
      <vt:lpstr>sch_sp_se_num_peteachss_futsal</vt:lpstr>
      <vt:lpstr>sch_sp_se_num_peteachss_goalball</vt:lpstr>
      <vt:lpstr>sch_sp_se_num_peteachss_mag</vt:lpstr>
      <vt:lpstr>sch_sp_se_num_peteachss_pencak</vt:lpstr>
      <vt:lpstr>sch_sp_se_num_peteachss_rg</vt:lpstr>
      <vt:lpstr>sch_sp_se_num_peteachss_sepaktakraw</vt:lpstr>
      <vt:lpstr>sch_sp_se_num_peteachss_softball</vt:lpstr>
      <vt:lpstr>sch_sp_se_num_peteachss_swimming</vt:lpstr>
      <vt:lpstr>sch_sp_se_num_peteachss_tabletennis</vt:lpstr>
      <vt:lpstr>sch_sp_se_num_peteachss_taekwondo</vt:lpstr>
      <vt:lpstr>sch_sp_se_num_peteachss_tennis</vt:lpstr>
      <vt:lpstr>sch_sp_se_num_peteachss_volleyball</vt:lpstr>
      <vt:lpstr>sch_sp_se_num_peteachss_wag</vt:lpstr>
      <vt:lpstr>sch_sp_se_num_peteachss_wrestling</vt:lpstr>
      <vt:lpstr>sch_sp_se_num_peteachss_wushu</vt:lpstr>
      <vt:lpstr>sch_spg_jdivsearch_yes</vt:lpstr>
      <vt:lpstr>sch_spga_cto_sat_yes</vt:lpstr>
      <vt:lpstr>sch_spgactshs_schfees_collect_yes</vt:lpstr>
      <vt:lpstr>sch_spgadviser_deload_yes</vt:lpstr>
      <vt:lpstr>sch_spgadviser_hacadegree_doctorate_unit</vt:lpstr>
      <vt:lpstr>sch_spgadviser_hacadegree_master_unit</vt:lpstr>
      <vt:lpstr>sch_spgadviser_hacadegree_mastergrad</vt:lpstr>
      <vt:lpstr>sch_spgadviser_hacadegree_postgrad</vt:lpstr>
      <vt:lpstr>sch_spgadviser_hacadegree_undergrad</vt:lpstr>
      <vt:lpstr>sch_spgadviser_subjhandle_ap</vt:lpstr>
      <vt:lpstr>sch_spgadviser_subjhandle_fil</vt:lpstr>
      <vt:lpstr>sch_spgadviser_subjhandle_math</vt:lpstr>
      <vt:lpstr>sch_spgadviser_subjhandle_others</vt:lpstr>
      <vt:lpstr>sch_spgadviser_subjhandle_otherspec</vt:lpstr>
      <vt:lpstr>sch_spgadviser_subjhandle_sci</vt:lpstr>
      <vt:lpstr>sch_spgbudget_sipappinc_yes</vt:lpstr>
      <vt:lpstr>sch_spgroom_yes</vt:lpstr>
      <vt:lpstr>sch_spgwon_nationalaward_yes</vt:lpstr>
      <vt:lpstr>sch_ssg_adaec_yes</vt:lpstr>
      <vt:lpstr>sch_ssg_curricular_org_activities_yes</vt:lpstr>
      <vt:lpstr>sch_ssg_esc_rts_yes</vt:lpstr>
      <vt:lpstr>sch_ssg_lead_ngp_yes</vt:lpstr>
      <vt:lpstr>sch_ssg_learner_brigada_eskwela_yes</vt:lpstr>
      <vt:lpstr>sch_ssg_prevent_learner_dropout_yes</vt:lpstr>
      <vt:lpstr>sch_ssg_smoke_tobacoo_free_yes</vt:lpstr>
      <vt:lpstr>sch_ssg_tmcsep_wtdoct_yes</vt:lpstr>
      <vt:lpstr>sch_store_ecigaryes</vt:lpstr>
      <vt:lpstr>sch_store_tobaccoyess</vt:lpstr>
      <vt:lpstr>sch_studcodeconduct_yes</vt:lpstr>
      <vt:lpstr>sch_teach_both_smoke_endsennds_g11</vt:lpstr>
      <vt:lpstr>sch_teach_both_smoke_endsennds_g12</vt:lpstr>
      <vt:lpstr>sch_teach_endsennds_not_smoke_g11</vt:lpstr>
      <vt:lpstr>sch_teach_endsennds_not_smoke_g12</vt:lpstr>
      <vt:lpstr>sch_teach_smoke_not_endsennds_g11</vt:lpstr>
      <vt:lpstr>sch_teach_smoke_not_endsennds_g12</vt:lpstr>
      <vt:lpstr>sch_tel_no</vt:lpstr>
      <vt:lpstr>sch_train_arh_g11</vt:lpstr>
      <vt:lpstr>sch_train_arh_g12</vt:lpstr>
      <vt:lpstr>sch_train_asrh_g11</vt:lpstr>
      <vt:lpstr>sch_train_asrh_g12</vt:lpstr>
      <vt:lpstr>sch_train_hivaids_g11</vt:lpstr>
      <vt:lpstr>sch_train_hivaids_g12</vt:lpstr>
      <vt:lpstr>sch_train_learnyes</vt:lpstr>
      <vt:lpstr>sch_train_redcross_g11</vt:lpstr>
      <vt:lpstr>sch_train_redcross_g12</vt:lpstr>
      <vt:lpstr>sch_train_teach_adept_g11</vt:lpstr>
      <vt:lpstr>sch_train_teach_adept_g12</vt:lpstr>
      <vt:lpstr>sch_train_teach_aja_g11</vt:lpstr>
      <vt:lpstr>sch_train_teach_aja_g12</vt:lpstr>
      <vt:lpstr>sch_train_teach_hivaids_g11</vt:lpstr>
      <vt:lpstr>sch_train_teach_hivaids_g12</vt:lpstr>
      <vt:lpstr>sch_train_teachyes</vt:lpstr>
      <vt:lpstr>sch_train_teen_g11</vt:lpstr>
      <vt:lpstr>sch_train_teen_g12</vt:lpstr>
      <vt:lpstr>sch_watch_avail_hazard_map</vt:lpstr>
      <vt:lpstr>sch_watch_conduct_hazard_map</vt:lpstr>
      <vt:lpstr>sch_watch_cont_plan_act_earthquake_prepared</vt:lpstr>
      <vt:lpstr>sch_watch_cont_plan_docs_moa</vt:lpstr>
      <vt:lpstr>sch_watch_cont_plan_drrm_com_plan</vt:lpstr>
      <vt:lpstr>sch_watch_cont_plan_fam_earthquake_prepared</vt:lpstr>
      <vt:lpstr>sch_watch_cont_plan_l</vt:lpstr>
      <vt:lpstr>sch_watch_cont_plan_lgu</vt:lpstr>
      <vt:lpstr>sch_watch_cont_plan_par</vt:lpstr>
      <vt:lpstr>sch_watch_cont_plan_part</vt:lpstr>
      <vt:lpstr>sch_watch_cont_plan_per</vt:lpstr>
      <vt:lpstr>sch_watch_cont_plan_support_arm_conf</vt:lpstr>
      <vt:lpstr>sch_watch_cont_plan_support_drrm</vt:lpstr>
      <vt:lpstr>sch_watch_cont_plan_support_ppa</vt:lpstr>
      <vt:lpstr>sch_watch_cont_plan_terms_fac</vt:lpstr>
      <vt:lpstr>sch_watch_cont_plan_train_teach_nonteach</vt:lpstr>
      <vt:lpstr>sch_watch_cont_plan_with_lgu</vt:lpstr>
      <vt:lpstr>sch_watch_cont_plan_with_part</vt:lpstr>
      <vt:lpstr>sch_watch_covid_health_safe</vt:lpstr>
      <vt:lpstr>sch_watch_covid_mgmt</vt:lpstr>
      <vt:lpstr>sch_watch_covid_ppe</vt:lpstr>
      <vt:lpstr>sch_watch_covid_quarantine_fac</vt:lpstr>
      <vt:lpstr>sch_watch_human_induce_hazard_armed_conflict</vt:lpstr>
      <vt:lpstr>sch_watch_human_induce_hazard_bomb_threat</vt:lpstr>
      <vt:lpstr>sch_watch_human_induce_hazard_civil_violence</vt:lpstr>
      <vt:lpstr>sch_watch_human_induce_hazard_fire</vt:lpstr>
      <vt:lpstr>sch_watch_human_induce_hazard_others</vt:lpstr>
      <vt:lpstr>sch_watch_human_induce_hazard_othrs_specify</vt:lpstr>
      <vt:lpstr>sch_watch_inc_hazard_map</vt:lpstr>
      <vt:lpstr>sch_watch_link_hazard_map</vt:lpstr>
      <vt:lpstr>sch_watch_nat_hazard_drought</vt:lpstr>
      <vt:lpstr>sch_watch_nat_hazard_earthquake</vt:lpstr>
      <vt:lpstr>sch_watch_nat_hazard_fire</vt:lpstr>
      <vt:lpstr>sch_watch_nat_hazard_flood</vt:lpstr>
      <vt:lpstr>sch_watch_nat_hazard_landslide</vt:lpstr>
      <vt:lpstr>sch_watch_nat_hazard_others</vt:lpstr>
      <vt:lpstr>sch_watch_nat_hazard_others_specify</vt:lpstr>
      <vt:lpstr>sch_watch_nat_hazard_storm_surge</vt:lpstr>
      <vt:lpstr>sch_watch_nat_hazard_trop_cyclone</vt:lpstr>
      <vt:lpstr>sch_watch_nat_hazard_tsunami</vt:lpstr>
      <vt:lpstr>sch_watch_nat_hazard_vol_erupt</vt:lpstr>
      <vt:lpstr>sch_watch_present_hazard_map</vt:lpstr>
      <vt:lpstr>sch_watch_stand_cont_class_resume</vt:lpstr>
      <vt:lpstr>sch_watch_stand_cont_drrm</vt:lpstr>
      <vt:lpstr>sch_watch_stand_cont_emergency_supply</vt:lpstr>
      <vt:lpstr>sch_watch_stand_cont_evac</vt:lpstr>
      <vt:lpstr>sch_watch_stand_cont_evac_center</vt:lpstr>
      <vt:lpstr>sch_watch_stand_cont_lockdown</vt:lpstr>
      <vt:lpstr>sch_watch_stand_cont_part</vt:lpstr>
      <vt:lpstr>sch_watch_stand_cont_recover</vt:lpstr>
      <vt:lpstr>sch_watch_stand_cont_reunify</vt:lpstr>
      <vt:lpstr>sch_watch_stand_cont_temp_evac_center</vt:lpstr>
      <vt:lpstr>sch_watch_stand_cont_tls_wash</vt:lpstr>
      <vt:lpstr>sch_watch_stand_cont_track</vt:lpstr>
      <vt:lpstr>sch_watch_stand_cont_vulnerable</vt:lpstr>
      <vt:lpstr>sch_web_add</vt:lpstr>
      <vt:lpstr>sch_wf_group_hw_no_water_outlets</vt:lpstr>
      <vt:lpstr>sch_wf_group_hw_nonfunctional</vt:lpstr>
      <vt:lpstr>sch_wf_group_hw_wosoap</vt:lpstr>
      <vt:lpstr>sch_wf_group_hw_wsoap</vt:lpstr>
      <vt:lpstr>sch_wf_individual_hw_no_water_outlets</vt:lpstr>
      <vt:lpstr>sch_wf_individual_hw_nonfunctional</vt:lpstr>
      <vt:lpstr>sch_wf_individual_hw_wosoap</vt:lpstr>
      <vt:lpstr>sch_wf_individual_hw_wsoap</vt:lpstr>
      <vt:lpstr>sch_workexp_IPcomm_devtlessonplans_ifyes</vt:lpstr>
      <vt:lpstr>sch_ws_drinking_yes</vt:lpstr>
      <vt:lpstr>sch_ws_ifyshs_avecost</vt:lpstr>
      <vt:lpstr>sch_ws_ifyshs_fundsource_lgu</vt:lpstr>
      <vt:lpstr>sch_ws_ifyshs_fundsource_others</vt:lpstr>
      <vt:lpstr>sch_ws_ifyshs_fundsource_others_specify</vt:lpstr>
      <vt:lpstr>sch_ws_ifyshs_fundsource_private</vt:lpstr>
      <vt:lpstr>sch_ws_ifyshs_fundsource_pta</vt:lpstr>
      <vt:lpstr>sch_ws_ifyshs_fundsource_schcanteen</vt:lpstr>
      <vt:lpstr>sch_ws_ifyshs_fundsource_schmooe</vt:lpstr>
      <vt:lpstr>sch_ws_ifyshs_mechanism_yes</vt:lpstr>
      <vt:lpstr>sch_ws_ifyshs_natural</vt:lpstr>
      <vt:lpstr>sch_ws_ifyshs_others</vt:lpstr>
      <vt:lpstr>sch_ws_ifyshs_others_specify</vt:lpstr>
      <vt:lpstr>sch_ws_ifyshs_pipe</vt:lpstr>
      <vt:lpstr>sch_ws_ifyshs_rainwater</vt:lpstr>
      <vt:lpstr>sch_ws_ifyshs_test_frequency_annually</vt:lpstr>
      <vt:lpstr>sch_ws_ifyshs_test_frequency_monthly</vt:lpstr>
      <vt:lpstr>sch_ws_ifyshs_test_frequency_quarterly</vt:lpstr>
      <vt:lpstr>sch_ws_ifyshs_test_frequent_others</vt:lpstr>
      <vt:lpstr>sch_ws_ifyshs_test_frequent_others_specify</vt:lpstr>
      <vt:lpstr>sch_ws_ifyshs_test_last</vt:lpstr>
      <vt:lpstr>sch_ws_ifyshs_water_unavailable_yes</vt:lpstr>
      <vt:lpstr>sch_ws_ifyshs_well</vt:lpstr>
      <vt:lpstr>sch_ws_mechanism_ifyshs_accessible_water</vt:lpstr>
      <vt:lpstr>sch_ws_mechanism_ifyshs_bring_water</vt:lpstr>
      <vt:lpstr>sch_ws_mechanism_ifyshs_others</vt:lpstr>
      <vt:lpstr>sch_ws_mechanism_ifyshs_others_specify</vt:lpstr>
      <vt:lpstr>sch_ws_mechanism_ifyshs_refillable_containers</vt:lpstr>
      <vt:lpstr>sch_ws_result_safe_yes</vt:lpstr>
      <vt:lpstr>sch_ws_water_safety_yes</vt:lpstr>
      <vt:lpstr>sch_ws_wsource_yes</vt:lpstr>
      <vt:lpstr>sch_yfcpdo_numvisit</vt:lpstr>
      <vt:lpstr>shs_broadcast_station_add1</vt:lpstr>
      <vt:lpstr>shs_broadcast_station_add2</vt:lpstr>
      <vt:lpstr>shs_broadcast_station_add3</vt:lpstr>
      <vt:lpstr>shs_broadcast_station_add4</vt:lpstr>
      <vt:lpstr>shs_broadcast_station_add5</vt:lpstr>
      <vt:lpstr>shs_broadcast_station_add6</vt:lpstr>
      <vt:lpstr>shs_broadcast_station_add7</vt:lpstr>
      <vt:lpstr>shs_broadcast_station_add8</vt:lpstr>
      <vt:lpstr>shs_broadcast_station_add9</vt:lpstr>
      <vt:lpstr>shs_broadcast_station_broadcast_start1</vt:lpstr>
      <vt:lpstr>shs_broadcast_station_broadcast_start2</vt:lpstr>
      <vt:lpstr>shs_broadcast_station_broadcast_start3</vt:lpstr>
      <vt:lpstr>shs_broadcast_station_broadcast_start4</vt:lpstr>
      <vt:lpstr>shs_broadcast_station_broadcast_start5</vt:lpstr>
      <vt:lpstr>shs_broadcast_station_broadcast_start6</vt:lpstr>
      <vt:lpstr>shs_broadcast_station_broadcast_start7</vt:lpstr>
      <vt:lpstr>shs_broadcast_station_broadcast_start8</vt:lpstr>
      <vt:lpstr>shs_broadcast_station_broadcast_start9</vt:lpstr>
      <vt:lpstr>shs_broadcast_station_e_add1</vt:lpstr>
      <vt:lpstr>shs_broadcast_station_e_add2</vt:lpstr>
      <vt:lpstr>shs_broadcast_station_e_add3</vt:lpstr>
      <vt:lpstr>shs_broadcast_station_e_add4</vt:lpstr>
      <vt:lpstr>shs_broadcast_station_e_add5</vt:lpstr>
      <vt:lpstr>shs_broadcast_station_e_add6</vt:lpstr>
      <vt:lpstr>shs_broadcast_station_e_add7</vt:lpstr>
      <vt:lpstr>shs_broadcast_station_e_add8</vt:lpstr>
      <vt:lpstr>shs_broadcast_station_e_add9</vt:lpstr>
      <vt:lpstr>shs_broadcast_station_frequency1</vt:lpstr>
      <vt:lpstr>shs_broadcast_station_frequency2</vt:lpstr>
      <vt:lpstr>shs_broadcast_station_frequency3</vt:lpstr>
      <vt:lpstr>shs_broadcast_station_frequency4</vt:lpstr>
      <vt:lpstr>shs_broadcast_station_frequency5</vt:lpstr>
      <vt:lpstr>shs_broadcast_station_frequency6</vt:lpstr>
      <vt:lpstr>shs_broadcast_station_frequency7</vt:lpstr>
      <vt:lpstr>shs_broadcast_station_frequency8</vt:lpstr>
      <vt:lpstr>shs_broadcast_station_frequency9</vt:lpstr>
      <vt:lpstr>shs_broadcast_station_name1</vt:lpstr>
      <vt:lpstr>shs_broadcast_station_name2</vt:lpstr>
      <vt:lpstr>shs_broadcast_station_name3</vt:lpstr>
      <vt:lpstr>shs_broadcast_station_name4</vt:lpstr>
      <vt:lpstr>shs_broadcast_station_name5</vt:lpstr>
      <vt:lpstr>shs_broadcast_station_name6</vt:lpstr>
      <vt:lpstr>shs_broadcast_station_name7</vt:lpstr>
      <vt:lpstr>shs_broadcast_station_name8</vt:lpstr>
      <vt:lpstr>shs_broadcast_station_name9</vt:lpstr>
      <vt:lpstr>shs_broadcast_station_ntc_lic1</vt:lpstr>
      <vt:lpstr>shs_broadcast_station_ntc_lic2</vt:lpstr>
      <vt:lpstr>shs_broadcast_station_ntc_lic3</vt:lpstr>
      <vt:lpstr>shs_broadcast_station_ntc_lic4</vt:lpstr>
      <vt:lpstr>shs_broadcast_station_ntc_lic5</vt:lpstr>
      <vt:lpstr>shs_broadcast_station_ntc_lic6</vt:lpstr>
      <vt:lpstr>shs_broadcast_station_ntc_lic7</vt:lpstr>
      <vt:lpstr>shs_broadcast_station_ntc_lic8</vt:lpstr>
      <vt:lpstr>shs_broadcast_station_ntc_lic9</vt:lpstr>
      <vt:lpstr>shs_broadcast_station_owner_name1</vt:lpstr>
      <vt:lpstr>shs_broadcast_station_owner_name2</vt:lpstr>
      <vt:lpstr>shs_broadcast_station_owner_name3</vt:lpstr>
      <vt:lpstr>shs_broadcast_station_owner_name4</vt:lpstr>
      <vt:lpstr>shs_broadcast_station_owner_name5</vt:lpstr>
      <vt:lpstr>shs_broadcast_station_owner_name6</vt:lpstr>
      <vt:lpstr>shs_broadcast_station_owner_name7</vt:lpstr>
      <vt:lpstr>shs_broadcast_station_owner_name8</vt:lpstr>
      <vt:lpstr>shs_broadcast_station_owner_name9</vt:lpstr>
      <vt:lpstr>shs_broadcast_station_part_status1</vt:lpstr>
      <vt:lpstr>shs_broadcast_station_part_status2</vt:lpstr>
      <vt:lpstr>shs_broadcast_station_part_status3</vt:lpstr>
      <vt:lpstr>shs_broadcast_station_part_status4</vt:lpstr>
      <vt:lpstr>shs_broadcast_station_part_status5</vt:lpstr>
      <vt:lpstr>shs_broadcast_station_part_status6</vt:lpstr>
      <vt:lpstr>shs_broadcast_station_part_status7</vt:lpstr>
      <vt:lpstr>shs_broadcast_station_part_status8</vt:lpstr>
      <vt:lpstr>shs_broadcast_station_part_status9</vt:lpstr>
      <vt:lpstr>shs_broadcast_station_tel_cell1</vt:lpstr>
      <vt:lpstr>shs_broadcast_station_tel_cell2</vt:lpstr>
      <vt:lpstr>shs_broadcast_station_tel_cell3</vt:lpstr>
      <vt:lpstr>shs_broadcast_station_tel_cell4</vt:lpstr>
      <vt:lpstr>shs_broadcast_station_tel_cell5</vt:lpstr>
      <vt:lpstr>shs_broadcast_station_tel_cell6</vt:lpstr>
      <vt:lpstr>shs_broadcast_station_tel_cell7</vt:lpstr>
      <vt:lpstr>shs_broadcast_station_tel_cell8</vt:lpstr>
      <vt:lpstr>shs_broadcast_station_tel_cell9</vt:lpstr>
      <vt:lpstr>site_deped</vt:lpstr>
      <vt:lpstr>site_land_area</vt:lpstr>
      <vt:lpstr>site_leg_own_adverseclaim</vt:lpstr>
      <vt:lpstr>site_leg_own_encroach</vt:lpstr>
      <vt:lpstr>site_leg_own_others</vt:lpstr>
      <vt:lpstr>site_leg_own_specify</vt:lpstr>
      <vt:lpstr>site_leg_own_willegalsetler</vt:lpstr>
      <vt:lpstr>site_lgu</vt:lpstr>
      <vt:lpstr>site_mode_cloa</vt:lpstr>
      <vt:lpstr>site_mode_donation</vt:lpstr>
      <vt:lpstr>site_mode_exchange_swapping</vt:lpstr>
      <vt:lpstr>site_mode_expropriation</vt:lpstr>
      <vt:lpstr>site_mode_others</vt:lpstr>
      <vt:lpstr>site_mode_pres_proc</vt:lpstr>
      <vt:lpstr>site_mode_purchase</vt:lpstr>
      <vt:lpstr>site_mode_slup</vt:lpstr>
      <vt:lpstr>site_mode_specify</vt:lpstr>
      <vt:lpstr>site_mode_spl_patent</vt:lpstr>
      <vt:lpstr>site_mode_usufruct_agree</vt:lpstr>
      <vt:lpstr>site_modeyr_cloa</vt:lpstr>
      <vt:lpstr>site_modeyr_donation</vt:lpstr>
      <vt:lpstr>site_modeyr_exchange_swapping</vt:lpstr>
      <vt:lpstr>site_modeyr_expropriation</vt:lpstr>
      <vt:lpstr>site_modeyr_others</vt:lpstr>
      <vt:lpstr>site_modeyr_pres_proc</vt:lpstr>
      <vt:lpstr>site_modeyr_purchase</vt:lpstr>
      <vt:lpstr>site_modeyr_slup</vt:lpstr>
      <vt:lpstr>site_modeyr_spl_patent</vt:lpstr>
      <vt:lpstr>site_modeyr_usufruct_agree</vt:lpstr>
      <vt:lpstr>site_othergov</vt:lpstr>
      <vt:lpstr>site_prvt_ind</vt:lpstr>
      <vt:lpstr>site_schsite_protec_area</vt:lpstr>
      <vt:lpstr>site_schsite_timber_forest</vt:lpstr>
      <vt:lpstr>site_specify</vt:lpstr>
      <vt:lpstr>site_w_ancesdom_cadtyes</vt:lpstr>
      <vt:lpstr>site_w_ancesdom_usuyes</vt:lpstr>
      <vt:lpstr>site_w_ancesland_caltyes</vt:lpstr>
      <vt:lpstr>site_w_ancesland_usuyes</vt:lpstr>
      <vt:lpstr>site_yes</vt:lpstr>
      <vt:lpstr>site_yes_cert_stew</vt:lpstr>
      <vt:lpstr>site_yes_cloa</vt:lpstr>
      <vt:lpstr>site_yes_deed_abso</vt:lpstr>
      <vt:lpstr>site_yes_deed_donation</vt:lpstr>
      <vt:lpstr>site_yes_flag</vt:lpstr>
      <vt:lpstr>site_yes_lease</vt:lpstr>
      <vt:lpstr>site_yes_moa</vt:lpstr>
      <vt:lpstr>site_yes_oct</vt:lpstr>
      <vt:lpstr>site_yes_others</vt:lpstr>
      <vt:lpstr>site_yes_pres_proc</vt:lpstr>
      <vt:lpstr>site_yes_slup</vt:lpstr>
      <vt:lpstr>site_yes_spl_patent</vt:lpstr>
      <vt:lpstr>site_yes_tax_dec</vt:lpstr>
      <vt:lpstr>site_yes_tct</vt:lpstr>
      <vt:lpstr>site_yes_usufruct</vt:lpstr>
      <vt:lpstr>solidwm_complieswma_yes</vt:lpstr>
      <vt:lpstr>tchrs_tesdanatlquali_agri_agricrops_diploma</vt:lpstr>
      <vt:lpstr>tchrs_tesdanatlquali_agri_agricrops_nc1</vt:lpstr>
      <vt:lpstr>tchrs_tesdanatlquali_agri_agricrops_nc2</vt:lpstr>
      <vt:lpstr>tchrs_tesdanatlquali_agri_agricrops_nc3</vt:lpstr>
      <vt:lpstr>tchrs_tesdanatlquali_agri_agricrops_nc4</vt:lpstr>
      <vt:lpstr>tchrs_tesdanatlquali_agri_agricrops_trainingmngt</vt:lpstr>
      <vt:lpstr>tchrs_tesdanatlquali_agri_animalhealth_diploma</vt:lpstr>
      <vt:lpstr>tchrs_tesdanatlquali_agri_animalhealth_nc1</vt:lpstr>
      <vt:lpstr>tchrs_tesdanatlquali_agri_animalhealth_nc2</vt:lpstr>
      <vt:lpstr>tchrs_tesdanatlquali_agri_animalhealth_nc3</vt:lpstr>
      <vt:lpstr>tchrs_tesdanatlquali_agri_animalhealth_nc4</vt:lpstr>
      <vt:lpstr>tchrs_tesdanatlquali_agri_animalhealth_trainingmngt</vt:lpstr>
      <vt:lpstr>tchrs_tesdanatlquali_agri_animalprod_diploma</vt:lpstr>
      <vt:lpstr>tchrs_tesdanatlquali_agri_animalprod_nc1</vt:lpstr>
      <vt:lpstr>tchrs_tesdanatlquali_agri_animalprod_nc2</vt:lpstr>
      <vt:lpstr>tchrs_tesdanatlquali_agri_animalprod_nc3</vt:lpstr>
      <vt:lpstr>tchrs_tesdanatlquali_agri_animalprod_nc4</vt:lpstr>
      <vt:lpstr>tchrs_tesdanatlquali_agri_animalprod_trainingmngt</vt:lpstr>
      <vt:lpstr>tchrs_tesdanatlquali_agri_aquaculture_diploma</vt:lpstr>
      <vt:lpstr>tchrs_tesdanatlquali_agri_aquaculture_nc1</vt:lpstr>
      <vt:lpstr>tchrs_tesdanatlquali_agri_aquaculture_nc2</vt:lpstr>
      <vt:lpstr>tchrs_tesdanatlquali_agri_aquaculture_nc3</vt:lpstr>
      <vt:lpstr>tchrs_tesdanatlquali_agri_aquaculture_nc4</vt:lpstr>
      <vt:lpstr>tchrs_tesdanatlquali_agri_aquaculture_trainingmngt</vt:lpstr>
      <vt:lpstr>tchrs_tesdanatlquali_agri_artiruminants_diploma</vt:lpstr>
      <vt:lpstr>tchrs_tesdanatlquali_agri_artiruminants_nc1</vt:lpstr>
      <vt:lpstr>tchrs_tesdanatlquali_agri_artiruminants_nc2</vt:lpstr>
      <vt:lpstr>tchrs_tesdanatlquali_agri_artiruminants_nc3</vt:lpstr>
      <vt:lpstr>tchrs_tesdanatlquali_agri_artiruminants_nc4</vt:lpstr>
      <vt:lpstr>tchrs_tesdanatlquali_agri_artiruminants_trainingmngt</vt:lpstr>
      <vt:lpstr>tchrs_tesdanatlquali_agri_artiswine_diploma</vt:lpstr>
      <vt:lpstr>tchrs_tesdanatlquali_agri_artiswine_nc1</vt:lpstr>
      <vt:lpstr>tchrs_tesdanatlquali_agri_artiswine_nc2</vt:lpstr>
      <vt:lpstr>tchrs_tesdanatlquali_agri_artiswine_nc3</vt:lpstr>
      <vt:lpstr>tchrs_tesdanatlquali_agri_artiswine_nc4</vt:lpstr>
      <vt:lpstr>tchrs_tesdanatlquali_agri_artiswine_trainingmngt</vt:lpstr>
      <vt:lpstr>tchrs_tesdanatlquali_agri_fishcapture_diploma</vt:lpstr>
      <vt:lpstr>tchrs_tesdanatlquali_agri_fishcapture_nc1</vt:lpstr>
      <vt:lpstr>tchrs_tesdanatlquali_agri_fishcapture_nc2</vt:lpstr>
      <vt:lpstr>tchrs_tesdanatlquali_agri_fishcapture_nc3</vt:lpstr>
      <vt:lpstr>tchrs_tesdanatlquali_agri_fishcapture_nc4</vt:lpstr>
      <vt:lpstr>tchrs_tesdanatlquali_agri_fishcapture_trainingmngt</vt:lpstr>
      <vt:lpstr>tchrs_tesdanatlquali_agri_fishinggear_diploma</vt:lpstr>
      <vt:lpstr>tchrs_tesdanatlquali_agri_fishinggear_nc1</vt:lpstr>
      <vt:lpstr>tchrs_tesdanatlquali_agri_fishinggear_nc2</vt:lpstr>
      <vt:lpstr>tchrs_tesdanatlquali_agri_fishinggear_nc3</vt:lpstr>
      <vt:lpstr>tchrs_tesdanatlquali_agri_fishinggear_nc4</vt:lpstr>
      <vt:lpstr>tchrs_tesdanatlquali_agri_fishinggear_trainingmngt</vt:lpstr>
      <vt:lpstr>tchrs_tesdanatlquali_agri_fishportnwharf_diploma</vt:lpstr>
      <vt:lpstr>tchrs_tesdanatlquali_agri_fishportnwharf_nc1</vt:lpstr>
      <vt:lpstr>tchrs_tesdanatlquali_agri_fishportnwharf_nc2</vt:lpstr>
      <vt:lpstr>tchrs_tesdanatlquali_agri_fishportnwharf_nc3</vt:lpstr>
      <vt:lpstr>tchrs_tesdanatlquali_agri_fishportnwharf_nc4</vt:lpstr>
      <vt:lpstr>tchrs_tesdanatlquali_agri_fishportnwharf_trainingmngt</vt:lpstr>
      <vt:lpstr>tchrs_tesdanatlquali_agri_fishprocessing_diploma</vt:lpstr>
      <vt:lpstr>tchrs_tesdanatlquali_agri_fishprocessing_nc1</vt:lpstr>
      <vt:lpstr>tchrs_tesdanatlquali_agri_fishprocessing_nc2</vt:lpstr>
      <vt:lpstr>tchrs_tesdanatlquali_agri_fishprocessing_nc3</vt:lpstr>
      <vt:lpstr>tchrs_tesdanatlquali_agri_fishprocessing_nc4</vt:lpstr>
      <vt:lpstr>tchrs_tesdanatlquali_agri_fishprocessing_trainingmngt</vt:lpstr>
      <vt:lpstr>tchrs_tesdanatlquali_agri_fishprod_diploma</vt:lpstr>
      <vt:lpstr>tchrs_tesdanatlquali_agri_fishprod_nc1</vt:lpstr>
      <vt:lpstr>tchrs_tesdanatlquali_agri_fishprod_nc2</vt:lpstr>
      <vt:lpstr>tchrs_tesdanatlquali_agri_fishprod_nc3</vt:lpstr>
      <vt:lpstr>tchrs_tesdanatlquali_agri_fishprod_nc4</vt:lpstr>
      <vt:lpstr>tchrs_tesdanatlquali_agri_fishprod_trainingmngt</vt:lpstr>
      <vt:lpstr>tchrs_tesdanatlquali_agri_horiculture_diploma</vt:lpstr>
      <vt:lpstr>tchrs_tesdanatlquali_agri_horiculture_nc1</vt:lpstr>
      <vt:lpstr>tchrs_tesdanatlquali_agri_horiculture_nc2</vt:lpstr>
      <vt:lpstr>tchrs_tesdanatlquali_agri_horiculture_nc3</vt:lpstr>
      <vt:lpstr>tchrs_tesdanatlquali_agri_horiculture_nc4</vt:lpstr>
      <vt:lpstr>tchrs_tesdanatlquali_agri_horiculture_trainingmngt</vt:lpstr>
      <vt:lpstr>tchrs_tesdanatlquali_agri_lanscapenmain_diploma</vt:lpstr>
      <vt:lpstr>tchrs_tesdanatlquali_agri_lanscapenmain_nc1</vt:lpstr>
      <vt:lpstr>tchrs_tesdanatlquali_agri_lanscapenmain_nc2</vt:lpstr>
      <vt:lpstr>tchrs_tesdanatlquali_agri_lanscapenmain_nc3</vt:lpstr>
      <vt:lpstr>tchrs_tesdanatlquali_agri_lanscapenmain_nc4</vt:lpstr>
      <vt:lpstr>tchrs_tesdanatlquali_agri_lanscapenmain_trainingmngt</vt:lpstr>
      <vt:lpstr>tchrs_tesdanatlquali_agri_organicagri_diploma</vt:lpstr>
      <vt:lpstr>tchrs_tesdanatlquali_agri_organicagri_nc1</vt:lpstr>
      <vt:lpstr>tchrs_tesdanatlquali_agri_organicagri_nc2</vt:lpstr>
      <vt:lpstr>tchrs_tesdanatlquali_agri_organicagri_nc3</vt:lpstr>
      <vt:lpstr>tchrs_tesdanatlquali_agri_organicagri_nc4</vt:lpstr>
      <vt:lpstr>tchrs_tesdanatlquali_agri_organicagri_trainingmngt</vt:lpstr>
      <vt:lpstr>tchrs_tesdanatlquali_agri_pestmngt_diploma</vt:lpstr>
      <vt:lpstr>tchrs_tesdanatlquali_agri_pestmngt_nc1</vt:lpstr>
      <vt:lpstr>tchrs_tesdanatlquali_agri_pestmngt_nc2</vt:lpstr>
      <vt:lpstr>tchrs_tesdanatlquali_agri_pestmngt_nc3</vt:lpstr>
      <vt:lpstr>tchrs_tesdanatlquali_agri_pestmngt_nc4</vt:lpstr>
      <vt:lpstr>tchrs_tesdanatlquali_agri_pestmngt_trainingmngt</vt:lpstr>
      <vt:lpstr>tchrs_tesdanatlquali_agri_ricemachinery_diploma</vt:lpstr>
      <vt:lpstr>tchrs_tesdanatlquali_agri_ricemachinery_nc1</vt:lpstr>
      <vt:lpstr>tchrs_tesdanatlquali_agri_ricemachinery_nc2</vt:lpstr>
      <vt:lpstr>tchrs_tesdanatlquali_agri_ricemachinery_nc3</vt:lpstr>
      <vt:lpstr>tchrs_tesdanatlquali_agri_ricemachinery_nc4</vt:lpstr>
      <vt:lpstr>tchrs_tesdanatlquali_agri_ricemachinery_trainingmngt</vt:lpstr>
      <vt:lpstr>tchrs_tesdanatlquali_agri_rubberprocessing_diploma</vt:lpstr>
      <vt:lpstr>tchrs_tesdanatlquali_agri_rubberprocessing_nc1</vt:lpstr>
      <vt:lpstr>tchrs_tesdanatlquali_agri_rubberprocessing_nc2</vt:lpstr>
      <vt:lpstr>tchrs_tesdanatlquali_agri_rubberprocessing_nc3</vt:lpstr>
      <vt:lpstr>tchrs_tesdanatlquali_agri_rubberprocessing_nc4</vt:lpstr>
      <vt:lpstr>tchrs_tesdanatlquali_agri_rubberprocessing_trainingmngt</vt:lpstr>
      <vt:lpstr>tchrs_tesdanatlquali_agri_rubberproduction_diploma</vt:lpstr>
      <vt:lpstr>tchrs_tesdanatlquali_agri_rubberproduction_nc1</vt:lpstr>
      <vt:lpstr>tchrs_tesdanatlquali_agri_rubberproduction_nc2</vt:lpstr>
      <vt:lpstr>tchrs_tesdanatlquali_agri_rubberproduction_nc3</vt:lpstr>
      <vt:lpstr>tchrs_tesdanatlquali_agri_rubberproduction_nc4</vt:lpstr>
      <vt:lpstr>tchrs_tesdanatlquali_agri_rubberproduction_trainingmngt</vt:lpstr>
      <vt:lpstr>tchrs_tesdanatlquali_agri_slaughteringop_diploma</vt:lpstr>
      <vt:lpstr>tchrs_tesdanatlquali_agri_slaughteringop_nc1</vt:lpstr>
      <vt:lpstr>tchrs_tesdanatlquali_agri_slaughteringop_nc2</vt:lpstr>
      <vt:lpstr>tchrs_tesdanatlquali_agri_slaughteringop_nc3</vt:lpstr>
      <vt:lpstr>tchrs_tesdanatlquali_agri_slaughteringop_nc4</vt:lpstr>
      <vt:lpstr>tchrs_tesdanatlquali_agri_slaughteringop_trainingmngt</vt:lpstr>
      <vt:lpstr>tchrs_tesdanatlquali_he_attractions_diploma</vt:lpstr>
      <vt:lpstr>tchrs_tesdanatlquali_he_attractions_nc1</vt:lpstr>
      <vt:lpstr>tchrs_tesdanatlquali_he_attractions_nc2</vt:lpstr>
      <vt:lpstr>tchrs_tesdanatlquali_he_attractions_nc3</vt:lpstr>
      <vt:lpstr>tchrs_tesdanatlquali_he_attractions_nc4</vt:lpstr>
      <vt:lpstr>tchrs_tesdanatlquali_he_attractions_trainingmngt</vt:lpstr>
      <vt:lpstr>tchrs_tesdanatlquali_he_barbering_diploma</vt:lpstr>
      <vt:lpstr>tchrs_tesdanatlquali_he_barbering_nc1</vt:lpstr>
      <vt:lpstr>tchrs_tesdanatlquali_he_barbering_nc2</vt:lpstr>
      <vt:lpstr>tchrs_tesdanatlquali_he_barbering_nc3</vt:lpstr>
      <vt:lpstr>tchrs_tesdanatlquali_he_barbering_nc4</vt:lpstr>
      <vt:lpstr>tchrs_tesdanatlquali_he_barbering_trainingmngt</vt:lpstr>
      <vt:lpstr>tchrs_tesdanatlquali_he_bartending_diploma</vt:lpstr>
      <vt:lpstr>tchrs_tesdanatlquali_he_bartending_nc1</vt:lpstr>
      <vt:lpstr>tchrs_tesdanatlquali_he_bartending_nc2</vt:lpstr>
      <vt:lpstr>tchrs_tesdanatlquali_he_bartending_nc3</vt:lpstr>
      <vt:lpstr>tchrs_tesdanatlquali_he_bartending_nc4</vt:lpstr>
      <vt:lpstr>tchrs_tesdanatlquali_he_bartending_trainingmngt</vt:lpstr>
      <vt:lpstr>tchrs_tesdanatlquali_he_beautynail_diploma</vt:lpstr>
      <vt:lpstr>tchrs_tesdanatlquali_he_beautynail_nc1</vt:lpstr>
      <vt:lpstr>tchrs_tesdanatlquali_he_beautynail_nc2</vt:lpstr>
      <vt:lpstr>tchrs_tesdanatlquali_he_beautynail_nc3</vt:lpstr>
      <vt:lpstr>tchrs_tesdanatlquali_he_beautynail_nc4</vt:lpstr>
      <vt:lpstr>tchrs_tesdanatlquali_he_beautynail_trainingmngt</vt:lpstr>
      <vt:lpstr>tchrs_tesdanatlquali_he_breadnpastry_diploma</vt:lpstr>
      <vt:lpstr>tchrs_tesdanatlquali_he_breadnpastry_nc1</vt:lpstr>
      <vt:lpstr>tchrs_tesdanatlquali_he_breadnpastry_nc2</vt:lpstr>
      <vt:lpstr>tchrs_tesdanatlquali_he_breadnpastry_nc3</vt:lpstr>
      <vt:lpstr>tchrs_tesdanatlquali_he_breadnpastry_nc4</vt:lpstr>
      <vt:lpstr>tchrs_tesdanatlquali_he_breadnpastry_trainingmngt</vt:lpstr>
      <vt:lpstr>tchrs_tesdanatlquali_he_caregiving_diploma</vt:lpstr>
      <vt:lpstr>tchrs_tesdanatlquali_he_caregiving_nc1</vt:lpstr>
      <vt:lpstr>tchrs_tesdanatlquali_he_caregiving_nc2</vt:lpstr>
      <vt:lpstr>tchrs_tesdanatlquali_he_caregiving_nc3</vt:lpstr>
      <vt:lpstr>tchrs_tesdanatlquali_he_caregiving_nc4</vt:lpstr>
      <vt:lpstr>tchrs_tesdanatlquali_he_caregiving_trainingmngt</vt:lpstr>
      <vt:lpstr>tchrs_tesdanatlquali_he_comcooking_diploma</vt:lpstr>
      <vt:lpstr>tchrs_tesdanatlquali_he_comcooking_nc1</vt:lpstr>
      <vt:lpstr>tchrs_tesdanatlquali_he_comcooking_nc2</vt:lpstr>
      <vt:lpstr>tchrs_tesdanatlquali_he_comcooking_nc3</vt:lpstr>
      <vt:lpstr>tchrs_tesdanatlquali_he_comcooking_nc4</vt:lpstr>
      <vt:lpstr>tchrs_tesdanatlquali_he_comcooking_trainingmngt</vt:lpstr>
      <vt:lpstr>tchrs_tesdanatlquali_he_cookery_diploma</vt:lpstr>
      <vt:lpstr>tchrs_tesdanatlquali_he_cookery_nc1</vt:lpstr>
      <vt:lpstr>tchrs_tesdanatlquali_he_cookery_nc2</vt:lpstr>
      <vt:lpstr>tchrs_tesdanatlquali_he_cookery_nc3</vt:lpstr>
      <vt:lpstr>tchrs_tesdanatlquali_he_cookery_nc4</vt:lpstr>
      <vt:lpstr>tchrs_tesdanatlquali_he_cookery_trainingmngt</vt:lpstr>
      <vt:lpstr>tchrs_tesdanatlquali_he_dressmaking_diploma</vt:lpstr>
      <vt:lpstr>tchrs_tesdanatlquali_he_dressmaking_nc1</vt:lpstr>
      <vt:lpstr>tchrs_tesdanatlquali_he_dressmaking_nc2</vt:lpstr>
      <vt:lpstr>tchrs_tesdanatlquali_he_dressmaking_nc3</vt:lpstr>
      <vt:lpstr>tchrs_tesdanatlquali_he_dressmaking_nc4</vt:lpstr>
      <vt:lpstr>tchrs_tesdanatlquali_he_dressmaking_trainingmngt</vt:lpstr>
      <vt:lpstr>tchrs_tesdanatlquali_he_eventsmngt_diploma</vt:lpstr>
      <vt:lpstr>tchrs_tesdanatlquali_he_eventsmngt_nc1</vt:lpstr>
      <vt:lpstr>tchrs_tesdanatlquali_he_eventsmngt_nc2</vt:lpstr>
      <vt:lpstr>tchrs_tesdanatlquali_he_eventsmngt_nc3</vt:lpstr>
      <vt:lpstr>tchrs_tesdanatlquali_he_eventsmngt_nc4</vt:lpstr>
      <vt:lpstr>tchrs_tesdanatlquali_he_eventsmngt_trainingmngt</vt:lpstr>
      <vt:lpstr>tchrs_tesdanatlquali_he_fashiondesign_diploma</vt:lpstr>
      <vt:lpstr>tchrs_tesdanatlquali_he_fashiondesign_nc1</vt:lpstr>
      <vt:lpstr>tchrs_tesdanatlquali_he_fashiondesign_nc2</vt:lpstr>
      <vt:lpstr>tchrs_tesdanatlquali_he_fashiondesign_nc3</vt:lpstr>
      <vt:lpstr>tchrs_tesdanatlquali_he_fashiondesign_nc4</vt:lpstr>
      <vt:lpstr>tchrs_tesdanatlquali_he_fashiondesign_trainingmngt</vt:lpstr>
      <vt:lpstr>tchrs_tesdanatlquali_he_foodnbeverage_diploma</vt:lpstr>
      <vt:lpstr>tchrs_tesdanatlquali_he_foodnbeverage_nc1</vt:lpstr>
      <vt:lpstr>tchrs_tesdanatlquali_he_foodnbeverage_nc2</vt:lpstr>
      <vt:lpstr>tchrs_tesdanatlquali_he_foodnbeverage_nc3</vt:lpstr>
      <vt:lpstr>tchrs_tesdanatlquali_he_foodnbeverage_nc4</vt:lpstr>
      <vt:lpstr>tchrs_tesdanatlquali_he_foodnbeverage_trainingmngt</vt:lpstr>
      <vt:lpstr>tchrs_tesdanatlquali_he_frontofc_diploma</vt:lpstr>
      <vt:lpstr>tchrs_tesdanatlquali_he_frontofc_nc1</vt:lpstr>
      <vt:lpstr>tchrs_tesdanatlquali_he_frontofc_nc2</vt:lpstr>
      <vt:lpstr>tchrs_tesdanatlquali_he_frontofc_nc3</vt:lpstr>
      <vt:lpstr>tchrs_tesdanatlquali_he_frontofc_nc4</vt:lpstr>
      <vt:lpstr>tchrs_tesdanatlquali_he_frontofc_trainingmngt</vt:lpstr>
      <vt:lpstr>tchrs_tesdanatlquali_he_hairdressing_diploma</vt:lpstr>
      <vt:lpstr>tchrs_tesdanatlquali_he_hairdressing_nc1</vt:lpstr>
      <vt:lpstr>tchrs_tesdanatlquali_he_hairdressing_nc2</vt:lpstr>
      <vt:lpstr>tchrs_tesdanatlquali_he_hairdressing_nc3</vt:lpstr>
      <vt:lpstr>tchrs_tesdanatlquali_he_hairdressing_nc4</vt:lpstr>
      <vt:lpstr>tchrs_tesdanatlquali_he_hairdressing_trainingmngt</vt:lpstr>
      <vt:lpstr>tchrs_tesdanatlquali_he_handibasketry_diploma</vt:lpstr>
      <vt:lpstr>tchrs_tesdanatlquali_he_handibasketry_nc1</vt:lpstr>
      <vt:lpstr>tchrs_tesdanatlquali_he_handibasketry_nc2</vt:lpstr>
      <vt:lpstr>tchrs_tesdanatlquali_he_handibasketry_nc3</vt:lpstr>
      <vt:lpstr>tchrs_tesdanatlquali_he_handibasketry_nc4</vt:lpstr>
      <vt:lpstr>tchrs_tesdanatlquali_he_handibasketry_trainingmngt</vt:lpstr>
      <vt:lpstr>tchrs_tesdanatlquali_he_handifashion_diploma</vt:lpstr>
      <vt:lpstr>tchrs_tesdanatlquali_he_handifashion_nc1</vt:lpstr>
      <vt:lpstr>tchrs_tesdanatlquali_he_handifashion_nc2</vt:lpstr>
      <vt:lpstr>tchrs_tesdanatlquali_he_handifashion_nc3</vt:lpstr>
      <vt:lpstr>tchrs_tesdanatlquali_he_handifashion_nc4</vt:lpstr>
      <vt:lpstr>tchrs_tesdanatlquali_he_handifashion_trainingmngt</vt:lpstr>
      <vt:lpstr>tchrs_tesdanatlquali_he_handineedle_diploma</vt:lpstr>
      <vt:lpstr>tchrs_tesdanatlquali_he_handineedle_nc1</vt:lpstr>
      <vt:lpstr>tchrs_tesdanatlquali_he_handineedle_nc2</vt:lpstr>
      <vt:lpstr>tchrs_tesdanatlquali_he_handineedle_nc3</vt:lpstr>
      <vt:lpstr>tchrs_tesdanatlquali_he_handineedle_nc4</vt:lpstr>
      <vt:lpstr>tchrs_tesdanatlquali_he_handineedle_trainingmngt</vt:lpstr>
      <vt:lpstr>tchrs_tesdanatlquali_he_handiwoodcraft_diploma</vt:lpstr>
      <vt:lpstr>tchrs_tesdanatlquali_he_handiwoodcraft_nc1</vt:lpstr>
      <vt:lpstr>tchrs_tesdanatlquali_he_handiwoodcraft_nc2</vt:lpstr>
      <vt:lpstr>tchrs_tesdanatlquali_he_handiwoodcraft_nc3</vt:lpstr>
      <vt:lpstr>tchrs_tesdanatlquali_he_handiwoodcraft_nc4</vt:lpstr>
      <vt:lpstr>tchrs_tesdanatlquali_he_handiwoodcraft_trainingmngt</vt:lpstr>
      <vt:lpstr>tchrs_tesdanatlquali_he_housekeeping_diploma</vt:lpstr>
      <vt:lpstr>tchrs_tesdanatlquali_he_housekeeping_nc1</vt:lpstr>
      <vt:lpstr>tchrs_tesdanatlquali_he_housekeeping_nc2</vt:lpstr>
      <vt:lpstr>tchrs_tesdanatlquali_he_housekeeping_nc3</vt:lpstr>
      <vt:lpstr>tchrs_tesdanatlquali_he_housekeeping_nc4</vt:lpstr>
      <vt:lpstr>tchrs_tesdanatlquali_he_housekeeping_trainingmngt</vt:lpstr>
      <vt:lpstr>tchrs_tesdanatlquali_he_localguiding_diploma</vt:lpstr>
      <vt:lpstr>tchrs_tesdanatlquali_he_localguiding_nc1</vt:lpstr>
      <vt:lpstr>tchrs_tesdanatlquali_he_localguiding_nc2</vt:lpstr>
      <vt:lpstr>tchrs_tesdanatlquali_he_localguiding_nc3</vt:lpstr>
      <vt:lpstr>tchrs_tesdanatlquali_he_localguiding_nc4</vt:lpstr>
      <vt:lpstr>tchrs_tesdanatlquali_he_localguiding_trainingmngt</vt:lpstr>
      <vt:lpstr>tchrs_tesdanatlquali_he_tailoring_diploma</vt:lpstr>
      <vt:lpstr>tchrs_tesdanatlquali_he_tailoring_nc1</vt:lpstr>
      <vt:lpstr>tchrs_tesdanatlquali_he_tailoring_nc2</vt:lpstr>
      <vt:lpstr>tchrs_tesdanatlquali_he_tailoring_nc3</vt:lpstr>
      <vt:lpstr>tchrs_tesdanatlquali_he_tailoring_nc4</vt:lpstr>
      <vt:lpstr>tchrs_tesdanatlquali_he_tailoring_trainingmngt</vt:lpstr>
      <vt:lpstr>tchrs_tesdanatlquali_he_tourismpromotion_diploma</vt:lpstr>
      <vt:lpstr>tchrs_tesdanatlquali_he_tourismpromotion_nc1</vt:lpstr>
      <vt:lpstr>tchrs_tesdanatlquali_he_tourismpromotion_nc2</vt:lpstr>
      <vt:lpstr>tchrs_tesdanatlquali_he_tourismpromotion_nc3</vt:lpstr>
      <vt:lpstr>tchrs_tesdanatlquali_he_tourismpromotion_nc4</vt:lpstr>
      <vt:lpstr>tchrs_tesdanatlquali_he_tourismpromotion_trainingmngt</vt:lpstr>
      <vt:lpstr>tchrs_tesdanatlquali_he_travelservices_diploma</vt:lpstr>
      <vt:lpstr>tchrs_tesdanatlquali_he_travelservices_nc1</vt:lpstr>
      <vt:lpstr>tchrs_tesdanatlquali_he_travelservices_nc2</vt:lpstr>
      <vt:lpstr>tchrs_tesdanatlquali_he_travelservices_nc3</vt:lpstr>
      <vt:lpstr>tchrs_tesdanatlquali_he_travelservices_nc4</vt:lpstr>
      <vt:lpstr>tchrs_tesdanatlquali_he_travelservices_trainingmngt</vt:lpstr>
      <vt:lpstr>tchrs_tesdanatlquali_he_wellnessmassage_diploma</vt:lpstr>
      <vt:lpstr>tchrs_tesdanatlquali_he_wellnessmassage_nc1</vt:lpstr>
      <vt:lpstr>tchrs_tesdanatlquali_he_wellnessmassage_nc2</vt:lpstr>
      <vt:lpstr>tchrs_tesdanatlquali_he_wellnessmassage_nc3</vt:lpstr>
      <vt:lpstr>tchrs_tesdanatlquali_he_wellnessmassage_nc4</vt:lpstr>
      <vt:lpstr>tchrs_tesdanatlquali_he_wellnessmassage_trainingmngt</vt:lpstr>
      <vt:lpstr>tchrs_tesdanatlquali_ict_animation_diploma</vt:lpstr>
      <vt:lpstr>tchrs_tesdanatlquali_ict_animation_nc1</vt:lpstr>
      <vt:lpstr>tchrs_tesdanatlquali_ict_animation_nc2</vt:lpstr>
      <vt:lpstr>tchrs_tesdanatlquali_ict_animation_nc3</vt:lpstr>
      <vt:lpstr>tchrs_tesdanatlquali_ict_animation_nc4</vt:lpstr>
      <vt:lpstr>tchrs_tesdanatlquali_ict_animation_trainingmngt</vt:lpstr>
      <vt:lpstr>tchrs_tesdanatlquali_ict_broadbandinst_diploma</vt:lpstr>
      <vt:lpstr>tchrs_tesdanatlquali_ict_broadbandinst_nc1</vt:lpstr>
      <vt:lpstr>tchrs_tesdanatlquali_ict_broadbandinst_nc2</vt:lpstr>
      <vt:lpstr>tchrs_tesdanatlquali_ict_broadbandinst_nc3</vt:lpstr>
      <vt:lpstr>tchrs_tesdanatlquali_ict_broadbandinst_nc4</vt:lpstr>
      <vt:lpstr>tchrs_tesdanatlquali_ict_broadbandinst_trainingmngt</vt:lpstr>
      <vt:lpstr>tchrs_tesdanatlquali_ict_comphardwaresrvcing_diploma</vt:lpstr>
      <vt:lpstr>tchrs_tesdanatlquali_ict_comphardwaresrvcing_nc1</vt:lpstr>
      <vt:lpstr>tchrs_tesdanatlquali_ict_comphardwaresrvcing_nc2</vt:lpstr>
      <vt:lpstr>tchrs_tesdanatlquali_ict_comphardwaresrvcing_nc3</vt:lpstr>
      <vt:lpstr>tchrs_tesdanatlquali_ict_comphardwaresrvcing_nc4</vt:lpstr>
      <vt:lpstr>tchrs_tesdanatlquali_ict_comphardwaresrvcing_trainingmngt</vt:lpstr>
      <vt:lpstr>tchrs_tesdanatlquali_ict_compprogramnciv_diploma</vt:lpstr>
      <vt:lpstr>tchrs_tesdanatlquali_ict_compprogramnciv_nc1</vt:lpstr>
      <vt:lpstr>tchrs_tesdanatlquali_ict_compprogramnciv_nc2</vt:lpstr>
      <vt:lpstr>tchrs_tesdanatlquali_ict_compprogramnciv_nc3</vt:lpstr>
      <vt:lpstr>tchrs_tesdanatlquali_ict_compprogramnciv_nc4</vt:lpstr>
      <vt:lpstr>tchrs_tesdanatlquali_ict_compprogramnciv_trainingmngt</vt:lpstr>
      <vt:lpstr>tchrs_tesdanatlquali_ict_conttactservices_diploma</vt:lpstr>
      <vt:lpstr>tchrs_tesdanatlquali_ict_conttactservices_nc1</vt:lpstr>
      <vt:lpstr>tchrs_tesdanatlquali_ict_conttactservices_nc2</vt:lpstr>
      <vt:lpstr>tchrs_tesdanatlquali_ict_conttactservices_nc3</vt:lpstr>
      <vt:lpstr>tchrs_tesdanatlquali_ict_conttactservices_nc4</vt:lpstr>
      <vt:lpstr>tchrs_tesdanatlquali_ict_conttactservices_trainingmngt</vt:lpstr>
      <vt:lpstr>tchrs_tesdanatlquali_ict_illustration_diploma</vt:lpstr>
      <vt:lpstr>tchrs_tesdanatlquali_ict_illustration_nc1</vt:lpstr>
      <vt:lpstr>tchrs_tesdanatlquali_ict_illustration_nc2</vt:lpstr>
      <vt:lpstr>tchrs_tesdanatlquali_ict_illustration_nc3</vt:lpstr>
      <vt:lpstr>tchrs_tesdanatlquali_ict_illustration_nc4</vt:lpstr>
      <vt:lpstr>tchrs_tesdanatlquali_ict_illustration_trainingmngt</vt:lpstr>
      <vt:lpstr>tchrs_tesdanatlquali_ict_medtranscription_diploma</vt:lpstr>
      <vt:lpstr>tchrs_tesdanatlquali_ict_medtranscription_nc1</vt:lpstr>
      <vt:lpstr>tchrs_tesdanatlquali_ict_medtranscription_nc2</vt:lpstr>
      <vt:lpstr>tchrs_tesdanatlquali_ict_medtranscription_nc3</vt:lpstr>
      <vt:lpstr>tchrs_tesdanatlquali_ict_medtranscription_nc4</vt:lpstr>
      <vt:lpstr>tchrs_tesdanatlquali_ict_medtranscription_trainingmngt</vt:lpstr>
      <vt:lpstr>tchrs_tesdanatlquali_ict_techdrafting_diploma</vt:lpstr>
      <vt:lpstr>tchrs_tesdanatlquali_ict_techdrafting_nc1</vt:lpstr>
      <vt:lpstr>tchrs_tesdanatlquali_ict_techdrafting_nc2</vt:lpstr>
      <vt:lpstr>tchrs_tesdanatlquali_ict_techdrafting_nc3</vt:lpstr>
      <vt:lpstr>tchrs_tesdanatlquali_ict_techdrafting_nc4</vt:lpstr>
      <vt:lpstr>tchrs_tesdanatlquali_ict_techdrafting_trainingmngt</vt:lpstr>
      <vt:lpstr>tchrs_tesdanatlquali_ict_telcomospinst_diploma</vt:lpstr>
      <vt:lpstr>tchrs_tesdanatlquali_ict_telcomospinst_nc1</vt:lpstr>
      <vt:lpstr>tchrs_tesdanatlquali_ict_telcomospinst_nc2</vt:lpstr>
      <vt:lpstr>tchrs_tesdanatlquali_ict_telcomospinst_nc3</vt:lpstr>
      <vt:lpstr>tchrs_tesdanatlquali_ict_telcomospinst_nc4</vt:lpstr>
      <vt:lpstr>tchrs_tesdanatlquali_ict_telcomospinst_trainingmngt</vt:lpstr>
      <vt:lpstr>tchrs_tesdanatlquali_ict_telcomosppotsndsl_diploma</vt:lpstr>
      <vt:lpstr>tchrs_tesdanatlquali_ict_telcomosppotsndsl_nc1</vt:lpstr>
      <vt:lpstr>tchrs_tesdanatlquali_ict_telcomosppotsndsl_nc2</vt:lpstr>
      <vt:lpstr>tchrs_tesdanatlquali_ict_telcomosppotsndsl_nc3</vt:lpstr>
      <vt:lpstr>tchrs_tesdanatlquali_ict_telcomosppotsndsl_nc4</vt:lpstr>
      <vt:lpstr>tchrs_tesdanatlquali_ict_telcomosppotsndsl_trainingmngt</vt:lpstr>
      <vt:lpstr>tchrs_tesdanatlquali_indus_autoservicing_diploma</vt:lpstr>
      <vt:lpstr>tchrs_tesdanatlquali_indus_autoservicing_nc1</vt:lpstr>
      <vt:lpstr>tchrs_tesdanatlquali_indus_autoservicing_nc2</vt:lpstr>
      <vt:lpstr>tchrs_tesdanatlquali_indus_autoservicing_nc3</vt:lpstr>
      <vt:lpstr>tchrs_tesdanatlquali_indus_autoservicing_nc4</vt:lpstr>
      <vt:lpstr>tchrs_tesdanatlquali_indus_autoservicing_trainingmngt</vt:lpstr>
      <vt:lpstr>tchrs_tesdanatlquali_indus_carpentry_diploma</vt:lpstr>
      <vt:lpstr>tchrs_tesdanatlquali_indus_carpentry_nc1</vt:lpstr>
      <vt:lpstr>tchrs_tesdanatlquali_indus_carpentry_nc2</vt:lpstr>
      <vt:lpstr>tchrs_tesdanatlquali_indus_carpentry_nc3</vt:lpstr>
      <vt:lpstr>tchrs_tesdanatlquali_indus_carpentry_nc4</vt:lpstr>
      <vt:lpstr>tchrs_tesdanatlquali_indus_carpentry_trainingmngt</vt:lpstr>
      <vt:lpstr>tchrs_tesdanatlquali_indus_conselecsrvcng_diploma</vt:lpstr>
      <vt:lpstr>tchrs_tesdanatlquali_indus_conselecsrvcng_nc1</vt:lpstr>
      <vt:lpstr>tchrs_tesdanatlquali_indus_conselecsrvcng_nc2</vt:lpstr>
      <vt:lpstr>tchrs_tesdanatlquali_indus_conselecsrvcng_nc3</vt:lpstr>
      <vt:lpstr>tchrs_tesdanatlquali_indus_conselecsrvcng_nc4</vt:lpstr>
      <vt:lpstr>tchrs_tesdanatlquali_indus_conselecsrvcng_trainingmngt</vt:lpstr>
      <vt:lpstr>tchrs_tesdanatlquali_indus_constpainting_diploma</vt:lpstr>
      <vt:lpstr>tchrs_tesdanatlquali_indus_constpainting_nc1</vt:lpstr>
      <vt:lpstr>tchrs_tesdanatlquali_indus_constpainting_nc2</vt:lpstr>
      <vt:lpstr>tchrs_tesdanatlquali_indus_constpainting_nc3</vt:lpstr>
      <vt:lpstr>tchrs_tesdanatlquali_indus_constpainting_nc4</vt:lpstr>
      <vt:lpstr>tchrs_tesdanatlquali_indus_constpainting_trainingmngt</vt:lpstr>
      <vt:lpstr>tchrs_tesdanatlquali_indus_domarcservicing_diploma</vt:lpstr>
      <vt:lpstr>tchrs_tesdanatlquali_indus_domarcservicing_nc1</vt:lpstr>
      <vt:lpstr>tchrs_tesdanatlquali_indus_domarcservicing_nc2</vt:lpstr>
      <vt:lpstr>tchrs_tesdanatlquali_indus_domarcservicing_nc3</vt:lpstr>
      <vt:lpstr>tchrs_tesdanatlquali_indus_domarcservicing_nc4</vt:lpstr>
      <vt:lpstr>tchrs_tesdanatlquali_indus_domarcservicing_trainingmngt</vt:lpstr>
      <vt:lpstr>tchrs_tesdanatlquali_indus_driving_diploma</vt:lpstr>
      <vt:lpstr>tchrs_tesdanatlquali_indus_driving_nc1</vt:lpstr>
      <vt:lpstr>tchrs_tesdanatlquali_indus_driving_nc2</vt:lpstr>
      <vt:lpstr>tchrs_tesdanatlquali_indus_driving_nc3</vt:lpstr>
      <vt:lpstr>tchrs_tesdanatlquali_indus_driving_nc4</vt:lpstr>
      <vt:lpstr>tchrs_tesdanatlquali_indus_driving_trainingmngt</vt:lpstr>
      <vt:lpstr>tchrs_tesdanatlquali_indus_electricinst_diploma</vt:lpstr>
      <vt:lpstr>tchrs_tesdanatlquali_indus_electricinst_nc1</vt:lpstr>
      <vt:lpstr>tchrs_tesdanatlquali_indus_electricinst_nc2</vt:lpstr>
      <vt:lpstr>tchrs_tesdanatlquali_indus_electricinst_nc3</vt:lpstr>
      <vt:lpstr>tchrs_tesdanatlquali_indus_electricinst_nc4</vt:lpstr>
      <vt:lpstr>tchrs_tesdanatlquali_indus_electricinst_trainingmngt</vt:lpstr>
      <vt:lpstr>tchrs_tesdanatlquali_indus_electricpower_diploma</vt:lpstr>
      <vt:lpstr>tchrs_tesdanatlquali_indus_electricpower_nc1</vt:lpstr>
      <vt:lpstr>tchrs_tesdanatlquali_indus_electricpower_nc2</vt:lpstr>
      <vt:lpstr>tchrs_tesdanatlquali_indus_electricpower_nc3</vt:lpstr>
      <vt:lpstr>tchrs_tesdanatlquali_indus_electricpower_nc4</vt:lpstr>
      <vt:lpstr>tchrs_tesdanatlquali_indus_electricpower_trainingmngt</vt:lpstr>
      <vt:lpstr>tchrs_tesdanatlquali_indus_electroprod_diploma</vt:lpstr>
      <vt:lpstr>tchrs_tesdanatlquali_indus_electroprod_nc1</vt:lpstr>
      <vt:lpstr>tchrs_tesdanatlquali_indus_electroprod_nc2</vt:lpstr>
      <vt:lpstr>tchrs_tesdanatlquali_indus_electroprod_nc3</vt:lpstr>
      <vt:lpstr>tchrs_tesdanatlquali_indus_electroprod_nc4</vt:lpstr>
      <vt:lpstr>tchrs_tesdanatlquali_indus_electroprod_trainingmngt</vt:lpstr>
      <vt:lpstr>tchrs_tesdanatlquali_indus_furnituremkng_diploma</vt:lpstr>
      <vt:lpstr>tchrs_tesdanatlquali_indus_furnituremkng_nc1</vt:lpstr>
      <vt:lpstr>tchrs_tesdanatlquali_indus_furnituremkng_nc2</vt:lpstr>
      <vt:lpstr>tchrs_tesdanatlquali_indus_furnituremkng_nc3</vt:lpstr>
      <vt:lpstr>tchrs_tesdanatlquali_indus_furnituremkng_nc4</vt:lpstr>
      <vt:lpstr>tchrs_tesdanatlquali_indus_furnituremkng_trainingmngt</vt:lpstr>
      <vt:lpstr>tchrs_tesdanatlquali_indus_gmaw_diploma</vt:lpstr>
      <vt:lpstr>tchrs_tesdanatlquali_indus_gmaw_nc1</vt:lpstr>
      <vt:lpstr>tchrs_tesdanatlquali_indus_gmaw_nc2</vt:lpstr>
      <vt:lpstr>tchrs_tesdanatlquali_indus_gmaw_nc3</vt:lpstr>
      <vt:lpstr>tchrs_tesdanatlquali_indus_gmaw_nc4</vt:lpstr>
      <vt:lpstr>tchrs_tesdanatlquali_indus_gmaw_trainingmngt</vt:lpstr>
      <vt:lpstr>tchrs_tesdanatlquali_indus_gtaw_diploma</vt:lpstr>
      <vt:lpstr>tchrs_tesdanatlquali_indus_gtaw_nc1</vt:lpstr>
      <vt:lpstr>tchrs_tesdanatlquali_indus_gtaw_nc2</vt:lpstr>
      <vt:lpstr>tchrs_tesdanatlquali_indus_gtaw_nc3</vt:lpstr>
      <vt:lpstr>tchrs_tesdanatlquali_indus_gtaw_nc4</vt:lpstr>
      <vt:lpstr>tchrs_tesdanatlquali_indus_gtaw_trainingmngt</vt:lpstr>
      <vt:lpstr>tchrs_tesdanatlquali_indus_instncontrol_diploma</vt:lpstr>
      <vt:lpstr>tchrs_tesdanatlquali_indus_instncontrol_nc1</vt:lpstr>
      <vt:lpstr>tchrs_tesdanatlquali_indus_instncontrol_nc2</vt:lpstr>
      <vt:lpstr>tchrs_tesdanatlquali_indus_instncontrol_nc3</vt:lpstr>
      <vt:lpstr>tchrs_tesdanatlquali_indus_instncontrol_nc4</vt:lpstr>
      <vt:lpstr>tchrs_tesdanatlquali_indus_instncontrol_trainingmngt</vt:lpstr>
      <vt:lpstr>tchrs_tesdanatlquali_indus_machining_diploma</vt:lpstr>
      <vt:lpstr>tchrs_tesdanatlquali_indus_machining_nc1</vt:lpstr>
      <vt:lpstr>tchrs_tesdanatlquali_indus_machining_nc2</vt:lpstr>
      <vt:lpstr>tchrs_tesdanatlquali_indus_machining_nc3</vt:lpstr>
      <vt:lpstr>tchrs_tesdanatlquali_indus_machining_nc4</vt:lpstr>
      <vt:lpstr>tchrs_tesdanatlquali_indus_machining_trainingmngt</vt:lpstr>
      <vt:lpstr>tchrs_tesdanatlquali_indus_masonry_diploma</vt:lpstr>
      <vt:lpstr>tchrs_tesdanatlquali_indus_masonry_nc1</vt:lpstr>
      <vt:lpstr>tchrs_tesdanatlquali_indus_masonry_nc2</vt:lpstr>
      <vt:lpstr>tchrs_tesdanatlquali_indus_masonry_nc3</vt:lpstr>
      <vt:lpstr>tchrs_tesdanatlquali_indus_masonry_nc4</vt:lpstr>
      <vt:lpstr>tchrs_tesdanatlquali_indus_masonry_trainingmngt</vt:lpstr>
      <vt:lpstr>tchrs_tesdanatlquali_indus_mechservicing_diploma</vt:lpstr>
      <vt:lpstr>tchrs_tesdanatlquali_indus_mechservicing_nc1</vt:lpstr>
      <vt:lpstr>tchrs_tesdanatlquali_indus_mechservicing_nc2</vt:lpstr>
      <vt:lpstr>tchrs_tesdanatlquali_indus_mechservicing_nc3</vt:lpstr>
      <vt:lpstr>tchrs_tesdanatlquali_indus_mechservicing_nc4</vt:lpstr>
      <vt:lpstr>tchrs_tesdanatlquali_indus_mechservicing_trainingmngt</vt:lpstr>
      <vt:lpstr>tchrs_tesdanatlquali_indus_motorcycleservicing_diploma</vt:lpstr>
      <vt:lpstr>tchrs_tesdanatlquali_indus_motorcycleservicing_nc1</vt:lpstr>
      <vt:lpstr>tchrs_tesdanatlquali_indus_motorcycleservicing_nc2</vt:lpstr>
      <vt:lpstr>tchrs_tesdanatlquali_indus_motorcycleservicing_nc3</vt:lpstr>
      <vt:lpstr>tchrs_tesdanatlquali_indus_motorcycleservicing_nc4</vt:lpstr>
      <vt:lpstr>tchrs_tesdanatlquali_indus_motorcycleservicing_trainingmngt</vt:lpstr>
      <vt:lpstr>tchrs_tesdanatlquali_indus_pacuncre_diploma</vt:lpstr>
      <vt:lpstr>tchrs_tesdanatlquali_indus_pacuncre_nc1</vt:lpstr>
      <vt:lpstr>tchrs_tesdanatlquali_indus_pacuncre_nc2</vt:lpstr>
      <vt:lpstr>tchrs_tesdanatlquali_indus_pacuncre_nc3</vt:lpstr>
      <vt:lpstr>tchrs_tesdanatlquali_indus_pacuncre_nc4</vt:lpstr>
      <vt:lpstr>tchrs_tesdanatlquali_indus_pacuncre_trainingmngt</vt:lpstr>
      <vt:lpstr>tchrs_tesdanatlquali_indus_plumbing_diploma</vt:lpstr>
      <vt:lpstr>tchrs_tesdanatlquali_indus_plumbing_nc1</vt:lpstr>
      <vt:lpstr>tchrs_tesdanatlquali_indus_plumbing_nc2</vt:lpstr>
      <vt:lpstr>tchrs_tesdanatlquali_indus_plumbing_nc3</vt:lpstr>
      <vt:lpstr>tchrs_tesdanatlquali_indus_plumbing_nc4</vt:lpstr>
      <vt:lpstr>tchrs_tesdanatlquali_indus_plumbing_trainingmngt</vt:lpstr>
      <vt:lpstr>tchrs_tesdanatlquali_indus_shieldedwelding_diploma</vt:lpstr>
      <vt:lpstr>tchrs_tesdanatlquali_indus_shieldedwelding_nc1</vt:lpstr>
      <vt:lpstr>tchrs_tesdanatlquali_indus_shieldedwelding_nc2</vt:lpstr>
      <vt:lpstr>tchrs_tesdanatlquali_indus_shieldedwelding_nc3</vt:lpstr>
      <vt:lpstr>tchrs_tesdanatlquali_indus_shieldedwelding_nc4</vt:lpstr>
      <vt:lpstr>tchrs_tesdanatlquali_indus_shieldedwelding_trainingmngt</vt:lpstr>
      <vt:lpstr>tchrs_tesdanatlquali_indus_tilesetting_diploma</vt:lpstr>
      <vt:lpstr>tchrs_tesdanatlquali_indus_tilesetting_nc1</vt:lpstr>
      <vt:lpstr>tchrs_tesdanatlquali_indus_tilesetting_nc2</vt:lpstr>
      <vt:lpstr>tchrs_tesdanatlquali_indus_tilesetting_nc3</vt:lpstr>
      <vt:lpstr>tchrs_tesdanatlquali_indus_tilesetting_nc4</vt:lpstr>
      <vt:lpstr>tchrs_tesdanatlquali_indus_tilesetting_trainingmngt</vt:lpstr>
      <vt:lpstr>tchrs_tesdanatlquali_indus_translineinstmain_diploma</vt:lpstr>
      <vt:lpstr>tchrs_tesdanatlquali_indus_translineinstmain_nc1</vt:lpstr>
      <vt:lpstr>tchrs_tesdanatlquali_indus_translineinstmain_nc2</vt:lpstr>
      <vt:lpstr>tchrs_tesdanatlquali_indus_translineinstmain_nc3</vt:lpstr>
      <vt:lpstr>tchrs_tesdanatlquali_indus_translineinstmain_nc4</vt:lpstr>
      <vt:lpstr>tchrs_tesdanatlquali_indus_translineinstmain_trainingmngt</vt:lpstr>
      <vt:lpstr>tchrs_tesdanatlquali_tvl_enginewatch_diploma</vt:lpstr>
      <vt:lpstr>tchrs_tesdanatlquali_tvl_enginewatch_nc1</vt:lpstr>
      <vt:lpstr>tchrs_tesdanatlquali_tvl_enginewatch_nc2</vt:lpstr>
      <vt:lpstr>tchrs_tesdanatlquali_tvl_enginewatch_nc3</vt:lpstr>
      <vt:lpstr>tchrs_tesdanatlquali_tvl_enginewatch_nc4</vt:lpstr>
      <vt:lpstr>tchrs_tesdanatlquali_tvl_enginewatch_trainingmngt</vt:lpstr>
      <vt:lpstr>tchrs_tesdanatlquali_tvl_naviwatch_diploma</vt:lpstr>
      <vt:lpstr>tchrs_tesdanatlquali_tvl_naviwatch_nc1</vt:lpstr>
      <vt:lpstr>tchrs_tesdanatlquali_tvl_naviwatch_nc2</vt:lpstr>
      <vt:lpstr>tchrs_tesdanatlquali_tvl_naviwatch_nc3</vt:lpstr>
      <vt:lpstr>tchrs_tesdanatlquali_tvl_naviwatch_nc4</vt:lpstr>
      <vt:lpstr>tchrs_tesdanatlquali_tvl_naviwatch_trainingmngt</vt:lpstr>
      <vt:lpstr>tchrs_tesdanatlquali_tvl_safety_diploma</vt:lpstr>
      <vt:lpstr>tchrs_tesdanatlquali_tvl_safety_nc1</vt:lpstr>
      <vt:lpstr>tchrs_tesdanatlquali_tvl_safety_nc2</vt:lpstr>
      <vt:lpstr>tchrs_tesdanatlquali_tvl_safety_nc3</vt:lpstr>
      <vt:lpstr>tchrs_tesdanatlquali_tvl_safety_nc4</vt:lpstr>
      <vt:lpstr>tchrs_tesdanatlquali_tvl_safety_trainingmngt</vt:lpstr>
      <vt:lpstr>tchrs_tesdanatlquali_tvl_shipcatering_diploma</vt:lpstr>
      <vt:lpstr>tchrs_tesdanatlquali_tvl_shipcatering_nc1</vt:lpstr>
      <vt:lpstr>tchrs_tesdanatlquali_tvl_shipcatering_nc2</vt:lpstr>
      <vt:lpstr>tchrs_tesdanatlquali_tvl_shipcatering_nc3</vt:lpstr>
      <vt:lpstr>tchrs_tesdanatlquali_tvl_shipcatering_nc4</vt:lpstr>
      <vt:lpstr>tchrs_tesdanatlquali_tvl_shipcatering_trainingmngt</vt:lpstr>
      <vt:lpstr>teach_assign_mt1_fullt_ancilliary</vt:lpstr>
      <vt:lpstr>teach_assign_mt1_fullt_ancilliary_addload</vt:lpstr>
      <vt:lpstr>teach_assign_mt1_fullt_noancilliary</vt:lpstr>
      <vt:lpstr>teach_assign_mt1_part_ancilliary_200min</vt:lpstr>
      <vt:lpstr>teach_assign_mt1_part_ancilliary_less200min</vt:lpstr>
      <vt:lpstr>teach_assign_mt2_fullt_ancilliary</vt:lpstr>
      <vt:lpstr>teach_assign_mt2_fullt_ancilliary_addload</vt:lpstr>
      <vt:lpstr>teach_assign_mt2_fullt_noancilliary</vt:lpstr>
      <vt:lpstr>teach_assign_mt2_part_ancilliary_200min</vt:lpstr>
      <vt:lpstr>teach_assign_mt2_part_ancilliary_less200min</vt:lpstr>
      <vt:lpstr>teach_assign_mt3_fullt_ancilliary</vt:lpstr>
      <vt:lpstr>teach_assign_mt3_fullt_ancilliary_addload</vt:lpstr>
      <vt:lpstr>teach_assign_mt3_fullt_noancilliary</vt:lpstr>
      <vt:lpstr>teach_assign_mt3_part_ancilliary_200min</vt:lpstr>
      <vt:lpstr>teach_assign_mt3_part_ancilliary_less200min</vt:lpstr>
      <vt:lpstr>teach_assign_mt4_fullt_ancilliary</vt:lpstr>
      <vt:lpstr>teach_assign_mt4_fullt_ancilliary_addload</vt:lpstr>
      <vt:lpstr>teach_assign_mt4_fullt_noancilliary</vt:lpstr>
      <vt:lpstr>teach_assign_mt4_part_ancilliary_200min</vt:lpstr>
      <vt:lpstr>teach_assign_mt4_part_ancilliary_less200min</vt:lpstr>
      <vt:lpstr>teach_assign_sst1_fullt_ancilliary</vt:lpstr>
      <vt:lpstr>teach_assign_sst1_fullt_ancilliary_addload</vt:lpstr>
      <vt:lpstr>teach_assign_sst1_fullt_noancilliary</vt:lpstr>
      <vt:lpstr>teach_assign_sst1_part_ancilliary_200min</vt:lpstr>
      <vt:lpstr>teach_assign_sst1_part_ancilliary_less200min</vt:lpstr>
      <vt:lpstr>teach_assign_t1_fullt_ancilliary</vt:lpstr>
      <vt:lpstr>teach_assign_t1_fullt_ancilliary_addload</vt:lpstr>
      <vt:lpstr>teach_assign_t1_fullt_noancilliary</vt:lpstr>
      <vt:lpstr>teach_assign_t1_part_ancilliary_200min</vt:lpstr>
      <vt:lpstr>teach_assign_t1_part_ancilliary_less200min</vt:lpstr>
      <vt:lpstr>teach_assign_t2_fullt_ancilliary</vt:lpstr>
      <vt:lpstr>teach_assign_t2_fullt_ancilliary_addload</vt:lpstr>
      <vt:lpstr>teach_assign_t2_fullt_noancilliary</vt:lpstr>
      <vt:lpstr>teach_assign_t2_part_ancilliary_200min</vt:lpstr>
      <vt:lpstr>teach_assign_t2_part_ancilliary_less200min</vt:lpstr>
      <vt:lpstr>teach_assign_t3_fullt_ancilliary</vt:lpstr>
      <vt:lpstr>teach_assign_t3_fullt_ancilliary_addload</vt:lpstr>
      <vt:lpstr>teach_assign_t3_fullt_noancilliary</vt:lpstr>
      <vt:lpstr>teach_assign_t3_part_ancilliary_200min</vt:lpstr>
      <vt:lpstr>teach_assign_t3_part_ancilliary_less200min</vt:lpstr>
      <vt:lpstr>teach_grade_sex_count_more_once_f_g11</vt:lpstr>
      <vt:lpstr>teach_grade_sex_count_more_once_f_g12</vt:lpstr>
      <vt:lpstr>teach_grade_sex_count_more_once_m_g11</vt:lpstr>
      <vt:lpstr>teach_grade_sex_count_more_once_m_g12</vt:lpstr>
      <vt:lpstr>teach_grade_sex_count_once_f_g11</vt:lpstr>
      <vt:lpstr>teach_grade_sex_count_once_f_g12</vt:lpstr>
      <vt:lpstr>teach_grade_sex_count_once_m_g11</vt:lpstr>
      <vt:lpstr>teach_grade_sex_count_once_m_g12</vt:lpstr>
      <vt:lpstr>teach_grade_tlv_sex_count_more_once_f_g11</vt:lpstr>
      <vt:lpstr>teach_grade_tlv_sex_count_more_once_f_g12</vt:lpstr>
      <vt:lpstr>teach_grade_tlv_sex_count_more_once_m_g11</vt:lpstr>
      <vt:lpstr>teach_grade_tlv_sex_count_more_once_m_g12</vt:lpstr>
      <vt:lpstr>teach_grade_tlv_sex_count_once_f_g11</vt:lpstr>
      <vt:lpstr>teach_grade_tlv_sex_count_once_f_g12</vt:lpstr>
      <vt:lpstr>teach_grade_tlv_sex_count_once_m_g11</vt:lpstr>
      <vt:lpstr>teach_grade_tlv_sex_count_once_m_g12</vt:lpstr>
      <vt:lpstr>teach_local_fund_city</vt:lpstr>
      <vt:lpstr>teach_local_fund_lgu</vt:lpstr>
      <vt:lpstr>teach_local_fund_others</vt:lpstr>
      <vt:lpstr>teach_local_fund_provincial</vt:lpstr>
      <vt:lpstr>teach_meth_depedtv_broadcast</vt:lpstr>
      <vt:lpstr>teach_meth_depedtv_dl</vt:lpstr>
      <vt:lpstr>teach_meth_depedtv_fb</vt:lpstr>
      <vt:lpstr>teach_meth_depedtv_yt</vt:lpstr>
      <vt:lpstr>teach_qualified_f</vt:lpstr>
      <vt:lpstr>teach_qualified_m</vt:lpstr>
      <vt:lpstr>teach_train_ict_hw_f</vt:lpstr>
      <vt:lpstr>teach_train_ict_hw_m</vt:lpstr>
      <vt:lpstr>teach_train_ict_intg_f</vt:lpstr>
      <vt:lpstr>teach_train_ict_intg_m</vt:lpstr>
      <vt:lpstr>teach_train_ict_lit_f</vt:lpstr>
      <vt:lpstr>teach_train_ict_lit_m</vt:lpstr>
      <vt:lpstr>teach_train_ict_others_f</vt:lpstr>
      <vt:lpstr>teach_train_ict_others_m</vt:lpstr>
      <vt:lpstr>teach_train_ict_sw_f</vt:lpstr>
      <vt:lpstr>teach_train_ict_sw_m</vt:lpstr>
      <vt:lpstr>teach_train_int1_f</vt:lpstr>
      <vt:lpstr>teach_train_int1_m</vt:lpstr>
      <vt:lpstr>teach_train_int2_f</vt:lpstr>
      <vt:lpstr>teach_train_int2_m</vt:lpstr>
      <vt:lpstr>teach_train_int3_f</vt:lpstr>
      <vt:lpstr>teach_train_int3_m</vt:lpstr>
      <vt:lpstr>teach_train_mt1_f</vt:lpstr>
      <vt:lpstr>teach_train_mt1_m</vt:lpstr>
      <vt:lpstr>teach_train_mt2_f</vt:lpstr>
      <vt:lpstr>teach_train_mt2_m</vt:lpstr>
      <vt:lpstr>teach_train_mt3_f</vt:lpstr>
      <vt:lpstr>teach_train_mt3_m</vt:lpstr>
      <vt:lpstr>teach_train_mt4_f</vt:lpstr>
      <vt:lpstr>teach_train_mt4_m</vt:lpstr>
      <vt:lpstr>teach_train_ped_collab_f</vt:lpstr>
      <vt:lpstr>teach_train_ped_collab_m</vt:lpstr>
      <vt:lpstr>teach_train_ped_const_f</vt:lpstr>
      <vt:lpstr>teach_train_ped_const_m</vt:lpstr>
      <vt:lpstr>teach_train_ped_inc_educ_f</vt:lpstr>
      <vt:lpstr>teach_train_ped_inc_educ_m</vt:lpstr>
      <vt:lpstr>teach_train_ped_inq_based_f</vt:lpstr>
      <vt:lpstr>teach_train_ped_inq_based_m</vt:lpstr>
      <vt:lpstr>teach_train_ped_integ_f</vt:lpstr>
      <vt:lpstr>teach_train_ped_integ_m</vt:lpstr>
      <vt:lpstr>teach_train_ped_others_f</vt:lpstr>
      <vt:lpstr>teach_train_ped_others_m</vt:lpstr>
      <vt:lpstr>teach_train_ped_ref_f</vt:lpstr>
      <vt:lpstr>teach_train_ped_ref_m</vt:lpstr>
      <vt:lpstr>teach_train_sped1_f</vt:lpstr>
      <vt:lpstr>teach_train_sped1_m</vt:lpstr>
      <vt:lpstr>teach_train_sped2_f</vt:lpstr>
      <vt:lpstr>teach_train_sped2_m</vt:lpstr>
      <vt:lpstr>teach_train_sped3_f</vt:lpstr>
      <vt:lpstr>teach_train_sped3_m</vt:lpstr>
      <vt:lpstr>teach_train_sped4_f</vt:lpstr>
      <vt:lpstr>teach_train_sped4_m</vt:lpstr>
      <vt:lpstr>teach_train_sped5_f</vt:lpstr>
      <vt:lpstr>teach_train_sped5_m</vt:lpstr>
      <vt:lpstr>teach_train_sst1_f</vt:lpstr>
      <vt:lpstr>teach_train_sst1_m</vt:lpstr>
      <vt:lpstr>teach_train_t1_f</vt:lpstr>
      <vt:lpstr>teach_train_t1_m</vt:lpstr>
      <vt:lpstr>teach_train_t2_f</vt:lpstr>
      <vt:lpstr>teach_train_t2_m</vt:lpstr>
      <vt:lpstr>teach_train_t3_f</vt:lpstr>
      <vt:lpstr>teach_train_t3_m</vt:lpstr>
      <vt:lpstr>teach_trained_f</vt:lpstr>
      <vt:lpstr>teach_trained_m</vt:lpstr>
      <vt:lpstr>teachassgn_com_media_f_g11</vt:lpstr>
      <vt:lpstr>teachassgn_com_media_f_g12</vt:lpstr>
      <vt:lpstr>teachassgn_com_media_m_g11</vt:lpstr>
      <vt:lpstr>teachassgn_com_media_m_g12</vt:lpstr>
      <vt:lpstr>teachassgn_disasterreadiness_f_g11</vt:lpstr>
      <vt:lpstr>teachassgn_disasterreadiness_f_g12</vt:lpstr>
      <vt:lpstr>teachassgn_disasterreadiness_m_g11</vt:lpstr>
      <vt:lpstr>teachassgn_disasterreadiness_m_g12</vt:lpstr>
      <vt:lpstr>teachassgn_hum_contemparts_f_g11</vt:lpstr>
      <vt:lpstr>teachassgn_hum_contemparts_f_g12</vt:lpstr>
      <vt:lpstr>teachassgn_hum_contemparts_m_g11</vt:lpstr>
      <vt:lpstr>teachassgn_hum_contemparts_m_g12</vt:lpstr>
      <vt:lpstr>teachassgn_hum_lit_f_g11</vt:lpstr>
      <vt:lpstr>teachassgn_hum_lit_f_g12</vt:lpstr>
      <vt:lpstr>teachassgn_hum_lit_m_g11</vt:lpstr>
      <vt:lpstr>teachassgn_hum_lit_m_g12</vt:lpstr>
      <vt:lpstr>teachassgn_lang_komatpanitikan_f_g11</vt:lpstr>
      <vt:lpstr>teachassgn_lang_komatpanitikan_f_g12</vt:lpstr>
      <vt:lpstr>teachassgn_lang_komatpanitikan_m_g11</vt:lpstr>
      <vt:lpstr>teachassgn_lang_komatpanitikan_m_g12</vt:lpstr>
      <vt:lpstr>teachassgn_lang_oralcom_f_g11</vt:lpstr>
      <vt:lpstr>teachassgn_lang_oralcom_f_g12</vt:lpstr>
      <vt:lpstr>teachassgn_lang_oralcom_m_g11</vt:lpstr>
      <vt:lpstr>teachassgn_lang_oralcom_m_g12</vt:lpstr>
      <vt:lpstr>teachassgn_lang_pagbasaatpagsusuri_f_g11</vt:lpstr>
      <vt:lpstr>teachassgn_lang_pagbasaatpagsusuri_f_g12</vt:lpstr>
      <vt:lpstr>teachassgn_lang_pagbasaatpagsusuri_m_g11</vt:lpstr>
      <vt:lpstr>teachassgn_lang_pagbasaatpagsusuri_m_g12</vt:lpstr>
      <vt:lpstr>teachassgn_lang_readnwrite_f_g11</vt:lpstr>
      <vt:lpstr>teachassgn_lang_readnwrite_f_g12</vt:lpstr>
      <vt:lpstr>teachassgn_lang_readnwrite_m_g11</vt:lpstr>
      <vt:lpstr>teachassgn_lang_readnwrite_m_g12</vt:lpstr>
      <vt:lpstr>teachassgn_math_genmath_f_g11</vt:lpstr>
      <vt:lpstr>teachassgn_math_genmath_f_g12</vt:lpstr>
      <vt:lpstr>teachassgn_math_genmath_m_g11</vt:lpstr>
      <vt:lpstr>teachassgn_math_genmath_m_g12</vt:lpstr>
      <vt:lpstr>teachassgn_math_stat_f_g11</vt:lpstr>
      <vt:lpstr>teachassgn_math_stat_f_g12</vt:lpstr>
      <vt:lpstr>teachassgn_math_stat_m_g11</vt:lpstr>
      <vt:lpstr>teachassgn_math_stat_m_g12</vt:lpstr>
      <vt:lpstr>teachassgn_pe_phyeduc_f_g11</vt:lpstr>
      <vt:lpstr>teachassgn_pe_phyeduc_f_g12</vt:lpstr>
      <vt:lpstr>teachassgn_pe_phyeduc_m_g11</vt:lpstr>
      <vt:lpstr>teachassgn_pe_phyeduc_m_g12</vt:lpstr>
      <vt:lpstr>teachassgn_philo_introphilo_f_g11</vt:lpstr>
      <vt:lpstr>teachassgn_philo_introphilo_f_g12</vt:lpstr>
      <vt:lpstr>teachassgn_philo_introphilo_m_g11</vt:lpstr>
      <vt:lpstr>teachassgn_philo_introphilo_m_g12</vt:lpstr>
      <vt:lpstr>teachassgn_sci_earthnlife_f_g11</vt:lpstr>
      <vt:lpstr>teachassgn_sci_earthnlife_f_g12</vt:lpstr>
      <vt:lpstr>teachassgn_sci_earthnlife_m_g11</vt:lpstr>
      <vt:lpstr>teachassgn_sci_earthnlife_m_g12</vt:lpstr>
      <vt:lpstr>teachassgn_sci_physci_f_g11</vt:lpstr>
      <vt:lpstr>teachassgn_sci_physci_f_g12</vt:lpstr>
      <vt:lpstr>teachassgn_sci_physci_m_g11</vt:lpstr>
      <vt:lpstr>teachassgn_sci_physci_m_g12</vt:lpstr>
      <vt:lpstr>teachassgn_socsci_culturensociety_f_g11</vt:lpstr>
      <vt:lpstr>teachassgn_socsci_culturensociety_f_g12</vt:lpstr>
      <vt:lpstr>teachassgn_socsci_culturensociety_m_g11</vt:lpstr>
      <vt:lpstr>teachassgn_socsci_culturensociety_m_g12</vt:lpstr>
      <vt:lpstr>teachassgn_socsci_personaldev_f_g11</vt:lpstr>
      <vt:lpstr>teachassgn_socsci_personaldev_f_g12</vt:lpstr>
      <vt:lpstr>teachassgn_socsci_personaldev_m_g11</vt:lpstr>
      <vt:lpstr>teachassgn_socsci_personaldev_m_g12</vt:lpstr>
      <vt:lpstr>teachassign_spcl_com_bachmajor_greaterthan40</vt:lpstr>
      <vt:lpstr>teachassign_spcl_com_bachmajor_notgreaterthan40</vt:lpstr>
      <vt:lpstr>teachassign_spcl_com_bachminor_greaterthan40</vt:lpstr>
      <vt:lpstr>teachassign_spcl_com_bachminor_notgreaterthan40</vt:lpstr>
      <vt:lpstr>teachassign_spcl_com_gradmajor_greaterthan40</vt:lpstr>
      <vt:lpstr>teachassign_spcl_com_gradmajor_notgreaterthan40</vt:lpstr>
      <vt:lpstr>teachassign_spcl_com_nospcltraining_greaterthan40</vt:lpstr>
      <vt:lpstr>teachassign_spcl_com_nospcltraining_notgreaterthan40</vt:lpstr>
      <vt:lpstr>teachassign_spcl_com_withspcltraining_greaterthan40</vt:lpstr>
      <vt:lpstr>teachassign_spcl_com_withspcltraining_notgreaterthan40</vt:lpstr>
      <vt:lpstr>teachassign_spcl_eng_bachmajor_greaterthan40</vt:lpstr>
      <vt:lpstr>teachassign_spcl_eng_bachmajor_notgreaterthan40</vt:lpstr>
      <vt:lpstr>teachassign_spcl_eng_bachminor_greaterthan40</vt:lpstr>
      <vt:lpstr>teachassign_spcl_eng_bachminor_notgreaterthan40</vt:lpstr>
      <vt:lpstr>teachassign_spcl_eng_gradmajor_greaterthan40</vt:lpstr>
      <vt:lpstr>teachassign_spcl_eng_gradmajor_notgreaterthan40</vt:lpstr>
      <vt:lpstr>teachassign_spcl_eng_nospcltraining_greaterthan40</vt:lpstr>
      <vt:lpstr>teachassign_spcl_eng_nospcltraining_notgreaterthan40</vt:lpstr>
      <vt:lpstr>teachassign_spcl_eng_withspcltraining_greaterthan40</vt:lpstr>
      <vt:lpstr>teachassign_spcl_eng_withspcltraining_notgreaterthan40</vt:lpstr>
      <vt:lpstr>teachassign_spcl_fil_bachmajor_greaterthan40</vt:lpstr>
      <vt:lpstr>teachassign_spcl_fil_bachmajor_notgreaterthan40</vt:lpstr>
      <vt:lpstr>teachassign_spcl_fil_bachminor_greaterthan40</vt:lpstr>
      <vt:lpstr>teachassign_spcl_fil_bachminor_notgreaterthan40</vt:lpstr>
      <vt:lpstr>teachassign_spcl_fil_gradmajor_greaterthan40</vt:lpstr>
      <vt:lpstr>teachassign_spcl_fil_gradmajor_notgreaterthan40</vt:lpstr>
      <vt:lpstr>teachassign_spcl_fil_nospcltraining_greaterthan40</vt:lpstr>
      <vt:lpstr>teachassign_spcl_fil_nospcltraining_notgreaterthan40</vt:lpstr>
      <vt:lpstr>teachassign_spcl_fil_withspcltraining_greaterthan40</vt:lpstr>
      <vt:lpstr>teachassign_spcl_fil_withspcltraining_notgreaterthan40</vt:lpstr>
      <vt:lpstr>teachassign_spcl_ftime_eng_maj_eng</vt:lpstr>
      <vt:lpstr>teachassign_spcl_ftime_eng_maj_fil</vt:lpstr>
      <vt:lpstr>teachassign_spcl_ftime_eng_maj_math</vt:lpstr>
      <vt:lpstr>teachassign_spcl_ftime_eng_maj_sci</vt:lpstr>
      <vt:lpstr>teachassign_spcl_ftime_eng_majmin_othersubject</vt:lpstr>
      <vt:lpstr>teachassign_spcl_ftime_eng_min_eng</vt:lpstr>
      <vt:lpstr>teachassign_spcl_ftime_eng_min_fil</vt:lpstr>
      <vt:lpstr>teachassign_spcl_ftime_eng_min_math</vt:lpstr>
      <vt:lpstr>teachassign_spcl_ftime_eng_min_sci</vt:lpstr>
      <vt:lpstr>teachassign_spcl_ftime_fil_maj_eng</vt:lpstr>
      <vt:lpstr>teachassign_spcl_ftime_fil_maj_fil</vt:lpstr>
      <vt:lpstr>teachassign_spcl_ftime_fil_maj_math</vt:lpstr>
      <vt:lpstr>teachassign_spcl_ftime_fil_maj_sci</vt:lpstr>
      <vt:lpstr>teachassign_spcl_ftime_fil_majmin_othersubject</vt:lpstr>
      <vt:lpstr>teachassign_spcl_ftime_fil_min_eng</vt:lpstr>
      <vt:lpstr>teachassign_spcl_ftime_fil_min_fil</vt:lpstr>
      <vt:lpstr>teachassign_spcl_ftime_fil_min_math</vt:lpstr>
      <vt:lpstr>teachassign_spcl_ftime_fil_min_sci</vt:lpstr>
      <vt:lpstr>teachassign_spcl_ftime_math_maj_eng</vt:lpstr>
      <vt:lpstr>teachassign_spcl_ftime_math_maj_fil</vt:lpstr>
      <vt:lpstr>teachassign_spcl_ftime_math_maj_math</vt:lpstr>
      <vt:lpstr>teachassign_spcl_ftime_math_maj_sci</vt:lpstr>
      <vt:lpstr>teachassign_spcl_ftime_math_majmin_othersubject</vt:lpstr>
      <vt:lpstr>teachassign_spcl_ftime_math_min_eng</vt:lpstr>
      <vt:lpstr>teachassign_spcl_ftime_math_min_fil</vt:lpstr>
      <vt:lpstr>teachassign_spcl_ftime_math_min_math</vt:lpstr>
      <vt:lpstr>teachassign_spcl_ftime_math_min_sci</vt:lpstr>
      <vt:lpstr>teachassign_spcl_ftime_sci_maj_eng</vt:lpstr>
      <vt:lpstr>teachassign_spcl_ftime_sci_maj_fil</vt:lpstr>
      <vt:lpstr>teachassign_spcl_ftime_sci_maj_math</vt:lpstr>
      <vt:lpstr>teachassign_spcl_ftime_sci_maj_sci</vt:lpstr>
      <vt:lpstr>teachassign_spcl_ftime_sci_majmin_othersubject</vt:lpstr>
      <vt:lpstr>teachassign_spcl_ftime_sci_min_eng</vt:lpstr>
      <vt:lpstr>teachassign_spcl_ftime_sci_min_fil</vt:lpstr>
      <vt:lpstr>teachassign_spcl_ftime_sci_min_math</vt:lpstr>
      <vt:lpstr>teachassign_spcl_ftime_sci_min_sci</vt:lpstr>
      <vt:lpstr>teachassign_spcl_hum_bachmajor_greaterthan40</vt:lpstr>
      <vt:lpstr>teachassign_spcl_hum_bachmajor_notgreaterthan40</vt:lpstr>
      <vt:lpstr>teachassign_spcl_hum_bachminor_greaterthan40</vt:lpstr>
      <vt:lpstr>teachassign_spcl_hum_bachminor_notgreaterthan40</vt:lpstr>
      <vt:lpstr>teachassign_spcl_hum_gradmajor_greaterthan40</vt:lpstr>
      <vt:lpstr>teachassign_spcl_hum_gradmajor_notgreaterthan40</vt:lpstr>
      <vt:lpstr>teachassign_spcl_hum_nospcltraining_greaterthan40</vt:lpstr>
      <vt:lpstr>teachassign_spcl_hum_nospcltraining_notgreaterthan40</vt:lpstr>
      <vt:lpstr>teachassign_spcl_hum_withspcltraining_greaterthan40</vt:lpstr>
      <vt:lpstr>teachassign_spcl_hum_withspcltraining_notgreaterthan40</vt:lpstr>
      <vt:lpstr>teachassign_spcl_math_bachmajor_greaterthan40</vt:lpstr>
      <vt:lpstr>teachassign_spcl_math_bachmajor_notgreaterthan40</vt:lpstr>
      <vt:lpstr>teachassign_spcl_math_bachminor_greaterthan40</vt:lpstr>
      <vt:lpstr>teachassign_spcl_math_bachminor_notgreaterthan40</vt:lpstr>
      <vt:lpstr>teachassign_spcl_math_gradmajor_greaterthan40</vt:lpstr>
      <vt:lpstr>teachassign_spcl_math_gradmajor_notgreaterthan40</vt:lpstr>
      <vt:lpstr>teachassign_spcl_math_nospcltraining_greaterthan40</vt:lpstr>
      <vt:lpstr>teachassign_spcl_math_nospcltraining_notgreaterthan40</vt:lpstr>
      <vt:lpstr>teachassign_spcl_math_withspcltraining_greaterthan40</vt:lpstr>
      <vt:lpstr>teachassign_spcl_math_withspcltraining_notgreaterthan40</vt:lpstr>
      <vt:lpstr>teachassign_spcl_penhealth_bachmajor_greaterthan40</vt:lpstr>
      <vt:lpstr>teachassign_spcl_penhealth_bachmajor_notgreaterthan40</vt:lpstr>
      <vt:lpstr>teachassign_spcl_penhealth_bachminor_greaterthan40</vt:lpstr>
      <vt:lpstr>teachassign_spcl_penhealth_bachminor_notgreaterthan40</vt:lpstr>
      <vt:lpstr>teachassign_spcl_penhealth_gradmajor_greaterthan40</vt:lpstr>
      <vt:lpstr>teachassign_spcl_penhealth_gradmajor_notgreaterthan40</vt:lpstr>
      <vt:lpstr>teachassign_spcl_penhealth_nospcltraining_greaterthan40</vt:lpstr>
      <vt:lpstr>teachassign_spcl_penhealth_nospcltraining_notgreaterthan40</vt:lpstr>
      <vt:lpstr>teachassign_spcl_penhealth_withspcltraining_greaterthan40</vt:lpstr>
      <vt:lpstr>teachassign_spcl_penhealth_withspcltraining_notgreaterthan40</vt:lpstr>
      <vt:lpstr>teachassign_spcl_philo_bachmajor_greaterthan40</vt:lpstr>
      <vt:lpstr>teachassign_spcl_philo_bachmajor_notgreaterthan40</vt:lpstr>
      <vt:lpstr>teachassign_spcl_philo_bachminor_greaterthan40</vt:lpstr>
      <vt:lpstr>teachassign_spcl_philo_bachminor_notgreaterthan40</vt:lpstr>
      <vt:lpstr>teachassign_spcl_philo_gradmajor_greaterthan40</vt:lpstr>
      <vt:lpstr>teachassign_spcl_philo_gradmajor_notgreaterthan40</vt:lpstr>
      <vt:lpstr>teachassign_spcl_philo_nospcltraining_greaterthan40</vt:lpstr>
      <vt:lpstr>teachassign_spcl_philo_nospcltraining_notgreaterthan40</vt:lpstr>
      <vt:lpstr>teachassign_spcl_philo_withspcltraining_greaterthan40</vt:lpstr>
      <vt:lpstr>teachassign_spcl_philo_withspcltraining_notgreaterthan40</vt:lpstr>
      <vt:lpstr>teachassign_spcl_ptime_eng_maj_eng</vt:lpstr>
      <vt:lpstr>teachassign_spcl_ptime_eng_maj_fil</vt:lpstr>
      <vt:lpstr>teachassign_spcl_ptime_eng_maj_math</vt:lpstr>
      <vt:lpstr>teachassign_spcl_ptime_eng_maj_sci</vt:lpstr>
      <vt:lpstr>teachassign_spcl_ptime_eng_majmin_othersubject</vt:lpstr>
      <vt:lpstr>teachassign_spcl_ptime_eng_min_eng</vt:lpstr>
      <vt:lpstr>teachassign_spcl_ptime_eng_min_fil</vt:lpstr>
      <vt:lpstr>teachassign_spcl_ptime_eng_min_math</vt:lpstr>
      <vt:lpstr>teachassign_spcl_ptime_eng_min_sci</vt:lpstr>
      <vt:lpstr>teachassign_spcl_ptime_fil_maj_eng</vt:lpstr>
      <vt:lpstr>teachassign_spcl_ptime_fil_maj_fil</vt:lpstr>
      <vt:lpstr>teachassign_spcl_ptime_fil_maj_math</vt:lpstr>
      <vt:lpstr>teachassign_spcl_ptime_fil_maj_sci</vt:lpstr>
      <vt:lpstr>teachassign_spcl_ptime_fil_majmin_othersubject</vt:lpstr>
      <vt:lpstr>teachassign_spcl_ptime_fil_min_eng</vt:lpstr>
      <vt:lpstr>teachassign_spcl_ptime_fil_min_fil</vt:lpstr>
      <vt:lpstr>teachassign_spcl_ptime_fil_min_math</vt:lpstr>
      <vt:lpstr>teachassign_spcl_ptime_fil_min_sci</vt:lpstr>
      <vt:lpstr>teachassign_spcl_ptime_math_maj_eng</vt:lpstr>
      <vt:lpstr>teachassign_spcl_ptime_math_maj_fil</vt:lpstr>
      <vt:lpstr>teachassign_spcl_ptime_math_maj_math</vt:lpstr>
      <vt:lpstr>teachassign_spcl_ptime_math_maj_sci</vt:lpstr>
      <vt:lpstr>teachassign_spcl_ptime_math_majmin_othersubject</vt:lpstr>
      <vt:lpstr>teachassign_spcl_ptime_math_min_eng</vt:lpstr>
      <vt:lpstr>teachassign_spcl_ptime_math_min_fil</vt:lpstr>
      <vt:lpstr>teachassign_spcl_ptime_math_min_math</vt:lpstr>
      <vt:lpstr>teachassign_spcl_ptime_math_min_sci</vt:lpstr>
      <vt:lpstr>teachassign_spcl_ptime_sci_maj_eng</vt:lpstr>
      <vt:lpstr>teachassign_spcl_ptime_sci_maj_fil</vt:lpstr>
      <vt:lpstr>teachassign_spcl_ptime_sci_maj_math</vt:lpstr>
      <vt:lpstr>teachassign_spcl_ptime_sci_maj_sci</vt:lpstr>
      <vt:lpstr>teachassign_spcl_ptime_sci_majmin_othersubject</vt:lpstr>
      <vt:lpstr>teachassign_spcl_ptime_sci_min_eng</vt:lpstr>
      <vt:lpstr>teachassign_spcl_ptime_sci_min_fil</vt:lpstr>
      <vt:lpstr>teachassign_spcl_ptime_sci_min_math</vt:lpstr>
      <vt:lpstr>teachassign_spcl_ptime_sci_min_sci</vt:lpstr>
      <vt:lpstr>teachassign_spcl_sci_bachmajor_greaterthan40</vt:lpstr>
      <vt:lpstr>teachassign_spcl_sci_bachmajor_notgreaterthan40</vt:lpstr>
      <vt:lpstr>teachassign_spcl_sci_bachminor_greaterthan40</vt:lpstr>
      <vt:lpstr>teachassign_spcl_sci_bachminor_notgreaterthan40</vt:lpstr>
      <vt:lpstr>teachassign_spcl_sci_gradmajor_greaterthan40</vt:lpstr>
      <vt:lpstr>teachassign_spcl_sci_gradmajor_notgreaterthan40</vt:lpstr>
      <vt:lpstr>teachassign_spcl_sci_nospcltraining_greaterthan40</vt:lpstr>
      <vt:lpstr>teachassign_spcl_sci_nospcltraining_notgreaterthan40</vt:lpstr>
      <vt:lpstr>teachassign_spcl_sci_withspcltraining_greaterthan40</vt:lpstr>
      <vt:lpstr>teachassign_spcl_sci_withspcltraining_notgreaterthan40</vt:lpstr>
      <vt:lpstr>teachassign_spcl_socsci_bachmajor_greaterthan40</vt:lpstr>
      <vt:lpstr>teachassign_spcl_socsci_bachmajor_notgreaterthan40</vt:lpstr>
      <vt:lpstr>teachassign_spcl_socsci_bachminor_greaterthan40</vt:lpstr>
      <vt:lpstr>teachassign_spcl_socsci_bachminor_notgreaterthan40</vt:lpstr>
      <vt:lpstr>teachassign_spcl_socsci_gradmajor_greaterthan40</vt:lpstr>
      <vt:lpstr>teachassign_spcl_socsci_gradmajor_notgreaterthan40</vt:lpstr>
      <vt:lpstr>teachassign_spcl_socsci_nospcltraining_greaterthan40</vt:lpstr>
      <vt:lpstr>teachassign_spcl_socsci_nospcltraining_notgreaterthan40</vt:lpstr>
      <vt:lpstr>teachassign_spcl_socsci_withspcltraining_greaterthan40</vt:lpstr>
      <vt:lpstr>teachassign_spcl_socsci_withspcltraining_notgreaterthan40</vt:lpstr>
      <vt:lpstr>tobacco_measures_partnerships</vt:lpstr>
      <vt:lpstr>tobacco_measures_partnerships_instrument</vt:lpstr>
      <vt:lpstr>tobacco_measures_partnerships_not_connected</vt:lpstr>
      <vt:lpstr>tvl_agricrops_nc1_f_psrs_2021</vt:lpstr>
      <vt:lpstr>tvl_agricrops_nc1_f_tkrs_2021</vt:lpstr>
      <vt:lpstr>tvl_agricrops_nc1_m_psrs_2021</vt:lpstr>
      <vt:lpstr>tvl_agricrops_nc1_m_tkrs_2021</vt:lpstr>
      <vt:lpstr>tvl_agricrops_nc2_f_psrs_2021</vt:lpstr>
      <vt:lpstr>tvl_agricrops_nc2_f_tkrs_2021</vt:lpstr>
      <vt:lpstr>tvl_agricrops_nc2_m_psrs_2021</vt:lpstr>
      <vt:lpstr>tvl_agricrops_nc2_m_tkrs_2021</vt:lpstr>
      <vt:lpstr>tvl_agricrops_nc3_f_psrs_2021</vt:lpstr>
      <vt:lpstr>tvl_agricrops_nc3_f_tkrs_2021</vt:lpstr>
      <vt:lpstr>tvl_agricrops_nc3_m_psrs_2021</vt:lpstr>
      <vt:lpstr>tvl_agricrops_nc3_m_tkrs_2021</vt:lpstr>
      <vt:lpstr>tvl_animalhealthcare_nc3_f_psrs_2021</vt:lpstr>
      <vt:lpstr>tvl_animalhealthcare_nc3_f_tkrs_2021</vt:lpstr>
      <vt:lpstr>tvl_animalhealthcare_nc3_m_psrs_2021</vt:lpstr>
      <vt:lpstr>tvl_animalhealthcare_nc3_m_tkrs_2021</vt:lpstr>
      <vt:lpstr>tvl_animalprodpoultry_nc2_f_psrs_2021</vt:lpstr>
      <vt:lpstr>tvl_animalprodpoultry_nc2_f_tkrs_2021</vt:lpstr>
      <vt:lpstr>tvl_animalprodpoultry_nc2_m_psrs_2021</vt:lpstr>
      <vt:lpstr>tvl_animalprodpoultry_nc2_m_tkrs_2021</vt:lpstr>
      <vt:lpstr>tvl_animalprodruminants_nc2_f_psrs_2021</vt:lpstr>
      <vt:lpstr>tvl_animalprodruminants_nc2_f_tkrs_2021</vt:lpstr>
      <vt:lpstr>tvl_animalprodruminants_nc2_m_psrs_2021</vt:lpstr>
      <vt:lpstr>tvl_animalprodruminants_nc2_m_tkrs_2021</vt:lpstr>
      <vt:lpstr>tvl_animalprodswine_nc2_f_psrs_2021</vt:lpstr>
      <vt:lpstr>tvl_animalprodswine_nc2_f_tkrs_2021</vt:lpstr>
      <vt:lpstr>tvl_animalprodswine_nc2_m_psrs_2021</vt:lpstr>
      <vt:lpstr>tvl_animalprodswine_nc2_m_tkrs_2021</vt:lpstr>
      <vt:lpstr>tvl_animation_nc2_f_psrs_2021</vt:lpstr>
      <vt:lpstr>tvl_animation_nc2_f_tkrs_2021</vt:lpstr>
      <vt:lpstr>tvl_animation_nc2_m_psrs_2021</vt:lpstr>
      <vt:lpstr>tvl_animation_nc2_m_tkrs_2021</vt:lpstr>
      <vt:lpstr>tvl_aquaculture_nc2_f_psrs_2021</vt:lpstr>
      <vt:lpstr>tvl_aquaculture_nc2_f_tkrs_2021</vt:lpstr>
      <vt:lpstr>tvl_aquaculture_nc2_m_psrs_2021</vt:lpstr>
      <vt:lpstr>tvl_aquaculture_nc2_m_tkrs_2021</vt:lpstr>
      <vt:lpstr>tvl_artificialinseminationruminants_nc2_f_psrs_2021</vt:lpstr>
      <vt:lpstr>tvl_artificialinseminationruminants_nc2_f_tkrs_2021</vt:lpstr>
      <vt:lpstr>tvl_artificialinseminationruminants_nc2_m_psrs_2021</vt:lpstr>
      <vt:lpstr>tvl_artificialinseminationruminants_nc2_m_tkrs_2021</vt:lpstr>
      <vt:lpstr>tvl_artificialinseminationswine_nc2_f_psrs_2021</vt:lpstr>
      <vt:lpstr>tvl_artificialinseminationswine_nc2_f_tkrs_2021</vt:lpstr>
      <vt:lpstr>tvl_artificialinseminationswine_nc2_m_psrs_2021</vt:lpstr>
      <vt:lpstr>tvl_artificialinseminationswine_nc2_m_tkrs_2021</vt:lpstr>
      <vt:lpstr>tvl_attractions_nc2_f_psrs_2021</vt:lpstr>
      <vt:lpstr>tvl_attractions_nc2_f_tkrs_2021</vt:lpstr>
      <vt:lpstr>tvl_attractions_nc2_m_psrs_2021</vt:lpstr>
      <vt:lpstr>tvl_attractions_nc2_m_tkrs_2021</vt:lpstr>
      <vt:lpstr>tvl_automotiveservicing_nc1_f_psrs_2021</vt:lpstr>
      <vt:lpstr>tvl_automotiveservicing_nc1_f_tkrs_2021</vt:lpstr>
      <vt:lpstr>tvl_automotiveservicing_nc1_m_psrs_2021</vt:lpstr>
      <vt:lpstr>tvl_automotiveservicing_nc1_m_tkrs_2021</vt:lpstr>
      <vt:lpstr>tvl_automotiveservicing_nc2_f_psrs_2021</vt:lpstr>
      <vt:lpstr>tvl_automotiveservicing_nc2_f_tkrs_2021</vt:lpstr>
      <vt:lpstr>tvl_automotiveservicing_nc2_m_psrs_2021</vt:lpstr>
      <vt:lpstr>tvl_automotiveservicing_nc2_m_tkrs_2021</vt:lpstr>
      <vt:lpstr>tvl_barbering_nc2_f_psrs_2021</vt:lpstr>
      <vt:lpstr>tvl_barbering_nc2_f_tkrs_2021</vt:lpstr>
      <vt:lpstr>tvl_barbering_nc2_m_psrs_2021</vt:lpstr>
      <vt:lpstr>tvl_barbering_nc2_m_tkrs_2021</vt:lpstr>
      <vt:lpstr>tvl_bartending_nc2_f_psrs_2021</vt:lpstr>
      <vt:lpstr>tvl_bartending_nc2_f_tkrs_2021</vt:lpstr>
      <vt:lpstr>tvl_bartending_nc2_m_psrs_2021</vt:lpstr>
      <vt:lpstr>tvl_bartending_nc2_m_tkrs_2021</vt:lpstr>
      <vt:lpstr>tvl_beautynnail_nc2_f_psrs_2021</vt:lpstr>
      <vt:lpstr>tvl_beautynnail_nc2_f_tkrs_2021</vt:lpstr>
      <vt:lpstr>tvl_beautynnail_nc2_m_psrs_2021</vt:lpstr>
      <vt:lpstr>tvl_beautynnail_nc2_m_tkrs_2021</vt:lpstr>
      <vt:lpstr>tvl_breadpastry_nc2_f_psrs_2021</vt:lpstr>
      <vt:lpstr>tvl_breadpastry_nc2_f_tkrs_2021</vt:lpstr>
      <vt:lpstr>tvl_breadpastry_nc2_m_psrs_2021</vt:lpstr>
      <vt:lpstr>tvl_breadpastry_nc2_m_tkrs_2021</vt:lpstr>
      <vt:lpstr>tvl_broadbandinsatallation_nc2_f_psrs_2021</vt:lpstr>
      <vt:lpstr>tvl_broadbandinsatallation_nc2_f_tkrs_2021</vt:lpstr>
      <vt:lpstr>tvl_broadbandinsatallation_nc2_m_psrs_2021</vt:lpstr>
      <vt:lpstr>tvl_broadbandinsatallation_nc2_m_tkrs_2021</vt:lpstr>
      <vt:lpstr>tvl_caregiving_nc2_f_psrs_2021</vt:lpstr>
      <vt:lpstr>tvl_caregiving_nc2_f_tkrs_2021</vt:lpstr>
      <vt:lpstr>tvl_caregiving_nc2_m_psrs_2021</vt:lpstr>
      <vt:lpstr>tvl_caregiving_nc2_m_tkrs_2021</vt:lpstr>
      <vt:lpstr>tvl_carpentry_nc2_f_psrs_2021</vt:lpstr>
      <vt:lpstr>tvl_carpentry_nc2_f_tkrs_2021</vt:lpstr>
      <vt:lpstr>tvl_carpentry_nc2_m_psrs_2021</vt:lpstr>
      <vt:lpstr>tvl_carpentry_nc2_m_tkrs_2021</vt:lpstr>
      <vt:lpstr>tvl_carpentry_nc3_f_psrs_2021</vt:lpstr>
      <vt:lpstr>tvl_carpentry_nc3_f_tkrs_2021</vt:lpstr>
      <vt:lpstr>tvl_carpentry_nc3_m_psrs_2021</vt:lpstr>
      <vt:lpstr>tvl_carpentry_nc3_m_tkrs_2021</vt:lpstr>
      <vt:lpstr>tvl_commercialcooking_nc2_f_psrs_2021</vt:lpstr>
      <vt:lpstr>tvl_commercialcooking_nc2_f_tkrs_2021</vt:lpstr>
      <vt:lpstr>tvl_commercialcooking_nc2_m_psrs_2021</vt:lpstr>
      <vt:lpstr>tvl_commercialcooking_nc2_m_tkrs_2021</vt:lpstr>
      <vt:lpstr>tvl_compprogrammingjava_nc3_f_psrs_2021</vt:lpstr>
      <vt:lpstr>tvl_compprogrammingjava_nc3_f_tkrs_2021</vt:lpstr>
      <vt:lpstr>tvl_compprogrammingjava_nc3_m_psrs_2021</vt:lpstr>
      <vt:lpstr>tvl_compprogrammingjava_nc3_m_tkrs_2021</vt:lpstr>
      <vt:lpstr>tvl_compprogrammingnettech_nc3_f_psrs_2021</vt:lpstr>
      <vt:lpstr>tvl_compprogrammingnettech_nc3_f_tkrs_2021</vt:lpstr>
      <vt:lpstr>tvl_compprogrammingnettech_nc3_m_psrs_2021</vt:lpstr>
      <vt:lpstr>tvl_compprogrammingnettech_nc3_m_tkrs_2021</vt:lpstr>
      <vt:lpstr>tvl_compprogrammingoracle_nc3_f_psrs_2021</vt:lpstr>
      <vt:lpstr>tvl_compprogrammingoracle_nc3_f_tkrs_2021</vt:lpstr>
      <vt:lpstr>tvl_compprogrammingoracle_nc3_m_psrs_2021</vt:lpstr>
      <vt:lpstr>tvl_compprogrammingoracle_nc3_m_tkrs_2021</vt:lpstr>
      <vt:lpstr>tvl_compsystemservicing_nc2_f_psrs_2021</vt:lpstr>
      <vt:lpstr>tvl_compsystemservicing_nc2_f_tkrs_2021</vt:lpstr>
      <vt:lpstr>tvl_compsystemservicing_nc2_m_psrs_2021</vt:lpstr>
      <vt:lpstr>tvl_compsystemservicing_nc2_m_tkrs_2021</vt:lpstr>
      <vt:lpstr>tvl_constructionpainting_nc2_f_psrs_2021</vt:lpstr>
      <vt:lpstr>tvl_constructionpainting_nc2_f_tkrs_2021</vt:lpstr>
      <vt:lpstr>tvl_constructionpainting_nc2_m_psrs_2021</vt:lpstr>
      <vt:lpstr>tvl_constructionpainting_nc2_m_tkrs_2021</vt:lpstr>
      <vt:lpstr>tvl_contactcenterservices_nc2_f_psrs_2021</vt:lpstr>
      <vt:lpstr>tvl_contactcenterservices_nc2_f_tkrs_2021</vt:lpstr>
      <vt:lpstr>tvl_contactcenterservices_nc2_m_psrs_2021</vt:lpstr>
      <vt:lpstr>tvl_contactcenterservices_nc2_m_tkrs_2021</vt:lpstr>
      <vt:lpstr>tvl_cookery_nc2_f_psrs_2021</vt:lpstr>
      <vt:lpstr>tvl_cookery_nc2_f_tkrs_2021</vt:lpstr>
      <vt:lpstr>tvl_cookery_nc2_m_psrs_2021</vt:lpstr>
      <vt:lpstr>tvl_cookery_nc2_m_tkrs_2021</vt:lpstr>
      <vt:lpstr>tvl_domrefrigeration_nc2_f_psrs_2021</vt:lpstr>
      <vt:lpstr>tvl_domrefrigeration_nc2_f_tkrs_2021</vt:lpstr>
      <vt:lpstr>tvl_domrefrigeration_nc2_m_psrs_2021</vt:lpstr>
      <vt:lpstr>tvl_domrefrigeration_nc2_m_tkrs_2021</vt:lpstr>
      <vt:lpstr>tvl_dressmaking_nc2_f_psrs_2021</vt:lpstr>
      <vt:lpstr>tvl_dressmaking_nc2_f_tkrs_2021</vt:lpstr>
      <vt:lpstr>tvl_dressmaking_nc2_m_psrs_2021</vt:lpstr>
      <vt:lpstr>tvl_dressmaking_nc2_m_tkrs_2021</vt:lpstr>
      <vt:lpstr>tvl_driving_nc2_f_psrs_2021</vt:lpstr>
      <vt:lpstr>tvl_driving_nc2_f_tkrs_2021</vt:lpstr>
      <vt:lpstr>tvl_driving_nc2_m_psrs_2021</vt:lpstr>
      <vt:lpstr>tvl_driving_nc2_m_tkrs_2021</vt:lpstr>
      <vt:lpstr>tvl_elecinstallation_nc2_f_psrs_2021</vt:lpstr>
      <vt:lpstr>tvl_elecinstallation_nc2_f_tkrs_2021</vt:lpstr>
      <vt:lpstr>tvl_elecinstallation_nc2_m_psrs_2021</vt:lpstr>
      <vt:lpstr>tvl_elecinstallation_nc2_m_tkrs_2021</vt:lpstr>
      <vt:lpstr>tvl_elecpowerdist_nc2_f_psrs_2021</vt:lpstr>
      <vt:lpstr>tvl_elecpowerdist_nc2_f_tkrs_2021</vt:lpstr>
      <vt:lpstr>tvl_elecpowerdist_nc2_m_psrs_2021</vt:lpstr>
      <vt:lpstr>tvl_elecpowerdist_nc2_m_tkrs_2021</vt:lpstr>
      <vt:lpstr>tvl_elecproduction_nc2_f_psrs_2021</vt:lpstr>
      <vt:lpstr>tvl_elecproduction_nc2_f_tkrs_2021</vt:lpstr>
      <vt:lpstr>tvl_elecproduction_nc2_m_psrs_2021</vt:lpstr>
      <vt:lpstr>tvl_elecproduction_nc2_m_tkrs_2021</vt:lpstr>
      <vt:lpstr>tvl_enginewatch1_f_psrs_2021</vt:lpstr>
      <vt:lpstr>tvl_enginewatch1_f_tkrs_2021</vt:lpstr>
      <vt:lpstr>tvl_enginewatch1_m_psrs_2021</vt:lpstr>
      <vt:lpstr>tvl_enginewatch1_m_tkrs_2021</vt:lpstr>
      <vt:lpstr>tvl_enginewatch2_f_psrs_2021</vt:lpstr>
      <vt:lpstr>tvl_enginewatch2_f_tkrs_2021</vt:lpstr>
      <vt:lpstr>tvl_enginewatch2_m_psrs_2021</vt:lpstr>
      <vt:lpstr>tvl_enginewatch2_m_tkrs_2021</vt:lpstr>
      <vt:lpstr>tvl_eventsmgt_nc3_f_psrs_2021</vt:lpstr>
      <vt:lpstr>tvl_eventsmgt_nc3_f_tkrs_2021</vt:lpstr>
      <vt:lpstr>tvl_eventsmgt_nc3_m_psrs_2021</vt:lpstr>
      <vt:lpstr>tvl_eventsmgt_nc3_m_tkrs_2021</vt:lpstr>
      <vt:lpstr>tvl_fashiondesign_nc3_f_psrs_2021</vt:lpstr>
      <vt:lpstr>tvl_fashiondesign_nc3_f_tkrs_2021</vt:lpstr>
      <vt:lpstr>tvl_fashiondesign_nc3_m_psrs_2021</vt:lpstr>
      <vt:lpstr>tvl_fashiondesign_nc3_m_tkrs_2021</vt:lpstr>
      <vt:lpstr>tvl_fishcapture_nc2_f_psrs_2021</vt:lpstr>
      <vt:lpstr>tvl_fishcapture_nc2_f_tkrs_2021</vt:lpstr>
      <vt:lpstr>tvl_fishcapture_nc2_m_psrs_2021</vt:lpstr>
      <vt:lpstr>tvl_fishcapture_nc2_m_tkrs_2021</vt:lpstr>
      <vt:lpstr>tvl_fishinggearrepair_nc3_f_psrs_2021</vt:lpstr>
      <vt:lpstr>tvl_fishinggearrepair_nc3_f_tkrs_2021</vt:lpstr>
      <vt:lpstr>tvl_fishinggearrepair_nc3_m_psrs_2021</vt:lpstr>
      <vt:lpstr>tvl_fishinggearrepair_nc3_m_tkrs_2021</vt:lpstr>
      <vt:lpstr>tvl_fishproductspackaging_nc2_f_psrs_2021</vt:lpstr>
      <vt:lpstr>tvl_fishproductspackaging_nc2_f_tkrs_2021</vt:lpstr>
      <vt:lpstr>tvl_fishproductspackaging_nc2_m_psrs_2021</vt:lpstr>
      <vt:lpstr>tvl_fishproductspackaging_nc2_m_tkrs_2021</vt:lpstr>
      <vt:lpstr>tvl_fishwharfop_nc1_f_psrs_2021</vt:lpstr>
      <vt:lpstr>tvl_fishwharfop_nc1_f_tkrs_2021</vt:lpstr>
      <vt:lpstr>tvl_fishwharfop_nc1_m_psrs_2021</vt:lpstr>
      <vt:lpstr>tvl_fishwharfop_nc1_m_tkrs_2021</vt:lpstr>
      <vt:lpstr>tvl_foodnbeverage_nc2_f_psrs_2021</vt:lpstr>
      <vt:lpstr>tvl_foodnbeverage_nc2_f_tkrs_2021</vt:lpstr>
      <vt:lpstr>tvl_foodnbeverage_nc2_m_psrs_2021</vt:lpstr>
      <vt:lpstr>tvl_foodnbeverage_nc2_m_tkrs_2021</vt:lpstr>
      <vt:lpstr>tvl_foodprocessing_nc2_f_psrs_2021</vt:lpstr>
      <vt:lpstr>tvl_foodprocessing_nc2_f_tkrs_2021</vt:lpstr>
      <vt:lpstr>tvl_foodprocessing_nc2_m_psrs_2021</vt:lpstr>
      <vt:lpstr>tvl_foodprocessing_nc2_m_tkrs_2021</vt:lpstr>
      <vt:lpstr>tvl_frontoffice_nc2_f_psrs_2021</vt:lpstr>
      <vt:lpstr>tvl_frontoffice_nc2_f_tkrs_2021</vt:lpstr>
      <vt:lpstr>tvl_frontoffice_nc2_m_psrs_2021</vt:lpstr>
      <vt:lpstr>tvl_frontoffice_nc2_m_tkrs_2021</vt:lpstr>
      <vt:lpstr>tvl_furnituremaking_nc2_f_psrs_2021</vt:lpstr>
      <vt:lpstr>tvl_furnituremaking_nc2_f_tkrs_2021</vt:lpstr>
      <vt:lpstr>tvl_furnituremaking_nc2_m_psrs_2021</vt:lpstr>
      <vt:lpstr>tvl_furnituremaking_nc2_m_tkrs_2021</vt:lpstr>
      <vt:lpstr>tvl_gasmetalwelding_nc2_f_psrs_2021</vt:lpstr>
      <vt:lpstr>tvl_gasmetalwelding_nc2_f_tkrs_2021</vt:lpstr>
      <vt:lpstr>tvl_gasmetalwelding_nc2_m_psrs_2021</vt:lpstr>
      <vt:lpstr>tvl_gasmetalwelding_nc2_m_tkrs_2021</vt:lpstr>
      <vt:lpstr>tvl_gastungstenwelding_nc2_f_psrs_2021</vt:lpstr>
      <vt:lpstr>tvl_gastungstenwelding_nc2_f_tkrs_2021</vt:lpstr>
      <vt:lpstr>tvl_gastungstenwelding_nc2_m_psrs_2021</vt:lpstr>
      <vt:lpstr>tvl_gastungstenwelding_nc2_m_tkrs_2021</vt:lpstr>
      <vt:lpstr>tvl_hairdressing_nc2_f_psrs_2021</vt:lpstr>
      <vt:lpstr>tvl_hairdressing_nc2_f_tkrs_2021</vt:lpstr>
      <vt:lpstr>tvl_hairdressing_nc2_m_psrs_2021</vt:lpstr>
      <vt:lpstr>tvl_hairdressing_nc2_m_tkrs_2021</vt:lpstr>
      <vt:lpstr>tvl_hairdressing_nc3_f_psrs_2021</vt:lpstr>
      <vt:lpstr>tvl_hairdressing_nc3_f_tkrs_2021</vt:lpstr>
      <vt:lpstr>tvl_hairdressing_nc3_m_psrs_2021</vt:lpstr>
      <vt:lpstr>tvl_hairdressing_nc3_m_tkrs_2021</vt:lpstr>
      <vt:lpstr>tvl_handibasketry_nonnc_f_psrs_2021</vt:lpstr>
      <vt:lpstr>tvl_handibasketry_nonnc_f_tkrs_2021</vt:lpstr>
      <vt:lpstr>tvl_handibasketry_nonnc_m_psrs_2021</vt:lpstr>
      <vt:lpstr>tvl_handibasketry_nonnc_m_tkrs_2021</vt:lpstr>
      <vt:lpstr>tvl_handifashion_nonnc_f_psrs_2021</vt:lpstr>
      <vt:lpstr>tvl_handifashion_nonnc_f_tkrs_2021</vt:lpstr>
      <vt:lpstr>tvl_handifashion_nonnc_m_psrs_2021</vt:lpstr>
      <vt:lpstr>tvl_handifashion_nonnc_m_tkrs_2021</vt:lpstr>
      <vt:lpstr>tvl_handineedlecraft_nonnc_f_psrs_2021</vt:lpstr>
      <vt:lpstr>tvl_handineedlecraft_nonnc_f_tkrs_2021</vt:lpstr>
      <vt:lpstr>tvl_handineedlecraft_nonnc_m_psrs_2021</vt:lpstr>
      <vt:lpstr>tvl_handineedlecraft_nonnc_m_tkrs_2021</vt:lpstr>
      <vt:lpstr>tvl_handiwoodcraft_nonnc_f_psrs_2021</vt:lpstr>
      <vt:lpstr>tvl_handiwoodcraft_nonnc_f_tkrs_2021</vt:lpstr>
      <vt:lpstr>tvl_handiwoodcraft_nonnc_m_psrs_2021</vt:lpstr>
      <vt:lpstr>tvl_handiwoodcraft_nonnc_m_tkrs_2021</vt:lpstr>
      <vt:lpstr>tvl_horticulture_nc3_f_psrs_2021</vt:lpstr>
      <vt:lpstr>tvl_horticulture_nc3_f_tkrs_2021</vt:lpstr>
      <vt:lpstr>tvl_horticulture_nc3_m_psrs_2021</vt:lpstr>
      <vt:lpstr>tvl_horticulture_nc3_m_tkrs_2021</vt:lpstr>
      <vt:lpstr>tvl_housekeeping_nc2_f_psrs_2021</vt:lpstr>
      <vt:lpstr>tvl_housekeeping_nc2_f_tkrs_2021</vt:lpstr>
      <vt:lpstr>tvl_housekeeping_nc2_m_psrs_2021</vt:lpstr>
      <vt:lpstr>tvl_housekeeping_nc2_m_tkrs_2021</vt:lpstr>
      <vt:lpstr>tvl_illustration_nc2_f_psrs_2021</vt:lpstr>
      <vt:lpstr>tvl_illustration_nc2_f_tkrs_2021</vt:lpstr>
      <vt:lpstr>tvl_illustration_nc2_m_psrs_2021</vt:lpstr>
      <vt:lpstr>tvl_illustration_nc2_m_tkrs_2021</vt:lpstr>
      <vt:lpstr>tvl_instncontrol_nc2_f_psrs_2021</vt:lpstr>
      <vt:lpstr>tvl_instncontrol_nc2_f_tkrs_2021</vt:lpstr>
      <vt:lpstr>tvl_instncontrol_nc2_m_psrs_2021</vt:lpstr>
      <vt:lpstr>tvl_instncontrol_nc2_m_tkrs_2021</vt:lpstr>
      <vt:lpstr>tvl_landscapeinstallation_nc2_f_psrs_2021</vt:lpstr>
      <vt:lpstr>tvl_landscapeinstallation_nc2_f_tkrs_2021</vt:lpstr>
      <vt:lpstr>tvl_landscapeinstallation_nc2_m_psrs_2021</vt:lpstr>
      <vt:lpstr>tvl_landscapeinstallation_nc2_m_tkrs_2021</vt:lpstr>
      <vt:lpstr>tvl_localguiding_nc2_f_psrs_2021</vt:lpstr>
      <vt:lpstr>tvl_localguiding_nc2_f_tkrs_2021</vt:lpstr>
      <vt:lpstr>tvl_localguiding_nc2_m_psrs_2021</vt:lpstr>
      <vt:lpstr>tvl_localguiding_nc2_m_tkrs_2021</vt:lpstr>
      <vt:lpstr>tvl_machining_nc1_f_psrs_2021</vt:lpstr>
      <vt:lpstr>tvl_machining_nc1_f_tkrs_2021</vt:lpstr>
      <vt:lpstr>tvl_machining_nc1_m_psrs_2021</vt:lpstr>
      <vt:lpstr>tvl_machining_nc1_m_tkrs_2021</vt:lpstr>
      <vt:lpstr>tvl_machining_nc2_f_psrs_2021</vt:lpstr>
      <vt:lpstr>tvl_machining_nc2_f_tkrs_2021</vt:lpstr>
      <vt:lpstr>tvl_machining_nc2_m_psrs_2021</vt:lpstr>
      <vt:lpstr>tvl_machining_nc2_m_tkrs_2021</vt:lpstr>
      <vt:lpstr>tvl_masonry_nc2_f_psrs_2021</vt:lpstr>
      <vt:lpstr>tvl_masonry_nc2_f_tkrs_2021</vt:lpstr>
      <vt:lpstr>tvl_masonry_nc2_m_psrs_2021</vt:lpstr>
      <vt:lpstr>tvl_masonry_nc2_m_tkrs_2021</vt:lpstr>
      <vt:lpstr>tvl_mechservicing_nc2_f_psrs_2021</vt:lpstr>
      <vt:lpstr>tvl_mechservicing_nc2_f_tkrs_2021</vt:lpstr>
      <vt:lpstr>tvl_mechservicing_nc2_m_psrs_2021</vt:lpstr>
      <vt:lpstr>tvl_mechservicing_nc2_m_tkrs_2021</vt:lpstr>
      <vt:lpstr>tvl_medicaltranscription_nc2_f_psrs_2021</vt:lpstr>
      <vt:lpstr>tvl_medicaltranscription_nc2_f_tkrs_2021</vt:lpstr>
      <vt:lpstr>tvl_medicaltranscription_nc2_m_psrs_2021</vt:lpstr>
      <vt:lpstr>tvl_medicaltranscription_nc2_m_tkrs_2021</vt:lpstr>
      <vt:lpstr>tvl_motorcyclservicing_nc2_f_psrs_2021</vt:lpstr>
      <vt:lpstr>tvl_motorcyclservicing_nc2_f_tkrs_2021</vt:lpstr>
      <vt:lpstr>tvl_motorcyclservicing_nc2_m_psrs_2021</vt:lpstr>
      <vt:lpstr>tvl_motorcyclservicing_nc2_m_tkrs_2021</vt:lpstr>
      <vt:lpstr>tvl_navigationalwatch1_f_psrs_2021</vt:lpstr>
      <vt:lpstr>tvl_navigationalwatch1_f_tkrs_2021</vt:lpstr>
      <vt:lpstr>tvl_navigationalwatch1_m_psrs_2021</vt:lpstr>
      <vt:lpstr>tvl_navigationalwatch1_m_tkrs_2021</vt:lpstr>
      <vt:lpstr>tvl_navigationalwatch2_f_psrs_2021</vt:lpstr>
      <vt:lpstr>tvl_navigationalwatch2_f_tkrs_2021</vt:lpstr>
      <vt:lpstr>tvl_navigationalwatch2_m_psrs_2021</vt:lpstr>
      <vt:lpstr>tvl_navigationalwatch2_m_tkrs_2021</vt:lpstr>
      <vt:lpstr>tvl_navigationalwatch3_f_psrs_2021</vt:lpstr>
      <vt:lpstr>tvl_navigationalwatch3_f_tkrs_2021</vt:lpstr>
      <vt:lpstr>tvl_navigationalwatch3_m_psrs_2021</vt:lpstr>
      <vt:lpstr>tvl_navigationalwatch3_m_tkrs_2021</vt:lpstr>
      <vt:lpstr>tvl_organicagri_nc2_f_psrs_2021</vt:lpstr>
      <vt:lpstr>tvl_organicagri_nc2_f_tkrs_2021</vt:lpstr>
      <vt:lpstr>tvl_organicagri_nc2_m_psrs_2021</vt:lpstr>
      <vt:lpstr>tvl_organicagri_nc2_m_tkrs_2021</vt:lpstr>
      <vt:lpstr>tvl_pestmgt_nc2_f_psrs_2021</vt:lpstr>
      <vt:lpstr>tvl_pestmgt_nc2_f_tkrs_2021</vt:lpstr>
      <vt:lpstr>tvl_pestmgt_nc2_m_psrs_2021</vt:lpstr>
      <vt:lpstr>tvl_pestmgt_nc2_m_tkrs_2021</vt:lpstr>
      <vt:lpstr>tvl_plumbing_nc1_f_psrs_2021</vt:lpstr>
      <vt:lpstr>tvl_plumbing_nc1_f_tkrs_2021</vt:lpstr>
      <vt:lpstr>tvl_plumbing_nc1_m_psrs_2021</vt:lpstr>
      <vt:lpstr>tvl_plumbing_nc1_m_tkrs_2021</vt:lpstr>
      <vt:lpstr>tvl_plumbing_nc2_f_psrs_2021</vt:lpstr>
      <vt:lpstr>tvl_plumbing_nc2_f_tkrs_2021</vt:lpstr>
      <vt:lpstr>tvl_plumbing_nc2_m_psrs_2021</vt:lpstr>
      <vt:lpstr>tvl_plumbing_nc2_m_tkrs_2021</vt:lpstr>
      <vt:lpstr>tvl_refnairconservicing_nc3_f_psrs_2021</vt:lpstr>
      <vt:lpstr>tvl_refnairconservicing_nc3_f_tkrs_2021</vt:lpstr>
      <vt:lpstr>tvl_refnairconservicing_nc3_m_psrs_2021</vt:lpstr>
      <vt:lpstr>tvl_refnairconservicing_nc3_m_tkrs_2021</vt:lpstr>
      <vt:lpstr>tvl_ricemachinery_nc2_f_psrs_2021</vt:lpstr>
      <vt:lpstr>tvl_ricemachinery_nc2_f_tkrs_2021</vt:lpstr>
      <vt:lpstr>tvl_ricemachinery_nc2_m_psrs_2021</vt:lpstr>
      <vt:lpstr>tvl_ricemachinery_nc2_m_tkrs_2021</vt:lpstr>
      <vt:lpstr>tvl_rubberprocessing_nc2_f_psrs_2021</vt:lpstr>
      <vt:lpstr>tvl_rubberprocessing_nc2_f_tkrs_2021</vt:lpstr>
      <vt:lpstr>tvl_rubberprocessing_nc2_m_psrs_2021</vt:lpstr>
      <vt:lpstr>tvl_rubberprocessing_nc2_m_tkrs_2021</vt:lpstr>
      <vt:lpstr>tvl_rubberproduction_nc2_f_psrs_2021</vt:lpstr>
      <vt:lpstr>tvl_rubberproduction_nc2_f_tkrs_2021</vt:lpstr>
      <vt:lpstr>tvl_rubberproduction_nc2_m_psrs_2021</vt:lpstr>
      <vt:lpstr>tvl_rubberproduction_nc2_m_tkrs_2021</vt:lpstr>
      <vt:lpstr>tvl_safety1_f_psrs_2021</vt:lpstr>
      <vt:lpstr>tvl_safety1_f_tkrs_2021</vt:lpstr>
      <vt:lpstr>tvl_safety1_m_psrs_2021</vt:lpstr>
      <vt:lpstr>tvl_safety1_m_tkrs_2021</vt:lpstr>
      <vt:lpstr>tvl_safety2_f_psrs_2021</vt:lpstr>
      <vt:lpstr>tvl_safety2_f_tkrs_2021</vt:lpstr>
      <vt:lpstr>tvl_safety2_m_psrs_2021</vt:lpstr>
      <vt:lpstr>tvl_safety2_m_tkrs_2021</vt:lpstr>
      <vt:lpstr>tvl_shieldedmetalwelding_nc1_f_psrs_2021</vt:lpstr>
      <vt:lpstr>tvl_shieldedmetalwelding_nc1_f_tkrs_2021</vt:lpstr>
      <vt:lpstr>tvl_shieldedmetalwelding_nc1_m_psrs_2021</vt:lpstr>
      <vt:lpstr>tvl_shieldedmetalwelding_nc1_m_tkrs_2021</vt:lpstr>
      <vt:lpstr>tvl_shieldedmetalwelding_nc2_f_psrs_2021</vt:lpstr>
      <vt:lpstr>tvl_shieldedmetalwelding_nc2_f_tkrs_2021</vt:lpstr>
      <vt:lpstr>tvl_shieldedmetalwelding_nc2_m_psrs_2021</vt:lpstr>
      <vt:lpstr>tvl_shieldedmetalwelding_nc2_m_tkrs_2021</vt:lpstr>
      <vt:lpstr>tvl_shipcateringservices_nc1_f_psrs_2021</vt:lpstr>
      <vt:lpstr>tvl_shipcateringservices_nc1_f_tkrs_2021</vt:lpstr>
      <vt:lpstr>tvl_shipcateringservices_nc1_m_psrs_2021</vt:lpstr>
      <vt:lpstr>tvl_shipcateringservices_nc1_m_tkrs_2021</vt:lpstr>
      <vt:lpstr>tvl_slaughteringops_nc2_f_psrs_2021</vt:lpstr>
      <vt:lpstr>tvl_slaughteringops_nc2_f_tkrs_2021</vt:lpstr>
      <vt:lpstr>tvl_slaughteringops_nc2_m_psrs_2021</vt:lpstr>
      <vt:lpstr>tvl_slaughteringops_nc2_m_tkrs_2021</vt:lpstr>
      <vt:lpstr>tvl_tailoring_nc2_f_psrs_2021</vt:lpstr>
      <vt:lpstr>tvl_tailoring_nc2_f_tkrs_2021</vt:lpstr>
      <vt:lpstr>tvl_tailoring_nc2_m_psrs_2021</vt:lpstr>
      <vt:lpstr>tvl_tailoring_nc2_m_tkrs_2021</vt:lpstr>
      <vt:lpstr>tvl_techdrafting_nc2_f_psrs_2021</vt:lpstr>
      <vt:lpstr>tvl_techdrafting_nc2_f_tkrs_2021</vt:lpstr>
      <vt:lpstr>tvl_techdrafting_nc2_m_psrs_2021</vt:lpstr>
      <vt:lpstr>tvl_techdrafting_nc2_m_tkrs_2021</vt:lpstr>
      <vt:lpstr>tvl_telcomospinstfiber_nc2_f_psrs_2021</vt:lpstr>
      <vt:lpstr>tvl_telcomospinstfiber_nc2_f_tkrs_2021</vt:lpstr>
      <vt:lpstr>tvl_telcomospinstfiber_nc2_m_psrs_2021</vt:lpstr>
      <vt:lpstr>tvl_telcomospinstfiber_nc2_m_tkrs_2021</vt:lpstr>
      <vt:lpstr>tvl_telcomospnsubslineinst_nc2_f_psrs_2021</vt:lpstr>
      <vt:lpstr>tvl_telcomospnsubslineinst_nc2_f_tkrs_2021</vt:lpstr>
      <vt:lpstr>tvl_telcomospnsubslineinst_nc2_m_psrs_2021</vt:lpstr>
      <vt:lpstr>tvl_telcomospnsubslineinst_nc2_m_tkrs_2021</vt:lpstr>
      <vt:lpstr>tvl_tilesetting_nc2_f_psrs_2021</vt:lpstr>
      <vt:lpstr>tvl_tilesetting_nc2_f_tkrs_2021</vt:lpstr>
      <vt:lpstr>tvl_tilesetting_nc2_m_psrs_2021</vt:lpstr>
      <vt:lpstr>tvl_tilesetting_nc2_m_tkrs_2021</vt:lpstr>
      <vt:lpstr>tvl_tourismpromotion_nc2_f_psrs_2021</vt:lpstr>
      <vt:lpstr>tvl_tourismpromotion_nc2_f_tkrs_2021</vt:lpstr>
      <vt:lpstr>tvl_tourismpromotion_nc2_m_psrs_2021</vt:lpstr>
      <vt:lpstr>tvl_tourismpromotion_nc2_m_tkrs_2021</vt:lpstr>
      <vt:lpstr>tvl_translineinstallation_nc2_f_psrs_2021</vt:lpstr>
      <vt:lpstr>tvl_translineinstallation_nc2_f_tkrs_2021</vt:lpstr>
      <vt:lpstr>tvl_translineinstallation_nc2_m_psrs_2021</vt:lpstr>
      <vt:lpstr>tvl_translineinstallation_nc2_m_tkrs_2021</vt:lpstr>
      <vt:lpstr>tvl_travelservices_nc2_f_psrs_2021</vt:lpstr>
      <vt:lpstr>tvl_travelservices_nc2_f_tkrs_2021</vt:lpstr>
      <vt:lpstr>tvl_travelservices_nc2_m_psrs_2021</vt:lpstr>
      <vt:lpstr>tvl_travelservices_nc2_m_tkrs_2021</vt:lpstr>
      <vt:lpstr>tvl_wellness_nc2_f_psrs_2021</vt:lpstr>
      <vt:lpstr>tvl_wellness_nc2_f_tkrs_2021</vt:lpstr>
      <vt:lpstr>tvl_wellness_nc2_m_psrs_2021</vt:lpstr>
      <vt:lpstr>tvl_wellness_nc2_m_tkrs_2021</vt:lpstr>
      <vt:lpstr>utili_jantodec_amount</vt:lpstr>
      <vt:lpstr>V</vt:lpstr>
      <vt:lpstr>VI</vt:lpstr>
      <vt:lpstr>VII</vt:lpstr>
      <vt:lpstr>VIII</vt:lpstr>
      <vt:lpstr>w</vt:lpstr>
      <vt:lpstr>X</vt:lpstr>
      <vt:lpstr>XI</vt:lpstr>
      <vt:lpstr>XII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Mara</dc:creator>
  <cp:lastModifiedBy>user</cp:lastModifiedBy>
  <cp:lastPrinted>2023-04-11T07:35:43Z</cp:lastPrinted>
  <dcterms:created xsi:type="dcterms:W3CDTF">2011-05-02T10:56:00Z</dcterms:created>
  <dcterms:modified xsi:type="dcterms:W3CDTF">2024-02-18T01:42:38Z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1033-10.2.0.5811</vt:lpwstr>
  </property>
</Properties>
</file>